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4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trlProps/ctrlProp9.xml" ContentType="application/vnd.ms-excel.controlproperties+xml"/>
  <Override PartName="/xl/drawings/drawing6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7.xml" ContentType="application/vnd.openxmlformats-officedocument.drawing+xml"/>
  <Override PartName="/xl/ctrlProps/ctrlProp12.xml" ContentType="application/vnd.ms-excel.controlproperti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1.xml" ContentType="application/vnd.openxmlformats-officedocument.spreadsheetml.comment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ykim32\Documents\문서\업무자료 모음\M&amp;A\매각자문\동해기계항공\Valuation\"/>
    </mc:Choice>
  </mc:AlternateContent>
  <bookViews>
    <workbookView xWindow="0" yWindow="0" windowWidth="28800" windowHeight="11220" tabRatio="860" activeTab="7"/>
  </bookViews>
  <sheets>
    <sheet name="Title" sheetId="4" r:id="rId1"/>
    <sheet name="Des" sheetId="6" r:id="rId2"/>
    <sheet name="WGL" sheetId="5" r:id="rId3"/>
    <sheet name="DCF(KPMG)&gt;&gt;" sheetId="344" r:id="rId4"/>
    <sheet name="_TM_Result(보고서)" sheetId="393" state="veryHidden" r:id="rId5"/>
    <sheet name="_TM_Result" sheetId="394" state="veryHidden" r:id="rId6"/>
    <sheet name="Result" sheetId="391" state="hidden" r:id="rId7"/>
    <sheet name="DCF" sheetId="235" r:id="rId8"/>
    <sheet name="WACC" sheetId="429" r:id="rId9"/>
    <sheet name="_TM_GPCM_Tier1 (2)" sheetId="276" state="veryHidden" r:id="rId10"/>
    <sheet name="_TM_매출액" sheetId="347" state="veryHidden" r:id="rId11"/>
    <sheet name="Pro forma" sheetId="9" r:id="rId12"/>
    <sheet name="매출액(보고서)" sheetId="450" r:id="rId13"/>
    <sheet name="매출액" sheetId="437" r:id="rId14"/>
    <sheet name="Sheet4" sheetId="459" state="hidden" r:id="rId15"/>
    <sheet name="Sheet5" sheetId="460" state="hidden" r:id="rId16"/>
    <sheet name="Sheet3" sheetId="458" state="hidden" r:id="rId17"/>
    <sheet name="Sheet2" sheetId="457" state="hidden" r:id="rId18"/>
    <sheet name="SG&amp;A" sheetId="14" r:id="rId19"/>
    <sheet name="사업계획(원재료)" sheetId="446" state="hidden" r:id="rId20"/>
    <sheet name="사업계획(매출 확정본)" sheetId="438" state="hidden" r:id="rId21"/>
    <sheet name="매출원가" sheetId="13" r:id="rId22"/>
    <sheet name="CapEx&amp;Dep" sheetId="15" r:id="rId23"/>
    <sheet name="WC" sheetId="16" r:id="rId24"/>
    <sheet name="NOA&amp;IBD" sheetId="17" r:id="rId25"/>
    <sheet name="IS" sheetId="415" r:id="rId26"/>
    <sheet name="MC" sheetId="419" r:id="rId27"/>
    <sheet name="모델별 Mapping" sheetId="462" state="hidden" r:id="rId28"/>
    <sheet name="인건비 분석" sheetId="418" state="hidden" r:id="rId29"/>
    <sheet name="계정별원장" sheetId="456" state="hidden" r:id="rId30"/>
    <sheet name="매출액 분석" sheetId="461" state="hidden" r:id="rId31"/>
    <sheet name="제품별 원재료비 " sheetId="445" state="hidden" r:id="rId32"/>
    <sheet name="2016년 원장 (피벗)" sheetId="452" state="hidden" r:id="rId33"/>
    <sheet name="2015년 원장 (피벗) " sheetId="451" state="hidden" r:id="rId34"/>
    <sheet name="2018 1월 판매(피벗)" sheetId="455" state="hidden" r:id="rId35"/>
    <sheet name="2018 1월 판매(Raw)" sheetId="454" state="hidden" r:id="rId36"/>
    <sheet name="2018년 해외 수주" sheetId="453" state="hidden" r:id="rId37"/>
    <sheet name="BS" sheetId="417" r:id="rId38"/>
    <sheet name="2017년 가결산 BS" sheetId="449" state="hidden" r:id="rId39"/>
    <sheet name="2017 가결산 MC" sheetId="440" state="hidden" r:id="rId40"/>
    <sheet name="2017 가결산IS" sheetId="439" state="hidden" r:id="rId41"/>
    <sheet name="기존(정액)" sheetId="448" state="hidden" r:id="rId42"/>
    <sheet name="원재료비 피벗 결과" sheetId="444" state="hidden" r:id="rId43"/>
    <sheet name="과거 CapEx(주석사항)" sheetId="436" state="hidden" r:id="rId44"/>
    <sheet name="유무형자산명세서(2017.12)" sheetId="435" state="hidden" r:id="rId45"/>
    <sheet name="신규투자계획" sheetId="441" state="hidden" r:id="rId46"/>
    <sheet name="제품별 원가 구분" sheetId="432" state="hidden" r:id="rId47"/>
    <sheet name="PBC&gt;&gt;" sheetId="331" r:id="rId48"/>
    <sheet name="_TM_매출_세부(연결단순합)" sheetId="392" state="veryHidden" r:id="rId49"/>
    <sheet name="DCF(BP)" sheetId="406" state="hidden" r:id="rId50"/>
    <sheet name="Pro forma(BP)" sheetId="407" state="hidden" r:id="rId51"/>
    <sheet name="FS&gt;&gt;" sheetId="374" r:id="rId52"/>
    <sheet name="CF" sheetId="413" r:id="rId53"/>
    <sheet name="유사회사&gt;&gt;" sheetId="300" r:id="rId54"/>
    <sheet name="유사회사선정과정" sheetId="420" r:id="rId55"/>
    <sheet name="디와이파워" sheetId="421" r:id="rId56"/>
    <sheet name="동일금속" sheetId="422" r:id="rId57"/>
    <sheet name="애버다임" sheetId="423" r:id="rId58"/>
    <sheet name="광림" sheetId="424" r:id="rId59"/>
    <sheet name="수산중공업" sheetId="425" r:id="rId60"/>
    <sheet name="디와이" sheetId="426" r:id="rId61"/>
    <sheet name="혜인" sheetId="427" r:id="rId62"/>
    <sheet name="Data&gt;&gt;" sheetId="380" r:id="rId63"/>
    <sheet name="Raw&gt;&gt;" sheetId="186" r:id="rId64"/>
    <sheet name="Macro" sheetId="187" r:id="rId65"/>
    <sheet name="_TM_WACC_유사회사" sheetId="266" state="veryHidden" r:id="rId66"/>
  </sheets>
  <externalReferences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</externalReferences>
  <definedNames>
    <definedName name="___key2" localSheetId="27" hidden="1">#REF!</definedName>
    <definedName name="___key2" hidden="1">#REF!</definedName>
    <definedName name="__123Graph_A" localSheetId="27" hidden="1">#REF!</definedName>
    <definedName name="__123Graph_A" hidden="1">#REF!</definedName>
    <definedName name="__123Graph_F" localSheetId="27" hidden="1">'[1]00''미수'!#REF!</definedName>
    <definedName name="__123Graph_F" hidden="1">'[1]00''미수'!#REF!</definedName>
    <definedName name="__IntlFixup" hidden="1">TRUE</definedName>
    <definedName name="__key2" localSheetId="27" hidden="1">#REF!</definedName>
    <definedName name="__key2" hidden="1">#REF!</definedName>
    <definedName name="_13t9_" localSheetId="27" hidden="1">{#N/A,#N/A,FALSE,"UNIT";#N/A,#N/A,FALSE,"UNIT";#N/A,#N/A,FALSE,"계정"}</definedName>
    <definedName name="_13t9_" hidden="1">{#N/A,#N/A,FALSE,"UNIT";#N/A,#N/A,FALSE,"UNIT";#N/A,#N/A,FALSE,"계정"}</definedName>
    <definedName name="_CIR1">[2]VIVENDI단가산정!$EX$11</definedName>
    <definedName name="_CTW1">[2]VIVENDI단가산정!$GQ$11</definedName>
    <definedName name="_CTW2">[2]VIVENDI단가산정!$FM$11</definedName>
    <definedName name="_CTW3">[2]VIVENDI단가산정!$HF$11</definedName>
    <definedName name="_DEM1">[2]VIVENDI단가산정!$CP$11</definedName>
    <definedName name="_DEM2">[2]VIVENDI단가산정!$DE$11</definedName>
    <definedName name="_Dist_Bin" localSheetId="27" hidden="1">#REF!</definedName>
    <definedName name="_Dist_Bin" hidden="1">#REF!</definedName>
    <definedName name="_Dist_Values" localSheetId="27" hidden="1">#REF!</definedName>
    <definedName name="_Dist_Values" hidden="1">#REF!</definedName>
    <definedName name="_Fill" localSheetId="27" hidden="1">'[3]#REF'!#REF!</definedName>
    <definedName name="_Fill" hidden="1">#REF!</definedName>
    <definedName name="_xlnm._FilterDatabase" localSheetId="26" hidden="1">MC!$B$4:$K$54</definedName>
    <definedName name="_xlnm._FilterDatabase" localSheetId="16" hidden="1">Sheet3!$B$1551:$I$1551</definedName>
    <definedName name="_xlnm._FilterDatabase" localSheetId="14" hidden="1">Sheet4!$B$884:$E$884</definedName>
    <definedName name="_xlnm._FilterDatabase" localSheetId="15" hidden="1">Sheet5!$B$1466:$E$1466</definedName>
    <definedName name="_xlnm._FilterDatabase" localSheetId="29" hidden="1">계정별원장!$A$2:$G$5998</definedName>
    <definedName name="_xlnm._FilterDatabase" localSheetId="27" hidden="1">'모델별 Mapping'!$B$5:$E$93</definedName>
    <definedName name="_xlnm._FilterDatabase" localSheetId="20" hidden="1">'사업계획(매출 확정본)'!$Q$11:$W$118</definedName>
    <definedName name="_xlnm._FilterDatabase" localSheetId="19" hidden="1">'사업계획(원재료)'!$P$13:$U$150</definedName>
    <definedName name="_xlnm._FilterDatabase" localSheetId="44" hidden="1">'유무형자산명세서(2017.12)'!$A$4:$T$306</definedName>
    <definedName name="_xlnm._FilterDatabase" localSheetId="46" hidden="1">'제품별 원가 구분'!$AB$34:$AH$62</definedName>
    <definedName name="_xlnm._FilterDatabase" localSheetId="31" hidden="1">'제품별 원재료비 '!$O$4:$W$48</definedName>
    <definedName name="_xlnm._FilterDatabase" hidden="1">#REF!</definedName>
    <definedName name="_FXR3">[4]Control!$B$17</definedName>
    <definedName name="_FXR4">[4]Control!$B$18</definedName>
    <definedName name="_FXR5">[4]Control!$B$19</definedName>
    <definedName name="_Key1" localSheetId="27" hidden="1">#REF!</definedName>
    <definedName name="_Key1" hidden="1">[5]⑤항목별2!#REF!</definedName>
    <definedName name="_Key2" localSheetId="27" hidden="1">#REF!</definedName>
    <definedName name="_Key2" hidden="1">#REF!</definedName>
    <definedName name="_KEY3" localSheetId="27" hidden="1">'[6]95D'!#REF!</definedName>
    <definedName name="_KEY3" hidden="1">'[6]95D'!#REF!</definedName>
    <definedName name="_LD1" localSheetId="27">'모델별 Mapping'!_LD1</definedName>
    <definedName name="_LD1">'모델별 Mapping'!_LD1</definedName>
    <definedName name="_LPS2" localSheetId="27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mmm" localSheetId="27" hidden="1">#REF!</definedName>
    <definedName name="_mmm" hidden="1">#REF!</definedName>
    <definedName name="_Order1" localSheetId="27" hidden="1">255</definedName>
    <definedName name="_Order1" hidden="1">0</definedName>
    <definedName name="_Order2" localSheetId="27" hidden="1">255</definedName>
    <definedName name="_Order2" hidden="1">0</definedName>
    <definedName name="_Parse_Out" localSheetId="27" hidden="1">[7]수정시산표!#REF!</definedName>
    <definedName name="_Parse_Out" hidden="1">[7]수정시산표!#REF!</definedName>
    <definedName name="_POT1">[2]VIVENDI단가산정!$DT$11</definedName>
    <definedName name="_POT2">[2]VIVENDI단가산정!$EI$11</definedName>
    <definedName name="_pp11" localSheetId="27">'모델별 Mapping'!_pp11</definedName>
    <definedName name="_pp11">'모델별 Mapping'!_pp11</definedName>
    <definedName name="_PRE1">[2]VIVENDI단가산정!$AH$11</definedName>
    <definedName name="_PRE2">[2]VIVENDI단가산정!$AW$11</definedName>
    <definedName name="_Regression_Int" hidden="1">1</definedName>
    <definedName name="_Regression_Out" localSheetId="27" hidden="1">#REF!</definedName>
    <definedName name="_Regression_Out" hidden="1">#REF!</definedName>
    <definedName name="_Regression_X" localSheetId="27" hidden="1">#REF!</definedName>
    <definedName name="_Regression_X" hidden="1">#REF!</definedName>
    <definedName name="_Regression_Y" localSheetId="27" hidden="1">#REF!</definedName>
    <definedName name="_Regression_Y" hidden="1">#REF!</definedName>
    <definedName name="_Sort" localSheetId="27" hidden="1">#REF!</definedName>
    <definedName name="_Sort" hidden="1">[5]⑤항목별2!#REF!</definedName>
    <definedName name="_SORT2" localSheetId="27" hidden="1">'[6]94D'!#REF!</definedName>
    <definedName name="_SORT2" hidden="1">'[6]94D'!#REF!</definedName>
    <definedName name="_SORT3" localSheetId="27" hidden="1">'[6]95D'!#REF!</definedName>
    <definedName name="_SORT3" hidden="1">'[6]95D'!#REF!</definedName>
    <definedName name="_XG2" localSheetId="27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aaaa" localSheetId="27" hidden="1">{#N/A,#N/A,FALSE,"UNIT";#N/A,#N/A,FALSE,"UNIT";#N/A,#N/A,FALSE,"계정"}</definedName>
    <definedName name="aaaa">'모델별 Mapping'!aaaa</definedName>
    <definedName name="aaaaa" localSheetId="27">'모델별 Mapping'!aaaaa</definedName>
    <definedName name="aaaaa">'모델별 Mapping'!aaaaa</definedName>
    <definedName name="aaaaaa" localSheetId="27">'모델별 Mapping'!aaaaaa</definedName>
    <definedName name="aaaaaa">'모델별 Mapping'!aaaaaa</definedName>
    <definedName name="aaabbbccc" localSheetId="27">'모델별 Mapping'!aaabbbccc</definedName>
    <definedName name="aaabbbccc">'모델별 Mapping'!aaabbbccc</definedName>
    <definedName name="abc" localSheetId="27" hidden="1">{#N/A,#N/A,FALSE,"ENG'G(보호계전기)"}</definedName>
    <definedName name="abc" hidden="1">{#N/A,#N/A,FALSE,"ENG'G(보호계전기)"}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d" localSheetId="27" hidden="1">{#N/A,#N/A,FALSE,"기안지";#N/A,#N/A,FALSE,"통신지"}</definedName>
    <definedName name="add" hidden="1">{#N/A,#N/A,FALSE,"기안지";#N/A,#N/A,FALSE,"통신지"}</definedName>
    <definedName name="aq" localSheetId="27" hidden="1">#REF!</definedName>
    <definedName name="aq" hidden="1">#REF!</definedName>
    <definedName name="as" localSheetId="27">'모델별 Mapping'!as</definedName>
    <definedName name="as">'모델별 Mapping'!as</definedName>
    <definedName name="AS2DocOpenMode" hidden="1">"AS2DocumentEdit"</definedName>
    <definedName name="AS2ReportLS" hidden="1">1</definedName>
    <definedName name="AS2SyncStepLS" hidden="1">0</definedName>
    <definedName name="AS2TickmarkLS" localSheetId="27" hidden="1">#REF!</definedName>
    <definedName name="AS2TickmarkLS" hidden="1">#REF!</definedName>
    <definedName name="AS2VersionLS" hidden="1">300</definedName>
    <definedName name="asd" localSheetId="27">'모델별 Mapping'!asd</definedName>
    <definedName name="asd">'모델별 Mapping'!asd</definedName>
    <definedName name="asdf" localSheetId="27">'모델별 Mapping'!asdf</definedName>
    <definedName name="asdf">'모델별 Mapping'!asdf</definedName>
    <definedName name="asdfg" localSheetId="27">'모델별 Mapping'!asdfg</definedName>
    <definedName name="asdfg">'모델별 Mapping'!asdfg</definedName>
    <definedName name="ASSDDD" localSheetId="27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" localSheetId="27" hidden="1">#REF!</definedName>
    <definedName name="asss" hidden="1">#REF!</definedName>
    <definedName name="ASSSS" localSheetId="27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sxz" localSheetId="27">'모델별 Mapping'!asxz</definedName>
    <definedName name="asxz">'모델별 Mapping'!asxz</definedName>
    <definedName name="BASE">[8]생산실적!$O$12</definedName>
    <definedName name="bbb" localSheetId="27">'모델별 Mapping'!bbb</definedName>
    <definedName name="bbb">'모델별 Mapping'!bbb</definedName>
    <definedName name="BBBB" localSheetId="27" hidden="1">#REF!</definedName>
    <definedName name="BBBB" hidden="1">#REF!</definedName>
    <definedName name="bbbbb" localSheetId="27">'모델별 Mapping'!bbbbb</definedName>
    <definedName name="bbbbb">'모델별 Mapping'!bbbbb</definedName>
    <definedName name="BG_Del" hidden="1">15</definedName>
    <definedName name="BG_Ins" hidden="1">4</definedName>
    <definedName name="BG_Mod" hidden="1">6</definedName>
    <definedName name="BGJK" localSheetId="27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" localSheetId="27">'모델별 Mapping'!book</definedName>
    <definedName name="book">'모델별 Mapping'!book</definedName>
    <definedName name="book1" localSheetId="27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ok2" localSheetId="27">'모델별 Mapping'!book2</definedName>
    <definedName name="book2">'모델별 Mapping'!book2</definedName>
    <definedName name="book3" localSheetId="27">'모델별 Mapping'!book3</definedName>
    <definedName name="book3">'모델별 Mapping'!book3</definedName>
    <definedName name="BW">[2]VIVENDI단가산정!$CA$11</definedName>
    <definedName name="BZ1_1" localSheetId="27">'모델별 Mapping'!BZ1_1</definedName>
    <definedName name="BZ1_1">'모델별 Mapping'!BZ1_1</definedName>
    <definedName name="CAE해석" localSheetId="27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7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SE1">[9]MAIN!$V$16</definedName>
    <definedName name="ccc" localSheetId="27">'모델별 Mapping'!ccc</definedName>
    <definedName name="ccc">'모델별 Mapping'!ccc</definedName>
    <definedName name="cccccccccccccccccccccc" localSheetId="27">'모델별 Mapping'!cccccccccccccccccccccc</definedName>
    <definedName name="cccccccccccccccccccccc">'모델별 Mapping'!cccccccccccccccccccccc</definedName>
    <definedName name="cfclear" localSheetId="27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eRange" hidden="1">[10]!ChangeRange</definedName>
    <definedName name="chart2" localSheetId="27">'모델별 Mapping'!chart2</definedName>
    <definedName name="chart2">'모델별 Mapping'!chart2</definedName>
    <definedName name="ck" localSheetId="27" hidden="1">{"'분양원가'!$B$1:$F$113"}</definedName>
    <definedName name="ck" hidden="1">{"'분양원가'!$B$1:$F$113"}</definedName>
    <definedName name="ContentsHelp" hidden="1">[10]!ContentsHelp</definedName>
    <definedName name="CONTROL전원" localSheetId="27" hidden="1">{#N/A,#N/A,FALSE,"ENG'G(보호계전기)"}</definedName>
    <definedName name="CONTROL전원" hidden="1">{#N/A,#N/A,FALSE,"ENG'G(보호계전기)"}</definedName>
    <definedName name="COST" localSheetId="27" hidden="1">#REF!</definedName>
    <definedName name="COST" hidden="1">#REF!</definedName>
    <definedName name="COSTT" localSheetId="27" hidden="1">#REF!</definedName>
    <definedName name="COSTT" hidden="1">#REF!</definedName>
    <definedName name="CPG">[11]NCC!$B$144</definedName>
    <definedName name="CreateTable" hidden="1">[10]!CreateTable</definedName>
    <definedName name="CW">[12]수처리사업!$B$1:$Z$53</definedName>
    <definedName name="Cwvu.GREY_ALL." localSheetId="27" hidden="1">#REF!</definedName>
    <definedName name="Cwvu.GREY_ALL." hidden="1">#REF!</definedName>
    <definedName name="d" localSheetId="27" hidden="1">{#N/A,#N/A,FALSE,"UNIT";#N/A,#N/A,FALSE,"UNIT";#N/A,#N/A,FALSE,"계정"}</definedName>
    <definedName name="d" hidden="1">{#N/A,#N/A,FALSE,"UNIT";#N/A,#N/A,FALSE,"UNIT";#N/A,#N/A,FALSE,"계정"}</definedName>
    <definedName name="dd">[13]ECG!$B$34</definedName>
    <definedName name="ddd" localSheetId="27">'모델별 Mapping'!ddd</definedName>
    <definedName name="ddd">'모델별 Mapping'!ddd</definedName>
    <definedName name="dddddf" localSheetId="27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FA" localSheetId="27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G">[14]EG제!$J$37</definedName>
    <definedName name="DeleteRange" hidden="1">[10]!DeleteRange</definedName>
    <definedName name="DeleteTable" hidden="1">[10]!DeleteTable</definedName>
    <definedName name="DEWDEWFQEW" localSheetId="27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localSheetId="27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localSheetId="27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27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GF" localSheetId="27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7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FHJ" localSheetId="27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7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7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7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S" localSheetId="27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D">[15]Sheet1!$V$25:$V$144</definedName>
    <definedName name="DRIVEABILITY" localSheetId="27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FDSF" localSheetId="27">'모델별 Mapping'!DSFDSF</definedName>
    <definedName name="DSFDSF">'모델별 Mapping'!DSFDSF</definedName>
    <definedName name="E32E2" localSheetId="27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27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B">[4]Control!$A$68</definedName>
    <definedName name="EBITDA_Sensi">'[16]270'!$X$18</definedName>
    <definedName name="ed" localSheetId="27" hidden="1">{"'보고양식'!$A$58:$K$111"}</definedName>
    <definedName name="ed" hidden="1">{"'보고양식'!$A$58:$K$111"}</definedName>
    <definedName name="eeee" localSheetId="27" hidden="1">{#N/A,#N/A,FALSE,"UNIT";#N/A,#N/A,FALSE,"UNIT";#N/A,#N/A,FALSE,"계정"}</definedName>
    <definedName name="eeee" hidden="1">{#N/A,#N/A,FALSE,"UNIT";#N/A,#N/A,FALSE,"UNIT";#N/A,#N/A,FALSE,"계정"}</definedName>
    <definedName name="EFFOG" localSheetId="27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">[14]EG제!$J$41</definedName>
    <definedName name="EKDKD.LJFL" localSheetId="27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">[14]EG제!$J$39</definedName>
    <definedName name="EO계획" localSheetId="27" hidden="1">#REF!</definedName>
    <definedName name="EO계획" hidden="1">#REF!</definedName>
    <definedName name="erre" localSheetId="27">'모델별 Mapping'!erre</definedName>
    <definedName name="erre">'모델별 Mapping'!erre</definedName>
    <definedName name="ETRYU" localSheetId="27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27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V__LASTREFTIME__" hidden="1">"2012-02-14 오전 10:46:02"</definedName>
    <definedName name="EWY" localSheetId="27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">[17]ECG!$B$34</definedName>
    <definedName name="EYRU" localSheetId="27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27" hidden="1">{#N/A,#N/A,FALSE,"UNIT";#N/A,#N/A,FALSE,"UNIT";#N/A,#N/A,FALSE,"계정"}</definedName>
    <definedName name="f" hidden="1">{#N/A,#N/A,FALSE,"UNIT";#N/A,#N/A,FALSE,"UNIT";#N/A,#N/A,FALSE,"계정"}</definedName>
    <definedName name="FDJGDFHJ" localSheetId="27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EWQ" localSheetId="27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f" localSheetId="27">'모델별 Mapping'!fff</definedName>
    <definedName name="fff">'모델별 Mapping'!fff</definedName>
    <definedName name="ffff" localSheetId="27" hidden="1">#REF!</definedName>
    <definedName name="ffff" hidden="1">#REF!</definedName>
    <definedName name="fffgfg" localSheetId="27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hgfjk" localSheetId="27">'모델별 Mapping'!fghgfjk</definedName>
    <definedName name="fghgfjk">'모델별 Mapping'!fghgfjk</definedName>
    <definedName name="FH" localSheetId="27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kla" localSheetId="27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localSheetId="27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27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7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7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7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7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7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" localSheetId="27">[18]Des!$C$14</definedName>
    <definedName name="g">Des!$C$14</definedName>
    <definedName name="gfgfgf" localSheetId="27">'모델별 Mapping'!gfgfgf</definedName>
    <definedName name="gfgfgf">'모델별 Mapping'!gfgfgf</definedName>
    <definedName name="GFJG" localSheetId="27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7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g" localSheetId="27">'모델별 Mapping'!ggg</definedName>
    <definedName name="ggg">'모델별 Mapping'!ggg</definedName>
    <definedName name="GGGGG" localSheetId="27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J" localSheetId="27">'모델별 Mapping'!GHJ</definedName>
    <definedName name="GHJ">'모델별 Mapping'!GHJ</definedName>
    <definedName name="GHUTGHF" localSheetId="27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7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7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oAssetChart" localSheetId="27">'모델별 Mapping'!GoAssetChart</definedName>
    <definedName name="GoAssetChart">'모델별 Mapping'!GoAssetChart</definedName>
    <definedName name="GoBack" localSheetId="27">'모델별 Mapping'!GoBack</definedName>
    <definedName name="GoBack">'모델별 Mapping'!GoBack</definedName>
    <definedName name="GoBalanceSheet" localSheetId="27">'모델별 Mapping'!GoBalanceSheet</definedName>
    <definedName name="GoBalanceSheet">'모델별 Mapping'!GoBalanceSheet</definedName>
    <definedName name="GoCashFlow" localSheetId="27">'모델별 Mapping'!GoCashFlow</definedName>
    <definedName name="GoCashFlow">'모델별 Mapping'!GoCashFlow</definedName>
    <definedName name="GoData" localSheetId="27">'모델별 Mapping'!GoData</definedName>
    <definedName name="GoData">'모델별 Mapping'!GoData</definedName>
    <definedName name="GoIncomeChart" localSheetId="27">'모델별 Mapping'!GoIncomeChart</definedName>
    <definedName name="GoIncomeChart">'모델별 Mapping'!GoIncomeChart</definedName>
    <definedName name="han" localSheetId="27">'모델별 Mapping'!han</definedName>
    <definedName name="han">'모델별 Mapping'!han</definedName>
    <definedName name="HFG" localSheetId="27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" localSheetId="27">'모델별 Mapping'!hg</definedName>
    <definedName name="hg">'모델별 Mapping'!hg</definedName>
    <definedName name="hghghghghghkf" localSheetId="27">'모델별 Mapping'!hghghghghghkf</definedName>
    <definedName name="hghghghghghkf">'모델별 Mapping'!hghghghghghkf</definedName>
    <definedName name="hhh" localSheetId="27">'모델별 Mapping'!hhh</definedName>
    <definedName name="hhh">'모델별 Mapping'!hhh</definedName>
    <definedName name="hhhhhhh" localSheetId="27">'모델별 Mapping'!hhhhhhh</definedName>
    <definedName name="hhhhhhh">'모델별 Mapping'!hhhhhhh</definedName>
    <definedName name="hhhhhhhhhhhhhhhh" localSheetId="27">'모델별 Mapping'!hhhhhhhhhhhhhhhh</definedName>
    <definedName name="hhhhhhhhhhhhhhhh">'모델별 Mapping'!hhhhhhhhhhhhhhhh</definedName>
    <definedName name="hhhjj" localSheetId="27">'모델별 Mapping'!hhhjj</definedName>
    <definedName name="hhhjj">'모델별 Mapping'!hhhjj</definedName>
    <definedName name="HMH">[11]NCC!$B$132</definedName>
    <definedName name="HTML_CodePage" hidden="1">949</definedName>
    <definedName name="HTML_Control" localSheetId="27" hidden="1">{"'매출'!$A$1:$I$22"}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PathFileMac" hidden="1">"Macintosh HD:HomePageStuff:New_Home_Page:datafile:ctryprem.html"</definedName>
    <definedName name="HTML_Title" hidden="1">"diamonds"</definedName>
    <definedName name="HTML1_1" hidden="1">"'[$Isrs609.xls]Sheet2'!$A$3:$G$31"</definedName>
    <definedName name="HTML1_10" hidden="1">""</definedName>
    <definedName name="HTML1_11" hidden="1">1</definedName>
    <definedName name="HTML1_12" localSheetId="27" hidden="1">"C:\#data\#isab16\MyHTML.htm"</definedName>
    <definedName name="HTML1_12" hidden="1">"C:\My Documents\98년\1월\영업현황\시험.htm"</definedName>
    <definedName name="HTML1_2" hidden="1">1</definedName>
    <definedName name="HTML1_3" localSheetId="27" hidden="1">"Ranking of Entities"</definedName>
    <definedName name="HTML1_3" hidden="1">"수주관리98"</definedName>
    <definedName name="HTML1_4" localSheetId="27" hidden="1">"by Descending TOTAL IS COSTS"</definedName>
    <definedName name="HTML1_4" hidden="1">"회선현황"</definedName>
    <definedName name="HTML1_5" localSheetId="27" hidden="1">"1996 Data"</definedName>
    <definedName name="HTML1_5" hidden="1">""</definedName>
    <definedName name="HTML1_6" localSheetId="27" hidden="1">1</definedName>
    <definedName name="HTML1_6" hidden="1">-4146</definedName>
    <definedName name="HTML1_7" localSheetId="27" hidden="1">1</definedName>
    <definedName name="HTML1_7" hidden="1">-4146</definedName>
    <definedName name="HTML1_8" localSheetId="27" hidden="1">"11/14/96"</definedName>
    <definedName name="HTML1_8" hidden="1">"98-01-21"</definedName>
    <definedName name="HTML1_9" localSheetId="27" hidden="1">"Michel Mercier"</definedName>
    <definedName name="HTML1_9" hidden="1">"김은광"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"'[$Isrs609.xls]Sheet2'!$A$4:$E$62"</definedName>
    <definedName name="HTML2_10" hidden="1">""</definedName>
    <definedName name="HTML2_11" hidden="1">1</definedName>
    <definedName name="HTML2_12" localSheetId="27" hidden="1">"C:\WEB\MyHTML.htm"</definedName>
    <definedName name="HTML2_12" hidden="1">"C:\My Documents\98년\1월\영업현황\일일현황-98.1.22.htm"</definedName>
    <definedName name="HTML2_2" hidden="1">1</definedName>
    <definedName name="HTML2_3" localSheetId="27" hidden="1">"RANKING"</definedName>
    <definedName name="HTML2_3" hidden="1">""</definedName>
    <definedName name="HTML2_4" localSheetId="27" hidden="1">"Sheet2"</definedName>
    <definedName name="HTML2_4" hidden="1">""</definedName>
    <definedName name="HTML2_5" hidden="1">""</definedName>
    <definedName name="HTML2_6" localSheetId="27" hidden="1">1</definedName>
    <definedName name="HTML2_6" hidden="1">-4146</definedName>
    <definedName name="HTML2_7" hidden="1">1</definedName>
    <definedName name="HTML2_8" localSheetId="27" hidden="1">"11/14/96"</definedName>
    <definedName name="HTML2_8" hidden="1">"98-01-22"</definedName>
    <definedName name="HTML2_9" localSheetId="27" hidden="1">"Michel Mercier"</definedName>
    <definedName name="HTML2_9" hidden="1">""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"'[$Isrs609.xls]Sheet2'!$A$1:$F$66"</definedName>
    <definedName name="HTML3_10" hidden="1">""</definedName>
    <definedName name="HTML3_11" hidden="1">1</definedName>
    <definedName name="HTML3_12" localSheetId="27" hidden="1">"C:\Web\MyHTML.htm"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localSheetId="27" hidden="1">-4146</definedName>
    <definedName name="HTML3_6" hidden="1">1</definedName>
    <definedName name="HTML3_7" localSheetId="27" hidden="1">-4146</definedName>
    <definedName name="HTML3_7" hidden="1">1</definedName>
    <definedName name="HTML3_8" localSheetId="27" hidden="1">"11/14/96"</definedName>
    <definedName name="HTML3_8" hidden="1">""</definedName>
    <definedName name="HTML3_9" localSheetId="27" hidden="1">"Michel Mercier"</definedName>
    <definedName name="HTML3_9" hidden="1">""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"'[$Isrs609.xls]Sheet2'!$A$1:$D$62"</definedName>
    <definedName name="HTML4_10" hidden="1">""</definedName>
    <definedName name="HTML4_11" hidden="1">1</definedName>
    <definedName name="HTML4_12" localSheetId="27" hidden="1">"C:\Web\MyHTML.htm"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localSheetId="27" hidden="1">"RANKING OF I/S ENTITIES"</definedName>
    <definedName name="HTML4_4" hidden="1">""</definedName>
    <definedName name="HTML4_5" localSheetId="27" hidden="1">"L indicates a Large Operating Entity with Sales &gt; $150 million
M indicates a Medium Operating Entity with Sales &lt; $150 million
S indicates a Small Operating Entity with Sales &lt; $50 million"</definedName>
    <definedName name="HTML4_5" hidden="1">""</definedName>
    <definedName name="HTML4_6" localSheetId="27" hidden="1">-4146</definedName>
    <definedName name="HTML4_6" hidden="1">1</definedName>
    <definedName name="HTML4_7" localSheetId="27" hidden="1">-4146</definedName>
    <definedName name="HTML4_7" hidden="1">1</definedName>
    <definedName name="HTML4_8" localSheetId="27" hidden="1">"11/14/96"</definedName>
    <definedName name="HTML4_8" hidden="1">"98-01-31"</definedName>
    <definedName name="HTML4_9" localSheetId="27" hidden="1">"Michel Mercier"</definedName>
    <definedName name="HTML4_9" hidden="1">""</definedName>
    <definedName name="HTML5_1" hidden="1">"'[$Isrs609.xls]Sheet2'!$A$1:$D$66"</definedName>
    <definedName name="HTML5_10" hidden="1">""</definedName>
    <definedName name="HTML5_11" hidden="1">1</definedName>
    <definedName name="HTML5_12" localSheetId="27" hidden="1">"C:\Web\MyHTML.htm"</definedName>
    <definedName name="HTML5_12" hidden="1">"C:\My Documents\98년\영업현황\일일현황-98.1.31.v.htm"</definedName>
    <definedName name="HTML5_2" hidden="1">1</definedName>
    <definedName name="HTML5_3" localSheetId="27" hidden="1">"Ranking IS Entities"</definedName>
    <definedName name="HTML5_3" hidden="1">""</definedName>
    <definedName name="HTML5_4" localSheetId="27" hidden="1">"RANKING OF I/S ENTITIES"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localSheetId="27" hidden="1">"11/14/96"</definedName>
    <definedName name="HTML5_8" hidden="1">""</definedName>
    <definedName name="HTML5_9" localSheetId="27" hidden="1">"Michel Mercier"</definedName>
    <definedName name="HTML5_9" hidden="1">""</definedName>
    <definedName name="HTML6_1" hidden="1">"'[$Isrs609.xls]Sheet2'!$A$1:$D$65"</definedName>
    <definedName name="HTML6_10" hidden="1">""</definedName>
    <definedName name="HTML6_11" hidden="1">1</definedName>
    <definedName name="HTML6_12" localSheetId="27" hidden="1">"C:\Web\MyHTML.htm"</definedName>
    <definedName name="HTML6_12" hidden="1">"C:\My Documents\98년\영업현황\일일현황-98.1.31.htm"</definedName>
    <definedName name="HTML6_2" hidden="1">1</definedName>
    <definedName name="HTML6_3" localSheetId="27" hidden="1">"Ranking IS Entities"</definedName>
    <definedName name="HTML6_3" hidden="1">""</definedName>
    <definedName name="HTML6_4" localSheetId="27" hidden="1">"RANKING OF I/S ENTITIES"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localSheetId="27" hidden="1">"11/14/96"</definedName>
    <definedName name="HTML6_8" hidden="1">""</definedName>
    <definedName name="HTML6_9" localSheetId="27" hidden="1">"Michel Mercier"</definedName>
    <definedName name="HTML6_9" hidden="1">""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localSheetId="27" hidden="1">6</definedName>
    <definedName name="HTMLCount" hidden="1">30</definedName>
    <definedName name="iii" localSheetId="27">'모델별 Mapping'!iii</definedName>
    <definedName name="iii">'모델별 Mapping'!iii</definedName>
    <definedName name="iuiuiuiu" localSheetId="27">'모델별 Mapping'!iuiuiuiu</definedName>
    <definedName name="iuiuiuiu">'모델별 Mapping'!iuiuiuiu</definedName>
    <definedName name="iuiuiuiuiuiu" localSheetId="27">'모델별 Mapping'!iuiuiuiuiuiu</definedName>
    <definedName name="iuiuiuiuiuiu">'모델별 Mapping'!iuiuiuiuiuiu</definedName>
    <definedName name="IUUIUIUIU" localSheetId="27">'모델별 Mapping'!IUUIUIUIU</definedName>
    <definedName name="IUUIUIUIU">'모델별 Mapping'!IUUIUIUIU</definedName>
    <definedName name="JGHJ" localSheetId="27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jhjhjjhjh" localSheetId="27">'모델별 Mapping'!jhjhjhjjhjh</definedName>
    <definedName name="jhjhjhjjhjh">'모델별 Mapping'!jhjhjhjjhjh</definedName>
    <definedName name="JK" localSheetId="27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M" localSheetId="27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sk" localSheetId="27" hidden="1">{#N/A,#N/A,FALSE,"UNIT";#N/A,#N/A,FALSE,"UNIT";#N/A,#N/A,FALSE,"계정"}</definedName>
    <definedName name="jsk" hidden="1">{#N/A,#N/A,FALSE,"UNIT";#N/A,#N/A,FALSE,"UNIT";#N/A,#N/A,FALSE,"계정"}</definedName>
    <definedName name="JWG" localSheetId="27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ey" localSheetId="27" hidden="1">#REF!</definedName>
    <definedName name="key" hidden="1">#REF!</definedName>
    <definedName name="khhjguyftdy" localSheetId="27">'모델별 Mapping'!khhjguyftdy</definedName>
    <definedName name="khhjguyftdy">'모델별 Mapping'!khhjguyftdy</definedName>
    <definedName name="kjh" localSheetId="27">'모델별 Mapping'!kjh</definedName>
    <definedName name="kjh">'모델별 Mapping'!kjh</definedName>
    <definedName name="kjs" localSheetId="27" hidden="1">{#N/A,#N/A,FALSE,"UNIT";#N/A,#N/A,FALSE,"UNIT";#N/A,#N/A,FALSE,"계정"}</definedName>
    <definedName name="kjs" hidden="1">{#N/A,#N/A,FALSE,"UNIT";#N/A,#N/A,FALSE,"UNIT";#N/A,#N/A,FALSE,"계정"}</definedName>
    <definedName name="kkk" localSheetId="27">'모델별 Mapping'!kkk</definedName>
    <definedName name="kkk">'모델별 Mapping'!kkk</definedName>
    <definedName name="kkkk" localSheetId="27" hidden="1">{#N/A,#N/A,FALSE,"UNIT";#N/A,#N/A,FALSE,"UNIT";#N/A,#N/A,FALSE,"계정"}</definedName>
    <definedName name="kkkk" hidden="1">{#N/A,#N/A,FALSE,"UNIT";#N/A,#N/A,FALSE,"UNIT";#N/A,#N/A,FALSE,"계정"}</definedName>
    <definedName name="kkkkk" localSheetId="27" hidden="1">[19]날개벽수량표!#REF!</definedName>
    <definedName name="kkkkk" hidden="1">[19]날개벽수량표!#REF!</definedName>
    <definedName name="kkkkkkkkkkkkkkkkkkkkkkkkkk" localSheetId="27">'모델별 Mapping'!kkkkkkkkkkkkkkkkkkkkkkkkkk</definedName>
    <definedName name="kkkkkkkkkkkkkkkkkkkkkkkkkk">'모델별 Mapping'!kkkkkkkkkkkkkkkkkkkkkkkkkk</definedName>
    <definedName name="klkkk" localSheetId="27" hidden="1">[20]날개벽수량표!#REF!</definedName>
    <definedName name="klkkk" hidden="1">[20]날개벽수량표!#REF!</definedName>
    <definedName name="KSJ">[21]NCC!$B$135</definedName>
    <definedName name="KSL">[21]NCC!$B$144</definedName>
    <definedName name="KTY" localSheetId="27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7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DPE.7">[22]LDPE!$F$9:$H$12</definedName>
    <definedName name="LINE검토2" localSheetId="27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iolki9olkiol" localSheetId="27">'모델별 Mapping'!lkiolki9olkiol</definedName>
    <definedName name="lkiolki9olkiol">'모델별 Mapping'!lkiolki9olkiol</definedName>
    <definedName name="lkjgh" localSheetId="27">'모델별 Mapping'!lkjgh</definedName>
    <definedName name="lkjgh">'모델별 Mapping'!lkjgh</definedName>
    <definedName name="lkjhgfbnm" localSheetId="27">'모델별 Mapping'!lkjhgfbnm</definedName>
    <definedName name="lkjhgfbnm">'모델별 Mapping'!lkjhgfbnm</definedName>
    <definedName name="lkjhghfd" localSheetId="27">'모델별 Mapping'!lkjhghfd</definedName>
    <definedName name="lkjhghfd">'모델별 Mapping'!lkjhghfd</definedName>
    <definedName name="lkjhghyufy" localSheetId="27">'모델별 Mapping'!lkjhghyufy</definedName>
    <definedName name="lkjhghyufy">'모델별 Mapping'!lkjhghyufy</definedName>
    <definedName name="lkjkj" localSheetId="27">'모델별 Mapping'!lkjkj</definedName>
    <definedName name="lkjkj">'모델별 Mapping'!lkjkj</definedName>
    <definedName name="LKKLKKK" localSheetId="27">'모델별 Mapping'!LKKLKKK</definedName>
    <definedName name="LKKLKKK">'모델별 Mapping'!LKKLKKK</definedName>
    <definedName name="lkkllkkllkkl" localSheetId="27">'모델별 Mapping'!lkkllkkllkkl</definedName>
    <definedName name="lkkllkkllkkl">'모델별 Mapping'!lkkllkkllkkl</definedName>
    <definedName name="lklklklk" localSheetId="27">'모델별 Mapping'!lklklklk</definedName>
    <definedName name="lklklklk">'모델별 Mapping'!lklklklk</definedName>
    <definedName name="lll" localSheetId="27" hidden="1">{#N/A,#N/A,FALSE,"96매출보고현황"}</definedName>
    <definedName name="lll" hidden="1">{#N/A,#N/A,FALSE,"96매출보고현황"}</definedName>
    <definedName name="llll" localSheetId="27" hidden="1">{#N/A,#N/A,FALSE,"UNIT";#N/A,#N/A,FALSE,"UNIT";#N/A,#N/A,FALSE,"계정"}</definedName>
    <definedName name="llll" hidden="1">{#N/A,#N/A,FALSE,"UNIT";#N/A,#N/A,FALSE,"UNIT";#N/A,#N/A,FALSE,"계정"}</definedName>
    <definedName name="LLLLL" localSheetId="27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llllll" localSheetId="27">'모델별 Mapping'!lllllll</definedName>
    <definedName name="lllllll">'모델별 Mapping'!lllllll</definedName>
    <definedName name="LTG" localSheetId="27" hidden="1">{#N/A,#N/A,FALSE,"ENG'G(보호계전기)"}</definedName>
    <definedName name="LTG" hidden="1">{#N/A,#N/A,FALSE,"ENG'G(보호계전기)"}</definedName>
    <definedName name="LY" localSheetId="27" hidden="1">#REF!</definedName>
    <definedName name="LY" hidden="1">#REF!</definedName>
    <definedName name="Material">'[23]SG_Price Table_Total(대외비)'!$E$7:$P$30</definedName>
    <definedName name="MEG">[14]EG제!$J$36</definedName>
    <definedName name="MerrillPrintIt" hidden="1">[10]!MerrillPrintIt</definedName>
    <definedName name="MM" localSheetId="2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" localSheetId="27">'모델별 Mapping'!mmm</definedName>
    <definedName name="mmm">'모델별 Mapping'!mmm</definedName>
    <definedName name="mncvxjzshdffadsfcvdsfcs" localSheetId="27">'모델별 Mapping'!mncvxjzshdffadsfcvdsfcs</definedName>
    <definedName name="mncvxjzshdffadsfcvdsfcs">'모델별 Mapping'!mncvxjzshdffadsfcvdsfcs</definedName>
    <definedName name="Module1.매크로4">[24]!Module1.매크로4</definedName>
    <definedName name="Module1.매크로5">[24]!Module1.매크로5</definedName>
    <definedName name="Module1.매크로6">[24]!Module1.매크로6</definedName>
    <definedName name="Module1.매크로7">[24]!Module1.매크로7</definedName>
    <definedName name="NEW" localSheetId="27">'모델별 Mapping'!NEW</definedName>
    <definedName name="NEW">'모델별 Mapping'!NEW</definedName>
    <definedName name="NewRange" hidden="1">[10]!NewRange</definedName>
    <definedName name="NextTagButton_Click" localSheetId="27">'모델별 Mapping'!NextTagButton_Click</definedName>
    <definedName name="NextTagButton_Click">'모델별 Mapping'!NextTagButton_Click</definedName>
    <definedName name="nnn" localSheetId="27">'모델별 Mapping'!nnn</definedName>
    <definedName name="nnn">'모델별 Mapping'!nnn</definedName>
    <definedName name="NNNNNNN" localSheetId="27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27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G">[8]생산실적!$AM$57:$AM$69</definedName>
    <definedName name="oiioioi" localSheetId="27">'모델별 Mapping'!oiioioi</definedName>
    <definedName name="oiioioi">'모델별 Mapping'!oiioioi</definedName>
    <definedName name="OIIOIOIOI" localSheetId="27">'모델별 Mapping'!OIIOIOIOI</definedName>
    <definedName name="OIIOIOIOI">'모델별 Mapping'!OIIOIOIOI</definedName>
    <definedName name="ooo" localSheetId="27" hidden="1">{#N/A,#N/A,FALSE,"UNIT";#N/A,#N/A,FALSE,"UNIT";#N/A,#N/A,FALSE,"계정"}</definedName>
    <definedName name="ooo" hidden="1">{#N/A,#N/A,FALSE,"UNIT";#N/A,#N/A,FALSE,"UNIT";#N/A,#N/A,FALSE,"계정"}</definedName>
    <definedName name="P2예산" localSheetId="27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7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HD_GetRawData">[25]!PHD_GetRawData</definedName>
    <definedName name="PHD_ModData">[25]!PHD_ModData</definedName>
    <definedName name="PHD_RemData">[25]!PHD_RemData</definedName>
    <definedName name="PI" localSheetId="27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l_rev" localSheetId="27" hidden="1">{"FCB_ALL",#N/A,FALSE,"FCB"}</definedName>
    <definedName name="pl_rev" hidden="1">{"FCB_ALL",#N/A,FALSE,"FCB"}</definedName>
    <definedName name="poiuytrewq" localSheetId="27">'모델별 Mapping'!poiuytrewq</definedName>
    <definedName name="poiuytrewq">'모델별 Mapping'!poiuytrewq</definedName>
    <definedName name="poopop" localSheetId="27">'모델별 Mapping'!poopop</definedName>
    <definedName name="poopop">'모델별 Mapping'!poopop</definedName>
    <definedName name="ppf">Des!$C$10</definedName>
    <definedName name="PPK" localSheetId="27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27">'모델별 Mapping'!ppp</definedName>
    <definedName name="ppp">'모델별 Mapping'!ppp</definedName>
    <definedName name="PRAPR">[8]생산실적!$CA$12:$CA$69</definedName>
    <definedName name="PRAUG">[8]생산실적!$CF$12:$CF$69</definedName>
    <definedName name="PRDEC">[8]생산실적!$CJ$12:$CJ$69</definedName>
    <definedName name="PrevTagButton_Click" localSheetId="27">'모델별 Mapping'!PrevTagButton_Click</definedName>
    <definedName name="PrevTagButton_Click">'모델별 Mapping'!PrevTagButton_Click</definedName>
    <definedName name="PRFEB">[8]생산실적!$BY$12:$BY$69</definedName>
    <definedName name="Price_Won">[26]Price!$A$10:$P$53</definedName>
    <definedName name="_xlnm.Print_Area">#REF!</definedName>
    <definedName name="_xlnm.Print_Titles">#REF!</definedName>
    <definedName name="PRJAN">[8]생산실적!$BX$12:$BX$69</definedName>
    <definedName name="PRJUL">[8]생산실적!$CE$12:$CE$69</definedName>
    <definedName name="PRJUN">[8]생산실적!$CC$12:$CC$69</definedName>
    <definedName name="PRMAR">[8]생산실적!$BZ$12:$BZ$69</definedName>
    <definedName name="PRMAY">[8]생산실적!$CB$12:$CB$69</definedName>
    <definedName name="prnov">[8]생산실적!$CI$12:$CI$69</definedName>
    <definedName name="PROCT">[8]생산실적!$CH$12:$CH$69</definedName>
    <definedName name="PRSEP">[8]생산실적!$CG$12:$CG$69</definedName>
    <definedName name="PY" localSheetId="27">'모델별 Mapping'!PY</definedName>
    <definedName name="PY">'모델별 Mapping'!PY</definedName>
    <definedName name="q" localSheetId="27">'모델별 Mapping'!q</definedName>
    <definedName name="q">'모델별 Mapping'!q</definedName>
    <definedName name="qq" localSheetId="27">'모델별 Mapping'!qq</definedName>
    <definedName name="qq">'모델별 Mapping'!qq</definedName>
    <definedName name="qqq" localSheetId="27">'모델별 Mapping'!qqq</definedName>
    <definedName name="qqq">'모델별 Mapping'!qqq</definedName>
    <definedName name="qqqq" localSheetId="27">'모델별 Mapping'!qqqq</definedName>
    <definedName name="qqqq">'모델별 Mapping'!qqqq</definedName>
    <definedName name="QQQQQQ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WWWWWWW" localSheetId="27">'모델별 Mapping'!QQQQQQWWWWWWW</definedName>
    <definedName name="QQQQQQWWWWWWW">'모델별 Mapping'!QQQQQQWWWWWWW</definedName>
    <definedName name="Query1">#REF!</definedName>
    <definedName name="qw" localSheetId="27" hidden="1">{#N/A,#N/A,FALSE,"단가표지"}</definedName>
    <definedName name="qw" hidden="1">{#N/A,#N/A,FALSE,"단가표지"}</definedName>
    <definedName name="qwe" localSheetId="27">'모델별 Mapping'!qwe</definedName>
    <definedName name="qwe">'모델별 Mapping'!qwe</definedName>
    <definedName name="QWQW" localSheetId="27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R_COVER" localSheetId="27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te">[27]TOC!$I$13</definedName>
    <definedName name="RAW">[2]VIVENDI단가산정!$S$11</definedName>
    <definedName name="REAR" localSheetId="27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definePrintTableRange" hidden="1">[10]!RedefinePrintTableRange</definedName>
    <definedName name="RERER" localSheetId="27">'모델별 Mapping'!RERER</definedName>
    <definedName name="RERER">'모델별 Mapping'!RERER</definedName>
    <definedName name="RHD" localSheetId="27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o">[2]VIVENDI단가산정!$BL$11</definedName>
    <definedName name="ROTJSRHKWJD1" localSheetId="27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7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7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" localSheetId="27" hidden="1">{#N/A,#N/A,FALSE,"UNIT";#N/A,#N/A,FALSE,"UNIT";#N/A,#N/A,FALSE,"계정"}</definedName>
    <definedName name="rrrr" hidden="1">{#N/A,#N/A,FALSE,"UNIT";#N/A,#N/A,FALSE,"UNIT";#N/A,#N/A,FALSE,"계정"}</definedName>
    <definedName name="RVDXNJRDSXB" localSheetId="27" hidden="1">{#N/A,#N/A,FALSE,"A장";#N/A,#N/A,FALSE,"B장"}</definedName>
    <definedName name="RVDXNJRDSXB" hidden="1">{#N/A,#N/A,FALSE,"A장";#N/A,#N/A,FALSE,"B장"}</definedName>
    <definedName name="R경" localSheetId="27" hidden="1">{#N/A,#N/A,FALSE,"단축1";#N/A,#N/A,FALSE,"단축2";#N/A,#N/A,FALSE,"단축3";#N/A,#N/A,FALSE,"장축";#N/A,#N/A,FALSE,"4WD"}</definedName>
    <definedName name="R경" hidden="1">{#N/A,#N/A,FALSE,"단축1";#N/A,#N/A,FALSE,"단축2";#N/A,#N/A,FALSE,"단축3";#N/A,#N/A,FALSE,"장축";#N/A,#N/A,FALSE,"4WD"}</definedName>
    <definedName name="sdds" localSheetId="27">'모델별 Mapping'!sdds</definedName>
    <definedName name="sdds">'모델별 Mapping'!sdds</definedName>
    <definedName name="SDF" localSheetId="27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7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27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7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" localSheetId="27" hidden="1">{"'보고양식'!$A$58:$K$111"}</definedName>
    <definedName name="sds" hidden="1">{"'보고양식'!$A$58:$K$111"}</definedName>
    <definedName name="SDSD" localSheetId="27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7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S" localSheetId="27" hidden="1">#REF!</definedName>
    <definedName name="SES" hidden="1">#REF!</definedName>
    <definedName name="SFDGHG" localSheetId="27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7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7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27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2" localSheetId="27" hidden="1">{"'매출'!$A$1:$I$22"}</definedName>
    <definedName name="sheet2" hidden="1">{"'매출'!$A$1:$I$22"}</definedName>
    <definedName name="SIMGO" localSheetId="27" hidden="1">{#N/A,#N/A,FALSE,"96매출보고현황"}</definedName>
    <definedName name="SIMGO" hidden="1">{#N/A,#N/A,FALSE,"96매출보고현황"}</definedName>
    <definedName name="SK" localSheetId="27" hidden="1">#REF!</definedName>
    <definedName name="SK" hidden="1">#REF!</definedName>
    <definedName name="SPEC2" localSheetId="27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7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C">[2]VIVENDI단가산정!$GB$11</definedName>
    <definedName name="sss" localSheetId="27">'모델별 Mapping'!sss</definedName>
    <definedName name="sss">'모델별 Mapping'!sss</definedName>
    <definedName name="ssss" localSheetId="27" hidden="1">{#N/A,#N/A,FALSE,"UNIT";#N/A,#N/A,FALSE,"UNIT";#N/A,#N/A,FALSE,"계정"}</definedName>
    <definedName name="ssss" hidden="1">{#N/A,#N/A,FALSE,"UNIT";#N/A,#N/A,FALSE,"UNIT";#N/A,#N/A,FALSE,"계정"}</definedName>
    <definedName name="SUK" localSheetId="27" hidden="1">#REF!</definedName>
    <definedName name="SUK" hidden="1">#REF!</definedName>
    <definedName name="SUKHEE" localSheetId="27" hidden="1">#REF!</definedName>
    <definedName name="SUKHEE" hidden="1">#REF!</definedName>
    <definedName name="SUMMARY" localSheetId="27" hidden="1">#REF!</definedName>
    <definedName name="SUMMARY" hidden="1">#REF!</definedName>
    <definedName name="SUMMARYT" localSheetId="27" hidden="1">#REF!</definedName>
    <definedName name="SUMMARYT" hidden="1">#REF!</definedName>
    <definedName name="SW가능" localSheetId="27">'모델별 Mapping'!SW가능</definedName>
    <definedName name="SW가능">'모델별 Mapping'!SW가능</definedName>
    <definedName name="sw사용가능2" localSheetId="27">'모델별 Mapping'!sw사용가능2</definedName>
    <definedName name="sw사용가능2">'모델별 Mapping'!sw사용가능2</definedName>
    <definedName name="t" localSheetId="27" hidden="1">{#N/A,#N/A,FALSE,"UNIT";#N/A,#N/A,FALSE,"UNIT";#N/A,#N/A,FALSE,"계정"}</definedName>
    <definedName name="t" hidden="1">{#N/A,#N/A,FALSE,"UNIT";#N/A,#N/A,FALSE,"UNIT";#N/A,#N/A,FALSE,"계정"}</definedName>
    <definedName name="Tax_">[28]Tax!$C$4:$D$113</definedName>
    <definedName name="tax_1">0.11</definedName>
    <definedName name="tax_2">0.22</definedName>
    <definedName name="tax_3">0.242</definedName>
    <definedName name="TEG">[14]EG제!$J$38</definedName>
    <definedName name="TextRefCopyRangeCount" hidden="1">2</definedName>
    <definedName name="tg" localSheetId="27" hidden="1">#REF!</definedName>
    <definedName name="tg" hidden="1">#REF!</definedName>
    <definedName name="THEME2" localSheetId="27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ou">[4]Control!$E$59</definedName>
    <definedName name="TORSION" localSheetId="27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T" localSheetId="27" hidden="1">{#N/A,#N/A,FALSE,"UNIT";#N/A,#N/A,FALSE,"UNIT";#N/A,#N/A,FALSE,"계정"}</definedName>
    <definedName name="ttt">'모델별 Mapping'!TTT</definedName>
    <definedName name="TYRUI" localSheetId="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localSheetId="27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it" localSheetId="27">[18]Des!$C$13</definedName>
    <definedName name="unit">Des!$C$13</definedName>
    <definedName name="UT외합">[2]VIVENDI단가산정!$D$28:$D$34</definedName>
    <definedName name="vvv" localSheetId="27">'모델별 Mapping'!vvv</definedName>
    <definedName name="vvv">'모델별 Mapping'!vvv</definedName>
    <definedName name="vvvvvvvvvvvvvvvvvvvvvvvvvvvv" localSheetId="27">'모델별 Mapping'!vvvvvvvvvvvvvvvvvvvvvvvvvvvv</definedName>
    <definedName name="vvvvvvvvvvvvvvvvvvvvvvvvvvvv">'모델별 Mapping'!vvvvvvvvvvvvvvvvvvvvvvvvvvvv</definedName>
    <definedName name="wacc" localSheetId="27">[18]WACC!$P$44</definedName>
    <definedName name="wacc">WACC!$P$44</definedName>
    <definedName name="WEQ" localSheetId="27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7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27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kworhgk" localSheetId="27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m.조골재1" localSheetId="27" hidden="1">{#N/A,#N/A,FALSE,"조골재"}</definedName>
    <definedName name="wm.조골재1" hidden="1">{#N/A,#N/A,FALSE,"조골재"}</definedName>
    <definedName name="wnd" localSheetId="27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q" localSheetId="27" hidden="1">{#N/A,#N/A,FALSE,"UNIT";#N/A,#N/A,FALSE,"UNIT";#N/A,#N/A,FALSE,"계정"}</definedName>
    <definedName name="wq" hidden="1">{#N/A,#N/A,FALSE,"UNIT";#N/A,#N/A,FALSE,"UNIT";#N/A,#N/A,FALSE,"계정"}</definedName>
    <definedName name="wrn.0km." localSheetId="2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2번." localSheetId="27" hidden="1">{#N/A,#N/A,FALSE,"2~8번"}</definedName>
    <definedName name="wrn.2번." hidden="1">{#N/A,#N/A,FALSE,"2~8번"}</definedName>
    <definedName name="wrn.345." localSheetId="27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6매출." localSheetId="27" hidden="1">{#N/A,#N/A,FALSE,"96매출보고현황"}</definedName>
    <definedName name="wrn.96매출." hidden="1">{#N/A,#N/A,FALSE,"96매출보고현황"}</definedName>
    <definedName name="wrn.aa." localSheetId="27" hidden="1">{#N/A,#N/A,FALSE,"UNIT";#N/A,#N/A,FALSE,"UNIT";#N/A,#N/A,FALSE,"계정"}</definedName>
    <definedName name="wrn.aa." hidden="1">{#N/A,#N/A,FALSE,"UNIT";#N/A,#N/A,FALSE,"UNIT";#N/A,#N/A,FALSE,"계정"}</definedName>
    <definedName name="wrn.AG._.Kosten." localSheetId="27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7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7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7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A._.FS._.국문." localSheetId="27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eckblatt." localSheetId="27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FCB." localSheetId="27" hidden="1">{"FCB_ALL",#N/A,FALSE,"FCB"}</definedName>
    <definedName name="wrn.FCB." hidden="1">{"FCB_ALL",#N/A,FALSE,"FCB"}</definedName>
    <definedName name="wrn.fcb2" localSheetId="27" hidden="1">{"FCB_ALL",#N/A,FALSE,"FCB"}</definedName>
    <definedName name="wrn.fcb2" hidden="1">{"FCB_ALL",#N/A,FALSE,"FCB"}</definedName>
    <definedName name="wrn.ggausdr." localSheetId="2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2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7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7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27" hidden="1">{#N/A,#N/A,FALSE,"A장";#N/A,#N/A,FALSE,"B장"}</definedName>
    <definedName name="wrn.MEASURE." hidden="1">{#N/A,#N/A,FALSE,"A장";#N/A,#N/A,FALSE,"B장"}</definedName>
    <definedName name="wrn.STAND_ALONE_BOTH." localSheetId="27" hidden="1">{"FCB_ALL",#N/A,FALSE,"FCB";"GREY_ALL",#N/A,FALSE,"GREY"}</definedName>
    <definedName name="wrn.STAND_ALONE_BOTH." hidden="1">{"FCB_ALL",#N/A,FALSE,"FCB";"GREY_ALL",#N/A,FALSE,"GREY"}</definedName>
    <definedName name="wrn.Y차._.종합." localSheetId="27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각종보고서._.전체인쇄._.기본형." localSheetId="27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localSheetId="27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27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27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localSheetId="27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결산명세서." localSheetId="27" hidden="1">{#N/A,#N/A,TRUE,"현금명세서";#N/A,#N/A,TRUE,"예금명세";#N/A,#N/A,TRUE,"유가증권"}</definedName>
    <definedName name="wrn.결산명세서." hidden="1">{#N/A,#N/A,TRUE,"현금명세서";#N/A,#N/A,TRUE,"예금명세";#N/A,#N/A,TRUE,"유가증권"}</definedName>
    <definedName name="wrn.경비인쇄." localSheetId="27" hidden="1">{#N/A,#N/A,FALSE,"경비"}</definedName>
    <definedName name="wrn.경비인쇄." hidden="1">{#N/A,#N/A,FALSE,"경비"}</definedName>
    <definedName name="wrn.골재소요량." localSheetId="27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27" hidden="1">{#N/A,#N/A,FALSE,"구조2"}</definedName>
    <definedName name="wrn.구조2." hidden="1">{#N/A,#N/A,FALSE,"구조2"}</definedName>
    <definedName name="wrn.기타인쇄." localSheetId="27" hidden="1">{#N/A,#N/A,FALSE,"기타"}</definedName>
    <definedName name="wrn.기타인쇄." hidden="1">{#N/A,#N/A,FALSE,"기타"}</definedName>
    <definedName name="wrn.노무비인쇄." localSheetId="27" hidden="1">{#N/A,#N/A,FALSE,"노무비"}</definedName>
    <definedName name="wrn.노무비인쇄." hidden="1">{#N/A,#N/A,FALSE,"노무비"}</definedName>
    <definedName name="wrn.단가표지." localSheetId="27" hidden="1">{#N/A,#N/A,FALSE,"단가표지"}</definedName>
    <definedName name="wrn.단가표지." hidden="1">{#N/A,#N/A,FALSE,"단가표지"}</definedName>
    <definedName name="wrn.배수1." localSheetId="27" hidden="1">{#N/A,#N/A,FALSE,"배수1"}</definedName>
    <definedName name="wrn.배수1." hidden="1">{#N/A,#N/A,FALSE,"배수1"}</definedName>
    <definedName name="wrn.배수2." localSheetId="27" hidden="1">{#N/A,#N/A,FALSE,"배수2"}</definedName>
    <definedName name="wrn.배수2." hidden="1">{#N/A,#N/A,FALSE,"배수2"}</definedName>
    <definedName name="wrn.보호계전기." localSheetId="27" hidden="1">{#N/A,#N/A,FALSE,"ENG'G(보호계전기)"}</definedName>
    <definedName name="wrn.보호계전기." hidden="1">{#N/A,#N/A,FALSE,"ENG'G(보호계전기)"}</definedName>
    <definedName name="wrn.부대1." localSheetId="27" hidden="1">{#N/A,#N/A,FALSE,"부대1"}</definedName>
    <definedName name="wrn.부대1." hidden="1">{#N/A,#N/A,FALSE,"부대1"}</definedName>
    <definedName name="wrn.부대2." localSheetId="27" hidden="1">{#N/A,#N/A,FALSE,"부대2"}</definedName>
    <definedName name="wrn.부대2." hidden="1">{#N/A,#N/A,FALSE,"부대2"}</definedName>
    <definedName name="wrn.부문손익." localSheetId="27" hidden="1">{#N/A,#N/A,FALSE,"매출이익"}</definedName>
    <definedName name="wrn.부문손익." hidden="1">{#N/A,#N/A,FALSE,"매출이익"}</definedName>
    <definedName name="wrn.산출근거목록인쇄." localSheetId="27" hidden="1">{#N/A,#N/A,FALSE,"산출근거목록"}</definedName>
    <definedName name="wrn.산출근거목록인쇄." hidden="1">{#N/A,#N/A,FALSE,"산출근거목록"}</definedName>
    <definedName name="wrn.산출근거인쇄." localSheetId="27" hidden="1">{#N/A,#N/A,FALSE,"산출근거"}</definedName>
    <definedName name="wrn.산출근거인쇄." hidden="1">{#N/A,#N/A,FALSE,"산출근거"}</definedName>
    <definedName name="wrn.산출근거인쇄._.토개공변환." localSheetId="27" hidden="1">{#N/A,#N/A,FALSE,"산출근거변환"}</definedName>
    <definedName name="wrn.산출근거인쇄._.토개공변환." hidden="1">{#N/A,#N/A,FALSE,"산출근거변환"}</definedName>
    <definedName name="wrn.설계내역서인쇄." localSheetId="27" hidden="1">{#N/A,#N/A,FALSE,"설계내역서"}</definedName>
    <definedName name="wrn.설계내역서인쇄." hidden="1">{#N/A,#N/A,FALSE,"설계내역서"}</definedName>
    <definedName name="wrn.속도." localSheetId="27" hidden="1">{#N/A,#N/A,FALSE,"속도"}</definedName>
    <definedName name="wrn.속도." hidden="1">{#N/A,#N/A,FALSE,"속도"}</definedName>
    <definedName name="wrn.신규dep._.full._.set." localSheetId="27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반시간." localSheetId="27" hidden="1">{#N/A,#N/A,FALSE,"운반시간"}</definedName>
    <definedName name="wrn.운반시간." hidden="1">{#N/A,#N/A,FALSE,"운반시간"}</definedName>
    <definedName name="wrn.원가계산서인쇄." localSheetId="27" hidden="1">{#N/A,#N/A,FALSE,"원가계산서"}</definedName>
    <definedName name="wrn.원가계산서인쇄." hidden="1">{#N/A,#N/A,FALSE,"원가계산서"}</definedName>
    <definedName name="wrn.이정표." localSheetId="27" hidden="1">{#N/A,#N/A,FALSE,"이정표"}</definedName>
    <definedName name="wrn.이정표." hidden="1">{#N/A,#N/A,FALSE,"이정표"}</definedName>
    <definedName name="wrn.일위대가." localSheetId="27" hidden="1">{#N/A,#N/A,TRUE,"대가1"}</definedName>
    <definedName name="wrn.일위대가." hidden="1">{#N/A,#N/A,TRUE,"대가1"}</definedName>
    <definedName name="wrn.일위대가목록인쇄." localSheetId="27" hidden="1">{#N/A,#N/A,FALSE,"일위대가목록"}</definedName>
    <definedName name="wrn.일위대가목록인쇄." hidden="1">{#N/A,#N/A,FALSE,"일위대가목록"}</definedName>
    <definedName name="wrn.일위대가인쇄." localSheetId="27" hidden="1">{#N/A,#N/A,FALSE,"일위대가"}</definedName>
    <definedName name="wrn.일위대가인쇄." hidden="1">{#N/A,#N/A,FALSE,"일위대가"}</definedName>
    <definedName name="wrn.일위대가인쇄._.수자원변환." localSheetId="27" hidden="1">{#N/A,#N/A,FALSE,"일위대가변환"}</definedName>
    <definedName name="wrn.일위대가인쇄._.수자원변환." hidden="1">{#N/A,#N/A,FALSE,"일위대가변환"}</definedName>
    <definedName name="wrn.재료비인쇄." localSheetId="27" hidden="1">{#N/A,#N/A,FALSE,"재료비"}</definedName>
    <definedName name="wrn.재료비인쇄." hidden="1">{#N/A,#N/A,FALSE,"재료비"}</definedName>
    <definedName name="wrn.전부인쇄." localSheetId="27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골재." localSheetId="27" hidden="1">{#N/A,#N/A,FALSE,"조골재"}</definedName>
    <definedName name="wrn.조골재." hidden="1">{#N/A,#N/A,FALSE,"조골재"}</definedName>
    <definedName name="wrn.중기목록인쇄." localSheetId="27" hidden="1">{#N/A,#N/A,FALSE,"중기목록"}</definedName>
    <definedName name="wrn.중기목록인쇄." hidden="1">{#N/A,#N/A,FALSE,"중기목록"}</definedName>
    <definedName name="wrn.중기산출기초인쇄." localSheetId="27" hidden="1">{#N/A,#N/A,FALSE,"중기산출기초"}</definedName>
    <definedName name="wrn.중기산출기초인쇄." hidden="1">{#N/A,#N/A,FALSE,"중기산출기초"}</definedName>
    <definedName name="wrn.중기인쇄." localSheetId="27" hidden="1">{#N/A,#N/A,FALSE,"중기"}</definedName>
    <definedName name="wrn.중기인쇄." hidden="1">{#N/A,#N/A,FALSE,"중기"}</definedName>
    <definedName name="wrn.중기인쇄._.일반형변환." localSheetId="27" hidden="1">{#N/A,#N/A,FALSE,"중기변환"}</definedName>
    <definedName name="wrn.중기인쇄._.일반형변환." hidden="1">{#N/A,#N/A,FALSE,"중기변환"}</definedName>
    <definedName name="wrn.토공1." localSheetId="27" hidden="1">{#N/A,#N/A,FALSE,"구조1"}</definedName>
    <definedName name="wrn.토공1." hidden="1">{#N/A,#N/A,FALSE,"구조1"}</definedName>
    <definedName name="wrn.토공2." localSheetId="27" hidden="1">{#N/A,#N/A,FALSE,"토공2"}</definedName>
    <definedName name="wrn.토공2." hidden="1">{#N/A,#N/A,FALSE,"토공2"}</definedName>
    <definedName name="wrn.통신지." localSheetId="27" hidden="1">{#N/A,#N/A,FALSE,"기안지";#N/A,#N/A,FALSE,"통신지"}</definedName>
    <definedName name="wrn.통신지." hidden="1">{#N/A,#N/A,FALSE,"기안지";#N/A,#N/A,FALSE,"통신지"}</definedName>
    <definedName name="wrn.포장1." localSheetId="27" hidden="1">{#N/A,#N/A,FALSE,"포장1";#N/A,#N/A,FALSE,"포장1"}</definedName>
    <definedName name="wrn.포장1." hidden="1">{#N/A,#N/A,FALSE,"포장1";#N/A,#N/A,FALSE,"포장1"}</definedName>
    <definedName name="wrn.포장2." localSheetId="27" hidden="1">{#N/A,#N/A,FALSE,"포장2"}</definedName>
    <definedName name="wrn.포장2." hidden="1">{#N/A,#N/A,FALSE,"포장2"}</definedName>
    <definedName name="wrn.포장단가." localSheetId="27" hidden="1">{#N/A,#N/A,FALSE,"포장단가"}</definedName>
    <definedName name="wrn.포장단가." hidden="1">{#N/A,#N/A,FALSE,"포장단가"}</definedName>
    <definedName name="wrn.표지목차." localSheetId="27" hidden="1">{#N/A,#N/A,FALSE,"표지목차"}</definedName>
    <definedName name="wrn.표지목차." hidden="1">{#N/A,#N/A,FALSE,"표지목차"}</definedName>
    <definedName name="wrn.현대정공구매현황." localSheetId="27" hidden="1">{#N/A,#N/A,FALSE,"정공"}</definedName>
    <definedName name="wrn.현대정공구매현황." hidden="1">{#N/A,#N/A,FALSE,"정공"}</definedName>
    <definedName name="wrn.혼합골재." localSheetId="27" hidden="1">{#N/A,#N/A,FALSE,"혼합골재"}</definedName>
    <definedName name="wrn.혼합골재." hidden="1">{#N/A,#N/A,FALSE,"혼합골재"}</definedName>
    <definedName name="wvu.Komplett." localSheetId="2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7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27">'모델별 Mapping'!www</definedName>
    <definedName name="www">'모델별 Mapping'!www</definedName>
    <definedName name="WWW.SCREEN.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7" hidden="1">{#N/A,#N/A,FALSE,"UNIT";#N/A,#N/A,FALSE,"UNIT";#N/A,#N/A,FALSE,"계정"}</definedName>
    <definedName name="wwww">'모델별 Mapping'!wwww</definedName>
    <definedName name="WWWWWPPPPPPP" localSheetId="27">'모델별 Mapping'!WWWWWPPPPPPP</definedName>
    <definedName name="WWWWWPPPPPPP">'모델별 Mapping'!WWWWWPPPPPPP</definedName>
    <definedName name="WYU" localSheetId="27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개선" localSheetId="27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7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7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7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7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REF_COLUMN_1" localSheetId="27" hidden="1">#REF!</definedName>
    <definedName name="XREF_COLUMN_1" hidden="1">#REF!</definedName>
    <definedName name="XRefColumnsCount" hidden="1">1</definedName>
    <definedName name="XRefCopy2" localSheetId="27" hidden="1">#REF!</definedName>
    <definedName name="XRefCopy2" hidden="1">#REF!</definedName>
    <definedName name="XRefCopyRangeCount" hidden="1">2</definedName>
    <definedName name="XRefPasteRangeCount" hidden="1">1</definedName>
    <definedName name="xxxxxxxxxxxxxxxx" localSheetId="27">'모델별 Mapping'!xxxxxxxxxxxxxxxx</definedName>
    <definedName name="xxxxxxxxxxxxxxxx">'모델별 Mapping'!xxxxxxxxxxxxxxxx</definedName>
    <definedName name="Year">[4]Control!$A$59</definedName>
    <definedName name="ytty" localSheetId="27">'모델별 Mapping'!ytty</definedName>
    <definedName name="ytty">'모델별 Mapping'!ytty</definedName>
    <definedName name="yyy" localSheetId="27">'모델별 Mapping'!yyy</definedName>
    <definedName name="yyy">'모델별 Mapping'!yyy</definedName>
    <definedName name="zxcv" localSheetId="27">'모델별 Mapping'!zxcv</definedName>
    <definedName name="zxcv">'모델별 Mapping'!zxcv</definedName>
    <definedName name="zzz" localSheetId="27">'모델별 Mapping'!zzz</definedName>
    <definedName name="zzz">'모델별 Mapping'!zzz</definedName>
    <definedName name="zzzz" localSheetId="27">'모델별 Mapping'!zzzz</definedName>
    <definedName name="zzzz">'모델별 Mapping'!zzzz</definedName>
    <definedName name="zzzzzzzzzzzzzzz" localSheetId="27">'모델별 Mapping'!zzzzzzzzzzzzzzz</definedName>
    <definedName name="zzzzzzzzzzzzzzz">'모델별 Mapping'!zzzzzzzzzzzzzzz</definedName>
    <definedName name="ㄱㄷㅁㄱ" localSheetId="27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localSheetId="27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27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23" localSheetId="27" hidden="1">{"'분양원가'!$B$1:$F$113"}</definedName>
    <definedName name="가123" hidden="1">{"'분양원가'!$B$1:$F$113"}</definedName>
    <definedName name="가동" localSheetId="27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7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각방안" localSheetId="27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강" localSheetId="27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localSheetId="27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27" hidden="1">#REF!</definedName>
    <definedName name="개발시험종합" hidden="1">#REF!</definedName>
    <definedName name="개발일정수정" localSheetId="27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별인">[2]VIVENDI단가산정!$S$84:$HS$84</definedName>
    <definedName name="개별투">[2]VIVENDI단가산정!$S$72:$HS$72</definedName>
    <definedName name="개선" localSheetId="27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7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7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건물" localSheetId="27">'모델별 Mapping'!건물</definedName>
    <definedName name="건물">'모델별 Mapping'!건물</definedName>
    <definedName name="겉장" localSheetId="27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27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27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서1" localSheetId="27" hidden="1">{#N/A,#N/A,FALSE,"ENG'G(보호계전기)"}</definedName>
    <definedName name="견적서1" hidden="1">{#N/A,#N/A,FALSE,"ENG'G(보호계전기)"}</definedName>
    <definedName name="견적창고" localSheetId="27" hidden="1">{#N/A,#N/A,FALSE,"ENG'G(보호계전기)"}</definedName>
    <definedName name="견적창고" hidden="1">{#N/A,#N/A,FALSE,"ENG'G(보호계전기)"}</definedName>
    <definedName name="경">[2]VIVENDI단가산정!$G$41</definedName>
    <definedName name="경보율">#REF!</definedName>
    <definedName name="경합금2과운연계획" localSheetId="27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7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7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7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7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누계">[8]생산실적!$Y$12:$Y$69</definedName>
    <definedName name="계획누계금">[8]생산실적!$CO$12:$CO$69</definedName>
    <definedName name="계획당월">[8]생산실적!$AJ$12:$AJ$79</definedName>
    <definedName name="계획당월금">[8]생산실적!$CP$12:$CP$79</definedName>
    <definedName name="계획환율">[29]환율!$A$1</definedName>
    <definedName name="계획환율2">[30]환율!$A$2</definedName>
    <definedName name="계획환차">'[31]2002수출'!$G$207</definedName>
    <definedName name="고9707">[32]환율!$B$5</definedName>
    <definedName name="공" localSheetId="27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localSheetId="27" hidden="1">#REF!</definedName>
    <definedName name="공급자" hidden="1">#REF!</definedName>
    <definedName name="공미" localSheetId="27" hidden="1">{"'분양원가'!$B$1:$F$113"}</definedName>
    <definedName name="공미" hidden="1">{"'분양원가'!$B$1:$F$113"}</definedName>
    <definedName name="공사발주내역" localSheetId="27" hidden="1">#REF!</definedName>
    <definedName name="공사발주내역" hidden="1">#REF!</definedName>
    <definedName name="공성환" localSheetId="27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능력" localSheetId="27" hidden="1">{#N/A,#N/A,FALSE,"단축1";#N/A,#N/A,FALSE,"단축2";#N/A,#N/A,FALSE,"단축3";#N/A,#N/A,FALSE,"장축";#N/A,#N/A,FALSE,"4WD"}</definedName>
    <definedName name="공정능력" hidden="1">{#N/A,#N/A,FALSE,"단축1";#N/A,#N/A,FALSE,"단축2";#N/A,#N/A,FALSE,"단축3";#N/A,#N/A,FALSE,"장축";#N/A,#N/A,FALSE,"4WD"}</definedName>
    <definedName name="공통" localSheetId="27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7" hidden="1">#REF!</definedName>
    <definedName name="과거" hidden="1">#REF!</definedName>
    <definedName name="과거차" localSheetId="27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문제1" localSheetId="2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7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거차문제12" localSheetId="27" hidden="1">{#N/A,#N/A,FALSE,"단축1";#N/A,#N/A,FALSE,"단축2";#N/A,#N/A,FALSE,"단축3";#N/A,#N/A,FALSE,"장축";#N/A,#N/A,FALSE,"4WD"}</definedName>
    <definedName name="과거차문제12" hidden="1">{#N/A,#N/A,FALSE,"단축1";#N/A,#N/A,FALSE,"단축2";#N/A,#N/A,FALSE,"단축3";#N/A,#N/A,FALSE,"장축";#N/A,#N/A,FALSE,"4WD"}</definedName>
    <definedName name="과목코드">[33]코드!$F$4:$G$71</definedName>
    <definedName name="관리지표2" localSheetId="27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7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나눈" localSheetId="27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7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금월" localSheetId="27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기고">[2]VIVENDI단가산정!$G$42</definedName>
    <definedName name="기관명코드">[33]코드!$B$4:$C$412</definedName>
    <definedName name="기변합">[2]VIVENDI단가산정!$G$44</definedName>
    <definedName name="기아" localSheetId="27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준1">#REF!</definedName>
    <definedName name="김">[15]Sheet1!$V$25:$V$144</definedName>
    <definedName name="ㄴㄴ" hidden="1">[34]매출분석적검토!$D$20</definedName>
    <definedName name="ㄴㄴㄴ" hidden="1">[34]매출분석적검토!$E$1:$E$65536</definedName>
    <definedName name="ㄴㄹ" localSheetId="27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7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7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ㅇㅎㅇ롱로" localSheetId="27" hidden="1">#REF!</definedName>
    <definedName name="ㄴㅁㅇㅎㅇ롱로" hidden="1">#REF!</definedName>
    <definedName name="ㄴㅇ">[35]ECG!$A$1</definedName>
    <definedName name="ㄴㅇㄻㄴ" localSheetId="27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ㅋ" localSheetId="27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27" hidden="1">#REF!</definedName>
    <definedName name="나" hidden="1">#REF!</definedName>
    <definedName name="납품현황" localSheetId="27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내역2" localSheetId="27" hidden="1">{#N/A,#N/A,FALSE,"포장단가"}</definedName>
    <definedName name="내역2" hidden="1">{#N/A,#N/A,FALSE,"포장단가"}</definedName>
    <definedName name="노">[2]VIVENDI단가산정!$G$39</definedName>
    <definedName name="노단">[36]노단212!$C$4:$I$28</definedName>
    <definedName name="노임단가1">[37]노단212!$C$4:$I$28</definedName>
    <definedName name="노임단가2">[37]노단212!$C$4:$I$28</definedName>
    <definedName name="노임단가3">[37]노단212!$C$4:$I$28</definedName>
    <definedName name="ㄷㄱ" localSheetId="27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27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7" hidden="1">{#N/A,#N/A,FALSE,"UNIT";#N/A,#N/A,FALSE,"UNIT";#N/A,#N/A,FALSE,"계정"}</definedName>
    <definedName name="ㄷㄷㄷ" hidden="1">{#N/A,#N/A,FALSE,"UNIT";#N/A,#N/A,FALSE,"UNIT";#N/A,#N/A,FALSE,"계정"}</definedName>
    <definedName name="단가">[8]생산실적!$CJ$5</definedName>
    <definedName name="단가산" localSheetId="27" hidden="1">{#N/A,#N/A,FALSE,"기안지";#N/A,#N/A,FALSE,"통신지"}</definedName>
    <definedName name="단가산" hidden="1">{#N/A,#N/A,FALSE,"기안지";#N/A,#N/A,FALSE,"통신지"}</definedName>
    <definedName name="단가산출서" localSheetId="27" hidden="1">{#N/A,#N/A,FALSE,"포장단가"}</definedName>
    <definedName name="단가산출서" hidden="1">{#N/A,#N/A,FALSE,"포장단가"}</definedName>
    <definedName name="단가산출서3" localSheetId="27" hidden="1">{#N/A,#N/A,FALSE,"기안지";#N/A,#N/A,FALSE,"통신지"}</definedName>
    <definedName name="단가산출서3" hidden="1">{#N/A,#N/A,FALSE,"기안지";#N/A,#N/A,FALSE,"통신지"}</definedName>
    <definedName name="단기예치금5월" localSheetId="27" hidden="1">{"'분양원가'!$B$1:$F$113"}</definedName>
    <definedName name="단기예치금5월" hidden="1">{"'분양원가'!$B$1:$F$113"}</definedName>
    <definedName name="당계">[38]환율!$F$2</definedName>
    <definedName name="당실">[38]환율!$F$3</definedName>
    <definedName name="대부" localSheetId="27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27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덕신B" localSheetId="27" hidden="1">{#N/A,#N/A,FALSE,"포장단가"}</definedName>
    <definedName name="덕신B" hidden="1">{#N/A,#N/A,FALSE,"포장단가"}</definedName>
    <definedName name="도로공사신고" localSheetId="27" hidden="1">{#N/A,#N/A,FALSE,"기안지";#N/A,#N/A,FALSE,"통신지"}</definedName>
    <definedName name="도로공사신고" hidden="1">{#N/A,#N/A,FALSE,"기안지";#N/A,#N/A,FALSE,"통신지"}</definedName>
    <definedName name="도로반사경" localSheetId="27" hidden="1">{#N/A,#N/A,FALSE,"포장단가"}</definedName>
    <definedName name="도로반사경" hidden="1">{#N/A,#N/A,FALSE,"포장단가"}</definedName>
    <definedName name="ㄹㄹㄹ" localSheetId="27" hidden="1">#REF!</definedName>
    <definedName name="ㄹㄹㄹ" hidden="1">#REF!</definedName>
    <definedName name="ㄹㄹㄹ." localSheetId="27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ㅇ" localSheetId="27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ㅀ" localSheetId="27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7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어ㅓ럴" localSheetId="27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히" localSheetId="27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러시아" localSheetId="27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27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" localSheetId="27" hidden="1">#REF!</definedName>
    <definedName name="리" hidden="1">#REF!</definedName>
    <definedName name="리비아" localSheetId="27" hidden="1">#REF!</definedName>
    <definedName name="리비아" hidden="1">#REF!</definedName>
    <definedName name="리비아아" localSheetId="27" hidden="1">#REF!</definedName>
    <definedName name="리비아아" hidden="1">#REF!</definedName>
    <definedName name="ㅀㅇ" localSheetId="27" hidden="1">#REF!</definedName>
    <definedName name="ㅀㅇ" hidden="1">#REF!</definedName>
    <definedName name="ㅀㅎㄷㄹ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27" hidden="1">{#N/A,#N/A,FALSE,"UNIT";#N/A,#N/A,FALSE,"UNIT";#N/A,#N/A,FALSE,"계정"}</definedName>
    <definedName name="ㅁ" hidden="1">{#N/A,#N/A,FALSE,"UNIT";#N/A,#N/A,FALSE,"UNIT";#N/A,#N/A,FALSE,"계정"}</definedName>
    <definedName name="ㅁㄴㄻㄴㅇ" localSheetId="2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7">'모델별 Mapping'!ㅁㄴㅇ</definedName>
    <definedName name="ㅁㄴㅇ">'모델별 Mapping'!ㅁㄴㅇ</definedName>
    <definedName name="ㅁㄴㅇㄹ" localSheetId="2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7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7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7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ㄻㄹㄹ" localSheetId="27">'모델별 Mapping'!ㅁㄴㅇㅁㄻㄹㄹ</definedName>
    <definedName name="ㅁㄴㅇㅁㄻㄹㄹ">'모델별 Mapping'!ㅁㄴㅇㅁㄻㄹㄹ</definedName>
    <definedName name="ㅁㄹ" localSheetId="27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7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localSheetId="27">'모델별 Mapping'!ㅁㅁ</definedName>
    <definedName name="ㅁㅁ">'모델별 Mapping'!ㅁㅁ</definedName>
    <definedName name="ㅁㅁㅁ" localSheetId="27">'모델별 Mapping'!ㅁㅁㅁ</definedName>
    <definedName name="ㅁㅁㅁ">'모델별 Mapping'!ㅁㅁㅁ</definedName>
    <definedName name="ㅁㅁㅁㅁ" localSheetId="27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27" hidden="1">{#N/A,#N/A,FALSE,"UNIT";#N/A,#N/A,FALSE,"UNIT";#N/A,#N/A,FALSE,"계정"}</definedName>
    <definedName name="ㅁㅁㅁㅁㅁ" hidden="1">#REF!</definedName>
    <definedName name="ㅁㅇ" localSheetId="27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7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7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27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localSheetId="27" hidden="1">#REF!</definedName>
    <definedName name="ㅁㅈㅂㅈㅂ" hidden="1">#REF!</definedName>
    <definedName name="매출1" localSheetId="27">'모델별 Mapping'!매출1</definedName>
    <definedName name="매출1">'모델별 Mapping'!매출1</definedName>
    <definedName name="매출2" localSheetId="27">'모델별 Mapping'!매출2</definedName>
    <definedName name="매출2">'모델별 Mapping'!매출2</definedName>
    <definedName name="매출원" localSheetId="27">'모델별 Mapping'!매출원</definedName>
    <definedName name="매출원">'모델별 Mapping'!매출원</definedName>
    <definedName name="매출원6" localSheetId="27">'모델별 Mapping'!매출원6</definedName>
    <definedName name="매출원6">'모델별 Mapping'!매출원6</definedName>
    <definedName name="매출원가사본" localSheetId="27">'모델별 Mapping'!매출원가사본</definedName>
    <definedName name="매출원가사본">'모델별 Mapping'!매출원가사본</definedName>
    <definedName name="목차" localSheetId="27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몰라" localSheetId="27" hidden="1">[39]대구은행!#REF!</definedName>
    <definedName name="몰라" hidden="1">[39]대구은행!#REF!</definedName>
    <definedName name="몰라2" localSheetId="27" hidden="1">[39]대구은행!#REF!</definedName>
    <definedName name="몰라2" hidden="1">[39]대구은행!#REF!</definedName>
    <definedName name="몰라3" localSheetId="27" hidden="1">[39]대구은행!#REF!</definedName>
    <definedName name="몰라3" hidden="1">[39]대구은행!#REF!</definedName>
    <definedName name="무시비" localSheetId="27" hidden="1">{#N/A,#N/A,FALSE,"96매출보고현황"}</definedName>
    <definedName name="무시비" hidden="1">{#N/A,#N/A,FALSE,"96매출보고현황"}</definedName>
    <definedName name="무얼까" localSheetId="27" hidden="1">{"'분양원가'!$B$1:$F$113"}</definedName>
    <definedName name="무얼까" hidden="1">{"'분양원가'!$B$1:$F$113"}</definedName>
    <definedName name="문래동건물" localSheetId="27">'모델별 Mapping'!문래동건물</definedName>
    <definedName name="문래동건물">'모델별 Mapping'!문래동건물</definedName>
    <definedName name="물1">[40]UTMBPL!$S$55:$S$79</definedName>
    <definedName name="미지급" localSheetId="27" hidden="1">#REF!</definedName>
    <definedName name="미지급" hidden="1">#REF!</definedName>
    <definedName name="미지급금" localSheetId="27">'모델별 Mapping'!미지급금</definedName>
    <definedName name="미지급금">'모델별 Mapping'!미지급금</definedName>
    <definedName name="ㅂㅂ" localSheetId="27" hidden="1">#REF!</definedName>
    <definedName name="ㅂㅂ" hidden="1">#REF!</definedName>
    <definedName name="ㅂㅂㅂ" localSheetId="27">'모델별 Mapping'!ㅂㅂㅂ</definedName>
    <definedName name="ㅂㅂㅂ">'모델별 Mapping'!ㅂㅂㅂ</definedName>
    <definedName name="ㅂㅈㅈ" localSheetId="27" hidden="1">{#N/A,#N/A,FALSE,"기안지";#N/A,#N/A,FALSE,"통신지"}</definedName>
    <definedName name="ㅂㅈㅈ" hidden="1">{#N/A,#N/A,FALSE,"기안지";#N/A,#N/A,FALSE,"통신지"}</definedName>
    <definedName name="바도" localSheetId="27" hidden="1">{"'분양원가'!$B$1:$F$113"}</definedName>
    <definedName name="바도" hidden="1">{"'분양원가'!$B$1:$F$113"}</definedName>
    <definedName name="바로가기" localSheetId="27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박" localSheetId="27" hidden="1">{"'분양원가'!$B$1:$F$113"}</definedName>
    <definedName name="박" hidden="1">{"'분양원가'!$B$1:$F$113"}</definedName>
    <definedName name="박지호" localSheetId="27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배수" localSheetId="27" hidden="1">#REF!</definedName>
    <definedName name="배수" hidden="1">#REF!</definedName>
    <definedName name="변경목차" localSheetId="27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보호" localSheetId="27" hidden="1">{#N/A,#N/A,FALSE,"ENG'G(보호계전기)"}</definedName>
    <definedName name="보호" hidden="1">{#N/A,#N/A,FALSE,"ENG'G(보호계전기)"}</definedName>
    <definedName name="볼트수정" localSheetId="27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27" hidden="1">[7]수정시산표!#REF!</definedName>
    <definedName name="부속" hidden="1">[7]수정시산표!#REF!</definedName>
    <definedName name="비" localSheetId="27" hidden="1">{#N/A,#N/A,FALSE,"96매출보고현황"}</definedName>
    <definedName name="비" hidden="1">{#N/A,#N/A,FALSE,"96매출보고현황"}</definedName>
    <definedName name="비용계정별" localSheetId="27" hidden="1">{#N/A,#N/A,FALSE,"UNIT";#N/A,#N/A,FALSE,"UNIT";#N/A,#N/A,FALSE,"계정"}</definedName>
    <definedName name="비용계정별" hidden="1">{#N/A,#N/A,FALSE,"UNIT";#N/A,#N/A,FALSE,"UNIT";#N/A,#N/A,FALSE,"계정"}</definedName>
    <definedName name="사양" localSheetId="27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7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7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마루현황" localSheetId="27" hidden="1">[41]배수공!#REF!</definedName>
    <definedName name="삼마루현황" hidden="1">[41]배수공!#REF!</definedName>
    <definedName name="삼성" localSheetId="27" hidden="1">{#N/A,#N/A,FALSE,"정공"}</definedName>
    <definedName name="삼성" hidden="1">{#N/A,#N/A,FALSE,"정공"}</definedName>
    <definedName name="상품" localSheetId="27" hidden="1">#REF!</definedName>
    <definedName name="상품" hidden="1">#REF!</definedName>
    <definedName name="상환" localSheetId="27" hidden="1">{"'매출'!$A$1:$I$22"}</definedName>
    <definedName name="상환" hidden="1">{"'매출'!$A$1:$I$22"}</definedName>
    <definedName name="상환능력분석" localSheetId="27" hidden="1">{"'매출'!$A$1:$I$22"}</definedName>
    <definedName name="상환능력분석" hidden="1">{"'매출'!$A$1:$I$22"}</definedName>
    <definedName name="새세" localSheetId="27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산TON" localSheetId="27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석희" localSheetId="27" hidden="1">#REF!</definedName>
    <definedName name="석희" hidden="1">#REF!</definedName>
    <definedName name="설계FMEA" localSheetId="27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localSheetId="27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7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치누계" localSheetId="27">'모델별 Mapping'!설치누계</definedName>
    <definedName name="설치누계">'모델별 Mapping'!설치누계</definedName>
    <definedName name="세부생산계획" localSheetId="27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셀리카" localSheetId="27" hidden="1">#REF!</definedName>
    <definedName name="셀리카" hidden="1">#REF!</definedName>
    <definedName name="소뮨" localSheetId="27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27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손익3" localSheetId="27" hidden="1">{#N/A,#N/A,FALSE,"UNIT";#N/A,#N/A,FALSE,"UNIT";#N/A,#N/A,FALSE,"계정"}</definedName>
    <definedName name="손익3" hidden="1">{#N/A,#N/A,FALSE,"UNIT";#N/A,#N/A,FALSE,"UNIT";#N/A,#N/A,FALSE,"계정"}</definedName>
    <definedName name="손익계산서" localSheetId="27">'모델별 Mapping'!손익계산서</definedName>
    <definedName name="손익계산서">'모델별 Mapping'!손익계산서</definedName>
    <definedName name="송" localSheetId="27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7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7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량산출서2" localSheetId="27" hidden="1">{#N/A,#N/A,FALSE,"기안지";#N/A,#N/A,FALSE,"통신지"}</definedName>
    <definedName name="수량산출서2" hidden="1">{#N/A,#N/A,FALSE,"기안지";#N/A,#N/A,FALSE,"통신지"}</definedName>
    <definedName name="수량산출서new" localSheetId="27" hidden="1">{#N/A,#N/A,FALSE,"기안지";#N/A,#N/A,FALSE,"통신지"}</definedName>
    <definedName name="수량산출서new" hidden="1">{#N/A,#N/A,FALSE,"기안지";#N/A,#N/A,FALSE,"통신지"}</definedName>
    <definedName name="수정" localSheetId="27" hidden="1">#REF!</definedName>
    <definedName name="수정" hidden="1">#REF!</definedName>
    <definedName name="시간" localSheetId="27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험일정p2" localSheetId="27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localSheetId="27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27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차품질일정" localSheetId="27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4월" localSheetId="27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27" hidden="1">{#N/A,#N/A,FALSE,"UNIT";#N/A,#N/A,FALSE,"UNIT";#N/A,#N/A,FALSE,"계정"}</definedName>
    <definedName name="실적6월" hidden="1">{#N/A,#N/A,FALSE,"UNIT";#N/A,#N/A,FALSE,"UNIT";#N/A,#N/A,FALSE,"계정"}</definedName>
    <definedName name="실적누계">[8]생산실적!$BH$12:$BH$69</definedName>
    <definedName name="실적누계금">[8]생산실적!$CT$12:$CT$69</definedName>
    <definedName name="실적당월">[8]생산실적!$BS$12:$BS$79</definedName>
    <definedName name="실적당월금">[8]생산실적!$CS$12:$CS$79</definedName>
    <definedName name="실적전월">[8]생산실적!$BR$12:$BR$79</definedName>
    <definedName name="실적전월금">[8]생산실적!$CR$12:$CR$71</definedName>
    <definedName name="실적집계" localSheetId="27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localSheetId="27" hidden="1">[42]기계!#REF!</definedName>
    <definedName name="ㅇ" hidden="1">[42]기계!#REF!</definedName>
    <definedName name="ㅇㄹ" localSheetId="27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27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7" hidden="1">#REF!</definedName>
    <definedName name="ㅇㄹㄹ" hidden="1">#REF!</definedName>
    <definedName name="ㅇ롱" localSheetId="27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7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7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" localSheetId="27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7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호" localSheetId="27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27" hidden="1">{#N/A,#N/A,FALSE,"UNIT";#N/A,#N/A,FALSE,"UNIT";#N/A,#N/A,FALSE,"계정"}</definedName>
    <definedName name="ㅇㅇ" hidden="1">{#N/A,#N/A,FALSE,"UNIT";#N/A,#N/A,FALSE,"UNIT";#N/A,#N/A,FALSE,"계정"}</definedName>
    <definedName name="ㅇㅇㅇ" localSheetId="27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ㅇㅇㅇㅇ" localSheetId="27" hidden="1">{#N/A,#N/A,FALSE,"단축1";#N/A,#N/A,FALSE,"단축2";#N/A,#N/A,FALSE,"단축3";#N/A,#N/A,FALSE,"장축";#N/A,#N/A,FALSE,"4WD"}</definedName>
    <definedName name="ㅇㅇㅇㅇㅇㅇㅇㅇ" hidden="1">{#N/A,#N/A,FALSE,"단축1";#N/A,#N/A,FALSE,"단축2";#N/A,#N/A,FALSE,"단축3";#N/A,#N/A,FALSE,"장축";#N/A,#N/A,FALSE,"4WD"}</definedName>
    <definedName name="ㅇㅎㄹ" localSheetId="27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localSheetId="27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암거" localSheetId="27" hidden="1">#REF!</definedName>
    <definedName name="암거" hidden="1">#REF!</definedName>
    <definedName name="암거날개벽" localSheetId="27" hidden="1">[43]덕전리!#REF!</definedName>
    <definedName name="암거날개벽" hidden="1">[43]덕전리!#REF!</definedName>
    <definedName name="양식" localSheetId="27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27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업체카파" localSheetId="27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에이" localSheetId="27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에틸">[14]NCC제!$J$54</definedName>
    <definedName name="엔계">[14]NCC제!$J$58</definedName>
    <definedName name="예치보증" localSheetId="27" hidden="1">{"'분양원가'!$B$1:$F$113"}</definedName>
    <definedName name="예치보증" hidden="1">{"'분양원가'!$B$1:$F$113"}</definedName>
    <definedName name="예치보증금" localSheetId="27" hidden="1">{"'분양원가'!$B$1:$F$113"}</definedName>
    <definedName name="예치보증금" hidden="1">{"'분양원가'!$B$1:$F$113"}</definedName>
    <definedName name="오" localSheetId="27" hidden="1">{#N/A,#N/A,FALSE,"UNIT";#N/A,#N/A,FALSE,"UNIT";#N/A,#N/A,FALSE,"계정"}</definedName>
    <definedName name="오" hidden="1">{#N/A,#N/A,FALSE,"단축1";#N/A,#N/A,FALSE,"단축2";#N/A,#N/A,FALSE,"단축3";#N/A,#N/A,FALSE,"장축";#N/A,#N/A,FALSE,"4WD"}</definedName>
    <definedName name="오." localSheetId="27" hidden="1">{#N/A,#N/A,FALSE,"UNIT";#N/A,#N/A,FALSE,"UNIT";#N/A,#N/A,FALSE,"계정"}</definedName>
    <definedName name="오." hidden="1">{#N/A,#N/A,FALSE,"UNIT";#N/A,#N/A,FALSE,"UNIT";#N/A,#N/A,FALSE,"계정"}</definedName>
    <definedName name="오.." localSheetId="27" hidden="1">{#N/A,#N/A,FALSE,"UNIT";#N/A,#N/A,FALSE,"UNIT";#N/A,#N/A,FALSE,"계정"}</definedName>
    <definedName name="오.." hidden="1">{#N/A,#N/A,FALSE,"UNIT";#N/A,#N/A,FALSE,"UNIT";#N/A,#N/A,FALSE,"계정"}</definedName>
    <definedName name="오성협" localSheetId="27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옹벽단위" localSheetId="27" hidden="1">[44]날개벽수량표!#REF!</definedName>
    <definedName name="옹벽단위" hidden="1">[44]날개벽수량표!#REF!</definedName>
    <definedName name="완성주택현황" localSheetId="27" hidden="1">[45]대구은행!#REF!</definedName>
    <definedName name="완성주택현황" hidden="1">[45]대구은행!#REF!</definedName>
    <definedName name="외UT합">[2]VIVENDI단가산정!$D$28:$D$34</definedName>
    <definedName name="외경" localSheetId="27" hidden="1">{#N/A,#N/A,FALSE,"단축1";#N/A,#N/A,FALSE,"단축2";#N/A,#N/A,FALSE,"단축3";#N/A,#N/A,FALSE,"장축";#N/A,#N/A,FALSE,"4WD"}</definedName>
    <definedName name="외경" hidden="1">{#N/A,#N/A,FALSE,"단축1";#N/A,#N/A,FALSE,"단축2";#N/A,#N/A,FALSE,"단축3";#N/A,#N/A,FALSE,"장축";#N/A,#N/A,FALSE,"4WD"}</definedName>
    <definedName name="외상매출연령" localSheetId="27" hidden="1">{#N/A,#N/A,FALSE,"96매출보고현황"}</definedName>
    <definedName name="외상매출연령" hidden="1">{#N/A,#N/A,FALSE,"96매출보고현황"}</definedName>
    <definedName name="외주계획" localSheetId="27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27" hidden="1">#REF!</definedName>
    <definedName name="요약" hidden="1">#REF!</definedName>
    <definedName name="용역" localSheetId="27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운반비9" localSheetId="27">'모델별 Mapping'!운반비9</definedName>
    <definedName name="운반비9">'모델별 Mapping'!운반비9</definedName>
    <definedName name="운영1" localSheetId="27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구도2" localSheetId="27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27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웅" localSheetId="27">'모델별 Mapping'!웅</definedName>
    <definedName name="웅">'모델별 Mapping'!웅</definedName>
    <definedName name="원단운영안" localSheetId="27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월">[46]AN43!$E$10</definedName>
    <definedName name="유가증권" localSheetId="27">'모델별 Mapping'!유가증권</definedName>
    <definedName name="유가증권">'모델별 Mapping'!유가증권</definedName>
    <definedName name="유사차" localSheetId="27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자산" localSheetId="27" hidden="1">[42]비품!#REF!</definedName>
    <definedName name="유형자산" hidden="1">[42]비품!#REF!</definedName>
    <definedName name="이근한" localSheetId="27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재범" localSheetId="27" hidden="1">{"'분양원가'!$B$1:$F$113"}</definedName>
    <definedName name="이재범" hidden="1">{"'분양원가'!$B$1:$F$113"}</definedName>
    <definedName name="이천삼환율">'[47]2000수출'!$G$222</definedName>
    <definedName name="이천삼환차">'[47]2000수출'!$G$223</definedName>
    <definedName name="이천이환차">'[47]2002수출'!$F$206</definedName>
    <definedName name="이천일환차">'[47]2000수출'!$G$224</definedName>
    <definedName name="이혁준" localSheetId="27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익월계">[48]환율!$B$4</definedName>
    <definedName name="일수">[2]VIVENDI단가산정!$B$104</definedName>
    <definedName name="일위" localSheetId="27" hidden="1">{#N/A,#N/A,TRUE,"대가1"}</definedName>
    <definedName name="일위" hidden="1">{#N/A,#N/A,TRUE,"대가1"}</definedName>
    <definedName name="임차" localSheetId="27" hidden="1">{"'분양원가'!$B$1:$F$113"}</definedName>
    <definedName name="임차" hidden="1">{"'분양원가'!$B$1:$F$113"}</definedName>
    <definedName name="임차2" localSheetId="27" hidden="1">{"'분양원가'!$B$1:$F$113"}</definedName>
    <definedName name="임차2" hidden="1">{"'분양원가'!$B$1:$F$113"}</definedName>
    <definedName name="ㅈㄴㄴ" localSheetId="27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ㄹ" localSheetId="27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ㅂㅈㄷ" localSheetId="27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" localSheetId="27" hidden="1">{#N/A,#N/A,FALSE,"UNIT";#N/A,#N/A,FALSE,"UNIT";#N/A,#N/A,FALSE,"계정"}</definedName>
    <definedName name="자" hidden="1">{#N/A,#N/A,FALSE,"UNIT";#N/A,#N/A,FALSE,"UNIT";#N/A,#N/A,FALSE,"계정"}</definedName>
    <definedName name="자." localSheetId="27" hidden="1">{#N/A,#N/A,FALSE,"UNIT";#N/A,#N/A,FALSE,"UNIT";#N/A,#N/A,FALSE,"계정"}</definedName>
    <definedName name="자." hidden="1">{#N/A,#N/A,FALSE,"UNIT";#N/A,#N/A,FALSE,"UNIT";#N/A,#N/A,FALSE,"계정"}</definedName>
    <definedName name="자.." localSheetId="27" hidden="1">{#N/A,#N/A,FALSE,"UNIT";#N/A,#N/A,FALSE,"UNIT";#N/A,#N/A,FALSE,"계정"}</definedName>
    <definedName name="자.." hidden="1">{#N/A,#N/A,FALSE,"UNIT";#N/A,#N/A,FALSE,"UNIT";#N/A,#N/A,FALSE,"계정"}</definedName>
    <definedName name="자료1" localSheetId="27">'모델별 Mapping'!자료1</definedName>
    <definedName name="자료1">'모델별 Mapping'!자료1</definedName>
    <definedName name="자료2" localSheetId="27">'모델별 Mapping'!자료2</definedName>
    <definedName name="자료2">'모델별 Mapping'!자료2</definedName>
    <definedName name="자재기준" localSheetId="27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자산" localSheetId="27" hidden="1">{"'분양원가'!$B$1:$F$113"}</definedName>
    <definedName name="재고자산" hidden="1">{"'분양원가'!$B$1:$F$113"}</definedName>
    <definedName name="재고자산이자최종" localSheetId="27" hidden="1">{"'분양원가'!$B$1:$F$113"}</definedName>
    <definedName name="재고자산이자최종" hidden="1">{"'분양원가'!$B$1:$F$113"}</definedName>
    <definedName name="저장품" localSheetId="27" hidden="1">{"'분양원가'!$B$1:$F$113"}</definedName>
    <definedName name="저장품" hidden="1">{"'분양원가'!$B$1:$F$113"}</definedName>
    <definedName name="저저" localSheetId="27" hidden="1">{#N/A,#N/A,FALSE,"UNIT";#N/A,#N/A,FALSE,"UNIT";#N/A,#N/A,FALSE,"계정"}</definedName>
    <definedName name="저저" hidden="1">{#N/A,#N/A,FALSE,"UNIT";#N/A,#N/A,FALSE,"UNIT";#N/A,#N/A,FALSE,"계정"}</definedName>
    <definedName name="전개계획" localSheetId="27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7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7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7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년6월">[49]환율!$B$3</definedName>
    <definedName name="전년고무동월">[49]환율!$B$3</definedName>
    <definedName name="전년동월">[49]환율!$B$3</definedName>
    <definedName name="전체1" localSheetId="27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7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7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localSheetId="27" hidden="1">{#N/A,#N/A,FALSE,"UNIT";#N/A,#N/A,FALSE,"UNIT";#N/A,#N/A,FALSE,"계정"}</definedName>
    <definedName name="정" hidden="1">{#N/A,#N/A,FALSE,"UNIT";#N/A,#N/A,FALSE,"UNIT";#N/A,#N/A,FALSE,"계정"}</definedName>
    <definedName name="정문" localSheetId="27" hidden="1">{#N/A,#N/A,FALSE,"UNIT";#N/A,#N/A,FALSE,"UNIT";#N/A,#N/A,FALSE,"계정"}</definedName>
    <definedName name="정문" hidden="1">{#N/A,#N/A,FALSE,"UNIT";#N/A,#N/A,FALSE,"UNIT";#N/A,#N/A,FALSE,"계정"}</definedName>
    <definedName name="정문식" localSheetId="27" hidden="1">{#N/A,#N/A,FALSE,"UNIT";#N/A,#N/A,FALSE,"UNIT";#N/A,#N/A,FALSE,"계정"}</definedName>
    <definedName name="정문식" hidden="1">{#N/A,#N/A,FALSE,"UNIT";#N/A,#N/A,FALSE,"UNIT";#N/A,#N/A,FALSE,"계정"}</definedName>
    <definedName name="정석희" localSheetId="27" hidden="1">#REF!</definedName>
    <definedName name="정석희" hidden="1">#REF!</definedName>
    <definedName name="조정" localSheetId="27" hidden="1">#REF!</definedName>
    <definedName name="조정" hidden="1">#REF!</definedName>
    <definedName name="조회액">[50]controll!$A$6:$J$55</definedName>
    <definedName name="종" localSheetId="27" hidden="1">#REF!</definedName>
    <definedName name="종" hidden="1">#REF!</definedName>
    <definedName name="종합그래프" localSheetId="27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7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localSheetId="27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7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7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7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차계획" localSheetId="27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27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27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" localSheetId="27" hidden="1">{#N/A,#N/A,FALSE,"속도"}</definedName>
    <definedName name="증감" hidden="1">{#N/A,#N/A,FALSE,"속도"}</definedName>
    <definedName name="증빙" localSheetId="27">'모델별 Mapping'!증빙</definedName>
    <definedName name="증빙">'모델별 Mapping'!증빙</definedName>
    <definedName name="지장문" localSheetId="27" hidden="1">{#N/A,#N/A,FALSE,"기안지";#N/A,#N/A,FALSE,"통신지"}</definedName>
    <definedName name="지장문" hidden="1">{#N/A,#N/A,FALSE,"기안지";#N/A,#N/A,FALSE,"통신지"}</definedName>
    <definedName name="지태면" localSheetId="27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7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짜현금작성조서" localSheetId="27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집수정" localSheetId="27" hidden="1">#REF!</definedName>
    <definedName name="집수정" hidden="1">#REF!</definedName>
    <definedName name="ㅉ" localSheetId="27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ㅊㅊ1" localSheetId="27">'모델별 Mapping'!ㅊㅊㅊ1</definedName>
    <definedName name="ㅊㅊㅊ1">'모델별 Mapping'!ㅊㅊㅊ1</definedName>
    <definedName name="ㅊㅊㅊㅊㅊ" localSheetId="27">'모델별 Mapping'!ㅊㅊㅊㅊㅊ</definedName>
    <definedName name="ㅊㅊㅊㅊㅊ">'모델별 Mapping'!ㅊㅊㅊㅊㅊ</definedName>
    <definedName name="차." localSheetId="27" hidden="1">{#N/A,#N/A,FALSE,"UNIT";#N/A,#N/A,FALSE,"UNIT";#N/A,#N/A,FALSE,"계정"}</definedName>
    <definedName name="차." hidden="1">{#N/A,#N/A,FALSE,"UNIT";#N/A,#N/A,FALSE,"UNIT";#N/A,#N/A,FALSE,"계정"}</definedName>
    <definedName name="차량SVC" localSheetId="27" hidden="1">{#N/A,#N/A,FALSE,"UNIT";#N/A,#N/A,FALSE,"UNIT";#N/A,#N/A,FALSE,"계정"}</definedName>
    <definedName name="차량SVC" hidden="1">{#N/A,#N/A,FALSE,"UNIT";#N/A,#N/A,FALSE,"UNIT";#N/A,#N/A,FALSE,"계정"}</definedName>
    <definedName name="차량등기초" localSheetId="27" hidden="1">{#N/A,#N/A,FALSE,"포장단가"}</definedName>
    <definedName name="차량등기초" hidden="1">{#N/A,#N/A,FALSE,"포장단가"}</definedName>
    <definedName name="차입명세" localSheetId="27" hidden="1">{"'분양원가'!$B$1:$F$113"}</definedName>
    <definedName name="차입명세" hidden="1">{"'분양원가'!$B$1:$F$113"}</definedName>
    <definedName name="참고2" localSheetId="27" hidden="1">[51]현장!#REF!</definedName>
    <definedName name="참고2" hidden="1">[51]현장!#REF!</definedName>
    <definedName name="참조" localSheetId="27" hidden="1">{#N/A,#N/A,FALSE,"기안지";#N/A,#N/A,FALSE,"통신지"}</definedName>
    <definedName name="참조" hidden="1">{#N/A,#N/A,FALSE,"기안지";#N/A,#N/A,FALSE,"통신지"}</definedName>
    <definedName name="총인">[2]VIVENDI단가산정!$G$84</definedName>
    <definedName name="총투">[2]VIVENDI단가산정!$G$72</definedName>
    <definedName name="최법식" localSheetId="27" hidden="1">{#N/A,#N/A,FALSE,"ENG'G(보호계전기)"}</definedName>
    <definedName name="최법식" hidden="1">{#N/A,#N/A,FALSE,"ENG'G(보호계전기)"}</definedName>
    <definedName name="최영" localSheetId="27" hidden="1">{#N/A,#N/A,FALSE,"정공"}</definedName>
    <definedName name="최영" hidden="1">{#N/A,#N/A,FALSE,"정공"}</definedName>
    <definedName name="추가CR">[52]cr2000분석!$A$1:$S$193</definedName>
    <definedName name="추정_기업체" localSheetId="27" hidden="1">{"'매출'!$A$1:$I$22"}</definedName>
    <definedName name="추정_기업체" hidden="1">{"'매출'!$A$1:$I$22"}</definedName>
    <definedName name="ㅋㅇㅍ" localSheetId="27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7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7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7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ㅋㅌㅊ퓨" localSheetId="27">'모델별 Mapping'!ㅋㅌㅊ퓨</definedName>
    <definedName name="ㅋㅌㅊ퓨">'모델별 Mapping'!ㅋㅌㅊ퓨</definedName>
    <definedName name="켐수량">[2]VIVENDI단가산정!$B$115</definedName>
    <definedName name="켐합">[2]VIVENDI단가산정!$G$17</definedName>
    <definedName name="크랑" localSheetId="27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ㅌ" localSheetId="27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ㅌ" localSheetId="27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27">'모델별 Mapping'!ㅌㅌㅌ</definedName>
    <definedName name="ㅌㅌㅌ">'모델별 Mapping'!ㅌㅌㅌ</definedName>
    <definedName name="ㅌㅌㅌㅌ" localSheetId="27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토목설계" localSheetId="27" hidden="1">{#N/A,#N/A,FALSE,"골재소요량";#N/A,#N/A,FALSE,"골재소요량"}</definedName>
    <definedName name="토목설계" hidden="1">{#N/A,#N/A,FALSE,"골재소요량";#N/A,#N/A,FALSE,"골재소요량"}</definedName>
    <definedName name="토적" localSheetId="27" hidden="1">#REF!</definedName>
    <definedName name="토적" hidden="1">#REF!</definedName>
    <definedName name="토적표" localSheetId="27" hidden="1">#REF!</definedName>
    <definedName name="토적표" hidden="1">#REF!</definedName>
    <definedName name="토적표01" localSheetId="27" hidden="1">#REF!</definedName>
    <definedName name="토적표01" hidden="1">#REF!</definedName>
    <definedName name="통합1장" localSheetId="27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퇴" localSheetId="27" hidden="1">{#N/A,#N/A,FALSE,"96매출보고현황"}</definedName>
    <definedName name="퇴" hidden="1">{#N/A,#N/A,FALSE,"96매출보고현황"}</definedName>
    <definedName name="퇴직2" localSheetId="27" hidden="1">{#N/A,#N/A,FALSE,"96매출보고현황"}</definedName>
    <definedName name="퇴직2" hidden="1">{#N/A,#N/A,FALSE,"96매출보고현황"}</definedName>
    <definedName name="퇴직금추계" localSheetId="27" hidden="1">[45]대구은행!#REF!</definedName>
    <definedName name="퇴직금추계" hidden="1">[45]대구은행!#REF!</definedName>
    <definedName name="퇴직금추계액" localSheetId="27" hidden="1">[39]대구은행!#REF!</definedName>
    <definedName name="퇴직금추계액" hidden="1">[39]대구은행!#REF!</definedName>
    <definedName name="투" localSheetId="27" hidden="1">#REF!</definedName>
    <definedName name="투" hidden="1">#REF!</definedName>
    <definedName name="투자비000" localSheetId="27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7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팀별계획" localSheetId="27" hidden="1">{#N/A,#N/A,FALSE,"UNIT";#N/A,#N/A,FALSE,"UNIT";#N/A,#N/A,FALSE,"계정"}</definedName>
    <definedName name="팀별계획" hidden="1">{#N/A,#N/A,FALSE,"UNIT";#N/A,#N/A,FALSE,"UNIT";#N/A,#N/A,FALSE,"계정"}</definedName>
    <definedName name="판매목표2" localSheetId="27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평" localSheetId="27">'모델별 Mapping'!평</definedName>
    <definedName name="평">'모델별 Mapping'!평</definedName>
    <definedName name="폴9707">[32]환율!$B$5</definedName>
    <definedName name="표지" localSheetId="27" hidden="1">{#N/A,#N/A,FALSE,"포장단가"}</definedName>
    <definedName name="표지" hidden="1">{#N/A,#N/A,FALSE,"포장단가"}</definedName>
    <definedName name="표지1" localSheetId="27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7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확" localSheetId="27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27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로">[14]NCC제!$J$55</definedName>
    <definedName name="ㅎ라" localSheetId="27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27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호ㅓㅓㅗ" localSheetId="27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국" localSheetId="27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해당월일수">[2]금액계산및복합단가!$B$22</definedName>
    <definedName name="향후계획1" localSheetId="27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7" hidden="1">{#N/A,#N/A,FALSE,"정공"}</definedName>
    <definedName name="현대" hidden="1">{#N/A,#N/A,FALSE,"정공"}</definedName>
    <definedName name="현재가치할인차금" localSheetId="27">'모델별 Mapping'!현재가치할인차금</definedName>
    <definedName name="현재가치할인차금">'모델별 Mapping'!현재가치할인차금</definedName>
    <definedName name="현할차" localSheetId="27">'모델별 Mapping'!현할차</definedName>
    <definedName name="현할차">'모델별 Mapping'!현할차</definedName>
    <definedName name="협의" localSheetId="27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호" localSheetId="27" hidden="1">{#N/A,#N/A,FALSE,"포장단가"}</definedName>
    <definedName name="호호" hidden="1">{#N/A,#N/A,FALSE,"포장단가"}</definedName>
    <definedName name="호ㅓㅏ" localSheetId="27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홀" localSheetId="2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환배부">[2]VIVENDI단가산정!$B$96</definedName>
    <definedName name="환율">'[53]2000'!$Q$6</definedName>
    <definedName name="환인반">[2]VIVENDI단가산정!$G$48</definedName>
    <definedName name="황" localSheetId="27" hidden="1">{"'분양원가'!$B$1:$F$113"}</definedName>
    <definedName name="황" hidden="1">{"'분양원가'!$B$1:$F$113"}</definedName>
    <definedName name="ㅏ" localSheetId="27" hidden="1">[54]기계!#REF!</definedName>
    <definedName name="ㅏ" hidden="1">[54]기계!#REF!</definedName>
    <definedName name="ㅏㅑㅡ" localSheetId="27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7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7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ㅑㅓㅈㅁ래ㅑ고3ㅂ재" localSheetId="27" hidden="1">{#N/A,#N/A,FALSE,"단축1";#N/A,#N/A,FALSE,"단축2";#N/A,#N/A,FALSE,"단축3";#N/A,#N/A,FALSE,"장축";#N/A,#N/A,FALSE,"4WD"}</definedName>
    <definedName name="ㅐㅑㅓㅈㅁ래ㅑ고3ㅂ재" hidden="1">{#N/A,#N/A,FALSE,"단축1";#N/A,#N/A,FALSE,"단축2";#N/A,#N/A,FALSE,"단축3";#N/A,#N/A,FALSE,"장축";#N/A,#N/A,FALSE,"4WD"}</definedName>
    <definedName name="ㅓ" localSheetId="27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ㄹ마이너ㅏ" localSheetId="27">'모델별 Mapping'!ㅓㄹ마이너ㅏ</definedName>
    <definedName name="ㅓㄹ마이너ㅏ">'모델별 Mapping'!ㅓㄹ마이너ㅏ</definedName>
    <definedName name="ㅓ로럴" localSheetId="27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ㅔㅔ" localSheetId="27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 localSheetId="27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ㅗㅎ" localSheetId="27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ㅓㅏ" localSheetId="27" hidden="1">#REF!</definedName>
    <definedName name="ㅗㅓㅏ" hidden="1">#REF!</definedName>
    <definedName name="ㅘㅗ허ㅎ" localSheetId="27" hidden="1">#REF!</definedName>
    <definedName name="ㅘㅗ허ㅎ" hidden="1">#REF!</definedName>
    <definedName name="ㅛㅛ" localSheetId="27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ㅛㅛㅛ" localSheetId="27" hidden="1">[20]날개벽수량표!#REF!</definedName>
    <definedName name="ㅛㅛㅛ" hidden="1">[20]날개벽수량표!#REF!</definedName>
    <definedName name="ㅠㅍㅇㅌㄹ" localSheetId="27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ㅠㅠ" localSheetId="27">'모델별 Mapping'!ㅠㅠㅠ</definedName>
    <definedName name="ㅠㅠㅠ">'모델별 Mapping'!ㅠㅠㅠ</definedName>
    <definedName name="ㅠㅠㅠㅠㅠㅠ" localSheetId="27">'모델별 Mapping'!ㅠㅠㅠㅠㅠㅠ</definedName>
    <definedName name="ㅠㅠㅠㅠㅠㅠ">'모델별 Mapping'!ㅠㅠㅠㅠㅠㅠ</definedName>
    <definedName name="ㅣㅏㅓ일ㄴ어" localSheetId="27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ㅑㅑ" localSheetId="27" hidden="1">{#N/A,#N/A,FALSE,"단가표지"}</definedName>
    <definedName name="ㅣㅑㅑ" hidden="1">{#N/A,#N/A,FALSE,"단가표지"}</definedName>
    <definedName name="ㅣㅣㅣㅣㅣㅣㅣㄹㄹㄹㄹㄹㄹㄹ" localSheetId="27">'모델별 Mapping'!ㅣㅣㅣㅣㅣㅣㅣㄹㄹㄹㄹㄹㄹㄹ</definedName>
    <definedName name="ㅣㅣㅣㅣㅣㅣㅣㄹㄹㄹㄹㄹㄹㄹ">'모델별 Mapping'!ㅣㅣㅣㅣㅣㅣㅣㄹㄹㄹㄹㄹㄹㄹ</definedName>
  </definedNames>
  <calcPr calcId="152511" calcMode="autoNoTable" iterate="1" calcOnSave="0" concurrentManualCount="8"/>
  <pivotCaches>
    <pivotCache cacheId="5" r:id="rId121"/>
    <pivotCache cacheId="6" r:id="rId122"/>
    <pivotCache cacheId="7" r:id="rId123"/>
    <pivotCache cacheId="8" r:id="rId124"/>
    <pivotCache cacheId="9" r:id="rId125"/>
  </pivotCaches>
</workbook>
</file>

<file path=xl/calcChain.xml><?xml version="1.0" encoding="utf-8"?>
<calcChain xmlns="http://schemas.openxmlformats.org/spreadsheetml/2006/main">
  <c r="C24" i="406" l="1"/>
  <c r="C25" i="406"/>
  <c r="C24" i="235"/>
  <c r="C25" i="235"/>
  <c r="Q119" i="462" l="1"/>
  <c r="R119" i="462"/>
  <c r="C119" i="462"/>
  <c r="P115" i="462" l="1"/>
  <c r="R117" i="462"/>
  <c r="Q117" i="462" s="1"/>
  <c r="AD114" i="462"/>
  <c r="AB114" i="462"/>
  <c r="AC114" i="462" s="1"/>
  <c r="AA114" i="462"/>
  <c r="Y114" i="462"/>
  <c r="Z114" i="462" s="1"/>
  <c r="X114" i="462"/>
  <c r="V114" i="462"/>
  <c r="W114" i="462" s="1"/>
  <c r="S114" i="462"/>
  <c r="U114" i="462"/>
  <c r="Q114" i="462"/>
  <c r="U117" i="462" l="1"/>
  <c r="T114" i="462"/>
  <c r="T117" i="462" l="1"/>
  <c r="X117" i="462"/>
  <c r="W117" i="462" l="1"/>
  <c r="AA117" i="462"/>
  <c r="Z117" i="462" l="1"/>
  <c r="AD117" i="462"/>
  <c r="AC117" i="462" s="1"/>
  <c r="J83" i="14" l="1"/>
  <c r="I83" i="14"/>
  <c r="U57" i="462"/>
  <c r="X57" i="462" s="1"/>
  <c r="AA57" i="462" s="1"/>
  <c r="AD57" i="462" s="1"/>
  <c r="U56" i="462"/>
  <c r="X56" i="462" s="1"/>
  <c r="AA56" i="462" s="1"/>
  <c r="AD56" i="462" s="1"/>
  <c r="U49" i="462"/>
  <c r="X49" i="462" s="1"/>
  <c r="AA49" i="462" s="1"/>
  <c r="AD49" i="462" s="1"/>
  <c r="U48" i="462"/>
  <c r="X48" i="462" s="1"/>
  <c r="AA48" i="462" s="1"/>
  <c r="AD48" i="462" s="1"/>
  <c r="U47" i="462"/>
  <c r="X47" i="462" s="1"/>
  <c r="AA47" i="462" s="1"/>
  <c r="AD47" i="462" s="1"/>
  <c r="U45" i="462"/>
  <c r="X45" i="462" s="1"/>
  <c r="AA45" i="462" s="1"/>
  <c r="AD45" i="462" s="1"/>
  <c r="U43" i="462"/>
  <c r="X43" i="462" s="1"/>
  <c r="AA43" i="462" s="1"/>
  <c r="AD43" i="462" s="1"/>
  <c r="U42" i="462"/>
  <c r="X42" i="462" s="1"/>
  <c r="AA42" i="462" s="1"/>
  <c r="AD42" i="462" s="1"/>
  <c r="U41" i="462"/>
  <c r="X41" i="462" s="1"/>
  <c r="AA41" i="462" s="1"/>
  <c r="AD41" i="462" s="1"/>
  <c r="U40" i="462"/>
  <c r="X40" i="462" s="1"/>
  <c r="AA40" i="462" s="1"/>
  <c r="AD40" i="462" s="1"/>
  <c r="U39" i="462"/>
  <c r="X39" i="462" s="1"/>
  <c r="AA39" i="462" s="1"/>
  <c r="AD39" i="462" s="1"/>
  <c r="U38" i="462"/>
  <c r="X38" i="462" s="1"/>
  <c r="AA38" i="462" s="1"/>
  <c r="AD38" i="462" s="1"/>
  <c r="U36" i="462"/>
  <c r="X36" i="462" s="1"/>
  <c r="AA36" i="462" s="1"/>
  <c r="AD36" i="462" s="1"/>
  <c r="U9" i="462"/>
  <c r="X9" i="462" s="1"/>
  <c r="AA9" i="462" s="1"/>
  <c r="AD9" i="462" s="1"/>
  <c r="AO104" i="462" l="1"/>
  <c r="AN104" i="462"/>
  <c r="AM104" i="462"/>
  <c r="G34" i="14"/>
  <c r="F34" i="14"/>
  <c r="E34" i="14"/>
  <c r="G35" i="14"/>
  <c r="F35" i="14"/>
  <c r="E35" i="14"/>
  <c r="G33" i="14"/>
  <c r="F33" i="14"/>
  <c r="E33" i="14"/>
  <c r="G38" i="13"/>
  <c r="F38" i="13"/>
  <c r="E38" i="13"/>
  <c r="E48" i="13"/>
  <c r="F48" i="13"/>
  <c r="N65" i="14"/>
  <c r="H58" i="14"/>
  <c r="I58" i="14"/>
  <c r="J58" i="14"/>
  <c r="K58" i="14"/>
  <c r="L58" i="14"/>
  <c r="G59" i="14"/>
  <c r="P28" i="462"/>
  <c r="S28" i="462" s="1"/>
  <c r="P27" i="462"/>
  <c r="S27" i="462" s="1"/>
  <c r="V68" i="462"/>
  <c r="AB68" i="462" s="1"/>
  <c r="V67" i="462"/>
  <c r="AB67" i="462" s="1"/>
  <c r="V66" i="462"/>
  <c r="AB66" i="462" s="1"/>
  <c r="V65" i="462"/>
  <c r="AB65" i="462" s="1"/>
  <c r="V64" i="462"/>
  <c r="V62" i="462"/>
  <c r="S62" i="462"/>
  <c r="Y62" i="462" s="1"/>
  <c r="S64" i="462"/>
  <c r="Y64" i="462" s="1"/>
  <c r="S65" i="462"/>
  <c r="Y65" i="462" s="1"/>
  <c r="S68" i="462"/>
  <c r="Y68" i="462" s="1"/>
  <c r="S67" i="462"/>
  <c r="Y67" i="462" s="1"/>
  <c r="S66" i="462"/>
  <c r="Y66" i="462" s="1"/>
  <c r="S115" i="462"/>
  <c r="V115" i="462" s="1"/>
  <c r="Y115" i="462" s="1"/>
  <c r="AB115" i="462" s="1"/>
  <c r="AB122" i="462"/>
  <c r="AB121" i="462"/>
  <c r="Y122" i="462"/>
  <c r="Y121" i="462"/>
  <c r="V122" i="462"/>
  <c r="V121" i="462"/>
  <c r="S122" i="462"/>
  <c r="S121" i="462"/>
  <c r="AB113" i="462"/>
  <c r="Y113" i="462"/>
  <c r="R127" i="462"/>
  <c r="U127" i="462" s="1"/>
  <c r="X127" i="462" s="1"/>
  <c r="W127" i="462" s="1"/>
  <c r="R148" i="462"/>
  <c r="Q148" i="462" s="1"/>
  <c r="R134" i="462"/>
  <c r="Q134" i="462" s="1"/>
  <c r="R126" i="462"/>
  <c r="Q126" i="462" s="1"/>
  <c r="R122" i="462"/>
  <c r="U122" i="462" s="1"/>
  <c r="R121" i="462"/>
  <c r="U121" i="462" s="1"/>
  <c r="R141" i="462"/>
  <c r="R140" i="462" s="1"/>
  <c r="R142" i="462"/>
  <c r="Q142" i="462" s="1"/>
  <c r="R120" i="462"/>
  <c r="Q120" i="462" s="1"/>
  <c r="R113" i="462"/>
  <c r="Q113" i="462" s="1"/>
  <c r="T127" i="462" l="1"/>
  <c r="Q121" i="462"/>
  <c r="U140" i="462"/>
  <c r="Q140" i="462"/>
  <c r="AA127" i="462"/>
  <c r="T121" i="462"/>
  <c r="X121" i="462"/>
  <c r="T122" i="462"/>
  <c r="X122" i="462"/>
  <c r="Q122" i="462"/>
  <c r="Q141" i="462"/>
  <c r="U113" i="462"/>
  <c r="U126" i="462"/>
  <c r="U142" i="462"/>
  <c r="U141" i="462"/>
  <c r="U120" i="462"/>
  <c r="U134" i="462"/>
  <c r="U148" i="462"/>
  <c r="AD127" i="462" l="1"/>
  <c r="AC127" i="462" s="1"/>
  <c r="Z127" i="462"/>
  <c r="T141" i="462"/>
  <c r="X141" i="462"/>
  <c r="X126" i="462"/>
  <c r="T126" i="462"/>
  <c r="X148" i="462"/>
  <c r="T148" i="462"/>
  <c r="X113" i="462"/>
  <c r="T113" i="462"/>
  <c r="X134" i="462"/>
  <c r="T134" i="462"/>
  <c r="W121" i="462"/>
  <c r="AA121" i="462"/>
  <c r="AA122" i="462"/>
  <c r="W122" i="462"/>
  <c r="X120" i="462"/>
  <c r="T120" i="462"/>
  <c r="T142" i="462"/>
  <c r="X142" i="462"/>
  <c r="T140" i="462"/>
  <c r="X140" i="462"/>
  <c r="W142" i="462" l="1"/>
  <c r="AA142" i="462"/>
  <c r="Z121" i="462"/>
  <c r="AD121" i="462"/>
  <c r="AC121" i="462" s="1"/>
  <c r="Z122" i="462"/>
  <c r="AD122" i="462"/>
  <c r="AC122" i="462" s="1"/>
  <c r="W113" i="462"/>
  <c r="AA113" i="462"/>
  <c r="AA126" i="462"/>
  <c r="W126" i="462"/>
  <c r="W141" i="462"/>
  <c r="AA141" i="462"/>
  <c r="W140" i="462"/>
  <c r="AA140" i="462"/>
  <c r="W120" i="462"/>
  <c r="AA120" i="462"/>
  <c r="W134" i="462"/>
  <c r="AA134" i="462"/>
  <c r="W148" i="462"/>
  <c r="AA148" i="462"/>
  <c r="AD126" i="462" l="1"/>
  <c r="AC126" i="462" s="1"/>
  <c r="Z126" i="462"/>
  <c r="Z134" i="462"/>
  <c r="AD134" i="462"/>
  <c r="AC134" i="462" s="1"/>
  <c r="Z113" i="462"/>
  <c r="AD113" i="462"/>
  <c r="AC113" i="462" s="1"/>
  <c r="Z148" i="462"/>
  <c r="AD148" i="462"/>
  <c r="AC148" i="462" s="1"/>
  <c r="Z140" i="462"/>
  <c r="AD140" i="462"/>
  <c r="AC140" i="462" s="1"/>
  <c r="Z142" i="462"/>
  <c r="AD142" i="462"/>
  <c r="AC142" i="462" s="1"/>
  <c r="AD120" i="462"/>
  <c r="AC120" i="462" s="1"/>
  <c r="Z120" i="462"/>
  <c r="Z141" i="462"/>
  <c r="AD141" i="462"/>
  <c r="AC141" i="462" s="1"/>
  <c r="N174" i="462" l="1"/>
  <c r="K174" i="462"/>
  <c r="H174" i="462"/>
  <c r="O173" i="462"/>
  <c r="L173" i="462"/>
  <c r="I173" i="462"/>
  <c r="AB163" i="462"/>
  <c r="Y163" i="462"/>
  <c r="V163" i="462"/>
  <c r="S163" i="462"/>
  <c r="P163" i="462"/>
  <c r="N163" i="462"/>
  <c r="M163" i="462"/>
  <c r="H163" i="462"/>
  <c r="G163" i="462"/>
  <c r="I161" i="462"/>
  <c r="C161" i="462"/>
  <c r="I160" i="462"/>
  <c r="C160" i="462"/>
  <c r="I159" i="462"/>
  <c r="C159" i="462"/>
  <c r="AD158" i="462"/>
  <c r="AA158" i="462"/>
  <c r="X158" i="462"/>
  <c r="U158" i="462"/>
  <c r="R158" i="462"/>
  <c r="O158" i="462"/>
  <c r="L158" i="462"/>
  <c r="I158" i="462"/>
  <c r="C158" i="462"/>
  <c r="AD157" i="462"/>
  <c r="AA157" i="462"/>
  <c r="X157" i="462"/>
  <c r="U157" i="462"/>
  <c r="O157" i="462"/>
  <c r="L157" i="462"/>
  <c r="I157" i="462"/>
  <c r="C157" i="462"/>
  <c r="AD156" i="462"/>
  <c r="AA156" i="462"/>
  <c r="X156" i="462"/>
  <c r="U156" i="462"/>
  <c r="O156" i="462"/>
  <c r="I156" i="462"/>
  <c r="C156" i="462"/>
  <c r="AD155" i="462"/>
  <c r="AA155" i="462"/>
  <c r="X155" i="462"/>
  <c r="U155" i="462"/>
  <c r="O155" i="462"/>
  <c r="L155" i="462"/>
  <c r="I155" i="462"/>
  <c r="C155" i="462"/>
  <c r="I154" i="462"/>
  <c r="C154" i="462"/>
  <c r="I153" i="462"/>
  <c r="C153" i="462"/>
  <c r="AD152" i="462"/>
  <c r="AA152" i="462"/>
  <c r="X152" i="462"/>
  <c r="U152" i="462"/>
  <c r="O152" i="462"/>
  <c r="L152" i="462"/>
  <c r="I152" i="462"/>
  <c r="C152" i="462"/>
  <c r="AD151" i="462"/>
  <c r="AA151" i="462"/>
  <c r="X151" i="462"/>
  <c r="U151" i="462"/>
  <c r="O151" i="462"/>
  <c r="L151" i="462"/>
  <c r="I151" i="462"/>
  <c r="C151" i="462"/>
  <c r="L150" i="462"/>
  <c r="C150" i="462"/>
  <c r="I149" i="462"/>
  <c r="C149" i="462"/>
  <c r="O148" i="462"/>
  <c r="I148" i="462"/>
  <c r="C148" i="462"/>
  <c r="AD147" i="462"/>
  <c r="AA147" i="462"/>
  <c r="X147" i="462"/>
  <c r="U147" i="462"/>
  <c r="R147" i="462"/>
  <c r="O147" i="462"/>
  <c r="L147" i="462"/>
  <c r="I147" i="462"/>
  <c r="C147" i="462"/>
  <c r="I146" i="462"/>
  <c r="C146" i="462"/>
  <c r="I145" i="462"/>
  <c r="C145" i="462"/>
  <c r="I144" i="462"/>
  <c r="C144" i="462"/>
  <c r="I143" i="462"/>
  <c r="C143" i="462"/>
  <c r="O142" i="462"/>
  <c r="I142" i="462"/>
  <c r="C142" i="462"/>
  <c r="O141" i="462"/>
  <c r="I141" i="462"/>
  <c r="C141" i="462"/>
  <c r="O140" i="462"/>
  <c r="I140" i="462"/>
  <c r="AD139" i="462"/>
  <c r="AA139" i="462"/>
  <c r="X139" i="462"/>
  <c r="U139" i="462"/>
  <c r="R139" i="462"/>
  <c r="O139" i="462"/>
  <c r="L139" i="462"/>
  <c r="I139" i="462"/>
  <c r="C139" i="462"/>
  <c r="AD138" i="462"/>
  <c r="AA138" i="462"/>
  <c r="X138" i="462"/>
  <c r="U138" i="462"/>
  <c r="R138" i="462"/>
  <c r="O138" i="462"/>
  <c r="I138" i="462"/>
  <c r="C138" i="462"/>
  <c r="AD137" i="462"/>
  <c r="AA137" i="462"/>
  <c r="X137" i="462"/>
  <c r="U137" i="462"/>
  <c r="R137" i="462"/>
  <c r="O137" i="462"/>
  <c r="L137" i="462"/>
  <c r="I137" i="462"/>
  <c r="C137" i="462"/>
  <c r="AD136" i="462"/>
  <c r="AA136" i="462"/>
  <c r="X136" i="462"/>
  <c r="U136" i="462"/>
  <c r="R136" i="462"/>
  <c r="O136" i="462"/>
  <c r="I136" i="462"/>
  <c r="C136" i="462"/>
  <c r="AD135" i="462"/>
  <c r="AA135" i="462"/>
  <c r="X135" i="462"/>
  <c r="U135" i="462"/>
  <c r="R135" i="462"/>
  <c r="O135" i="462"/>
  <c r="I135" i="462"/>
  <c r="O134" i="462"/>
  <c r="C134" i="462"/>
  <c r="I133" i="462"/>
  <c r="C133" i="462"/>
  <c r="I132" i="462"/>
  <c r="I131" i="462"/>
  <c r="C131" i="462"/>
  <c r="L130" i="462"/>
  <c r="C130" i="462"/>
  <c r="C129" i="462"/>
  <c r="I128" i="462"/>
  <c r="C128" i="462"/>
  <c r="O127" i="462"/>
  <c r="I127" i="462"/>
  <c r="C127" i="462"/>
  <c r="O126" i="462"/>
  <c r="I126" i="462"/>
  <c r="C126" i="462"/>
  <c r="AD125" i="462"/>
  <c r="AA125" i="462"/>
  <c r="X125" i="462"/>
  <c r="U125" i="462"/>
  <c r="R125" i="462"/>
  <c r="O125" i="462"/>
  <c r="L125" i="462"/>
  <c r="I125" i="462"/>
  <c r="C125" i="462"/>
  <c r="I124" i="462"/>
  <c r="I123" i="462"/>
  <c r="O122" i="462"/>
  <c r="I122" i="462"/>
  <c r="C122" i="462"/>
  <c r="O121" i="462"/>
  <c r="I121" i="462"/>
  <c r="C121" i="462"/>
  <c r="O120" i="462"/>
  <c r="I120" i="462"/>
  <c r="C120" i="462"/>
  <c r="AD118" i="462"/>
  <c r="AA118" i="462"/>
  <c r="X118" i="462"/>
  <c r="U118" i="462"/>
  <c r="O118" i="462"/>
  <c r="I118" i="462"/>
  <c r="C118" i="462"/>
  <c r="O117" i="462"/>
  <c r="L117" i="462"/>
  <c r="I117" i="462"/>
  <c r="C117" i="462"/>
  <c r="O116" i="462"/>
  <c r="L116" i="462"/>
  <c r="I116" i="462"/>
  <c r="C116" i="462"/>
  <c r="O115" i="462"/>
  <c r="I115" i="462"/>
  <c r="C115" i="462"/>
  <c r="O113" i="462"/>
  <c r="I113" i="462"/>
  <c r="C113" i="462"/>
  <c r="I112" i="462"/>
  <c r="C112" i="462"/>
  <c r="O111" i="462"/>
  <c r="R111" i="462" s="1"/>
  <c r="I111" i="462"/>
  <c r="C111" i="462"/>
  <c r="AD110" i="462"/>
  <c r="AA110" i="462"/>
  <c r="X110" i="462"/>
  <c r="U110" i="462"/>
  <c r="R110" i="462"/>
  <c r="O110" i="462"/>
  <c r="L110" i="462"/>
  <c r="I110" i="462"/>
  <c r="C110" i="462"/>
  <c r="AD109" i="462"/>
  <c r="AA109" i="462"/>
  <c r="X109" i="462"/>
  <c r="U109" i="462"/>
  <c r="R109" i="462"/>
  <c r="O109" i="462"/>
  <c r="L109" i="462"/>
  <c r="I109" i="462"/>
  <c r="C109" i="462"/>
  <c r="AD108" i="462"/>
  <c r="AA108" i="462"/>
  <c r="X108" i="462"/>
  <c r="U108" i="462"/>
  <c r="R108" i="462"/>
  <c r="O108" i="462"/>
  <c r="I108" i="462"/>
  <c r="C108" i="462"/>
  <c r="P100" i="462"/>
  <c r="S100" i="462" s="1"/>
  <c r="V100" i="462" s="1"/>
  <c r="Y100" i="462" s="1"/>
  <c r="AB100" i="462" s="1"/>
  <c r="Y98" i="462"/>
  <c r="V98" i="462"/>
  <c r="AB98" i="462" s="1"/>
  <c r="P97" i="462"/>
  <c r="P99" i="462" s="1"/>
  <c r="M97" i="462"/>
  <c r="M99" i="462" s="1"/>
  <c r="P93" i="462"/>
  <c r="P96" i="462" s="1"/>
  <c r="N93" i="462"/>
  <c r="M93" i="462"/>
  <c r="O93" i="462" s="1"/>
  <c r="X92" i="462"/>
  <c r="W92" i="462" s="1"/>
  <c r="T92" i="462"/>
  <c r="Q92" i="462"/>
  <c r="O92" i="462"/>
  <c r="I92" i="462"/>
  <c r="U91" i="462"/>
  <c r="X91" i="462" s="1"/>
  <c r="W91" i="462" s="1"/>
  <c r="Q91" i="462"/>
  <c r="O91" i="462"/>
  <c r="AO91" i="462" s="1"/>
  <c r="U90" i="462"/>
  <c r="T90" i="462" s="1"/>
  <c r="Q90" i="462"/>
  <c r="O90" i="462"/>
  <c r="AO90" i="462" s="1"/>
  <c r="I90" i="462"/>
  <c r="U89" i="462"/>
  <c r="T89" i="462" s="1"/>
  <c r="Q89" i="462"/>
  <c r="O89" i="462"/>
  <c r="AO89" i="462" s="1"/>
  <c r="I89" i="462"/>
  <c r="U88" i="462"/>
  <c r="X88" i="462" s="1"/>
  <c r="Q88" i="462"/>
  <c r="O88" i="462"/>
  <c r="AO88" i="462" s="1"/>
  <c r="U87" i="462"/>
  <c r="T87" i="462" s="1"/>
  <c r="Q87" i="462"/>
  <c r="O87" i="462"/>
  <c r="AO87" i="462" s="1"/>
  <c r="U86" i="462"/>
  <c r="T86" i="462" s="1"/>
  <c r="Q86" i="462"/>
  <c r="O86" i="462"/>
  <c r="AO86" i="462" s="1"/>
  <c r="I86" i="462"/>
  <c r="U85" i="462"/>
  <c r="T85" i="462" s="1"/>
  <c r="Q85" i="462"/>
  <c r="O85" i="462"/>
  <c r="AO85" i="462" s="1"/>
  <c r="L85" i="462"/>
  <c r="U84" i="462"/>
  <c r="X84" i="462" s="1"/>
  <c r="Q84" i="462"/>
  <c r="O84" i="462"/>
  <c r="AO84" i="462" s="1"/>
  <c r="U83" i="462"/>
  <c r="X83" i="462" s="1"/>
  <c r="W83" i="462" s="1"/>
  <c r="Q83" i="462"/>
  <c r="O83" i="462"/>
  <c r="AO83" i="462" s="1"/>
  <c r="U82" i="462"/>
  <c r="T82" i="462" s="1"/>
  <c r="Q82" i="462"/>
  <c r="O82" i="462"/>
  <c r="AO82" i="462" s="1"/>
  <c r="U81" i="462"/>
  <c r="T81" i="462" s="1"/>
  <c r="Q81" i="462"/>
  <c r="O81" i="462"/>
  <c r="AO81" i="462" s="1"/>
  <c r="L81" i="462"/>
  <c r="U80" i="462"/>
  <c r="X80" i="462" s="1"/>
  <c r="Q80" i="462"/>
  <c r="O80" i="462"/>
  <c r="AO80" i="462" s="1"/>
  <c r="U79" i="462"/>
  <c r="T79" i="462" s="1"/>
  <c r="Q79" i="462"/>
  <c r="O79" i="462"/>
  <c r="AO79" i="462" s="1"/>
  <c r="U78" i="462"/>
  <c r="T78" i="462" s="1"/>
  <c r="Q78" i="462"/>
  <c r="O78" i="462"/>
  <c r="AO78" i="462" s="1"/>
  <c r="I78" i="462"/>
  <c r="U77" i="462"/>
  <c r="X77" i="462" s="1"/>
  <c r="AA77" i="462" s="1"/>
  <c r="AD77" i="462" s="1"/>
  <c r="AC77" i="462" s="1"/>
  <c r="Q77" i="462"/>
  <c r="O77" i="462"/>
  <c r="AO77" i="462" s="1"/>
  <c r="U76" i="462"/>
  <c r="X76" i="462" s="1"/>
  <c r="W76" i="462" s="1"/>
  <c r="Q76" i="462"/>
  <c r="O76" i="462"/>
  <c r="AO76" i="462" s="1"/>
  <c r="U75" i="462"/>
  <c r="T75" i="462" s="1"/>
  <c r="Q75" i="462"/>
  <c r="O75" i="462"/>
  <c r="AO75" i="462" s="1"/>
  <c r="L75" i="462"/>
  <c r="U74" i="462"/>
  <c r="T74" i="462" s="1"/>
  <c r="Q74" i="462"/>
  <c r="O74" i="462"/>
  <c r="AO74" i="462" s="1"/>
  <c r="I74" i="462"/>
  <c r="U73" i="462"/>
  <c r="X73" i="462" s="1"/>
  <c r="Q73" i="462"/>
  <c r="O73" i="462"/>
  <c r="AO73" i="462" s="1"/>
  <c r="U72" i="462"/>
  <c r="X72" i="462" s="1"/>
  <c r="W72" i="462" s="1"/>
  <c r="Q72" i="462"/>
  <c r="O72" i="462"/>
  <c r="AO72" i="462" s="1"/>
  <c r="U71" i="462"/>
  <c r="T71" i="462" s="1"/>
  <c r="Q71" i="462"/>
  <c r="O71" i="462"/>
  <c r="AO71" i="462" s="1"/>
  <c r="U70" i="462"/>
  <c r="T70" i="462" s="1"/>
  <c r="Q70" i="462"/>
  <c r="O70" i="462"/>
  <c r="AO70" i="462" s="1"/>
  <c r="L70" i="462"/>
  <c r="U69" i="462"/>
  <c r="T69" i="462" s="1"/>
  <c r="Q69" i="462"/>
  <c r="O69" i="462"/>
  <c r="AO69" i="462" s="1"/>
  <c r="L69" i="462"/>
  <c r="U68" i="462"/>
  <c r="X68" i="462" s="1"/>
  <c r="AA68" i="462" s="1"/>
  <c r="Q68" i="462"/>
  <c r="O68" i="462"/>
  <c r="AO68" i="462" s="1"/>
  <c r="U67" i="462"/>
  <c r="X67" i="462" s="1"/>
  <c r="Q67" i="462"/>
  <c r="O67" i="462"/>
  <c r="AO67" i="462" s="1"/>
  <c r="U66" i="462"/>
  <c r="T66" i="462" s="1"/>
  <c r="Q66" i="462"/>
  <c r="O66" i="462"/>
  <c r="AO66" i="462" s="1"/>
  <c r="L66" i="462"/>
  <c r="O65" i="462"/>
  <c r="AO65" i="462" s="1"/>
  <c r="L65" i="462"/>
  <c r="U64" i="462"/>
  <c r="X64" i="462" s="1"/>
  <c r="Q64" i="462"/>
  <c r="O64" i="462"/>
  <c r="AO64" i="462" s="1"/>
  <c r="AO63" i="462"/>
  <c r="AN63" i="462"/>
  <c r="I63" i="462"/>
  <c r="U62" i="462"/>
  <c r="S97" i="462"/>
  <c r="S99" i="462" s="1"/>
  <c r="Q62" i="462"/>
  <c r="O62" i="462"/>
  <c r="AO62" i="462" s="1"/>
  <c r="I62" i="462"/>
  <c r="AO61" i="462"/>
  <c r="AN61" i="462"/>
  <c r="AO60" i="462"/>
  <c r="AN60" i="462"/>
  <c r="U59" i="462"/>
  <c r="T59" i="462" s="1"/>
  <c r="Q59" i="462"/>
  <c r="O59" i="462"/>
  <c r="U58" i="462"/>
  <c r="T58" i="462" s="1"/>
  <c r="Q58" i="462"/>
  <c r="O58" i="462"/>
  <c r="AO58" i="462" s="1"/>
  <c r="L58" i="462"/>
  <c r="I58" i="462"/>
  <c r="W57" i="462"/>
  <c r="T57" i="462"/>
  <c r="Q57" i="462"/>
  <c r="O57" i="462"/>
  <c r="AO57" i="462" s="1"/>
  <c r="I57" i="462"/>
  <c r="T56" i="462"/>
  <c r="Q56" i="462"/>
  <c r="O56" i="462"/>
  <c r="AO56" i="462" s="1"/>
  <c r="O55" i="462"/>
  <c r="R55" i="462" s="1"/>
  <c r="U54" i="462"/>
  <c r="T54" i="462" s="1"/>
  <c r="Q54" i="462"/>
  <c r="O54" i="462"/>
  <c r="AO54" i="462" s="1"/>
  <c r="O53" i="462"/>
  <c r="R53" i="462" s="1"/>
  <c r="U53" i="462" s="1"/>
  <c r="U52" i="462"/>
  <c r="X52" i="462" s="1"/>
  <c r="AA52" i="462" s="1"/>
  <c r="Q52" i="462"/>
  <c r="O52" i="462"/>
  <c r="AO52" i="462" s="1"/>
  <c r="I52" i="462"/>
  <c r="U51" i="462"/>
  <c r="Q51" i="462"/>
  <c r="O51" i="462"/>
  <c r="AO51" i="462" s="1"/>
  <c r="L51" i="462"/>
  <c r="U50" i="462"/>
  <c r="T50" i="462" s="1"/>
  <c r="Q50" i="462"/>
  <c r="O50" i="462"/>
  <c r="AO50" i="462" s="1"/>
  <c r="T49" i="462"/>
  <c r="Q49" i="462"/>
  <c r="O49" i="462"/>
  <c r="AO49" i="462" s="1"/>
  <c r="L49" i="462"/>
  <c r="I49" i="462"/>
  <c r="Q48" i="462"/>
  <c r="O48" i="462"/>
  <c r="AO48" i="462" s="1"/>
  <c r="L48" i="462"/>
  <c r="I48" i="462"/>
  <c r="Q47" i="462"/>
  <c r="AQ47" i="462" s="1"/>
  <c r="O47" i="462"/>
  <c r="AO47" i="462" s="1"/>
  <c r="L47" i="462"/>
  <c r="U46" i="462"/>
  <c r="Q46" i="462"/>
  <c r="O46" i="462"/>
  <c r="AO46" i="462" s="1"/>
  <c r="T45" i="462"/>
  <c r="Q45" i="462"/>
  <c r="O45" i="462"/>
  <c r="AO45" i="462" s="1"/>
  <c r="U44" i="462"/>
  <c r="X44" i="462" s="1"/>
  <c r="AA44" i="462" s="1"/>
  <c r="Q44" i="462"/>
  <c r="O44" i="462"/>
  <c r="AO44" i="462" s="1"/>
  <c r="AO43" i="462"/>
  <c r="AO42" i="462"/>
  <c r="AN42" i="462"/>
  <c r="W41" i="462"/>
  <c r="T41" i="462"/>
  <c r="Q41" i="462"/>
  <c r="O41" i="462"/>
  <c r="AO41" i="462" s="1"/>
  <c r="T40" i="462"/>
  <c r="Q40" i="462"/>
  <c r="O40" i="462"/>
  <c r="AO40" i="462" s="1"/>
  <c r="I40" i="462"/>
  <c r="T39" i="462"/>
  <c r="Q39" i="462"/>
  <c r="O39" i="462"/>
  <c r="AO39" i="462" s="1"/>
  <c r="L39" i="462"/>
  <c r="I39" i="462"/>
  <c r="AO38" i="462"/>
  <c r="AN38" i="462"/>
  <c r="U37" i="462"/>
  <c r="X37" i="462" s="1"/>
  <c r="T37" i="462"/>
  <c r="AR37" i="462" s="1"/>
  <c r="Q37" i="462"/>
  <c r="AQ37" i="462" s="1"/>
  <c r="O37" i="462"/>
  <c r="AO37" i="462" s="1"/>
  <c r="T36" i="462"/>
  <c r="Q36" i="462"/>
  <c r="O36" i="462"/>
  <c r="AO36" i="462" s="1"/>
  <c r="U35" i="462"/>
  <c r="Q35" i="462"/>
  <c r="O35" i="462"/>
  <c r="AO35" i="462" s="1"/>
  <c r="L35" i="462"/>
  <c r="I35" i="462"/>
  <c r="U34" i="462"/>
  <c r="X34" i="462" s="1"/>
  <c r="Q34" i="462"/>
  <c r="O34" i="462"/>
  <c r="AO34" i="462" s="1"/>
  <c r="U33" i="462"/>
  <c r="T33" i="462" s="1"/>
  <c r="AR33" i="462" s="1"/>
  <c r="Q33" i="462"/>
  <c r="AQ33" i="462" s="1"/>
  <c r="O33" i="462"/>
  <c r="AO33" i="462" s="1"/>
  <c r="U32" i="462"/>
  <c r="Q32" i="462"/>
  <c r="O32" i="462"/>
  <c r="AO32" i="462" s="1"/>
  <c r="I32" i="462"/>
  <c r="U31" i="462"/>
  <c r="Q31" i="462"/>
  <c r="O31" i="462"/>
  <c r="AO31" i="462" s="1"/>
  <c r="AO30" i="462"/>
  <c r="AN30" i="462"/>
  <c r="U29" i="462"/>
  <c r="T29" i="462" s="1"/>
  <c r="Q29" i="462"/>
  <c r="O29" i="462"/>
  <c r="AO29" i="462" s="1"/>
  <c r="I29" i="462"/>
  <c r="U28" i="462"/>
  <c r="Q28" i="462"/>
  <c r="O28" i="462"/>
  <c r="AO28" i="462" s="1"/>
  <c r="L28" i="462"/>
  <c r="U27" i="462"/>
  <c r="X27" i="462" s="1"/>
  <c r="Q27" i="462"/>
  <c r="O27" i="462"/>
  <c r="AO27" i="462" s="1"/>
  <c r="L27" i="462"/>
  <c r="U26" i="462"/>
  <c r="X26" i="462" s="1"/>
  <c r="Q26" i="462"/>
  <c r="O26" i="462"/>
  <c r="AO26" i="462" s="1"/>
  <c r="L26" i="462"/>
  <c r="U25" i="462"/>
  <c r="Q25" i="462"/>
  <c r="O25" i="462"/>
  <c r="AO25" i="462" s="1"/>
  <c r="I25" i="462"/>
  <c r="U24" i="462"/>
  <c r="X24" i="462" s="1"/>
  <c r="W24" i="462" s="1"/>
  <c r="Q24" i="462"/>
  <c r="O24" i="462"/>
  <c r="AO24" i="462" s="1"/>
  <c r="L24" i="462"/>
  <c r="U23" i="462"/>
  <c r="X23" i="462" s="1"/>
  <c r="AA23" i="462" s="1"/>
  <c r="AD23" i="462" s="1"/>
  <c r="S23" i="462"/>
  <c r="V23" i="462" s="1"/>
  <c r="Q23" i="462"/>
  <c r="O23" i="462"/>
  <c r="AO23" i="462" s="1"/>
  <c r="I23" i="462"/>
  <c r="U22" i="462"/>
  <c r="X22" i="462" s="1"/>
  <c r="Q22" i="462"/>
  <c r="O22" i="462"/>
  <c r="AO22" i="462" s="1"/>
  <c r="U21" i="462"/>
  <c r="T21" i="462" s="1"/>
  <c r="Q21" i="462"/>
  <c r="O21" i="462"/>
  <c r="AO21" i="462" s="1"/>
  <c r="U20" i="462"/>
  <c r="Q20" i="462"/>
  <c r="O20" i="462"/>
  <c r="R115" i="462" s="1"/>
  <c r="L20" i="462"/>
  <c r="U19" i="462"/>
  <c r="Q19" i="462"/>
  <c r="O19" i="462"/>
  <c r="AO19" i="462" s="1"/>
  <c r="L19" i="462"/>
  <c r="I19" i="462"/>
  <c r="U18" i="462"/>
  <c r="T18" i="462" s="1"/>
  <c r="Q18" i="462"/>
  <c r="O18" i="462"/>
  <c r="AO18" i="462" s="1"/>
  <c r="L18" i="462"/>
  <c r="O17" i="462"/>
  <c r="R17" i="462" s="1"/>
  <c r="U17" i="462" s="1"/>
  <c r="O16" i="462"/>
  <c r="L16" i="462"/>
  <c r="U15" i="462"/>
  <c r="T15" i="462" s="1"/>
  <c r="Q15" i="462"/>
  <c r="O15" i="462"/>
  <c r="AO15" i="462" s="1"/>
  <c r="L15" i="462"/>
  <c r="U14" i="462"/>
  <c r="T14" i="462" s="1"/>
  <c r="Q14" i="462"/>
  <c r="O14" i="462"/>
  <c r="AO14" i="462" s="1"/>
  <c r="L14" i="462"/>
  <c r="U13" i="462"/>
  <c r="Q13" i="462"/>
  <c r="O13" i="462"/>
  <c r="AO13" i="462" s="1"/>
  <c r="U12" i="462"/>
  <c r="X12" i="462" s="1"/>
  <c r="Q12" i="462"/>
  <c r="O12" i="462"/>
  <c r="AO12" i="462" s="1"/>
  <c r="U11" i="462"/>
  <c r="T11" i="462" s="1"/>
  <c r="Q11" i="462"/>
  <c r="O11" i="462"/>
  <c r="AO11" i="462" s="1"/>
  <c r="L11" i="462"/>
  <c r="I11" i="462"/>
  <c r="U10" i="462"/>
  <c r="Q10" i="462"/>
  <c r="O10" i="462"/>
  <c r="AO10" i="462" s="1"/>
  <c r="L10" i="462"/>
  <c r="Q9" i="462"/>
  <c r="O9" i="462"/>
  <c r="AO9" i="462" s="1"/>
  <c r="L9" i="462"/>
  <c r="O8" i="462"/>
  <c r="O7" i="462"/>
  <c r="AO7" i="462" s="1"/>
  <c r="U6" i="462"/>
  <c r="X6" i="462" s="1"/>
  <c r="T6" i="462"/>
  <c r="Q6" i="462"/>
  <c r="O6" i="462"/>
  <c r="L40" i="13"/>
  <c r="G55" i="419"/>
  <c r="AO55" i="462" l="1"/>
  <c r="T12" i="462"/>
  <c r="X54" i="462"/>
  <c r="M96" i="462"/>
  <c r="Q96" i="462" s="1"/>
  <c r="AO53" i="462"/>
  <c r="T22" i="462"/>
  <c r="T44" i="462"/>
  <c r="T76" i="462"/>
  <c r="X66" i="462"/>
  <c r="AA66" i="462" s="1"/>
  <c r="AD66" i="462" s="1"/>
  <c r="AC66" i="462" s="1"/>
  <c r="X71" i="462"/>
  <c r="AA71" i="462" s="1"/>
  <c r="T80" i="462"/>
  <c r="X90" i="462"/>
  <c r="AA90" i="462" s="1"/>
  <c r="N166" i="462"/>
  <c r="N176" i="462" s="1"/>
  <c r="N185" i="462" s="1"/>
  <c r="AO93" i="462" s="1"/>
  <c r="Q17" i="462"/>
  <c r="X33" i="462"/>
  <c r="T27" i="462"/>
  <c r="W77" i="462"/>
  <c r="O182" i="462"/>
  <c r="T24" i="462"/>
  <c r="T26" i="462"/>
  <c r="X69" i="462"/>
  <c r="W69" i="462" s="1"/>
  <c r="T72" i="462"/>
  <c r="X75" i="462"/>
  <c r="AA75" i="462" s="1"/>
  <c r="T83" i="462"/>
  <c r="X87" i="462"/>
  <c r="W87" i="462" s="1"/>
  <c r="T91" i="462"/>
  <c r="AA24" i="462"/>
  <c r="AD24" i="462" s="1"/>
  <c r="AC24" i="462" s="1"/>
  <c r="T34" i="462"/>
  <c r="T52" i="462"/>
  <c r="R65" i="462"/>
  <c r="U65" i="462" s="1"/>
  <c r="X65" i="462" s="1"/>
  <c r="T68" i="462"/>
  <c r="X78" i="462"/>
  <c r="AA78" i="462" s="1"/>
  <c r="Z78" i="462" s="1"/>
  <c r="X79" i="462"/>
  <c r="W79" i="462" s="1"/>
  <c r="X62" i="462"/>
  <c r="T62" i="462"/>
  <c r="X19" i="462"/>
  <c r="T19" i="462"/>
  <c r="T32" i="462"/>
  <c r="X32" i="462"/>
  <c r="W71" i="462"/>
  <c r="AA6" i="462"/>
  <c r="Z6" i="462" s="1"/>
  <c r="W6" i="462"/>
  <c r="X46" i="462"/>
  <c r="T46" i="462"/>
  <c r="T25" i="462"/>
  <c r="X25" i="462"/>
  <c r="R16" i="462"/>
  <c r="AO16" i="462"/>
  <c r="X20" i="462"/>
  <c r="W20" i="462" s="1"/>
  <c r="T20" i="462"/>
  <c r="AA22" i="462"/>
  <c r="W22" i="462"/>
  <c r="X13" i="462"/>
  <c r="W13" i="462" s="1"/>
  <c r="T13" i="462"/>
  <c r="T17" i="462"/>
  <c r="X17" i="462"/>
  <c r="T84" i="462"/>
  <c r="T88" i="462"/>
  <c r="W90" i="462"/>
  <c r="U111" i="462"/>
  <c r="Q111" i="462"/>
  <c r="Q115" i="462"/>
  <c r="U115" i="462"/>
  <c r="X50" i="462"/>
  <c r="X11" i="462"/>
  <c r="X15" i="462"/>
  <c r="AO17" i="462"/>
  <c r="X29" i="462"/>
  <c r="X59" i="462"/>
  <c r="X82" i="462"/>
  <c r="X86" i="462"/>
  <c r="AO8" i="462"/>
  <c r="T9" i="462"/>
  <c r="AO20" i="462"/>
  <c r="Z24" i="462"/>
  <c r="T48" i="462"/>
  <c r="T73" i="462"/>
  <c r="T77" i="462"/>
  <c r="V97" i="462"/>
  <c r="V99" i="462" s="1"/>
  <c r="L17" i="462"/>
  <c r="I45" i="462"/>
  <c r="AM45" i="462" s="1"/>
  <c r="L59" i="462"/>
  <c r="L62" i="462"/>
  <c r="AN62" i="462" s="1"/>
  <c r="I82" i="462"/>
  <c r="L89" i="462"/>
  <c r="AN89" i="462" s="1"/>
  <c r="L136" i="462"/>
  <c r="L138" i="462"/>
  <c r="I6" i="462"/>
  <c r="L7" i="462"/>
  <c r="L13" i="462"/>
  <c r="I15" i="462"/>
  <c r="AM15" i="462" s="1"/>
  <c r="I21" i="462"/>
  <c r="L22" i="462"/>
  <c r="AN22" i="462" s="1"/>
  <c r="I30" i="462"/>
  <c r="L31" i="462"/>
  <c r="AN31" i="462" s="1"/>
  <c r="I36" i="462"/>
  <c r="I42" i="462"/>
  <c r="I44" i="462"/>
  <c r="L45" i="462"/>
  <c r="L52" i="462"/>
  <c r="L55" i="462"/>
  <c r="AN55" i="462" s="1"/>
  <c r="L56" i="462"/>
  <c r="I59" i="462"/>
  <c r="AM59" i="462" s="1"/>
  <c r="I61" i="462"/>
  <c r="L64" i="462"/>
  <c r="AN64" i="462" s="1"/>
  <c r="L67" i="462"/>
  <c r="I68" i="462"/>
  <c r="AM68" i="462" s="1"/>
  <c r="I75" i="462"/>
  <c r="I83" i="462"/>
  <c r="AM83" i="462" s="1"/>
  <c r="I84" i="462"/>
  <c r="K163" i="462"/>
  <c r="L21" i="462"/>
  <c r="I22" i="462"/>
  <c r="AM22" i="462" s="1"/>
  <c r="L32" i="462"/>
  <c r="I38" i="462"/>
  <c r="I55" i="462"/>
  <c r="AM55" i="462" s="1"/>
  <c r="I64" i="462"/>
  <c r="AM64" i="462" s="1"/>
  <c r="L148" i="462"/>
  <c r="I7" i="462"/>
  <c r="AM7" i="462" s="1"/>
  <c r="L25" i="462"/>
  <c r="I26" i="462"/>
  <c r="AM26" i="462" s="1"/>
  <c r="L36" i="462"/>
  <c r="L44" i="462"/>
  <c r="AN44" i="462" s="1"/>
  <c r="I56" i="462"/>
  <c r="I67" i="462"/>
  <c r="AM67" i="462" s="1"/>
  <c r="L68" i="462"/>
  <c r="L72" i="462"/>
  <c r="AN72" i="462" s="1"/>
  <c r="L73" i="462"/>
  <c r="AN73" i="462" s="1"/>
  <c r="I76" i="462"/>
  <c r="AM76" i="462" s="1"/>
  <c r="I87" i="462"/>
  <c r="I88" i="462"/>
  <c r="AM88" i="462" s="1"/>
  <c r="L115" i="462"/>
  <c r="L120" i="462"/>
  <c r="L156" i="462"/>
  <c r="I10" i="462"/>
  <c r="AM10" i="462" s="1"/>
  <c r="I14" i="462"/>
  <c r="I18" i="462"/>
  <c r="AM18" i="462" s="1"/>
  <c r="I28" i="462"/>
  <c r="AM28" i="462" s="1"/>
  <c r="AN28" i="462"/>
  <c r="AN39" i="462"/>
  <c r="AM42" i="462"/>
  <c r="I43" i="462"/>
  <c r="L46" i="462"/>
  <c r="AN46" i="462" s="1"/>
  <c r="I47" i="462"/>
  <c r="AN47" i="462"/>
  <c r="L50" i="462"/>
  <c r="I51" i="462"/>
  <c r="AM51" i="462" s="1"/>
  <c r="AN51" i="462"/>
  <c r="I53" i="462"/>
  <c r="AM53" i="462" s="1"/>
  <c r="L57" i="462"/>
  <c r="AM63" i="462"/>
  <c r="I65" i="462"/>
  <c r="AM65" i="462" s="1"/>
  <c r="I66" i="462"/>
  <c r="AM66" i="462" s="1"/>
  <c r="AN70" i="462"/>
  <c r="I72" i="462"/>
  <c r="AM72" i="462" s="1"/>
  <c r="I73" i="462"/>
  <c r="AM73" i="462" s="1"/>
  <c r="L76" i="462"/>
  <c r="AN76" i="462" s="1"/>
  <c r="L77" i="462"/>
  <c r="L82" i="462"/>
  <c r="AN82" i="462" s="1"/>
  <c r="L86" i="462"/>
  <c r="AN86" i="462" s="1"/>
  <c r="L90" i="462"/>
  <c r="AN90" i="462" s="1"/>
  <c r="L91" i="462"/>
  <c r="L92" i="462"/>
  <c r="AN92" i="462" s="1"/>
  <c r="L108" i="462"/>
  <c r="L126" i="462"/>
  <c r="AM82" i="462"/>
  <c r="AM86" i="462"/>
  <c r="AN10" i="462"/>
  <c r="AN14" i="462"/>
  <c r="AN18" i="462"/>
  <c r="AG93" i="462"/>
  <c r="AG166" i="462" s="1"/>
  <c r="AG176" i="462" s="1"/>
  <c r="AG185" i="462" s="1"/>
  <c r="I8" i="462"/>
  <c r="I9" i="462"/>
  <c r="AM9" i="462" s="1"/>
  <c r="I12" i="462"/>
  <c r="I13" i="462"/>
  <c r="AM13" i="462" s="1"/>
  <c r="AN13" i="462"/>
  <c r="I16" i="462"/>
  <c r="AM16" i="462" s="1"/>
  <c r="I17" i="462"/>
  <c r="AM17" i="462" s="1"/>
  <c r="AN17" i="462"/>
  <c r="AM19" i="462"/>
  <c r="I20" i="462"/>
  <c r="AN21" i="462"/>
  <c r="L23" i="462"/>
  <c r="AN23" i="462" s="1"/>
  <c r="AM23" i="462"/>
  <c r="I24" i="462"/>
  <c r="AN27" i="462"/>
  <c r="L29" i="462"/>
  <c r="AN29" i="462" s="1"/>
  <c r="AM30" i="462"/>
  <c r="I31" i="462"/>
  <c r="L33" i="462"/>
  <c r="AN33" i="462" s="1"/>
  <c r="L34" i="462"/>
  <c r="AN34" i="462" s="1"/>
  <c r="I37" i="462"/>
  <c r="L40" i="462"/>
  <c r="AN40" i="462" s="1"/>
  <c r="L41" i="462"/>
  <c r="AN41" i="462" s="1"/>
  <c r="L43" i="462"/>
  <c r="AN43" i="462" s="1"/>
  <c r="I46" i="462"/>
  <c r="AM46" i="462" s="1"/>
  <c r="I50" i="462"/>
  <c r="AM50" i="462" s="1"/>
  <c r="AN50" i="462"/>
  <c r="L53" i="462"/>
  <c r="AN53" i="462" s="1"/>
  <c r="I54" i="462"/>
  <c r="AM54" i="462" s="1"/>
  <c r="AN65" i="462"/>
  <c r="AN66" i="462"/>
  <c r="I69" i="462"/>
  <c r="AM69" i="462" s="1"/>
  <c r="I70" i="462"/>
  <c r="L71" i="462"/>
  <c r="AN71" i="462" s="1"/>
  <c r="L74" i="462"/>
  <c r="AN74" i="462" s="1"/>
  <c r="L79" i="462"/>
  <c r="AN79" i="462" s="1"/>
  <c r="L80" i="462"/>
  <c r="L83" i="462"/>
  <c r="AN83" i="462" s="1"/>
  <c r="L84" i="462"/>
  <c r="L87" i="462"/>
  <c r="AN87" i="462" s="1"/>
  <c r="L88" i="462"/>
  <c r="I91" i="462"/>
  <c r="AM91" i="462" s="1"/>
  <c r="AN36" i="462"/>
  <c r="AM40" i="462"/>
  <c r="AM78" i="462"/>
  <c r="AN11" i="462"/>
  <c r="AM32" i="462"/>
  <c r="I33" i="462"/>
  <c r="AM33" i="462" s="1"/>
  <c r="AN35" i="462"/>
  <c r="I41" i="462"/>
  <c r="AM41" i="462" s="1"/>
  <c r="L54" i="462"/>
  <c r="AN54" i="462" s="1"/>
  <c r="AM56" i="462"/>
  <c r="AN58" i="462"/>
  <c r="AM61" i="462"/>
  <c r="AN69" i="462"/>
  <c r="I71" i="462"/>
  <c r="AM71" i="462" s="1"/>
  <c r="I77" i="462"/>
  <c r="AM77" i="462" s="1"/>
  <c r="L78" i="462"/>
  <c r="AN78" i="462" s="1"/>
  <c r="I79" i="462"/>
  <c r="AM79" i="462" s="1"/>
  <c r="I81" i="462"/>
  <c r="AN81" i="462"/>
  <c r="AM84" i="462"/>
  <c r="I85" i="462"/>
  <c r="AN85" i="462"/>
  <c r="AM90" i="462"/>
  <c r="L111" i="462"/>
  <c r="L118" i="462"/>
  <c r="L132" i="462"/>
  <c r="W12" i="462"/>
  <c r="AA12" i="462"/>
  <c r="AN9" i="462"/>
  <c r="AM20" i="462"/>
  <c r="W9" i="462"/>
  <c r="AM12" i="462"/>
  <c r="AA13" i="462"/>
  <c r="AN15" i="462"/>
  <c r="AN16" i="462"/>
  <c r="AN19" i="462"/>
  <c r="AN20" i="462"/>
  <c r="T10" i="462"/>
  <c r="X10" i="462"/>
  <c r="AD6" i="462"/>
  <c r="AC6" i="462" s="1"/>
  <c r="L8" i="462"/>
  <c r="AN8" i="462" s="1"/>
  <c r="AM11" i="462"/>
  <c r="L12" i="462"/>
  <c r="AN12" i="462" s="1"/>
  <c r="AM14" i="462"/>
  <c r="AN24" i="462"/>
  <c r="AM31" i="462"/>
  <c r="Z44" i="462"/>
  <c r="AD44" i="462"/>
  <c r="AC44" i="462" s="1"/>
  <c r="AN48" i="462"/>
  <c r="Z52" i="462"/>
  <c r="AD52" i="462"/>
  <c r="AC52" i="462" s="1"/>
  <c r="J93" i="462"/>
  <c r="J96" i="462" s="1"/>
  <c r="V93" i="462"/>
  <c r="V96" i="462" s="1"/>
  <c r="Y23" i="462"/>
  <c r="W26" i="462"/>
  <c r="AA26" i="462"/>
  <c r="I27" i="462"/>
  <c r="AM27" i="462" s="1"/>
  <c r="T28" i="462"/>
  <c r="X28" i="462"/>
  <c r="AN32" i="462"/>
  <c r="W33" i="462"/>
  <c r="AA33" i="462"/>
  <c r="I34" i="462"/>
  <c r="AM34" i="462" s="1"/>
  <c r="T35" i="462"/>
  <c r="X35" i="462"/>
  <c r="AM38" i="462"/>
  <c r="AM39" i="462"/>
  <c r="W44" i="462"/>
  <c r="T47" i="462"/>
  <c r="AR47" i="462" s="1"/>
  <c r="W48" i="462"/>
  <c r="AM49" i="462"/>
  <c r="T51" i="462"/>
  <c r="X51" i="462"/>
  <c r="W52" i="462"/>
  <c r="Q53" i="462"/>
  <c r="AN26" i="462"/>
  <c r="W37" i="462"/>
  <c r="AA37" i="462"/>
  <c r="AN52" i="462"/>
  <c r="G93" i="462"/>
  <c r="G166" i="462" s="1"/>
  <c r="AE93" i="462"/>
  <c r="AE166" i="462" s="1"/>
  <c r="AE176" i="462" s="1"/>
  <c r="AE185" i="462" s="1"/>
  <c r="X14" i="462"/>
  <c r="X18" i="462"/>
  <c r="AA20" i="462"/>
  <c r="S93" i="462"/>
  <c r="S166" i="462" s="1"/>
  <c r="W23" i="462"/>
  <c r="AM25" i="462"/>
  <c r="T31" i="462"/>
  <c r="X31" i="462"/>
  <c r="AM37" i="462"/>
  <c r="W40" i="462"/>
  <c r="AN45" i="462"/>
  <c r="AN49" i="462"/>
  <c r="AM57" i="462"/>
  <c r="Z48" i="462"/>
  <c r="AC48" i="462"/>
  <c r="T53" i="462"/>
  <c r="X53" i="462"/>
  <c r="W54" i="462"/>
  <c r="AA54" i="462"/>
  <c r="K93" i="462"/>
  <c r="N104" i="462" s="1"/>
  <c r="H93" i="462"/>
  <c r="H166" i="462" s="1"/>
  <c r="H176" i="462" s="1"/>
  <c r="H185" i="462" s="1"/>
  <c r="AM93" i="462" s="1"/>
  <c r="L6" i="462"/>
  <c r="AF93" i="462"/>
  <c r="AF166" i="462" s="1"/>
  <c r="AF176" i="462" s="1"/>
  <c r="AF185" i="462" s="1"/>
  <c r="X21" i="462"/>
  <c r="AM21" i="462"/>
  <c r="T23" i="462"/>
  <c r="AM24" i="462"/>
  <c r="AN25" i="462"/>
  <c r="W27" i="462"/>
  <c r="AA27" i="462"/>
  <c r="AM29" i="462"/>
  <c r="W34" i="462"/>
  <c r="AA34" i="462"/>
  <c r="AM35" i="462"/>
  <c r="AM36" i="462"/>
  <c r="L37" i="462"/>
  <c r="AN37" i="462" s="1"/>
  <c r="AM43" i="462"/>
  <c r="AM44" i="462"/>
  <c r="W45" i="462"/>
  <c r="AM47" i="462"/>
  <c r="AM48" i="462"/>
  <c r="W49" i="462"/>
  <c r="AM52" i="462"/>
  <c r="Q55" i="462"/>
  <c r="U55" i="462"/>
  <c r="AN56" i="462"/>
  <c r="AN57" i="462"/>
  <c r="AA62" i="462"/>
  <c r="AD62" i="462" s="1"/>
  <c r="AC62" i="462" s="1"/>
  <c r="W62" i="462"/>
  <c r="AN67" i="462"/>
  <c r="AN77" i="462"/>
  <c r="X58" i="462"/>
  <c r="I60" i="462"/>
  <c r="AM60" i="462" s="1"/>
  <c r="AA65" i="462"/>
  <c r="AD65" i="462" s="1"/>
  <c r="AC65" i="462" s="1"/>
  <c r="W65" i="462"/>
  <c r="AM74" i="462"/>
  <c r="Z75" i="462"/>
  <c r="AD75" i="462"/>
  <c r="AC75" i="462" s="1"/>
  <c r="AM58" i="462"/>
  <c r="AN59" i="462"/>
  <c r="AM62" i="462"/>
  <c r="AA64" i="462"/>
  <c r="AD64" i="462" s="1"/>
  <c r="AC64" i="462" s="1"/>
  <c r="W64" i="462"/>
  <c r="AD68" i="462"/>
  <c r="AC68" i="462" s="1"/>
  <c r="Z68" i="462"/>
  <c r="AN68" i="462"/>
  <c r="W73" i="462"/>
  <c r="AA73" i="462"/>
  <c r="AM75" i="462"/>
  <c r="AO59" i="462"/>
  <c r="AA67" i="462"/>
  <c r="AD67" i="462" s="1"/>
  <c r="AC67" i="462" s="1"/>
  <c r="W67" i="462"/>
  <c r="AM70" i="462"/>
  <c r="AN75" i="462"/>
  <c r="AB97" i="462"/>
  <c r="AB99" i="462" s="1"/>
  <c r="AD78" i="462"/>
  <c r="AC78" i="462" s="1"/>
  <c r="T64" i="462"/>
  <c r="T65" i="462"/>
  <c r="W68" i="462"/>
  <c r="W80" i="462"/>
  <c r="AA80" i="462"/>
  <c r="AM81" i="462"/>
  <c r="W84" i="462"/>
  <c r="AA84" i="462"/>
  <c r="AM85" i="462"/>
  <c r="W88" i="462"/>
  <c r="AA88" i="462"/>
  <c r="AM89" i="462"/>
  <c r="Z90" i="462"/>
  <c r="AD90" i="462"/>
  <c r="AC90" i="462" s="1"/>
  <c r="AM92" i="462"/>
  <c r="Q65" i="462"/>
  <c r="X70" i="462"/>
  <c r="AA72" i="462"/>
  <c r="X74" i="462"/>
  <c r="AA76" i="462"/>
  <c r="W66" i="462"/>
  <c r="T67" i="462"/>
  <c r="Z77" i="462"/>
  <c r="I80" i="462"/>
  <c r="AM80" i="462" s="1"/>
  <c r="AN80" i="462"/>
  <c r="AN84" i="462"/>
  <c r="AM87" i="462"/>
  <c r="AN88" i="462"/>
  <c r="AN91" i="462"/>
  <c r="L127" i="462"/>
  <c r="L131" i="462"/>
  <c r="L135" i="462"/>
  <c r="M166" i="462"/>
  <c r="X81" i="462"/>
  <c r="AA83" i="462"/>
  <c r="X85" i="462"/>
  <c r="X89" i="462"/>
  <c r="AA91" i="462"/>
  <c r="AA92" i="462"/>
  <c r="AO92" i="462"/>
  <c r="J163" i="462"/>
  <c r="L128" i="462"/>
  <c r="O172" i="462"/>
  <c r="L163" i="462"/>
  <c r="L129" i="462"/>
  <c r="P166" i="462"/>
  <c r="I163" i="462"/>
  <c r="O163" i="462"/>
  <c r="AA79" i="462" l="1"/>
  <c r="Q163" i="462"/>
  <c r="Z66" i="462"/>
  <c r="AA87" i="462"/>
  <c r="Z87" i="462" s="1"/>
  <c r="Z71" i="462"/>
  <c r="AD71" i="462"/>
  <c r="AC71" i="462" s="1"/>
  <c r="O166" i="462"/>
  <c r="S96" i="462"/>
  <c r="T96" i="462" s="1"/>
  <c r="AM8" i="462"/>
  <c r="R8" i="462"/>
  <c r="U8" i="462" s="1"/>
  <c r="X8" i="462" s="1"/>
  <c r="AA8" i="462" s="1"/>
  <c r="AD8" i="462" s="1"/>
  <c r="W75" i="462"/>
  <c r="AN7" i="462"/>
  <c r="R7" i="462"/>
  <c r="U7" i="462" s="1"/>
  <c r="X7" i="462" s="1"/>
  <c r="AA7" i="462" s="1"/>
  <c r="AD7" i="462" s="1"/>
  <c r="AA69" i="462"/>
  <c r="K104" i="462"/>
  <c r="W78" i="462"/>
  <c r="AA59" i="462"/>
  <c r="W59" i="462"/>
  <c r="AA50" i="462"/>
  <c r="W50" i="462"/>
  <c r="AA29" i="462"/>
  <c r="W29" i="462"/>
  <c r="W36" i="462"/>
  <c r="T111" i="462"/>
  <c r="X111" i="462"/>
  <c r="Z22" i="462"/>
  <c r="AD22" i="462"/>
  <c r="AC22" i="462" s="1"/>
  <c r="U16" i="462"/>
  <c r="Q16" i="462"/>
  <c r="AA46" i="462"/>
  <c r="W46" i="462"/>
  <c r="AA19" i="462"/>
  <c r="W19" i="462"/>
  <c r="AA11" i="462"/>
  <c r="W11" i="462"/>
  <c r="AA86" i="462"/>
  <c r="W86" i="462"/>
  <c r="X115" i="462"/>
  <c r="T115" i="462"/>
  <c r="AA17" i="462"/>
  <c r="W17" i="462"/>
  <c r="AA25" i="462"/>
  <c r="W25" i="462"/>
  <c r="AA32" i="462"/>
  <c r="W32" i="462"/>
  <c r="AA82" i="462"/>
  <c r="W82" i="462"/>
  <c r="AA15" i="462"/>
  <c r="W15" i="462"/>
  <c r="W56" i="462"/>
  <c r="V166" i="462"/>
  <c r="K96" i="462"/>
  <c r="N96" i="462"/>
  <c r="AD92" i="462"/>
  <c r="AC92" i="462" s="1"/>
  <c r="Z92" i="462"/>
  <c r="L182" i="462"/>
  <c r="L93" i="462"/>
  <c r="O105" i="462" s="1"/>
  <c r="K166" i="462"/>
  <c r="AD91" i="462"/>
  <c r="AC91" i="462" s="1"/>
  <c r="Z91" i="462"/>
  <c r="AD83" i="462"/>
  <c r="AC83" i="462" s="1"/>
  <c r="Z83" i="462"/>
  <c r="Z76" i="462"/>
  <c r="AD76" i="462"/>
  <c r="AC76" i="462" s="1"/>
  <c r="AA58" i="462"/>
  <c r="W58" i="462"/>
  <c r="Z49" i="462"/>
  <c r="AC49" i="462"/>
  <c r="Z54" i="462"/>
  <c r="AD54" i="462"/>
  <c r="AC54" i="462" s="1"/>
  <c r="AA14" i="462"/>
  <c r="W14" i="462"/>
  <c r="W51" i="462"/>
  <c r="AA51" i="462"/>
  <c r="W47" i="462"/>
  <c r="W35" i="462"/>
  <c r="AA35" i="462"/>
  <c r="Z33" i="462"/>
  <c r="AD33" i="462"/>
  <c r="AC33" i="462" s="1"/>
  <c r="W10" i="462"/>
  <c r="AA10" i="462"/>
  <c r="AC9" i="462"/>
  <c r="Z9" i="462"/>
  <c r="Z12" i="462"/>
  <c r="AD12" i="462"/>
  <c r="AC12" i="462" s="1"/>
  <c r="I172" i="462"/>
  <c r="I166" i="462"/>
  <c r="AA85" i="462"/>
  <c r="W85" i="462"/>
  <c r="Z79" i="462"/>
  <c r="AD79" i="462"/>
  <c r="AC79" i="462" s="1"/>
  <c r="W28" i="462"/>
  <c r="AA28" i="462"/>
  <c r="Z26" i="462"/>
  <c r="AD26" i="462"/>
  <c r="AC26" i="462" s="1"/>
  <c r="Y93" i="462"/>
  <c r="Y166" i="462" s="1"/>
  <c r="Z23" i="462"/>
  <c r="J166" i="462"/>
  <c r="AA89" i="462"/>
  <c r="W89" i="462"/>
  <c r="AA81" i="462"/>
  <c r="W81" i="462"/>
  <c r="W74" i="462"/>
  <c r="AA74" i="462"/>
  <c r="AD73" i="462"/>
  <c r="AC73" i="462" s="1"/>
  <c r="Z73" i="462"/>
  <c r="Z64" i="462"/>
  <c r="AC41" i="462"/>
  <c r="Z41" i="462"/>
  <c r="Z57" i="462"/>
  <c r="AC57" i="462"/>
  <c r="AD34" i="462"/>
  <c r="AC34" i="462" s="1"/>
  <c r="Z34" i="462"/>
  <c r="AD27" i="462"/>
  <c r="AC27" i="462" s="1"/>
  <c r="Z27" i="462"/>
  <c r="I182" i="462"/>
  <c r="I93" i="462"/>
  <c r="Z40" i="462"/>
  <c r="AC40" i="462"/>
  <c r="W31" i="462"/>
  <c r="AA31" i="462"/>
  <c r="AD20" i="462"/>
  <c r="AC20" i="462" s="1"/>
  <c r="Z20" i="462"/>
  <c r="Z37" i="462"/>
  <c r="AD37" i="462"/>
  <c r="AC37" i="462" s="1"/>
  <c r="W70" i="462"/>
  <c r="AA70" i="462"/>
  <c r="Y97" i="462"/>
  <c r="Y99" i="462" s="1"/>
  <c r="Z62" i="462"/>
  <c r="Z67" i="462"/>
  <c r="T55" i="462"/>
  <c r="X55" i="462"/>
  <c r="Z45" i="462"/>
  <c r="AC45" i="462"/>
  <c r="AD87" i="462"/>
  <c r="AC87" i="462" s="1"/>
  <c r="Z72" i="462"/>
  <c r="AD72" i="462"/>
  <c r="AC72" i="462" s="1"/>
  <c r="Z88" i="462"/>
  <c r="AD88" i="462"/>
  <c r="AC88" i="462" s="1"/>
  <c r="Z84" i="462"/>
  <c r="AD84" i="462"/>
  <c r="AC84" i="462" s="1"/>
  <c r="Z80" i="462"/>
  <c r="AD80" i="462"/>
  <c r="AC80" i="462" s="1"/>
  <c r="AD69" i="462"/>
  <c r="AC69" i="462" s="1"/>
  <c r="Z69" i="462"/>
  <c r="Z65" i="462"/>
  <c r="W39" i="462"/>
  <c r="W21" i="462"/>
  <c r="AA21" i="462"/>
  <c r="AA53" i="462"/>
  <c r="W53" i="462"/>
  <c r="AA18" i="462"/>
  <c r="W18" i="462"/>
  <c r="AD13" i="462"/>
  <c r="AC13" i="462" s="1"/>
  <c r="Z13" i="462"/>
  <c r="Q7" i="462" l="1"/>
  <c r="AQ7" i="462" s="1"/>
  <c r="W96" i="462"/>
  <c r="H35" i="14"/>
  <c r="R163" i="462"/>
  <c r="Z17" i="462"/>
  <c r="AD17" i="462"/>
  <c r="AC17" i="462" s="1"/>
  <c r="AD19" i="462"/>
  <c r="AC19" i="462" s="1"/>
  <c r="Z19" i="462"/>
  <c r="Z56" i="462"/>
  <c r="AC56" i="462"/>
  <c r="AD82" i="462"/>
  <c r="AC82" i="462" s="1"/>
  <c r="Z82" i="462"/>
  <c r="Z29" i="462"/>
  <c r="AD29" i="462"/>
  <c r="AC29" i="462" s="1"/>
  <c r="Z59" i="462"/>
  <c r="AD59" i="462"/>
  <c r="AC59" i="462" s="1"/>
  <c r="Z86" i="462"/>
  <c r="AD86" i="462"/>
  <c r="AC86" i="462" s="1"/>
  <c r="Z25" i="462"/>
  <c r="AD25" i="462"/>
  <c r="AC25" i="462" s="1"/>
  <c r="AA115" i="462"/>
  <c r="W115" i="462"/>
  <c r="Z11" i="462"/>
  <c r="AD11" i="462"/>
  <c r="AC11" i="462" s="1"/>
  <c r="AD46" i="462"/>
  <c r="AC46" i="462" s="1"/>
  <c r="Z46" i="462"/>
  <c r="AC36" i="462"/>
  <c r="Z36" i="462"/>
  <c r="T7" i="462"/>
  <c r="AD32" i="462"/>
  <c r="AC32" i="462" s="1"/>
  <c r="Z32" i="462"/>
  <c r="X16" i="462"/>
  <c r="T16" i="462"/>
  <c r="Z15" i="462"/>
  <c r="AD15" i="462"/>
  <c r="AC15" i="462" s="1"/>
  <c r="W111" i="462"/>
  <c r="AA111" i="462"/>
  <c r="Q8" i="462"/>
  <c r="AD50" i="462"/>
  <c r="AC50" i="462" s="1"/>
  <c r="Z50" i="462"/>
  <c r="Y96" i="462"/>
  <c r="Z96" i="462" s="1"/>
  <c r="Z21" i="462"/>
  <c r="AD21" i="462"/>
  <c r="AC21" i="462" s="1"/>
  <c r="Z28" i="462"/>
  <c r="AD28" i="462"/>
  <c r="AC28" i="462" s="1"/>
  <c r="Z14" i="462"/>
  <c r="AD14" i="462"/>
  <c r="AC14" i="462" s="1"/>
  <c r="Z81" i="462"/>
  <c r="AD81" i="462"/>
  <c r="AC81" i="462" s="1"/>
  <c r="Z85" i="462"/>
  <c r="AD85" i="462"/>
  <c r="AC85" i="462" s="1"/>
  <c r="Z31" i="462"/>
  <c r="AD31" i="462"/>
  <c r="AC31" i="462" s="1"/>
  <c r="Z89" i="462"/>
  <c r="AD89" i="462"/>
  <c r="AC89" i="462" s="1"/>
  <c r="Z35" i="462"/>
  <c r="AD35" i="462"/>
  <c r="AC35" i="462" s="1"/>
  <c r="Z51" i="462"/>
  <c r="AD51" i="462"/>
  <c r="AC51" i="462" s="1"/>
  <c r="Z58" i="462"/>
  <c r="AD58" i="462"/>
  <c r="AC58" i="462" s="1"/>
  <c r="R182" i="462"/>
  <c r="Z74" i="462"/>
  <c r="AD74" i="462"/>
  <c r="AC74" i="462" s="1"/>
  <c r="AB93" i="462"/>
  <c r="AB166" i="462" s="1"/>
  <c r="AC23" i="462"/>
  <c r="Z47" i="462"/>
  <c r="AC47" i="462"/>
  <c r="K176" i="462"/>
  <c r="K185" i="462" s="1"/>
  <c r="L172" i="462"/>
  <c r="R172" i="462" s="1"/>
  <c r="U172" i="462" s="1"/>
  <c r="X172" i="462" s="1"/>
  <c r="AA172" i="462" s="1"/>
  <c r="AD172" i="462" s="1"/>
  <c r="L166" i="462"/>
  <c r="Z18" i="462"/>
  <c r="AD18" i="462"/>
  <c r="AC18" i="462" s="1"/>
  <c r="Z53" i="462"/>
  <c r="AD53" i="462"/>
  <c r="AC53" i="462" s="1"/>
  <c r="Z39" i="462"/>
  <c r="AC39" i="462"/>
  <c r="W55" i="462"/>
  <c r="AA55" i="462"/>
  <c r="Z70" i="462"/>
  <c r="AD70" i="462"/>
  <c r="AC70" i="462" s="1"/>
  <c r="Z10" i="462"/>
  <c r="AD10" i="462"/>
  <c r="AC10" i="462" s="1"/>
  <c r="AN93" i="462" l="1"/>
  <c r="AP93" i="462" s="1"/>
  <c r="AL17" i="462" s="1"/>
  <c r="AQ8" i="462"/>
  <c r="AQ93" i="462" s="1"/>
  <c r="H196" i="13" s="1"/>
  <c r="Q93" i="462"/>
  <c r="Q166" i="462" s="1"/>
  <c r="T8" i="462"/>
  <c r="AR8" i="462" s="1"/>
  <c r="Z111" i="462"/>
  <c r="AD111" i="462"/>
  <c r="AC111" i="462" s="1"/>
  <c r="W7" i="462"/>
  <c r="W16" i="462"/>
  <c r="AA16" i="462"/>
  <c r="AR7" i="462"/>
  <c r="AD115" i="462"/>
  <c r="AC115" i="462" s="1"/>
  <c r="Z115" i="462"/>
  <c r="AB96" i="462"/>
  <c r="AC96" i="462" s="1"/>
  <c r="AK12" i="462"/>
  <c r="AK87" i="462"/>
  <c r="AK80" i="462"/>
  <c r="AJ74" i="462"/>
  <c r="AL10" i="462"/>
  <c r="AL39" i="462"/>
  <c r="AK18" i="462"/>
  <c r="AL23" i="462"/>
  <c r="AL88" i="462"/>
  <c r="AK35" i="462"/>
  <c r="AK64" i="462"/>
  <c r="AL72" i="462"/>
  <c r="AK13" i="462"/>
  <c r="AK41" i="462"/>
  <c r="AL14" i="462"/>
  <c r="AL28" i="462"/>
  <c r="AK67" i="462"/>
  <c r="AK37" i="462"/>
  <c r="AK53" i="462"/>
  <c r="AL33" i="462"/>
  <c r="AI55" i="462"/>
  <c r="AL31" i="462"/>
  <c r="AK81" i="462"/>
  <c r="AL20" i="462"/>
  <c r="AL54" i="462"/>
  <c r="AK57" i="462"/>
  <c r="AL87" i="462"/>
  <c r="AJ51" i="462"/>
  <c r="AK23" i="462"/>
  <c r="AK34" i="462"/>
  <c r="AK70" i="462"/>
  <c r="AK39" i="462"/>
  <c r="AK88" i="462"/>
  <c r="AL47" i="462"/>
  <c r="AJ18" i="462"/>
  <c r="AK91" i="462"/>
  <c r="AL51" i="462"/>
  <c r="AJ28" i="462"/>
  <c r="AL57" i="462"/>
  <c r="AL37" i="462"/>
  <c r="AJ53" i="462"/>
  <c r="AK83" i="462"/>
  <c r="AK26" i="462"/>
  <c r="AK62" i="462"/>
  <c r="AL83" i="462"/>
  <c r="AK14" i="462"/>
  <c r="AL12" i="462"/>
  <c r="AK28" i="462"/>
  <c r="AK27" i="462"/>
  <c r="AL21" i="462"/>
  <c r="AJ10" i="462"/>
  <c r="AK173" i="462"/>
  <c r="AJ161" i="462"/>
  <c r="AI160" i="462"/>
  <c r="AL159" i="462"/>
  <c r="AH159" i="462"/>
  <c r="AK158" i="462"/>
  <c r="AK157" i="462"/>
  <c r="AK156" i="462"/>
  <c r="AK155" i="462"/>
  <c r="AK154" i="462"/>
  <c r="AJ153" i="462"/>
  <c r="AI152" i="462"/>
  <c r="AI151" i="462"/>
  <c r="AI150" i="462"/>
  <c r="AJ149" i="462"/>
  <c r="AI148" i="462"/>
  <c r="AI147" i="462"/>
  <c r="AI146" i="462"/>
  <c r="AL145" i="462"/>
  <c r="AH145" i="462"/>
  <c r="AK144" i="462"/>
  <c r="AJ143" i="462"/>
  <c r="AI142" i="462"/>
  <c r="AJ141" i="462"/>
  <c r="AK140" i="462"/>
  <c r="AK139" i="462"/>
  <c r="AK138" i="462"/>
  <c r="AK137" i="462"/>
  <c r="AK136" i="462"/>
  <c r="AJ173" i="462"/>
  <c r="AI161" i="462"/>
  <c r="AL160" i="462"/>
  <c r="AH160" i="462"/>
  <c r="AK159" i="462"/>
  <c r="AJ158" i="462"/>
  <c r="AJ157" i="462"/>
  <c r="AJ156" i="462"/>
  <c r="AJ155" i="462"/>
  <c r="AJ154" i="462"/>
  <c r="AI153" i="462"/>
  <c r="AL152" i="462"/>
  <c r="AH152" i="462"/>
  <c r="AL151" i="462"/>
  <c r="AH151" i="462"/>
  <c r="AL150" i="462"/>
  <c r="AH150" i="462"/>
  <c r="AI149" i="462"/>
  <c r="AL148" i="462"/>
  <c r="AH148" i="462"/>
  <c r="AL147" i="462"/>
  <c r="AH147" i="462"/>
  <c r="AL146" i="462"/>
  <c r="AH146" i="462"/>
  <c r="AK145" i="462"/>
  <c r="AJ144" i="462"/>
  <c r="AI143" i="462"/>
  <c r="AL142" i="462"/>
  <c r="AH142" i="462"/>
  <c r="AI141" i="462"/>
  <c r="AJ140" i="462"/>
  <c r="AJ139" i="462"/>
  <c r="AJ138" i="462"/>
  <c r="AJ137" i="462"/>
  <c r="AJ136" i="462"/>
  <c r="AJ135" i="462"/>
  <c r="AI134" i="462"/>
  <c r="AL133" i="462"/>
  <c r="AH133" i="462"/>
  <c r="AK132" i="462"/>
  <c r="AL131" i="462"/>
  <c r="AH131" i="462"/>
  <c r="AJ130" i="462"/>
  <c r="AK129" i="462"/>
  <c r="AL128" i="462"/>
  <c r="AH128" i="462"/>
  <c r="AJ127" i="462"/>
  <c r="AJ126" i="462"/>
  <c r="AJ125" i="462"/>
  <c r="AJ124" i="462"/>
  <c r="AL123" i="462"/>
  <c r="AH123" i="462"/>
  <c r="AJ122" i="462"/>
  <c r="AK121" i="462"/>
  <c r="AL120" i="462"/>
  <c r="AH120" i="462"/>
  <c r="AL118" i="462"/>
  <c r="AH118" i="462"/>
  <c r="AL117" i="462"/>
  <c r="AH117" i="462"/>
  <c r="AL116" i="462"/>
  <c r="AH116" i="462"/>
  <c r="AL115" i="462"/>
  <c r="AH115" i="462"/>
  <c r="AL113" i="462"/>
  <c r="AH113" i="462"/>
  <c r="AI112" i="462"/>
  <c r="AL111" i="462"/>
  <c r="AH111" i="462"/>
  <c r="AL110" i="462"/>
  <c r="AH110" i="462"/>
  <c r="AL109" i="462"/>
  <c r="AH109" i="462"/>
  <c r="AL108" i="462"/>
  <c r="AH108" i="462"/>
  <c r="AI173" i="462"/>
  <c r="AL161" i="462"/>
  <c r="AH161" i="462"/>
  <c r="AK160" i="462"/>
  <c r="AJ159" i="462"/>
  <c r="AI158" i="462"/>
  <c r="AI157" i="462"/>
  <c r="AI156" i="462"/>
  <c r="AI155" i="462"/>
  <c r="AI154" i="462"/>
  <c r="AL153" i="462"/>
  <c r="AH153" i="462"/>
  <c r="AK152" i="462"/>
  <c r="AK151" i="462"/>
  <c r="AK150" i="462"/>
  <c r="AL149" i="462"/>
  <c r="AH149" i="462"/>
  <c r="AK148" i="462"/>
  <c r="AK147" i="462"/>
  <c r="AK146" i="462"/>
  <c r="AJ145" i="462"/>
  <c r="AI144" i="462"/>
  <c r="AL143" i="462"/>
  <c r="AH143" i="462"/>
  <c r="AK142" i="462"/>
  <c r="AL141" i="462"/>
  <c r="AH141" i="462"/>
  <c r="AI140" i="462"/>
  <c r="AI139" i="462"/>
  <c r="AI138" i="462"/>
  <c r="AI137" i="462"/>
  <c r="AI136" i="462"/>
  <c r="AI135" i="462"/>
  <c r="AL134" i="462"/>
  <c r="AH134" i="462"/>
  <c r="AK133" i="462"/>
  <c r="AJ132" i="462"/>
  <c r="AK131" i="462"/>
  <c r="AI130" i="462"/>
  <c r="AJ129" i="462"/>
  <c r="AK128" i="462"/>
  <c r="AL173" i="462"/>
  <c r="AH173" i="462"/>
  <c r="AK161" i="462"/>
  <c r="AJ160" i="462"/>
  <c r="AI159" i="462"/>
  <c r="AL158" i="462"/>
  <c r="AH158" i="462"/>
  <c r="AL157" i="462"/>
  <c r="AH157" i="462"/>
  <c r="AL156" i="462"/>
  <c r="AH156" i="462"/>
  <c r="AL155" i="462"/>
  <c r="AH155" i="462"/>
  <c r="AL154" i="462"/>
  <c r="AH154" i="462"/>
  <c r="AK153" i="462"/>
  <c r="AJ152" i="462"/>
  <c r="AJ151" i="462"/>
  <c r="AJ150" i="462"/>
  <c r="AK149" i="462"/>
  <c r="AJ148" i="462"/>
  <c r="AJ147" i="462"/>
  <c r="AJ146" i="462"/>
  <c r="AI145" i="462"/>
  <c r="AL144" i="462"/>
  <c r="AH144" i="462"/>
  <c r="AK143" i="462"/>
  <c r="AJ142" i="462"/>
  <c r="AK141" i="462"/>
  <c r="AL140" i="462"/>
  <c r="AH140" i="462"/>
  <c r="AL139" i="462"/>
  <c r="AH139" i="462"/>
  <c r="AL138" i="462"/>
  <c r="AH138" i="462"/>
  <c r="AL137" i="462"/>
  <c r="AH137" i="462"/>
  <c r="AL136" i="462"/>
  <c r="AH136" i="462"/>
  <c r="AL135" i="462"/>
  <c r="AH135" i="462"/>
  <c r="AK134" i="462"/>
  <c r="AJ133" i="462"/>
  <c r="AI132" i="462"/>
  <c r="AK135" i="462"/>
  <c r="AL132" i="462"/>
  <c r="AK130" i="462"/>
  <c r="AH129" i="462"/>
  <c r="AJ128" i="462"/>
  <c r="AH127" i="462"/>
  <c r="AK126" i="462"/>
  <c r="AI125" i="462"/>
  <c r="AH124" i="462"/>
  <c r="AI123" i="462"/>
  <c r="AI122" i="462"/>
  <c r="AI121" i="462"/>
  <c r="AI120" i="462"/>
  <c r="AK118" i="462"/>
  <c r="AI117" i="462"/>
  <c r="AK116" i="462"/>
  <c r="AI115" i="462"/>
  <c r="AK113" i="462"/>
  <c r="AK112" i="462"/>
  <c r="AJ110" i="462"/>
  <c r="AJ108" i="462"/>
  <c r="AI92" i="462"/>
  <c r="AI133" i="462"/>
  <c r="AH132" i="462"/>
  <c r="AJ131" i="462"/>
  <c r="AH130" i="462"/>
  <c r="AI128" i="462"/>
  <c r="AI126" i="462"/>
  <c r="AH125" i="462"/>
  <c r="AL124" i="462"/>
  <c r="AH122" i="462"/>
  <c r="AH121" i="462"/>
  <c r="AJ118" i="462"/>
  <c r="AJ116" i="462"/>
  <c r="AJ113" i="462"/>
  <c r="AJ112" i="462"/>
  <c r="AK111" i="462"/>
  <c r="AI110" i="462"/>
  <c r="AK109" i="462"/>
  <c r="AI108" i="462"/>
  <c r="AH92" i="462"/>
  <c r="AJ134" i="462"/>
  <c r="AI131" i="462"/>
  <c r="AL129" i="462"/>
  <c r="AL127" i="462"/>
  <c r="AH126" i="462"/>
  <c r="AL125" i="462"/>
  <c r="AK124" i="462"/>
  <c r="AK123" i="462"/>
  <c r="AL122" i="462"/>
  <c r="AL121" i="462"/>
  <c r="AK120" i="462"/>
  <c r="AI118" i="462"/>
  <c r="AK117" i="462"/>
  <c r="AI116" i="462"/>
  <c r="AK115" i="462"/>
  <c r="AI113" i="462"/>
  <c r="AH112" i="462"/>
  <c r="AJ111" i="462"/>
  <c r="AJ109" i="462"/>
  <c r="AL130" i="462"/>
  <c r="AI129" i="462"/>
  <c r="AK127" i="462"/>
  <c r="AL126" i="462"/>
  <c r="AK125" i="462"/>
  <c r="AI124" i="462"/>
  <c r="AJ123" i="462"/>
  <c r="AK122" i="462"/>
  <c r="AJ121" i="462"/>
  <c r="AJ120" i="462"/>
  <c r="AJ117" i="462"/>
  <c r="AL112" i="462"/>
  <c r="AI111" i="462"/>
  <c r="AK110" i="462"/>
  <c r="AI109" i="462"/>
  <c r="AK108" i="462"/>
  <c r="AK63" i="462"/>
  <c r="AL61" i="462"/>
  <c r="AH61" i="462"/>
  <c r="AJ63" i="462"/>
  <c r="AK61" i="462"/>
  <c r="AI60" i="462"/>
  <c r="AI63" i="462"/>
  <c r="AJ61" i="462"/>
  <c r="AL60" i="462"/>
  <c r="AH60" i="462"/>
  <c r="AL63" i="462"/>
  <c r="AH63" i="462"/>
  <c r="AI61" i="462"/>
  <c r="AI43" i="462"/>
  <c r="AJ42" i="462"/>
  <c r="AI38" i="462"/>
  <c r="AL30" i="462"/>
  <c r="AH30" i="462"/>
  <c r="AK60" i="462"/>
  <c r="AL43" i="462"/>
  <c r="AH43" i="462"/>
  <c r="AI42" i="462"/>
  <c r="AL38" i="462"/>
  <c r="AH38" i="462"/>
  <c r="AK30" i="462"/>
  <c r="AJ60" i="462"/>
  <c r="AI59" i="462"/>
  <c r="AK43" i="462"/>
  <c r="AL42" i="462"/>
  <c r="AH42" i="462"/>
  <c r="AK38" i="462"/>
  <c r="AJ30" i="462"/>
  <c r="AH59" i="462"/>
  <c r="AI34" i="462"/>
  <c r="AI27" i="462"/>
  <c r="AJ43" i="462"/>
  <c r="AI41" i="462"/>
  <c r="AK25" i="462"/>
  <c r="AI22" i="462"/>
  <c r="AJ38" i="462"/>
  <c r="AK42" i="462"/>
  <c r="AI30" i="462"/>
  <c r="AH22" i="462"/>
  <c r="AH49" i="462"/>
  <c r="AH45" i="462"/>
  <c r="AH12" i="462"/>
  <c r="AJ6" i="462"/>
  <c r="AJ11" i="462"/>
  <c r="AH7" i="462"/>
  <c r="AH11" i="462"/>
  <c r="AH14" i="462"/>
  <c r="AH17" i="462"/>
  <c r="AL22" i="462"/>
  <c r="AI11" i="462"/>
  <c r="AI20" i="462"/>
  <c r="AH37" i="462"/>
  <c r="AK22" i="462"/>
  <c r="AJ15" i="462"/>
  <c r="AJ19" i="462"/>
  <c r="AH25" i="462"/>
  <c r="AI50" i="462"/>
  <c r="AK46" i="462"/>
  <c r="AJ22" i="462"/>
  <c r="AI24" i="462"/>
  <c r="AH34" i="462"/>
  <c r="AI40" i="462"/>
  <c r="AH36" i="462"/>
  <c r="AI45" i="462"/>
  <c r="AI49" i="462"/>
  <c r="AL59" i="462"/>
  <c r="AI44" i="462"/>
  <c r="AH46" i="462"/>
  <c r="AL50" i="462"/>
  <c r="AI54" i="462"/>
  <c r="AI71" i="462"/>
  <c r="AI74" i="462"/>
  <c r="AI62" i="462"/>
  <c r="AI68" i="462"/>
  <c r="AJ76" i="462"/>
  <c r="AH76" i="462"/>
  <c r="AH74" i="462"/>
  <c r="AH79" i="462"/>
  <c r="AI83" i="462"/>
  <c r="AI89" i="462"/>
  <c r="AJ91" i="462"/>
  <c r="AH77" i="462"/>
  <c r="AI82" i="462"/>
  <c r="AI90" i="462"/>
  <c r="AH56" i="462"/>
  <c r="AH48" i="462"/>
  <c r="AH78" i="462"/>
  <c r="AI73" i="462"/>
  <c r="AJ71" i="462"/>
  <c r="AK78" i="462"/>
  <c r="AI85" i="462"/>
  <c r="AH87" i="462"/>
  <c r="AH8" i="462"/>
  <c r="AI15" i="462"/>
  <c r="AH18" i="462"/>
  <c r="AL24" i="462"/>
  <c r="AJ16" i="462"/>
  <c r="AI12" i="462"/>
  <c r="AI14" i="462"/>
  <c r="AI17" i="462"/>
  <c r="AK24" i="462"/>
  <c r="AI6" i="462"/>
  <c r="AH23" i="462"/>
  <c r="AL25" i="462"/>
  <c r="AH20" i="462"/>
  <c r="AH47" i="462"/>
  <c r="AJ56" i="462"/>
  <c r="AI25" i="462"/>
  <c r="AH27" i="462"/>
  <c r="AI32" i="462"/>
  <c r="AJ25" i="462"/>
  <c r="AI37" i="462"/>
  <c r="AI56" i="462"/>
  <c r="AH28" i="462"/>
  <c r="AK50" i="462"/>
  <c r="AH32" i="462"/>
  <c r="AL46" i="462"/>
  <c r="AI57" i="462"/>
  <c r="AH64" i="462"/>
  <c r="AH72" i="462"/>
  <c r="AJ75" i="462"/>
  <c r="AH66" i="462"/>
  <c r="AH69" i="462"/>
  <c r="AI72" i="462"/>
  <c r="AH75" i="462"/>
  <c r="AJ77" i="462"/>
  <c r="AK66" i="462"/>
  <c r="AI69" i="462"/>
  <c r="AH62" i="462"/>
  <c r="AI66" i="462"/>
  <c r="AI80" i="462"/>
  <c r="AI87" i="462"/>
  <c r="AJ90" i="462"/>
  <c r="AJ83" i="462"/>
  <c r="AJ87" i="462"/>
  <c r="AH80" i="462"/>
  <c r="AH83" i="462"/>
  <c r="AH85" i="462"/>
  <c r="AH88" i="462"/>
  <c r="AH15" i="462"/>
  <c r="AI13" i="462"/>
  <c r="AH54" i="462"/>
  <c r="AJ20" i="462"/>
  <c r="AI16" i="462"/>
  <c r="AH13" i="462"/>
  <c r="AI21" i="462"/>
  <c r="AJ32" i="462"/>
  <c r="AK59" i="462"/>
  <c r="AI29" i="462"/>
  <c r="AH50" i="462"/>
  <c r="AH58" i="462"/>
  <c r="AJ69" i="462"/>
  <c r="AH73" i="462"/>
  <c r="AH70" i="462"/>
  <c r="AH71" i="462"/>
  <c r="AI78" i="462"/>
  <c r="AH91" i="462"/>
  <c r="AH84" i="462"/>
  <c r="AH89" i="462"/>
  <c r="AI9" i="462"/>
  <c r="AH16" i="462"/>
  <c r="AI19" i="462"/>
  <c r="AH26" i="462"/>
  <c r="AH19" i="462"/>
  <c r="AI18" i="462"/>
  <c r="AH21" i="462"/>
  <c r="AH40" i="462"/>
  <c r="AI7" i="462"/>
  <c r="AJ24" i="462"/>
  <c r="AH33" i="462"/>
  <c r="AH24" i="462"/>
  <c r="AI58" i="462"/>
  <c r="AH6" i="462"/>
  <c r="AH31" i="462"/>
  <c r="AH39" i="462"/>
  <c r="AJ41" i="462"/>
  <c r="AJ57" i="462"/>
  <c r="AH41" i="462"/>
  <c r="AJ46" i="462"/>
  <c r="AJ50" i="462"/>
  <c r="AH57" i="462"/>
  <c r="AH35" i="462"/>
  <c r="AH51" i="462"/>
  <c r="AI26" i="462"/>
  <c r="AI33" i="462"/>
  <c r="AI52" i="462"/>
  <c r="AJ59" i="462"/>
  <c r="AH68" i="462"/>
  <c r="AH67" i="462"/>
  <c r="AI70" i="462"/>
  <c r="AI75" i="462"/>
  <c r="AL77" i="462"/>
  <c r="AJ72" i="462"/>
  <c r="AI76" i="462"/>
  <c r="AI77" i="462"/>
  <c r="AI81" i="462"/>
  <c r="AI84" i="462"/>
  <c r="AJ92" i="462"/>
  <c r="AI79" i="462"/>
  <c r="AJ82" i="462"/>
  <c r="AJ86" i="462"/>
  <c r="AH82" i="462"/>
  <c r="AH86" i="462"/>
  <c r="AH90" i="462"/>
  <c r="AI86" i="462"/>
  <c r="AI91" i="462"/>
  <c r="AH9" i="462"/>
  <c r="AH10" i="462"/>
  <c r="AI46" i="462"/>
  <c r="AJ29" i="462"/>
  <c r="AJ36" i="462"/>
  <c r="AH29" i="462"/>
  <c r="AI39" i="462"/>
  <c r="AH44" i="462"/>
  <c r="AH52" i="462"/>
  <c r="AI36" i="462"/>
  <c r="AI48" i="462"/>
  <c r="AI88" i="462"/>
  <c r="AH81" i="462"/>
  <c r="AL65" i="462"/>
  <c r="AL90" i="462"/>
  <c r="AI23" i="462"/>
  <c r="AJ44" i="462"/>
  <c r="AJ79" i="462"/>
  <c r="AH65" i="462"/>
  <c r="AK75" i="462"/>
  <c r="AI28" i="462"/>
  <c r="AJ68" i="462"/>
  <c r="AJ52" i="462"/>
  <c r="AJ78" i="462"/>
  <c r="AI47" i="462"/>
  <c r="AK44" i="462"/>
  <c r="AJ9" i="462"/>
  <c r="AL67" i="462"/>
  <c r="AL32" i="462"/>
  <c r="AJ67" i="462"/>
  <c r="AJ27" i="462"/>
  <c r="AI31" i="462"/>
  <c r="AJ37" i="462"/>
  <c r="AK29" i="462"/>
  <c r="AK15" i="462"/>
  <c r="AL56" i="462"/>
  <c r="AL62" i="462"/>
  <c r="AK68" i="462"/>
  <c r="AJ88" i="462"/>
  <c r="AJ13" i="462"/>
  <c r="AJ12" i="462"/>
  <c r="AJ34" i="462"/>
  <c r="AL68" i="462"/>
  <c r="AJ80" i="462"/>
  <c r="AJ66" i="462"/>
  <c r="AK90" i="462"/>
  <c r="AK32" i="462"/>
  <c r="AJ26" i="462"/>
  <c r="AL75" i="462"/>
  <c r="AK52" i="462"/>
  <c r="AK77" i="462"/>
  <c r="AI64" i="462"/>
  <c r="AJ54" i="462"/>
  <c r="AI35" i="462"/>
  <c r="AJ17" i="462"/>
  <c r="AK11" i="462"/>
  <c r="AI67" i="462"/>
  <c r="AJ84" i="462"/>
  <c r="AJ64" i="462"/>
  <c r="AJ48" i="462"/>
  <c r="AJ73" i="462"/>
  <c r="AJ23" i="462"/>
  <c r="AL52" i="462"/>
  <c r="AJ33" i="462"/>
  <c r="AK82" i="462"/>
  <c r="AL86" i="462"/>
  <c r="AJ62" i="462"/>
  <c r="AL48" i="462"/>
  <c r="AH53" i="462"/>
  <c r="AK48" i="462"/>
  <c r="AH55" i="462"/>
  <c r="AL44" i="462"/>
  <c r="AL11" i="462"/>
  <c r="AI51" i="462"/>
  <c r="AL29" i="462"/>
  <c r="AI10" i="462"/>
  <c r="AK71" i="462"/>
  <c r="AJ65" i="462"/>
  <c r="AJ40" i="462"/>
  <c r="AL36" i="462"/>
  <c r="AL6" i="462"/>
  <c r="AL64" i="462"/>
  <c r="AK6" i="462"/>
  <c r="AI65" i="462"/>
  <c r="AJ45" i="462"/>
  <c r="AK19" i="462"/>
  <c r="AL19" i="462"/>
  <c r="AL71" i="462"/>
  <c r="AJ49" i="462"/>
  <c r="AK56" i="462"/>
  <c r="AL15" i="462"/>
  <c r="AK36" i="462"/>
  <c r="AL78" i="462"/>
  <c r="AK86" i="462"/>
  <c r="AL66" i="462"/>
  <c r="AI53" i="462"/>
  <c r="AL82" i="462"/>
  <c r="AL91" i="462"/>
  <c r="AJ35" i="462"/>
  <c r="AJ81" i="462"/>
  <c r="AJ31" i="462"/>
  <c r="Z55" i="462"/>
  <c r="AK55" i="462" s="1"/>
  <c r="AD55" i="462"/>
  <c r="AC55" i="462" s="1"/>
  <c r="AL55" i="462" s="1"/>
  <c r="AK84" i="462"/>
  <c r="AL53" i="462"/>
  <c r="AK65" i="462"/>
  <c r="AK47" i="462"/>
  <c r="AL40" i="462"/>
  <c r="AL92" i="462"/>
  <c r="AL58" i="462"/>
  <c r="AK51" i="462"/>
  <c r="AL9" i="462"/>
  <c r="AL89" i="462"/>
  <c r="AL27" i="462"/>
  <c r="AK45" i="462"/>
  <c r="AK69" i="462"/>
  <c r="AL45" i="462"/>
  <c r="AK54" i="462"/>
  <c r="AL81" i="462"/>
  <c r="AK76" i="462"/>
  <c r="AJ47" i="462"/>
  <c r="AL79" i="462"/>
  <c r="AJ89" i="462"/>
  <c r="AK40" i="462"/>
  <c r="AK21" i="462"/>
  <c r="AJ70" i="462"/>
  <c r="AL84" i="462" l="1"/>
  <c r="AK17" i="462"/>
  <c r="AL34" i="462"/>
  <c r="AK72" i="462"/>
  <c r="AK10" i="462"/>
  <c r="AL26" i="462"/>
  <c r="AJ58" i="462"/>
  <c r="AL35" i="462"/>
  <c r="AL18" i="462"/>
  <c r="AL73" i="462"/>
  <c r="AK9" i="462"/>
  <c r="AK85" i="462"/>
  <c r="AK31" i="462"/>
  <c r="AL49" i="462"/>
  <c r="AL76" i="462"/>
  <c r="AL70" i="462"/>
  <c r="AK33" i="462"/>
  <c r="AK89" i="462"/>
  <c r="AL80" i="462"/>
  <c r="AL85" i="462"/>
  <c r="AL74" i="462"/>
  <c r="AL69" i="462"/>
  <c r="AL41" i="462"/>
  <c r="AK92" i="462"/>
  <c r="AJ21" i="462"/>
  <c r="AK79" i="462"/>
  <c r="AK74" i="462"/>
  <c r="AL13" i="462"/>
  <c r="AJ14" i="462"/>
  <c r="AJ39" i="462"/>
  <c r="AK58" i="462"/>
  <c r="AJ55" i="462"/>
  <c r="AR93" i="462"/>
  <c r="I196" i="13" s="1"/>
  <c r="AK73" i="462"/>
  <c r="AK49" i="462"/>
  <c r="AJ85" i="462"/>
  <c r="AK20" i="462"/>
  <c r="AH163" i="462"/>
  <c r="AL163" i="462"/>
  <c r="AK163" i="462"/>
  <c r="Q182" i="462"/>
  <c r="AH182" i="462" s="1"/>
  <c r="Z163" i="462"/>
  <c r="AA163" i="462" s="1"/>
  <c r="AJ7" i="462"/>
  <c r="AD16" i="462"/>
  <c r="AC16" i="462" s="1"/>
  <c r="AL16" i="462" s="1"/>
  <c r="Z16" i="462"/>
  <c r="AK16" i="462" s="1"/>
  <c r="AC7" i="462"/>
  <c r="AL7" i="462" s="1"/>
  <c r="Z7" i="462"/>
  <c r="AK7" i="462" s="1"/>
  <c r="W8" i="462"/>
  <c r="AJ8" i="462" s="1"/>
  <c r="AI8" i="462"/>
  <c r="AI93" i="462" s="1"/>
  <c r="AC163" i="462"/>
  <c r="R93" i="462"/>
  <c r="R105" i="462" s="1"/>
  <c r="Q104" i="462"/>
  <c r="T93" i="462"/>
  <c r="AH93" i="462"/>
  <c r="K35" i="14" l="1"/>
  <c r="AJ93" i="462"/>
  <c r="W93" i="462"/>
  <c r="W104" i="462" s="1"/>
  <c r="AC8" i="462"/>
  <c r="AL8" i="462" s="1"/>
  <c r="AL93" i="462" s="1"/>
  <c r="AL166" i="462" s="1"/>
  <c r="Z8" i="462"/>
  <c r="AK8" i="462" s="1"/>
  <c r="AK93" i="462" s="1"/>
  <c r="AK166" i="462" s="1"/>
  <c r="T104" i="462"/>
  <c r="U93" i="462"/>
  <c r="U105" i="462" s="1"/>
  <c r="T182" i="462"/>
  <c r="AI182" i="462" s="1"/>
  <c r="L35" i="14"/>
  <c r="AD163" i="462"/>
  <c r="R166" i="462"/>
  <c r="Q172" i="462"/>
  <c r="AH166" i="462"/>
  <c r="X93" i="462" l="1"/>
  <c r="X105" i="462" s="1"/>
  <c r="W182" i="462"/>
  <c r="AJ182" i="462" s="1"/>
  <c r="AC93" i="462"/>
  <c r="AD93" i="462" s="1"/>
  <c r="AH172" i="462"/>
  <c r="Q174" i="462"/>
  <c r="Z93" i="462"/>
  <c r="AC104" i="462" l="1"/>
  <c r="AC166" i="462"/>
  <c r="AC182" i="462"/>
  <c r="AL182" i="462" s="1"/>
  <c r="Z104" i="462"/>
  <c r="Z182" i="462"/>
  <c r="AK182" i="462" s="1"/>
  <c r="AA93" i="462"/>
  <c r="Z166" i="462"/>
  <c r="Q176" i="462"/>
  <c r="Q185" i="462" s="1"/>
  <c r="H6" i="9" s="1"/>
  <c r="H38" i="13" s="1"/>
  <c r="AH174" i="462"/>
  <c r="AH176" i="462" s="1"/>
  <c r="AH185" i="462" s="1"/>
  <c r="H52" i="13" s="1"/>
  <c r="AD166" i="462" l="1"/>
  <c r="AC172" i="462"/>
  <c r="Z172" i="462"/>
  <c r="AA166" i="462"/>
  <c r="AA105" i="462"/>
  <c r="AD105" i="462"/>
  <c r="AC174" i="462" l="1"/>
  <c r="AL172" i="462"/>
  <c r="Z174" i="462"/>
  <c r="AK172" i="462"/>
  <c r="G12" i="13"/>
  <c r="AL174" i="462" l="1"/>
  <c r="AL176" i="462" s="1"/>
  <c r="AL185" i="462" s="1"/>
  <c r="L52" i="13" s="1"/>
  <c r="AC176" i="462"/>
  <c r="AC185" i="462" s="1"/>
  <c r="L6" i="9" s="1"/>
  <c r="L38" i="13" s="1"/>
  <c r="Z176" i="462"/>
  <c r="Z185" i="462" s="1"/>
  <c r="K6" i="9" s="1"/>
  <c r="K38" i="13" s="1"/>
  <c r="AK174" i="462"/>
  <c r="AK176" i="462" s="1"/>
  <c r="AK185" i="462" s="1"/>
  <c r="K52" i="13" s="1"/>
  <c r="G56" i="415"/>
  <c r="G57" i="415"/>
  <c r="G58" i="415"/>
  <c r="G59" i="415"/>
  <c r="G60" i="415"/>
  <c r="G61" i="415"/>
  <c r="G62" i="415"/>
  <c r="G63" i="415"/>
  <c r="G64" i="415"/>
  <c r="G65" i="415"/>
  <c r="G66" i="415"/>
  <c r="G67" i="415"/>
  <c r="G68" i="415"/>
  <c r="G69" i="415"/>
  <c r="AH147" i="446" l="1"/>
  <c r="R164" i="446"/>
  <c r="Q164" i="446"/>
  <c r="P164" i="446"/>
  <c r="O164" i="446"/>
  <c r="AI147" i="446"/>
  <c r="H214" i="437"/>
  <c r="I179" i="450" l="1"/>
  <c r="K201" i="450"/>
  <c r="J201" i="450"/>
  <c r="I201" i="450"/>
  <c r="H201" i="450"/>
  <c r="G201" i="450"/>
  <c r="W145" i="438"/>
  <c r="V145" i="438"/>
  <c r="U145" i="438"/>
  <c r="T145" i="438"/>
  <c r="S145" i="438"/>
  <c r="C89" i="14" l="1"/>
  <c r="U156" i="438"/>
  <c r="V156" i="438" s="1"/>
  <c r="W156" i="438" s="1"/>
  <c r="T156" i="438"/>
  <c r="I11" i="441"/>
  <c r="H11" i="441"/>
  <c r="G11" i="441"/>
  <c r="E11" i="441"/>
  <c r="D11" i="441"/>
  <c r="K140" i="13"/>
  <c r="L140" i="13" s="1"/>
  <c r="H140" i="13"/>
  <c r="T166" i="438"/>
  <c r="U166" i="438" s="1"/>
  <c r="V166" i="438" s="1"/>
  <c r="W166" i="438" s="1"/>
  <c r="T153" i="438"/>
  <c r="U153" i="438" s="1"/>
  <c r="V153" i="438" s="1"/>
  <c r="W153" i="438" s="1"/>
  <c r="T150" i="438"/>
  <c r="U150" i="438" s="1"/>
  <c r="V150" i="438" s="1"/>
  <c r="W150" i="438" s="1"/>
  <c r="T147" i="438"/>
  <c r="U147" i="438" s="1"/>
  <c r="V147" i="438" s="1"/>
  <c r="W147" i="438" s="1"/>
  <c r="T132" i="438"/>
  <c r="U132" i="438" s="1"/>
  <c r="V132" i="438" s="1"/>
  <c r="W132" i="438" s="1"/>
  <c r="S153" i="438"/>
  <c r="S150" i="438"/>
  <c r="S147" i="438"/>
  <c r="S132" i="438"/>
  <c r="W167" i="438" l="1"/>
  <c r="V167" i="438"/>
  <c r="U167" i="438"/>
  <c r="T167" i="438"/>
  <c r="S167" i="438"/>
  <c r="G65" i="14" l="1"/>
  <c r="F65" i="14"/>
  <c r="E65" i="14"/>
  <c r="D65" i="14"/>
  <c r="L43" i="13"/>
  <c r="K43" i="13"/>
  <c r="J43" i="13"/>
  <c r="I43" i="13"/>
  <c r="H43" i="13"/>
  <c r="F6" i="437"/>
  <c r="E6" i="437"/>
  <c r="M75" i="418"/>
  <c r="L75" i="418"/>
  <c r="K75" i="418"/>
  <c r="J75" i="418"/>
  <c r="I75" i="418"/>
  <c r="K79" i="418"/>
  <c r="K77" i="418" s="1"/>
  <c r="G175" i="13"/>
  <c r="H175" i="13" s="1"/>
  <c r="I81" i="418" s="1"/>
  <c r="I80" i="418" s="1"/>
  <c r="F175" i="13"/>
  <c r="E175" i="13"/>
  <c r="H176" i="13"/>
  <c r="I176" i="13" s="1"/>
  <c r="J176" i="13" s="1"/>
  <c r="D175" i="13"/>
  <c r="D177" i="13" s="1"/>
  <c r="G174" i="13"/>
  <c r="F174" i="13"/>
  <c r="E174" i="13"/>
  <c r="H36" i="15"/>
  <c r="I36" i="15"/>
  <c r="J36" i="15"/>
  <c r="K36" i="15"/>
  <c r="L36" i="15"/>
  <c r="L30" i="15"/>
  <c r="K30" i="15"/>
  <c r="J30" i="15"/>
  <c r="I30" i="15"/>
  <c r="H30" i="15"/>
  <c r="F11" i="441"/>
  <c r="F8" i="441"/>
  <c r="F6" i="441"/>
  <c r="G42" i="419"/>
  <c r="H82" i="418"/>
  <c r="G82" i="418"/>
  <c r="F82" i="418"/>
  <c r="E82" i="418"/>
  <c r="H79" i="418"/>
  <c r="H76" i="418" s="1"/>
  <c r="G79" i="418"/>
  <c r="G76" i="418" s="1"/>
  <c r="F79" i="418"/>
  <c r="F76" i="418" s="1"/>
  <c r="E79" i="418"/>
  <c r="E76" i="418" s="1"/>
  <c r="H80" i="418"/>
  <c r="G80" i="418"/>
  <c r="F80" i="418"/>
  <c r="E80" i="418"/>
  <c r="H81" i="418"/>
  <c r="G81" i="418"/>
  <c r="F81" i="418"/>
  <c r="E81" i="418"/>
  <c r="C7" i="17"/>
  <c r="F58" i="417"/>
  <c r="F55" i="417"/>
  <c r="F54" i="417"/>
  <c r="F51" i="417"/>
  <c r="F30" i="417"/>
  <c r="F27" i="417"/>
  <c r="F26" i="417"/>
  <c r="F23" i="417"/>
  <c r="F20" i="417"/>
  <c r="F16" i="417"/>
  <c r="F14" i="417"/>
  <c r="F13" i="417"/>
  <c r="F12" i="417"/>
  <c r="F10" i="417"/>
  <c r="F9" i="417"/>
  <c r="F8" i="417"/>
  <c r="G66" i="14" l="1"/>
  <c r="F66" i="14"/>
  <c r="E66" i="14"/>
  <c r="D66" i="14"/>
  <c r="I175" i="13"/>
  <c r="J81" i="418" s="1"/>
  <c r="J80" i="418" s="1"/>
  <c r="E177" i="13"/>
  <c r="G176" i="13"/>
  <c r="F176" i="13"/>
  <c r="F177" i="13"/>
  <c r="G177" i="13"/>
  <c r="J175" i="13" l="1"/>
  <c r="K81" i="418" s="1"/>
  <c r="K80" i="418" s="1"/>
  <c r="W134" i="438"/>
  <c r="V134" i="438"/>
  <c r="U134" i="438"/>
  <c r="T134" i="438"/>
  <c r="K175" i="13" l="1"/>
  <c r="L81" i="418" s="1"/>
  <c r="L80" i="418" s="1"/>
  <c r="H118" i="461"/>
  <c r="H137" i="461"/>
  <c r="H212" i="461"/>
  <c r="G212" i="461"/>
  <c r="G213" i="461" s="1"/>
  <c r="F212" i="461"/>
  <c r="F213" i="461" s="1"/>
  <c r="E212" i="461"/>
  <c r="E213" i="461" s="1"/>
  <c r="H135" i="461"/>
  <c r="M210" i="461"/>
  <c r="M209" i="461"/>
  <c r="M208" i="461"/>
  <c r="M206" i="461"/>
  <c r="M205" i="461"/>
  <c r="M204" i="461"/>
  <c r="M203" i="461"/>
  <c r="M202" i="461"/>
  <c r="M201" i="461"/>
  <c r="M200" i="461"/>
  <c r="M199" i="461"/>
  <c r="M198" i="461"/>
  <c r="M197" i="461"/>
  <c r="M196" i="461"/>
  <c r="M195" i="461"/>
  <c r="M194" i="461"/>
  <c r="M193" i="461"/>
  <c r="M192" i="461"/>
  <c r="M191" i="461"/>
  <c r="M190" i="461"/>
  <c r="M189" i="461"/>
  <c r="M188" i="461"/>
  <c r="M187" i="461"/>
  <c r="M186" i="461"/>
  <c r="M185" i="461"/>
  <c r="M184" i="461"/>
  <c r="M183" i="461"/>
  <c r="M182" i="461"/>
  <c r="M181" i="461"/>
  <c r="M180" i="461"/>
  <c r="M179" i="461"/>
  <c r="M178" i="461"/>
  <c r="M177" i="461"/>
  <c r="M176" i="461"/>
  <c r="M175" i="461"/>
  <c r="M174" i="461"/>
  <c r="M173" i="461"/>
  <c r="M172" i="461"/>
  <c r="M171" i="461"/>
  <c r="M170" i="461"/>
  <c r="M169" i="461"/>
  <c r="M168" i="461"/>
  <c r="M167" i="461"/>
  <c r="M166" i="461"/>
  <c r="M165" i="461"/>
  <c r="M164" i="461"/>
  <c r="M163" i="461"/>
  <c r="M162" i="461"/>
  <c r="M161" i="461"/>
  <c r="M160" i="461"/>
  <c r="M159" i="461"/>
  <c r="M158" i="461"/>
  <c r="M157" i="461"/>
  <c r="M156" i="461"/>
  <c r="M155" i="461"/>
  <c r="M154" i="461"/>
  <c r="M153" i="461"/>
  <c r="M152" i="461"/>
  <c r="M151" i="461"/>
  <c r="M150" i="461"/>
  <c r="M149" i="461"/>
  <c r="M148" i="461"/>
  <c r="M147" i="461"/>
  <c r="M146" i="461"/>
  <c r="M145" i="461"/>
  <c r="M144" i="461"/>
  <c r="M143" i="461"/>
  <c r="M142" i="461"/>
  <c r="M141" i="461"/>
  <c r="M140" i="461"/>
  <c r="M138" i="461"/>
  <c r="M137" i="461"/>
  <c r="M136" i="461"/>
  <c r="M135" i="461"/>
  <c r="M134" i="461"/>
  <c r="M133" i="461"/>
  <c r="M132" i="461"/>
  <c r="M131" i="461"/>
  <c r="M129" i="461"/>
  <c r="M127" i="461"/>
  <c r="M126" i="461"/>
  <c r="M125" i="461"/>
  <c r="M124" i="461"/>
  <c r="M123" i="461"/>
  <c r="M122" i="461"/>
  <c r="M118" i="461"/>
  <c r="K211" i="461"/>
  <c r="J211" i="461"/>
  <c r="I211" i="461"/>
  <c r="G211" i="461"/>
  <c r="F211" i="461"/>
  <c r="E211" i="461"/>
  <c r="L175" i="13" l="1"/>
  <c r="M81" i="418" s="1"/>
  <c r="M80" i="418" s="1"/>
  <c r="H211" i="461"/>
  <c r="H213" i="461" s="1"/>
  <c r="H1578" i="458"/>
  <c r="H1552" i="458"/>
  <c r="H1553" i="458"/>
  <c r="H1576" i="458"/>
  <c r="H1564" i="458"/>
  <c r="H1663" i="458"/>
  <c r="G1663" i="458"/>
  <c r="F1663" i="458"/>
  <c r="E1663" i="458"/>
  <c r="H1662" i="458"/>
  <c r="G1662" i="458"/>
  <c r="F1662" i="458"/>
  <c r="E1662" i="458"/>
  <c r="B1658" i="458"/>
  <c r="H1658" i="458" s="1"/>
  <c r="H1661" i="458"/>
  <c r="G1661" i="458"/>
  <c r="F1661" i="458"/>
  <c r="E1661" i="458"/>
  <c r="H1660" i="458"/>
  <c r="G1660" i="458"/>
  <c r="F1660" i="458"/>
  <c r="E1660" i="458"/>
  <c r="H1659" i="458"/>
  <c r="G1659" i="458"/>
  <c r="F1659" i="458"/>
  <c r="E1659" i="458"/>
  <c r="F1658" i="458"/>
  <c r="H1657" i="458"/>
  <c r="G1657" i="458"/>
  <c r="F1657" i="458"/>
  <c r="E1657" i="458"/>
  <c r="H1656" i="458"/>
  <c r="G1656" i="458"/>
  <c r="F1656" i="458"/>
  <c r="E1656" i="458"/>
  <c r="H1655" i="458"/>
  <c r="G1655" i="458"/>
  <c r="F1655" i="458"/>
  <c r="E1655" i="458"/>
  <c r="H1654" i="458"/>
  <c r="G1654" i="458"/>
  <c r="F1654" i="458"/>
  <c r="E1654" i="458"/>
  <c r="H1653" i="458"/>
  <c r="G1653" i="458"/>
  <c r="F1653" i="458"/>
  <c r="E1653" i="458"/>
  <c r="H1652" i="458"/>
  <c r="G1652" i="458"/>
  <c r="F1652" i="458"/>
  <c r="E1652" i="458"/>
  <c r="H1651" i="458"/>
  <c r="G1651" i="458"/>
  <c r="F1651" i="458"/>
  <c r="E1651" i="458"/>
  <c r="H1650" i="458"/>
  <c r="G1650" i="458"/>
  <c r="F1650" i="458"/>
  <c r="E1650" i="458"/>
  <c r="H1649" i="458"/>
  <c r="G1649" i="458"/>
  <c r="F1649" i="458"/>
  <c r="E1649" i="458"/>
  <c r="H1648" i="458"/>
  <c r="G1648" i="458"/>
  <c r="F1648" i="458"/>
  <c r="E1648" i="458"/>
  <c r="H1647" i="458"/>
  <c r="G1647" i="458"/>
  <c r="F1647" i="458"/>
  <c r="E1647" i="458"/>
  <c r="H1646" i="458"/>
  <c r="G1646" i="458"/>
  <c r="F1646" i="458"/>
  <c r="E1646" i="458"/>
  <c r="H1645" i="458"/>
  <c r="G1645" i="458"/>
  <c r="F1645" i="458"/>
  <c r="E1645" i="458"/>
  <c r="H1644" i="458"/>
  <c r="G1644" i="458"/>
  <c r="F1644" i="458"/>
  <c r="E1644" i="458"/>
  <c r="H1643" i="458"/>
  <c r="G1643" i="458"/>
  <c r="F1643" i="458"/>
  <c r="E1643" i="458"/>
  <c r="H1642" i="458"/>
  <c r="G1642" i="458"/>
  <c r="F1642" i="458"/>
  <c r="E1642" i="458"/>
  <c r="H1641" i="458"/>
  <c r="G1641" i="458"/>
  <c r="F1641" i="458"/>
  <c r="E1641" i="458"/>
  <c r="H1640" i="458"/>
  <c r="G1640" i="458"/>
  <c r="F1640" i="458"/>
  <c r="E1640" i="458"/>
  <c r="H1639" i="458"/>
  <c r="G1639" i="458"/>
  <c r="F1639" i="458"/>
  <c r="E1639" i="458"/>
  <c r="H1638" i="458"/>
  <c r="G1638" i="458"/>
  <c r="F1638" i="458"/>
  <c r="E1638" i="458"/>
  <c r="H1637" i="458"/>
  <c r="G1637" i="458"/>
  <c r="F1637" i="458"/>
  <c r="E1637" i="458"/>
  <c r="H1636" i="458"/>
  <c r="G1636" i="458"/>
  <c r="F1636" i="458"/>
  <c r="E1636" i="458"/>
  <c r="H1635" i="458"/>
  <c r="G1635" i="458"/>
  <c r="F1635" i="458"/>
  <c r="E1635" i="458"/>
  <c r="H1634" i="458"/>
  <c r="G1634" i="458"/>
  <c r="F1634" i="458"/>
  <c r="E1634" i="458"/>
  <c r="H1633" i="458"/>
  <c r="G1633" i="458"/>
  <c r="F1633" i="458"/>
  <c r="E1633" i="458"/>
  <c r="H1632" i="458"/>
  <c r="G1632" i="458"/>
  <c r="F1632" i="458"/>
  <c r="E1632" i="458"/>
  <c r="H1631" i="458"/>
  <c r="G1631" i="458"/>
  <c r="F1631" i="458"/>
  <c r="E1631" i="458"/>
  <c r="H1630" i="458"/>
  <c r="G1630" i="458"/>
  <c r="F1630" i="458"/>
  <c r="E1630" i="458"/>
  <c r="H1629" i="458"/>
  <c r="G1629" i="458"/>
  <c r="F1629" i="458"/>
  <c r="E1629" i="458"/>
  <c r="H1628" i="458"/>
  <c r="G1628" i="458"/>
  <c r="F1628" i="458"/>
  <c r="E1628" i="458"/>
  <c r="H1627" i="458"/>
  <c r="G1627" i="458"/>
  <c r="F1627" i="458"/>
  <c r="E1627" i="458"/>
  <c r="H1626" i="458"/>
  <c r="G1626" i="458"/>
  <c r="F1626" i="458"/>
  <c r="E1626" i="458"/>
  <c r="H1625" i="458"/>
  <c r="G1625" i="458"/>
  <c r="F1625" i="458"/>
  <c r="E1625" i="458"/>
  <c r="H1624" i="458"/>
  <c r="G1624" i="458"/>
  <c r="F1624" i="458"/>
  <c r="E1624" i="458"/>
  <c r="H1623" i="458"/>
  <c r="G1623" i="458"/>
  <c r="F1623" i="458"/>
  <c r="E1623" i="458"/>
  <c r="H1622" i="458"/>
  <c r="G1622" i="458"/>
  <c r="F1622" i="458"/>
  <c r="E1622" i="458"/>
  <c r="H1621" i="458"/>
  <c r="G1621" i="458"/>
  <c r="F1621" i="458"/>
  <c r="E1621" i="458"/>
  <c r="H1620" i="458"/>
  <c r="G1620" i="458"/>
  <c r="F1620" i="458"/>
  <c r="E1620" i="458"/>
  <c r="H1619" i="458"/>
  <c r="G1619" i="458"/>
  <c r="F1619" i="458"/>
  <c r="E1619" i="458"/>
  <c r="H1618" i="458"/>
  <c r="G1618" i="458"/>
  <c r="F1618" i="458"/>
  <c r="E1618" i="458"/>
  <c r="H1617" i="458"/>
  <c r="G1617" i="458"/>
  <c r="F1617" i="458"/>
  <c r="E1617" i="458"/>
  <c r="H1616" i="458"/>
  <c r="G1616" i="458"/>
  <c r="F1616" i="458"/>
  <c r="E1616" i="458"/>
  <c r="H1615" i="458"/>
  <c r="G1615" i="458"/>
  <c r="F1615" i="458"/>
  <c r="E1615" i="458"/>
  <c r="H1614" i="458"/>
  <c r="G1614" i="458"/>
  <c r="F1614" i="458"/>
  <c r="E1614" i="458"/>
  <c r="H1613" i="458"/>
  <c r="G1613" i="458"/>
  <c r="F1613" i="458"/>
  <c r="E1613" i="458"/>
  <c r="H1612" i="458"/>
  <c r="G1612" i="458"/>
  <c r="F1612" i="458"/>
  <c r="E1612" i="458"/>
  <c r="H1611" i="458"/>
  <c r="G1611" i="458"/>
  <c r="F1611" i="458"/>
  <c r="E1611" i="458"/>
  <c r="H1610" i="458"/>
  <c r="G1610" i="458"/>
  <c r="F1610" i="458"/>
  <c r="E1610" i="458"/>
  <c r="H1609" i="458"/>
  <c r="G1609" i="458"/>
  <c r="F1609" i="458"/>
  <c r="E1609" i="458"/>
  <c r="H1608" i="458"/>
  <c r="G1608" i="458"/>
  <c r="F1608" i="458"/>
  <c r="E1608" i="458"/>
  <c r="H1607" i="458"/>
  <c r="G1607" i="458"/>
  <c r="F1607" i="458"/>
  <c r="E1607" i="458"/>
  <c r="H1606" i="458"/>
  <c r="G1606" i="458"/>
  <c r="F1606" i="458"/>
  <c r="E1606" i="458"/>
  <c r="H1605" i="458"/>
  <c r="G1605" i="458"/>
  <c r="F1605" i="458"/>
  <c r="E1605" i="458"/>
  <c r="H1604" i="458"/>
  <c r="G1604" i="458"/>
  <c r="F1604" i="458"/>
  <c r="E1604" i="458"/>
  <c r="H1603" i="458"/>
  <c r="G1603" i="458"/>
  <c r="F1603" i="458"/>
  <c r="E1603" i="458"/>
  <c r="H1602" i="458"/>
  <c r="G1602" i="458"/>
  <c r="F1602" i="458"/>
  <c r="E1602" i="458"/>
  <c r="H1601" i="458"/>
  <c r="G1601" i="458"/>
  <c r="F1601" i="458"/>
  <c r="E1601" i="458"/>
  <c r="H1600" i="458"/>
  <c r="G1600" i="458"/>
  <c r="F1600" i="458"/>
  <c r="E1600" i="458"/>
  <c r="H1599" i="458"/>
  <c r="G1599" i="458"/>
  <c r="F1599" i="458"/>
  <c r="E1599" i="458"/>
  <c r="H1598" i="458"/>
  <c r="G1598" i="458"/>
  <c r="F1598" i="458"/>
  <c r="E1598" i="458"/>
  <c r="H1597" i="458"/>
  <c r="G1597" i="458"/>
  <c r="F1597" i="458"/>
  <c r="E1597" i="458"/>
  <c r="H1596" i="458"/>
  <c r="G1596" i="458"/>
  <c r="F1596" i="458"/>
  <c r="E1596" i="458"/>
  <c r="H1595" i="458"/>
  <c r="G1595" i="458"/>
  <c r="F1595" i="458"/>
  <c r="E1595" i="458"/>
  <c r="H1594" i="458"/>
  <c r="G1594" i="458"/>
  <c r="F1594" i="458"/>
  <c r="E1594" i="458"/>
  <c r="H1593" i="458"/>
  <c r="G1593" i="458"/>
  <c r="F1593" i="458"/>
  <c r="E1593" i="458"/>
  <c r="H1592" i="458"/>
  <c r="G1592" i="458"/>
  <c r="F1592" i="458"/>
  <c r="E1592" i="458"/>
  <c r="H1591" i="458"/>
  <c r="G1591" i="458"/>
  <c r="F1591" i="458"/>
  <c r="E1591" i="458"/>
  <c r="H1590" i="458"/>
  <c r="G1590" i="458"/>
  <c r="F1590" i="458"/>
  <c r="E1590" i="458"/>
  <c r="H1589" i="458"/>
  <c r="G1589" i="458"/>
  <c r="F1589" i="458"/>
  <c r="E1589" i="458"/>
  <c r="H1588" i="458"/>
  <c r="G1588" i="458"/>
  <c r="F1588" i="458"/>
  <c r="E1588" i="458"/>
  <c r="H1587" i="458"/>
  <c r="G1587" i="458"/>
  <c r="F1587" i="458"/>
  <c r="E1587" i="458"/>
  <c r="H1586" i="458"/>
  <c r="G1586" i="458"/>
  <c r="F1586" i="458"/>
  <c r="E1586" i="458"/>
  <c r="H1585" i="458"/>
  <c r="G1585" i="458"/>
  <c r="F1585" i="458"/>
  <c r="E1585" i="458"/>
  <c r="H1584" i="458"/>
  <c r="G1584" i="458"/>
  <c r="F1584" i="458"/>
  <c r="E1584" i="458"/>
  <c r="H1583" i="458"/>
  <c r="G1583" i="458"/>
  <c r="F1583" i="458"/>
  <c r="E1583" i="458"/>
  <c r="H1582" i="458"/>
  <c r="G1582" i="458"/>
  <c r="F1582" i="458"/>
  <c r="E1582" i="458"/>
  <c r="H1581" i="458"/>
  <c r="G1581" i="458"/>
  <c r="F1581" i="458"/>
  <c r="E1581" i="458"/>
  <c r="H1580" i="458"/>
  <c r="G1580" i="458"/>
  <c r="F1580" i="458"/>
  <c r="E1580" i="458"/>
  <c r="H1579" i="458"/>
  <c r="G1579" i="458"/>
  <c r="F1579" i="458"/>
  <c r="E1579" i="458"/>
  <c r="G1578" i="458"/>
  <c r="F1578" i="458"/>
  <c r="E1578" i="458"/>
  <c r="H1577" i="458"/>
  <c r="G1577" i="458"/>
  <c r="F1577" i="458"/>
  <c r="E1577" i="458"/>
  <c r="G1576" i="458"/>
  <c r="F1576" i="458"/>
  <c r="E1576" i="458"/>
  <c r="H1575" i="458"/>
  <c r="G1575" i="458"/>
  <c r="F1575" i="458"/>
  <c r="E1575" i="458"/>
  <c r="H1574" i="458"/>
  <c r="G1574" i="458"/>
  <c r="F1574" i="458"/>
  <c r="E1574" i="458"/>
  <c r="H1573" i="458"/>
  <c r="G1573" i="458"/>
  <c r="F1573" i="458"/>
  <c r="E1573" i="458"/>
  <c r="H1572" i="458"/>
  <c r="G1572" i="458"/>
  <c r="F1572" i="458"/>
  <c r="E1572" i="458"/>
  <c r="H1571" i="458"/>
  <c r="G1571" i="458"/>
  <c r="F1571" i="458"/>
  <c r="E1571" i="458"/>
  <c r="H1570" i="458"/>
  <c r="G1570" i="458"/>
  <c r="F1570" i="458"/>
  <c r="E1570" i="458"/>
  <c r="H1569" i="458"/>
  <c r="G1569" i="458"/>
  <c r="F1569" i="458"/>
  <c r="E1569" i="458"/>
  <c r="H1568" i="458"/>
  <c r="G1568" i="458"/>
  <c r="F1568" i="458"/>
  <c r="E1568" i="458"/>
  <c r="H1567" i="458"/>
  <c r="G1567" i="458"/>
  <c r="F1567" i="458"/>
  <c r="E1567" i="458"/>
  <c r="H1566" i="458"/>
  <c r="G1566" i="458"/>
  <c r="F1566" i="458"/>
  <c r="E1566" i="458"/>
  <c r="H1565" i="458"/>
  <c r="G1565" i="458"/>
  <c r="F1565" i="458"/>
  <c r="E1565" i="458"/>
  <c r="G1564" i="458"/>
  <c r="F1564" i="458"/>
  <c r="E1564" i="458"/>
  <c r="H1563" i="458"/>
  <c r="G1563" i="458"/>
  <c r="F1563" i="458"/>
  <c r="E1563" i="458"/>
  <c r="H1562" i="458"/>
  <c r="G1562" i="458"/>
  <c r="F1562" i="458"/>
  <c r="E1562" i="458"/>
  <c r="H1561" i="458"/>
  <c r="G1561" i="458"/>
  <c r="F1561" i="458"/>
  <c r="E1561" i="458"/>
  <c r="H1560" i="458"/>
  <c r="G1560" i="458"/>
  <c r="F1560" i="458"/>
  <c r="E1560" i="458"/>
  <c r="H1559" i="458"/>
  <c r="G1559" i="458"/>
  <c r="F1559" i="458"/>
  <c r="E1559" i="458"/>
  <c r="H1558" i="458"/>
  <c r="G1558" i="458"/>
  <c r="F1558" i="458"/>
  <c r="E1558" i="458"/>
  <c r="H1557" i="458"/>
  <c r="G1557" i="458"/>
  <c r="F1557" i="458"/>
  <c r="E1557" i="458"/>
  <c r="H1556" i="458"/>
  <c r="G1556" i="458"/>
  <c r="F1556" i="458"/>
  <c r="E1556" i="458"/>
  <c r="H1555" i="458"/>
  <c r="G1555" i="458"/>
  <c r="F1555" i="458"/>
  <c r="E1555" i="458"/>
  <c r="H1554" i="458"/>
  <c r="G1554" i="458"/>
  <c r="F1554" i="458"/>
  <c r="E1554" i="458"/>
  <c r="G1553" i="458"/>
  <c r="F1553" i="458"/>
  <c r="E1553" i="458"/>
  <c r="G1552" i="458"/>
  <c r="F1552" i="458"/>
  <c r="E1552" i="458"/>
  <c r="F1664" i="458" l="1"/>
  <c r="F1666" i="458" s="1"/>
  <c r="E1658" i="458"/>
  <c r="E1664" i="458" s="1"/>
  <c r="E1666" i="458" s="1"/>
  <c r="G1658" i="458"/>
  <c r="G1664" i="458" s="1"/>
  <c r="G1666" i="458" s="1"/>
  <c r="H1664" i="458"/>
  <c r="H1666" i="458" s="1"/>
  <c r="I1664" i="458"/>
  <c r="R21" i="438"/>
  <c r="R18" i="438"/>
  <c r="R15" i="438"/>
  <c r="R104" i="438"/>
  <c r="R102" i="438"/>
  <c r="R101" i="438"/>
  <c r="R99" i="438"/>
  <c r="R98" i="438"/>
  <c r="R96" i="438"/>
  <c r="R95" i="438"/>
  <c r="R93" i="438"/>
  <c r="R92" i="438"/>
  <c r="R90" i="438"/>
  <c r="R89" i="438"/>
  <c r="R87" i="438"/>
  <c r="R86" i="438"/>
  <c r="R84" i="438"/>
  <c r="R83" i="438"/>
  <c r="R81" i="438"/>
  <c r="R80" i="438"/>
  <c r="R78" i="438"/>
  <c r="R77" i="438"/>
  <c r="R75" i="438"/>
  <c r="R74" i="438"/>
  <c r="R72" i="438"/>
  <c r="R71" i="438"/>
  <c r="R69" i="438"/>
  <c r="R68" i="438"/>
  <c r="R66" i="438"/>
  <c r="R65" i="438"/>
  <c r="R63" i="438"/>
  <c r="R62" i="438"/>
  <c r="R60" i="438"/>
  <c r="R59" i="438"/>
  <c r="R57" i="438"/>
  <c r="R56" i="438"/>
  <c r="R54" i="438"/>
  <c r="R53" i="438"/>
  <c r="R51" i="438"/>
  <c r="R50" i="438"/>
  <c r="R48" i="438"/>
  <c r="R47" i="438"/>
  <c r="R45" i="438"/>
  <c r="R44" i="438"/>
  <c r="R42" i="438"/>
  <c r="R41" i="438"/>
  <c r="R39" i="438"/>
  <c r="R38" i="438"/>
  <c r="R36" i="438"/>
  <c r="R35" i="438"/>
  <c r="R33" i="438"/>
  <c r="R32" i="438"/>
  <c r="R30" i="438"/>
  <c r="R29" i="438"/>
  <c r="R27" i="438"/>
  <c r="R26" i="438"/>
  <c r="R24" i="438"/>
  <c r="R23" i="438"/>
  <c r="J1656" i="458"/>
  <c r="J1655" i="458"/>
  <c r="J1654" i="458"/>
  <c r="J1653" i="458"/>
  <c r="J1652" i="458"/>
  <c r="J1651" i="458"/>
  <c r="J1650" i="458"/>
  <c r="J1649" i="458"/>
  <c r="J1648" i="458"/>
  <c r="J1647" i="458"/>
  <c r="J1646" i="458"/>
  <c r="J1645" i="458"/>
  <c r="J1644" i="458"/>
  <c r="J1643" i="458"/>
  <c r="J1642" i="458"/>
  <c r="J1641" i="458"/>
  <c r="J1640" i="458"/>
  <c r="J1639" i="458"/>
  <c r="J1638" i="458"/>
  <c r="J1637" i="458"/>
  <c r="J1636" i="458"/>
  <c r="J1635" i="458"/>
  <c r="J1634" i="458"/>
  <c r="J1633" i="458"/>
  <c r="J1632" i="458"/>
  <c r="J1631" i="458"/>
  <c r="J1630" i="458"/>
  <c r="J1629" i="458"/>
  <c r="J1628" i="458"/>
  <c r="J1627" i="458"/>
  <c r="J1626" i="458"/>
  <c r="J1625" i="458"/>
  <c r="J1624" i="458"/>
  <c r="J1623" i="458"/>
  <c r="J1622" i="458"/>
  <c r="J1621" i="458"/>
  <c r="J1620" i="458"/>
  <c r="J1619" i="458"/>
  <c r="J1618" i="458"/>
  <c r="J1617" i="458"/>
  <c r="J1616" i="458"/>
  <c r="J1615" i="458"/>
  <c r="J1614" i="458"/>
  <c r="J1613" i="458"/>
  <c r="J1612" i="458"/>
  <c r="J1611" i="458"/>
  <c r="J1610" i="458"/>
  <c r="J1609" i="458"/>
  <c r="J1608" i="458"/>
  <c r="J1607" i="458"/>
  <c r="J1606" i="458"/>
  <c r="J1605" i="458"/>
  <c r="J1604" i="458"/>
  <c r="J1603" i="458"/>
  <c r="J1602" i="458"/>
  <c r="J1601" i="458"/>
  <c r="J1600" i="458"/>
  <c r="J1599" i="458"/>
  <c r="J1598" i="458"/>
  <c r="J1597" i="458"/>
  <c r="J1596" i="458"/>
  <c r="J1595" i="458"/>
  <c r="J1594" i="458"/>
  <c r="J1593" i="458"/>
  <c r="J1592" i="458"/>
  <c r="J1591" i="458"/>
  <c r="J1590" i="458"/>
  <c r="J1589" i="458"/>
  <c r="J1588" i="458"/>
  <c r="J1587" i="458"/>
  <c r="J1586" i="458"/>
  <c r="J1585" i="458"/>
  <c r="J1584" i="458"/>
  <c r="J1583" i="458"/>
  <c r="J1582" i="458"/>
  <c r="J1581" i="458"/>
  <c r="J1580" i="458"/>
  <c r="J1579" i="458"/>
  <c r="J1578" i="458"/>
  <c r="J1577" i="458"/>
  <c r="J1576" i="458"/>
  <c r="J1575" i="458"/>
  <c r="J1574" i="458"/>
  <c r="J1573" i="458"/>
  <c r="J1572" i="458"/>
  <c r="J1571" i="458"/>
  <c r="J1570" i="458"/>
  <c r="J1569" i="458"/>
  <c r="J1568" i="458"/>
  <c r="J1567" i="458"/>
  <c r="J1566" i="458"/>
  <c r="J1565" i="458"/>
  <c r="J1564" i="458"/>
  <c r="J1563" i="458"/>
  <c r="J1562" i="458"/>
  <c r="J1561" i="458"/>
  <c r="J1560" i="458"/>
  <c r="J1559" i="458"/>
  <c r="J1558" i="458"/>
  <c r="J1557" i="458"/>
  <c r="J1556" i="458"/>
  <c r="J1555" i="458"/>
  <c r="J1554" i="458"/>
  <c r="J1553" i="458"/>
  <c r="J1552" i="458"/>
  <c r="R20" i="438"/>
  <c r="R17" i="438"/>
  <c r="R14" i="438"/>
  <c r="R12" i="438"/>
  <c r="T11" i="438"/>
  <c r="R37" i="438" l="1"/>
  <c r="R94" i="438"/>
  <c r="R100" i="438"/>
  <c r="R43" i="438"/>
  <c r="R49" i="438"/>
  <c r="R55" i="438"/>
  <c r="R61" i="438"/>
  <c r="R67" i="438"/>
  <c r="R73" i="438"/>
  <c r="R79" i="438"/>
  <c r="R85" i="438"/>
  <c r="R91" i="438"/>
  <c r="R97" i="438"/>
  <c r="R103" i="438"/>
  <c r="R25" i="438"/>
  <c r="R31" i="438"/>
  <c r="R16" i="438"/>
  <c r="R115" i="438"/>
  <c r="R40" i="438"/>
  <c r="R64" i="438"/>
  <c r="R82" i="438"/>
  <c r="R88" i="438"/>
  <c r="R22" i="438"/>
  <c r="R34" i="438"/>
  <c r="R46" i="438"/>
  <c r="R52" i="438"/>
  <c r="R70" i="438"/>
  <c r="R76" i="438"/>
  <c r="R13" i="438"/>
  <c r="R19" i="438"/>
  <c r="R28" i="438"/>
  <c r="R58" i="438"/>
  <c r="F45" i="419" l="1"/>
  <c r="E45" i="419"/>
  <c r="F44" i="419"/>
  <c r="E44" i="419"/>
  <c r="D45" i="419"/>
  <c r="D44" i="419"/>
  <c r="O15" i="438"/>
  <c r="O16" i="438"/>
  <c r="L118" i="13" l="1"/>
  <c r="K118" i="13"/>
  <c r="J118" i="13"/>
  <c r="I118" i="13"/>
  <c r="H118" i="13"/>
  <c r="L117" i="13"/>
  <c r="K117" i="13"/>
  <c r="J117" i="13"/>
  <c r="I117" i="13"/>
  <c r="H117" i="13"/>
  <c r="L111" i="13"/>
  <c r="K111" i="13"/>
  <c r="J111" i="13"/>
  <c r="I111" i="13"/>
  <c r="H111" i="13"/>
  <c r="L104" i="13"/>
  <c r="K104" i="13"/>
  <c r="J104" i="13"/>
  <c r="I104" i="13"/>
  <c r="H104" i="13"/>
  <c r="L97" i="13"/>
  <c r="K97" i="13"/>
  <c r="J97" i="13"/>
  <c r="I97" i="13"/>
  <c r="H97" i="13"/>
  <c r="R149" i="446"/>
  <c r="A83" i="13"/>
  <c r="A82" i="13"/>
  <c r="A81" i="13"/>
  <c r="A80" i="13"/>
  <c r="A79" i="13"/>
  <c r="A78" i="13"/>
  <c r="A73" i="13"/>
  <c r="A72" i="13"/>
  <c r="A71" i="13"/>
  <c r="A70" i="13"/>
  <c r="A69" i="13"/>
  <c r="A68" i="13"/>
  <c r="A63" i="13"/>
  <c r="A62" i="13"/>
  <c r="A61" i="13"/>
  <c r="A60" i="13"/>
  <c r="A59" i="13"/>
  <c r="A58" i="13"/>
  <c r="B131" i="13"/>
  <c r="M145" i="438"/>
  <c r="M144" i="438"/>
  <c r="M143" i="438"/>
  <c r="S171" i="446" l="1"/>
  <c r="L208" i="461"/>
  <c r="N208" i="461" s="1"/>
  <c r="L204" i="461"/>
  <c r="N204" i="461" s="1"/>
  <c r="L200" i="461"/>
  <c r="N200" i="461" s="1"/>
  <c r="L196" i="461"/>
  <c r="N196" i="461" s="1"/>
  <c r="L192" i="461"/>
  <c r="N192" i="461" s="1"/>
  <c r="L188" i="461"/>
  <c r="N188" i="461" s="1"/>
  <c r="L184" i="461"/>
  <c r="N184" i="461" s="1"/>
  <c r="L180" i="461"/>
  <c r="N180" i="461" s="1"/>
  <c r="L176" i="461"/>
  <c r="N176" i="461" s="1"/>
  <c r="L172" i="461"/>
  <c r="N172" i="461" s="1"/>
  <c r="L168" i="461"/>
  <c r="N168" i="461" s="1"/>
  <c r="L164" i="461"/>
  <c r="N164" i="461" s="1"/>
  <c r="L160" i="461"/>
  <c r="N160" i="461" s="1"/>
  <c r="L156" i="461"/>
  <c r="N156" i="461" s="1"/>
  <c r="L152" i="461"/>
  <c r="N152" i="461" s="1"/>
  <c r="L148" i="461"/>
  <c r="N148" i="461" s="1"/>
  <c r="L144" i="461"/>
  <c r="N144" i="461" s="1"/>
  <c r="L140" i="461"/>
  <c r="N140" i="461" s="1"/>
  <c r="L136" i="461"/>
  <c r="N136" i="461" s="1"/>
  <c r="L132" i="461"/>
  <c r="N132" i="461" s="1"/>
  <c r="L124" i="461"/>
  <c r="N124" i="461" s="1"/>
  <c r="L163" i="461"/>
  <c r="N163" i="461" s="1"/>
  <c r="L151" i="461"/>
  <c r="N151" i="461" s="1"/>
  <c r="L131" i="461"/>
  <c r="N131" i="461" s="1"/>
  <c r="L138" i="461"/>
  <c r="N138" i="461" s="1"/>
  <c r="L122" i="461"/>
  <c r="N122" i="461" s="1"/>
  <c r="L203" i="461"/>
  <c r="N203" i="461" s="1"/>
  <c r="L199" i="461"/>
  <c r="N199" i="461" s="1"/>
  <c r="L195" i="461"/>
  <c r="N195" i="461" s="1"/>
  <c r="L191" i="461"/>
  <c r="N191" i="461" s="1"/>
  <c r="L187" i="461"/>
  <c r="N187" i="461" s="1"/>
  <c r="L183" i="461"/>
  <c r="N183" i="461" s="1"/>
  <c r="L179" i="461"/>
  <c r="N179" i="461" s="1"/>
  <c r="L175" i="461"/>
  <c r="N175" i="461" s="1"/>
  <c r="L171" i="461"/>
  <c r="N171" i="461" s="1"/>
  <c r="L159" i="461"/>
  <c r="N159" i="461" s="1"/>
  <c r="L147" i="461"/>
  <c r="N147" i="461" s="1"/>
  <c r="L135" i="461"/>
  <c r="N135" i="461" s="1"/>
  <c r="L123" i="461"/>
  <c r="N123" i="461" s="1"/>
  <c r="L142" i="461"/>
  <c r="N142" i="461" s="1"/>
  <c r="L126" i="461"/>
  <c r="N126" i="461" s="1"/>
  <c r="L210" i="461"/>
  <c r="N210" i="461" s="1"/>
  <c r="L206" i="461"/>
  <c r="N206" i="461" s="1"/>
  <c r="L202" i="461"/>
  <c r="N202" i="461" s="1"/>
  <c r="L198" i="461"/>
  <c r="N198" i="461" s="1"/>
  <c r="L194" i="461"/>
  <c r="N194" i="461" s="1"/>
  <c r="L190" i="461"/>
  <c r="N190" i="461" s="1"/>
  <c r="L186" i="461"/>
  <c r="N186" i="461" s="1"/>
  <c r="L182" i="461"/>
  <c r="N182" i="461" s="1"/>
  <c r="L178" i="461"/>
  <c r="N178" i="461" s="1"/>
  <c r="L174" i="461"/>
  <c r="N174" i="461" s="1"/>
  <c r="L170" i="461"/>
  <c r="N170" i="461" s="1"/>
  <c r="L166" i="461"/>
  <c r="N166" i="461" s="1"/>
  <c r="L162" i="461"/>
  <c r="N162" i="461" s="1"/>
  <c r="L158" i="461"/>
  <c r="N158" i="461" s="1"/>
  <c r="L154" i="461"/>
  <c r="N154" i="461" s="1"/>
  <c r="L150" i="461"/>
  <c r="N150" i="461" s="1"/>
  <c r="L134" i="461"/>
  <c r="N134" i="461" s="1"/>
  <c r="L118" i="461"/>
  <c r="N118" i="461" s="1"/>
  <c r="L209" i="461"/>
  <c r="N209" i="461" s="1"/>
  <c r="L205" i="461"/>
  <c r="N205" i="461" s="1"/>
  <c r="L201" i="461"/>
  <c r="N201" i="461" s="1"/>
  <c r="L197" i="461"/>
  <c r="N197" i="461" s="1"/>
  <c r="L193" i="461"/>
  <c r="N193" i="461" s="1"/>
  <c r="L189" i="461"/>
  <c r="N189" i="461" s="1"/>
  <c r="L185" i="461"/>
  <c r="N185" i="461" s="1"/>
  <c r="L181" i="461"/>
  <c r="N181" i="461" s="1"/>
  <c r="L177" i="461"/>
  <c r="N177" i="461" s="1"/>
  <c r="L173" i="461"/>
  <c r="N173" i="461" s="1"/>
  <c r="L169" i="461"/>
  <c r="N169" i="461" s="1"/>
  <c r="L165" i="461"/>
  <c r="N165" i="461" s="1"/>
  <c r="L161" i="461"/>
  <c r="N161" i="461" s="1"/>
  <c r="L157" i="461"/>
  <c r="N157" i="461" s="1"/>
  <c r="L153" i="461"/>
  <c r="N153" i="461" s="1"/>
  <c r="L149" i="461"/>
  <c r="N149" i="461" s="1"/>
  <c r="L145" i="461"/>
  <c r="N145" i="461" s="1"/>
  <c r="L141" i="461"/>
  <c r="N141" i="461" s="1"/>
  <c r="L137" i="461"/>
  <c r="N137" i="461" s="1"/>
  <c r="L133" i="461"/>
  <c r="N133" i="461" s="1"/>
  <c r="L129" i="461"/>
  <c r="N129" i="461" s="1"/>
  <c r="L125" i="461"/>
  <c r="N125" i="461" s="1"/>
  <c r="L167" i="461"/>
  <c r="N167" i="461" s="1"/>
  <c r="L155" i="461"/>
  <c r="N155" i="461" s="1"/>
  <c r="L143" i="461"/>
  <c r="N143" i="461" s="1"/>
  <c r="L127" i="461"/>
  <c r="N127" i="461" s="1"/>
  <c r="L146" i="461"/>
  <c r="N146" i="461" s="1"/>
  <c r="P195" i="446"/>
  <c r="P198" i="446" s="1"/>
  <c r="M189" i="446"/>
  <c r="K1654" i="458"/>
  <c r="K1650" i="458"/>
  <c r="K1646" i="458"/>
  <c r="K1642" i="458"/>
  <c r="K1638" i="458"/>
  <c r="K1634" i="458"/>
  <c r="K1630" i="458"/>
  <c r="K1626" i="458"/>
  <c r="K1622" i="458"/>
  <c r="K1614" i="458"/>
  <c r="K1610" i="458"/>
  <c r="K1606" i="458"/>
  <c r="K1602" i="458"/>
  <c r="K1598" i="458"/>
  <c r="K1594" i="458"/>
  <c r="K1586" i="458"/>
  <c r="K1582" i="458"/>
  <c r="K1574" i="458"/>
  <c r="K1570" i="458"/>
  <c r="K1558" i="458"/>
  <c r="K1653" i="458"/>
  <c r="K1649" i="458"/>
  <c r="K1645" i="458"/>
  <c r="K1637" i="458"/>
  <c r="K1633" i="458"/>
  <c r="K1629" i="458"/>
  <c r="K1625" i="458"/>
  <c r="K1621" i="458"/>
  <c r="K1617" i="458"/>
  <c r="K1613" i="458"/>
  <c r="K1609" i="458"/>
  <c r="K1605" i="458"/>
  <c r="K1601" i="458"/>
  <c r="K1597" i="458"/>
  <c r="K1593" i="458"/>
  <c r="K1577" i="458"/>
  <c r="K1573" i="458"/>
  <c r="K1656" i="458"/>
  <c r="K1652" i="458"/>
  <c r="K1648" i="458"/>
  <c r="K1644" i="458"/>
  <c r="K1640" i="458"/>
  <c r="K1636" i="458"/>
  <c r="K1632" i="458"/>
  <c r="K1628" i="458"/>
  <c r="K1624" i="458"/>
  <c r="K1620" i="458"/>
  <c r="K1616" i="458"/>
  <c r="K1612" i="458"/>
  <c r="K1608" i="458"/>
  <c r="K1604" i="458"/>
  <c r="K1596" i="458"/>
  <c r="K1588" i="458"/>
  <c r="K1584" i="458"/>
  <c r="K1572" i="458"/>
  <c r="K1564" i="458"/>
  <c r="K1655" i="458"/>
  <c r="K1651" i="458"/>
  <c r="K1647" i="458"/>
  <c r="K1643" i="458"/>
  <c r="K1639" i="458"/>
  <c r="K1635" i="458"/>
  <c r="K1631" i="458"/>
  <c r="K1623" i="458"/>
  <c r="K1619" i="458"/>
  <c r="K1615" i="458"/>
  <c r="K1611" i="458"/>
  <c r="K1607" i="458"/>
  <c r="K1599" i="458"/>
  <c r="K1595" i="458"/>
  <c r="K1591" i="458"/>
  <c r="K1587" i="458"/>
  <c r="K1583" i="458"/>
  <c r="K1571" i="458"/>
  <c r="K1567" i="458"/>
  <c r="K1563" i="458"/>
  <c r="K1559" i="458"/>
  <c r="M190" i="446"/>
  <c r="M187" i="446"/>
  <c r="M188" i="446"/>
  <c r="P171" i="446"/>
  <c r="P174" i="446" s="1"/>
  <c r="P207" i="446"/>
  <c r="P191" i="446"/>
  <c r="S183" i="446"/>
  <c r="R179" i="446"/>
  <c r="T171" i="446"/>
  <c r="P179" i="446"/>
  <c r="P182" i="446" s="1"/>
  <c r="Q183" i="446"/>
  <c r="P175" i="446"/>
  <c r="P178" i="446" s="1"/>
  <c r="Q179" i="446"/>
  <c r="R183" i="446"/>
  <c r="R171" i="446"/>
  <c r="T179" i="446"/>
  <c r="P199" i="446"/>
  <c r="P202" i="446" s="1"/>
  <c r="Q203" i="446"/>
  <c r="Q206" i="446" s="1"/>
  <c r="I110" i="13" s="1"/>
  <c r="Q171" i="446"/>
  <c r="S179" i="446"/>
  <c r="P183" i="446"/>
  <c r="P186" i="446" s="1"/>
  <c r="T183" i="446"/>
  <c r="P203" i="446"/>
  <c r="P206" i="446" s="1"/>
  <c r="H110" i="13" s="1"/>
  <c r="N149" i="446"/>
  <c r="N148" i="446"/>
  <c r="N147" i="446"/>
  <c r="N146" i="446"/>
  <c r="U146" i="446"/>
  <c r="T146" i="446"/>
  <c r="S146" i="446"/>
  <c r="R146" i="446"/>
  <c r="Q146" i="446"/>
  <c r="Q149" i="446" s="1"/>
  <c r="U138" i="446"/>
  <c r="T138" i="446"/>
  <c r="S138" i="446"/>
  <c r="R138" i="446"/>
  <c r="Q138" i="446"/>
  <c r="Q141" i="446" s="1"/>
  <c r="U134" i="446"/>
  <c r="T134" i="446"/>
  <c r="S134" i="446"/>
  <c r="R134" i="446"/>
  <c r="Q134" i="446"/>
  <c r="Q137" i="446" s="1"/>
  <c r="U130" i="446"/>
  <c r="T130" i="446"/>
  <c r="S130" i="446"/>
  <c r="R130" i="446"/>
  <c r="Q130" i="446"/>
  <c r="Q133" i="446" s="1"/>
  <c r="U126" i="446"/>
  <c r="T126" i="446"/>
  <c r="S126" i="446"/>
  <c r="R126" i="446"/>
  <c r="Q126" i="446"/>
  <c r="Q129" i="446" s="1"/>
  <c r="U122" i="446"/>
  <c r="T122" i="446"/>
  <c r="S122" i="446"/>
  <c r="R122" i="446"/>
  <c r="Q122" i="446"/>
  <c r="Q125" i="446" s="1"/>
  <c r="U114" i="446"/>
  <c r="U110" i="446"/>
  <c r="T110" i="446"/>
  <c r="S110" i="446"/>
  <c r="R110" i="446"/>
  <c r="Q110" i="446"/>
  <c r="Q113" i="446" s="1"/>
  <c r="U106" i="446"/>
  <c r="T106" i="446"/>
  <c r="S106" i="446"/>
  <c r="R106" i="446"/>
  <c r="Q106" i="446"/>
  <c r="Q109" i="446" s="1"/>
  <c r="U102" i="446"/>
  <c r="T102" i="446"/>
  <c r="S102" i="446"/>
  <c r="R102" i="446"/>
  <c r="Q102" i="446"/>
  <c r="U98" i="446"/>
  <c r="T98" i="446"/>
  <c r="S98" i="446"/>
  <c r="R98" i="446"/>
  <c r="Q98" i="446"/>
  <c r="Q101" i="446" s="1"/>
  <c r="U94" i="446"/>
  <c r="T94" i="446"/>
  <c r="S94" i="446"/>
  <c r="R94" i="446"/>
  <c r="Q94" i="446"/>
  <c r="U86" i="446"/>
  <c r="T86" i="446"/>
  <c r="S86" i="446"/>
  <c r="R86" i="446"/>
  <c r="Q86" i="446"/>
  <c r="U82" i="446"/>
  <c r="T82" i="446"/>
  <c r="S82" i="446"/>
  <c r="R82" i="446"/>
  <c r="Q82" i="446"/>
  <c r="Q85" i="446" s="1"/>
  <c r="U74" i="446"/>
  <c r="T74" i="446"/>
  <c r="S74" i="446"/>
  <c r="R74" i="446"/>
  <c r="Q74" i="446"/>
  <c r="Q77" i="446" s="1"/>
  <c r="U66" i="446"/>
  <c r="T66" i="446"/>
  <c r="S66" i="446"/>
  <c r="R66" i="446"/>
  <c r="Q66" i="446"/>
  <c r="Q69" i="446" s="1"/>
  <c r="U62" i="446"/>
  <c r="T62" i="446"/>
  <c r="S62" i="446"/>
  <c r="R62" i="446"/>
  <c r="Q62" i="446"/>
  <c r="Q65" i="446" s="1"/>
  <c r="U58" i="446"/>
  <c r="T58" i="446"/>
  <c r="S58" i="446"/>
  <c r="R58" i="446"/>
  <c r="Q58" i="446"/>
  <c r="Q61" i="446" s="1"/>
  <c r="U54" i="446"/>
  <c r="T54" i="446"/>
  <c r="S54" i="446"/>
  <c r="R54" i="446"/>
  <c r="Q54" i="446"/>
  <c r="Q57" i="446" s="1"/>
  <c r="U50" i="446"/>
  <c r="T50" i="446"/>
  <c r="S50" i="446"/>
  <c r="R50" i="446"/>
  <c r="Q50" i="446"/>
  <c r="Q53" i="446" s="1"/>
  <c r="U46" i="446"/>
  <c r="T46" i="446"/>
  <c r="S46" i="446"/>
  <c r="R46" i="446"/>
  <c r="Q46" i="446"/>
  <c r="Q49" i="446" s="1"/>
  <c r="U42" i="446"/>
  <c r="T42" i="446"/>
  <c r="S42" i="446"/>
  <c r="R42" i="446"/>
  <c r="Q42" i="446"/>
  <c r="Q45" i="446" s="1"/>
  <c r="U38" i="446"/>
  <c r="T38" i="446"/>
  <c r="S38" i="446"/>
  <c r="R38" i="446"/>
  <c r="Q38" i="446"/>
  <c r="Q41" i="446" s="1"/>
  <c r="U34" i="446"/>
  <c r="T34" i="446"/>
  <c r="S34" i="446"/>
  <c r="R34" i="446"/>
  <c r="Q34" i="446"/>
  <c r="Q37" i="446" s="1"/>
  <c r="U30" i="446"/>
  <c r="T30" i="446"/>
  <c r="S30" i="446"/>
  <c r="R30" i="446"/>
  <c r="Q30" i="446"/>
  <c r="Q33" i="446" s="1"/>
  <c r="U18" i="446"/>
  <c r="T18" i="446"/>
  <c r="S18" i="446"/>
  <c r="R18" i="446"/>
  <c r="Q18" i="446"/>
  <c r="Q21" i="446" s="1"/>
  <c r="U14" i="446"/>
  <c r="T14" i="446"/>
  <c r="S14" i="446"/>
  <c r="R14" i="446"/>
  <c r="R15" i="446"/>
  <c r="S15" i="446" s="1"/>
  <c r="T15" i="446" s="1"/>
  <c r="U15" i="446" s="1"/>
  <c r="Q14" i="446"/>
  <c r="Q17" i="446" s="1"/>
  <c r="U143" i="446"/>
  <c r="T143" i="446"/>
  <c r="S143" i="446"/>
  <c r="R143" i="446"/>
  <c r="Q143" i="446"/>
  <c r="O145" i="446"/>
  <c r="O138" i="446"/>
  <c r="O143" i="446"/>
  <c r="O142" i="446"/>
  <c r="O141" i="446"/>
  <c r="O140" i="446"/>
  <c r="O139" i="446"/>
  <c r="O144" i="446"/>
  <c r="M145" i="446"/>
  <c r="M144" i="446"/>
  <c r="M143" i="446"/>
  <c r="M142" i="446"/>
  <c r="U142" i="446" s="1"/>
  <c r="N145" i="446"/>
  <c r="N144" i="446"/>
  <c r="N143" i="446"/>
  <c r="N142" i="446"/>
  <c r="AK112" i="438"/>
  <c r="AJ112" i="438"/>
  <c r="S189" i="446"/>
  <c r="R189" i="446"/>
  <c r="Q189" i="446"/>
  <c r="W143" i="438"/>
  <c r="V143" i="438"/>
  <c r="U143" i="438"/>
  <c r="T143" i="438"/>
  <c r="S143" i="438"/>
  <c r="W110" i="438"/>
  <c r="V110" i="438"/>
  <c r="U110" i="438"/>
  <c r="T110" i="438"/>
  <c r="S110" i="438"/>
  <c r="K1657" i="458" s="1"/>
  <c r="P187" i="446" l="1"/>
  <c r="T187" i="446"/>
  <c r="H98" i="13"/>
  <c r="H112" i="13"/>
  <c r="H107" i="13" s="1"/>
  <c r="Q182" i="446"/>
  <c r="H105" i="13"/>
  <c r="R187" i="446"/>
  <c r="Q187" i="446"/>
  <c r="S187" i="446"/>
  <c r="R21" i="446"/>
  <c r="S21" i="446" s="1"/>
  <c r="T21" i="446" s="1"/>
  <c r="U21" i="446" s="1"/>
  <c r="R37" i="446"/>
  <c r="S37" i="446" s="1"/>
  <c r="T37" i="446" s="1"/>
  <c r="U37" i="446" s="1"/>
  <c r="R53" i="446"/>
  <c r="S53" i="446" s="1"/>
  <c r="T53" i="446" s="1"/>
  <c r="U53" i="446" s="1"/>
  <c r="R69" i="446"/>
  <c r="R133" i="446"/>
  <c r="S69" i="446"/>
  <c r="T69" i="446" s="1"/>
  <c r="U69" i="446" s="1"/>
  <c r="S133" i="446"/>
  <c r="Q174" i="446"/>
  <c r="Q186" i="446"/>
  <c r="R186" i="446" s="1"/>
  <c r="S186" i="446" s="1"/>
  <c r="T186" i="446" s="1"/>
  <c r="T189" i="446"/>
  <c r="R182" i="446"/>
  <c r="R41" i="446"/>
  <c r="S41" i="446" s="1"/>
  <c r="T41" i="446" s="1"/>
  <c r="U41" i="446" s="1"/>
  <c r="R137" i="446"/>
  <c r="S137" i="446" s="1"/>
  <c r="T137" i="446" s="1"/>
  <c r="U137" i="446" s="1"/>
  <c r="R57" i="446"/>
  <c r="S57" i="446" s="1"/>
  <c r="T57" i="446" s="1"/>
  <c r="U57" i="446" s="1"/>
  <c r="S149" i="446"/>
  <c r="T149" i="446" s="1"/>
  <c r="U149" i="446" s="1"/>
  <c r="R33" i="446"/>
  <c r="S33" i="446" s="1"/>
  <c r="T33" i="446" s="1"/>
  <c r="U33" i="446" s="1"/>
  <c r="R49" i="446"/>
  <c r="S49" i="446" s="1"/>
  <c r="T49" i="446" s="1"/>
  <c r="U49" i="446" s="1"/>
  <c r="R65" i="446"/>
  <c r="S65" i="446" s="1"/>
  <c r="T65" i="446" s="1"/>
  <c r="U65" i="446" s="1"/>
  <c r="R113" i="446"/>
  <c r="S113" i="446" s="1"/>
  <c r="T113" i="446" s="1"/>
  <c r="U113" i="446" s="1"/>
  <c r="R129" i="446"/>
  <c r="S129" i="446" s="1"/>
  <c r="T129" i="446" s="1"/>
  <c r="U129" i="446" s="1"/>
  <c r="R85" i="446"/>
  <c r="S85" i="446" s="1"/>
  <c r="T85" i="446" s="1"/>
  <c r="U85" i="446" s="1"/>
  <c r="R101" i="446"/>
  <c r="S101" i="446" s="1"/>
  <c r="T101" i="446" s="1"/>
  <c r="U101" i="446" s="1"/>
  <c r="T133" i="446"/>
  <c r="U133" i="446" s="1"/>
  <c r="R45" i="446"/>
  <c r="S45" i="446" s="1"/>
  <c r="T45" i="446" s="1"/>
  <c r="U45" i="446" s="1"/>
  <c r="R61" i="446"/>
  <c r="S61" i="446" s="1"/>
  <c r="T61" i="446" s="1"/>
  <c r="U61" i="446" s="1"/>
  <c r="R77" i="446"/>
  <c r="S77" i="446" s="1"/>
  <c r="T77" i="446" s="1"/>
  <c r="U77" i="446" s="1"/>
  <c r="R109" i="446"/>
  <c r="S109" i="446" s="1"/>
  <c r="T109" i="446" s="1"/>
  <c r="U109" i="446" s="1"/>
  <c r="R125" i="446"/>
  <c r="S125" i="446" s="1"/>
  <c r="T125" i="446" s="1"/>
  <c r="U125" i="446" s="1"/>
  <c r="R141" i="446"/>
  <c r="S141" i="446" s="1"/>
  <c r="T141" i="446" s="1"/>
  <c r="U141" i="446" s="1"/>
  <c r="R17" i="446"/>
  <c r="AJ86" i="446"/>
  <c r="J73" i="13" s="1"/>
  <c r="AH94" i="446"/>
  <c r="H87" i="13" s="1"/>
  <c r="R142" i="446"/>
  <c r="AL82" i="446"/>
  <c r="L72" i="13" s="1"/>
  <c r="AI74" i="446"/>
  <c r="I71" i="13" s="1"/>
  <c r="AH78" i="446"/>
  <c r="H70" i="13" s="1"/>
  <c r="S142" i="446"/>
  <c r="AH34" i="446"/>
  <c r="H62" i="13" s="1"/>
  <c r="AL34" i="446"/>
  <c r="L62" i="13" s="1"/>
  <c r="AK70" i="446"/>
  <c r="K69" i="13" s="1"/>
  <c r="AJ74" i="446"/>
  <c r="J71" i="13" s="1"/>
  <c r="AI82" i="446"/>
  <c r="I72" i="13" s="1"/>
  <c r="AH86" i="446"/>
  <c r="H73" i="13" s="1"/>
  <c r="AL86" i="446"/>
  <c r="L73" i="13" s="1"/>
  <c r="AK34" i="446"/>
  <c r="K62" i="13" s="1"/>
  <c r="AH82" i="446"/>
  <c r="H72" i="13" s="1"/>
  <c r="AK86" i="446"/>
  <c r="K73" i="13" s="1"/>
  <c r="T142" i="446"/>
  <c r="AI34" i="446"/>
  <c r="I62" i="13" s="1"/>
  <c r="AH70" i="446"/>
  <c r="H69" i="13" s="1"/>
  <c r="AL70" i="446"/>
  <c r="L69" i="13" s="1"/>
  <c r="AK74" i="446"/>
  <c r="K71" i="13" s="1"/>
  <c r="AJ82" i="446"/>
  <c r="J72" i="13" s="1"/>
  <c r="AI86" i="446"/>
  <c r="I73" i="13" s="1"/>
  <c r="AJ70" i="446"/>
  <c r="J69" i="13" s="1"/>
  <c r="AH30" i="446"/>
  <c r="H60" i="13" s="1"/>
  <c r="U144" i="446"/>
  <c r="Q144" i="446"/>
  <c r="R144" i="446"/>
  <c r="T144" i="446"/>
  <c r="S144" i="446"/>
  <c r="AH26" i="446"/>
  <c r="H61" i="13" s="1"/>
  <c r="Q142" i="446"/>
  <c r="Q145" i="446" s="1"/>
  <c r="AJ34" i="446"/>
  <c r="J62" i="13" s="1"/>
  <c r="AI70" i="446"/>
  <c r="I69" i="13" s="1"/>
  <c r="AH74" i="446"/>
  <c r="H71" i="13" s="1"/>
  <c r="AL74" i="446"/>
  <c r="L71" i="13" s="1"/>
  <c r="AK82" i="446"/>
  <c r="K72" i="13" s="1"/>
  <c r="P190" i="446" l="1"/>
  <c r="H119" i="13" s="1"/>
  <c r="H114" i="13" s="1"/>
  <c r="I105" i="13"/>
  <c r="R145" i="446"/>
  <c r="S145" i="446" s="1"/>
  <c r="T145" i="446" s="1"/>
  <c r="U145" i="446" s="1"/>
  <c r="I98" i="13"/>
  <c r="R174" i="446"/>
  <c r="S174" i="446" s="1"/>
  <c r="T174" i="446" s="1"/>
  <c r="S182" i="446"/>
  <c r="J105" i="13"/>
  <c r="S17" i="446"/>
  <c r="AH90" i="446"/>
  <c r="H86" i="13" s="1"/>
  <c r="H85" i="13" s="1"/>
  <c r="Q190" i="446" l="1"/>
  <c r="J98" i="13"/>
  <c r="T182" i="446"/>
  <c r="L105" i="13" s="1"/>
  <c r="K105" i="13"/>
  <c r="L98" i="13"/>
  <c r="K98" i="13"/>
  <c r="T17" i="446"/>
  <c r="R190" i="446" l="1"/>
  <c r="I119" i="13"/>
  <c r="I114" i="13" s="1"/>
  <c r="U17" i="446"/>
  <c r="J119" i="13" l="1"/>
  <c r="J114" i="13" s="1"/>
  <c r="S190" i="446"/>
  <c r="J18" i="453"/>
  <c r="T190" i="446" l="1"/>
  <c r="L119" i="13" s="1"/>
  <c r="L114" i="13" s="1"/>
  <c r="K119" i="13"/>
  <c r="K114" i="13" s="1"/>
  <c r="D87" i="454"/>
  <c r="D86" i="454"/>
  <c r="D85" i="454"/>
  <c r="D84" i="454"/>
  <c r="D83" i="454"/>
  <c r="D82" i="454"/>
  <c r="D81" i="454"/>
  <c r="D80" i="454"/>
  <c r="D79" i="454"/>
  <c r="D78" i="454"/>
  <c r="D77" i="454"/>
  <c r="D76" i="454"/>
  <c r="D75" i="454"/>
  <c r="D74" i="454"/>
  <c r="D73" i="454"/>
  <c r="D72" i="454"/>
  <c r="D71" i="454"/>
  <c r="D70" i="454"/>
  <c r="D69" i="454"/>
  <c r="D68" i="454"/>
  <c r="D67" i="454"/>
  <c r="D66" i="454"/>
  <c r="D65" i="454"/>
  <c r="D64" i="454"/>
  <c r="D63" i="454"/>
  <c r="D62" i="454"/>
  <c r="D61" i="454"/>
  <c r="D60" i="454"/>
  <c r="D59" i="454"/>
  <c r="D58" i="454"/>
  <c r="D57" i="454"/>
  <c r="D56" i="454"/>
  <c r="D55" i="454"/>
  <c r="D54" i="454"/>
  <c r="D53" i="454"/>
  <c r="D52" i="454"/>
  <c r="D51" i="454"/>
  <c r="D50" i="454"/>
  <c r="D49" i="454"/>
  <c r="D46" i="454"/>
  <c r="D45" i="454"/>
  <c r="D44" i="454"/>
  <c r="D43" i="454"/>
  <c r="D42" i="454"/>
  <c r="D41" i="454"/>
  <c r="D40" i="454"/>
  <c r="D39" i="454"/>
  <c r="D38" i="454"/>
  <c r="D37" i="454"/>
  <c r="D36" i="454"/>
  <c r="D35" i="454"/>
  <c r="D34" i="454"/>
  <c r="D33" i="454"/>
  <c r="D32" i="454"/>
  <c r="D31" i="454"/>
  <c r="D30" i="454"/>
  <c r="D29" i="454"/>
  <c r="D27" i="454"/>
  <c r="D26" i="454"/>
  <c r="D25" i="454"/>
  <c r="D24" i="454"/>
  <c r="D23" i="454"/>
  <c r="D22" i="454"/>
  <c r="D20" i="454"/>
  <c r="D19" i="454"/>
  <c r="D18" i="454"/>
  <c r="D17" i="454"/>
  <c r="D16" i="454"/>
  <c r="D15" i="454"/>
  <c r="D14" i="454"/>
  <c r="D13" i="454"/>
  <c r="D12" i="454"/>
  <c r="D11" i="454"/>
  <c r="D10" i="454"/>
  <c r="D9" i="454"/>
  <c r="D8" i="454"/>
  <c r="D6" i="454"/>
  <c r="D5" i="454"/>
  <c r="D4" i="454"/>
  <c r="C86" i="454" l="1"/>
  <c r="C85" i="454"/>
  <c r="C84" i="454"/>
  <c r="C83" i="454"/>
  <c r="C82" i="454"/>
  <c r="C81" i="454"/>
  <c r="C80" i="454"/>
  <c r="C79" i="454"/>
  <c r="C78" i="454"/>
  <c r="C77" i="454"/>
  <c r="C76" i="454"/>
  <c r="C75" i="454"/>
  <c r="C71" i="454"/>
  <c r="C70" i="454"/>
  <c r="C69" i="454"/>
  <c r="C68" i="454"/>
  <c r="C65" i="454"/>
  <c r="C64" i="454"/>
  <c r="C63" i="454"/>
  <c r="C61" i="454"/>
  <c r="C60" i="454"/>
  <c r="C59" i="454"/>
  <c r="C57" i="454"/>
  <c r="C56" i="454"/>
  <c r="C55" i="454"/>
  <c r="C53" i="454"/>
  <c r="C51" i="454"/>
  <c r="C50" i="454"/>
  <c r="C49" i="454"/>
  <c r="C46" i="454"/>
  <c r="C45" i="454"/>
  <c r="C43" i="454"/>
  <c r="C42" i="454"/>
  <c r="C39" i="454"/>
  <c r="C38" i="454"/>
  <c r="C37" i="454"/>
  <c r="C36" i="454"/>
  <c r="C35" i="454"/>
  <c r="C30" i="454"/>
  <c r="C29" i="454"/>
  <c r="C27" i="454"/>
  <c r="C25" i="454"/>
  <c r="C24" i="454"/>
  <c r="C23" i="454"/>
  <c r="C18" i="454"/>
  <c r="C17" i="454"/>
  <c r="C16" i="454"/>
  <c r="C15" i="454"/>
  <c r="C13" i="454"/>
  <c r="C12" i="454"/>
  <c r="C11" i="454"/>
  <c r="C10" i="454"/>
  <c r="C8" i="454"/>
  <c r="C6" i="454"/>
  <c r="C5" i="454"/>
  <c r="C4" i="454"/>
  <c r="K17" i="453" l="1"/>
  <c r="K16" i="453"/>
  <c r="K15" i="453"/>
  <c r="K14" i="453"/>
  <c r="K13" i="453"/>
  <c r="K12" i="453"/>
  <c r="K11" i="453"/>
  <c r="K18" i="453" s="1"/>
  <c r="F139" i="450" l="1"/>
  <c r="E134" i="450"/>
  <c r="E128" i="450"/>
  <c r="E122" i="450"/>
  <c r="E116" i="450"/>
  <c r="E110" i="450"/>
  <c r="E104" i="450"/>
  <c r="E69" i="450"/>
  <c r="E93" i="450"/>
  <c r="E87" i="450"/>
  <c r="E81" i="450"/>
  <c r="E75" i="450"/>
  <c r="E63" i="450"/>
  <c r="E53" i="450"/>
  <c r="E46" i="450"/>
  <c r="E39" i="450"/>
  <c r="E32" i="450"/>
  <c r="E25" i="450"/>
  <c r="E18" i="450" l="1"/>
  <c r="D32" i="450"/>
  <c r="AA30" i="452"/>
  <c r="Z30" i="452"/>
  <c r="Y30" i="452"/>
  <c r="X30" i="452"/>
  <c r="W30" i="452"/>
  <c r="AA29" i="452"/>
  <c r="Z29" i="452"/>
  <c r="Y29" i="452"/>
  <c r="X29" i="452"/>
  <c r="W29" i="452"/>
  <c r="AA28" i="452"/>
  <c r="Z28" i="452"/>
  <c r="Y28" i="452"/>
  <c r="X28" i="452"/>
  <c r="W28" i="452"/>
  <c r="AA27" i="452"/>
  <c r="Z27" i="452"/>
  <c r="Y27" i="452"/>
  <c r="X27" i="452"/>
  <c r="W27" i="452"/>
  <c r="AA26" i="452"/>
  <c r="Z26" i="452"/>
  <c r="Y26" i="452"/>
  <c r="X26" i="452"/>
  <c r="W26" i="452"/>
  <c r="AA25" i="452"/>
  <c r="Z25" i="452"/>
  <c r="Y25" i="452"/>
  <c r="X25" i="452"/>
  <c r="W25" i="452"/>
  <c r="AA24" i="452"/>
  <c r="Z24" i="452"/>
  <c r="Y24" i="452"/>
  <c r="X24" i="452"/>
  <c r="W24" i="452"/>
  <c r="AA23" i="452"/>
  <c r="Z23" i="452"/>
  <c r="Y23" i="452"/>
  <c r="X23" i="452"/>
  <c r="W23" i="452"/>
  <c r="AA22" i="452"/>
  <c r="Z22" i="452"/>
  <c r="Y22" i="452"/>
  <c r="X22" i="452"/>
  <c r="W22" i="452"/>
  <c r="AA21" i="452"/>
  <c r="Z21" i="452"/>
  <c r="Y21" i="452"/>
  <c r="X21" i="452"/>
  <c r="W21" i="452"/>
  <c r="AA20" i="452"/>
  <c r="Z20" i="452"/>
  <c r="Y20" i="452"/>
  <c r="X20" i="452"/>
  <c r="W20" i="452"/>
  <c r="AA19" i="452"/>
  <c r="Z19" i="452"/>
  <c r="Y19" i="452"/>
  <c r="X19" i="452"/>
  <c r="W19" i="452"/>
  <c r="AA18" i="452"/>
  <c r="Z18" i="452"/>
  <c r="Y18" i="452"/>
  <c r="X18" i="452"/>
  <c r="W18" i="452"/>
  <c r="AA17" i="452"/>
  <c r="Z17" i="452"/>
  <c r="Y17" i="452"/>
  <c r="X17" i="452"/>
  <c r="W17" i="452"/>
  <c r="AA16" i="452"/>
  <c r="Z16" i="452"/>
  <c r="Y16" i="452"/>
  <c r="X16" i="452"/>
  <c r="W16" i="452"/>
  <c r="AA15" i="452"/>
  <c r="Z15" i="452"/>
  <c r="Y15" i="452"/>
  <c r="X15" i="452"/>
  <c r="W15" i="452"/>
  <c r="AA14" i="452"/>
  <c r="Z14" i="452"/>
  <c r="Y14" i="452"/>
  <c r="X14" i="452"/>
  <c r="W14" i="452"/>
  <c r="AA12" i="452"/>
  <c r="Z12" i="452"/>
  <c r="E130" i="450" s="1"/>
  <c r="Y12" i="452"/>
  <c r="E89" i="450" s="1"/>
  <c r="X12" i="452"/>
  <c r="W12" i="452"/>
  <c r="E48" i="450" s="1"/>
  <c r="AA11" i="452"/>
  <c r="Z11" i="452"/>
  <c r="E112" i="450" s="1"/>
  <c r="Y11" i="452"/>
  <c r="E71" i="450" s="1"/>
  <c r="X11" i="452"/>
  <c r="W11" i="452"/>
  <c r="E27" i="450" s="1"/>
  <c r="AA10" i="452"/>
  <c r="Z10" i="452"/>
  <c r="E106" i="450" s="1"/>
  <c r="Y10" i="452"/>
  <c r="E65" i="450" s="1"/>
  <c r="X10" i="452"/>
  <c r="W10" i="452"/>
  <c r="E20" i="450" s="1"/>
  <c r="AA9" i="452"/>
  <c r="Z9" i="452"/>
  <c r="E136" i="450" s="1"/>
  <c r="Y9" i="452"/>
  <c r="E95" i="450" s="1"/>
  <c r="X9" i="452"/>
  <c r="W9" i="452"/>
  <c r="E55" i="450" s="1"/>
  <c r="AA8" i="452"/>
  <c r="Z8" i="452"/>
  <c r="E124" i="450" s="1"/>
  <c r="Y8" i="452"/>
  <c r="E83" i="450" s="1"/>
  <c r="X8" i="452"/>
  <c r="W8" i="452"/>
  <c r="E41" i="450" s="1"/>
  <c r="AA7" i="452"/>
  <c r="Z7" i="452"/>
  <c r="E118" i="450" s="1"/>
  <c r="Y7" i="452"/>
  <c r="E77" i="450" s="1"/>
  <c r="X7" i="452"/>
  <c r="W7" i="452"/>
  <c r="E34" i="450" s="1"/>
  <c r="AA6" i="452"/>
  <c r="Z6" i="452"/>
  <c r="Y6" i="452"/>
  <c r="X6" i="452"/>
  <c r="W6" i="452"/>
  <c r="M5" i="452"/>
  <c r="AA5" i="452" s="1"/>
  <c r="L5" i="452"/>
  <c r="Z5" i="452" s="1"/>
  <c r="K5" i="452"/>
  <c r="K31" i="452" s="1"/>
  <c r="J5" i="452"/>
  <c r="X5" i="452" s="1"/>
  <c r="I5" i="452"/>
  <c r="W5" i="452" s="1"/>
  <c r="T13" i="452"/>
  <c r="T31" i="452" s="1"/>
  <c r="S13" i="452"/>
  <c r="S31" i="452" s="1"/>
  <c r="R13" i="452"/>
  <c r="R31" i="452" s="1"/>
  <c r="Q13" i="452"/>
  <c r="Q31" i="452" s="1"/>
  <c r="P13" i="452"/>
  <c r="P31" i="452" s="1"/>
  <c r="M13" i="452"/>
  <c r="AA13" i="452" s="1"/>
  <c r="L13" i="452"/>
  <c r="L31" i="452" s="1"/>
  <c r="Z31" i="452" s="1"/>
  <c r="K13" i="452"/>
  <c r="Y13" i="452" s="1"/>
  <c r="J13" i="452"/>
  <c r="X13" i="452" s="1"/>
  <c r="I13" i="452"/>
  <c r="W13" i="452" s="1"/>
  <c r="Y31" i="452" l="1"/>
  <c r="I31" i="452"/>
  <c r="W31" i="452" s="1"/>
  <c r="M31" i="452"/>
  <c r="AA31" i="452" s="1"/>
  <c r="Y5" i="452"/>
  <c r="J31" i="452"/>
  <c r="Z13" i="452"/>
  <c r="D134" i="450"/>
  <c r="D128" i="450"/>
  <c r="D122" i="450"/>
  <c r="D116" i="450"/>
  <c r="D110" i="450"/>
  <c r="D104" i="450"/>
  <c r="D93" i="450"/>
  <c r="D87" i="450"/>
  <c r="D81" i="450"/>
  <c r="D75" i="450"/>
  <c r="D69" i="450"/>
  <c r="D63" i="450"/>
  <c r="D53" i="450"/>
  <c r="D46" i="450"/>
  <c r="D39" i="450"/>
  <c r="D25" i="450"/>
  <c r="D18" i="450"/>
  <c r="AA26" i="451"/>
  <c r="Z26" i="451"/>
  <c r="Y26" i="451"/>
  <c r="X26" i="451"/>
  <c r="W26" i="451"/>
  <c r="AA25" i="451"/>
  <c r="Z25" i="451"/>
  <c r="Y25" i="451"/>
  <c r="X25" i="451"/>
  <c r="W25" i="451"/>
  <c r="AA24" i="451"/>
  <c r="Z24" i="451"/>
  <c r="Y24" i="451"/>
  <c r="X24" i="451"/>
  <c r="W24" i="451"/>
  <c r="AA21" i="451"/>
  <c r="Z21" i="451"/>
  <c r="Y21" i="451"/>
  <c r="X21" i="451"/>
  <c r="W21" i="451"/>
  <c r="AA20" i="451"/>
  <c r="Z20" i="451"/>
  <c r="Y20" i="451"/>
  <c r="X20" i="451"/>
  <c r="W20" i="451"/>
  <c r="AA19" i="451"/>
  <c r="Z19" i="451"/>
  <c r="Y19" i="451"/>
  <c r="X19" i="451"/>
  <c r="W19" i="451"/>
  <c r="AA16" i="451"/>
  <c r="Z16" i="451"/>
  <c r="Y16" i="451"/>
  <c r="X16" i="451"/>
  <c r="W16" i="451"/>
  <c r="AA14" i="451"/>
  <c r="Z14" i="451"/>
  <c r="Y14" i="451"/>
  <c r="X14" i="451"/>
  <c r="W14" i="451"/>
  <c r="AA12" i="451"/>
  <c r="Z12" i="451"/>
  <c r="Y12" i="451"/>
  <c r="D89" i="450" s="1"/>
  <c r="X12" i="451"/>
  <c r="W12" i="451"/>
  <c r="D48" i="450" s="1"/>
  <c r="AA11" i="451"/>
  <c r="Z11" i="451"/>
  <c r="D112" i="450" s="1"/>
  <c r="E113" i="450" s="1"/>
  <c r="Y11" i="451"/>
  <c r="D71" i="450" s="1"/>
  <c r="X11" i="451"/>
  <c r="W11" i="451"/>
  <c r="D27" i="450" s="1"/>
  <c r="AA10" i="451"/>
  <c r="Z10" i="451"/>
  <c r="D106" i="450" s="1"/>
  <c r="Y10" i="451"/>
  <c r="D65" i="450" s="1"/>
  <c r="X10" i="451"/>
  <c r="W10" i="451"/>
  <c r="D20" i="450" s="1"/>
  <c r="AA9" i="451"/>
  <c r="Z9" i="451"/>
  <c r="D136" i="450" s="1"/>
  <c r="Y9" i="451"/>
  <c r="D95" i="450" s="1"/>
  <c r="X9" i="451"/>
  <c r="W9" i="451"/>
  <c r="D55" i="450" s="1"/>
  <c r="AA8" i="451"/>
  <c r="Z8" i="451"/>
  <c r="D124" i="450" s="1"/>
  <c r="Y8" i="451"/>
  <c r="D83" i="450" s="1"/>
  <c r="X8" i="451"/>
  <c r="W8" i="451"/>
  <c r="D41" i="450" s="1"/>
  <c r="AA7" i="451"/>
  <c r="Z7" i="451"/>
  <c r="D118" i="450" s="1"/>
  <c r="Y7" i="451"/>
  <c r="D77" i="450" s="1"/>
  <c r="X7" i="451"/>
  <c r="W7" i="451"/>
  <c r="D34" i="450" s="1"/>
  <c r="T13" i="451"/>
  <c r="S13" i="451"/>
  <c r="R13" i="451"/>
  <c r="Q13" i="451"/>
  <c r="P13" i="451"/>
  <c r="T5" i="451"/>
  <c r="T28" i="451" s="1"/>
  <c r="S5" i="451"/>
  <c r="S28" i="451" s="1"/>
  <c r="R5" i="451"/>
  <c r="R28" i="451" s="1"/>
  <c r="Q5" i="451"/>
  <c r="Q28" i="451" s="1"/>
  <c r="P5" i="451"/>
  <c r="P28" i="451" s="1"/>
  <c r="M23" i="451"/>
  <c r="AA23" i="451" s="1"/>
  <c r="L23" i="451"/>
  <c r="Z23" i="451" s="1"/>
  <c r="K23" i="451"/>
  <c r="Y23" i="451" s="1"/>
  <c r="J23" i="451"/>
  <c r="X23" i="451" s="1"/>
  <c r="I23" i="451"/>
  <c r="W23" i="451" s="1"/>
  <c r="M18" i="451"/>
  <c r="M13" i="451" s="1"/>
  <c r="AA13" i="451" s="1"/>
  <c r="L18" i="451"/>
  <c r="Z18" i="451" s="1"/>
  <c r="K18" i="451"/>
  <c r="Y18" i="451" s="1"/>
  <c r="J18" i="451"/>
  <c r="J13" i="451" s="1"/>
  <c r="X13" i="451" s="1"/>
  <c r="I18" i="451"/>
  <c r="I13" i="451" s="1"/>
  <c r="W13" i="451" s="1"/>
  <c r="M5" i="451"/>
  <c r="M28" i="451" s="1"/>
  <c r="AA28" i="451" s="1"/>
  <c r="L5" i="451"/>
  <c r="K5" i="451"/>
  <c r="J5" i="451"/>
  <c r="J28" i="451" s="1"/>
  <c r="I5" i="451"/>
  <c r="D130" i="450"/>
  <c r="D139" i="450" l="1"/>
  <c r="X28" i="451"/>
  <c r="I28" i="451"/>
  <c r="W28" i="451" s="1"/>
  <c r="K13" i="451"/>
  <c r="Y13" i="451" s="1"/>
  <c r="W18" i="451"/>
  <c r="AA18" i="451"/>
  <c r="L13" i="451"/>
  <c r="Z13" i="451" s="1"/>
  <c r="X18" i="451"/>
  <c r="E139" i="450"/>
  <c r="X31" i="452"/>
  <c r="L28" i="451" l="1"/>
  <c r="Z28" i="451" s="1"/>
  <c r="K28" i="451"/>
  <c r="Y28" i="451" s="1"/>
  <c r="E213" i="450" l="1"/>
  <c r="D213" i="450"/>
  <c r="E6" i="450"/>
  <c r="G86" i="418" s="1"/>
  <c r="D6" i="450"/>
  <c r="F86" i="418" s="1"/>
  <c r="I224" i="450"/>
  <c r="H224" i="450"/>
  <c r="K202" i="450"/>
  <c r="J202" i="450"/>
  <c r="F201" i="450"/>
  <c r="E201" i="450"/>
  <c r="D201" i="450"/>
  <c r="K196" i="450"/>
  <c r="J196" i="450"/>
  <c r="I196" i="450"/>
  <c r="H196" i="450"/>
  <c r="G196" i="450"/>
  <c r="K195" i="450"/>
  <c r="K170" i="450"/>
  <c r="J170" i="450"/>
  <c r="I170" i="450"/>
  <c r="H170" i="450"/>
  <c r="G170" i="450"/>
  <c r="K169" i="450"/>
  <c r="J169" i="450"/>
  <c r="J168" i="450" s="1"/>
  <c r="I169" i="450"/>
  <c r="I168" i="450" s="1"/>
  <c r="H169" i="450"/>
  <c r="G169" i="450"/>
  <c r="K181" i="450"/>
  <c r="J181" i="450"/>
  <c r="I181" i="450"/>
  <c r="H181" i="450"/>
  <c r="G181" i="450"/>
  <c r="K168" i="450"/>
  <c r="G168" i="450"/>
  <c r="L132" i="450"/>
  <c r="E67" i="450"/>
  <c r="F221" i="450"/>
  <c r="E221" i="450"/>
  <c r="D221" i="450"/>
  <c r="D220" i="450"/>
  <c r="D210" i="450"/>
  <c r="D165" i="450"/>
  <c r="D157" i="450"/>
  <c r="E137" i="450"/>
  <c r="D132" i="450"/>
  <c r="D131" i="450"/>
  <c r="F125" i="450"/>
  <c r="D125" i="450"/>
  <c r="F123" i="450"/>
  <c r="D120" i="450"/>
  <c r="D114" i="450"/>
  <c r="E108" i="450"/>
  <c r="E102" i="450"/>
  <c r="D102" i="450"/>
  <c r="E91" i="450"/>
  <c r="D91" i="450"/>
  <c r="D90" i="450"/>
  <c r="D79" i="450"/>
  <c r="D78" i="450"/>
  <c r="F73" i="450"/>
  <c r="E73" i="450"/>
  <c r="D73" i="450"/>
  <c r="F72" i="450"/>
  <c r="D67" i="450"/>
  <c r="F66" i="450"/>
  <c r="E61" i="450"/>
  <c r="D61" i="450"/>
  <c r="D54" i="450"/>
  <c r="E43" i="450"/>
  <c r="D43" i="450"/>
  <c r="D42" i="450"/>
  <c r="E36" i="450"/>
  <c r="D36" i="450"/>
  <c r="D35" i="450"/>
  <c r="F29" i="450"/>
  <c r="E29" i="450"/>
  <c r="E26" i="450"/>
  <c r="D26" i="450"/>
  <c r="D21" i="450"/>
  <c r="F15" i="450"/>
  <c r="E15" i="450"/>
  <c r="D5" i="450"/>
  <c r="J1" i="450"/>
  <c r="F165" i="450" l="1"/>
  <c r="D171" i="450"/>
  <c r="D184" i="450"/>
  <c r="F43" i="450"/>
  <c r="F44" i="450" s="1"/>
  <c r="F171" i="450"/>
  <c r="F184" i="450"/>
  <c r="D191" i="450"/>
  <c r="D178" i="450"/>
  <c r="F191" i="450"/>
  <c r="F178" i="450"/>
  <c r="F67" i="450"/>
  <c r="F79" i="450"/>
  <c r="F108" i="450"/>
  <c r="F22" i="450"/>
  <c r="F36" i="450"/>
  <c r="F50" i="450"/>
  <c r="F61" i="450"/>
  <c r="F114" i="450"/>
  <c r="E171" i="450"/>
  <c r="E184" i="450"/>
  <c r="F85" i="450"/>
  <c r="F132" i="450"/>
  <c r="F102" i="450"/>
  <c r="E165" i="450"/>
  <c r="E191" i="450"/>
  <c r="H168" i="450"/>
  <c r="D108" i="450"/>
  <c r="E107" i="450"/>
  <c r="D85" i="450"/>
  <c r="F94" i="450"/>
  <c r="F119" i="450"/>
  <c r="E178" i="450"/>
  <c r="E181" i="450"/>
  <c r="F181" i="450"/>
  <c r="F175" i="450" s="1"/>
  <c r="D50" i="450"/>
  <c r="E117" i="450"/>
  <c r="D181" i="450"/>
  <c r="E82" i="450"/>
  <c r="E84" i="450"/>
  <c r="E85" i="450"/>
  <c r="E114" i="450"/>
  <c r="E115" i="450" s="1"/>
  <c r="D33" i="450"/>
  <c r="D29" i="450"/>
  <c r="E131" i="450"/>
  <c r="E135" i="450"/>
  <c r="E35" i="450"/>
  <c r="E125" i="450"/>
  <c r="D126" i="450"/>
  <c r="F129" i="450"/>
  <c r="E132" i="450"/>
  <c r="F133" i="450" s="1"/>
  <c r="E22" i="450"/>
  <c r="D19" i="450"/>
  <c r="D15" i="450"/>
  <c r="F28" i="450"/>
  <c r="F33" i="450"/>
  <c r="F35" i="450"/>
  <c r="E40" i="450"/>
  <c r="F120" i="450"/>
  <c r="F126" i="450"/>
  <c r="E79" i="450"/>
  <c r="F91" i="450"/>
  <c r="E202" i="450"/>
  <c r="F42" i="450"/>
  <c r="F47" i="450"/>
  <c r="E54" i="450"/>
  <c r="E64" i="450"/>
  <c r="E119" i="450"/>
  <c r="D22" i="450"/>
  <c r="E50" i="450"/>
  <c r="D28" i="450"/>
  <c r="F54" i="450"/>
  <c r="E28" i="450"/>
  <c r="E88" i="450"/>
  <c r="E109" i="450"/>
  <c r="E21" i="450"/>
  <c r="E7" i="450"/>
  <c r="E49" i="450"/>
  <c r="D49" i="450"/>
  <c r="E105" i="450"/>
  <c r="F107" i="450"/>
  <c r="F117" i="450"/>
  <c r="E129" i="450"/>
  <c r="E126" i="450"/>
  <c r="F131" i="450"/>
  <c r="H202" i="450"/>
  <c r="E33" i="450"/>
  <c r="F88" i="450"/>
  <c r="E111" i="450"/>
  <c r="F135" i="450"/>
  <c r="I202" i="450"/>
  <c r="F37" i="450"/>
  <c r="F40" i="450"/>
  <c r="F64" i="450"/>
  <c r="E94" i="450"/>
  <c r="E92" i="450"/>
  <c r="E120" i="450"/>
  <c r="E121" i="450" s="1"/>
  <c r="E123" i="450"/>
  <c r="F137" i="450"/>
  <c r="F49" i="450"/>
  <c r="E62" i="450"/>
  <c r="F70" i="450"/>
  <c r="F78" i="450"/>
  <c r="E42" i="450"/>
  <c r="F96" i="450"/>
  <c r="F21" i="450"/>
  <c r="F26" i="450"/>
  <c r="E19" i="450"/>
  <c r="D47" i="450"/>
  <c r="E103" i="450"/>
  <c r="F111" i="450"/>
  <c r="F19" i="450"/>
  <c r="E44" i="450"/>
  <c r="E47" i="450"/>
  <c r="F68" i="450"/>
  <c r="E72" i="450"/>
  <c r="E76" i="450"/>
  <c r="F82" i="450"/>
  <c r="E90" i="450"/>
  <c r="F90" i="450"/>
  <c r="F113" i="450"/>
  <c r="G202" i="450"/>
  <c r="F202" i="450"/>
  <c r="D40" i="450"/>
  <c r="E70" i="450"/>
  <c r="F76" i="450"/>
  <c r="E78" i="450"/>
  <c r="F103" i="450"/>
  <c r="E66" i="450"/>
  <c r="F84" i="450"/>
  <c r="E96" i="450"/>
  <c r="F105" i="450"/>
  <c r="D175" i="450" l="1"/>
  <c r="E175" i="450"/>
  <c r="F176" i="450" s="1"/>
  <c r="F86" i="450"/>
  <c r="D98" i="450"/>
  <c r="D100" i="450" s="1"/>
  <c r="E127" i="450"/>
  <c r="E51" i="450"/>
  <c r="F127" i="450"/>
  <c r="E133" i="450"/>
  <c r="F23" i="450"/>
  <c r="E23" i="450"/>
  <c r="E74" i="450"/>
  <c r="F74" i="450"/>
  <c r="E86" i="450"/>
  <c r="F62" i="450"/>
  <c r="F51" i="450"/>
  <c r="E98" i="450"/>
  <c r="E30" i="450"/>
  <c r="F92" i="450"/>
  <c r="F115" i="450"/>
  <c r="F121" i="450"/>
  <c r="F109" i="450"/>
  <c r="F98" i="450"/>
  <c r="E37" i="450"/>
  <c r="D11" i="450"/>
  <c r="E80" i="450"/>
  <c r="E57" i="450"/>
  <c r="E16" i="450"/>
  <c r="E11" i="450"/>
  <c r="F30" i="450"/>
  <c r="F11" i="450"/>
  <c r="F80" i="450"/>
  <c r="F57" i="450"/>
  <c r="E68" i="450"/>
  <c r="D57" i="450"/>
  <c r="F16" i="450"/>
  <c r="T158" i="438"/>
  <c r="V155" i="438"/>
  <c r="U155" i="438"/>
  <c r="R203" i="446" s="1"/>
  <c r="R206" i="446" s="1"/>
  <c r="F61" i="419"/>
  <c r="F62" i="419" s="1"/>
  <c r="E61" i="419"/>
  <c r="E62" i="419" s="1"/>
  <c r="D61" i="419"/>
  <c r="D62" i="419" s="1"/>
  <c r="F59" i="419"/>
  <c r="F60" i="419" s="1"/>
  <c r="E59" i="419"/>
  <c r="E60" i="419" s="1"/>
  <c r="D59" i="419"/>
  <c r="D60" i="419" s="1"/>
  <c r="F57" i="419"/>
  <c r="F58" i="419" s="1"/>
  <c r="E57" i="419"/>
  <c r="E58" i="419" s="1"/>
  <c r="D57" i="419"/>
  <c r="D58" i="419" s="1"/>
  <c r="F43" i="419"/>
  <c r="E43" i="419"/>
  <c r="D43" i="419"/>
  <c r="E176" i="450" l="1"/>
  <c r="J35" i="419"/>
  <c r="F202" i="13" s="1"/>
  <c r="J34" i="419"/>
  <c r="F235" i="13" s="1"/>
  <c r="J32" i="419"/>
  <c r="F193" i="13" s="1"/>
  <c r="J30" i="419"/>
  <c r="F233" i="13" s="1"/>
  <c r="J28" i="419"/>
  <c r="F185" i="13" s="1"/>
  <c r="J26" i="419"/>
  <c r="F227" i="13" s="1"/>
  <c r="J24" i="419"/>
  <c r="F171" i="13" s="1"/>
  <c r="F178" i="13" s="1"/>
  <c r="J22" i="419"/>
  <c r="F223" i="13" s="1"/>
  <c r="J20" i="419"/>
  <c r="F219" i="13" s="1"/>
  <c r="J18" i="419"/>
  <c r="F217" i="13" s="1"/>
  <c r="J16" i="419"/>
  <c r="F213" i="13" s="1"/>
  <c r="J14" i="419"/>
  <c r="J12" i="419"/>
  <c r="F152" i="13" s="1"/>
  <c r="J9" i="419"/>
  <c r="J7" i="419"/>
  <c r="J5" i="419"/>
  <c r="J36" i="419"/>
  <c r="F237" i="13" s="1"/>
  <c r="J33" i="419"/>
  <c r="F198" i="13" s="1"/>
  <c r="J31" i="419"/>
  <c r="F189" i="13" s="1"/>
  <c r="J29" i="419"/>
  <c r="F231" i="13" s="1"/>
  <c r="J27" i="419"/>
  <c r="F229" i="13" s="1"/>
  <c r="J25" i="419"/>
  <c r="F181" i="13" s="1"/>
  <c r="J23" i="419"/>
  <c r="F225" i="13" s="1"/>
  <c r="J21" i="419"/>
  <c r="F221" i="13" s="1"/>
  <c r="J19" i="419"/>
  <c r="F248" i="13" s="1"/>
  <c r="F243" i="13" s="1"/>
  <c r="J17" i="419"/>
  <c r="F215" i="13" s="1"/>
  <c r="J15" i="419"/>
  <c r="J13" i="419"/>
  <c r="F156" i="13" s="1"/>
  <c r="J11" i="419"/>
  <c r="F148" i="13" s="1"/>
  <c r="J10" i="419"/>
  <c r="F144" i="13" s="1"/>
  <c r="F139" i="13" s="1"/>
  <c r="J8" i="419"/>
  <c r="J6" i="419"/>
  <c r="I36" i="419"/>
  <c r="E237" i="13" s="1"/>
  <c r="I35" i="419"/>
  <c r="E202" i="13" s="1"/>
  <c r="I34" i="419"/>
  <c r="E235" i="13" s="1"/>
  <c r="I33" i="419"/>
  <c r="E198" i="13" s="1"/>
  <c r="I32" i="419"/>
  <c r="E193" i="13" s="1"/>
  <c r="I31" i="419"/>
  <c r="E189" i="13" s="1"/>
  <c r="I30" i="419"/>
  <c r="E233" i="13" s="1"/>
  <c r="I29" i="419"/>
  <c r="E231" i="13" s="1"/>
  <c r="I28" i="419"/>
  <c r="E185" i="13" s="1"/>
  <c r="I27" i="419"/>
  <c r="E229" i="13" s="1"/>
  <c r="I26" i="419"/>
  <c r="E227" i="13" s="1"/>
  <c r="I25" i="419"/>
  <c r="E181" i="13" s="1"/>
  <c r="I24" i="419"/>
  <c r="E171" i="13" s="1"/>
  <c r="E178" i="13" s="1"/>
  <c r="I23" i="419"/>
  <c r="E225" i="13" s="1"/>
  <c r="I22" i="419"/>
  <c r="E223" i="13" s="1"/>
  <c r="I21" i="419"/>
  <c r="E221" i="13" s="1"/>
  <c r="I20" i="419"/>
  <c r="E219" i="13" s="1"/>
  <c r="I19" i="419"/>
  <c r="E248" i="13" s="1"/>
  <c r="E243" i="13" s="1"/>
  <c r="I18" i="419"/>
  <c r="E217" i="13" s="1"/>
  <c r="I17" i="419"/>
  <c r="E215" i="13" s="1"/>
  <c r="I16" i="419"/>
  <c r="E213" i="13" s="1"/>
  <c r="I15" i="419"/>
  <c r="I14" i="419"/>
  <c r="I13" i="419"/>
  <c r="E156" i="13" s="1"/>
  <c r="I12" i="419"/>
  <c r="E152" i="13" s="1"/>
  <c r="I11" i="419"/>
  <c r="E148" i="13" s="1"/>
  <c r="I10" i="419"/>
  <c r="E144" i="13" s="1"/>
  <c r="I9" i="419"/>
  <c r="I8" i="419"/>
  <c r="I7" i="419"/>
  <c r="I6" i="419"/>
  <c r="I5" i="419"/>
  <c r="H36" i="419"/>
  <c r="H35" i="419"/>
  <c r="H34" i="419"/>
  <c r="H33" i="419"/>
  <c r="H32" i="419"/>
  <c r="H31" i="419"/>
  <c r="H30" i="419"/>
  <c r="H29" i="419"/>
  <c r="H28" i="419"/>
  <c r="H27" i="419"/>
  <c r="H26" i="419"/>
  <c r="H25" i="419"/>
  <c r="H24" i="419"/>
  <c r="H23" i="419"/>
  <c r="H22" i="419"/>
  <c r="H21" i="419"/>
  <c r="H20" i="419"/>
  <c r="H19" i="419"/>
  <c r="H18" i="419"/>
  <c r="H17" i="419"/>
  <c r="H16" i="419"/>
  <c r="H15" i="419"/>
  <c r="H14" i="419"/>
  <c r="H13" i="419"/>
  <c r="H12" i="419"/>
  <c r="H11" i="419"/>
  <c r="H10" i="419"/>
  <c r="H9" i="419"/>
  <c r="H8" i="419"/>
  <c r="H7" i="419"/>
  <c r="H6" i="419"/>
  <c r="H5" i="419"/>
  <c r="U146" i="438"/>
  <c r="Q191" i="446"/>
  <c r="U149" i="438"/>
  <c r="Q195" i="446"/>
  <c r="Q198" i="446" s="1"/>
  <c r="U158" i="438"/>
  <c r="Q207" i="446"/>
  <c r="W155" i="438"/>
  <c r="T203" i="446" s="1"/>
  <c r="S203" i="446"/>
  <c r="S206" i="446" s="1"/>
  <c r="U152" i="438"/>
  <c r="Q199" i="446"/>
  <c r="Q202" i="446" s="1"/>
  <c r="Q175" i="446"/>
  <c r="Q178" i="446" s="1"/>
  <c r="J110" i="13"/>
  <c r="D9" i="450"/>
  <c r="F9" i="450"/>
  <c r="E100" i="450"/>
  <c r="E9" i="450"/>
  <c r="E99" i="450"/>
  <c r="D151" i="450"/>
  <c r="E13" i="450"/>
  <c r="E12" i="450"/>
  <c r="E151" i="450"/>
  <c r="F58" i="450"/>
  <c r="F99" i="450"/>
  <c r="F151" i="450"/>
  <c r="D59" i="450"/>
  <c r="F12" i="450"/>
  <c r="E58" i="450"/>
  <c r="E59" i="450"/>
  <c r="D13" i="450"/>
  <c r="F47" i="419"/>
  <c r="F55" i="419" s="1"/>
  <c r="F48" i="419"/>
  <c r="F132" i="13" s="1"/>
  <c r="F49" i="419"/>
  <c r="D47" i="419"/>
  <c r="D55" i="419" s="1"/>
  <c r="D48" i="419"/>
  <c r="D49" i="419"/>
  <c r="E47" i="419"/>
  <c r="E55" i="419" s="1"/>
  <c r="E48" i="419"/>
  <c r="E132" i="13" s="1"/>
  <c r="E49" i="419"/>
  <c r="F160" i="13" l="1"/>
  <c r="J37" i="419"/>
  <c r="F209" i="13"/>
  <c r="H37" i="419"/>
  <c r="E160" i="13"/>
  <c r="I37" i="419"/>
  <c r="E209" i="13"/>
  <c r="E167" i="13"/>
  <c r="E164" i="13" s="1"/>
  <c r="T206" i="446"/>
  <c r="L110" i="13" s="1"/>
  <c r="K110" i="13"/>
  <c r="R175" i="446"/>
  <c r="R178" i="446" s="1"/>
  <c r="V149" i="438"/>
  <c r="R195" i="446"/>
  <c r="R198" i="446" s="1"/>
  <c r="I112" i="13"/>
  <c r="I107" i="13" s="1"/>
  <c r="V152" i="438"/>
  <c r="R199" i="446"/>
  <c r="R202" i="446" s="1"/>
  <c r="V158" i="438"/>
  <c r="R207" i="446"/>
  <c r="V146" i="438"/>
  <c r="R191" i="446"/>
  <c r="E14" i="13"/>
  <c r="F14" i="13"/>
  <c r="E50" i="419"/>
  <c r="E52" i="13"/>
  <c r="E10" i="13" s="1"/>
  <c r="E12" i="13" s="1"/>
  <c r="F50" i="419"/>
  <c r="F52" i="13"/>
  <c r="F10" i="13" s="1"/>
  <c r="F12" i="13" s="1"/>
  <c r="D50" i="419"/>
  <c r="E17" i="450"/>
  <c r="E31" i="450"/>
  <c r="E38" i="450"/>
  <c r="E45" i="450"/>
  <c r="E52" i="450"/>
  <c r="E24" i="450"/>
  <c r="F17" i="450"/>
  <c r="F31" i="450"/>
  <c r="F24" i="450"/>
  <c r="F52" i="450"/>
  <c r="F38" i="450"/>
  <c r="F45" i="450"/>
  <c r="D38" i="450"/>
  <c r="D45" i="450"/>
  <c r="D31" i="450"/>
  <c r="D24" i="450"/>
  <c r="D52" i="450"/>
  <c r="D17" i="450"/>
  <c r="D215" i="450"/>
  <c r="D216" i="450" s="1"/>
  <c r="E215" i="450"/>
  <c r="E216" i="450" s="1"/>
  <c r="F215" i="450"/>
  <c r="D53" i="419"/>
  <c r="D52" i="419"/>
  <c r="D51" i="419"/>
  <c r="E53" i="419"/>
  <c r="E26" i="13" s="1"/>
  <c r="E52" i="419"/>
  <c r="E51" i="419"/>
  <c r="F53" i="419"/>
  <c r="F26" i="13" s="1"/>
  <c r="F52" i="419"/>
  <c r="F22" i="13" s="1"/>
  <c r="F51" i="419"/>
  <c r="E18" i="13" l="1"/>
  <c r="E22" i="13"/>
  <c r="E6" i="13" s="1"/>
  <c r="T175" i="446"/>
  <c r="S175" i="446"/>
  <c r="S178" i="446" s="1"/>
  <c r="W146" i="438"/>
  <c r="T191" i="446" s="1"/>
  <c r="S191" i="446"/>
  <c r="W152" i="438"/>
  <c r="T199" i="446" s="1"/>
  <c r="S199" i="446"/>
  <c r="S202" i="446" s="1"/>
  <c r="W149" i="438"/>
  <c r="T195" i="446" s="1"/>
  <c r="S195" i="446"/>
  <c r="S198" i="446" s="1"/>
  <c r="W158" i="438"/>
  <c r="T207" i="446" s="1"/>
  <c r="S207" i="446"/>
  <c r="J112" i="13"/>
  <c r="J107" i="13" s="1"/>
  <c r="E54" i="419"/>
  <c r="F54" i="419"/>
  <c r="D54" i="419"/>
  <c r="T198" i="446" l="1"/>
  <c r="T202" i="446"/>
  <c r="T178" i="446"/>
  <c r="K112" i="13"/>
  <c r="K107" i="13" s="1"/>
  <c r="L112" i="13" l="1"/>
  <c r="L107" i="13" s="1"/>
  <c r="K30" i="235"/>
  <c r="J30" i="235" s="1"/>
  <c r="M30" i="235"/>
  <c r="N30" i="235" s="1"/>
  <c r="T13" i="235" l="1"/>
  <c r="T10" i="235"/>
  <c r="I17" i="235" l="1"/>
  <c r="J17" i="235" s="1"/>
  <c r="K17" i="235" s="1"/>
  <c r="L17" i="235" s="1"/>
  <c r="M17" i="235" s="1"/>
  <c r="E7" i="17" l="1"/>
  <c r="F17" i="9"/>
  <c r="F9" i="235" s="1"/>
  <c r="E17" i="9"/>
  <c r="E9" i="235" s="1"/>
  <c r="D17" i="9"/>
  <c r="D9" i="235" s="1"/>
  <c r="F9" i="9"/>
  <c r="E9" i="9"/>
  <c r="D9" i="9"/>
  <c r="F6" i="9"/>
  <c r="E6" i="9"/>
  <c r="D6" i="9"/>
  <c r="F136" i="13"/>
  <c r="F129" i="13" s="1"/>
  <c r="G19" i="16"/>
  <c r="G16" i="16"/>
  <c r="G11" i="16"/>
  <c r="G7" i="16"/>
  <c r="D11" i="9" l="1"/>
  <c r="E6" i="235"/>
  <c r="E27" i="16"/>
  <c r="E7" i="235"/>
  <c r="E28" i="16"/>
  <c r="E18" i="9"/>
  <c r="F6" i="235"/>
  <c r="F27" i="16"/>
  <c r="F7" i="235"/>
  <c r="F28" i="16"/>
  <c r="D19" i="9"/>
  <c r="E19" i="9"/>
  <c r="E11" i="9"/>
  <c r="D6" i="235"/>
  <c r="D27" i="16"/>
  <c r="D7" i="235"/>
  <c r="D28" i="16"/>
  <c r="D13" i="9"/>
  <c r="D18" i="9"/>
  <c r="F18" i="15"/>
  <c r="E18" i="15"/>
  <c r="D18" i="15"/>
  <c r="G76" i="13"/>
  <c r="E8" i="235" l="1"/>
  <c r="E10" i="235" s="1"/>
  <c r="F8" i="235"/>
  <c r="F10" i="235" s="1"/>
  <c r="D15" i="9"/>
  <c r="D21" i="9"/>
  <c r="D8" i="235"/>
  <c r="D10" i="235" s="1"/>
  <c r="AI94" i="446" l="1"/>
  <c r="I87" i="13" s="1"/>
  <c r="AI90" i="446"/>
  <c r="I86" i="13" s="1"/>
  <c r="AI78" i="446"/>
  <c r="I70" i="13" s="1"/>
  <c r="AI30" i="446"/>
  <c r="I60" i="13" s="1"/>
  <c r="L49" i="15"/>
  <c r="L37" i="15"/>
  <c r="L31" i="15"/>
  <c r="C136" i="15"/>
  <c r="C129" i="15"/>
  <c r="L122" i="15"/>
  <c r="K122" i="15"/>
  <c r="J122" i="15"/>
  <c r="I122" i="15"/>
  <c r="H122" i="15"/>
  <c r="C115" i="15"/>
  <c r="C108" i="15"/>
  <c r="C101" i="15"/>
  <c r="C94" i="15"/>
  <c r="C87" i="15"/>
  <c r="C80" i="15"/>
  <c r="I85" i="13" l="1"/>
  <c r="AJ94" i="446"/>
  <c r="J87" i="13" s="1"/>
  <c r="AJ90" i="446"/>
  <c r="J86" i="13" s="1"/>
  <c r="AJ30" i="446"/>
  <c r="J60" i="13" s="1"/>
  <c r="AJ78" i="446"/>
  <c r="J70" i="13" s="1"/>
  <c r="J85" i="13" l="1"/>
  <c r="AK94" i="446"/>
  <c r="K87" i="13" s="1"/>
  <c r="AK90" i="446"/>
  <c r="K86" i="13" s="1"/>
  <c r="AK78" i="446"/>
  <c r="K70" i="13" s="1"/>
  <c r="AK30" i="446"/>
  <c r="K60" i="13" s="1"/>
  <c r="K85" i="13" l="1"/>
  <c r="AL94" i="446"/>
  <c r="L87" i="13" s="1"/>
  <c r="AL90" i="446"/>
  <c r="L86" i="13" s="1"/>
  <c r="AL30" i="446"/>
  <c r="L60" i="13" s="1"/>
  <c r="AL78" i="446"/>
  <c r="L70" i="13" s="1"/>
  <c r="L85" i="13" l="1"/>
  <c r="N318" i="448"/>
  <c r="R318" i="448" s="1"/>
  <c r="I318" i="448"/>
  <c r="F318" i="448"/>
  <c r="N317" i="448"/>
  <c r="R317" i="448" s="1"/>
  <c r="I317" i="448"/>
  <c r="F317" i="448"/>
  <c r="R316" i="448"/>
  <c r="N316" i="448"/>
  <c r="I316" i="448"/>
  <c r="F316" i="448"/>
  <c r="N315" i="448"/>
  <c r="R315" i="448" s="1"/>
  <c r="I315" i="448"/>
  <c r="F315" i="448"/>
  <c r="R314" i="448"/>
  <c r="N314" i="448"/>
  <c r="I314" i="448"/>
  <c r="F314" i="448"/>
  <c r="N313" i="448"/>
  <c r="R313" i="448" s="1"/>
  <c r="I313" i="448"/>
  <c r="F313" i="448"/>
  <c r="N312" i="448"/>
  <c r="R312" i="448" s="1"/>
  <c r="I312" i="448"/>
  <c r="F312" i="448"/>
  <c r="N311" i="448"/>
  <c r="R311" i="448" s="1"/>
  <c r="I311" i="448"/>
  <c r="F311" i="448"/>
  <c r="N310" i="448"/>
  <c r="R310" i="448" s="1"/>
  <c r="I310" i="448"/>
  <c r="F310" i="448"/>
  <c r="N309" i="448"/>
  <c r="R309" i="448" s="1"/>
  <c r="I309" i="448"/>
  <c r="F309" i="448"/>
  <c r="R308" i="448"/>
  <c r="N308" i="448"/>
  <c r="I308" i="448"/>
  <c r="F308" i="448"/>
  <c r="N307" i="448"/>
  <c r="R307" i="448" s="1"/>
  <c r="I307" i="448"/>
  <c r="F307" i="448"/>
  <c r="R306" i="448"/>
  <c r="N306" i="448"/>
  <c r="I306" i="448"/>
  <c r="F306" i="448"/>
  <c r="N305" i="448"/>
  <c r="R305" i="448" s="1"/>
  <c r="I305" i="448"/>
  <c r="F305" i="448"/>
  <c r="N304" i="448"/>
  <c r="R304" i="448" s="1"/>
  <c r="I304" i="448"/>
  <c r="F304" i="448"/>
  <c r="N303" i="448"/>
  <c r="R303" i="448" s="1"/>
  <c r="I303" i="448"/>
  <c r="F303" i="448"/>
  <c r="N302" i="448"/>
  <c r="R302" i="448" s="1"/>
  <c r="I302" i="448"/>
  <c r="F302" i="448"/>
  <c r="N301" i="448"/>
  <c r="R301" i="448" s="1"/>
  <c r="I301" i="448"/>
  <c r="F301" i="448"/>
  <c r="R300" i="448"/>
  <c r="N300" i="448"/>
  <c r="I300" i="448"/>
  <c r="F300" i="448"/>
  <c r="N299" i="448"/>
  <c r="R299" i="448" s="1"/>
  <c r="I299" i="448"/>
  <c r="F299" i="448"/>
  <c r="R298" i="448"/>
  <c r="N298" i="448"/>
  <c r="I298" i="448"/>
  <c r="F298" i="448"/>
  <c r="N297" i="448"/>
  <c r="R297" i="448" s="1"/>
  <c r="I297" i="448"/>
  <c r="F297" i="448"/>
  <c r="N296" i="448"/>
  <c r="R296" i="448" s="1"/>
  <c r="I296" i="448"/>
  <c r="F296" i="448"/>
  <c r="N294" i="448"/>
  <c r="R294" i="448" s="1"/>
  <c r="I294" i="448"/>
  <c r="F294" i="448"/>
  <c r="N293" i="448"/>
  <c r="R293" i="448" s="1"/>
  <c r="I293" i="448"/>
  <c r="F293" i="448"/>
  <c r="N292" i="448"/>
  <c r="R292" i="448" s="1"/>
  <c r="I292" i="448"/>
  <c r="F292" i="448"/>
  <c r="AG290" i="448"/>
  <c r="N290" i="448"/>
  <c r="R290" i="448" s="1"/>
  <c r="I290" i="448"/>
  <c r="F290" i="448"/>
  <c r="N289" i="448"/>
  <c r="R289" i="448" s="1"/>
  <c r="I289" i="448"/>
  <c r="F289" i="448"/>
  <c r="N288" i="448"/>
  <c r="R288" i="448" s="1"/>
  <c r="AG288" i="448" s="1"/>
  <c r="I288" i="448"/>
  <c r="F288" i="448"/>
  <c r="N287" i="448"/>
  <c r="R287" i="448" s="1"/>
  <c r="I287" i="448"/>
  <c r="F287" i="448"/>
  <c r="N286" i="448"/>
  <c r="R286" i="448" s="1"/>
  <c r="AG286" i="448" s="1"/>
  <c r="I286" i="448"/>
  <c r="F286" i="448"/>
  <c r="N285" i="448"/>
  <c r="R285" i="448" s="1"/>
  <c r="I285" i="448"/>
  <c r="F285" i="448"/>
  <c r="N284" i="448"/>
  <c r="R284" i="448" s="1"/>
  <c r="AG284" i="448" s="1"/>
  <c r="I284" i="448"/>
  <c r="F284" i="448"/>
  <c r="R283" i="448"/>
  <c r="N283" i="448"/>
  <c r="I283" i="448"/>
  <c r="F283" i="448"/>
  <c r="N282" i="448"/>
  <c r="R282" i="448" s="1"/>
  <c r="I282" i="448"/>
  <c r="F282" i="448"/>
  <c r="N281" i="448"/>
  <c r="R281" i="448" s="1"/>
  <c r="AG281" i="448" s="1"/>
  <c r="I281" i="448"/>
  <c r="F281" i="448"/>
  <c r="N280" i="448"/>
  <c r="R280" i="448" s="1"/>
  <c r="AG280" i="448" s="1"/>
  <c r="I280" i="448"/>
  <c r="F280" i="448"/>
  <c r="N279" i="448"/>
  <c r="R279" i="448" s="1"/>
  <c r="I279" i="448"/>
  <c r="F279" i="448"/>
  <c r="N278" i="448"/>
  <c r="R278" i="448" s="1"/>
  <c r="AG278" i="448" s="1"/>
  <c r="I278" i="448"/>
  <c r="F278" i="448"/>
  <c r="R277" i="448"/>
  <c r="AG277" i="448" s="1"/>
  <c r="N277" i="448"/>
  <c r="I277" i="448"/>
  <c r="F277" i="448"/>
  <c r="R276" i="448"/>
  <c r="N276" i="448"/>
  <c r="I276" i="448"/>
  <c r="F276" i="448"/>
  <c r="R275" i="448"/>
  <c r="N275" i="448"/>
  <c r="I275" i="448"/>
  <c r="F275" i="448"/>
  <c r="N274" i="448"/>
  <c r="R274" i="448" s="1"/>
  <c r="I274" i="448"/>
  <c r="F274" i="448"/>
  <c r="N273" i="448"/>
  <c r="R273" i="448" s="1"/>
  <c r="I273" i="448"/>
  <c r="F273" i="448"/>
  <c r="N272" i="448"/>
  <c r="R272" i="448" s="1"/>
  <c r="I272" i="448"/>
  <c r="F272" i="448"/>
  <c r="N271" i="448"/>
  <c r="R271" i="448" s="1"/>
  <c r="I271" i="448"/>
  <c r="F271" i="448"/>
  <c r="N270" i="448"/>
  <c r="R270" i="448" s="1"/>
  <c r="I270" i="448"/>
  <c r="F270" i="448"/>
  <c r="N269" i="448"/>
  <c r="R269" i="448" s="1"/>
  <c r="I269" i="448"/>
  <c r="F269" i="448"/>
  <c r="N268" i="448"/>
  <c r="R268" i="448" s="1"/>
  <c r="I268" i="448"/>
  <c r="F268" i="448"/>
  <c r="N267" i="448"/>
  <c r="R267" i="448" s="1"/>
  <c r="I267" i="448"/>
  <c r="F267" i="448"/>
  <c r="N266" i="448"/>
  <c r="R266" i="448" s="1"/>
  <c r="I266" i="448"/>
  <c r="F266" i="448"/>
  <c r="N264" i="448"/>
  <c r="R264" i="448" s="1"/>
  <c r="I264" i="448"/>
  <c r="F264" i="448"/>
  <c r="N263" i="448"/>
  <c r="R263" i="448" s="1"/>
  <c r="I263" i="448"/>
  <c r="F263" i="448"/>
  <c r="N262" i="448"/>
  <c r="R262" i="448" s="1"/>
  <c r="I262" i="448"/>
  <c r="F262" i="448"/>
  <c r="N261" i="448"/>
  <c r="R261" i="448" s="1"/>
  <c r="I261" i="448"/>
  <c r="F261" i="448"/>
  <c r="N260" i="448"/>
  <c r="R260" i="448" s="1"/>
  <c r="I260" i="448"/>
  <c r="F260" i="448"/>
  <c r="N259" i="448"/>
  <c r="R259" i="448" s="1"/>
  <c r="I259" i="448"/>
  <c r="F259" i="448"/>
  <c r="N258" i="448"/>
  <c r="R258" i="448" s="1"/>
  <c r="I258" i="448"/>
  <c r="F258" i="448"/>
  <c r="N257" i="448"/>
  <c r="R257" i="448" s="1"/>
  <c r="I257" i="448"/>
  <c r="F257" i="448"/>
  <c r="N256" i="448"/>
  <c r="R256" i="448" s="1"/>
  <c r="I256" i="448"/>
  <c r="F256" i="448"/>
  <c r="N255" i="448"/>
  <c r="R255" i="448" s="1"/>
  <c r="I255" i="448"/>
  <c r="F255" i="448"/>
  <c r="N254" i="448"/>
  <c r="R254" i="448" s="1"/>
  <c r="I254" i="448"/>
  <c r="F254" i="448"/>
  <c r="N253" i="448"/>
  <c r="R253" i="448" s="1"/>
  <c r="I253" i="448"/>
  <c r="F253" i="448"/>
  <c r="N252" i="448"/>
  <c r="R252" i="448" s="1"/>
  <c r="I252" i="448"/>
  <c r="F252" i="448"/>
  <c r="N251" i="448"/>
  <c r="R251" i="448" s="1"/>
  <c r="I251" i="448"/>
  <c r="F251" i="448"/>
  <c r="R250" i="448"/>
  <c r="N250" i="448"/>
  <c r="I250" i="448"/>
  <c r="F250" i="448"/>
  <c r="N249" i="448"/>
  <c r="R249" i="448" s="1"/>
  <c r="I249" i="448"/>
  <c r="F249" i="448"/>
  <c r="N247" i="448"/>
  <c r="R247" i="448" s="1"/>
  <c r="I247" i="448"/>
  <c r="F247" i="448"/>
  <c r="N246" i="448"/>
  <c r="R246" i="448" s="1"/>
  <c r="I246" i="448"/>
  <c r="F246" i="448"/>
  <c r="N245" i="448"/>
  <c r="R245" i="448" s="1"/>
  <c r="I245" i="448"/>
  <c r="F245" i="448"/>
  <c r="N244" i="448"/>
  <c r="R244" i="448" s="1"/>
  <c r="I244" i="448"/>
  <c r="F244" i="448"/>
  <c r="N243" i="448"/>
  <c r="R243" i="448" s="1"/>
  <c r="I243" i="448"/>
  <c r="F243" i="448"/>
  <c r="N242" i="448"/>
  <c r="R242" i="448" s="1"/>
  <c r="I242" i="448"/>
  <c r="F242" i="448"/>
  <c r="R241" i="448"/>
  <c r="N241" i="448"/>
  <c r="I241" i="448"/>
  <c r="F241" i="448"/>
  <c r="N240" i="448"/>
  <c r="R240" i="448" s="1"/>
  <c r="I240" i="448"/>
  <c r="F240" i="448"/>
  <c r="N239" i="448"/>
  <c r="R239" i="448" s="1"/>
  <c r="I239" i="448"/>
  <c r="F239" i="448"/>
  <c r="N238" i="448"/>
  <c r="R238" i="448" s="1"/>
  <c r="I238" i="448"/>
  <c r="F238" i="448"/>
  <c r="N237" i="448"/>
  <c r="R237" i="448" s="1"/>
  <c r="I237" i="448"/>
  <c r="F237" i="448"/>
  <c r="N236" i="448"/>
  <c r="R236" i="448" s="1"/>
  <c r="I236" i="448"/>
  <c r="F236" i="448"/>
  <c r="R235" i="448"/>
  <c r="AG235" i="448" s="1"/>
  <c r="N235" i="448"/>
  <c r="I235" i="448"/>
  <c r="F235" i="448"/>
  <c r="R234" i="448"/>
  <c r="N234" i="448"/>
  <c r="I234" i="448"/>
  <c r="F234" i="448"/>
  <c r="R233" i="448"/>
  <c r="N233" i="448"/>
  <c r="I233" i="448"/>
  <c r="F233" i="448"/>
  <c r="R232" i="448"/>
  <c r="N232" i="448"/>
  <c r="I232" i="448"/>
  <c r="F232" i="448"/>
  <c r="R231" i="448"/>
  <c r="N231" i="448"/>
  <c r="I231" i="448"/>
  <c r="F231" i="448"/>
  <c r="R230" i="448"/>
  <c r="N230" i="448"/>
  <c r="I230" i="448"/>
  <c r="F230" i="448"/>
  <c r="R229" i="448"/>
  <c r="N229" i="448"/>
  <c r="I229" i="448"/>
  <c r="F229" i="448"/>
  <c r="N228" i="448"/>
  <c r="R228" i="448" s="1"/>
  <c r="I228" i="448"/>
  <c r="F228" i="448"/>
  <c r="N227" i="448"/>
  <c r="R227" i="448" s="1"/>
  <c r="I227" i="448"/>
  <c r="F227" i="448"/>
  <c r="N226" i="448"/>
  <c r="R226" i="448" s="1"/>
  <c r="I226" i="448"/>
  <c r="F226" i="448"/>
  <c r="N225" i="448"/>
  <c r="R225" i="448" s="1"/>
  <c r="I225" i="448"/>
  <c r="F225" i="448"/>
  <c r="N224" i="448"/>
  <c r="R224" i="448" s="1"/>
  <c r="I224" i="448"/>
  <c r="F224" i="448"/>
  <c r="N223" i="448"/>
  <c r="R223" i="448" s="1"/>
  <c r="I223" i="448"/>
  <c r="F223" i="448"/>
  <c r="R222" i="448"/>
  <c r="N222" i="448"/>
  <c r="I222" i="448"/>
  <c r="F222" i="448"/>
  <c r="R221" i="448"/>
  <c r="N221" i="448"/>
  <c r="I221" i="448"/>
  <c r="F221" i="448"/>
  <c r="N220" i="448"/>
  <c r="R220" i="448" s="1"/>
  <c r="I220" i="448"/>
  <c r="F220" i="448"/>
  <c r="N219" i="448"/>
  <c r="R219" i="448" s="1"/>
  <c r="I219" i="448"/>
  <c r="F219" i="448"/>
  <c r="N218" i="448"/>
  <c r="R218" i="448" s="1"/>
  <c r="I218" i="448"/>
  <c r="F218" i="448"/>
  <c r="N217" i="448"/>
  <c r="R217" i="448" s="1"/>
  <c r="I217" i="448"/>
  <c r="F217" i="448"/>
  <c r="N216" i="448"/>
  <c r="R216" i="448" s="1"/>
  <c r="I216" i="448"/>
  <c r="F216" i="448"/>
  <c r="N215" i="448"/>
  <c r="R215" i="448" s="1"/>
  <c r="I215" i="448"/>
  <c r="F215" i="448"/>
  <c r="N214" i="448"/>
  <c r="R214" i="448" s="1"/>
  <c r="I214" i="448"/>
  <c r="F214" i="448"/>
  <c r="N213" i="448"/>
  <c r="R213" i="448" s="1"/>
  <c r="I213" i="448"/>
  <c r="F213" i="448"/>
  <c r="N212" i="448"/>
  <c r="R212" i="448" s="1"/>
  <c r="I212" i="448"/>
  <c r="F212" i="448"/>
  <c r="N211" i="448"/>
  <c r="R211" i="448" s="1"/>
  <c r="I211" i="448"/>
  <c r="F211" i="448"/>
  <c r="R210" i="448"/>
  <c r="N210" i="448"/>
  <c r="I210" i="448"/>
  <c r="F210" i="448"/>
  <c r="N209" i="448"/>
  <c r="R209" i="448" s="1"/>
  <c r="I209" i="448"/>
  <c r="F209" i="448"/>
  <c r="N208" i="448"/>
  <c r="R208" i="448" s="1"/>
  <c r="I208" i="448"/>
  <c r="F208" i="448"/>
  <c r="N207" i="448"/>
  <c r="R207" i="448" s="1"/>
  <c r="I207" i="448"/>
  <c r="F207" i="448"/>
  <c r="R206" i="448"/>
  <c r="N206" i="448"/>
  <c r="I206" i="448"/>
  <c r="F206" i="448"/>
  <c r="N205" i="448"/>
  <c r="R205" i="448" s="1"/>
  <c r="I205" i="448"/>
  <c r="F205" i="448"/>
  <c r="N204" i="448"/>
  <c r="R204" i="448" s="1"/>
  <c r="I204" i="448"/>
  <c r="F204" i="448"/>
  <c r="N202" i="448"/>
  <c r="R202" i="448" s="1"/>
  <c r="I202" i="448"/>
  <c r="F202" i="448"/>
  <c r="N201" i="448"/>
  <c r="R201" i="448" s="1"/>
  <c r="I201" i="448"/>
  <c r="F201" i="448"/>
  <c r="N200" i="448"/>
  <c r="R200" i="448" s="1"/>
  <c r="I200" i="448"/>
  <c r="F200" i="448"/>
  <c r="N199" i="448"/>
  <c r="R199" i="448" s="1"/>
  <c r="I199" i="448"/>
  <c r="F199" i="448"/>
  <c r="N198" i="448"/>
  <c r="R198" i="448" s="1"/>
  <c r="I198" i="448"/>
  <c r="F198" i="448"/>
  <c r="R197" i="448"/>
  <c r="N197" i="448"/>
  <c r="I197" i="448"/>
  <c r="F197" i="448"/>
  <c r="N196" i="448"/>
  <c r="R196" i="448" s="1"/>
  <c r="I196" i="448"/>
  <c r="F196" i="448"/>
  <c r="N195" i="448"/>
  <c r="R195" i="448" s="1"/>
  <c r="I195" i="448"/>
  <c r="F195" i="448"/>
  <c r="N194" i="448"/>
  <c r="R194" i="448" s="1"/>
  <c r="I194" i="448"/>
  <c r="F194" i="448"/>
  <c r="N193" i="448"/>
  <c r="R193" i="448" s="1"/>
  <c r="I193" i="448"/>
  <c r="F193" i="448"/>
  <c r="N192" i="448"/>
  <c r="R192" i="448" s="1"/>
  <c r="I192" i="448"/>
  <c r="F192" i="448"/>
  <c r="N191" i="448"/>
  <c r="R191" i="448" s="1"/>
  <c r="I191" i="448"/>
  <c r="F191" i="448"/>
  <c r="N190" i="448"/>
  <c r="R190" i="448" s="1"/>
  <c r="I190" i="448"/>
  <c r="F190" i="448"/>
  <c r="R189" i="448"/>
  <c r="N189" i="448"/>
  <c r="I189" i="448"/>
  <c r="F189" i="448"/>
  <c r="N188" i="448"/>
  <c r="R188" i="448" s="1"/>
  <c r="I188" i="448"/>
  <c r="F188" i="448"/>
  <c r="N187" i="448"/>
  <c r="R187" i="448" s="1"/>
  <c r="I187" i="448"/>
  <c r="F187" i="448"/>
  <c r="N186" i="448"/>
  <c r="R186" i="448" s="1"/>
  <c r="I186" i="448"/>
  <c r="F186" i="448"/>
  <c r="N185" i="448"/>
  <c r="R185" i="448" s="1"/>
  <c r="I185" i="448"/>
  <c r="F185" i="448"/>
  <c r="N184" i="448"/>
  <c r="R184" i="448" s="1"/>
  <c r="I184" i="448"/>
  <c r="F184" i="448"/>
  <c r="N183" i="448"/>
  <c r="R183" i="448" s="1"/>
  <c r="I183" i="448"/>
  <c r="F183" i="448"/>
  <c r="N182" i="448"/>
  <c r="R182" i="448" s="1"/>
  <c r="I182" i="448"/>
  <c r="F182" i="448"/>
  <c r="N181" i="448"/>
  <c r="R181" i="448" s="1"/>
  <c r="I181" i="448"/>
  <c r="F181" i="448"/>
  <c r="N180" i="448"/>
  <c r="R180" i="448" s="1"/>
  <c r="I180" i="448"/>
  <c r="F180" i="448"/>
  <c r="N179" i="448"/>
  <c r="R179" i="448" s="1"/>
  <c r="I179" i="448"/>
  <c r="F179" i="448"/>
  <c r="N178" i="448"/>
  <c r="R178" i="448" s="1"/>
  <c r="I178" i="448"/>
  <c r="F178" i="448"/>
  <c r="N177" i="448"/>
  <c r="R177" i="448" s="1"/>
  <c r="I177" i="448"/>
  <c r="F177" i="448"/>
  <c r="N176" i="448"/>
  <c r="R176" i="448" s="1"/>
  <c r="I176" i="448"/>
  <c r="F176" i="448"/>
  <c r="N175" i="448"/>
  <c r="R175" i="448" s="1"/>
  <c r="I175" i="448"/>
  <c r="F175" i="448"/>
  <c r="N174" i="448"/>
  <c r="R174" i="448" s="1"/>
  <c r="I174" i="448"/>
  <c r="F174" i="448"/>
  <c r="N173" i="448"/>
  <c r="R173" i="448" s="1"/>
  <c r="I173" i="448"/>
  <c r="F173" i="448"/>
  <c r="N172" i="448"/>
  <c r="R172" i="448" s="1"/>
  <c r="I172" i="448"/>
  <c r="F172" i="448"/>
  <c r="N171" i="448"/>
  <c r="R171" i="448" s="1"/>
  <c r="I171" i="448"/>
  <c r="F171" i="448"/>
  <c r="N170" i="448"/>
  <c r="R170" i="448" s="1"/>
  <c r="I170" i="448"/>
  <c r="F170" i="448"/>
  <c r="N169" i="448"/>
  <c r="R169" i="448" s="1"/>
  <c r="I169" i="448"/>
  <c r="F169" i="448"/>
  <c r="N168" i="448"/>
  <c r="R168" i="448" s="1"/>
  <c r="I168" i="448"/>
  <c r="F168" i="448"/>
  <c r="R167" i="448"/>
  <c r="N167" i="448"/>
  <c r="I167" i="448"/>
  <c r="F167" i="448"/>
  <c r="N166" i="448"/>
  <c r="R166" i="448" s="1"/>
  <c r="I166" i="448"/>
  <c r="F166" i="448"/>
  <c r="N165" i="448"/>
  <c r="R165" i="448" s="1"/>
  <c r="I165" i="448"/>
  <c r="F165" i="448"/>
  <c r="N164" i="448"/>
  <c r="R164" i="448" s="1"/>
  <c r="I164" i="448"/>
  <c r="F164" i="448"/>
  <c r="N163" i="448"/>
  <c r="R163" i="448" s="1"/>
  <c r="I163" i="448"/>
  <c r="F163" i="448"/>
  <c r="N162" i="448"/>
  <c r="R162" i="448" s="1"/>
  <c r="I162" i="448"/>
  <c r="F162" i="448"/>
  <c r="N161" i="448"/>
  <c r="R161" i="448" s="1"/>
  <c r="I161" i="448"/>
  <c r="F161" i="448"/>
  <c r="N160" i="448"/>
  <c r="R160" i="448" s="1"/>
  <c r="I160" i="448"/>
  <c r="F160" i="448"/>
  <c r="R159" i="448"/>
  <c r="N159" i="448"/>
  <c r="I159" i="448"/>
  <c r="F159" i="448"/>
  <c r="N158" i="448"/>
  <c r="R158" i="448" s="1"/>
  <c r="I158" i="448"/>
  <c r="F158" i="448"/>
  <c r="N157" i="448"/>
  <c r="R157" i="448" s="1"/>
  <c r="I157" i="448"/>
  <c r="F157" i="448"/>
  <c r="N156" i="448"/>
  <c r="R156" i="448" s="1"/>
  <c r="I156" i="448"/>
  <c r="F156" i="448"/>
  <c r="N155" i="448"/>
  <c r="R155" i="448" s="1"/>
  <c r="I155" i="448"/>
  <c r="F155" i="448"/>
  <c r="N154" i="448"/>
  <c r="R154" i="448" s="1"/>
  <c r="I154" i="448"/>
  <c r="F154" i="448"/>
  <c r="N153" i="448"/>
  <c r="R153" i="448" s="1"/>
  <c r="I153" i="448"/>
  <c r="F153" i="448"/>
  <c r="N152" i="448"/>
  <c r="R152" i="448" s="1"/>
  <c r="I152" i="448"/>
  <c r="F152" i="448"/>
  <c r="R151" i="448"/>
  <c r="N151" i="448"/>
  <c r="I151" i="448"/>
  <c r="F151" i="448"/>
  <c r="N150" i="448"/>
  <c r="R150" i="448" s="1"/>
  <c r="I150" i="448"/>
  <c r="F150" i="448"/>
  <c r="N149" i="448"/>
  <c r="R149" i="448" s="1"/>
  <c r="I149" i="448"/>
  <c r="F149" i="448"/>
  <c r="N148" i="448"/>
  <c r="R148" i="448" s="1"/>
  <c r="I148" i="448"/>
  <c r="F148" i="448"/>
  <c r="N147" i="448"/>
  <c r="R147" i="448" s="1"/>
  <c r="I147" i="448"/>
  <c r="F147" i="448"/>
  <c r="N146" i="448"/>
  <c r="R146" i="448" s="1"/>
  <c r="I146" i="448"/>
  <c r="F146" i="448"/>
  <c r="N145" i="448"/>
  <c r="R145" i="448" s="1"/>
  <c r="I145" i="448"/>
  <c r="F145" i="448"/>
  <c r="N144" i="448"/>
  <c r="R144" i="448" s="1"/>
  <c r="I144" i="448"/>
  <c r="F144" i="448"/>
  <c r="R143" i="448"/>
  <c r="N143" i="448"/>
  <c r="I143" i="448"/>
  <c r="F143" i="448"/>
  <c r="N142" i="448"/>
  <c r="R142" i="448" s="1"/>
  <c r="I142" i="448"/>
  <c r="F142" i="448"/>
  <c r="N141" i="448"/>
  <c r="R141" i="448" s="1"/>
  <c r="I141" i="448"/>
  <c r="F141" i="448"/>
  <c r="N140" i="448"/>
  <c r="R140" i="448" s="1"/>
  <c r="I140" i="448"/>
  <c r="F140" i="448"/>
  <c r="N139" i="448"/>
  <c r="R139" i="448" s="1"/>
  <c r="I139" i="448"/>
  <c r="F139" i="448"/>
  <c r="N138" i="448"/>
  <c r="R138" i="448" s="1"/>
  <c r="I138" i="448"/>
  <c r="F138" i="448"/>
  <c r="N137" i="448"/>
  <c r="R137" i="448" s="1"/>
  <c r="I137" i="448"/>
  <c r="F137" i="448"/>
  <c r="N136" i="448"/>
  <c r="R136" i="448" s="1"/>
  <c r="I136" i="448"/>
  <c r="F136" i="448"/>
  <c r="R135" i="448"/>
  <c r="N135" i="448"/>
  <c r="I135" i="448"/>
  <c r="F135" i="448"/>
  <c r="N134" i="448"/>
  <c r="R134" i="448" s="1"/>
  <c r="I134" i="448"/>
  <c r="F134" i="448"/>
  <c r="N133" i="448"/>
  <c r="R133" i="448" s="1"/>
  <c r="I133" i="448"/>
  <c r="F133" i="448"/>
  <c r="N132" i="448"/>
  <c r="R132" i="448" s="1"/>
  <c r="I132" i="448"/>
  <c r="F132" i="448"/>
  <c r="N131" i="448"/>
  <c r="R131" i="448" s="1"/>
  <c r="I131" i="448"/>
  <c r="F131" i="448"/>
  <c r="N130" i="448"/>
  <c r="R130" i="448" s="1"/>
  <c r="I130" i="448"/>
  <c r="F130" i="448"/>
  <c r="N129" i="448"/>
  <c r="R129" i="448" s="1"/>
  <c r="I129" i="448"/>
  <c r="F129" i="448"/>
  <c r="N128" i="448"/>
  <c r="R128" i="448" s="1"/>
  <c r="I128" i="448"/>
  <c r="F128" i="448"/>
  <c r="N127" i="448"/>
  <c r="R127" i="448" s="1"/>
  <c r="I127" i="448"/>
  <c r="F127" i="448"/>
  <c r="N126" i="448"/>
  <c r="R126" i="448" s="1"/>
  <c r="I126" i="448"/>
  <c r="F126" i="448"/>
  <c r="N125" i="448"/>
  <c r="R125" i="448" s="1"/>
  <c r="I125" i="448"/>
  <c r="F125" i="448"/>
  <c r="N124" i="448"/>
  <c r="R124" i="448" s="1"/>
  <c r="I124" i="448"/>
  <c r="F124" i="448"/>
  <c r="N123" i="448"/>
  <c r="R123" i="448" s="1"/>
  <c r="I123" i="448"/>
  <c r="F123" i="448"/>
  <c r="R122" i="448"/>
  <c r="N122" i="448"/>
  <c r="I122" i="448"/>
  <c r="F122" i="448"/>
  <c r="N121" i="448"/>
  <c r="R121" i="448" s="1"/>
  <c r="I121" i="448"/>
  <c r="F121" i="448"/>
  <c r="N120" i="448"/>
  <c r="R120" i="448" s="1"/>
  <c r="I120" i="448"/>
  <c r="F120" i="448"/>
  <c r="N119" i="448"/>
  <c r="R119" i="448" s="1"/>
  <c r="I119" i="448"/>
  <c r="F119" i="448"/>
  <c r="N118" i="448"/>
  <c r="R118" i="448" s="1"/>
  <c r="I118" i="448"/>
  <c r="F118" i="448"/>
  <c r="N117" i="448"/>
  <c r="R117" i="448" s="1"/>
  <c r="I117" i="448"/>
  <c r="F117" i="448"/>
  <c r="N116" i="448"/>
  <c r="R116" i="448" s="1"/>
  <c r="I116" i="448"/>
  <c r="F116" i="448"/>
  <c r="N115" i="448"/>
  <c r="R115" i="448" s="1"/>
  <c r="I115" i="448"/>
  <c r="F115" i="448"/>
  <c r="R114" i="448"/>
  <c r="N114" i="448"/>
  <c r="I114" i="448"/>
  <c r="F114" i="448"/>
  <c r="N113" i="448"/>
  <c r="R113" i="448" s="1"/>
  <c r="I113" i="448"/>
  <c r="F113" i="448"/>
  <c r="N112" i="448"/>
  <c r="R112" i="448" s="1"/>
  <c r="I112" i="448"/>
  <c r="F112" i="448"/>
  <c r="N111" i="448"/>
  <c r="R111" i="448" s="1"/>
  <c r="I111" i="448"/>
  <c r="F111" i="448"/>
  <c r="N110" i="448"/>
  <c r="R110" i="448" s="1"/>
  <c r="I110" i="448"/>
  <c r="F110" i="448"/>
  <c r="N109" i="448"/>
  <c r="R109" i="448" s="1"/>
  <c r="I109" i="448"/>
  <c r="F109" i="448"/>
  <c r="N108" i="448"/>
  <c r="R108" i="448" s="1"/>
  <c r="I108" i="448"/>
  <c r="F108" i="448"/>
  <c r="N107" i="448"/>
  <c r="R107" i="448" s="1"/>
  <c r="I107" i="448"/>
  <c r="F107" i="448"/>
  <c r="N106" i="448"/>
  <c r="R106" i="448" s="1"/>
  <c r="I106" i="448"/>
  <c r="F106" i="448"/>
  <c r="N105" i="448"/>
  <c r="R105" i="448" s="1"/>
  <c r="I105" i="448"/>
  <c r="F105" i="448"/>
  <c r="N104" i="448"/>
  <c r="R104" i="448" s="1"/>
  <c r="I104" i="448"/>
  <c r="F104" i="448"/>
  <c r="N103" i="448"/>
  <c r="R103" i="448" s="1"/>
  <c r="I103" i="448"/>
  <c r="F103" i="448"/>
  <c r="N102" i="448"/>
  <c r="R102" i="448" s="1"/>
  <c r="I102" i="448"/>
  <c r="F102" i="448"/>
  <c r="R101" i="448"/>
  <c r="N101" i="448"/>
  <c r="I101" i="448"/>
  <c r="F101" i="448"/>
  <c r="N100" i="448"/>
  <c r="R100" i="448" s="1"/>
  <c r="I100" i="448"/>
  <c r="F100" i="448"/>
  <c r="N99" i="448"/>
  <c r="R99" i="448" s="1"/>
  <c r="I99" i="448"/>
  <c r="F99" i="448"/>
  <c r="N98" i="448"/>
  <c r="R98" i="448" s="1"/>
  <c r="I98" i="448"/>
  <c r="F98" i="448"/>
  <c r="R97" i="448"/>
  <c r="N97" i="448"/>
  <c r="I97" i="448"/>
  <c r="F97" i="448"/>
  <c r="N96" i="448"/>
  <c r="R96" i="448" s="1"/>
  <c r="I96" i="448"/>
  <c r="F96" i="448"/>
  <c r="N95" i="448"/>
  <c r="R95" i="448" s="1"/>
  <c r="I95" i="448"/>
  <c r="F95" i="448"/>
  <c r="N94" i="448"/>
  <c r="R94" i="448" s="1"/>
  <c r="I94" i="448"/>
  <c r="F94" i="448"/>
  <c r="R93" i="448"/>
  <c r="N93" i="448"/>
  <c r="I93" i="448"/>
  <c r="F93" i="448"/>
  <c r="N92" i="448"/>
  <c r="R92" i="448" s="1"/>
  <c r="I92" i="448"/>
  <c r="F92" i="448"/>
  <c r="N91" i="448"/>
  <c r="R91" i="448" s="1"/>
  <c r="I91" i="448"/>
  <c r="F91" i="448"/>
  <c r="N90" i="448"/>
  <c r="R90" i="448" s="1"/>
  <c r="I90" i="448"/>
  <c r="F90" i="448"/>
  <c r="R89" i="448"/>
  <c r="N89" i="448"/>
  <c r="I89" i="448"/>
  <c r="F89" i="448"/>
  <c r="N88" i="448"/>
  <c r="R88" i="448" s="1"/>
  <c r="I88" i="448"/>
  <c r="F88" i="448"/>
  <c r="N87" i="448"/>
  <c r="R87" i="448" s="1"/>
  <c r="I87" i="448"/>
  <c r="F87" i="448"/>
  <c r="N86" i="448"/>
  <c r="R86" i="448" s="1"/>
  <c r="I86" i="448"/>
  <c r="F86" i="448"/>
  <c r="R85" i="448"/>
  <c r="N85" i="448"/>
  <c r="I85" i="448"/>
  <c r="F85" i="448"/>
  <c r="N84" i="448"/>
  <c r="R84" i="448" s="1"/>
  <c r="I84" i="448"/>
  <c r="F84" i="448"/>
  <c r="N83" i="448"/>
  <c r="R83" i="448" s="1"/>
  <c r="I83" i="448"/>
  <c r="F83" i="448"/>
  <c r="N82" i="448"/>
  <c r="R82" i="448" s="1"/>
  <c r="I82" i="448"/>
  <c r="F82" i="448"/>
  <c r="R81" i="448"/>
  <c r="N81" i="448"/>
  <c r="I81" i="448"/>
  <c r="F81" i="448"/>
  <c r="N80" i="448"/>
  <c r="R80" i="448" s="1"/>
  <c r="I80" i="448"/>
  <c r="F80" i="448"/>
  <c r="N79" i="448"/>
  <c r="R79" i="448" s="1"/>
  <c r="I79" i="448"/>
  <c r="F79" i="448"/>
  <c r="N78" i="448"/>
  <c r="R78" i="448" s="1"/>
  <c r="I78" i="448"/>
  <c r="F78" i="448"/>
  <c r="R77" i="448"/>
  <c r="N77" i="448"/>
  <c r="I77" i="448"/>
  <c r="F77" i="448"/>
  <c r="N76" i="448"/>
  <c r="R76" i="448" s="1"/>
  <c r="I76" i="448"/>
  <c r="F76" i="448"/>
  <c r="N75" i="448"/>
  <c r="R75" i="448" s="1"/>
  <c r="I75" i="448"/>
  <c r="F75" i="448"/>
  <c r="N74" i="448"/>
  <c r="R74" i="448" s="1"/>
  <c r="I74" i="448"/>
  <c r="F74" i="448"/>
  <c r="R73" i="448"/>
  <c r="N73" i="448"/>
  <c r="I73" i="448"/>
  <c r="F73" i="448"/>
  <c r="N72" i="448"/>
  <c r="R72" i="448" s="1"/>
  <c r="I72" i="448"/>
  <c r="F72" i="448"/>
  <c r="N71" i="448"/>
  <c r="R71" i="448" s="1"/>
  <c r="I71" i="448"/>
  <c r="F71" i="448"/>
  <c r="N70" i="448"/>
  <c r="R70" i="448" s="1"/>
  <c r="I70" i="448"/>
  <c r="F70" i="448"/>
  <c r="R69" i="448"/>
  <c r="N69" i="448"/>
  <c r="I69" i="448"/>
  <c r="F69" i="448"/>
  <c r="N68" i="448"/>
  <c r="R68" i="448" s="1"/>
  <c r="I68" i="448"/>
  <c r="F68" i="448"/>
  <c r="N67" i="448"/>
  <c r="R67" i="448" s="1"/>
  <c r="I67" i="448"/>
  <c r="F67" i="448"/>
  <c r="N66" i="448"/>
  <c r="R66" i="448" s="1"/>
  <c r="I66" i="448"/>
  <c r="F66" i="448"/>
  <c r="R65" i="448"/>
  <c r="N65" i="448"/>
  <c r="I65" i="448"/>
  <c r="F65" i="448"/>
  <c r="N64" i="448"/>
  <c r="R64" i="448" s="1"/>
  <c r="I64" i="448"/>
  <c r="F64" i="448"/>
  <c r="N63" i="448"/>
  <c r="R63" i="448" s="1"/>
  <c r="I63" i="448"/>
  <c r="F63" i="448"/>
  <c r="N62" i="448"/>
  <c r="R62" i="448" s="1"/>
  <c r="I62" i="448"/>
  <c r="F62" i="448"/>
  <c r="R61" i="448"/>
  <c r="N61" i="448"/>
  <c r="I61" i="448"/>
  <c r="F61" i="448"/>
  <c r="N60" i="448"/>
  <c r="R60" i="448" s="1"/>
  <c r="I60" i="448"/>
  <c r="F60" i="448"/>
  <c r="N59" i="448"/>
  <c r="R59" i="448" s="1"/>
  <c r="I59" i="448"/>
  <c r="F59" i="448"/>
  <c r="R58" i="448"/>
  <c r="N58" i="448"/>
  <c r="I58" i="448"/>
  <c r="F58" i="448"/>
  <c r="N57" i="448"/>
  <c r="R57" i="448" s="1"/>
  <c r="I57" i="448"/>
  <c r="F57" i="448"/>
  <c r="N56" i="448"/>
  <c r="R56" i="448" s="1"/>
  <c r="I56" i="448"/>
  <c r="F56" i="448"/>
  <c r="N54" i="448"/>
  <c r="R54" i="448" s="1"/>
  <c r="I54" i="448"/>
  <c r="F54" i="448"/>
  <c r="R53" i="448"/>
  <c r="N53" i="448"/>
  <c r="I53" i="448"/>
  <c r="F53" i="448"/>
  <c r="R52" i="448"/>
  <c r="N52" i="448"/>
  <c r="I52" i="448"/>
  <c r="F52" i="448"/>
  <c r="R51" i="448"/>
  <c r="N51" i="448"/>
  <c r="I51" i="448"/>
  <c r="F51" i="448"/>
  <c r="R50" i="448"/>
  <c r="N50" i="448"/>
  <c r="I50" i="448"/>
  <c r="F50" i="448"/>
  <c r="R49" i="448"/>
  <c r="N49" i="448"/>
  <c r="I49" i="448"/>
  <c r="F49" i="448"/>
  <c r="R47" i="448"/>
  <c r="N47" i="448"/>
  <c r="I47" i="448"/>
  <c r="F47" i="448"/>
  <c r="R46" i="448"/>
  <c r="N46" i="448"/>
  <c r="I46" i="448"/>
  <c r="F46" i="448"/>
  <c r="R45" i="448"/>
  <c r="N45" i="448"/>
  <c r="I45" i="448"/>
  <c r="F45" i="448"/>
  <c r="R44" i="448"/>
  <c r="N44" i="448"/>
  <c r="I44" i="448"/>
  <c r="F44" i="448"/>
  <c r="N43" i="448"/>
  <c r="R43" i="448" s="1"/>
  <c r="I43" i="448"/>
  <c r="F43" i="448"/>
  <c r="N42" i="448"/>
  <c r="R42" i="448" s="1"/>
  <c r="I42" i="448"/>
  <c r="F42" i="448"/>
  <c r="R41" i="448"/>
  <c r="N41" i="448"/>
  <c r="I41" i="448"/>
  <c r="F41" i="448"/>
  <c r="R40" i="448"/>
  <c r="N40" i="448"/>
  <c r="I40" i="448"/>
  <c r="F40" i="448"/>
  <c r="N39" i="448"/>
  <c r="R39" i="448" s="1"/>
  <c r="I39" i="448"/>
  <c r="F39" i="448"/>
  <c r="N38" i="448"/>
  <c r="R38" i="448" s="1"/>
  <c r="I38" i="448"/>
  <c r="F38" i="448"/>
  <c r="N37" i="448"/>
  <c r="R37" i="448" s="1"/>
  <c r="I37" i="448"/>
  <c r="F37" i="448"/>
  <c r="N36" i="448"/>
  <c r="R36" i="448" s="1"/>
  <c r="I36" i="448"/>
  <c r="G36" i="448"/>
  <c r="H36" i="448" s="1"/>
  <c r="F36" i="448"/>
  <c r="N35" i="448"/>
  <c r="R35" i="448" s="1"/>
  <c r="I35" i="448"/>
  <c r="G35" i="448"/>
  <c r="H35" i="448" s="1"/>
  <c r="F35" i="448"/>
  <c r="N34" i="448"/>
  <c r="R34" i="448" s="1"/>
  <c r="I34" i="448"/>
  <c r="G34" i="448"/>
  <c r="H34" i="448" s="1"/>
  <c r="F34" i="448"/>
  <c r="N33" i="448"/>
  <c r="R33" i="448" s="1"/>
  <c r="I33" i="448"/>
  <c r="G33" i="448"/>
  <c r="H33" i="448" s="1"/>
  <c r="F33" i="448"/>
  <c r="N32" i="448"/>
  <c r="R32" i="448" s="1"/>
  <c r="I32" i="448"/>
  <c r="G32" i="448"/>
  <c r="H32" i="448" s="1"/>
  <c r="F32" i="448"/>
  <c r="N31" i="448"/>
  <c r="R31" i="448" s="1"/>
  <c r="I31" i="448"/>
  <c r="G31" i="448"/>
  <c r="H31" i="448" s="1"/>
  <c r="F31" i="448"/>
  <c r="N30" i="448"/>
  <c r="R30" i="448" s="1"/>
  <c r="I30" i="448"/>
  <c r="G30" i="448"/>
  <c r="H30" i="448" s="1"/>
  <c r="F30" i="448"/>
  <c r="N29" i="448"/>
  <c r="R29" i="448" s="1"/>
  <c r="I29" i="448"/>
  <c r="G29" i="448"/>
  <c r="H29" i="448" s="1"/>
  <c r="F29" i="448"/>
  <c r="N28" i="448"/>
  <c r="R28" i="448" s="1"/>
  <c r="I28" i="448"/>
  <c r="G28" i="448"/>
  <c r="H28" i="448" s="1"/>
  <c r="F28" i="448"/>
  <c r="N27" i="448"/>
  <c r="R27" i="448" s="1"/>
  <c r="I27" i="448"/>
  <c r="G27" i="448"/>
  <c r="H27" i="448" s="1"/>
  <c r="F27" i="448"/>
  <c r="N26" i="448"/>
  <c r="R26" i="448" s="1"/>
  <c r="I26" i="448"/>
  <c r="G26" i="448"/>
  <c r="H26" i="448" s="1"/>
  <c r="F26" i="448"/>
  <c r="N25" i="448"/>
  <c r="R25" i="448" s="1"/>
  <c r="I25" i="448"/>
  <c r="G25" i="448"/>
  <c r="H25" i="448" s="1"/>
  <c r="F25" i="448"/>
  <c r="N24" i="448"/>
  <c r="R24" i="448" s="1"/>
  <c r="I24" i="448"/>
  <c r="G24" i="448"/>
  <c r="H24" i="448" s="1"/>
  <c r="F24" i="448"/>
  <c r="N23" i="448"/>
  <c r="R23" i="448" s="1"/>
  <c r="I23" i="448"/>
  <c r="G23" i="448"/>
  <c r="H23" i="448" s="1"/>
  <c r="F23" i="448"/>
  <c r="N22" i="448"/>
  <c r="R22" i="448" s="1"/>
  <c r="I22" i="448"/>
  <c r="G22" i="448"/>
  <c r="H22" i="448" s="1"/>
  <c r="F22" i="448"/>
  <c r="N21" i="448"/>
  <c r="R21" i="448" s="1"/>
  <c r="I21" i="448"/>
  <c r="G21" i="448"/>
  <c r="H21" i="448" s="1"/>
  <c r="F21" i="448"/>
  <c r="N20" i="448"/>
  <c r="R20" i="448" s="1"/>
  <c r="I20" i="448"/>
  <c r="G20" i="448"/>
  <c r="H20" i="448" s="1"/>
  <c r="F20" i="448"/>
  <c r="T18" i="448"/>
  <c r="U18" i="448" s="1"/>
  <c r="V18" i="448" s="1"/>
  <c r="W18" i="448" s="1"/>
  <c r="X18" i="448" s="1"/>
  <c r="Y18" i="448" s="1"/>
  <c r="Z18" i="448" s="1"/>
  <c r="AA18" i="448" s="1"/>
  <c r="AB18" i="448" s="1"/>
  <c r="AC18" i="448" s="1"/>
  <c r="AD18" i="448" s="1"/>
  <c r="Q15" i="448"/>
  <c r="P15" i="448"/>
  <c r="O15" i="448"/>
  <c r="M15" i="448"/>
  <c r="L15" i="448"/>
  <c r="K15" i="448"/>
  <c r="J15" i="448"/>
  <c r="E15" i="448"/>
  <c r="D15" i="448"/>
  <c r="C15" i="448"/>
  <c r="T9" i="448"/>
  <c r="G77" i="15" s="1"/>
  <c r="H56" i="15" s="1"/>
  <c r="C137" i="15" s="1"/>
  <c r="H137" i="15" s="1"/>
  <c r="T8" i="448"/>
  <c r="G76" i="15" s="1"/>
  <c r="H53" i="15" s="1"/>
  <c r="C130" i="15" s="1"/>
  <c r="H130" i="15" s="1"/>
  <c r="T7" i="448"/>
  <c r="G72" i="15" s="1"/>
  <c r="H45" i="15" s="1"/>
  <c r="C116" i="15" s="1"/>
  <c r="H116" i="15" s="1"/>
  <c r="T6" i="448"/>
  <c r="G71" i="15" s="1"/>
  <c r="H42" i="15" s="1"/>
  <c r="C109" i="15" s="1"/>
  <c r="H109" i="15" s="1"/>
  <c r="T5" i="448"/>
  <c r="G70" i="15" s="1"/>
  <c r="H39" i="15" s="1"/>
  <c r="C102" i="15" s="1"/>
  <c r="H102" i="15" s="1"/>
  <c r="H101" i="15" s="1"/>
  <c r="T4" i="448"/>
  <c r="G69" i="15" s="1"/>
  <c r="T3" i="448"/>
  <c r="G68" i="15" s="1"/>
  <c r="T2" i="448"/>
  <c r="G67" i="15" s="1"/>
  <c r="E2" i="448"/>
  <c r="G101" i="448" s="1"/>
  <c r="H101" i="448" s="1"/>
  <c r="I130" i="15" l="1"/>
  <c r="J130" i="15" s="1"/>
  <c r="K130" i="15" s="1"/>
  <c r="L130" i="15" s="1"/>
  <c r="H129" i="15"/>
  <c r="I137" i="15"/>
  <c r="J137" i="15" s="1"/>
  <c r="K137" i="15" s="1"/>
  <c r="L137" i="15" s="1"/>
  <c r="H136" i="15"/>
  <c r="G41" i="448"/>
  <c r="H41" i="448" s="1"/>
  <c r="G42" i="448"/>
  <c r="H42" i="448" s="1"/>
  <c r="G37" i="448"/>
  <c r="H37" i="448" s="1"/>
  <c r="G38" i="448"/>
  <c r="H38" i="448" s="1"/>
  <c r="G39" i="448"/>
  <c r="H39" i="448" s="1"/>
  <c r="G43" i="448"/>
  <c r="H43" i="448" s="1"/>
  <c r="G40" i="448"/>
  <c r="H40" i="448" s="1"/>
  <c r="G44" i="448"/>
  <c r="H44" i="448" s="1"/>
  <c r="I109" i="15"/>
  <c r="H108" i="15"/>
  <c r="I116" i="15"/>
  <c r="H115" i="15"/>
  <c r="I102" i="15"/>
  <c r="AG23" i="448"/>
  <c r="T23" i="448"/>
  <c r="AG22" i="448"/>
  <c r="T22" i="448"/>
  <c r="AG26" i="448"/>
  <c r="T26" i="448"/>
  <c r="AG54" i="448"/>
  <c r="AG62" i="448"/>
  <c r="AG70" i="448"/>
  <c r="AG78" i="448"/>
  <c r="AG86" i="448"/>
  <c r="AG94" i="448"/>
  <c r="AG102" i="448"/>
  <c r="AG25" i="448"/>
  <c r="T25" i="448"/>
  <c r="AG60" i="448"/>
  <c r="AG68" i="448"/>
  <c r="AG76" i="448"/>
  <c r="AG84" i="448"/>
  <c r="AG92" i="448"/>
  <c r="AG100" i="448"/>
  <c r="AG21" i="448"/>
  <c r="T21" i="448"/>
  <c r="AG20" i="448"/>
  <c r="T20" i="448"/>
  <c r="U20" i="448" s="1"/>
  <c r="AG24" i="448"/>
  <c r="T24" i="448"/>
  <c r="AG28" i="448"/>
  <c r="T28" i="448"/>
  <c r="AG59" i="448"/>
  <c r="AG66" i="448"/>
  <c r="AG74" i="448"/>
  <c r="AG82" i="448"/>
  <c r="AG90" i="448"/>
  <c r="AG98" i="448"/>
  <c r="T13" i="448"/>
  <c r="AG27" i="448"/>
  <c r="T27" i="448"/>
  <c r="AG29" i="448"/>
  <c r="T29" i="448"/>
  <c r="U29" i="448" s="1"/>
  <c r="AG30" i="448"/>
  <c r="T30" i="448"/>
  <c r="AG31" i="448"/>
  <c r="T31" i="448"/>
  <c r="AG32" i="448"/>
  <c r="T32" i="448"/>
  <c r="U32" i="448" s="1"/>
  <c r="AG33" i="448"/>
  <c r="T33" i="448"/>
  <c r="U33" i="448" s="1"/>
  <c r="AG34" i="448"/>
  <c r="T34" i="448"/>
  <c r="U35" i="448"/>
  <c r="AG35" i="448"/>
  <c r="T35" i="448"/>
  <c r="AG36" i="448"/>
  <c r="T36" i="448"/>
  <c r="AG37" i="448"/>
  <c r="T37" i="448"/>
  <c r="U37" i="448" s="1"/>
  <c r="AG38" i="448"/>
  <c r="T38" i="448"/>
  <c r="AG57" i="448"/>
  <c r="AG64" i="448"/>
  <c r="AG72" i="448"/>
  <c r="AG80" i="448"/>
  <c r="AG88" i="448"/>
  <c r="AG96" i="448"/>
  <c r="G58" i="448"/>
  <c r="H58" i="448" s="1"/>
  <c r="G63" i="448"/>
  <c r="H63" i="448" s="1"/>
  <c r="G67" i="448"/>
  <c r="H67" i="448" s="1"/>
  <c r="G71" i="448"/>
  <c r="H71" i="448" s="1"/>
  <c r="G75" i="448"/>
  <c r="H75" i="448" s="1"/>
  <c r="G79" i="448"/>
  <c r="H79" i="448" s="1"/>
  <c r="G83" i="448"/>
  <c r="H83" i="448" s="1"/>
  <c r="G87" i="448"/>
  <c r="H87" i="448" s="1"/>
  <c r="G91" i="448"/>
  <c r="H91" i="448" s="1"/>
  <c r="G95" i="448"/>
  <c r="H95" i="448" s="1"/>
  <c r="G99" i="448"/>
  <c r="H99" i="448" s="1"/>
  <c r="AG106" i="448"/>
  <c r="AG110" i="448"/>
  <c r="AG115" i="448"/>
  <c r="AG120" i="448"/>
  <c r="AG125" i="448"/>
  <c r="G45" i="448"/>
  <c r="H45" i="448" s="1"/>
  <c r="T45" i="448" s="1"/>
  <c r="G47" i="448"/>
  <c r="H47" i="448" s="1"/>
  <c r="T47" i="448" s="1"/>
  <c r="G49" i="448"/>
  <c r="H49" i="448" s="1"/>
  <c r="G50" i="448"/>
  <c r="H50" i="448" s="1"/>
  <c r="G51" i="448"/>
  <c r="H51" i="448" s="1"/>
  <c r="T51" i="448" s="1"/>
  <c r="G52" i="448"/>
  <c r="H52" i="448" s="1"/>
  <c r="T52" i="448" s="1"/>
  <c r="G53" i="448"/>
  <c r="H53" i="448" s="1"/>
  <c r="AG53" i="448"/>
  <c r="AG56" i="448"/>
  <c r="G57" i="448"/>
  <c r="H57" i="448" s="1"/>
  <c r="T57" i="448" s="1"/>
  <c r="U57" i="448" s="1"/>
  <c r="AG61" i="448"/>
  <c r="G62" i="448"/>
  <c r="H62" i="448" s="1"/>
  <c r="T62" i="448" s="1"/>
  <c r="AG65" i="448"/>
  <c r="G66" i="448"/>
  <c r="H66" i="448" s="1"/>
  <c r="T66" i="448" s="1"/>
  <c r="AG69" i="448"/>
  <c r="G70" i="448"/>
  <c r="H70" i="448" s="1"/>
  <c r="T70" i="448" s="1"/>
  <c r="AG73" i="448"/>
  <c r="G74" i="448"/>
  <c r="H74" i="448" s="1"/>
  <c r="T74" i="448" s="1"/>
  <c r="AG77" i="448"/>
  <c r="G78" i="448"/>
  <c r="H78" i="448" s="1"/>
  <c r="T78" i="448" s="1"/>
  <c r="AG81" i="448"/>
  <c r="G82" i="448"/>
  <c r="H82" i="448" s="1"/>
  <c r="T82" i="448" s="1"/>
  <c r="AG85" i="448"/>
  <c r="G86" i="448"/>
  <c r="H86" i="448" s="1"/>
  <c r="T86" i="448" s="1"/>
  <c r="AG89" i="448"/>
  <c r="G90" i="448"/>
  <c r="H90" i="448" s="1"/>
  <c r="T90" i="448" s="1"/>
  <c r="AG93" i="448"/>
  <c r="G94" i="448"/>
  <c r="H94" i="448" s="1"/>
  <c r="T94" i="448" s="1"/>
  <c r="AG97" i="448"/>
  <c r="G98" i="448"/>
  <c r="H98" i="448" s="1"/>
  <c r="T98" i="448" s="1"/>
  <c r="AG101" i="448"/>
  <c r="T101" i="448"/>
  <c r="U101" i="448" s="1"/>
  <c r="G102" i="448"/>
  <c r="H102" i="448" s="1"/>
  <c r="T102" i="448" s="1"/>
  <c r="AG103" i="448"/>
  <c r="AG105" i="448"/>
  <c r="AG109" i="448"/>
  <c r="AG113" i="448"/>
  <c r="AG119" i="448"/>
  <c r="AG124" i="448"/>
  <c r="G46" i="448"/>
  <c r="H46" i="448" s="1"/>
  <c r="T46" i="448" s="1"/>
  <c r="T39" i="448"/>
  <c r="AG39" i="448"/>
  <c r="T40" i="448"/>
  <c r="AG40" i="448"/>
  <c r="T41" i="448"/>
  <c r="AG41" i="448"/>
  <c r="T42" i="448"/>
  <c r="AG42" i="448"/>
  <c r="T43" i="448"/>
  <c r="AG43" i="448"/>
  <c r="T44" i="448"/>
  <c r="AG44" i="448"/>
  <c r="AG45" i="448"/>
  <c r="AG46" i="448"/>
  <c r="AG47" i="448"/>
  <c r="T49" i="448"/>
  <c r="AG49" i="448"/>
  <c r="T50" i="448"/>
  <c r="AG50" i="448"/>
  <c r="AG51" i="448"/>
  <c r="AG52" i="448"/>
  <c r="T53" i="448"/>
  <c r="G56" i="448"/>
  <c r="H56" i="448" s="1"/>
  <c r="T56" i="448" s="1"/>
  <c r="G61" i="448"/>
  <c r="H61" i="448" s="1"/>
  <c r="T61" i="448" s="1"/>
  <c r="G65" i="448"/>
  <c r="H65" i="448" s="1"/>
  <c r="T65" i="448" s="1"/>
  <c r="G69" i="448"/>
  <c r="H69" i="448" s="1"/>
  <c r="T69" i="448" s="1"/>
  <c r="G73" i="448"/>
  <c r="H73" i="448" s="1"/>
  <c r="T73" i="448" s="1"/>
  <c r="U73" i="448" s="1"/>
  <c r="G77" i="448"/>
  <c r="H77" i="448" s="1"/>
  <c r="T77" i="448" s="1"/>
  <c r="G81" i="448"/>
  <c r="H81" i="448" s="1"/>
  <c r="T81" i="448" s="1"/>
  <c r="G85" i="448"/>
  <c r="H85" i="448" s="1"/>
  <c r="T85" i="448" s="1"/>
  <c r="G89" i="448"/>
  <c r="H89" i="448" s="1"/>
  <c r="T89" i="448" s="1"/>
  <c r="U89" i="448" s="1"/>
  <c r="G93" i="448"/>
  <c r="H93" i="448" s="1"/>
  <c r="T93" i="448" s="1"/>
  <c r="G97" i="448"/>
  <c r="H97" i="448" s="1"/>
  <c r="T97" i="448" s="1"/>
  <c r="AG108" i="448"/>
  <c r="AG112" i="448"/>
  <c r="AG117" i="448"/>
  <c r="AG123" i="448"/>
  <c r="G318" i="448"/>
  <c r="H318" i="448" s="1"/>
  <c r="G316" i="448"/>
  <c r="H316" i="448" s="1"/>
  <c r="G312" i="448"/>
  <c r="H312" i="448" s="1"/>
  <c r="G308" i="448"/>
  <c r="H308" i="448" s="1"/>
  <c r="G304" i="448"/>
  <c r="H304" i="448" s="1"/>
  <c r="G314" i="448"/>
  <c r="H314" i="448" s="1"/>
  <c r="G310" i="448"/>
  <c r="H310" i="448" s="1"/>
  <c r="G306" i="448"/>
  <c r="H306" i="448" s="1"/>
  <c r="G317" i="448"/>
  <c r="H317" i="448" s="1"/>
  <c r="G313" i="448"/>
  <c r="H313" i="448" s="1"/>
  <c r="G309" i="448"/>
  <c r="H309" i="448" s="1"/>
  <c r="G305" i="448"/>
  <c r="H305" i="448" s="1"/>
  <c r="G302" i="448"/>
  <c r="H302" i="448" s="1"/>
  <c r="G298" i="448"/>
  <c r="H298" i="448" s="1"/>
  <c r="G293" i="448"/>
  <c r="H293" i="448" s="1"/>
  <c r="T293" i="448" s="1"/>
  <c r="G292" i="448"/>
  <c r="H292" i="448" s="1"/>
  <c r="G290" i="448"/>
  <c r="H290" i="448" s="1"/>
  <c r="T290" i="448" s="1"/>
  <c r="G289" i="448"/>
  <c r="H289" i="448" s="1"/>
  <c r="G288" i="448"/>
  <c r="H288" i="448" s="1"/>
  <c r="T288" i="448" s="1"/>
  <c r="G287" i="448"/>
  <c r="H287" i="448" s="1"/>
  <c r="G286" i="448"/>
  <c r="H286" i="448" s="1"/>
  <c r="T286" i="448" s="1"/>
  <c r="G315" i="448"/>
  <c r="H315" i="448" s="1"/>
  <c r="G311" i="448"/>
  <c r="H311" i="448" s="1"/>
  <c r="G307" i="448"/>
  <c r="H307" i="448" s="1"/>
  <c r="G303" i="448"/>
  <c r="H303" i="448" s="1"/>
  <c r="G300" i="448"/>
  <c r="H300" i="448" s="1"/>
  <c r="G296" i="448"/>
  <c r="H296" i="448" s="1"/>
  <c r="G281" i="448"/>
  <c r="H281" i="448" s="1"/>
  <c r="G280" i="448"/>
  <c r="H280" i="448" s="1"/>
  <c r="G279" i="448"/>
  <c r="H279" i="448" s="1"/>
  <c r="G278" i="448"/>
  <c r="H278" i="448" s="1"/>
  <c r="T278" i="448" s="1"/>
  <c r="G283" i="448"/>
  <c r="H283" i="448" s="1"/>
  <c r="G301" i="448"/>
  <c r="H301" i="448" s="1"/>
  <c r="G297" i="448"/>
  <c r="H297" i="448" s="1"/>
  <c r="G299" i="448"/>
  <c r="H299" i="448" s="1"/>
  <c r="G294" i="448"/>
  <c r="H294" i="448" s="1"/>
  <c r="G284" i="448"/>
  <c r="H284" i="448" s="1"/>
  <c r="G275" i="448"/>
  <c r="H275" i="448" s="1"/>
  <c r="G271" i="448"/>
  <c r="H271" i="448" s="1"/>
  <c r="G267" i="448"/>
  <c r="H267" i="448" s="1"/>
  <c r="G262" i="448"/>
  <c r="H262" i="448" s="1"/>
  <c r="G258" i="448"/>
  <c r="H258" i="448" s="1"/>
  <c r="G277" i="448"/>
  <c r="H277" i="448" s="1"/>
  <c r="G276" i="448"/>
  <c r="H276" i="448" s="1"/>
  <c r="G272" i="448"/>
  <c r="H272" i="448" s="1"/>
  <c r="G268" i="448"/>
  <c r="H268" i="448" s="1"/>
  <c r="G263" i="448"/>
  <c r="H263" i="448" s="1"/>
  <c r="G259" i="448"/>
  <c r="H259" i="448" s="1"/>
  <c r="G282" i="448"/>
  <c r="H282" i="448" s="1"/>
  <c r="G273" i="448"/>
  <c r="H273" i="448" s="1"/>
  <c r="G269" i="448"/>
  <c r="H269" i="448" s="1"/>
  <c r="G264" i="448"/>
  <c r="H264" i="448" s="1"/>
  <c r="G260" i="448"/>
  <c r="H260" i="448" s="1"/>
  <c r="G256" i="448"/>
  <c r="H256" i="448" s="1"/>
  <c r="G285" i="448"/>
  <c r="H285" i="448" s="1"/>
  <c r="G274" i="448"/>
  <c r="H274" i="448" s="1"/>
  <c r="G270" i="448"/>
  <c r="H270" i="448" s="1"/>
  <c r="G266" i="448"/>
  <c r="H266" i="448" s="1"/>
  <c r="G261" i="448"/>
  <c r="H261" i="448" s="1"/>
  <c r="G257" i="448"/>
  <c r="H257" i="448" s="1"/>
  <c r="G255" i="448"/>
  <c r="H255" i="448" s="1"/>
  <c r="G254" i="448"/>
  <c r="H254" i="448" s="1"/>
  <c r="G253" i="448"/>
  <c r="H253" i="448" s="1"/>
  <c r="G252" i="448"/>
  <c r="H252" i="448" s="1"/>
  <c r="G250" i="448"/>
  <c r="H250" i="448" s="1"/>
  <c r="G245" i="448"/>
  <c r="H245" i="448" s="1"/>
  <c r="G241" i="448"/>
  <c r="H241" i="448" s="1"/>
  <c r="G237" i="448"/>
  <c r="H237" i="448" s="1"/>
  <c r="G251" i="448"/>
  <c r="H251" i="448" s="1"/>
  <c r="G246" i="448"/>
  <c r="H246" i="448" s="1"/>
  <c r="G242" i="448"/>
  <c r="H242" i="448" s="1"/>
  <c r="G238" i="448"/>
  <c r="H238" i="448" s="1"/>
  <c r="G247" i="448"/>
  <c r="H247" i="448" s="1"/>
  <c r="G243" i="448"/>
  <c r="H243" i="448" s="1"/>
  <c r="G239" i="448"/>
  <c r="H239" i="448" s="1"/>
  <c r="G236" i="448"/>
  <c r="H236" i="448" s="1"/>
  <c r="T236" i="448" s="1"/>
  <c r="G235" i="448"/>
  <c r="H235" i="448" s="1"/>
  <c r="T235" i="448" s="1"/>
  <c r="G234" i="448"/>
  <c r="H234" i="448" s="1"/>
  <c r="G233" i="448"/>
  <c r="H233" i="448" s="1"/>
  <c r="G232" i="448"/>
  <c r="H232" i="448" s="1"/>
  <c r="G249" i="448"/>
  <c r="H249" i="448" s="1"/>
  <c r="G244" i="448"/>
  <c r="H244" i="448" s="1"/>
  <c r="G240" i="448"/>
  <c r="H240" i="448" s="1"/>
  <c r="G228" i="448"/>
  <c r="H228" i="448" s="1"/>
  <c r="G224" i="448"/>
  <c r="H224" i="448" s="1"/>
  <c r="G220" i="448"/>
  <c r="H220" i="448" s="1"/>
  <c r="G229" i="448"/>
  <c r="H229" i="448" s="1"/>
  <c r="G225" i="448"/>
  <c r="H225" i="448" s="1"/>
  <c r="G221" i="448"/>
  <c r="H221" i="448" s="1"/>
  <c r="G230" i="448"/>
  <c r="H230" i="448" s="1"/>
  <c r="G226" i="448"/>
  <c r="H226" i="448" s="1"/>
  <c r="G222" i="448"/>
  <c r="H222" i="448" s="1"/>
  <c r="G218" i="448"/>
  <c r="H218" i="448" s="1"/>
  <c r="G207" i="448"/>
  <c r="H207" i="448" s="1"/>
  <c r="G231" i="448"/>
  <c r="H231" i="448" s="1"/>
  <c r="G227" i="448"/>
  <c r="H227" i="448" s="1"/>
  <c r="G223" i="448"/>
  <c r="H223" i="448" s="1"/>
  <c r="G219" i="448"/>
  <c r="H219" i="448" s="1"/>
  <c r="G217" i="448"/>
  <c r="H217" i="448" s="1"/>
  <c r="T217" i="448" s="1"/>
  <c r="G216" i="448"/>
  <c r="H216" i="448" s="1"/>
  <c r="T216" i="448" s="1"/>
  <c r="G215" i="448"/>
  <c r="H215" i="448" s="1"/>
  <c r="G214" i="448"/>
  <c r="H214" i="448" s="1"/>
  <c r="G213" i="448"/>
  <c r="H213" i="448" s="1"/>
  <c r="G209" i="448"/>
  <c r="H209" i="448" s="1"/>
  <c r="T209" i="448" s="1"/>
  <c r="G205" i="448"/>
  <c r="H205" i="448" s="1"/>
  <c r="G200" i="448"/>
  <c r="H200" i="448" s="1"/>
  <c r="G196" i="448"/>
  <c r="H196" i="448" s="1"/>
  <c r="G192" i="448"/>
  <c r="H192" i="448" s="1"/>
  <c r="G188" i="448"/>
  <c r="H188" i="448" s="1"/>
  <c r="G212" i="448"/>
  <c r="H212" i="448" s="1"/>
  <c r="G208" i="448"/>
  <c r="H208" i="448" s="1"/>
  <c r="G206" i="448"/>
  <c r="H206" i="448" s="1"/>
  <c r="T206" i="448" s="1"/>
  <c r="G201" i="448"/>
  <c r="H201" i="448" s="1"/>
  <c r="G197" i="448"/>
  <c r="H197" i="448" s="1"/>
  <c r="G193" i="448"/>
  <c r="H193" i="448" s="1"/>
  <c r="G189" i="448"/>
  <c r="H189" i="448" s="1"/>
  <c r="T189" i="448" s="1"/>
  <c r="G211" i="448"/>
  <c r="H211" i="448" s="1"/>
  <c r="T211" i="448" s="1"/>
  <c r="G202" i="448"/>
  <c r="H202" i="448" s="1"/>
  <c r="G198" i="448"/>
  <c r="H198" i="448" s="1"/>
  <c r="G194" i="448"/>
  <c r="H194" i="448" s="1"/>
  <c r="G190" i="448"/>
  <c r="H190" i="448" s="1"/>
  <c r="G186" i="448"/>
  <c r="H186" i="448" s="1"/>
  <c r="G210" i="448"/>
  <c r="H210" i="448" s="1"/>
  <c r="G204" i="448"/>
  <c r="H204" i="448" s="1"/>
  <c r="G199" i="448"/>
  <c r="H199" i="448" s="1"/>
  <c r="T199" i="448" s="1"/>
  <c r="G195" i="448"/>
  <c r="H195" i="448" s="1"/>
  <c r="G191" i="448"/>
  <c r="H191" i="448" s="1"/>
  <c r="G187" i="448"/>
  <c r="H187" i="448" s="1"/>
  <c r="G185" i="448"/>
  <c r="H185" i="448" s="1"/>
  <c r="T185" i="448" s="1"/>
  <c r="G184" i="448"/>
  <c r="H184" i="448" s="1"/>
  <c r="G183" i="448"/>
  <c r="H183" i="448" s="1"/>
  <c r="G182" i="448"/>
  <c r="H182" i="448" s="1"/>
  <c r="T182" i="448" s="1"/>
  <c r="G181" i="448"/>
  <c r="H181" i="448" s="1"/>
  <c r="G180" i="448"/>
  <c r="H180" i="448" s="1"/>
  <c r="G179" i="448"/>
  <c r="H179" i="448" s="1"/>
  <c r="G178" i="448"/>
  <c r="H178" i="448" s="1"/>
  <c r="T178" i="448" s="1"/>
  <c r="G177" i="448"/>
  <c r="H177" i="448" s="1"/>
  <c r="G176" i="448"/>
  <c r="H176" i="448" s="1"/>
  <c r="G175" i="448"/>
  <c r="H175" i="448" s="1"/>
  <c r="G174" i="448"/>
  <c r="H174" i="448" s="1"/>
  <c r="G173" i="448"/>
  <c r="H173" i="448" s="1"/>
  <c r="T173" i="448" s="1"/>
  <c r="G170" i="448"/>
  <c r="H170" i="448" s="1"/>
  <c r="G166" i="448"/>
  <c r="H166" i="448" s="1"/>
  <c r="G162" i="448"/>
  <c r="H162" i="448" s="1"/>
  <c r="G158" i="448"/>
  <c r="H158" i="448" s="1"/>
  <c r="G154" i="448"/>
  <c r="H154" i="448" s="1"/>
  <c r="G150" i="448"/>
  <c r="H150" i="448" s="1"/>
  <c r="G146" i="448"/>
  <c r="H146" i="448" s="1"/>
  <c r="G142" i="448"/>
  <c r="H142" i="448" s="1"/>
  <c r="G138" i="448"/>
  <c r="H138" i="448" s="1"/>
  <c r="G134" i="448"/>
  <c r="H134" i="448" s="1"/>
  <c r="G130" i="448"/>
  <c r="H130" i="448" s="1"/>
  <c r="G129" i="448"/>
  <c r="H129" i="448" s="1"/>
  <c r="T129" i="448" s="1"/>
  <c r="G128" i="448"/>
  <c r="H128" i="448" s="1"/>
  <c r="G127" i="448"/>
  <c r="H127" i="448" s="1"/>
  <c r="G171" i="448"/>
  <c r="H171" i="448" s="1"/>
  <c r="G167" i="448"/>
  <c r="H167" i="448" s="1"/>
  <c r="G163" i="448"/>
  <c r="H163" i="448" s="1"/>
  <c r="G159" i="448"/>
  <c r="H159" i="448" s="1"/>
  <c r="G155" i="448"/>
  <c r="H155" i="448" s="1"/>
  <c r="G151" i="448"/>
  <c r="H151" i="448" s="1"/>
  <c r="G147" i="448"/>
  <c r="H147" i="448" s="1"/>
  <c r="G143" i="448"/>
  <c r="H143" i="448" s="1"/>
  <c r="G139" i="448"/>
  <c r="H139" i="448" s="1"/>
  <c r="G135" i="448"/>
  <c r="H135" i="448" s="1"/>
  <c r="G131" i="448"/>
  <c r="H131" i="448" s="1"/>
  <c r="G172" i="448"/>
  <c r="H172" i="448" s="1"/>
  <c r="G168" i="448"/>
  <c r="H168" i="448" s="1"/>
  <c r="T168" i="448" s="1"/>
  <c r="G164" i="448"/>
  <c r="H164" i="448" s="1"/>
  <c r="T164" i="448" s="1"/>
  <c r="G160" i="448"/>
  <c r="H160" i="448" s="1"/>
  <c r="G156" i="448"/>
  <c r="H156" i="448" s="1"/>
  <c r="G152" i="448"/>
  <c r="H152" i="448" s="1"/>
  <c r="T152" i="448" s="1"/>
  <c r="G148" i="448"/>
  <c r="H148" i="448" s="1"/>
  <c r="T148" i="448" s="1"/>
  <c r="G144" i="448"/>
  <c r="H144" i="448" s="1"/>
  <c r="G140" i="448"/>
  <c r="H140" i="448" s="1"/>
  <c r="G136" i="448"/>
  <c r="H136" i="448" s="1"/>
  <c r="T136" i="448" s="1"/>
  <c r="G132" i="448"/>
  <c r="H132" i="448" s="1"/>
  <c r="T132" i="448" s="1"/>
  <c r="G169" i="448"/>
  <c r="H169" i="448" s="1"/>
  <c r="G165" i="448"/>
  <c r="H165" i="448" s="1"/>
  <c r="G161" i="448"/>
  <c r="H161" i="448" s="1"/>
  <c r="T161" i="448" s="1"/>
  <c r="G157" i="448"/>
  <c r="H157" i="448" s="1"/>
  <c r="T157" i="448" s="1"/>
  <c r="G153" i="448"/>
  <c r="H153" i="448" s="1"/>
  <c r="G149" i="448"/>
  <c r="H149" i="448" s="1"/>
  <c r="G145" i="448"/>
  <c r="H145" i="448" s="1"/>
  <c r="T145" i="448" s="1"/>
  <c r="G141" i="448"/>
  <c r="H141" i="448" s="1"/>
  <c r="T141" i="448" s="1"/>
  <c r="G137" i="448"/>
  <c r="H137" i="448" s="1"/>
  <c r="G133" i="448"/>
  <c r="H133" i="448" s="1"/>
  <c r="G125" i="448"/>
  <c r="H125" i="448" s="1"/>
  <c r="T125" i="448" s="1"/>
  <c r="G121" i="448"/>
  <c r="H121" i="448" s="1"/>
  <c r="T121" i="448" s="1"/>
  <c r="G117" i="448"/>
  <c r="H117" i="448" s="1"/>
  <c r="T117" i="448" s="1"/>
  <c r="G126" i="448"/>
  <c r="H126" i="448" s="1"/>
  <c r="G122" i="448"/>
  <c r="H122" i="448" s="1"/>
  <c r="G118" i="448"/>
  <c r="H118" i="448" s="1"/>
  <c r="T118" i="448" s="1"/>
  <c r="G114" i="448"/>
  <c r="H114" i="448" s="1"/>
  <c r="G113" i="448"/>
  <c r="H113" i="448" s="1"/>
  <c r="T113" i="448" s="1"/>
  <c r="G112" i="448"/>
  <c r="H112" i="448" s="1"/>
  <c r="T112" i="448" s="1"/>
  <c r="G111" i="448"/>
  <c r="H111" i="448" s="1"/>
  <c r="T111" i="448" s="1"/>
  <c r="U111" i="448" s="1"/>
  <c r="G110" i="448"/>
  <c r="H110" i="448" s="1"/>
  <c r="T110" i="448" s="1"/>
  <c r="G109" i="448"/>
  <c r="H109" i="448" s="1"/>
  <c r="T109" i="448" s="1"/>
  <c r="G108" i="448"/>
  <c r="H108" i="448" s="1"/>
  <c r="T108" i="448" s="1"/>
  <c r="G107" i="448"/>
  <c r="H107" i="448" s="1"/>
  <c r="T107" i="448" s="1"/>
  <c r="G106" i="448"/>
  <c r="H106" i="448" s="1"/>
  <c r="T106" i="448" s="1"/>
  <c r="G105" i="448"/>
  <c r="H105" i="448" s="1"/>
  <c r="T105" i="448" s="1"/>
  <c r="G104" i="448"/>
  <c r="H104" i="448" s="1"/>
  <c r="T104" i="448" s="1"/>
  <c r="G103" i="448"/>
  <c r="H103" i="448" s="1"/>
  <c r="T103" i="448" s="1"/>
  <c r="G123" i="448"/>
  <c r="H123" i="448" s="1"/>
  <c r="T123" i="448" s="1"/>
  <c r="U123" i="448" s="1"/>
  <c r="G119" i="448"/>
  <c r="H119" i="448" s="1"/>
  <c r="T119" i="448" s="1"/>
  <c r="G115" i="448"/>
  <c r="H115" i="448" s="1"/>
  <c r="T115" i="448" s="1"/>
  <c r="G124" i="448"/>
  <c r="H124" i="448" s="1"/>
  <c r="T124" i="448" s="1"/>
  <c r="G120" i="448"/>
  <c r="H120" i="448" s="1"/>
  <c r="T120" i="448" s="1"/>
  <c r="G116" i="448"/>
  <c r="H116" i="448" s="1"/>
  <c r="U39" i="448"/>
  <c r="U40" i="448"/>
  <c r="U41" i="448"/>
  <c r="U42" i="448"/>
  <c r="U43" i="448"/>
  <c r="U44" i="448"/>
  <c r="U46" i="448"/>
  <c r="U47" i="448"/>
  <c r="U49" i="448"/>
  <c r="U50" i="448"/>
  <c r="U51" i="448"/>
  <c r="U52" i="448"/>
  <c r="U53" i="448"/>
  <c r="G54" i="448"/>
  <c r="H54" i="448" s="1"/>
  <c r="T54" i="448" s="1"/>
  <c r="AG58" i="448"/>
  <c r="T58" i="448"/>
  <c r="G59" i="448"/>
  <c r="H59" i="448" s="1"/>
  <c r="T59" i="448" s="1"/>
  <c r="G60" i="448"/>
  <c r="H60" i="448" s="1"/>
  <c r="T60" i="448" s="1"/>
  <c r="AG63" i="448"/>
  <c r="T63" i="448"/>
  <c r="U63" i="448" s="1"/>
  <c r="G64" i="448"/>
  <c r="H64" i="448" s="1"/>
  <c r="T64" i="448" s="1"/>
  <c r="AG67" i="448"/>
  <c r="T67" i="448"/>
  <c r="G68" i="448"/>
  <c r="H68" i="448" s="1"/>
  <c r="T68" i="448" s="1"/>
  <c r="AG71" i="448"/>
  <c r="T71" i="448"/>
  <c r="U71" i="448"/>
  <c r="G72" i="448"/>
  <c r="H72" i="448" s="1"/>
  <c r="T72" i="448" s="1"/>
  <c r="AG75" i="448"/>
  <c r="T75" i="448"/>
  <c r="AH75" i="448"/>
  <c r="U75" i="448"/>
  <c r="G76" i="448"/>
  <c r="H76" i="448" s="1"/>
  <c r="T76" i="448" s="1"/>
  <c r="AG79" i="448"/>
  <c r="T79" i="448"/>
  <c r="U79" i="448" s="1"/>
  <c r="G80" i="448"/>
  <c r="H80" i="448" s="1"/>
  <c r="T80" i="448" s="1"/>
  <c r="AG83" i="448"/>
  <c r="T83" i="448"/>
  <c r="U83" i="448" s="1"/>
  <c r="G84" i="448"/>
  <c r="H84" i="448" s="1"/>
  <c r="T84" i="448" s="1"/>
  <c r="AG87" i="448"/>
  <c r="T87" i="448"/>
  <c r="G88" i="448"/>
  <c r="H88" i="448" s="1"/>
  <c r="T88" i="448" s="1"/>
  <c r="AG91" i="448"/>
  <c r="T91" i="448"/>
  <c r="AH91" i="448"/>
  <c r="U91" i="448"/>
  <c r="G92" i="448"/>
  <c r="H92" i="448" s="1"/>
  <c r="T92" i="448" s="1"/>
  <c r="AG95" i="448"/>
  <c r="T95" i="448"/>
  <c r="U95" i="448" s="1"/>
  <c r="G96" i="448"/>
  <c r="H96" i="448" s="1"/>
  <c r="T96" i="448" s="1"/>
  <c r="AG99" i="448"/>
  <c r="T99" i="448"/>
  <c r="G100" i="448"/>
  <c r="H100" i="448" s="1"/>
  <c r="T100" i="448" s="1"/>
  <c r="AG104" i="448"/>
  <c r="AG107" i="448"/>
  <c r="U107" i="448"/>
  <c r="AG111" i="448"/>
  <c r="AG116" i="448"/>
  <c r="T116" i="448"/>
  <c r="AG121" i="448"/>
  <c r="U121" i="448"/>
  <c r="U133" i="448"/>
  <c r="AG133" i="448"/>
  <c r="T133" i="448"/>
  <c r="AG138" i="448"/>
  <c r="T138" i="448"/>
  <c r="U138" i="448" s="1"/>
  <c r="AG144" i="448"/>
  <c r="T144" i="448"/>
  <c r="AG149" i="448"/>
  <c r="T149" i="448"/>
  <c r="U149" i="448" s="1"/>
  <c r="AG154" i="448"/>
  <c r="T154" i="448"/>
  <c r="U154" i="448" s="1"/>
  <c r="AG160" i="448"/>
  <c r="T160" i="448"/>
  <c r="AG165" i="448"/>
  <c r="T165" i="448"/>
  <c r="U165" i="448" s="1"/>
  <c r="AG170" i="448"/>
  <c r="T170" i="448"/>
  <c r="U170" i="448" s="1"/>
  <c r="V170" i="448" s="1"/>
  <c r="AG114" i="448"/>
  <c r="T114" i="448"/>
  <c r="AG118" i="448"/>
  <c r="AG122" i="448"/>
  <c r="T122" i="448"/>
  <c r="AG126" i="448"/>
  <c r="T126" i="448"/>
  <c r="AG132" i="448"/>
  <c r="AG137" i="448"/>
  <c r="T137" i="448"/>
  <c r="U137" i="448" s="1"/>
  <c r="U142" i="448"/>
  <c r="AH142" i="448" s="1"/>
  <c r="AG142" i="448"/>
  <c r="T142" i="448"/>
  <c r="AG148" i="448"/>
  <c r="AG153" i="448"/>
  <c r="T153" i="448"/>
  <c r="U153" i="448" s="1"/>
  <c r="AG158" i="448"/>
  <c r="T158" i="448"/>
  <c r="AG164" i="448"/>
  <c r="AG169" i="448"/>
  <c r="T169" i="448"/>
  <c r="U169" i="448" s="1"/>
  <c r="U114" i="448"/>
  <c r="U122" i="448"/>
  <c r="AG130" i="448"/>
  <c r="T130" i="448"/>
  <c r="AG136" i="448"/>
  <c r="AG141" i="448"/>
  <c r="AG146" i="448"/>
  <c r="T146" i="448"/>
  <c r="U146" i="448" s="1"/>
  <c r="AH146" i="448" s="1"/>
  <c r="AG152" i="448"/>
  <c r="AG157" i="448"/>
  <c r="AG162" i="448"/>
  <c r="T162" i="448"/>
  <c r="AG168" i="448"/>
  <c r="AG129" i="448"/>
  <c r="AG134" i="448"/>
  <c r="T134" i="448"/>
  <c r="U134" i="448" s="1"/>
  <c r="AG140" i="448"/>
  <c r="T140" i="448"/>
  <c r="U140" i="448" s="1"/>
  <c r="AG145" i="448"/>
  <c r="AG150" i="448"/>
  <c r="T150" i="448"/>
  <c r="U150" i="448" s="1"/>
  <c r="V150" i="448"/>
  <c r="AG156" i="448"/>
  <c r="T156" i="448"/>
  <c r="AG161" i="448"/>
  <c r="AG166" i="448"/>
  <c r="T166" i="448"/>
  <c r="U166" i="448" s="1"/>
  <c r="T127" i="448"/>
  <c r="U127" i="448" s="1"/>
  <c r="AG127" i="448"/>
  <c r="T128" i="448"/>
  <c r="AG128" i="448"/>
  <c r="AG175" i="448"/>
  <c r="T175" i="448"/>
  <c r="U179" i="448"/>
  <c r="AG179" i="448"/>
  <c r="T179" i="448"/>
  <c r="AG183" i="448"/>
  <c r="T183" i="448"/>
  <c r="AG187" i="448"/>
  <c r="T187" i="448"/>
  <c r="U187" i="448"/>
  <c r="AG192" i="448"/>
  <c r="T192" i="448"/>
  <c r="AG198" i="448"/>
  <c r="T198" i="448"/>
  <c r="AG204" i="448"/>
  <c r="T204" i="448"/>
  <c r="U204" i="448" s="1"/>
  <c r="AH204" i="448" s="1"/>
  <c r="U211" i="448"/>
  <c r="AG211" i="448"/>
  <c r="AH127" i="448"/>
  <c r="AG131" i="448"/>
  <c r="T131" i="448"/>
  <c r="U135" i="448"/>
  <c r="V135" i="448" s="1"/>
  <c r="AG135" i="448"/>
  <c r="T135" i="448"/>
  <c r="AH135" i="448" s="1"/>
  <c r="AG139" i="448"/>
  <c r="T139" i="448"/>
  <c r="AG143" i="448"/>
  <c r="T143" i="448"/>
  <c r="AG147" i="448"/>
  <c r="T147" i="448"/>
  <c r="AG151" i="448"/>
  <c r="T151" i="448"/>
  <c r="U155" i="448"/>
  <c r="AG155" i="448"/>
  <c r="T155" i="448"/>
  <c r="AG159" i="448"/>
  <c r="T159" i="448"/>
  <c r="AG163" i="448"/>
  <c r="T163" i="448"/>
  <c r="AH167" i="448"/>
  <c r="U167" i="448"/>
  <c r="AG167" i="448"/>
  <c r="T167" i="448"/>
  <c r="AG171" i="448"/>
  <c r="T171" i="448"/>
  <c r="U171" i="448" s="1"/>
  <c r="AG174" i="448"/>
  <c r="T174" i="448"/>
  <c r="AG178" i="448"/>
  <c r="AG182" i="448"/>
  <c r="AG186" i="448"/>
  <c r="T186" i="448"/>
  <c r="U186" i="448"/>
  <c r="AG191" i="448"/>
  <c r="T191" i="448"/>
  <c r="AG196" i="448"/>
  <c r="T196" i="448"/>
  <c r="U196" i="448" s="1"/>
  <c r="AG202" i="448"/>
  <c r="T202" i="448"/>
  <c r="U202" i="448"/>
  <c r="AG209" i="448"/>
  <c r="V127" i="448"/>
  <c r="AG173" i="448"/>
  <c r="AG177" i="448"/>
  <c r="T177" i="448"/>
  <c r="AG181" i="448"/>
  <c r="T181" i="448"/>
  <c r="AG185" i="448"/>
  <c r="AG190" i="448"/>
  <c r="T190" i="448"/>
  <c r="AG195" i="448"/>
  <c r="T195" i="448"/>
  <c r="AG200" i="448"/>
  <c r="T200" i="448"/>
  <c r="U200" i="448" s="1"/>
  <c r="AG172" i="448"/>
  <c r="T172" i="448"/>
  <c r="AG176" i="448"/>
  <c r="T176" i="448"/>
  <c r="U180" i="448"/>
  <c r="AG180" i="448"/>
  <c r="T180" i="448"/>
  <c r="AH180" i="448" s="1"/>
  <c r="U184" i="448"/>
  <c r="AG184" i="448"/>
  <c r="T184" i="448"/>
  <c r="AG188" i="448"/>
  <c r="T188" i="448"/>
  <c r="U188" i="448"/>
  <c r="AG194" i="448"/>
  <c r="T194" i="448"/>
  <c r="AG199" i="448"/>
  <c r="AG205" i="448"/>
  <c r="T205" i="448"/>
  <c r="U205" i="448"/>
  <c r="AG224" i="448"/>
  <c r="T224" i="448"/>
  <c r="AG189" i="448"/>
  <c r="AG193" i="448"/>
  <c r="T193" i="448"/>
  <c r="U193" i="448" s="1"/>
  <c r="AG197" i="448"/>
  <c r="T197" i="448"/>
  <c r="AG201" i="448"/>
  <c r="T201" i="448"/>
  <c r="AG206" i="448"/>
  <c r="U208" i="448"/>
  <c r="W208" i="448" s="1"/>
  <c r="AG208" i="448"/>
  <c r="V208" i="448"/>
  <c r="T208" i="448"/>
  <c r="AG212" i="448"/>
  <c r="T212" i="448"/>
  <c r="U223" i="448"/>
  <c r="AG223" i="448"/>
  <c r="T223" i="448"/>
  <c r="U201" i="448"/>
  <c r="AG207" i="448"/>
  <c r="T207" i="448"/>
  <c r="AG213" i="448"/>
  <c r="T213" i="448"/>
  <c r="AG220" i="448"/>
  <c r="T220" i="448"/>
  <c r="U220" i="448" s="1"/>
  <c r="T228" i="448"/>
  <c r="V201" i="448"/>
  <c r="AG210" i="448"/>
  <c r="T210" i="448"/>
  <c r="U210" i="448" s="1"/>
  <c r="U219" i="448"/>
  <c r="V219" i="448" s="1"/>
  <c r="AG219" i="448"/>
  <c r="T219" i="448"/>
  <c r="T227" i="448"/>
  <c r="AH217" i="448"/>
  <c r="U217" i="448"/>
  <c r="AG217" i="448"/>
  <c r="AG218" i="448"/>
  <c r="T218" i="448"/>
  <c r="AG222" i="448"/>
  <c r="T222" i="448"/>
  <c r="U222" i="448" s="1"/>
  <c r="T226" i="448"/>
  <c r="T230" i="448"/>
  <c r="AG240" i="448"/>
  <c r="T240" i="448"/>
  <c r="AG246" i="448"/>
  <c r="T246" i="448"/>
  <c r="AH246" i="448"/>
  <c r="U246" i="448"/>
  <c r="T214" i="448"/>
  <c r="U214" i="448" s="1"/>
  <c r="T215" i="448"/>
  <c r="AG221" i="448"/>
  <c r="T221" i="448"/>
  <c r="U221" i="448" s="1"/>
  <c r="T225" i="448"/>
  <c r="U225" i="448" s="1"/>
  <c r="T229" i="448"/>
  <c r="AG239" i="448"/>
  <c r="T239" i="448"/>
  <c r="AG244" i="448"/>
  <c r="T244" i="448"/>
  <c r="AG251" i="448"/>
  <c r="T251" i="448"/>
  <c r="AG214" i="448"/>
  <c r="AG215" i="448"/>
  <c r="AG216" i="448"/>
  <c r="V217" i="448"/>
  <c r="AG238" i="448"/>
  <c r="T238" i="448"/>
  <c r="U238" i="448"/>
  <c r="AG243" i="448"/>
  <c r="T243" i="448"/>
  <c r="AG249" i="448"/>
  <c r="T249" i="448"/>
  <c r="AG231" i="448"/>
  <c r="T231" i="448"/>
  <c r="U231" i="448" s="1"/>
  <c r="V231" i="448" s="1"/>
  <c r="AG242" i="448"/>
  <c r="T242" i="448"/>
  <c r="U242" i="448" s="1"/>
  <c r="AG247" i="448"/>
  <c r="T247" i="448"/>
  <c r="AG253" i="448"/>
  <c r="T253" i="448"/>
  <c r="AG256" i="448"/>
  <c r="T256" i="448"/>
  <c r="AG264" i="448"/>
  <c r="T264" i="448"/>
  <c r="U264" i="448"/>
  <c r="AG273" i="448"/>
  <c r="T273" i="448"/>
  <c r="T280" i="448"/>
  <c r="AG236" i="448"/>
  <c r="AG255" i="448"/>
  <c r="U255" i="448"/>
  <c r="AH255" i="448" s="1"/>
  <c r="T255" i="448"/>
  <c r="AG261" i="448"/>
  <c r="T261" i="448"/>
  <c r="U261" i="448"/>
  <c r="AG270" i="448"/>
  <c r="T270" i="448"/>
  <c r="T232" i="448"/>
  <c r="AG232" i="448"/>
  <c r="T233" i="448"/>
  <c r="AH233" i="448" s="1"/>
  <c r="AG233" i="448"/>
  <c r="T234" i="448"/>
  <c r="AG234" i="448"/>
  <c r="AG237" i="448"/>
  <c r="T237" i="448"/>
  <c r="AG241" i="448"/>
  <c r="T241" i="448"/>
  <c r="AG245" i="448"/>
  <c r="T245" i="448"/>
  <c r="AG250" i="448"/>
  <c r="T250" i="448"/>
  <c r="AG252" i="448"/>
  <c r="T252" i="448"/>
  <c r="AG254" i="448"/>
  <c r="T254" i="448"/>
  <c r="AG260" i="448"/>
  <c r="T260" i="448"/>
  <c r="U260" i="448"/>
  <c r="AG269" i="448"/>
  <c r="T269" i="448"/>
  <c r="U232" i="448"/>
  <c r="AH232" i="448" s="1"/>
  <c r="U233" i="448"/>
  <c r="U234" i="448"/>
  <c r="U235" i="448"/>
  <c r="U236" i="448"/>
  <c r="U241" i="448"/>
  <c r="AG257" i="448"/>
  <c r="T257" i="448"/>
  <c r="AG266" i="448"/>
  <c r="T266" i="448"/>
  <c r="AG274" i="448"/>
  <c r="T274" i="448"/>
  <c r="U274" i="448"/>
  <c r="V271" i="448"/>
  <c r="U279" i="448"/>
  <c r="AG279" i="448"/>
  <c r="AG283" i="448"/>
  <c r="T283" i="448"/>
  <c r="U283" i="448"/>
  <c r="AG259" i="448"/>
  <c r="T259" i="448"/>
  <c r="AG263" i="448"/>
  <c r="T263" i="448"/>
  <c r="AG268" i="448"/>
  <c r="T268" i="448"/>
  <c r="AG272" i="448"/>
  <c r="T272" i="448"/>
  <c r="AG276" i="448"/>
  <c r="T276" i="448"/>
  <c r="T277" i="448"/>
  <c r="AG258" i="448"/>
  <c r="T258" i="448"/>
  <c r="AG262" i="448"/>
  <c r="T262" i="448"/>
  <c r="U262" i="448" s="1"/>
  <c r="AG267" i="448"/>
  <c r="T267" i="448"/>
  <c r="V267" i="448" s="1"/>
  <c r="AG271" i="448"/>
  <c r="T271" i="448"/>
  <c r="AG275" i="448"/>
  <c r="T275" i="448"/>
  <c r="T281" i="448"/>
  <c r="U281" i="448" s="1"/>
  <c r="T287" i="448"/>
  <c r="AG287" i="448"/>
  <c r="U258" i="448"/>
  <c r="V258" i="448" s="1"/>
  <c r="U267" i="448"/>
  <c r="U271" i="448"/>
  <c r="T279" i="448"/>
  <c r="AH279" i="448"/>
  <c r="AG282" i="448"/>
  <c r="T282" i="448"/>
  <c r="T284" i="448" s="1"/>
  <c r="AG285" i="448"/>
  <c r="T285" i="448"/>
  <c r="T292" i="448"/>
  <c r="AG292" i="448"/>
  <c r="T297" i="448"/>
  <c r="T301" i="448"/>
  <c r="AG294" i="448"/>
  <c r="T294" i="448"/>
  <c r="T299" i="448"/>
  <c r="U278" i="448"/>
  <c r="U288" i="448"/>
  <c r="T289" i="448"/>
  <c r="AG293" i="448"/>
  <c r="U293" i="448"/>
  <c r="U294" i="448"/>
  <c r="AH294" i="448" s="1"/>
  <c r="T296" i="448"/>
  <c r="U296" i="448"/>
  <c r="T300" i="448"/>
  <c r="U300" i="448"/>
  <c r="U286" i="448"/>
  <c r="V286" i="448" s="1"/>
  <c r="V288" i="448"/>
  <c r="AG289" i="448"/>
  <c r="U290" i="448"/>
  <c r="V290" i="448" s="1"/>
  <c r="T298" i="448"/>
  <c r="U298" i="448"/>
  <c r="T302" i="448"/>
  <c r="U302" i="448"/>
  <c r="T304" i="448"/>
  <c r="T306" i="448"/>
  <c r="U306" i="448" s="1"/>
  <c r="AG308" i="448"/>
  <c r="T308" i="448"/>
  <c r="U308" i="448"/>
  <c r="AG310" i="448"/>
  <c r="T310" i="448"/>
  <c r="U310" i="448" s="1"/>
  <c r="AG312" i="448"/>
  <c r="T312" i="448"/>
  <c r="AG314" i="448"/>
  <c r="T314" i="448"/>
  <c r="U314" i="448" s="1"/>
  <c r="AG316" i="448"/>
  <c r="T316" i="448"/>
  <c r="U316" i="448"/>
  <c r="T305" i="448"/>
  <c r="AG309" i="448"/>
  <c r="T309" i="448"/>
  <c r="AG313" i="448"/>
  <c r="T313" i="448"/>
  <c r="AG317" i="448"/>
  <c r="T317" i="448"/>
  <c r="AG318" i="448"/>
  <c r="T318" i="448"/>
  <c r="U318" i="448"/>
  <c r="AH318" i="448" s="1"/>
  <c r="T303" i="448"/>
  <c r="T307" i="448"/>
  <c r="AG311" i="448"/>
  <c r="T311" i="448"/>
  <c r="AG315" i="448"/>
  <c r="T315" i="448"/>
  <c r="V242" i="448" l="1"/>
  <c r="W242" i="448" s="1"/>
  <c r="U98" i="448"/>
  <c r="V98" i="448"/>
  <c r="U82" i="448"/>
  <c r="V82" i="448" s="1"/>
  <c r="W82" i="448" s="1"/>
  <c r="U66" i="448"/>
  <c r="V66" i="448" s="1"/>
  <c r="W66" i="448" s="1"/>
  <c r="V306" i="448"/>
  <c r="AH306" i="448"/>
  <c r="V293" i="448"/>
  <c r="W293" i="448" s="1"/>
  <c r="X293" i="448" s="1"/>
  <c r="U254" i="448"/>
  <c r="AH254" i="448" s="1"/>
  <c r="U244" i="448"/>
  <c r="AH244" i="448" s="1"/>
  <c r="AH200" i="448"/>
  <c r="U156" i="448"/>
  <c r="V156" i="448" s="1"/>
  <c r="U144" i="448"/>
  <c r="AH144" i="448" s="1"/>
  <c r="V44" i="448"/>
  <c r="AH40" i="448"/>
  <c r="V254" i="448"/>
  <c r="W286" i="448"/>
  <c r="U275" i="448"/>
  <c r="V275" i="448" s="1"/>
  <c r="U239" i="448"/>
  <c r="AH239" i="448" s="1"/>
  <c r="AH286" i="448"/>
  <c r="V281" i="448"/>
  <c r="W281" i="448" s="1"/>
  <c r="AH271" i="448"/>
  <c r="W267" i="448"/>
  <c r="X267" i="448" s="1"/>
  <c r="V233" i="448"/>
  <c r="W233" i="448" s="1"/>
  <c r="U198" i="448"/>
  <c r="V198" i="448" s="1"/>
  <c r="W150" i="448"/>
  <c r="V134" i="448"/>
  <c r="V114" i="448"/>
  <c r="W114" i="448" s="1"/>
  <c r="X114" i="448" s="1"/>
  <c r="Y114" i="448" s="1"/>
  <c r="V138" i="448"/>
  <c r="AH71" i="448"/>
  <c r="V101" i="448"/>
  <c r="W101" i="448" s="1"/>
  <c r="V53" i="448"/>
  <c r="AH23" i="448"/>
  <c r="V262" i="448"/>
  <c r="AH32" i="448"/>
  <c r="W288" i="448"/>
  <c r="U287" i="448"/>
  <c r="AH287" i="448" s="1"/>
  <c r="U197" i="448"/>
  <c r="V197" i="448" s="1"/>
  <c r="V154" i="448"/>
  <c r="V49" i="448"/>
  <c r="AH53" i="448"/>
  <c r="U23" i="448"/>
  <c r="J116" i="15"/>
  <c r="J109" i="15"/>
  <c r="J102" i="15"/>
  <c r="V314" i="448"/>
  <c r="W314" i="448" s="1"/>
  <c r="AH314" i="448"/>
  <c r="AH193" i="448"/>
  <c r="U104" i="448"/>
  <c r="AH179" i="448"/>
  <c r="AH140" i="448"/>
  <c r="V153" i="448"/>
  <c r="AH107" i="448"/>
  <c r="U96" i="448"/>
  <c r="U92" i="448"/>
  <c r="AH88" i="448"/>
  <c r="U88" i="448"/>
  <c r="U64" i="448"/>
  <c r="AH64" i="448" s="1"/>
  <c r="U60" i="448"/>
  <c r="V60" i="448" s="1"/>
  <c r="AH60" i="448"/>
  <c r="V42" i="448"/>
  <c r="AH42" i="448"/>
  <c r="U119" i="448"/>
  <c r="AH119" i="448" s="1"/>
  <c r="U105" i="448"/>
  <c r="U102" i="448"/>
  <c r="AH102" i="448" s="1"/>
  <c r="V102" i="448"/>
  <c r="U90" i="448"/>
  <c r="V90" i="448" s="1"/>
  <c r="AH90" i="448"/>
  <c r="U86" i="448"/>
  <c r="AH78" i="448"/>
  <c r="U78" i="448"/>
  <c r="AH33" i="448"/>
  <c r="V33" i="448"/>
  <c r="U311" i="448"/>
  <c r="U268" i="448"/>
  <c r="AH274" i="448"/>
  <c r="AH236" i="448"/>
  <c r="AH234" i="448"/>
  <c r="V236" i="448"/>
  <c r="W236" i="448" s="1"/>
  <c r="X236" i="448" s="1"/>
  <c r="U212" i="448"/>
  <c r="AH212" i="448" s="1"/>
  <c r="V302" i="448"/>
  <c r="V300" i="448"/>
  <c r="AH300" i="448"/>
  <c r="U299" i="448"/>
  <c r="U285" i="448"/>
  <c r="V287" i="448"/>
  <c r="AH283" i="448"/>
  <c r="U272" i="448"/>
  <c r="V272" i="448" s="1"/>
  <c r="W271" i="448"/>
  <c r="U282" i="448"/>
  <c r="U257" i="448"/>
  <c r="AH257" i="448" s="1"/>
  <c r="U250" i="448"/>
  <c r="AH250" i="448" s="1"/>
  <c r="V260" i="448"/>
  <c r="V252" i="448"/>
  <c r="U252" i="448"/>
  <c r="AH241" i="448"/>
  <c r="U237" i="448"/>
  <c r="V237" i="448" s="1"/>
  <c r="U270" i="448"/>
  <c r="AH270" i="448" s="1"/>
  <c r="U256" i="448"/>
  <c r="AH238" i="448"/>
  <c r="V225" i="448"/>
  <c r="W225" i="448"/>
  <c r="AH225" i="448"/>
  <c r="V214" i="448"/>
  <c r="U227" i="448"/>
  <c r="AH219" i="448"/>
  <c r="V210" i="448"/>
  <c r="W210" i="448" s="1"/>
  <c r="AH220" i="448"/>
  <c r="V220" i="448"/>
  <c r="W220" i="448" s="1"/>
  <c r="X220" i="448" s="1"/>
  <c r="Y220" i="448" s="1"/>
  <c r="V188" i="448"/>
  <c r="AH184" i="448"/>
  <c r="V180" i="448"/>
  <c r="V167" i="448"/>
  <c r="W127" i="448"/>
  <c r="AH202" i="448"/>
  <c r="AH196" i="448"/>
  <c r="AH186" i="448"/>
  <c r="AH155" i="448"/>
  <c r="V155" i="448"/>
  <c r="U151" i="448"/>
  <c r="W135" i="448"/>
  <c r="V211" i="448"/>
  <c r="W211" i="448" s="1"/>
  <c r="U192" i="448"/>
  <c r="V187" i="448"/>
  <c r="V179" i="448"/>
  <c r="V166" i="448"/>
  <c r="AH156" i="448"/>
  <c r="AH134" i="448"/>
  <c r="AH122" i="448"/>
  <c r="V146" i="448"/>
  <c r="AH169" i="448"/>
  <c r="AH137" i="448"/>
  <c r="U126" i="448"/>
  <c r="U160" i="448"/>
  <c r="AH133" i="448"/>
  <c r="V133" i="448"/>
  <c r="U116" i="448"/>
  <c r="AH111" i="448"/>
  <c r="V107" i="448"/>
  <c r="U100" i="448"/>
  <c r="U68" i="448"/>
  <c r="U59" i="448"/>
  <c r="V59" i="448"/>
  <c r="U106" i="448"/>
  <c r="V110" i="448"/>
  <c r="U110" i="448"/>
  <c r="AH110" i="448"/>
  <c r="V117" i="448"/>
  <c r="U117" i="448"/>
  <c r="AH117" i="448" s="1"/>
  <c r="U85" i="448"/>
  <c r="AH85" i="448" s="1"/>
  <c r="U69" i="448"/>
  <c r="AH69" i="448"/>
  <c r="V69" i="448"/>
  <c r="V264" i="448"/>
  <c r="U215" i="448"/>
  <c r="AH311" i="448"/>
  <c r="U317" i="448"/>
  <c r="V317" i="448" s="1"/>
  <c r="U309" i="448"/>
  <c r="V310" i="448"/>
  <c r="W310" i="448" s="1"/>
  <c r="W302" i="448"/>
  <c r="U315" i="448"/>
  <c r="U307" i="448"/>
  <c r="V318" i="448"/>
  <c r="W318" i="448" s="1"/>
  <c r="U312" i="448"/>
  <c r="AH310" i="448"/>
  <c r="U304" i="448"/>
  <c r="AH302" i="448"/>
  <c r="AH298" i="448"/>
  <c r="V298" i="448"/>
  <c r="W298" i="448" s="1"/>
  <c r="AH290" i="448"/>
  <c r="AH288" i="448"/>
  <c r="AH299" i="448"/>
  <c r="V294" i="448"/>
  <c r="W294" i="448" s="1"/>
  <c r="X294" i="448" s="1"/>
  <c r="U289" i="448"/>
  <c r="U301" i="448"/>
  <c r="AH301" i="448" s="1"/>
  <c r="U297" i="448"/>
  <c r="U292" i="448"/>
  <c r="U8" i="448" s="1"/>
  <c r="H76" i="15" s="1"/>
  <c r="I53" i="15" s="1"/>
  <c r="C131" i="15" s="1"/>
  <c r="I131" i="15" s="1"/>
  <c r="AH282" i="448"/>
  <c r="V279" i="448"/>
  <c r="X271" i="448"/>
  <c r="V283" i="448"/>
  <c r="W283" i="448" s="1"/>
  <c r="U277" i="448"/>
  <c r="V259" i="448"/>
  <c r="U259" i="448"/>
  <c r="W258" i="448"/>
  <c r="X258" i="448" s="1"/>
  <c r="X281" i="448"/>
  <c r="AH275" i="448"/>
  <c r="AH267" i="448"/>
  <c r="AH262" i="448"/>
  <c r="AH258" i="448"/>
  <c r="V274" i="448"/>
  <c r="V235" i="448"/>
  <c r="AH235" i="448"/>
  <c r="AH260" i="448"/>
  <c r="W254" i="448"/>
  <c r="V261" i="448"/>
  <c r="W261" i="448" s="1"/>
  <c r="AH264" i="448"/>
  <c r="V241" i="448"/>
  <c r="W241" i="448" s="1"/>
  <c r="V232" i="448"/>
  <c r="AH231" i="448"/>
  <c r="W214" i="448"/>
  <c r="U251" i="448"/>
  <c r="AH251" i="448" s="1"/>
  <c r="V239" i="448"/>
  <c r="X225" i="448"/>
  <c r="AH221" i="448"/>
  <c r="V221" i="448"/>
  <c r="AH252" i="448"/>
  <c r="W231" i="448"/>
  <c r="X231" i="448" s="1"/>
  <c r="V222" i="448"/>
  <c r="AH222" i="448"/>
  <c r="U218" i="448"/>
  <c r="V218" i="448" s="1"/>
  <c r="W217" i="448"/>
  <c r="W219" i="448"/>
  <c r="X219" i="448" s="1"/>
  <c r="U213" i="448"/>
  <c r="AH213" i="448" s="1"/>
  <c r="V213" i="448"/>
  <c r="U207" i="448"/>
  <c r="V207" i="448"/>
  <c r="W207" i="448" s="1"/>
  <c r="AH223" i="448"/>
  <c r="V223" i="448"/>
  <c r="V205" i="448"/>
  <c r="U194" i="448"/>
  <c r="W188" i="448"/>
  <c r="X188" i="448"/>
  <c r="V184" i="448"/>
  <c r="V200" i="448"/>
  <c r="U177" i="448"/>
  <c r="V202" i="448"/>
  <c r="V196" i="448"/>
  <c r="V186" i="448"/>
  <c r="W186" i="448"/>
  <c r="AH151" i="448"/>
  <c r="U139" i="448"/>
  <c r="V204" i="448"/>
  <c r="AH192" i="448"/>
  <c r="AH187" i="448"/>
  <c r="U175" i="448"/>
  <c r="X150" i="448"/>
  <c r="Y150" i="448" s="1"/>
  <c r="AH150" i="448"/>
  <c r="V140" i="448"/>
  <c r="W134" i="448"/>
  <c r="U162" i="448"/>
  <c r="W146" i="448"/>
  <c r="V169" i="448"/>
  <c r="U158" i="448"/>
  <c r="V158" i="448" s="1"/>
  <c r="V142" i="448"/>
  <c r="V137" i="448"/>
  <c r="AH114" i="448"/>
  <c r="AH149" i="448"/>
  <c r="V149" i="448"/>
  <c r="AH121" i="448"/>
  <c r="V116" i="448"/>
  <c r="V111" i="448"/>
  <c r="W107" i="448"/>
  <c r="U99" i="448"/>
  <c r="U87" i="448"/>
  <c r="AH87" i="448" s="1"/>
  <c r="AH83" i="448"/>
  <c r="V83" i="448"/>
  <c r="U80" i="448"/>
  <c r="V80" i="448" s="1"/>
  <c r="U76" i="448"/>
  <c r="V76" i="448" s="1"/>
  <c r="U72" i="448"/>
  <c r="V71" i="448"/>
  <c r="U67" i="448"/>
  <c r="U58" i="448"/>
  <c r="AH58" i="448" s="1"/>
  <c r="U124" i="448"/>
  <c r="U103" i="448"/>
  <c r="AH103" i="448" s="1"/>
  <c r="X107" i="448"/>
  <c r="Y107" i="448" s="1"/>
  <c r="Z107" i="448" s="1"/>
  <c r="U118" i="448"/>
  <c r="V121" i="448"/>
  <c r="U141" i="448"/>
  <c r="U157" i="448"/>
  <c r="U132" i="448"/>
  <c r="AH132" i="448" s="1"/>
  <c r="U148" i="448"/>
  <c r="AH148" i="448" s="1"/>
  <c r="V148" i="448"/>
  <c r="U164" i="448"/>
  <c r="AH164" i="448" s="1"/>
  <c r="U129" i="448"/>
  <c r="U173" i="448"/>
  <c r="V173" i="448" s="1"/>
  <c r="U185" i="448"/>
  <c r="AH185" i="448" s="1"/>
  <c r="U199" i="448"/>
  <c r="AH199" i="448" s="1"/>
  <c r="AH211" i="448"/>
  <c r="U97" i="448"/>
  <c r="AH97" i="448" s="1"/>
  <c r="V97" i="448"/>
  <c r="U81" i="448"/>
  <c r="AH81" i="448"/>
  <c r="U65" i="448"/>
  <c r="AH39" i="448"/>
  <c r="AH94" i="448"/>
  <c r="U94" i="448"/>
  <c r="V94" i="448"/>
  <c r="W94" i="448" s="1"/>
  <c r="U74" i="448"/>
  <c r="AH74" i="448" s="1"/>
  <c r="V74" i="448"/>
  <c r="U70" i="448"/>
  <c r="AH70" i="448" s="1"/>
  <c r="U62" i="448"/>
  <c r="V62" i="448" s="1"/>
  <c r="AH52" i="448"/>
  <c r="V52" i="448"/>
  <c r="W52" i="448" s="1"/>
  <c r="X52" i="448" s="1"/>
  <c r="AH47" i="448"/>
  <c r="V47" i="448"/>
  <c r="W47" i="448"/>
  <c r="U303" i="448"/>
  <c r="AH316" i="448"/>
  <c r="AH308" i="448"/>
  <c r="V311" i="448"/>
  <c r="V303" i="448"/>
  <c r="U313" i="448"/>
  <c r="U305" i="448"/>
  <c r="V316" i="448"/>
  <c r="V308" i="448"/>
  <c r="W306" i="448"/>
  <c r="W290" i="448"/>
  <c r="V296" i="448"/>
  <c r="AH296" i="448"/>
  <c r="V301" i="448"/>
  <c r="V297" i="448"/>
  <c r="U276" i="448"/>
  <c r="V276" i="448"/>
  <c r="U263" i="448"/>
  <c r="W262" i="448"/>
  <c r="U266" i="448"/>
  <c r="AH266" i="448"/>
  <c r="U269" i="448"/>
  <c r="W260" i="448"/>
  <c r="V250" i="448"/>
  <c r="W250" i="448" s="1"/>
  <c r="U245" i="448"/>
  <c r="AH245" i="448" s="1"/>
  <c r="AH261" i="448"/>
  <c r="U280" i="448"/>
  <c r="V280" i="448" s="1"/>
  <c r="W264" i="448"/>
  <c r="AH256" i="448"/>
  <c r="U249" i="448"/>
  <c r="U243" i="448"/>
  <c r="AH243" i="448" s="1"/>
  <c r="U240" i="448"/>
  <c r="AH240" i="448" s="1"/>
  <c r="AH218" i="448"/>
  <c r="AH227" i="448"/>
  <c r="V227" i="448"/>
  <c r="AH201" i="448"/>
  <c r="V193" i="448"/>
  <c r="U224" i="448"/>
  <c r="W201" i="448"/>
  <c r="AH195" i="448"/>
  <c r="U195" i="448"/>
  <c r="U190" i="448"/>
  <c r="U181" i="448"/>
  <c r="AH177" i="448"/>
  <c r="U174" i="448"/>
  <c r="AH171" i="448"/>
  <c r="V171" i="448"/>
  <c r="W171" i="448"/>
  <c r="AH139" i="448"/>
  <c r="V139" i="448"/>
  <c r="W139" i="448" s="1"/>
  <c r="AH166" i="448"/>
  <c r="U130" i="448"/>
  <c r="X153" i="448"/>
  <c r="W153" i="448"/>
  <c r="AH153" i="448"/>
  <c r="V122" i="448"/>
  <c r="W122" i="448"/>
  <c r="AH165" i="448"/>
  <c r="V165" i="448"/>
  <c r="U84" i="448"/>
  <c r="AH84" i="448" s="1"/>
  <c r="U54" i="448"/>
  <c r="AH54" i="448" s="1"/>
  <c r="U115" i="448"/>
  <c r="V115" i="448"/>
  <c r="U108" i="448"/>
  <c r="AH108" i="448" s="1"/>
  <c r="U112" i="448"/>
  <c r="U125" i="448"/>
  <c r="U145" i="448"/>
  <c r="V145" i="448" s="1"/>
  <c r="AH145" i="448"/>
  <c r="U161" i="448"/>
  <c r="AH161" i="448" s="1"/>
  <c r="U136" i="448"/>
  <c r="V136" i="448" s="1"/>
  <c r="U152" i="448"/>
  <c r="V152" i="448"/>
  <c r="AH152" i="448"/>
  <c r="U168" i="448"/>
  <c r="V168" i="448" s="1"/>
  <c r="U178" i="448"/>
  <c r="AH178" i="448" s="1"/>
  <c r="V182" i="448"/>
  <c r="U182" i="448"/>
  <c r="U189" i="448"/>
  <c r="V189" i="448" s="1"/>
  <c r="U206" i="448"/>
  <c r="V206" i="448" s="1"/>
  <c r="U209" i="448"/>
  <c r="U93" i="448"/>
  <c r="V93" i="448" s="1"/>
  <c r="U77" i="448"/>
  <c r="V77" i="448" s="1"/>
  <c r="W77" i="448" s="1"/>
  <c r="U61" i="448"/>
  <c r="AH61" i="448" s="1"/>
  <c r="W49" i="448"/>
  <c r="V46" i="448"/>
  <c r="AH46" i="448"/>
  <c r="W46" i="448"/>
  <c r="V51" i="448"/>
  <c r="AH51" i="448"/>
  <c r="U45" i="448"/>
  <c r="AH45" i="448" s="1"/>
  <c r="AH37" i="448"/>
  <c r="V37" i="448"/>
  <c r="X286" i="448"/>
  <c r="X290" i="448"/>
  <c r="U109" i="448"/>
  <c r="V109" i="448" s="1"/>
  <c r="W109" i="448" s="1"/>
  <c r="X109" i="448" s="1"/>
  <c r="AH89" i="448"/>
  <c r="AH73" i="448"/>
  <c r="U120" i="448"/>
  <c r="AH120" i="448" s="1"/>
  <c r="V91" i="448"/>
  <c r="V75" i="448"/>
  <c r="V50" i="448"/>
  <c r="V41" i="448"/>
  <c r="U36" i="448"/>
  <c r="W36" i="448" s="1"/>
  <c r="V35" i="448"/>
  <c r="AH35" i="448"/>
  <c r="AH98" i="448"/>
  <c r="AH82" i="448"/>
  <c r="AH66" i="448"/>
  <c r="U25" i="448"/>
  <c r="AH123" i="448"/>
  <c r="V95" i="448"/>
  <c r="W95" i="448" s="1"/>
  <c r="V79" i="448"/>
  <c r="V63" i="448"/>
  <c r="AH57" i="448"/>
  <c r="U31" i="448"/>
  <c r="V31" i="448" s="1"/>
  <c r="U27" i="448"/>
  <c r="AH27" i="448" s="1"/>
  <c r="AH50" i="448"/>
  <c r="W232" i="448"/>
  <c r="V253" i="448"/>
  <c r="U253" i="448"/>
  <c r="V234" i="448"/>
  <c r="AH242" i="448"/>
  <c r="U229" i="448"/>
  <c r="U230" i="448"/>
  <c r="X214" i="448"/>
  <c r="AH214" i="448"/>
  <c r="U228" i="448"/>
  <c r="U176" i="448"/>
  <c r="V176" i="448"/>
  <c r="U191" i="448"/>
  <c r="AH191" i="448" s="1"/>
  <c r="U163" i="448"/>
  <c r="U147" i="448"/>
  <c r="U131" i="448"/>
  <c r="X127" i="448"/>
  <c r="W170" i="448"/>
  <c r="AH170" i="448"/>
  <c r="W154" i="448"/>
  <c r="AH154" i="448"/>
  <c r="W138" i="448"/>
  <c r="AH138" i="448"/>
  <c r="AH95" i="448"/>
  <c r="W91" i="448"/>
  <c r="AH79" i="448"/>
  <c r="W75" i="448"/>
  <c r="AH63" i="448"/>
  <c r="U3" i="448"/>
  <c r="H68" i="15" s="1"/>
  <c r="AH278" i="448"/>
  <c r="V278" i="448"/>
  <c r="X288" i="448"/>
  <c r="AH293" i="448"/>
  <c r="V89" i="448"/>
  <c r="W89" i="448" s="1"/>
  <c r="V73" i="448"/>
  <c r="X49" i="448"/>
  <c r="AH101" i="448"/>
  <c r="W50" i="448"/>
  <c r="X50" i="448" s="1"/>
  <c r="V43" i="448"/>
  <c r="V39" i="448"/>
  <c r="U38" i="448"/>
  <c r="U34" i="448"/>
  <c r="U30" i="448"/>
  <c r="V29" i="448"/>
  <c r="AH29" i="448"/>
  <c r="AH41" i="448"/>
  <c r="V20" i="448"/>
  <c r="W20" i="448"/>
  <c r="U21" i="448"/>
  <c r="AH49" i="448"/>
  <c r="AH44" i="448"/>
  <c r="AH43" i="448"/>
  <c r="U22" i="448"/>
  <c r="V22" i="448" s="1"/>
  <c r="V255" i="448"/>
  <c r="U273" i="448"/>
  <c r="AH273" i="448" s="1"/>
  <c r="U247" i="448"/>
  <c r="AH247" i="448" s="1"/>
  <c r="V238" i="448"/>
  <c r="V244" i="448"/>
  <c r="V246" i="448"/>
  <c r="U226" i="448"/>
  <c r="V226" i="448" s="1"/>
  <c r="U216" i="448"/>
  <c r="AH216" i="448" s="1"/>
  <c r="X210" i="448"/>
  <c r="AH210" i="448"/>
  <c r="X208" i="448"/>
  <c r="AH208" i="448"/>
  <c r="AH205" i="448"/>
  <c r="AH188" i="448"/>
  <c r="U172" i="448"/>
  <c r="AH172" i="448" s="1"/>
  <c r="U159" i="448"/>
  <c r="U143" i="448"/>
  <c r="AH198" i="448"/>
  <c r="U183" i="448"/>
  <c r="U128" i="448"/>
  <c r="W79" i="448"/>
  <c r="W63" i="448"/>
  <c r="V123" i="448"/>
  <c r="U56" i="448"/>
  <c r="W44" i="448"/>
  <c r="X44" i="448" s="1"/>
  <c r="W41" i="448"/>
  <c r="X41" i="448" s="1"/>
  <c r="U113" i="448"/>
  <c r="V113" i="448" s="1"/>
  <c r="W113" i="448" s="1"/>
  <c r="AH109" i="448"/>
  <c r="W53" i="448"/>
  <c r="V40" i="448"/>
  <c r="V57" i="448"/>
  <c r="V36" i="448"/>
  <c r="W35" i="448"/>
  <c r="V32" i="448"/>
  <c r="W98" i="448"/>
  <c r="U28" i="448"/>
  <c r="V24" i="448"/>
  <c r="U24" i="448"/>
  <c r="X20" i="448"/>
  <c r="AH20" i="448"/>
  <c r="AH25" i="448"/>
  <c r="U26" i="448"/>
  <c r="V23" i="448"/>
  <c r="W156" i="448" l="1"/>
  <c r="X156" i="448"/>
  <c r="X101" i="448"/>
  <c r="Z267" i="448"/>
  <c r="Y267" i="448"/>
  <c r="W275" i="448"/>
  <c r="X275" i="448" s="1"/>
  <c r="V103" i="448"/>
  <c r="V64" i="448"/>
  <c r="V120" i="448"/>
  <c r="X35" i="448"/>
  <c r="V161" i="448"/>
  <c r="V125" i="448"/>
  <c r="W125" i="448" s="1"/>
  <c r="X125" i="448" s="1"/>
  <c r="Y125" i="448" s="1"/>
  <c r="V108" i="448"/>
  <c r="X47" i="448"/>
  <c r="AH62" i="448"/>
  <c r="W71" i="448"/>
  <c r="X71" i="448" s="1"/>
  <c r="V212" i="448"/>
  <c r="W212" i="448" s="1"/>
  <c r="V119" i="448"/>
  <c r="W197" i="448"/>
  <c r="X197" i="448" s="1"/>
  <c r="W198" i="448"/>
  <c r="AH77" i="448"/>
  <c r="AH125" i="448"/>
  <c r="X217" i="448"/>
  <c r="Y217" i="448" s="1"/>
  <c r="V292" i="448"/>
  <c r="X233" i="448"/>
  <c r="X89" i="448"/>
  <c r="Y89" i="448" s="1"/>
  <c r="W202" i="448"/>
  <c r="X202" i="448" s="1"/>
  <c r="J131" i="15"/>
  <c r="I129" i="15"/>
  <c r="AH197" i="448"/>
  <c r="V144" i="448"/>
  <c r="X242" i="448"/>
  <c r="K116" i="15"/>
  <c r="K109" i="15"/>
  <c r="K102" i="15"/>
  <c r="X77" i="448"/>
  <c r="X250" i="448"/>
  <c r="W31" i="448"/>
  <c r="V26" i="448"/>
  <c r="U4" i="448"/>
  <c r="H69" i="15" s="1"/>
  <c r="AH56" i="448"/>
  <c r="AH24" i="448"/>
  <c r="W24" i="448"/>
  <c r="W40" i="448"/>
  <c r="X113" i="448"/>
  <c r="Y113" i="448" s="1"/>
  <c r="AH128" i="448"/>
  <c r="V159" i="448"/>
  <c r="AH22" i="448"/>
  <c r="W22" i="448"/>
  <c r="Y20" i="448"/>
  <c r="X66" i="448"/>
  <c r="W32" i="448"/>
  <c r="AH113" i="448"/>
  <c r="X40" i="448"/>
  <c r="W123" i="448"/>
  <c r="AH143" i="448"/>
  <c r="W176" i="448"/>
  <c r="X176" i="448" s="1"/>
  <c r="AH176" i="448"/>
  <c r="V229" i="448"/>
  <c r="AH229" i="448"/>
  <c r="W253" i="448"/>
  <c r="AH253" i="448"/>
  <c r="W234" i="448"/>
  <c r="V27" i="448"/>
  <c r="X91" i="448"/>
  <c r="Y91" i="448" s="1"/>
  <c r="W120" i="448"/>
  <c r="W51" i="448"/>
  <c r="X46" i="448"/>
  <c r="V61" i="448"/>
  <c r="AH93" i="448"/>
  <c r="X123" i="448"/>
  <c r="W152" i="448"/>
  <c r="X152" i="448" s="1"/>
  <c r="W108" i="448"/>
  <c r="W39" i="448"/>
  <c r="X39" i="448" s="1"/>
  <c r="V84" i="448"/>
  <c r="W165" i="448"/>
  <c r="X165" i="448" s="1"/>
  <c r="Y153" i="448"/>
  <c r="AH190" i="448"/>
  <c r="V195" i="448"/>
  <c r="V172" i="448"/>
  <c r="X201" i="448"/>
  <c r="W227" i="448"/>
  <c r="AH249" i="448"/>
  <c r="AH269" i="448"/>
  <c r="V266" i="448"/>
  <c r="X262" i="448"/>
  <c r="AH276" i="448"/>
  <c r="W296" i="448"/>
  <c r="W308" i="448"/>
  <c r="V305" i="448"/>
  <c r="AH305" i="448"/>
  <c r="W311" i="448"/>
  <c r="Y52" i="448"/>
  <c r="W74" i="448"/>
  <c r="X94" i="448"/>
  <c r="AH65" i="448"/>
  <c r="W97" i="448"/>
  <c r="AH129" i="448"/>
  <c r="V129" i="448"/>
  <c r="W129" i="448" s="1"/>
  <c r="AH157" i="448"/>
  <c r="V157" i="448"/>
  <c r="AH28" i="448"/>
  <c r="V183" i="448"/>
  <c r="Z208" i="448"/>
  <c r="Y208" i="448"/>
  <c r="W238" i="448"/>
  <c r="X238" i="448"/>
  <c r="V247" i="448"/>
  <c r="V273" i="448"/>
  <c r="W273" i="448" s="1"/>
  <c r="AH21" i="448"/>
  <c r="V21" i="448"/>
  <c r="W21" i="448"/>
  <c r="Z20" i="448"/>
  <c r="AH34" i="448"/>
  <c r="V34" i="448"/>
  <c r="W34" i="448"/>
  <c r="W43" i="448"/>
  <c r="W73" i="448"/>
  <c r="X170" i="448"/>
  <c r="V163" i="448"/>
  <c r="W163" i="448" s="1"/>
  <c r="AH163" i="448"/>
  <c r="W26" i="448"/>
  <c r="X63" i="448"/>
  <c r="U2" i="448"/>
  <c r="Y35" i="448"/>
  <c r="X51" i="448"/>
  <c r="Y49" i="448"/>
  <c r="W93" i="448"/>
  <c r="V209" i="448"/>
  <c r="W209" i="448" s="1"/>
  <c r="W206" i="448"/>
  <c r="X206" i="448" s="1"/>
  <c r="W189" i="448"/>
  <c r="X189" i="448" s="1"/>
  <c r="AH168" i="448"/>
  <c r="W136" i="448"/>
  <c r="AH224" i="448"/>
  <c r="V224" i="448"/>
  <c r="W224" i="448" s="1"/>
  <c r="AH280" i="448"/>
  <c r="Y250" i="448"/>
  <c r="AH263" i="448"/>
  <c r="X306" i="448"/>
  <c r="Y306" i="448" s="1"/>
  <c r="Y47" i="448"/>
  <c r="V70" i="448"/>
  <c r="V164" i="448"/>
  <c r="AH72" i="448"/>
  <c r="V72" i="448"/>
  <c r="AA107" i="448"/>
  <c r="Z220" i="448"/>
  <c r="V128" i="448"/>
  <c r="W128" i="448"/>
  <c r="V28" i="448"/>
  <c r="W28" i="448" s="1"/>
  <c r="Y44" i="448"/>
  <c r="W172" i="448"/>
  <c r="X172" i="448"/>
  <c r="V216" i="448"/>
  <c r="Y238" i="448"/>
  <c r="X98" i="448"/>
  <c r="AH38" i="448"/>
  <c r="V38" i="448"/>
  <c r="W57" i="448"/>
  <c r="X57" i="448" s="1"/>
  <c r="Y39" i="448"/>
  <c r="Z44" i="448"/>
  <c r="X278" i="448"/>
  <c r="W278" i="448"/>
  <c r="V56" i="448"/>
  <c r="X154" i="448"/>
  <c r="Y154" i="448"/>
  <c r="V147" i="448"/>
  <c r="AH147" i="448"/>
  <c r="AH228" i="448"/>
  <c r="V228" i="448"/>
  <c r="W228" i="448" s="1"/>
  <c r="W29" i="448"/>
  <c r="X79" i="448"/>
  <c r="Y79" i="448"/>
  <c r="Z79" i="448" s="1"/>
  <c r="V25" i="448"/>
  <c r="Y36" i="448"/>
  <c r="X36" i="448"/>
  <c r="AH36" i="448"/>
  <c r="X75" i="448"/>
  <c r="Y75" i="448" s="1"/>
  <c r="Z109" i="448"/>
  <c r="Y109" i="448"/>
  <c r="W37" i="448"/>
  <c r="Y77" i="448"/>
  <c r="Z77" i="448" s="1"/>
  <c r="X93" i="448"/>
  <c r="AH209" i="448"/>
  <c r="AH182" i="448"/>
  <c r="W182" i="448"/>
  <c r="V178" i="448"/>
  <c r="W161" i="448"/>
  <c r="X161" i="448" s="1"/>
  <c r="AH112" i="448"/>
  <c r="V112" i="448"/>
  <c r="W115" i="448"/>
  <c r="X115" i="448" s="1"/>
  <c r="AH115" i="448"/>
  <c r="Y50" i="448"/>
  <c r="V54" i="448"/>
  <c r="V3" i="448" s="1"/>
  <c r="I68" i="15" s="1"/>
  <c r="X122" i="448"/>
  <c r="Z153" i="448"/>
  <c r="AA153" i="448" s="1"/>
  <c r="AB153" i="448" s="1"/>
  <c r="AC153" i="448" s="1"/>
  <c r="V130" i="448"/>
  <c r="AH130" i="448"/>
  <c r="X171" i="448"/>
  <c r="AH181" i="448"/>
  <c r="V181" i="448"/>
  <c r="W193" i="448"/>
  <c r="V240" i="448"/>
  <c r="W240" i="448" s="1"/>
  <c r="V243" i="448"/>
  <c r="W243" i="448"/>
  <c r="X234" i="448"/>
  <c r="W276" i="448"/>
  <c r="U9" i="448"/>
  <c r="H77" i="15" s="1"/>
  <c r="I56" i="15" s="1"/>
  <c r="C138" i="15" s="1"/>
  <c r="I138" i="15" s="1"/>
  <c r="W316" i="448"/>
  <c r="Y288" i="448"/>
  <c r="Z288" i="448" s="1"/>
  <c r="W303" i="448"/>
  <c r="AH303" i="448"/>
  <c r="Y94" i="448"/>
  <c r="V65" i="448"/>
  <c r="V81" i="448"/>
  <c r="V185" i="448"/>
  <c r="W185" i="448" s="1"/>
  <c r="AH118" i="448"/>
  <c r="V118" i="448"/>
  <c r="V143" i="448"/>
  <c r="W143" i="448" s="1"/>
  <c r="AH226" i="448"/>
  <c r="X226" i="448"/>
  <c r="W226" i="448"/>
  <c r="W246" i="448"/>
  <c r="X246" i="448"/>
  <c r="W244" i="448"/>
  <c r="W255" i="448"/>
  <c r="X255" i="448" s="1"/>
  <c r="W23" i="448"/>
  <c r="AH26" i="448"/>
  <c r="X82" i="448"/>
  <c r="AH30" i="448"/>
  <c r="V30" i="448"/>
  <c r="X43" i="448"/>
  <c r="X53" i="448"/>
  <c r="Y293" i="448"/>
  <c r="Z293" i="448"/>
  <c r="AA293" i="448" s="1"/>
  <c r="X138" i="448"/>
  <c r="AH183" i="448"/>
  <c r="V131" i="448"/>
  <c r="AH131" i="448"/>
  <c r="AH159" i="448"/>
  <c r="V191" i="448"/>
  <c r="V230" i="448"/>
  <c r="AH230" i="448"/>
  <c r="Y234" i="448"/>
  <c r="Z234" i="448" s="1"/>
  <c r="X95" i="448"/>
  <c r="Y95" i="448" s="1"/>
  <c r="Z95" i="448" s="1"/>
  <c r="AH31" i="448"/>
  <c r="Y41" i="448"/>
  <c r="Y286" i="448"/>
  <c r="V45" i="448"/>
  <c r="AH206" i="448"/>
  <c r="U5" i="448"/>
  <c r="H70" i="15" s="1"/>
  <c r="I39" i="15" s="1"/>
  <c r="C103" i="15" s="1"/>
  <c r="I103" i="15" s="1"/>
  <c r="AH189" i="448"/>
  <c r="W168" i="448"/>
  <c r="X168" i="448"/>
  <c r="Y168" i="448" s="1"/>
  <c r="AH136" i="448"/>
  <c r="W145" i="448"/>
  <c r="W112" i="448"/>
  <c r="Z39" i="448"/>
  <c r="Y170" i="448"/>
  <c r="AH174" i="448"/>
  <c r="V174" i="448"/>
  <c r="W174" i="448" s="1"/>
  <c r="V190" i="448"/>
  <c r="W190" i="448"/>
  <c r="U6" i="448"/>
  <c r="H71" i="15" s="1"/>
  <c r="I42" i="15" s="1"/>
  <c r="C110" i="15" s="1"/>
  <c r="I110" i="15" s="1"/>
  <c r="V249" i="448"/>
  <c r="W280" i="448"/>
  <c r="V245" i="448"/>
  <c r="V269" i="448"/>
  <c r="W269" i="448" s="1"/>
  <c r="Y236" i="448"/>
  <c r="V263" i="448"/>
  <c r="Y290" i="448"/>
  <c r="V313" i="448"/>
  <c r="W313" i="448" s="1"/>
  <c r="AH313" i="448"/>
  <c r="W132" i="448"/>
  <c r="X132" i="448" s="1"/>
  <c r="V132" i="448"/>
  <c r="X314" i="448"/>
  <c r="W62" i="448"/>
  <c r="V199" i="448"/>
  <c r="W199" i="448"/>
  <c r="W103" i="448"/>
  <c r="AH124" i="448"/>
  <c r="V124" i="448"/>
  <c r="V58" i="448"/>
  <c r="AH76" i="448"/>
  <c r="AH80" i="448"/>
  <c r="Z114" i="448"/>
  <c r="AH162" i="448"/>
  <c r="AH175" i="448"/>
  <c r="W200" i="448"/>
  <c r="AH194" i="448"/>
  <c r="W223" i="448"/>
  <c r="X223" i="448" s="1"/>
  <c r="Y219" i="448"/>
  <c r="Y231" i="448"/>
  <c r="X232" i="448"/>
  <c r="W235" i="448"/>
  <c r="X283" i="448"/>
  <c r="W259" i="448"/>
  <c r="X259" i="448" s="1"/>
  <c r="Y259" i="448" s="1"/>
  <c r="AH259" i="448"/>
  <c r="W297" i="448"/>
  <c r="AH312" i="448"/>
  <c r="V309" i="448"/>
  <c r="AA220" i="448"/>
  <c r="W69" i="448"/>
  <c r="V85" i="448"/>
  <c r="AH68" i="448"/>
  <c r="W111" i="448"/>
  <c r="V160" i="448"/>
  <c r="W155" i="448"/>
  <c r="W167" i="448"/>
  <c r="W184" i="448"/>
  <c r="V194" i="448"/>
  <c r="Y214" i="448"/>
  <c r="Y225" i="448"/>
  <c r="Z225" i="448" s="1"/>
  <c r="AH237" i="448"/>
  <c r="W237" i="448"/>
  <c r="AH272" i="448"/>
  <c r="V289" i="448"/>
  <c r="Y188" i="448"/>
  <c r="X212" i="448"/>
  <c r="W218" i="448"/>
  <c r="V256" i="448"/>
  <c r="V270" i="448"/>
  <c r="V257" i="448"/>
  <c r="V268" i="448"/>
  <c r="V86" i="448"/>
  <c r="W90" i="448"/>
  <c r="W102" i="448"/>
  <c r="W60" i="448"/>
  <c r="W64" i="448"/>
  <c r="AH92" i="448"/>
  <c r="AH96" i="448"/>
  <c r="V162" i="448"/>
  <c r="W166" i="448"/>
  <c r="AH104" i="448"/>
  <c r="X264" i="448"/>
  <c r="AH160" i="448"/>
  <c r="W187" i="448"/>
  <c r="W83" i="448"/>
  <c r="X83" i="448" s="1"/>
  <c r="AA114" i="448"/>
  <c r="W142" i="448"/>
  <c r="AH158" i="448"/>
  <c r="W196" i="448"/>
  <c r="Z219" i="448"/>
  <c r="AA219" i="448" s="1"/>
  <c r="X222" i="448"/>
  <c r="W222" i="448"/>
  <c r="Z231" i="448"/>
  <c r="W279" i="448"/>
  <c r="X279" i="448" s="1"/>
  <c r="Y279" i="448" s="1"/>
  <c r="X318" i="448"/>
  <c r="Z310" i="448"/>
  <c r="AA310" i="448" s="1"/>
  <c r="X310" i="448"/>
  <c r="Y310" i="448" s="1"/>
  <c r="V100" i="448"/>
  <c r="W116" i="448"/>
  <c r="W133" i="448"/>
  <c r="V126" i="448"/>
  <c r="W126" i="448" s="1"/>
  <c r="W137" i="448"/>
  <c r="W169" i="448"/>
  <c r="X134" i="448"/>
  <c r="W194" i="448"/>
  <c r="AB220" i="448"/>
  <c r="X227" i="448"/>
  <c r="W270" i="448"/>
  <c r="X241" i="448"/>
  <c r="W257" i="448"/>
  <c r="U284" i="448"/>
  <c r="U7" i="448" s="1"/>
  <c r="H72" i="15" s="1"/>
  <c r="I45" i="15" s="1"/>
  <c r="C117" i="15" s="1"/>
  <c r="I117" i="15" s="1"/>
  <c r="V282" i="448"/>
  <c r="V285" i="448"/>
  <c r="AH285" i="448"/>
  <c r="X297" i="448"/>
  <c r="V299" i="448"/>
  <c r="V304" i="448"/>
  <c r="W256" i="448"/>
  <c r="W42" i="448"/>
  <c r="AH67" i="448"/>
  <c r="V88" i="448"/>
  <c r="V99" i="448"/>
  <c r="W99" i="448" s="1"/>
  <c r="X99" i="448" s="1"/>
  <c r="W140" i="448"/>
  <c r="V175" i="448"/>
  <c r="W175" i="448"/>
  <c r="V104" i="448"/>
  <c r="W287" i="448"/>
  <c r="X287" i="448" s="1"/>
  <c r="X298" i="448"/>
  <c r="AH173" i="448"/>
  <c r="W173" i="448"/>
  <c r="W148" i="448"/>
  <c r="X148" i="448" s="1"/>
  <c r="AH141" i="448"/>
  <c r="V141" i="448"/>
  <c r="W121" i="448"/>
  <c r="X103" i="448"/>
  <c r="Y103" i="448" s="1"/>
  <c r="Z103" i="448" s="1"/>
  <c r="W76" i="448"/>
  <c r="W80" i="448"/>
  <c r="W149" i="448"/>
  <c r="AB114" i="448"/>
  <c r="Z150" i="448"/>
  <c r="W204" i="448"/>
  <c r="X139" i="448"/>
  <c r="W205" i="448"/>
  <c r="W213" i="448"/>
  <c r="V251" i="448"/>
  <c r="AA231" i="448"/>
  <c r="AB231" i="448" s="1"/>
  <c r="AC231" i="448" s="1"/>
  <c r="Y258" i="448"/>
  <c r="W301" i="448"/>
  <c r="Z294" i="448"/>
  <c r="Y294" i="448"/>
  <c r="AH304" i="448"/>
  <c r="Y318" i="448"/>
  <c r="AH307" i="448"/>
  <c r="V307" i="448"/>
  <c r="W307" i="448" s="1"/>
  <c r="W85" i="448"/>
  <c r="X85" i="448" s="1"/>
  <c r="W110" i="448"/>
  <c r="AH106" i="448"/>
  <c r="V106" i="448"/>
  <c r="W59" i="448"/>
  <c r="AH100" i="448"/>
  <c r="X111" i="448"/>
  <c r="AH116" i="448"/>
  <c r="X137" i="448"/>
  <c r="W158" i="448"/>
  <c r="X158" i="448" s="1"/>
  <c r="X169" i="448"/>
  <c r="Y134" i="448"/>
  <c r="Y156" i="448"/>
  <c r="Z156" i="448" s="1"/>
  <c r="X211" i="448"/>
  <c r="Y127" i="448"/>
  <c r="V151" i="448"/>
  <c r="AC220" i="448"/>
  <c r="Y210" i="448"/>
  <c r="Y283" i="448"/>
  <c r="Z283" i="448" s="1"/>
  <c r="Y271" i="448"/>
  <c r="Z271" i="448"/>
  <c r="AA271" i="448" s="1"/>
  <c r="AH297" i="448"/>
  <c r="V312" i="448"/>
  <c r="X218" i="448"/>
  <c r="V215" i="448"/>
  <c r="X270" i="448"/>
  <c r="X257" i="448"/>
  <c r="AH268" i="448"/>
  <c r="X102" i="448"/>
  <c r="V87" i="448"/>
  <c r="X175" i="448"/>
  <c r="W179" i="448"/>
  <c r="Y227" i="448"/>
  <c r="X260" i="448"/>
  <c r="X261" i="448"/>
  <c r="Y261" i="448" s="1"/>
  <c r="Z261" i="448" s="1"/>
  <c r="W124" i="448"/>
  <c r="X142" i="448"/>
  <c r="X207" i="448"/>
  <c r="Y207" i="448"/>
  <c r="AH207" i="448"/>
  <c r="Z207" i="448"/>
  <c r="W239" i="448"/>
  <c r="W221" i="448"/>
  <c r="Y281" i="448"/>
  <c r="Z281" i="448" s="1"/>
  <c r="AH277" i="448"/>
  <c r="V277" i="448"/>
  <c r="AH315" i="448"/>
  <c r="V315" i="448"/>
  <c r="W315" i="448" s="1"/>
  <c r="AH309" i="448"/>
  <c r="W317" i="448"/>
  <c r="AH317" i="448"/>
  <c r="V177" i="448"/>
  <c r="V8" i="448"/>
  <c r="I76" i="15" s="1"/>
  <c r="J53" i="15" s="1"/>
  <c r="C132" i="15" s="1"/>
  <c r="J132" i="15" s="1"/>
  <c r="K132" i="15" s="1"/>
  <c r="L132" i="15" s="1"/>
  <c r="W117" i="448"/>
  <c r="W106" i="448"/>
  <c r="AH59" i="448"/>
  <c r="V68" i="448"/>
  <c r="AH126" i="448"/>
  <c r="Y137" i="448"/>
  <c r="Y169" i="448"/>
  <c r="X146" i="448"/>
  <c r="Z134" i="448"/>
  <c r="X187" i="448"/>
  <c r="Y187" i="448" s="1"/>
  <c r="V192" i="448"/>
  <c r="W192" i="448" s="1"/>
  <c r="X135" i="448"/>
  <c r="X196" i="448"/>
  <c r="W180" i="448"/>
  <c r="AH215" i="448"/>
  <c r="W252" i="448"/>
  <c r="X252" i="448" s="1"/>
  <c r="Z250" i="448"/>
  <c r="W274" i="448"/>
  <c r="W272" i="448"/>
  <c r="X272" i="448" s="1"/>
  <c r="AH292" i="448"/>
  <c r="AH289" i="448"/>
  <c r="W300" i="448"/>
  <c r="X302" i="448"/>
  <c r="Y218" i="448"/>
  <c r="W33" i="448"/>
  <c r="V78" i="448"/>
  <c r="AH86" i="448"/>
  <c r="X90" i="448"/>
  <c r="AH105" i="448"/>
  <c r="V105" i="448"/>
  <c r="W105" i="448" s="1"/>
  <c r="W119" i="448"/>
  <c r="V67" i="448"/>
  <c r="W67" i="448" s="1"/>
  <c r="W87" i="448"/>
  <c r="X87" i="448" s="1"/>
  <c r="V92" i="448"/>
  <c r="W92" i="448" s="1"/>
  <c r="V96" i="448"/>
  <c r="W96" i="448" s="1"/>
  <c r="AH99" i="448"/>
  <c r="AB107" i="448"/>
  <c r="Y175" i="448"/>
  <c r="W104" i="448"/>
  <c r="X254" i="448"/>
  <c r="X186" i="448"/>
  <c r="Y202" i="448" l="1"/>
  <c r="Z202" i="448" s="1"/>
  <c r="AA202" i="448" s="1"/>
  <c r="AB202" i="448" s="1"/>
  <c r="Z89" i="448"/>
  <c r="AA89" i="448"/>
  <c r="AB89" i="448" s="1"/>
  <c r="Z168" i="448"/>
  <c r="X143" i="448"/>
  <c r="AA39" i="448"/>
  <c r="Y172" i="448"/>
  <c r="K131" i="15"/>
  <c r="J129" i="15"/>
  <c r="Y233" i="448"/>
  <c r="Z217" i="448"/>
  <c r="AB217" i="448" s="1"/>
  <c r="AC217" i="448" s="1"/>
  <c r="AD217" i="448" s="1"/>
  <c r="AF217" i="448" s="1"/>
  <c r="Y101" i="448"/>
  <c r="AA207" i="448"/>
  <c r="Z137" i="448"/>
  <c r="X269" i="448"/>
  <c r="J110" i="15"/>
  <c r="I108" i="15"/>
  <c r="X144" i="448"/>
  <c r="W144" i="448"/>
  <c r="Y275" i="448"/>
  <c r="J117" i="15"/>
  <c r="I115" i="15"/>
  <c r="X256" i="448"/>
  <c r="Y132" i="448"/>
  <c r="AC107" i="448"/>
  <c r="AD107" i="448" s="1"/>
  <c r="AF107" i="448" s="1"/>
  <c r="X163" i="448"/>
  <c r="Y51" i="448"/>
  <c r="AA250" i="448"/>
  <c r="W292" i="448"/>
  <c r="X292" i="448"/>
  <c r="X8" i="448" s="1"/>
  <c r="K76" i="15" s="1"/>
  <c r="L53" i="15" s="1"/>
  <c r="X198" i="448"/>
  <c r="Y242" i="448"/>
  <c r="Z175" i="448"/>
  <c r="AD220" i="448"/>
  <c r="AF220" i="448" s="1"/>
  <c r="AB39" i="448"/>
  <c r="I101" i="15"/>
  <c r="J103" i="15"/>
  <c r="AA95" i="448"/>
  <c r="AB95" i="448" s="1"/>
  <c r="Y246" i="448"/>
  <c r="J138" i="15"/>
  <c r="I136" i="15"/>
  <c r="Z172" i="448"/>
  <c r="AA172" i="448" s="1"/>
  <c r="AB172" i="448" s="1"/>
  <c r="AC172" i="448" s="1"/>
  <c r="AD172" i="448" s="1"/>
  <c r="AF172" i="448" s="1"/>
  <c r="X34" i="448"/>
  <c r="Y34" i="448" s="1"/>
  <c r="AA217" i="448"/>
  <c r="Y197" i="448"/>
  <c r="Z197" i="448" s="1"/>
  <c r="AA197" i="448"/>
  <c r="AB197" i="448" s="1"/>
  <c r="Y71" i="448"/>
  <c r="AA267" i="448"/>
  <c r="AB267" i="448" s="1"/>
  <c r="AC267" i="448" s="1"/>
  <c r="L109" i="15"/>
  <c r="L116" i="15"/>
  <c r="L102" i="15"/>
  <c r="Y158" i="448"/>
  <c r="Y269" i="448"/>
  <c r="Z91" i="448"/>
  <c r="AA91" i="448" s="1"/>
  <c r="AB219" i="448"/>
  <c r="Y189" i="448"/>
  <c r="Y163" i="448"/>
  <c r="Z163" i="448" s="1"/>
  <c r="X273" i="448"/>
  <c r="AD153" i="448"/>
  <c r="AF153" i="448" s="1"/>
  <c r="AA283" i="448"/>
  <c r="AB283" i="448" s="1"/>
  <c r="AA103" i="448"/>
  <c r="AC95" i="448"/>
  <c r="Z75" i="448"/>
  <c r="Z206" i="448"/>
  <c r="Y206" i="448"/>
  <c r="AA163" i="448"/>
  <c r="AD231" i="448"/>
  <c r="AF231" i="448" s="1"/>
  <c r="Y83" i="448"/>
  <c r="Z83" i="448" s="1"/>
  <c r="Y302" i="448"/>
  <c r="AB250" i="448"/>
  <c r="Y99" i="448"/>
  <c r="Z279" i="448"/>
  <c r="AA279" i="448" s="1"/>
  <c r="W312" i="448"/>
  <c r="Y211" i="448"/>
  <c r="X317" i="448"/>
  <c r="AA294" i="448"/>
  <c r="AB294" i="448" s="1"/>
  <c r="AC294" i="448" s="1"/>
  <c r="Z258" i="448"/>
  <c r="AA258" i="448" s="1"/>
  <c r="AB258" i="448" s="1"/>
  <c r="AC258" i="448" s="1"/>
  <c r="AD258" i="448" s="1"/>
  <c r="AF258" i="448" s="1"/>
  <c r="X205" i="448"/>
  <c r="Z158" i="448"/>
  <c r="AC114" i="448"/>
  <c r="AD114" i="448" s="1"/>
  <c r="AF114" i="448" s="1"/>
  <c r="X76" i="448"/>
  <c r="X92" i="448"/>
  <c r="X33" i="448"/>
  <c r="X312" i="448"/>
  <c r="W282" i="448"/>
  <c r="Z318" i="448"/>
  <c r="AA137" i="448"/>
  <c r="Y92" i="448"/>
  <c r="Y90" i="448"/>
  <c r="Y135" i="448"/>
  <c r="Y146" i="448"/>
  <c r="X59" i="448"/>
  <c r="X69" i="448"/>
  <c r="X184" i="448"/>
  <c r="AA175" i="448"/>
  <c r="AB175" i="448" s="1"/>
  <c r="Y142" i="448"/>
  <c r="Z142" i="448" s="1"/>
  <c r="Y212" i="448"/>
  <c r="X274" i="448"/>
  <c r="Y186" i="448"/>
  <c r="Y111" i="448"/>
  <c r="Z132" i="448"/>
  <c r="AA132" i="448" s="1"/>
  <c r="X313" i="448"/>
  <c r="X280" i="448"/>
  <c r="V6" i="448"/>
  <c r="I71" i="15" s="1"/>
  <c r="X174" i="448"/>
  <c r="X145" i="448"/>
  <c r="Z286" i="448"/>
  <c r="AA286" i="448" s="1"/>
  <c r="AA234" i="448"/>
  <c r="AB234" i="448" s="1"/>
  <c r="W230" i="448"/>
  <c r="AA246" i="448"/>
  <c r="Z246" i="448"/>
  <c r="X60" i="448"/>
  <c r="Z236" i="448"/>
  <c r="W118" i="448"/>
  <c r="X121" i="448"/>
  <c r="X303" i="448"/>
  <c r="Y303" i="448"/>
  <c r="AC250" i="448"/>
  <c r="AD250" i="448" s="1"/>
  <c r="AF250" i="448" s="1"/>
  <c r="X243" i="448"/>
  <c r="X240" i="448"/>
  <c r="Z36" i="448"/>
  <c r="Z154" i="448"/>
  <c r="AA288" i="448"/>
  <c r="Y98" i="448"/>
  <c r="W216" i="448"/>
  <c r="Y256" i="448"/>
  <c r="AA261" i="448"/>
  <c r="AB261" i="448" s="1"/>
  <c r="W72" i="448"/>
  <c r="W81" i="448"/>
  <c r="W65" i="448"/>
  <c r="X65" i="448" s="1"/>
  <c r="W245" i="448"/>
  <c r="X190" i="448"/>
  <c r="Y93" i="448"/>
  <c r="Z49" i="448"/>
  <c r="Y63" i="448"/>
  <c r="AB163" i="448"/>
  <c r="AC163" i="448" s="1"/>
  <c r="AD163" i="448" s="1"/>
  <c r="AF163" i="448" s="1"/>
  <c r="X73" i="448"/>
  <c r="X28" i="448"/>
  <c r="X116" i="448"/>
  <c r="W157" i="448"/>
  <c r="X311" i="448"/>
  <c r="X316" i="448"/>
  <c r="X296" i="448"/>
  <c r="Y297" i="448"/>
  <c r="Z297" i="448" s="1"/>
  <c r="Y262" i="448"/>
  <c r="Z262" i="448" s="1"/>
  <c r="Y280" i="448"/>
  <c r="Z227" i="448"/>
  <c r="AA227" i="448" s="1"/>
  <c r="X193" i="448"/>
  <c r="Y193" i="448" s="1"/>
  <c r="Y171" i="448"/>
  <c r="Y165" i="448"/>
  <c r="Z165" i="448" s="1"/>
  <c r="W84" i="448"/>
  <c r="X84" i="448" s="1"/>
  <c r="Z50" i="448"/>
  <c r="W27" i="448"/>
  <c r="X253" i="448"/>
  <c r="Y253" i="448"/>
  <c r="Y176" i="448"/>
  <c r="AA79" i="448"/>
  <c r="AB79" i="448" s="1"/>
  <c r="AC79" i="448" s="1"/>
  <c r="AD79" i="448" s="1"/>
  <c r="AF79" i="448" s="1"/>
  <c r="V2" i="448"/>
  <c r="Y255" i="448"/>
  <c r="Z255" i="448" s="1"/>
  <c r="AA255" i="448" s="1"/>
  <c r="AB255" i="448" s="1"/>
  <c r="Z113" i="448"/>
  <c r="X24" i="448"/>
  <c r="Z52" i="448"/>
  <c r="AA109" i="448"/>
  <c r="X31" i="448"/>
  <c r="Z41" i="448"/>
  <c r="AA41" i="448" s="1"/>
  <c r="Y82" i="448"/>
  <c r="Z82" i="448" s="1"/>
  <c r="X108" i="448"/>
  <c r="AB293" i="448"/>
  <c r="AC293" i="448" s="1"/>
  <c r="X244" i="448"/>
  <c r="Z135" i="448"/>
  <c r="X315" i="448"/>
  <c r="W277" i="448"/>
  <c r="AA281" i="448"/>
  <c r="X239" i="448"/>
  <c r="Z210" i="448"/>
  <c r="X307" i="448"/>
  <c r="W251" i="448"/>
  <c r="X251" i="448" s="1"/>
  <c r="V5" i="448"/>
  <c r="I70" i="15" s="1"/>
  <c r="J39" i="15" s="1"/>
  <c r="C104" i="15" s="1"/>
  <c r="J104" i="15" s="1"/>
  <c r="K104" i="15" s="1"/>
  <c r="L104" i="15" s="1"/>
  <c r="X124" i="448"/>
  <c r="Y124" i="448" s="1"/>
  <c r="Y121" i="448"/>
  <c r="Z121" i="448" s="1"/>
  <c r="Y148" i="448"/>
  <c r="AA158" i="448"/>
  <c r="AB158" i="448" s="1"/>
  <c r="X96" i="448"/>
  <c r="Y96" i="448" s="1"/>
  <c r="Z92" i="448"/>
  <c r="Z218" i="448"/>
  <c r="W299" i="448"/>
  <c r="Y252" i="448"/>
  <c r="Z252" i="448" s="1"/>
  <c r="Z146" i="448"/>
  <c r="X126" i="448"/>
  <c r="X67" i="448"/>
  <c r="W304" i="448"/>
  <c r="Z111" i="448"/>
  <c r="AA111" i="448" s="1"/>
  <c r="W78" i="448"/>
  <c r="W268" i="448"/>
  <c r="Z270" i="448"/>
  <c r="Y270" i="448"/>
  <c r="AA270" i="448"/>
  <c r="AB270" i="448" s="1"/>
  <c r="AC270" i="448" s="1"/>
  <c r="X301" i="448"/>
  <c r="X167" i="448"/>
  <c r="Y167" i="448" s="1"/>
  <c r="X140" i="448"/>
  <c r="X110" i="448"/>
  <c r="Y110" i="448" s="1"/>
  <c r="Z110" i="448" s="1"/>
  <c r="AB310" i="448"/>
  <c r="AA297" i="448"/>
  <c r="X235" i="448"/>
  <c r="Y232" i="448"/>
  <c r="Z232" i="448" s="1"/>
  <c r="AA232" i="448" s="1"/>
  <c r="AB232" i="448" s="1"/>
  <c r="AB207" i="448"/>
  <c r="AC207" i="448" s="1"/>
  <c r="AD207" i="448" s="1"/>
  <c r="AF207" i="448" s="1"/>
  <c r="X200" i="448"/>
  <c r="Z186" i="448"/>
  <c r="AB137" i="448"/>
  <c r="AC137" i="448" s="1"/>
  <c r="AD137" i="448" s="1"/>
  <c r="AF137" i="448" s="1"/>
  <c r="Y314" i="448"/>
  <c r="Z214" i="448"/>
  <c r="AA214" i="448" s="1"/>
  <c r="Y76" i="448"/>
  <c r="Z290" i="448"/>
  <c r="W249" i="448"/>
  <c r="W131" i="448"/>
  <c r="X23" i="448"/>
  <c r="AB246" i="448"/>
  <c r="AC246" i="448" s="1"/>
  <c r="Y226" i="448"/>
  <c r="Y143" i="448"/>
  <c r="Z143" i="448" s="1"/>
  <c r="AA143" i="448" s="1"/>
  <c r="Y59" i="448"/>
  <c r="AA150" i="448"/>
  <c r="X81" i="448"/>
  <c r="Y316" i="448"/>
  <c r="Z316" i="448" s="1"/>
  <c r="W181" i="448"/>
  <c r="Z171" i="448"/>
  <c r="AA171" i="448" s="1"/>
  <c r="AB171" i="448" s="1"/>
  <c r="AC171" i="448" s="1"/>
  <c r="W54" i="448"/>
  <c r="W3" i="448" s="1"/>
  <c r="J68" i="15" s="1"/>
  <c r="X112" i="448"/>
  <c r="Y161" i="448"/>
  <c r="Z161" i="448" s="1"/>
  <c r="W45" i="448"/>
  <c r="X45" i="448" s="1"/>
  <c r="AB109" i="448"/>
  <c r="AC109" i="448" s="1"/>
  <c r="AD109" i="448" s="1"/>
  <c r="AF109" i="448" s="1"/>
  <c r="X228" i="448"/>
  <c r="W147" i="448"/>
  <c r="AA154" i="448"/>
  <c r="V4" i="448"/>
  <c r="I69" i="15" s="1"/>
  <c r="AA44" i="448"/>
  <c r="AA236" i="448"/>
  <c r="AB236" i="448" s="1"/>
  <c r="AC236" i="448" s="1"/>
  <c r="AD236" i="448" s="1"/>
  <c r="AF236" i="448" s="1"/>
  <c r="AA225" i="448"/>
  <c r="Z187" i="448"/>
  <c r="Y196" i="448"/>
  <c r="X164" i="448"/>
  <c r="W164" i="448"/>
  <c r="X224" i="448"/>
  <c r="X136" i="448"/>
  <c r="X209" i="448"/>
  <c r="Y209" i="448" s="1"/>
  <c r="Z98" i="448"/>
  <c r="Y43" i="448"/>
  <c r="Z43" i="448" s="1"/>
  <c r="AA43" i="448" s="1"/>
  <c r="Z34" i="448"/>
  <c r="X247" i="448"/>
  <c r="W247" i="448"/>
  <c r="W183" i="448"/>
  <c r="Y28" i="448"/>
  <c r="AA92" i="448"/>
  <c r="AC219" i="448"/>
  <c r="AD219" i="448" s="1"/>
  <c r="AF219" i="448" s="1"/>
  <c r="X157" i="448"/>
  <c r="X129" i="448"/>
  <c r="Y311" i="448"/>
  <c r="W266" i="448"/>
  <c r="Y260" i="448"/>
  <c r="Y201" i="448"/>
  <c r="Y152" i="448"/>
  <c r="Z152" i="448" s="1"/>
  <c r="AA77" i="448"/>
  <c r="Z51" i="448"/>
  <c r="AA51" i="448" s="1"/>
  <c r="X37" i="448"/>
  <c r="Y120" i="448"/>
  <c r="X120" i="448"/>
  <c r="Y123" i="448"/>
  <c r="Z123" i="448" s="1"/>
  <c r="Y66" i="448"/>
  <c r="Y40" i="448"/>
  <c r="Z40" i="448" s="1"/>
  <c r="AA168" i="448"/>
  <c r="AD95" i="448"/>
  <c r="AF95" i="448" s="1"/>
  <c r="Z94" i="448"/>
  <c r="AA94" i="448" s="1"/>
  <c r="AC89" i="448"/>
  <c r="AD89" i="448" s="1"/>
  <c r="AF89" i="448" s="1"/>
  <c r="W38" i="448"/>
  <c r="X128" i="448"/>
  <c r="AA20" i="448"/>
  <c r="AA210" i="448"/>
  <c r="AB210" i="448" s="1"/>
  <c r="Y254" i="448"/>
  <c r="Z254" i="448" s="1"/>
  <c r="AA254" i="448" s="1"/>
  <c r="Y33" i="448"/>
  <c r="Z33" i="448" s="1"/>
  <c r="AA33" i="448" s="1"/>
  <c r="X300" i="448"/>
  <c r="Y300" i="448" s="1"/>
  <c r="X192" i="448"/>
  <c r="X117" i="448"/>
  <c r="W141" i="448"/>
  <c r="AB92" i="448"/>
  <c r="AC92" i="448" s="1"/>
  <c r="Y87" i="448"/>
  <c r="Z87" i="448" s="1"/>
  <c r="Y102" i="448"/>
  <c r="Y287" i="448"/>
  <c r="X166" i="448"/>
  <c r="Y166" i="448" s="1"/>
  <c r="X119" i="448"/>
  <c r="Z102" i="448"/>
  <c r="AA102" i="448" s="1"/>
  <c r="AB102" i="448" s="1"/>
  <c r="AC102" i="448" s="1"/>
  <c r="AD102" i="448" s="1"/>
  <c r="AF102" i="448" s="1"/>
  <c r="W86" i="448"/>
  <c r="Y272" i="448"/>
  <c r="X237" i="448"/>
  <c r="Y237" i="448"/>
  <c r="X194" i="448"/>
  <c r="X180" i="448"/>
  <c r="X155" i="448"/>
  <c r="AA187" i="448"/>
  <c r="AA134" i="448"/>
  <c r="AB134" i="448" s="1"/>
  <c r="AC134" i="448" s="1"/>
  <c r="AD134" i="448" s="1"/>
  <c r="AF134" i="448" s="1"/>
  <c r="W100" i="448"/>
  <c r="AC310" i="448"/>
  <c r="AD310" i="448" s="1"/>
  <c r="AF310" i="448" s="1"/>
  <c r="X199" i="448"/>
  <c r="Z90" i="448"/>
  <c r="AA90" i="448" s="1"/>
  <c r="X304" i="448"/>
  <c r="AA156" i="448"/>
  <c r="AB156" i="448" s="1"/>
  <c r="AC156" i="448" s="1"/>
  <c r="AD156" i="448" s="1"/>
  <c r="AF156" i="448" s="1"/>
  <c r="Y174" i="448"/>
  <c r="W191" i="448"/>
  <c r="X191" i="448" s="1"/>
  <c r="Y244" i="448"/>
  <c r="Z244" i="448" s="1"/>
  <c r="AB288" i="448"/>
  <c r="AC288" i="448" s="1"/>
  <c r="AD288" i="448" s="1"/>
  <c r="AF288" i="448" s="1"/>
  <c r="W130" i="448"/>
  <c r="X130" i="448" s="1"/>
  <c r="AA36" i="448"/>
  <c r="W25" i="448"/>
  <c r="Y228" i="448"/>
  <c r="Z228" i="448" s="1"/>
  <c r="Y278" i="448"/>
  <c r="Y57" i="448"/>
  <c r="Y23" i="448"/>
  <c r="Y312" i="448"/>
  <c r="Y81" i="448"/>
  <c r="Z47" i="448"/>
  <c r="Z306" i="448"/>
  <c r="Y264" i="448"/>
  <c r="Z238" i="448"/>
  <c r="Z35" i="448"/>
  <c r="H67" i="15"/>
  <c r="U13" i="448"/>
  <c r="Z247" i="448"/>
  <c r="Y247" i="448"/>
  <c r="AA208" i="448"/>
  <c r="Y53" i="448"/>
  <c r="Z53" i="448" s="1"/>
  <c r="Z28" i="448"/>
  <c r="Z212" i="448"/>
  <c r="AA212" i="448" s="1"/>
  <c r="W309" i="448"/>
  <c r="X309" i="448" s="1"/>
  <c r="Z188" i="448"/>
  <c r="W70" i="448"/>
  <c r="W305" i="448"/>
  <c r="V9" i="448"/>
  <c r="I77" i="15" s="1"/>
  <c r="J56" i="15" s="1"/>
  <c r="C139" i="15" s="1"/>
  <c r="J139" i="15" s="1"/>
  <c r="K139" i="15" s="1"/>
  <c r="L139" i="15" s="1"/>
  <c r="AC210" i="448"/>
  <c r="AD210" i="448" s="1"/>
  <c r="AF210" i="448" s="1"/>
  <c r="W195" i="448"/>
  <c r="Y115" i="448"/>
  <c r="Y112" i="448"/>
  <c r="Z112" i="448" s="1"/>
  <c r="W229" i="448"/>
  <c r="X185" i="448"/>
  <c r="X62" i="448"/>
  <c r="Y46" i="448"/>
  <c r="Z170" i="448"/>
  <c r="AC39" i="448"/>
  <c r="AD39" i="448" s="1"/>
  <c r="AF39" i="448" s="1"/>
  <c r="X97" i="448"/>
  <c r="X182" i="448"/>
  <c r="W68" i="448"/>
  <c r="AB281" i="448"/>
  <c r="AC281" i="448" s="1"/>
  <c r="X221" i="448"/>
  <c r="AB271" i="448"/>
  <c r="AC271" i="448" s="1"/>
  <c r="AD271" i="448" s="1"/>
  <c r="AF271" i="448" s="1"/>
  <c r="W151" i="448"/>
  <c r="Z211" i="448"/>
  <c r="AA211" i="448" s="1"/>
  <c r="X106" i="448"/>
  <c r="Y221" i="448"/>
  <c r="Z221" i="448" s="1"/>
  <c r="X213" i="448"/>
  <c r="X149" i="448"/>
  <c r="X80" i="448"/>
  <c r="Y80" i="448" s="1"/>
  <c r="X104" i="448"/>
  <c r="Y104" i="448" s="1"/>
  <c r="X42" i="448"/>
  <c r="X105" i="448"/>
  <c r="W215" i="448"/>
  <c r="X299" i="448"/>
  <c r="Y299" i="448" s="1"/>
  <c r="Z287" i="448"/>
  <c r="V284" i="448"/>
  <c r="V7" i="448" s="1"/>
  <c r="I72" i="15" s="1"/>
  <c r="X282" i="448"/>
  <c r="X284" i="448" s="1"/>
  <c r="X133" i="448"/>
  <c r="Y241" i="448"/>
  <c r="W88" i="448"/>
  <c r="Y60" i="448"/>
  <c r="Y257" i="448"/>
  <c r="Z257" i="448" s="1"/>
  <c r="Z256" i="448"/>
  <c r="AA256" i="448" s="1"/>
  <c r="AB256" i="448" s="1"/>
  <c r="AC256" i="448" s="1"/>
  <c r="AA218" i="448"/>
  <c r="W289" i="448"/>
  <c r="AD267" i="448"/>
  <c r="AF267" i="448" s="1"/>
  <c r="Z260" i="448"/>
  <c r="AA260" i="448" s="1"/>
  <c r="AB225" i="448"/>
  <c r="Z127" i="448"/>
  <c r="X179" i="448"/>
  <c r="Y179" i="448" s="1"/>
  <c r="W162" i="448"/>
  <c r="X160" i="448"/>
  <c r="W160" i="448"/>
  <c r="Y160" i="448" s="1"/>
  <c r="X100" i="448"/>
  <c r="Y85" i="448"/>
  <c r="Z85" i="448" s="1"/>
  <c r="AA85" i="448" s="1"/>
  <c r="Y298" i="448"/>
  <c r="X277" i="448"/>
  <c r="AA259" i="448"/>
  <c r="Z259" i="448"/>
  <c r="Y223" i="448"/>
  <c r="X204" i="448"/>
  <c r="Z169" i="448"/>
  <c r="AA169" i="448" s="1"/>
  <c r="W58" i="448"/>
  <c r="AB103" i="448"/>
  <c r="AC103" i="448" s="1"/>
  <c r="AD103" i="448" s="1"/>
  <c r="AF103" i="448" s="1"/>
  <c r="X141" i="448"/>
  <c r="Z269" i="448"/>
  <c r="Y145" i="448"/>
  <c r="X230" i="448"/>
  <c r="Y230" i="448" s="1"/>
  <c r="Y138" i="448"/>
  <c r="W30" i="448"/>
  <c r="Y222" i="448"/>
  <c r="Y62" i="448"/>
  <c r="Z62" i="448" s="1"/>
  <c r="Y139" i="448"/>
  <c r="Z139" i="448" s="1"/>
  <c r="AA139" i="448" s="1"/>
  <c r="Z115" i="448"/>
  <c r="Y37" i="448"/>
  <c r="X29" i="448"/>
  <c r="Y29" i="448" s="1"/>
  <c r="X64" i="448"/>
  <c r="Y64" i="448" s="1"/>
  <c r="W285" i="448"/>
  <c r="X173" i="448"/>
  <c r="W263" i="448"/>
  <c r="X263" i="448" s="1"/>
  <c r="Y263" i="448" s="1"/>
  <c r="W178" i="448"/>
  <c r="W56" i="448"/>
  <c r="X26" i="448"/>
  <c r="Y26" i="448" s="1"/>
  <c r="AA28" i="448"/>
  <c r="AB28" i="448"/>
  <c r="W177" i="448"/>
  <c r="Y129" i="448"/>
  <c r="Z81" i="448"/>
  <c r="X308" i="448"/>
  <c r="AB297" i="448"/>
  <c r="AC297" i="448" s="1"/>
  <c r="X276" i="448"/>
  <c r="Y240" i="448"/>
  <c r="Y122" i="448"/>
  <c r="Z122" i="448" s="1"/>
  <c r="W61" i="448"/>
  <c r="Z37" i="448"/>
  <c r="AA37" i="448" s="1"/>
  <c r="AB37" i="448" s="1"/>
  <c r="AA50" i="448"/>
  <c r="X229" i="448"/>
  <c r="Y229" i="448" s="1"/>
  <c r="X22" i="448"/>
  <c r="W159" i="448"/>
  <c r="X74" i="448"/>
  <c r="Z125" i="448"/>
  <c r="AB36" i="448"/>
  <c r="AC36" i="448" s="1"/>
  <c r="X21" i="448"/>
  <c r="Y21" i="448" s="1"/>
  <c r="X32" i="448"/>
  <c r="Z96" i="448" l="1"/>
  <c r="AB96" i="448" s="1"/>
  <c r="AA96" i="448"/>
  <c r="Z160" i="448"/>
  <c r="AA160" i="448" s="1"/>
  <c r="Z129" i="448"/>
  <c r="AA129" i="448" s="1"/>
  <c r="Y304" i="448"/>
  <c r="AC28" i="448"/>
  <c r="AD28" i="448" s="1"/>
  <c r="AF28" i="448" s="1"/>
  <c r="AB154" i="448"/>
  <c r="AC154" i="448" s="1"/>
  <c r="AD154" i="448" s="1"/>
  <c r="AF154" i="448" s="1"/>
  <c r="Z71" i="448"/>
  <c r="Y292" i="448"/>
  <c r="Y144" i="448"/>
  <c r="AC197" i="448"/>
  <c r="AD197" i="448" s="1"/>
  <c r="AF197" i="448" s="1"/>
  <c r="AA287" i="448"/>
  <c r="Z23" i="448"/>
  <c r="C134" i="15"/>
  <c r="L134" i="15" s="1"/>
  <c r="J45" i="15"/>
  <c r="C118" i="15" s="1"/>
  <c r="J118" i="15" s="1"/>
  <c r="K118" i="15" s="1"/>
  <c r="L118" i="15" s="1"/>
  <c r="L131" i="15"/>
  <c r="Z223" i="448"/>
  <c r="AA223" i="448" s="1"/>
  <c r="AB223" i="448" s="1"/>
  <c r="AA115" i="448"/>
  <c r="Y130" i="448"/>
  <c r="Z130" i="448" s="1"/>
  <c r="AA130" i="448" s="1"/>
  <c r="Z240" i="448"/>
  <c r="AA240" i="448" s="1"/>
  <c r="Z303" i="448"/>
  <c r="K103" i="15"/>
  <c r="J101" i="15"/>
  <c r="Y198" i="448"/>
  <c r="W8" i="448"/>
  <c r="J76" i="15" s="1"/>
  <c r="K53" i="15" s="1"/>
  <c r="C133" i="15" s="1"/>
  <c r="K133" i="15" s="1"/>
  <c r="L133" i="15" s="1"/>
  <c r="K117" i="15"/>
  <c r="J115" i="15"/>
  <c r="J42" i="15"/>
  <c r="C111" i="15" s="1"/>
  <c r="J111" i="15" s="1"/>
  <c r="K111" i="15" s="1"/>
  <c r="L111" i="15" s="1"/>
  <c r="Z233" i="448"/>
  <c r="AA233" i="448" s="1"/>
  <c r="Z242" i="448"/>
  <c r="AA242" i="448" s="1"/>
  <c r="AB242" i="448" s="1"/>
  <c r="X151" i="448"/>
  <c r="Y151" i="448" s="1"/>
  <c r="AA228" i="448"/>
  <c r="Y164" i="448"/>
  <c r="AD270" i="448"/>
  <c r="AF270" i="448" s="1"/>
  <c r="AC146" i="448"/>
  <c r="AD146" i="448" s="1"/>
  <c r="AF146" i="448" s="1"/>
  <c r="AA146" i="448"/>
  <c r="AB146" i="448" s="1"/>
  <c r="Z76" i="448"/>
  <c r="AA76" i="448" s="1"/>
  <c r="J136" i="15"/>
  <c r="K138" i="15"/>
  <c r="Z275" i="448"/>
  <c r="AA275" i="448" s="1"/>
  <c r="K110" i="15"/>
  <c r="J108" i="15"/>
  <c r="AC242" i="448"/>
  <c r="Z101" i="448"/>
  <c r="AA101" i="448" s="1"/>
  <c r="AB33" i="448"/>
  <c r="AC33" i="448" s="1"/>
  <c r="AD33" i="448" s="1"/>
  <c r="AF33" i="448" s="1"/>
  <c r="Z300" i="448"/>
  <c r="AA300" i="448" s="1"/>
  <c r="AC202" i="448"/>
  <c r="AD202" i="448" s="1"/>
  <c r="AF202" i="448" s="1"/>
  <c r="AA303" i="448"/>
  <c r="AB303" i="448" s="1"/>
  <c r="AD234" i="448"/>
  <c r="AF234" i="448" s="1"/>
  <c r="AC234" i="448"/>
  <c r="AB111" i="448"/>
  <c r="AC111" i="448" s="1"/>
  <c r="AA142" i="448"/>
  <c r="AB142" i="448" s="1"/>
  <c r="AC142" i="448" s="1"/>
  <c r="AD142" i="448" s="1"/>
  <c r="AF142" i="448" s="1"/>
  <c r="AB91" i="448"/>
  <c r="AC91" i="448" s="1"/>
  <c r="AD91" i="448" s="1"/>
  <c r="AF91" i="448" s="1"/>
  <c r="AB85" i="448"/>
  <c r="AA152" i="448"/>
  <c r="Z167" i="448"/>
  <c r="AA121" i="448"/>
  <c r="AD281" i="448"/>
  <c r="AF281" i="448" s="1"/>
  <c r="AA244" i="448"/>
  <c r="AB286" i="448"/>
  <c r="AC286" i="448" s="1"/>
  <c r="AD286" i="448" s="1"/>
  <c r="AF286" i="448" s="1"/>
  <c r="AC85" i="448"/>
  <c r="Z209" i="448"/>
  <c r="AA252" i="448"/>
  <c r="Z124" i="448"/>
  <c r="AA124" i="448" s="1"/>
  <c r="AB124" i="448"/>
  <c r="AC124" i="448" s="1"/>
  <c r="AD124" i="448" s="1"/>
  <c r="AF124" i="448" s="1"/>
  <c r="AD171" i="448"/>
  <c r="AF171" i="448" s="1"/>
  <c r="AA316" i="448"/>
  <c r="AB316" i="448" s="1"/>
  <c r="AC316" i="448" s="1"/>
  <c r="AD316" i="448" s="1"/>
  <c r="AF316" i="448" s="1"/>
  <c r="AB279" i="448"/>
  <c r="AC283" i="448"/>
  <c r="AD283" i="448" s="1"/>
  <c r="AF283" i="448" s="1"/>
  <c r="AA112" i="448"/>
  <c r="AB112" i="448"/>
  <c r="AC112" i="448" s="1"/>
  <c r="AD112" i="448" s="1"/>
  <c r="AF112" i="448" s="1"/>
  <c r="AA161" i="448"/>
  <c r="Z299" i="448"/>
  <c r="AA299" i="448" s="1"/>
  <c r="Z193" i="448"/>
  <c r="AA193" i="448"/>
  <c r="AB262" i="448"/>
  <c r="AC262" i="448" s="1"/>
  <c r="AD262" i="448" s="1"/>
  <c r="AF262" i="448" s="1"/>
  <c r="AA262" i="448"/>
  <c r="AD36" i="448"/>
  <c r="AF36" i="448" s="1"/>
  <c r="AB132" i="448"/>
  <c r="AC132" i="448" s="1"/>
  <c r="AD132" i="448" s="1"/>
  <c r="AF132" i="448" s="1"/>
  <c r="AB90" i="448"/>
  <c r="AC158" i="448"/>
  <c r="AC125" i="448"/>
  <c r="AD125" i="448" s="1"/>
  <c r="AF125" i="448" s="1"/>
  <c r="AA125" i="448"/>
  <c r="AB125" i="448" s="1"/>
  <c r="Z26" i="448"/>
  <c r="W4" i="448"/>
  <c r="J69" i="15" s="1"/>
  <c r="Z29" i="448"/>
  <c r="Y204" i="448"/>
  <c r="AB160" i="448"/>
  <c r="AC160" i="448" s="1"/>
  <c r="AD160" i="448" s="1"/>
  <c r="AF160" i="448" s="1"/>
  <c r="X162" i="448"/>
  <c r="AA257" i="448"/>
  <c r="AB257" i="448" s="1"/>
  <c r="AC257" i="448" s="1"/>
  <c r="AD257" i="448" s="1"/>
  <c r="AF257" i="448" s="1"/>
  <c r="Z241" i="448"/>
  <c r="Y106" i="448"/>
  <c r="Z106" i="448" s="1"/>
  <c r="AA106" i="448" s="1"/>
  <c r="AB106" i="448" s="1"/>
  <c r="AC106" i="448" s="1"/>
  <c r="AD106" i="448" s="1"/>
  <c r="AF106" i="448" s="1"/>
  <c r="AB50" i="448"/>
  <c r="AC50" i="448" s="1"/>
  <c r="AD50" i="448" s="1"/>
  <c r="AF50" i="448" s="1"/>
  <c r="Z46" i="448"/>
  <c r="AA269" i="448"/>
  <c r="Y100" i="448"/>
  <c r="Y155" i="448"/>
  <c r="AB169" i="448"/>
  <c r="AC169" i="448" s="1"/>
  <c r="AD169" i="448" s="1"/>
  <c r="AF169" i="448" s="1"/>
  <c r="AB287" i="448"/>
  <c r="AC287" i="448" s="1"/>
  <c r="AD287" i="448" s="1"/>
  <c r="AF287" i="448" s="1"/>
  <c r="Y149" i="448"/>
  <c r="Y213" i="448"/>
  <c r="AA26" i="448"/>
  <c r="AB26" i="448" s="1"/>
  <c r="AA123" i="448"/>
  <c r="Z201" i="448"/>
  <c r="AA201" i="448" s="1"/>
  <c r="AB43" i="448"/>
  <c r="X54" i="448"/>
  <c r="AB244" i="448"/>
  <c r="Z174" i="448"/>
  <c r="AA174" i="448" s="1"/>
  <c r="AB174" i="448" s="1"/>
  <c r="W6" i="448"/>
  <c r="J71" i="15" s="1"/>
  <c r="X249" i="448"/>
  <c r="AA290" i="448"/>
  <c r="AB290" i="448" s="1"/>
  <c r="AB259" i="448"/>
  <c r="AC259" i="448" s="1"/>
  <c r="AD259" i="448" s="1"/>
  <c r="AF259" i="448" s="1"/>
  <c r="Z304" i="448"/>
  <c r="AA304" i="448" s="1"/>
  <c r="Y108" i="448"/>
  <c r="Z108" i="448" s="1"/>
  <c r="AA52" i="448"/>
  <c r="AB52" i="448" s="1"/>
  <c r="AC52" i="448" s="1"/>
  <c r="AA113" i="448"/>
  <c r="AB113" i="448" s="1"/>
  <c r="W9" i="448"/>
  <c r="J77" i="15" s="1"/>
  <c r="AB129" i="448"/>
  <c r="AC129" i="448" s="1"/>
  <c r="X183" i="448"/>
  <c r="Y73" i="448"/>
  <c r="X178" i="448"/>
  <c r="Y190" i="448"/>
  <c r="Z190" i="448" s="1"/>
  <c r="X72" i="448"/>
  <c r="Z59" i="448"/>
  <c r="AA59" i="448" s="1"/>
  <c r="AB59" i="448" s="1"/>
  <c r="AB161" i="448"/>
  <c r="Y243" i="448"/>
  <c r="X118" i="448"/>
  <c r="Z138" i="448"/>
  <c r="AA138" i="448" s="1"/>
  <c r="AB138" i="448" s="1"/>
  <c r="AC138" i="448" s="1"/>
  <c r="AD138" i="448" s="1"/>
  <c r="AF138" i="448" s="1"/>
  <c r="AA82" i="448"/>
  <c r="AB82" i="448" s="1"/>
  <c r="AA186" i="448"/>
  <c r="AB186" i="448" s="1"/>
  <c r="AC186" i="448" s="1"/>
  <c r="Y200" i="448"/>
  <c r="Z200" i="448" s="1"/>
  <c r="Z237" i="448"/>
  <c r="AA87" i="448"/>
  <c r="AB87" i="448" s="1"/>
  <c r="AC87" i="448" s="1"/>
  <c r="AD87" i="448" s="1"/>
  <c r="AF87" i="448" s="1"/>
  <c r="Y192" i="448"/>
  <c r="Z192" i="448" s="1"/>
  <c r="AC90" i="448"/>
  <c r="AD90" i="448" s="1"/>
  <c r="AF90" i="448" s="1"/>
  <c r="Z213" i="448"/>
  <c r="Y317" i="448"/>
  <c r="Z317" i="448" s="1"/>
  <c r="AB260" i="448"/>
  <c r="X78" i="448"/>
  <c r="Y274" i="448"/>
  <c r="AB143" i="448"/>
  <c r="AC143" i="448" s="1"/>
  <c r="AD143" i="448" s="1"/>
  <c r="AF143" i="448" s="1"/>
  <c r="AA83" i="448"/>
  <c r="AB51" i="448"/>
  <c r="AA206" i="448"/>
  <c r="AB206" i="448" s="1"/>
  <c r="AC206" i="448" s="1"/>
  <c r="AA75" i="448"/>
  <c r="AA170" i="448"/>
  <c r="Y273" i="448"/>
  <c r="Z273" i="448" s="1"/>
  <c r="AB44" i="448"/>
  <c r="AC44" i="448" s="1"/>
  <c r="AD44" i="448" s="1"/>
  <c r="AF44" i="448" s="1"/>
  <c r="Z32" i="448"/>
  <c r="Y32" i="448"/>
  <c r="AA122" i="448"/>
  <c r="AB122" i="448" s="1"/>
  <c r="AC122" i="448" s="1"/>
  <c r="X70" i="448"/>
  <c r="AB170" i="448"/>
  <c r="AC170" i="448" s="1"/>
  <c r="AD170" i="448" s="1"/>
  <c r="AF170" i="448" s="1"/>
  <c r="AA35" i="448"/>
  <c r="AB35" i="448" s="1"/>
  <c r="AC35" i="448" s="1"/>
  <c r="AD35" i="448" s="1"/>
  <c r="AF35" i="448" s="1"/>
  <c r="Y178" i="448"/>
  <c r="Z178" i="448" s="1"/>
  <c r="AA47" i="448"/>
  <c r="AB47" i="448" s="1"/>
  <c r="X25" i="448"/>
  <c r="Y25" i="448" s="1"/>
  <c r="Z25" i="448" s="1"/>
  <c r="W2" i="448"/>
  <c r="AA62" i="448"/>
  <c r="AB62" i="448" s="1"/>
  <c r="AC62" i="448" s="1"/>
  <c r="AD62" i="448" s="1"/>
  <c r="AF62" i="448" s="1"/>
  <c r="X30" i="448"/>
  <c r="Y141" i="448"/>
  <c r="Z141" i="448" s="1"/>
  <c r="Z149" i="448"/>
  <c r="AA213" i="448"/>
  <c r="AB213" i="448" s="1"/>
  <c r="AC213" i="448" s="1"/>
  <c r="AD213" i="448" s="1"/>
  <c r="AF213" i="448" s="1"/>
  <c r="AA66" i="448"/>
  <c r="AB66" i="448" s="1"/>
  <c r="Z66" i="448"/>
  <c r="Y308" i="448"/>
  <c r="Z264" i="448"/>
  <c r="AB139" i="448"/>
  <c r="AC139" i="448" s="1"/>
  <c r="AC244" i="448"/>
  <c r="AD244" i="448" s="1"/>
  <c r="AF244" i="448" s="1"/>
  <c r="AB228" i="448"/>
  <c r="AC228" i="448" s="1"/>
  <c r="AD228" i="448" s="1"/>
  <c r="AB77" i="448"/>
  <c r="AC77" i="448" s="1"/>
  <c r="AA23" i="448"/>
  <c r="AB23" i="448" s="1"/>
  <c r="AC23" i="448" s="1"/>
  <c r="AD23" i="448" s="1"/>
  <c r="AF23" i="448" s="1"/>
  <c r="Z230" i="448"/>
  <c r="AA230" i="448" s="1"/>
  <c r="AA110" i="448"/>
  <c r="AB110" i="448" s="1"/>
  <c r="AB187" i="448"/>
  <c r="AC187" i="448" s="1"/>
  <c r="AD187" i="448" s="1"/>
  <c r="AF187" i="448" s="1"/>
  <c r="Y24" i="448"/>
  <c r="I67" i="15"/>
  <c r="V13" i="448"/>
  <c r="AB208" i="448"/>
  <c r="AC208" i="448" s="1"/>
  <c r="AD208" i="448" s="1"/>
  <c r="AF208" i="448" s="1"/>
  <c r="Z63" i="448"/>
  <c r="AA209" i="448"/>
  <c r="Y136" i="448"/>
  <c r="AA98" i="448"/>
  <c r="AB98" i="448" s="1"/>
  <c r="AC98" i="448" s="1"/>
  <c r="AD98" i="448" s="1"/>
  <c r="AF98" i="448" s="1"/>
  <c r="X147" i="448"/>
  <c r="Y147" i="448" s="1"/>
  <c r="Z147" i="448" s="1"/>
  <c r="Z226" i="448"/>
  <c r="AA226" i="448" s="1"/>
  <c r="X131" i="448"/>
  <c r="AB41" i="448"/>
  <c r="AC41" i="448" s="1"/>
  <c r="AD41" i="448" s="1"/>
  <c r="AF41" i="448" s="1"/>
  <c r="AC290" i="448"/>
  <c r="AD290" i="448" s="1"/>
  <c r="AF290" i="448" s="1"/>
  <c r="Y184" i="448"/>
  <c r="Z184" i="448" s="1"/>
  <c r="AC59" i="448"/>
  <c r="AD59" i="448" s="1"/>
  <c r="AF59" i="448" s="1"/>
  <c r="AA135" i="448"/>
  <c r="AC260" i="448"/>
  <c r="AD260" i="448" s="1"/>
  <c r="AF260" i="448" s="1"/>
  <c r="X177" i="448"/>
  <c r="Y42" i="448"/>
  <c r="Z42" i="448" s="1"/>
  <c r="AA42" i="448" s="1"/>
  <c r="AB42" i="448" s="1"/>
  <c r="AC42" i="448" s="1"/>
  <c r="AD42" i="448" s="1"/>
  <c r="AF42" i="448" s="1"/>
  <c r="AD158" i="448"/>
  <c r="AF158" i="448" s="1"/>
  <c r="W284" i="448"/>
  <c r="Y282" i="448"/>
  <c r="Y105" i="448"/>
  <c r="Z105" i="448" s="1"/>
  <c r="AA105" i="448" s="1"/>
  <c r="AB105" i="448" s="1"/>
  <c r="AC105" i="448" s="1"/>
  <c r="AD105" i="448" s="1"/>
  <c r="AF105" i="448" s="1"/>
  <c r="Z312" i="448"/>
  <c r="AA312" i="448" s="1"/>
  <c r="AC279" i="448"/>
  <c r="AA302" i="448"/>
  <c r="AB302" i="448" s="1"/>
  <c r="Z302" i="448"/>
  <c r="Z120" i="448"/>
  <c r="AA318" i="448"/>
  <c r="AB318" i="448" s="1"/>
  <c r="AC318" i="448" s="1"/>
  <c r="AD318" i="448" s="1"/>
  <c r="AF318" i="448" s="1"/>
  <c r="Y117" i="448"/>
  <c r="Z117" i="448" s="1"/>
  <c r="AA117" i="448" s="1"/>
  <c r="AB117" i="448" s="1"/>
  <c r="AC117" i="448" s="1"/>
  <c r="AD117" i="448" s="1"/>
  <c r="AF117" i="448" s="1"/>
  <c r="AA34" i="448"/>
  <c r="Y182" i="448"/>
  <c r="Z182" i="448" s="1"/>
  <c r="AD293" i="448"/>
  <c r="AF293" i="448" s="1"/>
  <c r="X86" i="448"/>
  <c r="Z99" i="448"/>
  <c r="Z189" i="448"/>
  <c r="Y239" i="448"/>
  <c r="Z239" i="448" s="1"/>
  <c r="AA239" i="448" s="1"/>
  <c r="Y224" i="448"/>
  <c r="AA81" i="448"/>
  <c r="AB81" i="448" s="1"/>
  <c r="AC81" i="448" s="1"/>
  <c r="AD81" i="448" s="1"/>
  <c r="AF81" i="448" s="1"/>
  <c r="AC255" i="448"/>
  <c r="AD255" i="448" s="1"/>
  <c r="AF255" i="448" s="1"/>
  <c r="Z21" i="448"/>
  <c r="AA21" i="448" s="1"/>
  <c r="AB21" i="448" s="1"/>
  <c r="Y22" i="448"/>
  <c r="AA29" i="448"/>
  <c r="X285" i="448"/>
  <c r="X58" i="448"/>
  <c r="X289" i="448"/>
  <c r="Y133" i="448"/>
  <c r="Z80" i="448"/>
  <c r="AA80" i="448" s="1"/>
  <c r="X68" i="448"/>
  <c r="Y97" i="448"/>
  <c r="Z97" i="448" s="1"/>
  <c r="AA32" i="448"/>
  <c r="Z229" i="448"/>
  <c r="Y309" i="448"/>
  <c r="AB130" i="448"/>
  <c r="AC130" i="448" s="1"/>
  <c r="AD130" i="448" s="1"/>
  <c r="AF130" i="448" s="1"/>
  <c r="Z204" i="448"/>
  <c r="Z298" i="448"/>
  <c r="AD256" i="448"/>
  <c r="AF256" i="448" s="1"/>
  <c r="Z166" i="448"/>
  <c r="AA149" i="448"/>
  <c r="AB149" i="448" s="1"/>
  <c r="AC149" i="448" s="1"/>
  <c r="AD149" i="448" s="1"/>
  <c r="AF149" i="448" s="1"/>
  <c r="AB254" i="448"/>
  <c r="Y128" i="448"/>
  <c r="Z128" i="448" s="1"/>
  <c r="AB94" i="448"/>
  <c r="AC94" i="448" s="1"/>
  <c r="AD94" i="448" s="1"/>
  <c r="AF94" i="448" s="1"/>
  <c r="AC66" i="448"/>
  <c r="AB123" i="448"/>
  <c r="AC123" i="448" s="1"/>
  <c r="AD123" i="448" s="1"/>
  <c r="AF123" i="448" s="1"/>
  <c r="AA238" i="448"/>
  <c r="AB238" i="448" s="1"/>
  <c r="AC238" i="448" s="1"/>
  <c r="AD238" i="448" s="1"/>
  <c r="AF238" i="448" s="1"/>
  <c r="X38" i="448"/>
  <c r="AB150" i="448"/>
  <c r="AC150" i="448" s="1"/>
  <c r="AD150" i="448" s="1"/>
  <c r="AF150" i="448" s="1"/>
  <c r="AD246" i="448"/>
  <c r="AF246" i="448" s="1"/>
  <c r="AA167" i="448"/>
  <c r="AB214" i="448"/>
  <c r="X268" i="448"/>
  <c r="AD111" i="448"/>
  <c r="AF111" i="448" s="1"/>
  <c r="AB299" i="448"/>
  <c r="AC299" i="448" s="1"/>
  <c r="AD299" i="448" s="1"/>
  <c r="AD139" i="448"/>
  <c r="AF139" i="448" s="1"/>
  <c r="Y315" i="448"/>
  <c r="Y180" i="448"/>
  <c r="Z180" i="448" s="1"/>
  <c r="AB252" i="448"/>
  <c r="Y78" i="448"/>
  <c r="Z78" i="448" s="1"/>
  <c r="AA78" i="448" s="1"/>
  <c r="AB78" i="448" s="1"/>
  <c r="X159" i="448"/>
  <c r="Y159" i="448" s="1"/>
  <c r="Z159" i="448" s="1"/>
  <c r="Z176" i="448"/>
  <c r="Z253" i="448"/>
  <c r="AA253" i="448" s="1"/>
  <c r="X27" i="448"/>
  <c r="Y27" i="448" s="1"/>
  <c r="AC37" i="448"/>
  <c r="AD37" i="448" s="1"/>
  <c r="AF37" i="448" s="1"/>
  <c r="AB152" i="448"/>
  <c r="AC152" i="448" s="1"/>
  <c r="AA165" i="448"/>
  <c r="AB165" i="448" s="1"/>
  <c r="AC165" i="448" s="1"/>
  <c r="AD165" i="448" s="1"/>
  <c r="AF165" i="448" s="1"/>
  <c r="AB227" i="448"/>
  <c r="Y296" i="448"/>
  <c r="Y157" i="448"/>
  <c r="AA49" i="448"/>
  <c r="Y70" i="448"/>
  <c r="Z70" i="448" s="1"/>
  <c r="Z164" i="448"/>
  <c r="AA164" i="448" s="1"/>
  <c r="Z278" i="448"/>
  <c r="Y45" i="448"/>
  <c r="AD122" i="448"/>
  <c r="AF122" i="448" s="1"/>
  <c r="X181" i="448"/>
  <c r="AC303" i="448"/>
  <c r="AD303" i="448" s="1"/>
  <c r="AF303" i="448" s="1"/>
  <c r="AA53" i="448"/>
  <c r="AB53" i="448" s="1"/>
  <c r="AC53" i="448" s="1"/>
  <c r="AB269" i="448"/>
  <c r="AC269" i="448" s="1"/>
  <c r="AD269" i="448" s="1"/>
  <c r="AF269" i="448" s="1"/>
  <c r="Y199" i="448"/>
  <c r="AD297" i="448"/>
  <c r="AF297" i="448" s="1"/>
  <c r="Y69" i="448"/>
  <c r="Z100" i="448"/>
  <c r="Y140" i="448"/>
  <c r="AB218" i="448"/>
  <c r="AC218" i="448" s="1"/>
  <c r="AD218" i="448" s="1"/>
  <c r="AF218" i="448" s="1"/>
  <c r="AD92" i="448"/>
  <c r="AF92" i="448" s="1"/>
  <c r="AB121" i="448"/>
  <c r="Y205" i="448"/>
  <c r="AD294" i="448"/>
  <c r="AF294" i="448" s="1"/>
  <c r="Z179" i="448"/>
  <c r="AA179" i="448" s="1"/>
  <c r="AB179" i="448" s="1"/>
  <c r="AC179" i="448" s="1"/>
  <c r="AD179" i="448" s="1"/>
  <c r="AF179" i="448" s="1"/>
  <c r="Y67" i="448"/>
  <c r="Z67" i="448" s="1"/>
  <c r="AA67" i="448" s="1"/>
  <c r="AB67" i="448" s="1"/>
  <c r="AC67" i="448" s="1"/>
  <c r="AD67" i="448" s="1"/>
  <c r="AF67" i="448" s="1"/>
  <c r="AC175" i="448"/>
  <c r="AB75" i="448"/>
  <c r="AC75" i="448" s="1"/>
  <c r="Y185" i="448"/>
  <c r="Z185" i="448" s="1"/>
  <c r="X245" i="448"/>
  <c r="Z148" i="448"/>
  <c r="Y307" i="448"/>
  <c r="Y31" i="448"/>
  <c r="Z57" i="448"/>
  <c r="AA57" i="448" s="1"/>
  <c r="AB57" i="448" s="1"/>
  <c r="AC57" i="448" s="1"/>
  <c r="AD57" i="448" s="1"/>
  <c r="AF57" i="448" s="1"/>
  <c r="AB115" i="448"/>
  <c r="AC115" i="448" s="1"/>
  <c r="AD115" i="448" s="1"/>
  <c r="AF115" i="448" s="1"/>
  <c r="Y251" i="448"/>
  <c r="Z251" i="448" s="1"/>
  <c r="AA251" i="448" s="1"/>
  <c r="AB251" i="448" s="1"/>
  <c r="AA306" i="448"/>
  <c r="AB306" i="448" s="1"/>
  <c r="AB168" i="448"/>
  <c r="AC168" i="448" s="1"/>
  <c r="AD168" i="448" s="1"/>
  <c r="AF168" i="448" s="1"/>
  <c r="Y313" i="448"/>
  <c r="Y126" i="448"/>
  <c r="Y74" i="448"/>
  <c r="Z74" i="448" s="1"/>
  <c r="Z64" i="448"/>
  <c r="AA64" i="448" s="1"/>
  <c r="AB29" i="448"/>
  <c r="AC29" i="448" s="1"/>
  <c r="AD29" i="448" s="1"/>
  <c r="AF29" i="448" s="1"/>
  <c r="AA127" i="448"/>
  <c r="AB127" i="448" s="1"/>
  <c r="AC127" i="448" s="1"/>
  <c r="Y177" i="448"/>
  <c r="Z177" i="448" s="1"/>
  <c r="AA177" i="448" s="1"/>
  <c r="AB177" i="448" s="1"/>
  <c r="AC177" i="448" s="1"/>
  <c r="AD177" i="448" s="1"/>
  <c r="AF177" i="448" s="1"/>
  <c r="AA221" i="448"/>
  <c r="AB221" i="448" s="1"/>
  <c r="AC221" i="448" s="1"/>
  <c r="AD221" i="448" s="1"/>
  <c r="AF221" i="448" s="1"/>
  <c r="X56" i="448"/>
  <c r="Y56" i="448" s="1"/>
  <c r="X195" i="448"/>
  <c r="Y195" i="448" s="1"/>
  <c r="Y276" i="448"/>
  <c r="X305" i="448"/>
  <c r="Y305" i="448" s="1"/>
  <c r="AA188" i="448"/>
  <c r="AB188" i="448" s="1"/>
  <c r="AA278" i="448"/>
  <c r="AB278" i="448" s="1"/>
  <c r="AC278" i="448" s="1"/>
  <c r="Z263" i="448"/>
  <c r="AA263" i="448" s="1"/>
  <c r="AB263" i="448" s="1"/>
  <c r="AC263" i="448" s="1"/>
  <c r="AD263" i="448" s="1"/>
  <c r="AF263" i="448" s="1"/>
  <c r="Y194" i="448"/>
  <c r="AA166" i="448"/>
  <c r="AB166" i="448" s="1"/>
  <c r="AC166" i="448" s="1"/>
  <c r="AD166" i="448" s="1"/>
  <c r="AF166" i="448" s="1"/>
  <c r="Y119" i="448"/>
  <c r="Z119" i="448" s="1"/>
  <c r="AA119" i="448" s="1"/>
  <c r="AB119" i="448" s="1"/>
  <c r="AC119" i="448" s="1"/>
  <c r="Z104" i="448"/>
  <c r="AA104" i="448" s="1"/>
  <c r="AB104" i="448" s="1"/>
  <c r="AC104" i="448" s="1"/>
  <c r="AD104" i="448" s="1"/>
  <c r="AF104" i="448" s="1"/>
  <c r="Y173" i="448"/>
  <c r="Z173" i="448" s="1"/>
  <c r="AA173" i="448" s="1"/>
  <c r="X215" i="448"/>
  <c r="Y215" i="448" s="1"/>
  <c r="AC254" i="448"/>
  <c r="AD254" i="448" s="1"/>
  <c r="AF254" i="448" s="1"/>
  <c r="Y38" i="448"/>
  <c r="Z38" i="448" s="1"/>
  <c r="AA40" i="448"/>
  <c r="AB40" i="448" s="1"/>
  <c r="AC40" i="448" s="1"/>
  <c r="AD40" i="448" s="1"/>
  <c r="AF40" i="448" s="1"/>
  <c r="AC26" i="448"/>
  <c r="AD26" i="448" s="1"/>
  <c r="AF26" i="448" s="1"/>
  <c r="W7" i="448"/>
  <c r="J72" i="15" s="1"/>
  <c r="X266" i="448"/>
  <c r="AD53" i="448"/>
  <c r="AF53" i="448" s="1"/>
  <c r="AA247" i="448"/>
  <c r="AB247" i="448" s="1"/>
  <c r="AC247" i="448" s="1"/>
  <c r="Z224" i="448"/>
  <c r="AA224" i="448"/>
  <c r="AB224" i="448" s="1"/>
  <c r="AC224" i="448" s="1"/>
  <c r="AD224" i="448" s="1"/>
  <c r="AF224" i="448" s="1"/>
  <c r="AG225" i="448"/>
  <c r="AC225" i="448"/>
  <c r="AD225" i="448" s="1"/>
  <c r="AF225" i="448" s="1"/>
  <c r="Z191" i="448"/>
  <c r="Y235" i="448"/>
  <c r="AA241" i="448"/>
  <c r="AB241" i="448" s="1"/>
  <c r="AC241" i="448" s="1"/>
  <c r="AD241" i="448" s="1"/>
  <c r="AF241" i="448" s="1"/>
  <c r="Y285" i="448"/>
  <c r="AA298" i="448"/>
  <c r="AB298" i="448" s="1"/>
  <c r="AB211" i="448"/>
  <c r="AC211" i="448" s="1"/>
  <c r="Y277" i="448"/>
  <c r="Z277" i="448" s="1"/>
  <c r="AA277" i="448"/>
  <c r="AB277" i="448" s="1"/>
  <c r="AC51" i="448"/>
  <c r="AD51" i="448" s="1"/>
  <c r="AF51" i="448" s="1"/>
  <c r="Y84" i="448"/>
  <c r="Z311" i="448"/>
  <c r="Y116" i="448"/>
  <c r="AC43" i="448"/>
  <c r="AD43" i="448" s="1"/>
  <c r="AF43" i="448" s="1"/>
  <c r="Y65" i="448"/>
  <c r="Z65" i="448" s="1"/>
  <c r="AC261" i="448"/>
  <c r="AD261" i="448" s="1"/>
  <c r="AF261" i="448" s="1"/>
  <c r="X216" i="448"/>
  <c r="Z60" i="448"/>
  <c r="Y191" i="448"/>
  <c r="Z145" i="448"/>
  <c r="AA145" i="448" s="1"/>
  <c r="AB145" i="448" s="1"/>
  <c r="AC145" i="448" s="1"/>
  <c r="AD145" i="448" s="1"/>
  <c r="AF145" i="448" s="1"/>
  <c r="AB212" i="448"/>
  <c r="AC212" i="448" s="1"/>
  <c r="AC232" i="448"/>
  <c r="AD232" i="448" s="1"/>
  <c r="AF232" i="448" s="1"/>
  <c r="AC214" i="448"/>
  <c r="AD214" i="448" s="1"/>
  <c r="AF214" i="448" s="1"/>
  <c r="X88" i="448"/>
  <c r="AD175" i="448"/>
  <c r="AF175" i="448" s="1"/>
  <c r="Z272" i="448"/>
  <c r="W5" i="448"/>
  <c r="J70" i="15" s="1"/>
  <c r="K39" i="15" s="1"/>
  <c r="C105" i="15" s="1"/>
  <c r="K105" i="15" s="1"/>
  <c r="L105" i="15" s="1"/>
  <c r="AC277" i="448"/>
  <c r="AD277" i="448" s="1"/>
  <c r="AF277" i="448" s="1"/>
  <c r="Z280" i="448"/>
  <c r="AA280" i="448" s="1"/>
  <c r="Z196" i="448"/>
  <c r="Z314" i="448"/>
  <c r="Y289" i="448"/>
  <c r="Z289" i="448" s="1"/>
  <c r="Z93" i="448"/>
  <c r="Y301" i="448"/>
  <c r="AB20" i="448"/>
  <c r="X61" i="448"/>
  <c r="AA191" i="448"/>
  <c r="Z222" i="448"/>
  <c r="Z151" i="448" l="1"/>
  <c r="AA151" i="448"/>
  <c r="AA184" i="448"/>
  <c r="AB184" i="448" s="1"/>
  <c r="AC184" i="448" s="1"/>
  <c r="AD184" i="448" s="1"/>
  <c r="AF184" i="448" s="1"/>
  <c r="AB240" i="448"/>
  <c r="AC240" i="448"/>
  <c r="AD240" i="448" s="1"/>
  <c r="AF240" i="448" s="1"/>
  <c r="AC96" i="448"/>
  <c r="AD96" i="448"/>
  <c r="AF96" i="448" s="1"/>
  <c r="AD127" i="448"/>
  <c r="AF127" i="448" s="1"/>
  <c r="AA97" i="448"/>
  <c r="AD66" i="448"/>
  <c r="AF66" i="448" s="1"/>
  <c r="AA190" i="448"/>
  <c r="AB167" i="448"/>
  <c r="K45" i="15"/>
  <c r="C119" i="15" s="1"/>
  <c r="K119" i="15" s="1"/>
  <c r="L119" i="15" s="1"/>
  <c r="L129" i="15"/>
  <c r="Z144" i="448"/>
  <c r="Z305" i="448"/>
  <c r="AB253" i="448"/>
  <c r="AC167" i="448"/>
  <c r="AB32" i="448"/>
  <c r="K42" i="15"/>
  <c r="C112" i="15" s="1"/>
  <c r="K112" i="15" s="1"/>
  <c r="L112" i="15" s="1"/>
  <c r="AB233" i="448"/>
  <c r="L117" i="15"/>
  <c r="K115" i="15"/>
  <c r="Z198" i="448"/>
  <c r="AB76" i="448"/>
  <c r="AC76" i="448" s="1"/>
  <c r="AD76" i="448" s="1"/>
  <c r="AF76" i="448" s="1"/>
  <c r="AB101" i="448"/>
  <c r="Y8" i="448"/>
  <c r="L76" i="15" s="1"/>
  <c r="AB97" i="448"/>
  <c r="AD52" i="448"/>
  <c r="AF52" i="448" s="1"/>
  <c r="AD85" i="448"/>
  <c r="AF85" i="448" s="1"/>
  <c r="L110" i="15"/>
  <c r="K108" i="15"/>
  <c r="L138" i="15"/>
  <c r="AC223" i="448"/>
  <c r="AD223" i="448" s="1"/>
  <c r="AF223" i="448" s="1"/>
  <c r="L54" i="15"/>
  <c r="AD242" i="448"/>
  <c r="AF242" i="448" s="1"/>
  <c r="AB191" i="448"/>
  <c r="AC191" i="448" s="1"/>
  <c r="AD191" i="448" s="1"/>
  <c r="AF191" i="448" s="1"/>
  <c r="AC97" i="448"/>
  <c r="AD97" i="448" s="1"/>
  <c r="AF97" i="448" s="1"/>
  <c r="AC302" i="448"/>
  <c r="AD302" i="448" s="1"/>
  <c r="AF302" i="448" s="1"/>
  <c r="AD279" i="448"/>
  <c r="AF279" i="448" s="1"/>
  <c r="AC252" i="448"/>
  <c r="AD252" i="448" s="1"/>
  <c r="AF252" i="448" s="1"/>
  <c r="AC121" i="448"/>
  <c r="AD121" i="448" s="1"/>
  <c r="AF121" i="448" s="1"/>
  <c r="AB275" i="448"/>
  <c r="AC275" i="448" s="1"/>
  <c r="AD275" i="448" s="1"/>
  <c r="AF275" i="448" s="1"/>
  <c r="K56" i="15"/>
  <c r="C140" i="15" s="1"/>
  <c r="K140" i="15" s="1"/>
  <c r="L140" i="15" s="1"/>
  <c r="Z292" i="448"/>
  <c r="L103" i="15"/>
  <c r="K101" i="15"/>
  <c r="K129" i="15"/>
  <c r="AC101" i="448"/>
  <c r="AD101" i="448" s="1"/>
  <c r="AF101" i="448" s="1"/>
  <c r="AA71" i="448"/>
  <c r="AC253" i="448"/>
  <c r="AB312" i="448"/>
  <c r="AC312" i="448" s="1"/>
  <c r="AD312" i="448" s="1"/>
  <c r="AF312" i="448" s="1"/>
  <c r="AB226" i="448"/>
  <c r="AC226" i="448" s="1"/>
  <c r="AD226" i="448" s="1"/>
  <c r="AB230" i="448"/>
  <c r="AC230" i="448" s="1"/>
  <c r="AD230" i="448" s="1"/>
  <c r="AA141" i="448"/>
  <c r="AB141" i="448" s="1"/>
  <c r="AC141" i="448" s="1"/>
  <c r="AD141" i="448" s="1"/>
  <c r="AF141" i="448" s="1"/>
  <c r="AB304" i="448"/>
  <c r="AC304" i="448" s="1"/>
  <c r="AD304" i="448" s="1"/>
  <c r="Z56" i="448"/>
  <c r="AD278" i="448"/>
  <c r="AF278" i="448" s="1"/>
  <c r="AF299" i="448"/>
  <c r="AG299" i="448"/>
  <c r="AA128" i="448"/>
  <c r="AB128" i="448" s="1"/>
  <c r="AC128" i="448" s="1"/>
  <c r="AD128" i="448" s="1"/>
  <c r="AF128" i="448" s="1"/>
  <c r="AD152" i="448"/>
  <c r="AF152" i="448" s="1"/>
  <c r="AA305" i="448"/>
  <c r="AB305" i="448" s="1"/>
  <c r="AA180" i="448"/>
  <c r="AB180" i="448" s="1"/>
  <c r="AC298" i="448"/>
  <c r="AD298" i="448" s="1"/>
  <c r="AA70" i="448"/>
  <c r="AB300" i="448"/>
  <c r="AC300" i="448" s="1"/>
  <c r="AD300" i="448" s="1"/>
  <c r="AA182" i="448"/>
  <c r="AB182" i="448"/>
  <c r="AC182" i="448" s="1"/>
  <c r="AD182" i="448" s="1"/>
  <c r="AF182" i="448" s="1"/>
  <c r="AC110" i="448"/>
  <c r="AD110" i="448" s="1"/>
  <c r="AF110" i="448" s="1"/>
  <c r="AF228" i="448"/>
  <c r="AG228" i="448"/>
  <c r="AA25" i="448"/>
  <c r="AB25" i="448" s="1"/>
  <c r="AC25" i="448" s="1"/>
  <c r="AD25" i="448" s="1"/>
  <c r="AF25" i="448" s="1"/>
  <c r="AA178" i="448"/>
  <c r="AA200" i="448"/>
  <c r="AB200" i="448" s="1"/>
  <c r="AA272" i="448"/>
  <c r="AA311" i="448"/>
  <c r="AB311" i="448" s="1"/>
  <c r="AC311" i="448" s="1"/>
  <c r="AD311" i="448" s="1"/>
  <c r="AF311" i="448" s="1"/>
  <c r="AA196" i="448"/>
  <c r="AB196" i="448" s="1"/>
  <c r="AC196" i="448" s="1"/>
  <c r="AD196" i="448" s="1"/>
  <c r="AF196" i="448" s="1"/>
  <c r="AA194" i="448"/>
  <c r="Z194" i="448"/>
  <c r="AA74" i="448"/>
  <c r="AB74" i="448" s="1"/>
  <c r="AC74" i="448" s="1"/>
  <c r="AD74" i="448" s="1"/>
  <c r="AF74" i="448" s="1"/>
  <c r="Z313" i="448"/>
  <c r="AA313" i="448" s="1"/>
  <c r="Z45" i="448"/>
  <c r="AA45" i="448" s="1"/>
  <c r="AB45" i="448" s="1"/>
  <c r="AC45" i="448" s="1"/>
  <c r="AD45" i="448" s="1"/>
  <c r="AF45" i="448" s="1"/>
  <c r="AA38" i="448"/>
  <c r="AB38" i="448" s="1"/>
  <c r="AC38" i="448" s="1"/>
  <c r="AD38" i="448" s="1"/>
  <c r="AF38" i="448" s="1"/>
  <c r="Z282" i="448"/>
  <c r="Y58" i="448"/>
  <c r="Z285" i="448"/>
  <c r="AA285" i="448" s="1"/>
  <c r="AB285" i="448" s="1"/>
  <c r="AC285" i="448" s="1"/>
  <c r="AD285" i="448" s="1"/>
  <c r="AF285" i="448" s="1"/>
  <c r="Z86" i="448"/>
  <c r="AA86" i="448" s="1"/>
  <c r="AB86" i="448" s="1"/>
  <c r="AC86" i="448" s="1"/>
  <c r="Y86" i="448"/>
  <c r="AA63" i="448"/>
  <c r="AB63" i="448"/>
  <c r="AC251" i="448"/>
  <c r="AC306" i="448"/>
  <c r="AD306" i="448" s="1"/>
  <c r="Z308" i="448"/>
  <c r="AA308" i="448" s="1"/>
  <c r="AC47" i="448"/>
  <c r="AD47" i="448" s="1"/>
  <c r="AF47" i="448" s="1"/>
  <c r="AB70" i="448"/>
  <c r="AC70" i="448" s="1"/>
  <c r="AA189" i="448"/>
  <c r="AB189" i="448" s="1"/>
  <c r="AC189" i="448" s="1"/>
  <c r="AD189" i="448" s="1"/>
  <c r="AF189" i="448" s="1"/>
  <c r="AB83" i="448"/>
  <c r="AC83" i="448" s="1"/>
  <c r="AD83" i="448" s="1"/>
  <c r="AF83" i="448" s="1"/>
  <c r="Z274" i="448"/>
  <c r="AA274" i="448" s="1"/>
  <c r="AB274" i="448" s="1"/>
  <c r="AC274" i="448" s="1"/>
  <c r="AD274" i="448"/>
  <c r="AF274" i="448" s="1"/>
  <c r="AC113" i="448"/>
  <c r="AD113" i="448" s="1"/>
  <c r="AF113" i="448" s="1"/>
  <c r="X3" i="448"/>
  <c r="K68" i="15" s="1"/>
  <c r="Y54" i="448"/>
  <c r="Z54" i="448" s="1"/>
  <c r="Z3" i="448" s="1"/>
  <c r="AD129" i="448"/>
  <c r="AF129" i="448" s="1"/>
  <c r="AA100" i="448"/>
  <c r="AB100" i="448" s="1"/>
  <c r="AC100" i="448" s="1"/>
  <c r="AD100" i="448" s="1"/>
  <c r="AF100" i="448" s="1"/>
  <c r="X5" i="448"/>
  <c r="K70" i="15" s="1"/>
  <c r="L39" i="15" s="1"/>
  <c r="AB193" i="448"/>
  <c r="AC193" i="448" s="1"/>
  <c r="AD193" i="448" s="1"/>
  <c r="AF193" i="448" s="1"/>
  <c r="AB151" i="448"/>
  <c r="AC151" i="448" s="1"/>
  <c r="AD151" i="448" s="1"/>
  <c r="AF151" i="448" s="1"/>
  <c r="AD167" i="448"/>
  <c r="AF167" i="448" s="1"/>
  <c r="AC82" i="448"/>
  <c r="Z235" i="448"/>
  <c r="AC60" i="448"/>
  <c r="AD60" i="448" s="1"/>
  <c r="AF60" i="448" s="1"/>
  <c r="AA60" i="448"/>
  <c r="AB60" i="448" s="1"/>
  <c r="Y216" i="448"/>
  <c r="Z216" i="448" s="1"/>
  <c r="AB64" i="448"/>
  <c r="AC64" i="448" s="1"/>
  <c r="AD64" i="448" s="1"/>
  <c r="AF64" i="448" s="1"/>
  <c r="Z307" i="448"/>
  <c r="AA307" i="448" s="1"/>
  <c r="AB307" i="448" s="1"/>
  <c r="Z205" i="448"/>
  <c r="AA205" i="448" s="1"/>
  <c r="AD247" i="448"/>
  <c r="AF247" i="448" s="1"/>
  <c r="Y9" i="448"/>
  <c r="L77" i="15" s="1"/>
  <c r="AA296" i="448"/>
  <c r="Z296" i="448"/>
  <c r="AA176" i="448"/>
  <c r="AB176" i="448"/>
  <c r="AC176" i="448" s="1"/>
  <c r="X2" i="448"/>
  <c r="AB135" i="448"/>
  <c r="AC135" i="448" s="1"/>
  <c r="AD135" i="448" s="1"/>
  <c r="AF135" i="448" s="1"/>
  <c r="AA185" i="448"/>
  <c r="AB185" i="448" s="1"/>
  <c r="AC185" i="448" s="1"/>
  <c r="AD185" i="448" s="1"/>
  <c r="AF185" i="448" s="1"/>
  <c r="Z27" i="448"/>
  <c r="AA27" i="448" s="1"/>
  <c r="AB27" i="448" s="1"/>
  <c r="AC27" i="448" s="1"/>
  <c r="AD27" i="448" s="1"/>
  <c r="AF27" i="448" s="1"/>
  <c r="AD77" i="448"/>
  <c r="AF77" i="448" s="1"/>
  <c r="Z195" i="448"/>
  <c r="AA195" i="448" s="1"/>
  <c r="AB195" i="448" s="1"/>
  <c r="AC195" i="448" s="1"/>
  <c r="AD195" i="448" s="1"/>
  <c r="AF195" i="448" s="1"/>
  <c r="AC188" i="448"/>
  <c r="AD188" i="448" s="1"/>
  <c r="AF188" i="448" s="1"/>
  <c r="AD70" i="448"/>
  <c r="AF70" i="448" s="1"/>
  <c r="Z22" i="448"/>
  <c r="Z133" i="448"/>
  <c r="AD75" i="448"/>
  <c r="AF75" i="448" s="1"/>
  <c r="AC78" i="448"/>
  <c r="AD78" i="448" s="1"/>
  <c r="AF78" i="448" s="1"/>
  <c r="AA204" i="448"/>
  <c r="AA192" i="448"/>
  <c r="AB192" i="448" s="1"/>
  <c r="AC192" i="448" s="1"/>
  <c r="Z309" i="448"/>
  <c r="AB178" i="448"/>
  <c r="AC178" i="448" s="1"/>
  <c r="AD178" i="448" s="1"/>
  <c r="AF178" i="448" s="1"/>
  <c r="Z73" i="448"/>
  <c r="X6" i="448"/>
  <c r="K71" i="15" s="1"/>
  <c r="Y249" i="448"/>
  <c r="Y6" i="448" s="1"/>
  <c r="L71" i="15" s="1"/>
  <c r="AC21" i="448"/>
  <c r="AD21" i="448" s="1"/>
  <c r="AF21" i="448" s="1"/>
  <c r="AA222" i="448"/>
  <c r="AB222" i="448" s="1"/>
  <c r="AC222" i="448" s="1"/>
  <c r="AD222" i="448" s="1"/>
  <c r="AF222" i="448" s="1"/>
  <c r="AC161" i="448"/>
  <c r="AD161" i="448" s="1"/>
  <c r="AF161" i="448" s="1"/>
  <c r="AB209" i="448"/>
  <c r="AC209" i="448" s="1"/>
  <c r="AD209" i="448" s="1"/>
  <c r="AF209" i="448" s="1"/>
  <c r="AA229" i="448"/>
  <c r="AG303" i="448"/>
  <c r="AD82" i="448"/>
  <c r="AF82" i="448" s="1"/>
  <c r="Y131" i="448"/>
  <c r="AA120" i="448"/>
  <c r="AB120" i="448" s="1"/>
  <c r="AC120" i="448" s="1"/>
  <c r="AD120" i="448" s="1"/>
  <c r="AF120" i="448" s="1"/>
  <c r="Y61" i="448"/>
  <c r="Z61" i="448" s="1"/>
  <c r="AA61" i="448" s="1"/>
  <c r="AB61" i="448" s="1"/>
  <c r="AC61" i="448" s="1"/>
  <c r="AD61" i="448" s="1"/>
  <c r="AF61" i="448" s="1"/>
  <c r="AA93" i="448"/>
  <c r="AB93" i="448" s="1"/>
  <c r="AB280" i="448"/>
  <c r="AC280" i="448" s="1"/>
  <c r="AD212" i="448"/>
  <c r="AF212" i="448" s="1"/>
  <c r="AA65" i="448"/>
  <c r="AB65" i="448" s="1"/>
  <c r="AC65" i="448" s="1"/>
  <c r="AD65" i="448" s="1"/>
  <c r="AF65" i="448" s="1"/>
  <c r="Z116" i="448"/>
  <c r="AA235" i="448"/>
  <c r="X7" i="448"/>
  <c r="K72" i="15" s="1"/>
  <c r="Y266" i="448"/>
  <c r="Z266" i="448" s="1"/>
  <c r="AA148" i="448"/>
  <c r="AB272" i="448"/>
  <c r="AC272" i="448" s="1"/>
  <c r="Y181" i="448"/>
  <c r="Z181" i="448" s="1"/>
  <c r="AA181" i="448" s="1"/>
  <c r="AB181" i="448" s="1"/>
  <c r="AC181" i="448" s="1"/>
  <c r="AD181" i="448" s="1"/>
  <c r="AF181" i="448" s="1"/>
  <c r="AB49" i="448"/>
  <c r="Z157" i="448"/>
  <c r="AB296" i="448"/>
  <c r="AC296" i="448" s="1"/>
  <c r="AD253" i="448"/>
  <c r="AF253" i="448" s="1"/>
  <c r="Z315" i="448"/>
  <c r="AA315" i="448" s="1"/>
  <c r="AB173" i="448"/>
  <c r="AC173" i="448" s="1"/>
  <c r="AD173" i="448" s="1"/>
  <c r="AF173" i="448" s="1"/>
  <c r="AA56" i="448"/>
  <c r="Y68" i="448"/>
  <c r="Z68" i="448" s="1"/>
  <c r="AA68" i="448" s="1"/>
  <c r="AB68" i="448" s="1"/>
  <c r="AC68" i="448" s="1"/>
  <c r="AD68" i="448" s="1"/>
  <c r="AF68" i="448" s="1"/>
  <c r="AA289" i="448"/>
  <c r="AB289" i="448" s="1"/>
  <c r="AC289" i="448" s="1"/>
  <c r="AD289" i="448" s="1"/>
  <c r="AF289" i="448" s="1"/>
  <c r="AG302" i="448"/>
  <c r="AA314" i="448"/>
  <c r="AB314" i="448" s="1"/>
  <c r="AC314" i="448" s="1"/>
  <c r="AD314" i="448" s="1"/>
  <c r="AF314" i="448" s="1"/>
  <c r="AD176" i="448"/>
  <c r="AF176" i="448" s="1"/>
  <c r="Z24" i="448"/>
  <c r="AA24" i="448" s="1"/>
  <c r="AB24" i="448" s="1"/>
  <c r="AC24" i="448" s="1"/>
  <c r="AD24" i="448" s="1"/>
  <c r="AF24" i="448" s="1"/>
  <c r="AD211" i="448"/>
  <c r="AF211" i="448" s="1"/>
  <c r="Y30" i="448"/>
  <c r="Y2" i="448" s="1"/>
  <c r="J67" i="15"/>
  <c r="W13" i="448"/>
  <c r="Y88" i="448"/>
  <c r="Z88" i="448" s="1"/>
  <c r="AA88" i="448" s="1"/>
  <c r="AB88" i="448" s="1"/>
  <c r="AC88" i="448" s="1"/>
  <c r="AD88" i="448" s="1"/>
  <c r="AF88" i="448" s="1"/>
  <c r="AA159" i="448"/>
  <c r="AC32" i="448"/>
  <c r="AD32" i="448" s="1"/>
  <c r="AF32" i="448" s="1"/>
  <c r="Z126" i="448"/>
  <c r="AA126" i="448" s="1"/>
  <c r="AB126" i="448" s="1"/>
  <c r="AC126" i="448" s="1"/>
  <c r="AD126" i="448" s="1"/>
  <c r="AF126" i="448" s="1"/>
  <c r="AB273" i="448"/>
  <c r="AC273" i="448" s="1"/>
  <c r="AD273" i="448" s="1"/>
  <c r="AF273" i="448" s="1"/>
  <c r="AA273" i="448"/>
  <c r="AA317" i="448"/>
  <c r="AB148" i="448"/>
  <c r="AC148" i="448" s="1"/>
  <c r="Y118" i="448"/>
  <c r="Y183" i="448"/>
  <c r="Z183" i="448" s="1"/>
  <c r="AA183" i="448" s="1"/>
  <c r="AB183" i="448" s="1"/>
  <c r="AB229" i="448"/>
  <c r="AC229" i="448" s="1"/>
  <c r="AD229" i="448" s="1"/>
  <c r="AA108" i="448"/>
  <c r="AB239" i="448"/>
  <c r="AC239" i="448" s="1"/>
  <c r="AD239" i="448" s="1"/>
  <c r="AF239" i="448" s="1"/>
  <c r="Y268" i="448"/>
  <c r="AB235" i="448"/>
  <c r="AC235" i="448" s="1"/>
  <c r="Z136" i="448"/>
  <c r="AA136" i="448" s="1"/>
  <c r="AB136" i="448" s="1"/>
  <c r="AC136" i="448" s="1"/>
  <c r="AD136" i="448" s="1"/>
  <c r="AF136" i="448" s="1"/>
  <c r="AB201" i="448"/>
  <c r="Z215" i="448"/>
  <c r="AA215" i="448" s="1"/>
  <c r="AB215" i="448" s="1"/>
  <c r="AC215" i="448" s="1"/>
  <c r="AD215" i="448" s="1"/>
  <c r="AF215" i="448" s="1"/>
  <c r="AA46" i="448"/>
  <c r="AB46" i="448" s="1"/>
  <c r="Y162" i="448"/>
  <c r="Z84" i="448"/>
  <c r="AA84" i="448" s="1"/>
  <c r="AB84" i="448" s="1"/>
  <c r="AC84" i="448" s="1"/>
  <c r="AD84" i="448" s="1"/>
  <c r="AF84" i="448" s="1"/>
  <c r="AB80" i="448"/>
  <c r="AC80" i="448" s="1"/>
  <c r="AD80" i="448" s="1"/>
  <c r="AF80" i="448" s="1"/>
  <c r="AB164" i="448"/>
  <c r="AC164" i="448" s="1"/>
  <c r="AD164" i="448" s="1"/>
  <c r="AF164" i="448" s="1"/>
  <c r="AD119" i="448"/>
  <c r="AF119" i="448" s="1"/>
  <c r="X4" i="448"/>
  <c r="K69" i="15" s="1"/>
  <c r="Y245" i="448"/>
  <c r="Z245" i="448"/>
  <c r="AA245" i="448" s="1"/>
  <c r="AB245" i="448" s="1"/>
  <c r="AC245" i="448" s="1"/>
  <c r="AD245" i="448" s="1"/>
  <c r="AF245" i="448" s="1"/>
  <c r="Z69" i="448"/>
  <c r="AA69" i="448" s="1"/>
  <c r="AB69" i="448" s="1"/>
  <c r="X9" i="448"/>
  <c r="K77" i="15" s="1"/>
  <c r="AD251" i="448"/>
  <c r="AF251" i="448" s="1"/>
  <c r="AB99" i="448"/>
  <c r="AC99" i="448" s="1"/>
  <c r="AD99" i="448" s="1"/>
  <c r="AF99" i="448" s="1"/>
  <c r="AA99" i="448"/>
  <c r="Y284" i="448"/>
  <c r="AG297" i="448"/>
  <c r="AA147" i="448"/>
  <c r="AB147" i="448" s="1"/>
  <c r="AC147" i="448" s="1"/>
  <c r="AD147" i="448" s="1"/>
  <c r="AF147" i="448" s="1"/>
  <c r="Z31" i="448"/>
  <c r="AA31" i="448" s="1"/>
  <c r="AB31" i="448" s="1"/>
  <c r="AC31" i="448" s="1"/>
  <c r="AD31" i="448" s="1"/>
  <c r="AF31" i="448" s="1"/>
  <c r="Z301" i="448"/>
  <c r="AA301" i="448" s="1"/>
  <c r="AB301" i="448" s="1"/>
  <c r="AC301" i="448" s="1"/>
  <c r="AD301" i="448" s="1"/>
  <c r="Z199" i="448"/>
  <c r="AA199" i="448" s="1"/>
  <c r="AB199" i="448" s="1"/>
  <c r="AC199" i="448" s="1"/>
  <c r="AD199" i="448" s="1"/>
  <c r="AF199" i="448" s="1"/>
  <c r="AA264" i="448"/>
  <c r="AB264" i="448" s="1"/>
  <c r="AC264" i="448" s="1"/>
  <c r="AD264" i="448" s="1"/>
  <c r="AF264" i="448" s="1"/>
  <c r="AC20" i="448"/>
  <c r="AB159" i="448"/>
  <c r="AC159" i="448" s="1"/>
  <c r="AD159" i="448" s="1"/>
  <c r="AF159" i="448" s="1"/>
  <c r="AD206" i="448"/>
  <c r="AF206" i="448" s="1"/>
  <c r="AB317" i="448"/>
  <c r="Z140" i="448"/>
  <c r="AA140" i="448" s="1"/>
  <c r="AB140" i="448" s="1"/>
  <c r="AC140" i="448" s="1"/>
  <c r="AD140" i="448" s="1"/>
  <c r="AF140" i="448" s="1"/>
  <c r="AD237" i="448"/>
  <c r="AF237" i="448" s="1"/>
  <c r="AA237" i="448"/>
  <c r="AB237" i="448" s="1"/>
  <c r="AC237" i="448" s="1"/>
  <c r="AD186" i="448"/>
  <c r="AF186" i="448" s="1"/>
  <c r="Z243" i="448"/>
  <c r="AA243" i="448" s="1"/>
  <c r="Y72" i="448"/>
  <c r="Z72" i="448" s="1"/>
  <c r="AA72" i="448" s="1"/>
  <c r="AB72" i="448" s="1"/>
  <c r="AC72" i="448" s="1"/>
  <c r="AD72" i="448" s="1"/>
  <c r="AF72" i="448" s="1"/>
  <c r="AC174" i="448"/>
  <c r="AD174" i="448" s="1"/>
  <c r="AF174" i="448" s="1"/>
  <c r="Z155" i="448"/>
  <c r="AA155" i="448" s="1"/>
  <c r="Y5" i="448"/>
  <c r="L70" i="15" s="1"/>
  <c r="AB34" i="448"/>
  <c r="AC34" i="448" s="1"/>
  <c r="AD34" i="448" s="1"/>
  <c r="AF34" i="448" s="1"/>
  <c r="Z276" i="448"/>
  <c r="AA276" i="448" s="1"/>
  <c r="AB276" i="448" s="1"/>
  <c r="AC276" i="448" s="1"/>
  <c r="AD276" i="448" s="1"/>
  <c r="AF276" i="448" s="1"/>
  <c r="AC227" i="448"/>
  <c r="AD227" i="448" s="1"/>
  <c r="AB315" i="448" l="1"/>
  <c r="AC315" i="448" s="1"/>
  <c r="AD315" i="448" s="1"/>
  <c r="AF315" i="448" s="1"/>
  <c r="AC93" i="448"/>
  <c r="AD93" i="448" s="1"/>
  <c r="AF93" i="448" s="1"/>
  <c r="Z8" i="448"/>
  <c r="AA292" i="448"/>
  <c r="AC317" i="448"/>
  <c r="AC180" i="448"/>
  <c r="AD180" i="448" s="1"/>
  <c r="AF180" i="448" s="1"/>
  <c r="K136" i="15"/>
  <c r="L56" i="15" s="1"/>
  <c r="AA198" i="448"/>
  <c r="AB198" i="448" s="1"/>
  <c r="AC233" i="448"/>
  <c r="AD233" i="448" s="1"/>
  <c r="AF233" i="448" s="1"/>
  <c r="AB71" i="448"/>
  <c r="AC71" i="448" s="1"/>
  <c r="AC183" i="448"/>
  <c r="C106" i="15"/>
  <c r="L106" i="15" s="1"/>
  <c r="L40" i="15"/>
  <c r="AC63" i="448"/>
  <c r="AD148" i="448"/>
  <c r="AF148" i="448" s="1"/>
  <c r="AD192" i="448"/>
  <c r="AF192" i="448" s="1"/>
  <c r="AB313" i="448"/>
  <c r="AC313" i="448" s="1"/>
  <c r="L101" i="15"/>
  <c r="L42" i="15"/>
  <c r="L45" i="15"/>
  <c r="AA144" i="448"/>
  <c r="AB144" i="448" s="1"/>
  <c r="AB190" i="448"/>
  <c r="AC190" i="448" s="1"/>
  <c r="AB205" i="448"/>
  <c r="AC205" i="448" s="1"/>
  <c r="AD205" i="448" s="1"/>
  <c r="AF205" i="448" s="1"/>
  <c r="AD86" i="448"/>
  <c r="AF86" i="448" s="1"/>
  <c r="AD305" i="448"/>
  <c r="AC305" i="448"/>
  <c r="AF230" i="448"/>
  <c r="AG230" i="448"/>
  <c r="AF301" i="448"/>
  <c r="AG301" i="448"/>
  <c r="AF229" i="448"/>
  <c r="AG229" i="448"/>
  <c r="AD296" i="448"/>
  <c r="AF304" i="448"/>
  <c r="AG304" i="448"/>
  <c r="AF226" i="448"/>
  <c r="AG226" i="448"/>
  <c r="AF227" i="448"/>
  <c r="AG227" i="448"/>
  <c r="L67" i="15"/>
  <c r="AA216" i="448"/>
  <c r="AB216" i="448" s="1"/>
  <c r="AC216" i="448" s="1"/>
  <c r="AD216" i="448" s="1"/>
  <c r="AF216" i="448" s="1"/>
  <c r="AC200" i="448"/>
  <c r="AD200" i="448" s="1"/>
  <c r="AF200" i="448" s="1"/>
  <c r="AF300" i="448"/>
  <c r="AG300" i="448"/>
  <c r="AB155" i="448"/>
  <c r="AC155" i="448" s="1"/>
  <c r="AD155" i="448" s="1"/>
  <c r="AF155" i="448" s="1"/>
  <c r="AC46" i="448"/>
  <c r="AD46" i="448" s="1"/>
  <c r="AF46" i="448" s="1"/>
  <c r="AC108" i="448"/>
  <c r="AD108" i="448" s="1"/>
  <c r="AF108" i="448" s="1"/>
  <c r="AB108" i="448"/>
  <c r="AD183" i="448"/>
  <c r="AF183" i="448" s="1"/>
  <c r="Y7" i="448"/>
  <c r="L72" i="15" s="1"/>
  <c r="AA266" i="448"/>
  <c r="AA116" i="448"/>
  <c r="AB116" i="448" s="1"/>
  <c r="AC116" i="448" s="1"/>
  <c r="AD116" i="448" s="1"/>
  <c r="AF116" i="448" s="1"/>
  <c r="AD280" i="448"/>
  <c r="AF280" i="448" s="1"/>
  <c r="AB204" i="448"/>
  <c r="AA309" i="448"/>
  <c r="AB309" i="448" s="1"/>
  <c r="AC309" i="448" s="1"/>
  <c r="AD309" i="448" s="1"/>
  <c r="AF309" i="448" s="1"/>
  <c r="AC307" i="448"/>
  <c r="AD307" i="448" s="1"/>
  <c r="AF307" i="448" s="1"/>
  <c r="Z118" i="448"/>
  <c r="AA133" i="448"/>
  <c r="AB133" i="448" s="1"/>
  <c r="AC133" i="448" s="1"/>
  <c r="AD133" i="448" s="1"/>
  <c r="AF133" i="448" s="1"/>
  <c r="AF306" i="448"/>
  <c r="AG306" i="448"/>
  <c r="AB194" i="448"/>
  <c r="AC194" i="448" s="1"/>
  <c r="AD194" i="448" s="1"/>
  <c r="AF194" i="448" s="1"/>
  <c r="Z30" i="448"/>
  <c r="AA30" i="448" s="1"/>
  <c r="AB30" i="448" s="1"/>
  <c r="AC30" i="448" s="1"/>
  <c r="AD30" i="448" s="1"/>
  <c r="AF30" i="448" s="1"/>
  <c r="AA157" i="448"/>
  <c r="AB157" i="448" s="1"/>
  <c r="AC157" i="448" s="1"/>
  <c r="AD157" i="448" s="1"/>
  <c r="AF157" i="448" s="1"/>
  <c r="AD317" i="448"/>
  <c r="AF317" i="448" s="1"/>
  <c r="AA22" i="448"/>
  <c r="AA9" i="448"/>
  <c r="AG307" i="448"/>
  <c r="Y3" i="448"/>
  <c r="AA54" i="448"/>
  <c r="AA3" i="448" s="1"/>
  <c r="Z284" i="448"/>
  <c r="AD272" i="448"/>
  <c r="AF272" i="448" s="1"/>
  <c r="AA73" i="448"/>
  <c r="AB73" i="448" s="1"/>
  <c r="AC73" i="448" s="1"/>
  <c r="AD73" i="448" s="1"/>
  <c r="AF73" i="448" s="1"/>
  <c r="AB243" i="448"/>
  <c r="AC243" i="448" s="1"/>
  <c r="AD243" i="448" s="1"/>
  <c r="AF243" i="448" s="1"/>
  <c r="AC69" i="448"/>
  <c r="AD69" i="448" s="1"/>
  <c r="AF69" i="448" s="1"/>
  <c r="AB56" i="448"/>
  <c r="AD235" i="448"/>
  <c r="AF235" i="448" s="1"/>
  <c r="AB308" i="448"/>
  <c r="AC308" i="448" s="1"/>
  <c r="AD308" i="448" s="1"/>
  <c r="AF308" i="448" s="1"/>
  <c r="Z268" i="448"/>
  <c r="AA268" i="448" s="1"/>
  <c r="AB268" i="448" s="1"/>
  <c r="AC268" i="448" s="1"/>
  <c r="AD268" i="448" s="1"/>
  <c r="AF268" i="448" s="1"/>
  <c r="AF298" i="448"/>
  <c r="AG298" i="448"/>
  <c r="AA162" i="448"/>
  <c r="AB162" i="448"/>
  <c r="AC162" i="448" s="1"/>
  <c r="AD162" i="448" s="1"/>
  <c r="AF162" i="448" s="1"/>
  <c r="Z162" i="448"/>
  <c r="AC201" i="448"/>
  <c r="AD201" i="448" s="1"/>
  <c r="AF201" i="448" s="1"/>
  <c r="AB9" i="448"/>
  <c r="AC49" i="448"/>
  <c r="Z131" i="448"/>
  <c r="Z249" i="448"/>
  <c r="K67" i="15"/>
  <c r="X13" i="448"/>
  <c r="Z9" i="448"/>
  <c r="AD63" i="448"/>
  <c r="AF63" i="448" s="1"/>
  <c r="Z2" i="448"/>
  <c r="Z58" i="448"/>
  <c r="AA58" i="448" s="1"/>
  <c r="AB58" i="448" s="1"/>
  <c r="AC58" i="448" s="1"/>
  <c r="AD58" i="448" s="1"/>
  <c r="AF58" i="448" s="1"/>
  <c r="Z5" i="448"/>
  <c r="AD313" i="448"/>
  <c r="AF313" i="448" s="1"/>
  <c r="AD20" i="448"/>
  <c r="AA282" i="448"/>
  <c r="Y4" i="448"/>
  <c r="L69" i="15" s="1"/>
  <c r="AC144" i="448" l="1"/>
  <c r="AD144" i="448"/>
  <c r="AF144" i="448" s="1"/>
  <c r="C113" i="15"/>
  <c r="L113" i="15" s="1"/>
  <c r="L108" i="15" s="1"/>
  <c r="L43" i="15"/>
  <c r="AD71" i="448"/>
  <c r="AF71" i="448" s="1"/>
  <c r="AB54" i="448"/>
  <c r="AC54" i="448" s="1"/>
  <c r="AD54" i="448" s="1"/>
  <c r="AF54" i="448" s="1"/>
  <c r="AA5" i="448"/>
  <c r="AC198" i="448"/>
  <c r="AD198" i="448" s="1"/>
  <c r="AF198" i="448" s="1"/>
  <c r="AB292" i="448"/>
  <c r="AB8" i="448" s="1"/>
  <c r="Z7" i="448"/>
  <c r="Y13" i="448"/>
  <c r="L68" i="15"/>
  <c r="C141" i="15"/>
  <c r="L141" i="15" s="1"/>
  <c r="L136" i="15" s="1"/>
  <c r="L57" i="15"/>
  <c r="AD190" i="448"/>
  <c r="AF190" i="448" s="1"/>
  <c r="C120" i="15"/>
  <c r="L120" i="15" s="1"/>
  <c r="L115" i="15" s="1"/>
  <c r="L46" i="15"/>
  <c r="AA8" i="448"/>
  <c r="Z6" i="448"/>
  <c r="AA249" i="448"/>
  <c r="AC56" i="448"/>
  <c r="AB22" i="448"/>
  <c r="AA2" i="448"/>
  <c r="AF296" i="448"/>
  <c r="AD9" i="448"/>
  <c r="AG296" i="448"/>
  <c r="AA284" i="448"/>
  <c r="AA7" i="448" s="1"/>
  <c r="AB282" i="448"/>
  <c r="AA131" i="448"/>
  <c r="AB131" i="448" s="1"/>
  <c r="AC131" i="448" s="1"/>
  <c r="AD131" i="448" s="1"/>
  <c r="AF131" i="448" s="1"/>
  <c r="AC3" i="448"/>
  <c r="AD49" i="448"/>
  <c r="AC9" i="448"/>
  <c r="AF305" i="448"/>
  <c r="AG305" i="448"/>
  <c r="AF20" i="448"/>
  <c r="AB3" i="448"/>
  <c r="Z4" i="448"/>
  <c r="Z13" i="448" s="1"/>
  <c r="AB266" i="448"/>
  <c r="AB5" i="448"/>
  <c r="AC204" i="448"/>
  <c r="AA118" i="448"/>
  <c r="AA4" i="448" s="1"/>
  <c r="AC292" i="448" l="1"/>
  <c r="AB118" i="448"/>
  <c r="AF49" i="448"/>
  <c r="AD3" i="448"/>
  <c r="AB2" i="448"/>
  <c r="AC22" i="448"/>
  <c r="AA6" i="448"/>
  <c r="AA13" i="448" s="1"/>
  <c r="AB249" i="448"/>
  <c r="AC5" i="448"/>
  <c r="AD204" i="448"/>
  <c r="AC266" i="448"/>
  <c r="AB284" i="448"/>
  <c r="AB7" i="448" s="1"/>
  <c r="AC282" i="448"/>
  <c r="AD56" i="448"/>
  <c r="AC8" i="448" l="1"/>
  <c r="AD292" i="448"/>
  <c r="AF56" i="448"/>
  <c r="AD266" i="448"/>
  <c r="AB6" i="448"/>
  <c r="AC249" i="448"/>
  <c r="AC284" i="448"/>
  <c r="AC7" i="448" s="1"/>
  <c r="AD282" i="448"/>
  <c r="AF204" i="448"/>
  <c r="AD5" i="448"/>
  <c r="AC2" i="448"/>
  <c r="AD22" i="448"/>
  <c r="AC118" i="448"/>
  <c r="AB4" i="448"/>
  <c r="AB13" i="448" s="1"/>
  <c r="AF292" i="448" l="1"/>
  <c r="AD8" i="448"/>
  <c r="AF22" i="448"/>
  <c r="AD2" i="448"/>
  <c r="AD284" i="448"/>
  <c r="AF284" i="448" s="1"/>
  <c r="AF282" i="448"/>
  <c r="AF266" i="448"/>
  <c r="AD7" i="448"/>
  <c r="AC6" i="448"/>
  <c r="AD249" i="448"/>
  <c r="AD118" i="448"/>
  <c r="AC4" i="448"/>
  <c r="AC13" i="448" s="1"/>
  <c r="AF118" i="448" l="1"/>
  <c r="AD4" i="448"/>
  <c r="AD13" i="448" s="1"/>
  <c r="AF249" i="448"/>
  <c r="AD6" i="448"/>
  <c r="F179" i="13" l="1"/>
  <c r="E179" i="13"/>
  <c r="D33" i="14"/>
  <c r="D67" i="14" s="1"/>
  <c r="L33" i="15"/>
  <c r="C81" i="15"/>
  <c r="H81" i="15" s="1"/>
  <c r="C99" i="15"/>
  <c r="L99" i="15" s="1"/>
  <c r="C98" i="15"/>
  <c r="K98" i="15" s="1"/>
  <c r="L98" i="15" s="1"/>
  <c r="C97" i="15"/>
  <c r="J97" i="15" s="1"/>
  <c r="K97" i="15" s="1"/>
  <c r="L97" i="15" s="1"/>
  <c r="C96" i="15"/>
  <c r="I96" i="15" s="1"/>
  <c r="J96" i="15" s="1"/>
  <c r="K96" i="15" s="1"/>
  <c r="L96" i="15" s="1"/>
  <c r="C95" i="15"/>
  <c r="H95" i="15" s="1"/>
  <c r="H94" i="15" s="1"/>
  <c r="C85" i="15"/>
  <c r="L85" i="15" s="1"/>
  <c r="C84" i="15"/>
  <c r="K84" i="15" s="1"/>
  <c r="L84" i="15" s="1"/>
  <c r="C83" i="15"/>
  <c r="J83" i="15" s="1"/>
  <c r="K83" i="15" s="1"/>
  <c r="L83" i="15" s="1"/>
  <c r="C82" i="15"/>
  <c r="I82" i="15" s="1"/>
  <c r="J82" i="15" s="1"/>
  <c r="K82" i="15" s="1"/>
  <c r="L82" i="15" s="1"/>
  <c r="L27" i="15"/>
  <c r="K27" i="15"/>
  <c r="J27" i="15"/>
  <c r="I27" i="15"/>
  <c r="H27" i="15"/>
  <c r="H308" i="435"/>
  <c r="G36" i="15" s="1"/>
  <c r="H312" i="435"/>
  <c r="G56" i="15" s="1"/>
  <c r="H311" i="435"/>
  <c r="G45" i="15" s="1"/>
  <c r="H310" i="435"/>
  <c r="G42" i="15" s="1"/>
  <c r="H309" i="435"/>
  <c r="G39" i="15" s="1"/>
  <c r="D304" i="435"/>
  <c r="D303" i="435"/>
  <c r="D302" i="435"/>
  <c r="D301" i="435"/>
  <c r="D300" i="435"/>
  <c r="D299" i="435"/>
  <c r="D298" i="435"/>
  <c r="D297" i="435"/>
  <c r="D296" i="435"/>
  <c r="D295" i="435"/>
  <c r="D294" i="435"/>
  <c r="D293" i="435"/>
  <c r="D292" i="435"/>
  <c r="D291" i="435"/>
  <c r="D290" i="435"/>
  <c r="D289" i="435"/>
  <c r="D288" i="435"/>
  <c r="D287" i="435"/>
  <c r="D286" i="435"/>
  <c r="D285" i="435"/>
  <c r="D284" i="435"/>
  <c r="D283" i="435"/>
  <c r="D282" i="435"/>
  <c r="D281" i="435"/>
  <c r="D280" i="435"/>
  <c r="D279" i="435"/>
  <c r="D278" i="435"/>
  <c r="D277" i="435"/>
  <c r="D276" i="435"/>
  <c r="D275" i="435"/>
  <c r="D274" i="435"/>
  <c r="D273" i="435"/>
  <c r="D272" i="435"/>
  <c r="D271" i="435"/>
  <c r="D270" i="435"/>
  <c r="D269" i="435"/>
  <c r="D268" i="435"/>
  <c r="D267" i="435"/>
  <c r="D266" i="435"/>
  <c r="D265" i="435"/>
  <c r="D264" i="435"/>
  <c r="D263" i="435"/>
  <c r="D262" i="435"/>
  <c r="D261" i="435"/>
  <c r="D260" i="435"/>
  <c r="D259" i="435"/>
  <c r="D258" i="435"/>
  <c r="D257" i="435"/>
  <c r="D256" i="435"/>
  <c r="D255" i="435"/>
  <c r="D254" i="435"/>
  <c r="D253" i="435"/>
  <c r="D252" i="435"/>
  <c r="D251" i="435"/>
  <c r="D250" i="435"/>
  <c r="D249" i="435"/>
  <c r="D248" i="435"/>
  <c r="D247" i="435"/>
  <c r="D246" i="435"/>
  <c r="D245" i="435"/>
  <c r="D244" i="435"/>
  <c r="D243" i="435"/>
  <c r="D242" i="435"/>
  <c r="D241" i="435"/>
  <c r="D240" i="435"/>
  <c r="D239" i="435"/>
  <c r="D238" i="435"/>
  <c r="D237" i="435"/>
  <c r="D236" i="435"/>
  <c r="D235" i="435"/>
  <c r="D234" i="435"/>
  <c r="D233" i="435"/>
  <c r="D232" i="435"/>
  <c r="D231" i="435"/>
  <c r="D230" i="435"/>
  <c r="D229" i="435"/>
  <c r="D228" i="435"/>
  <c r="D227" i="435"/>
  <c r="D226" i="435"/>
  <c r="D225" i="435"/>
  <c r="D224" i="435"/>
  <c r="D223" i="435"/>
  <c r="D222" i="435"/>
  <c r="D221" i="435"/>
  <c r="D220" i="435"/>
  <c r="D219" i="435"/>
  <c r="D218" i="435"/>
  <c r="D217" i="435"/>
  <c r="D216" i="435"/>
  <c r="D215" i="435"/>
  <c r="D214" i="435"/>
  <c r="D213" i="435"/>
  <c r="D212" i="435"/>
  <c r="D211" i="435"/>
  <c r="D210" i="435"/>
  <c r="D209" i="435"/>
  <c r="D208" i="435"/>
  <c r="D207" i="435"/>
  <c r="D206" i="435"/>
  <c r="D205" i="435"/>
  <c r="D204" i="435"/>
  <c r="D203" i="435"/>
  <c r="D202" i="435"/>
  <c r="D201" i="435"/>
  <c r="D200" i="435"/>
  <c r="D199" i="435"/>
  <c r="D198" i="435"/>
  <c r="D197" i="435"/>
  <c r="D196" i="435"/>
  <c r="D195" i="435"/>
  <c r="D194" i="435"/>
  <c r="D193" i="435"/>
  <c r="D192" i="435"/>
  <c r="D191" i="435"/>
  <c r="D190" i="435"/>
  <c r="D189" i="435"/>
  <c r="D188" i="435"/>
  <c r="D187" i="435"/>
  <c r="D186" i="435"/>
  <c r="D185" i="435"/>
  <c r="D184" i="435"/>
  <c r="D183" i="435"/>
  <c r="D182" i="435"/>
  <c r="D181" i="435"/>
  <c r="D180" i="435"/>
  <c r="D179" i="435"/>
  <c r="D178" i="435"/>
  <c r="D177" i="435"/>
  <c r="D176" i="435"/>
  <c r="D175" i="435"/>
  <c r="D174" i="435"/>
  <c r="D173" i="435"/>
  <c r="D172" i="435"/>
  <c r="D171" i="435"/>
  <c r="D170" i="435"/>
  <c r="D169" i="435"/>
  <c r="D168" i="435"/>
  <c r="D167" i="435"/>
  <c r="D166" i="435"/>
  <c r="D165" i="435"/>
  <c r="D164" i="435"/>
  <c r="D163" i="435"/>
  <c r="D162" i="435"/>
  <c r="D161" i="435"/>
  <c r="D160" i="435"/>
  <c r="D159" i="435"/>
  <c r="D158" i="435"/>
  <c r="D157" i="435"/>
  <c r="D156" i="435"/>
  <c r="D155" i="435"/>
  <c r="D154" i="435"/>
  <c r="D153" i="435"/>
  <c r="D152" i="435"/>
  <c r="D151" i="435"/>
  <c r="D150" i="435"/>
  <c r="D149" i="435"/>
  <c r="D148" i="435"/>
  <c r="D147" i="435"/>
  <c r="D146" i="435"/>
  <c r="D145" i="435"/>
  <c r="D144" i="435"/>
  <c r="D143" i="435"/>
  <c r="D142" i="435"/>
  <c r="D141" i="435"/>
  <c r="D140" i="435"/>
  <c r="D139" i="435"/>
  <c r="D138" i="435"/>
  <c r="D137" i="435"/>
  <c r="D136" i="435"/>
  <c r="D135" i="435"/>
  <c r="D134" i="435"/>
  <c r="D133" i="435"/>
  <c r="D132" i="435"/>
  <c r="D131" i="435"/>
  <c r="D130" i="435"/>
  <c r="D129" i="435"/>
  <c r="D128" i="435"/>
  <c r="D127" i="435"/>
  <c r="D126" i="435"/>
  <c r="D125" i="435"/>
  <c r="D124" i="435"/>
  <c r="D123" i="435"/>
  <c r="D122" i="435"/>
  <c r="D121" i="435"/>
  <c r="D120" i="435"/>
  <c r="D119" i="435"/>
  <c r="D118" i="435"/>
  <c r="D117" i="435"/>
  <c r="D116" i="435"/>
  <c r="D115" i="435"/>
  <c r="D114" i="435"/>
  <c r="D113" i="435"/>
  <c r="D112" i="435"/>
  <c r="D111" i="435"/>
  <c r="D110" i="435"/>
  <c r="D109" i="435"/>
  <c r="D108" i="435"/>
  <c r="D107" i="435"/>
  <c r="D106" i="435"/>
  <c r="D105" i="435"/>
  <c r="D104" i="435"/>
  <c r="D103" i="435"/>
  <c r="D102" i="435"/>
  <c r="D101" i="435"/>
  <c r="D100" i="435"/>
  <c r="D99" i="435"/>
  <c r="D98" i="435"/>
  <c r="D97" i="435"/>
  <c r="D96" i="435"/>
  <c r="D95" i="435"/>
  <c r="D94" i="435"/>
  <c r="D93" i="435"/>
  <c r="D92" i="435"/>
  <c r="D91" i="435"/>
  <c r="D90" i="435"/>
  <c r="D89" i="435"/>
  <c r="D88" i="435"/>
  <c r="D87" i="435"/>
  <c r="D86" i="435"/>
  <c r="D85" i="435"/>
  <c r="D84" i="435"/>
  <c r="D83" i="435"/>
  <c r="D82" i="435"/>
  <c r="D81" i="435"/>
  <c r="D80" i="435"/>
  <c r="D79" i="435"/>
  <c r="D78" i="435"/>
  <c r="D77" i="435"/>
  <c r="D76" i="435"/>
  <c r="D75" i="435"/>
  <c r="D74" i="435"/>
  <c r="D73" i="435"/>
  <c r="D72" i="435"/>
  <c r="D71" i="435"/>
  <c r="D70" i="435"/>
  <c r="D69" i="435"/>
  <c r="D68" i="435"/>
  <c r="D67" i="435"/>
  <c r="D66" i="435"/>
  <c r="D65" i="435"/>
  <c r="D64" i="435"/>
  <c r="D63" i="435"/>
  <c r="D62" i="435"/>
  <c r="D61" i="435"/>
  <c r="D60" i="435"/>
  <c r="D59" i="435"/>
  <c r="D58" i="435"/>
  <c r="D57" i="435"/>
  <c r="D56" i="435"/>
  <c r="D55" i="435"/>
  <c r="D54" i="435"/>
  <c r="D53" i="435"/>
  <c r="D52" i="435"/>
  <c r="D51" i="435"/>
  <c r="D50" i="435"/>
  <c r="D49" i="435"/>
  <c r="D48" i="435"/>
  <c r="D47" i="435"/>
  <c r="D46" i="435"/>
  <c r="D45" i="435"/>
  <c r="D44" i="435"/>
  <c r="D43" i="435"/>
  <c r="D42" i="435"/>
  <c r="D41" i="435"/>
  <c r="D40" i="435"/>
  <c r="D39" i="435"/>
  <c r="D38" i="435"/>
  <c r="D37" i="435"/>
  <c r="D36" i="435"/>
  <c r="D35" i="435"/>
  <c r="D34" i="435"/>
  <c r="D33" i="435"/>
  <c r="D32" i="435"/>
  <c r="D31" i="435"/>
  <c r="D30" i="435"/>
  <c r="D29" i="435"/>
  <c r="D28" i="435"/>
  <c r="D27" i="435"/>
  <c r="D26" i="435"/>
  <c r="D25" i="435"/>
  <c r="D24" i="435"/>
  <c r="D23" i="435"/>
  <c r="D22" i="435"/>
  <c r="D21" i="435"/>
  <c r="D20" i="435"/>
  <c r="D19" i="435"/>
  <c r="D18" i="435"/>
  <c r="D17" i="435"/>
  <c r="D16" i="435"/>
  <c r="D15" i="435"/>
  <c r="D14" i="435"/>
  <c r="D13" i="435"/>
  <c r="D12" i="435"/>
  <c r="D11" i="435"/>
  <c r="D10" i="435"/>
  <c r="D9" i="435"/>
  <c r="D8" i="435"/>
  <c r="D7" i="435"/>
  <c r="D6" i="435"/>
  <c r="D5" i="435"/>
  <c r="K14" i="415"/>
  <c r="J14" i="415"/>
  <c r="I14" i="415"/>
  <c r="D6" i="437"/>
  <c r="M10" i="437" s="1"/>
  <c r="I128" i="429"/>
  <c r="G128" i="429"/>
  <c r="I127" i="429"/>
  <c r="G127" i="429"/>
  <c r="I126" i="429"/>
  <c r="G126" i="429"/>
  <c r="I125" i="429"/>
  <c r="G125" i="429"/>
  <c r="I124" i="429"/>
  <c r="G124" i="429"/>
  <c r="I123" i="429"/>
  <c r="G36" i="429" s="1"/>
  <c r="G123" i="429"/>
  <c r="B36" i="429" s="1"/>
  <c r="B123" i="429"/>
  <c r="Y32" i="429" s="1"/>
  <c r="H119" i="429"/>
  <c r="G119" i="429"/>
  <c r="B119" i="429"/>
  <c r="H118" i="429"/>
  <c r="G118" i="429"/>
  <c r="B118" i="429"/>
  <c r="H117" i="429"/>
  <c r="G117" i="429"/>
  <c r="B117" i="429"/>
  <c r="H116" i="429"/>
  <c r="G116" i="429"/>
  <c r="B116" i="429"/>
  <c r="H115" i="429"/>
  <c r="G115" i="429"/>
  <c r="B115" i="429"/>
  <c r="H114" i="429"/>
  <c r="G114" i="429"/>
  <c r="B114" i="429"/>
  <c r="H113" i="429"/>
  <c r="G113" i="429"/>
  <c r="B113" i="429"/>
  <c r="H112" i="429"/>
  <c r="G112" i="429"/>
  <c r="B112" i="429"/>
  <c r="H111" i="429"/>
  <c r="G111" i="429"/>
  <c r="B111" i="429"/>
  <c r="H110" i="429"/>
  <c r="G110" i="429"/>
  <c r="B110" i="429"/>
  <c r="H109" i="429"/>
  <c r="G109" i="429"/>
  <c r="B109" i="429"/>
  <c r="H108" i="429"/>
  <c r="G108" i="429"/>
  <c r="B108" i="429"/>
  <c r="H107" i="429"/>
  <c r="G107" i="429"/>
  <c r="B107" i="429"/>
  <c r="H106" i="429"/>
  <c r="G106" i="429"/>
  <c r="B106" i="429"/>
  <c r="H105" i="429"/>
  <c r="G105" i="429"/>
  <c r="B105" i="429"/>
  <c r="H104" i="429"/>
  <c r="G104" i="429"/>
  <c r="B104" i="429"/>
  <c r="H103" i="429"/>
  <c r="G103" i="429"/>
  <c r="B103" i="429"/>
  <c r="H102" i="429"/>
  <c r="G102" i="429"/>
  <c r="B102" i="429"/>
  <c r="H101" i="429"/>
  <c r="G101" i="429"/>
  <c r="B101" i="429"/>
  <c r="A101" i="429"/>
  <c r="A102" i="429" s="1"/>
  <c r="A103" i="429" s="1"/>
  <c r="A104" i="429" s="1"/>
  <c r="A105" i="429" s="1"/>
  <c r="A106" i="429" s="1"/>
  <c r="A107" i="429" s="1"/>
  <c r="A108" i="429" s="1"/>
  <c r="A109" i="429" s="1"/>
  <c r="A110" i="429" s="1"/>
  <c r="A111" i="429" s="1"/>
  <c r="A112" i="429" s="1"/>
  <c r="A113" i="429" s="1"/>
  <c r="A114" i="429" s="1"/>
  <c r="A115" i="429" s="1"/>
  <c r="A116" i="429" s="1"/>
  <c r="A117" i="429" s="1"/>
  <c r="A118" i="429" s="1"/>
  <c r="A119" i="429" s="1"/>
  <c r="H100" i="429"/>
  <c r="G100" i="429"/>
  <c r="B100" i="429"/>
  <c r="L95" i="429"/>
  <c r="J95" i="429"/>
  <c r="I95" i="429"/>
  <c r="H95" i="429"/>
  <c r="G95" i="429"/>
  <c r="B95" i="429"/>
  <c r="L94" i="429"/>
  <c r="J94" i="429"/>
  <c r="I94" i="429"/>
  <c r="H94" i="429"/>
  <c r="G94" i="429"/>
  <c r="B94" i="429"/>
  <c r="L93" i="429"/>
  <c r="J93" i="429"/>
  <c r="I93" i="429"/>
  <c r="H93" i="429"/>
  <c r="G93" i="429"/>
  <c r="B93" i="429"/>
  <c r="L92" i="429"/>
  <c r="J92" i="429"/>
  <c r="I92" i="429"/>
  <c r="H92" i="429"/>
  <c r="G92" i="429"/>
  <c r="B92" i="429"/>
  <c r="L91" i="429"/>
  <c r="J91" i="429"/>
  <c r="I91" i="429"/>
  <c r="H91" i="429"/>
  <c r="G91" i="429"/>
  <c r="B91" i="429"/>
  <c r="L90" i="429"/>
  <c r="J90" i="429"/>
  <c r="I90" i="429"/>
  <c r="H90" i="429"/>
  <c r="G90" i="429"/>
  <c r="B90" i="429"/>
  <c r="L89" i="429"/>
  <c r="J89" i="429"/>
  <c r="I89" i="429"/>
  <c r="H89" i="429"/>
  <c r="G89" i="429"/>
  <c r="B89" i="429"/>
  <c r="L88" i="429"/>
  <c r="J88" i="429"/>
  <c r="I88" i="429"/>
  <c r="H88" i="429"/>
  <c r="G88" i="429"/>
  <c r="B88" i="429"/>
  <c r="L87" i="429"/>
  <c r="J87" i="429"/>
  <c r="I87" i="429"/>
  <c r="H87" i="429"/>
  <c r="G87" i="429"/>
  <c r="B87" i="429"/>
  <c r="L86" i="429"/>
  <c r="J86" i="429"/>
  <c r="I86" i="429"/>
  <c r="H86" i="429"/>
  <c r="G86" i="429"/>
  <c r="B86" i="429"/>
  <c r="L85" i="429"/>
  <c r="J85" i="429"/>
  <c r="I85" i="429"/>
  <c r="H85" i="429"/>
  <c r="G85" i="429"/>
  <c r="B85" i="429"/>
  <c r="L84" i="429"/>
  <c r="J84" i="429"/>
  <c r="I84" i="429"/>
  <c r="H84" i="429"/>
  <c r="G84" i="429"/>
  <c r="B84" i="429"/>
  <c r="A84" i="429"/>
  <c r="A85" i="429" s="1"/>
  <c r="A86" i="429" s="1"/>
  <c r="A87" i="429" s="1"/>
  <c r="A88" i="429" s="1"/>
  <c r="A89" i="429" s="1"/>
  <c r="A90" i="429" s="1"/>
  <c r="A91" i="429" s="1"/>
  <c r="A92" i="429" s="1"/>
  <c r="A93" i="429" s="1"/>
  <c r="A94" i="429" s="1"/>
  <c r="A95" i="429" s="1"/>
  <c r="L83" i="429"/>
  <c r="J83" i="429"/>
  <c r="I83" i="429"/>
  <c r="H83" i="429"/>
  <c r="G83" i="429"/>
  <c r="B83" i="429"/>
  <c r="A83" i="429"/>
  <c r="L82" i="429"/>
  <c r="J82" i="429"/>
  <c r="I82" i="429"/>
  <c r="H82" i="429"/>
  <c r="G82" i="429"/>
  <c r="B82" i="429"/>
  <c r="G81" i="429"/>
  <c r="N81" i="429" s="1"/>
  <c r="Y28" i="429" s="1"/>
  <c r="J78" i="429"/>
  <c r="I78" i="429"/>
  <c r="H78" i="429"/>
  <c r="G78" i="429"/>
  <c r="B78" i="429"/>
  <c r="J77" i="429"/>
  <c r="I77" i="429"/>
  <c r="H77" i="429"/>
  <c r="G77" i="429"/>
  <c r="B77" i="429"/>
  <c r="J76" i="429"/>
  <c r="I76" i="429"/>
  <c r="H76" i="429"/>
  <c r="G76" i="429"/>
  <c r="B76" i="429"/>
  <c r="J75" i="429"/>
  <c r="I75" i="429"/>
  <c r="H75" i="429"/>
  <c r="G75" i="429"/>
  <c r="B75" i="429"/>
  <c r="J74" i="429"/>
  <c r="I74" i="429"/>
  <c r="H74" i="429"/>
  <c r="G74" i="429"/>
  <c r="B74" i="429"/>
  <c r="J73" i="429"/>
  <c r="I73" i="429"/>
  <c r="H73" i="429"/>
  <c r="G73" i="429"/>
  <c r="B73" i="429"/>
  <c r="J72" i="429"/>
  <c r="I72" i="429"/>
  <c r="H72" i="429"/>
  <c r="G72" i="429"/>
  <c r="B72" i="429"/>
  <c r="J71" i="429"/>
  <c r="I71" i="429"/>
  <c r="H71" i="429"/>
  <c r="G71" i="429"/>
  <c r="B71" i="429"/>
  <c r="J70" i="429"/>
  <c r="I70" i="429"/>
  <c r="H70" i="429"/>
  <c r="G70" i="429"/>
  <c r="B70" i="429"/>
  <c r="J69" i="429"/>
  <c r="I69" i="429"/>
  <c r="H69" i="429"/>
  <c r="G69" i="429"/>
  <c r="B69" i="429"/>
  <c r="J68" i="429"/>
  <c r="I68" i="429"/>
  <c r="H68" i="429"/>
  <c r="G68" i="429"/>
  <c r="B68" i="429"/>
  <c r="J67" i="429"/>
  <c r="I67" i="429"/>
  <c r="H67" i="429"/>
  <c r="G67" i="429"/>
  <c r="B67" i="429"/>
  <c r="J66" i="429"/>
  <c r="I66" i="429"/>
  <c r="H66" i="429"/>
  <c r="G66" i="429"/>
  <c r="B66" i="429"/>
  <c r="A66" i="429"/>
  <c r="A67" i="429" s="1"/>
  <c r="A68" i="429" s="1"/>
  <c r="A69" i="429" s="1"/>
  <c r="A70" i="429" s="1"/>
  <c r="A71" i="429" s="1"/>
  <c r="A72" i="429" s="1"/>
  <c r="A73" i="429" s="1"/>
  <c r="A74" i="429" s="1"/>
  <c r="A75" i="429" s="1"/>
  <c r="A76" i="429" s="1"/>
  <c r="A77" i="429" s="1"/>
  <c r="A78" i="429" s="1"/>
  <c r="J65" i="429"/>
  <c r="I65" i="429"/>
  <c r="H65" i="429"/>
  <c r="G65" i="429"/>
  <c r="B65" i="429"/>
  <c r="E41" i="429"/>
  <c r="B41" i="429"/>
  <c r="G41" i="429" s="1"/>
  <c r="N41" i="429" s="1"/>
  <c r="Y26" i="429"/>
  <c r="E25" i="429"/>
  <c r="B25" i="429"/>
  <c r="E24" i="429"/>
  <c r="B24" i="429"/>
  <c r="E23" i="429"/>
  <c r="B23" i="429"/>
  <c r="E22" i="429"/>
  <c r="B22" i="429"/>
  <c r="E21" i="429"/>
  <c r="B21" i="429"/>
  <c r="E20" i="429"/>
  <c r="B20" i="429"/>
  <c r="E19" i="429"/>
  <c r="B19" i="429"/>
  <c r="E18" i="429"/>
  <c r="B18" i="429"/>
  <c r="E17" i="429"/>
  <c r="B17" i="429"/>
  <c r="I16" i="429"/>
  <c r="E16" i="429"/>
  <c r="B16" i="429"/>
  <c r="E15" i="429"/>
  <c r="B15" i="429"/>
  <c r="E14" i="429"/>
  <c r="B14" i="429"/>
  <c r="AA13" i="429"/>
  <c r="E13" i="429"/>
  <c r="B13" i="429"/>
  <c r="I12" i="429"/>
  <c r="E12" i="429"/>
  <c r="B12" i="429"/>
  <c r="AA11" i="429"/>
  <c r="E11" i="429"/>
  <c r="B11" i="429"/>
  <c r="E10" i="429"/>
  <c r="B10" i="429"/>
  <c r="AA9" i="429"/>
  <c r="I9" i="429"/>
  <c r="E9" i="429"/>
  <c r="B9" i="429"/>
  <c r="I8" i="429"/>
  <c r="E8" i="429"/>
  <c r="B8" i="429"/>
  <c r="AA7" i="429"/>
  <c r="E7" i="429"/>
  <c r="B7" i="429"/>
  <c r="A7" i="429"/>
  <c r="A8" i="429" s="1"/>
  <c r="A9" i="429" s="1"/>
  <c r="A10" i="429" s="1"/>
  <c r="A11" i="429" s="1"/>
  <c r="A12" i="429" s="1"/>
  <c r="A13" i="429" s="1"/>
  <c r="A14" i="429" s="1"/>
  <c r="A15" i="429" s="1"/>
  <c r="A16" i="429" s="1"/>
  <c r="A17" i="429" s="1"/>
  <c r="A18" i="429" s="1"/>
  <c r="A19" i="429" s="1"/>
  <c r="A20" i="429" s="1"/>
  <c r="A21" i="429" s="1"/>
  <c r="A22" i="429" s="1"/>
  <c r="A23" i="429" s="1"/>
  <c r="A24" i="429" s="1"/>
  <c r="A25" i="429" s="1"/>
  <c r="E6" i="429"/>
  <c r="B6" i="429"/>
  <c r="AA5" i="429"/>
  <c r="Y5" i="429"/>
  <c r="AA4" i="429"/>
  <c r="Y4" i="429"/>
  <c r="H10" i="429" l="1"/>
  <c r="I24" i="429"/>
  <c r="C92" i="15"/>
  <c r="L92" i="15" s="1"/>
  <c r="L28" i="15"/>
  <c r="H6" i="429"/>
  <c r="G12" i="429"/>
  <c r="H8" i="429"/>
  <c r="L8" i="429" s="1"/>
  <c r="H7" i="429"/>
  <c r="G11" i="429"/>
  <c r="H20" i="429"/>
  <c r="H13" i="429"/>
  <c r="G13" i="429"/>
  <c r="I11" i="429"/>
  <c r="I10" i="429"/>
  <c r="L10" i="429" s="1"/>
  <c r="H15" i="429"/>
  <c r="G19" i="429"/>
  <c r="G21" i="429"/>
  <c r="O21" i="429" s="1"/>
  <c r="H24" i="429"/>
  <c r="H18" i="429"/>
  <c r="G18" i="429"/>
  <c r="I21" i="429"/>
  <c r="G8" i="429"/>
  <c r="H14" i="429"/>
  <c r="G14" i="429"/>
  <c r="G15" i="429"/>
  <c r="I20" i="429"/>
  <c r="G22" i="429"/>
  <c r="O22" i="429" s="1"/>
  <c r="G23" i="429"/>
  <c r="O23" i="429" s="1"/>
  <c r="G6" i="429"/>
  <c r="H19" i="429"/>
  <c r="H22" i="429"/>
  <c r="H23" i="429"/>
  <c r="F53" i="13"/>
  <c r="F145" i="13"/>
  <c r="E53" i="13"/>
  <c r="E8" i="13"/>
  <c r="I95" i="15"/>
  <c r="I94" i="15" s="1"/>
  <c r="I81" i="15"/>
  <c r="H80" i="15"/>
  <c r="E13" i="9"/>
  <c r="G9" i="429"/>
  <c r="G16" i="429"/>
  <c r="H17" i="429"/>
  <c r="H25" i="429"/>
  <c r="G25" i="429"/>
  <c r="O25" i="429" s="1"/>
  <c r="I7" i="429"/>
  <c r="Y30" i="429"/>
  <c r="H9" i="429"/>
  <c r="J9" i="429" s="1"/>
  <c r="G10" i="429"/>
  <c r="H11" i="429"/>
  <c r="H16" i="429"/>
  <c r="J16" i="429" s="1"/>
  <c r="G17" i="429"/>
  <c r="I19" i="429"/>
  <c r="G24" i="429"/>
  <c r="O24" i="429" s="1"/>
  <c r="I25" i="429"/>
  <c r="G7" i="429"/>
  <c r="H12" i="429"/>
  <c r="L12" i="429" s="1"/>
  <c r="I15" i="429"/>
  <c r="I17" i="429"/>
  <c r="G20" i="429"/>
  <c r="O20" i="429" s="1"/>
  <c r="H21" i="429"/>
  <c r="J21" i="429" s="1"/>
  <c r="I23" i="429"/>
  <c r="I6" i="429"/>
  <c r="I13" i="429"/>
  <c r="I14" i="429"/>
  <c r="I18" i="429"/>
  <c r="I22" i="429"/>
  <c r="J22" i="429" l="1"/>
  <c r="J25" i="429"/>
  <c r="J23" i="429"/>
  <c r="L23" i="429"/>
  <c r="J11" i="429"/>
  <c r="L25" i="429"/>
  <c r="L20" i="429"/>
  <c r="L22" i="429"/>
  <c r="J20" i="429"/>
  <c r="L21" i="429"/>
  <c r="J24" i="429"/>
  <c r="L24" i="429"/>
  <c r="J12" i="429"/>
  <c r="O12" i="429" s="1"/>
  <c r="L19" i="429"/>
  <c r="L11" i="429"/>
  <c r="E21" i="9"/>
  <c r="E23" i="9" s="1"/>
  <c r="E15" i="9"/>
  <c r="G29" i="429"/>
  <c r="L15" i="429"/>
  <c r="J10" i="429"/>
  <c r="O10" i="429" s="1"/>
  <c r="L7" i="429"/>
  <c r="J8" i="429"/>
  <c r="O8" i="429" s="1"/>
  <c r="J7" i="429"/>
  <c r="O7" i="429" s="1"/>
  <c r="J17" i="429"/>
  <c r="O17" i="429" s="1"/>
  <c r="O16" i="429"/>
  <c r="G28" i="429"/>
  <c r="J19" i="429"/>
  <c r="O19" i="429" s="1"/>
  <c r="G27" i="429"/>
  <c r="G26" i="429"/>
  <c r="O11" i="429"/>
  <c r="O9" i="429"/>
  <c r="L9" i="429"/>
  <c r="J81" i="15"/>
  <c r="I80" i="15"/>
  <c r="J95" i="15"/>
  <c r="J94" i="15" s="1"/>
  <c r="L14" i="429"/>
  <c r="J14" i="429"/>
  <c r="O14" i="429" s="1"/>
  <c r="L16" i="429"/>
  <c r="L13" i="429"/>
  <c r="J13" i="429"/>
  <c r="O13" i="429" s="1"/>
  <c r="L6" i="429"/>
  <c r="J6" i="429"/>
  <c r="O6" i="429" s="1"/>
  <c r="L18" i="429"/>
  <c r="J18" i="429"/>
  <c r="O18" i="429" s="1"/>
  <c r="J15" i="429"/>
  <c r="O15" i="429" s="1"/>
  <c r="L17" i="429"/>
  <c r="J28" i="429" l="1"/>
  <c r="J26" i="429"/>
  <c r="O26" i="429"/>
  <c r="J27" i="429"/>
  <c r="L29" i="429"/>
  <c r="O27" i="429"/>
  <c r="O31" i="429" s="1"/>
  <c r="J29" i="429"/>
  <c r="O28" i="429"/>
  <c r="O29" i="429"/>
  <c r="L26" i="429"/>
  <c r="K95" i="15"/>
  <c r="K94" i="15" s="1"/>
  <c r="J80" i="15"/>
  <c r="K81" i="15"/>
  <c r="L28" i="429"/>
  <c r="L27" i="429"/>
  <c r="L31" i="429" s="1"/>
  <c r="L41" i="429" s="1"/>
  <c r="K80" i="15" l="1"/>
  <c r="L81" i="15"/>
  <c r="L80" i="15" s="1"/>
  <c r="L95" i="15"/>
  <c r="L94" i="15" s="1"/>
  <c r="L42" i="429"/>
  <c r="P19" i="429" s="1"/>
  <c r="P41" i="429"/>
  <c r="P21" i="429" l="1"/>
  <c r="P24" i="429"/>
  <c r="P23" i="429"/>
  <c r="P22" i="429"/>
  <c r="P20" i="429"/>
  <c r="P25" i="429"/>
  <c r="P12" i="429"/>
  <c r="P13" i="429"/>
  <c r="P9" i="429"/>
  <c r="P7" i="429"/>
  <c r="P31" i="429"/>
  <c r="E36" i="429" s="1"/>
  <c r="P36" i="429" s="1"/>
  <c r="N42" i="429" s="1"/>
  <c r="P42" i="429" s="1"/>
  <c r="P44" i="429" s="1"/>
  <c r="P10" i="429"/>
  <c r="P16" i="429"/>
  <c r="P17" i="429"/>
  <c r="P6" i="429"/>
  <c r="P18" i="429"/>
  <c r="P11" i="429"/>
  <c r="P8" i="429"/>
  <c r="P15" i="429"/>
  <c r="P14" i="429"/>
  <c r="M18" i="235" l="1"/>
  <c r="I33" i="235"/>
  <c r="P29" i="429"/>
  <c r="P26" i="429"/>
  <c r="P27" i="429"/>
  <c r="P28" i="429"/>
  <c r="K18" i="235" l="1"/>
  <c r="J18" i="235"/>
  <c r="I18" i="235"/>
  <c r="L18" i="235"/>
  <c r="I32" i="235"/>
  <c r="I31" i="235" s="1"/>
  <c r="I34" i="235"/>
  <c r="I35" i="235" s="1"/>
  <c r="P168" i="446"/>
  <c r="AA166" i="446"/>
  <c r="AK147" i="446"/>
  <c r="AJ147" i="446"/>
  <c r="S147" i="446"/>
  <c r="T147" i="446" s="1"/>
  <c r="R139" i="446"/>
  <c r="R135" i="446"/>
  <c r="R131" i="446"/>
  <c r="S131" i="446" s="1"/>
  <c r="R127" i="446"/>
  <c r="R123" i="446"/>
  <c r="X119" i="446"/>
  <c r="Y119" i="446" s="1"/>
  <c r="Z119" i="446" s="1"/>
  <c r="AA119" i="446" s="1"/>
  <c r="R119" i="446"/>
  <c r="R115" i="446"/>
  <c r="S115" i="446" s="1"/>
  <c r="V115" i="446" s="1"/>
  <c r="R111" i="446"/>
  <c r="R107" i="446"/>
  <c r="R103" i="446"/>
  <c r="S103" i="446" s="1"/>
  <c r="AI100" i="446"/>
  <c r="AJ100" i="446" s="1"/>
  <c r="AK100" i="446" s="1"/>
  <c r="AL100" i="446" s="1"/>
  <c r="R99" i="446"/>
  <c r="S99" i="446" s="1"/>
  <c r="V99" i="446" s="1"/>
  <c r="R95" i="446"/>
  <c r="S95" i="446" s="1"/>
  <c r="V95" i="446" s="1"/>
  <c r="AL92" i="446"/>
  <c r="AK92" i="446"/>
  <c r="AJ92" i="446"/>
  <c r="AI92" i="446"/>
  <c r="AH92" i="446"/>
  <c r="R91" i="446"/>
  <c r="S91" i="446" s="1"/>
  <c r="AL88" i="446"/>
  <c r="AK88" i="446"/>
  <c r="AJ88" i="446"/>
  <c r="AI88" i="446"/>
  <c r="AH88" i="446"/>
  <c r="R87" i="446"/>
  <c r="AL83" i="446"/>
  <c r="AK83" i="446"/>
  <c r="AJ83" i="446"/>
  <c r="AI83" i="446"/>
  <c r="AH83" i="446"/>
  <c r="R83" i="446"/>
  <c r="AL79" i="446"/>
  <c r="AK79" i="446"/>
  <c r="AJ79" i="446"/>
  <c r="AI79" i="446"/>
  <c r="AH79" i="446"/>
  <c r="R79" i="446"/>
  <c r="R75" i="446"/>
  <c r="S75" i="446" s="1"/>
  <c r="AL71" i="446"/>
  <c r="AK71" i="446"/>
  <c r="AJ71" i="446"/>
  <c r="AI71" i="446"/>
  <c r="AH71" i="446"/>
  <c r="R71" i="446"/>
  <c r="AL67" i="446"/>
  <c r="AK67" i="446"/>
  <c r="AJ67" i="446"/>
  <c r="AI67" i="446"/>
  <c r="AH67" i="446"/>
  <c r="R67" i="446"/>
  <c r="S67" i="446" s="1"/>
  <c r="R63" i="446"/>
  <c r="S63" i="446" s="1"/>
  <c r="AL59" i="446"/>
  <c r="AK59" i="446"/>
  <c r="AJ59" i="446"/>
  <c r="AI59" i="446"/>
  <c r="AH59" i="446"/>
  <c r="R59" i="446"/>
  <c r="AL55" i="446"/>
  <c r="AK55" i="446"/>
  <c r="AJ55" i="446"/>
  <c r="AI55" i="446"/>
  <c r="AH55" i="446"/>
  <c r="R55" i="446"/>
  <c r="S55" i="446" s="1"/>
  <c r="R51" i="446"/>
  <c r="S51" i="446" s="1"/>
  <c r="R47" i="446"/>
  <c r="AH27" i="446"/>
  <c r="R43" i="446"/>
  <c r="S43" i="446" s="1"/>
  <c r="V43" i="446" s="1"/>
  <c r="AH75" i="446"/>
  <c r="R39" i="446"/>
  <c r="AI75" i="446" s="1"/>
  <c r="R35" i="446"/>
  <c r="S35" i="446" s="1"/>
  <c r="AL31" i="446"/>
  <c r="AK31" i="446"/>
  <c r="AJ31" i="446"/>
  <c r="AI31" i="446"/>
  <c r="AH31" i="446"/>
  <c r="R31" i="446"/>
  <c r="R27" i="446"/>
  <c r="R23" i="446"/>
  <c r="R19" i="446"/>
  <c r="S19" i="446" s="1"/>
  <c r="O19" i="446"/>
  <c r="O18" i="446"/>
  <c r="R13" i="446"/>
  <c r="S13" i="446" s="1"/>
  <c r="T13" i="446" s="1"/>
  <c r="U13" i="446" s="1"/>
  <c r="P13" i="438"/>
  <c r="P102" i="438"/>
  <c r="P99" i="438"/>
  <c r="P96" i="438"/>
  <c r="P93" i="438"/>
  <c r="P90" i="438"/>
  <c r="P87" i="438"/>
  <c r="P84" i="438"/>
  <c r="P81" i="438"/>
  <c r="P78" i="438"/>
  <c r="P75" i="438"/>
  <c r="P72" i="438"/>
  <c r="P69" i="438"/>
  <c r="P66" i="438"/>
  <c r="P63" i="438"/>
  <c r="P60" i="438"/>
  <c r="P57" i="438"/>
  <c r="P54" i="438"/>
  <c r="P51" i="438"/>
  <c r="P48" i="438"/>
  <c r="P45" i="438"/>
  <c r="P42" i="438"/>
  <c r="P39" i="438"/>
  <c r="P36" i="438"/>
  <c r="P33" i="438"/>
  <c r="P30" i="438"/>
  <c r="P27" i="438"/>
  <c r="P24" i="438"/>
  <c r="P21" i="438"/>
  <c r="P19" i="438"/>
  <c r="P16" i="438"/>
  <c r="L131" i="13"/>
  <c r="H223" i="450" l="1"/>
  <c r="H221" i="450" s="1"/>
  <c r="I46" i="13" s="1"/>
  <c r="H222" i="437"/>
  <c r="H220" i="437" s="1"/>
  <c r="I125" i="13" s="1"/>
  <c r="I123" i="13" s="1"/>
  <c r="I223" i="450"/>
  <c r="I221" i="450" s="1"/>
  <c r="J46" i="13" s="1"/>
  <c r="I222" i="437"/>
  <c r="I220" i="437" s="1"/>
  <c r="J125" i="13" s="1"/>
  <c r="J123" i="13" s="1"/>
  <c r="J223" i="450"/>
  <c r="J221" i="450" s="1"/>
  <c r="K46" i="13" s="1"/>
  <c r="J222" i="437"/>
  <c r="J220" i="437" s="1"/>
  <c r="K125" i="13" s="1"/>
  <c r="K123" i="13" s="1"/>
  <c r="G223" i="450"/>
  <c r="G222" i="437"/>
  <c r="AH56" i="446"/>
  <c r="AH57" i="446" s="1"/>
  <c r="AK62" i="446"/>
  <c r="K83" i="13" s="1"/>
  <c r="AL58" i="446"/>
  <c r="L82" i="13" s="1"/>
  <c r="AH58" i="446"/>
  <c r="H82" i="13" s="1"/>
  <c r="AI54" i="446"/>
  <c r="I80" i="13" s="1"/>
  <c r="AL42" i="446"/>
  <c r="L78" i="13" s="1"/>
  <c r="AH42" i="446"/>
  <c r="H78" i="13" s="1"/>
  <c r="AJ62" i="446"/>
  <c r="J83" i="13" s="1"/>
  <c r="AK58" i="446"/>
  <c r="K82" i="13" s="1"/>
  <c r="AL54" i="446"/>
  <c r="L80" i="13" s="1"/>
  <c r="AH54" i="446"/>
  <c r="H80" i="13" s="1"/>
  <c r="AK42" i="446"/>
  <c r="K78" i="13" s="1"/>
  <c r="AI62" i="446"/>
  <c r="I83" i="13" s="1"/>
  <c r="AJ58" i="446"/>
  <c r="J82" i="13" s="1"/>
  <c r="AK54" i="446"/>
  <c r="K80" i="13" s="1"/>
  <c r="AH50" i="446"/>
  <c r="H81" i="13" s="1"/>
  <c r="AJ42" i="446"/>
  <c r="J78" i="13" s="1"/>
  <c r="AL62" i="446"/>
  <c r="L83" i="13" s="1"/>
  <c r="AH62" i="446"/>
  <c r="H83" i="13" s="1"/>
  <c r="AI58" i="446"/>
  <c r="I82" i="13" s="1"/>
  <c r="AJ54" i="446"/>
  <c r="J80" i="13" s="1"/>
  <c r="AI42" i="446"/>
  <c r="I78" i="13" s="1"/>
  <c r="V35" i="446"/>
  <c r="V51" i="446"/>
  <c r="T75" i="446"/>
  <c r="U75" i="446" s="1"/>
  <c r="V75" i="446"/>
  <c r="T103" i="446"/>
  <c r="V103" i="446"/>
  <c r="V91" i="446"/>
  <c r="V55" i="446"/>
  <c r="V67" i="446"/>
  <c r="AL147" i="446"/>
  <c r="AI50" i="446"/>
  <c r="I81" i="13" s="1"/>
  <c r="AI26" i="446"/>
  <c r="I61" i="13" s="1"/>
  <c r="AK56" i="446"/>
  <c r="AJ56" i="446"/>
  <c r="AI56" i="446"/>
  <c r="T51" i="446"/>
  <c r="S71" i="446"/>
  <c r="AL56" i="446"/>
  <c r="S135" i="446"/>
  <c r="S107" i="446"/>
  <c r="U147" i="446"/>
  <c r="T99" i="446"/>
  <c r="U99" i="446" s="1"/>
  <c r="AI32" i="446"/>
  <c r="AJ44" i="446"/>
  <c r="AL52" i="446"/>
  <c r="AI24" i="446"/>
  <c r="AJ28" i="446"/>
  <c r="AH36" i="446"/>
  <c r="AH40" i="446"/>
  <c r="AL44" i="446"/>
  <c r="AJ48" i="446"/>
  <c r="AH52" i="446"/>
  <c r="AJ60" i="446"/>
  <c r="AH76" i="446"/>
  <c r="AH77" i="446" s="1"/>
  <c r="AJ24" i="446"/>
  <c r="AK28" i="446"/>
  <c r="AI36" i="446"/>
  <c r="S39" i="446"/>
  <c r="T39" i="446" s="1"/>
  <c r="AK75" i="446" s="1"/>
  <c r="AI40" i="446"/>
  <c r="AK48" i="446"/>
  <c r="AJ52" i="446"/>
  <c r="AK60" i="446"/>
  <c r="AI68" i="446"/>
  <c r="AK72" i="446"/>
  <c r="AL76" i="446"/>
  <c r="S79" i="446"/>
  <c r="V79" i="446" s="1"/>
  <c r="AH80" i="446"/>
  <c r="AH81" i="446" s="1"/>
  <c r="S127" i="446"/>
  <c r="AJ36" i="446"/>
  <c r="AK40" i="446"/>
  <c r="AL68" i="446"/>
  <c r="AL80" i="446"/>
  <c r="AH24" i="446"/>
  <c r="AH28" i="446"/>
  <c r="AH29" i="446" s="1"/>
  <c r="AJ32" i="446"/>
  <c r="AK44" i="446"/>
  <c r="U103" i="446"/>
  <c r="AJ27" i="446"/>
  <c r="T43" i="446"/>
  <c r="T19" i="446"/>
  <c r="T131" i="446"/>
  <c r="AI27" i="446"/>
  <c r="S47" i="446"/>
  <c r="V47" i="446" s="1"/>
  <c r="T55" i="446"/>
  <c r="S59" i="446"/>
  <c r="S83" i="446"/>
  <c r="V83" i="446" s="1"/>
  <c r="T95" i="446"/>
  <c r="T115" i="446"/>
  <c r="S139" i="446"/>
  <c r="V139" i="446" s="1"/>
  <c r="S23" i="446"/>
  <c r="V23" i="446" s="1"/>
  <c r="S27" i="446"/>
  <c r="S31" i="446"/>
  <c r="T35" i="446"/>
  <c r="T67" i="446"/>
  <c r="T91" i="446"/>
  <c r="S123" i="446"/>
  <c r="AL84" i="446"/>
  <c r="AH84" i="446"/>
  <c r="AI80" i="446"/>
  <c r="AJ84" i="446"/>
  <c r="AK80" i="446"/>
  <c r="AK76" i="446"/>
  <c r="AL72" i="446"/>
  <c r="AH72" i="446"/>
  <c r="AH73" i="446" s="1"/>
  <c r="AJ68" i="446"/>
  <c r="AL60" i="446"/>
  <c r="AH60" i="446"/>
  <c r="AH61" i="446" s="1"/>
  <c r="AI84" i="446"/>
  <c r="AJ80" i="446"/>
  <c r="AI76" i="446"/>
  <c r="AI72" i="446"/>
  <c r="AK68" i="446"/>
  <c r="AK52" i="446"/>
  <c r="AL48" i="446"/>
  <c r="AH48" i="446"/>
  <c r="AI44" i="446"/>
  <c r="AJ40" i="446"/>
  <c r="AK36" i="446"/>
  <c r="AL32" i="446"/>
  <c r="AH32" i="446"/>
  <c r="AH33" i="446" s="1"/>
  <c r="AI28" i="446"/>
  <c r="AK24" i="446"/>
  <c r="AL24" i="446"/>
  <c r="AL28" i="446"/>
  <c r="AK32" i="446"/>
  <c r="AL36" i="446"/>
  <c r="AL40" i="446"/>
  <c r="AH44" i="446"/>
  <c r="AI48" i="446"/>
  <c r="AI52" i="446"/>
  <c r="AI60" i="446"/>
  <c r="T63" i="446"/>
  <c r="AH68" i="446"/>
  <c r="AH69" i="446" s="1"/>
  <c r="AJ72" i="446"/>
  <c r="AJ76" i="446"/>
  <c r="AK84" i="446"/>
  <c r="S87" i="446"/>
  <c r="V87" i="446" s="1"/>
  <c r="S119" i="446"/>
  <c r="S111" i="446"/>
  <c r="V111" i="446" s="1"/>
  <c r="G220" i="437" l="1"/>
  <c r="H125" i="13" s="1"/>
  <c r="H123" i="13" s="1"/>
  <c r="K223" i="437"/>
  <c r="G221" i="450"/>
  <c r="H46" i="13" s="1"/>
  <c r="K224" i="450"/>
  <c r="T107" i="446"/>
  <c r="V107" i="446"/>
  <c r="T135" i="446"/>
  <c r="V135" i="446"/>
  <c r="T71" i="446"/>
  <c r="V71" i="446"/>
  <c r="K223" i="450"/>
  <c r="K222" i="437"/>
  <c r="K220" i="437" s="1"/>
  <c r="V27" i="446"/>
  <c r="AH85" i="446"/>
  <c r="AJ33" i="446"/>
  <c r="AL81" i="446"/>
  <c r="AJ61" i="446"/>
  <c r="AI33" i="446"/>
  <c r="AJ57" i="446"/>
  <c r="AK33" i="446"/>
  <c r="AI77" i="446"/>
  <c r="AL61" i="446"/>
  <c r="AL73" i="446"/>
  <c r="AI81" i="446"/>
  <c r="AJ73" i="446"/>
  <c r="AI61" i="446"/>
  <c r="AJ81" i="446"/>
  <c r="AK73" i="446"/>
  <c r="AL33" i="446"/>
  <c r="AK69" i="446"/>
  <c r="AI85" i="446"/>
  <c r="AJ69" i="446"/>
  <c r="AK81" i="446"/>
  <c r="AL85" i="446"/>
  <c r="AL69" i="446"/>
  <c r="AI69" i="446"/>
  <c r="AL57" i="446"/>
  <c r="AI57" i="446"/>
  <c r="AK57" i="446"/>
  <c r="AK85" i="446"/>
  <c r="AI73" i="446"/>
  <c r="AJ85" i="446"/>
  <c r="AK61" i="446"/>
  <c r="H102" i="13"/>
  <c r="AJ26" i="446"/>
  <c r="J61" i="13" s="1"/>
  <c r="U39" i="446"/>
  <c r="AL75" i="446" s="1"/>
  <c r="AL77" i="446" s="1"/>
  <c r="AJ29" i="446"/>
  <c r="AJ75" i="446"/>
  <c r="AJ77" i="446" s="1"/>
  <c r="U51" i="446"/>
  <c r="AI29" i="446"/>
  <c r="T79" i="446"/>
  <c r="T127" i="446"/>
  <c r="T47" i="446"/>
  <c r="U43" i="446"/>
  <c r="AL27" i="446" s="1"/>
  <c r="AL29" i="446" s="1"/>
  <c r="AK27" i="446"/>
  <c r="AK29" i="446" s="1"/>
  <c r="T123" i="446"/>
  <c r="T27" i="446"/>
  <c r="T59" i="446"/>
  <c r="U63" i="446"/>
  <c r="U91" i="446"/>
  <c r="U67" i="446"/>
  <c r="T31" i="446"/>
  <c r="T23" i="446"/>
  <c r="U95" i="446"/>
  <c r="T83" i="446"/>
  <c r="T119" i="446"/>
  <c r="T87" i="446"/>
  <c r="U115" i="446"/>
  <c r="U19" i="446"/>
  <c r="T111" i="446"/>
  <c r="U35" i="446"/>
  <c r="T139" i="446"/>
  <c r="U55" i="446"/>
  <c r="U131" i="446"/>
  <c r="AK77" i="446"/>
  <c r="K221" i="450" l="1"/>
  <c r="L46" i="13" s="1"/>
  <c r="AJ50" i="446"/>
  <c r="J81" i="13" s="1"/>
  <c r="L125" i="13"/>
  <c r="L123" i="13" s="1"/>
  <c r="AM112" i="438"/>
  <c r="U135" i="446"/>
  <c r="U71" i="446"/>
  <c r="U107" i="446"/>
  <c r="AH134" i="446"/>
  <c r="AH136" i="446" s="1"/>
  <c r="AH150" i="446" s="1"/>
  <c r="I102" i="13"/>
  <c r="AK26" i="446"/>
  <c r="K61" i="13" s="1"/>
  <c r="U127" i="446"/>
  <c r="U79" i="446"/>
  <c r="U23" i="446"/>
  <c r="U59" i="446"/>
  <c r="U123" i="446"/>
  <c r="AI134" i="446"/>
  <c r="U47" i="446"/>
  <c r="U87" i="446"/>
  <c r="U119" i="446"/>
  <c r="U83" i="446"/>
  <c r="U27" i="446"/>
  <c r="U139" i="446"/>
  <c r="U111" i="446"/>
  <c r="U31" i="446"/>
  <c r="AK50" i="446" l="1"/>
  <c r="K81" i="13" s="1"/>
  <c r="J102" i="13"/>
  <c r="AL26" i="446"/>
  <c r="L61" i="13" s="1"/>
  <c r="AI136" i="446"/>
  <c r="AI150" i="446" s="1"/>
  <c r="AL50" i="446" l="1"/>
  <c r="L81" i="13" s="1"/>
  <c r="K102" i="13"/>
  <c r="AJ134" i="446"/>
  <c r="AJ136" i="446" s="1"/>
  <c r="AJ150" i="446" s="1"/>
  <c r="U187" i="446" l="1"/>
  <c r="L102" i="13"/>
  <c r="AK134" i="446"/>
  <c r="AK136" i="446" s="1"/>
  <c r="AK150" i="446" s="1"/>
  <c r="AL134" i="446" l="1"/>
  <c r="AL136" i="446" s="1"/>
  <c r="AL150" i="446" s="1"/>
  <c r="U189" i="446"/>
  <c r="U188" i="446" s="1"/>
  <c r="G66" i="13" l="1"/>
  <c r="E55" i="13"/>
  <c r="F55" i="13"/>
  <c r="AB48" i="445"/>
  <c r="AA48" i="445"/>
  <c r="E48" i="445"/>
  <c r="F48" i="445" s="1"/>
  <c r="G48" i="445" s="1"/>
  <c r="H48" i="445" s="1"/>
  <c r="AB47" i="445"/>
  <c r="E47" i="445"/>
  <c r="F47" i="445" s="1"/>
  <c r="G47" i="445" s="1"/>
  <c r="H47" i="445" s="1"/>
  <c r="AB46" i="445"/>
  <c r="AA46" i="445"/>
  <c r="E46" i="445"/>
  <c r="F46" i="445" s="1"/>
  <c r="G46" i="445" s="1"/>
  <c r="H46" i="445" s="1"/>
  <c r="AB45" i="445"/>
  <c r="AA45" i="445"/>
  <c r="E45" i="445"/>
  <c r="F45" i="445" s="1"/>
  <c r="G45" i="445" s="1"/>
  <c r="H45" i="445" s="1"/>
  <c r="AB44" i="445"/>
  <c r="AA44" i="445"/>
  <c r="E44" i="445"/>
  <c r="F44" i="445" s="1"/>
  <c r="G44" i="445" s="1"/>
  <c r="H44" i="445" s="1"/>
  <c r="AB43" i="445"/>
  <c r="AA43" i="445"/>
  <c r="E43" i="445"/>
  <c r="F43" i="445" s="1"/>
  <c r="G43" i="445" s="1"/>
  <c r="H43" i="445" s="1"/>
  <c r="AB42" i="445"/>
  <c r="AA42" i="445"/>
  <c r="E42" i="445"/>
  <c r="F42" i="445" s="1"/>
  <c r="G42" i="445" s="1"/>
  <c r="H42" i="445" s="1"/>
  <c r="AB41" i="445"/>
  <c r="AA41" i="445"/>
  <c r="E41" i="445"/>
  <c r="F41" i="445" s="1"/>
  <c r="G41" i="445" s="1"/>
  <c r="H41" i="445" s="1"/>
  <c r="AB40" i="445"/>
  <c r="AA40" i="445"/>
  <c r="E40" i="445"/>
  <c r="F40" i="445" s="1"/>
  <c r="G40" i="445" s="1"/>
  <c r="H40" i="445" s="1"/>
  <c r="AB39" i="445"/>
  <c r="AA39" i="445"/>
  <c r="E39" i="445"/>
  <c r="F39" i="445" s="1"/>
  <c r="G39" i="445" s="1"/>
  <c r="H39" i="445" s="1"/>
  <c r="AB38" i="445"/>
  <c r="AA38" i="445"/>
  <c r="E38" i="445"/>
  <c r="F38" i="445" s="1"/>
  <c r="G38" i="445" s="1"/>
  <c r="H38" i="445" s="1"/>
  <c r="AB37" i="445"/>
  <c r="AA37" i="445"/>
  <c r="E37" i="445"/>
  <c r="F37" i="445" s="1"/>
  <c r="G37" i="445" s="1"/>
  <c r="H37" i="445" s="1"/>
  <c r="AB36" i="445"/>
  <c r="AA36" i="445"/>
  <c r="E36" i="445"/>
  <c r="F36" i="445" s="1"/>
  <c r="G36" i="445" s="1"/>
  <c r="H36" i="445" s="1"/>
  <c r="AB35" i="445"/>
  <c r="AA35" i="445"/>
  <c r="E35" i="445"/>
  <c r="F35" i="445" s="1"/>
  <c r="G35" i="445" s="1"/>
  <c r="H35" i="445" s="1"/>
  <c r="AB34" i="445"/>
  <c r="E34" i="445"/>
  <c r="F34" i="445" s="1"/>
  <c r="G34" i="445" s="1"/>
  <c r="H34" i="445" s="1"/>
  <c r="AB33" i="445"/>
  <c r="AA33" i="445"/>
  <c r="E33" i="445"/>
  <c r="F33" i="445" s="1"/>
  <c r="G33" i="445" s="1"/>
  <c r="H33" i="445" s="1"/>
  <c r="AB32" i="445"/>
  <c r="AA32" i="445"/>
  <c r="E32" i="445"/>
  <c r="F32" i="445" s="1"/>
  <c r="G32" i="445" s="1"/>
  <c r="H32" i="445" s="1"/>
  <c r="AB31" i="445"/>
  <c r="AA31" i="445"/>
  <c r="E31" i="445"/>
  <c r="F31" i="445" s="1"/>
  <c r="G31" i="445" s="1"/>
  <c r="H31" i="445" s="1"/>
  <c r="AB30" i="445"/>
  <c r="E30" i="445"/>
  <c r="F30" i="445" s="1"/>
  <c r="G30" i="445" s="1"/>
  <c r="H30" i="445" s="1"/>
  <c r="AB29" i="445"/>
  <c r="AA29" i="445"/>
  <c r="E29" i="445"/>
  <c r="F29" i="445" s="1"/>
  <c r="G29" i="445" s="1"/>
  <c r="H29" i="445" s="1"/>
  <c r="AB28" i="445"/>
  <c r="AA28" i="445"/>
  <c r="E28" i="445"/>
  <c r="F28" i="445" s="1"/>
  <c r="G28" i="445" s="1"/>
  <c r="H28" i="445" s="1"/>
  <c r="AB27" i="445"/>
  <c r="E27" i="445"/>
  <c r="F27" i="445" s="1"/>
  <c r="G27" i="445" s="1"/>
  <c r="H27" i="445" s="1"/>
  <c r="AB26" i="445"/>
  <c r="AA26" i="445"/>
  <c r="E26" i="445"/>
  <c r="F26" i="445" s="1"/>
  <c r="G26" i="445" s="1"/>
  <c r="H26" i="445" s="1"/>
  <c r="AB25" i="445"/>
  <c r="E25" i="445"/>
  <c r="F25" i="445" s="1"/>
  <c r="G25" i="445" s="1"/>
  <c r="H25" i="445" s="1"/>
  <c r="AB24" i="445"/>
  <c r="AA24" i="445"/>
  <c r="E24" i="445"/>
  <c r="F24" i="445" s="1"/>
  <c r="G24" i="445" s="1"/>
  <c r="H24" i="445" s="1"/>
  <c r="AB23" i="445"/>
  <c r="AA23" i="445"/>
  <c r="E23" i="445"/>
  <c r="F23" i="445" s="1"/>
  <c r="G23" i="445" s="1"/>
  <c r="H23" i="445" s="1"/>
  <c r="AB22" i="445"/>
  <c r="AA22" i="445"/>
  <c r="E22" i="445"/>
  <c r="F22" i="445" s="1"/>
  <c r="G22" i="445" s="1"/>
  <c r="H22" i="445" s="1"/>
  <c r="AB21" i="445"/>
  <c r="E21" i="445"/>
  <c r="F21" i="445" s="1"/>
  <c r="G21" i="445" s="1"/>
  <c r="H21" i="445" s="1"/>
  <c r="AB20" i="445"/>
  <c r="AA20" i="445"/>
  <c r="E20" i="445"/>
  <c r="F20" i="445" s="1"/>
  <c r="G20" i="445" s="1"/>
  <c r="H20" i="445" s="1"/>
  <c r="AB19" i="445"/>
  <c r="AA19" i="445"/>
  <c r="E19" i="445"/>
  <c r="F19" i="445" s="1"/>
  <c r="G19" i="445" s="1"/>
  <c r="H19" i="445" s="1"/>
  <c r="E18" i="445"/>
  <c r="F18" i="445" s="1"/>
  <c r="G18" i="445" s="1"/>
  <c r="H18" i="445" s="1"/>
  <c r="AA17" i="445"/>
  <c r="E17" i="445"/>
  <c r="F17" i="445" s="1"/>
  <c r="G17" i="445" s="1"/>
  <c r="H17" i="445" s="1"/>
  <c r="AB16" i="445"/>
  <c r="AA16" i="445"/>
  <c r="E16" i="445"/>
  <c r="F16" i="445" s="1"/>
  <c r="G16" i="445" s="1"/>
  <c r="H16" i="445" s="1"/>
  <c r="AB15" i="445"/>
  <c r="AA15" i="445"/>
  <c r="E15" i="445"/>
  <c r="F15" i="445" s="1"/>
  <c r="G15" i="445" s="1"/>
  <c r="H15" i="445" s="1"/>
  <c r="E14" i="445"/>
  <c r="F14" i="445" s="1"/>
  <c r="G14" i="445" s="1"/>
  <c r="H14" i="445" s="1"/>
  <c r="AA13" i="445"/>
  <c r="E13" i="445"/>
  <c r="F13" i="445" s="1"/>
  <c r="G13" i="445" s="1"/>
  <c r="H13" i="445" s="1"/>
  <c r="AA12" i="445"/>
  <c r="E12" i="445"/>
  <c r="F12" i="445" s="1"/>
  <c r="G12" i="445" s="1"/>
  <c r="H12" i="445" s="1"/>
  <c r="AB11" i="445"/>
  <c r="AA11" i="445"/>
  <c r="E11" i="445"/>
  <c r="F11" i="445" s="1"/>
  <c r="G11" i="445" s="1"/>
  <c r="H11" i="445" s="1"/>
  <c r="AA10" i="445"/>
  <c r="E10" i="445"/>
  <c r="F10" i="445" s="1"/>
  <c r="G10" i="445" s="1"/>
  <c r="H10" i="445" s="1"/>
  <c r="AB9" i="445"/>
  <c r="AA9" i="445"/>
  <c r="E9" i="445"/>
  <c r="F9" i="445" s="1"/>
  <c r="G9" i="445" s="1"/>
  <c r="H9" i="445" s="1"/>
  <c r="E8" i="445"/>
  <c r="F8" i="445" s="1"/>
  <c r="G8" i="445" s="1"/>
  <c r="H8" i="445" s="1"/>
  <c r="AB7" i="445"/>
  <c r="AA7" i="445"/>
  <c r="E7" i="445"/>
  <c r="F7" i="445" s="1"/>
  <c r="G7" i="445" s="1"/>
  <c r="H7" i="445" s="1"/>
  <c r="AA6" i="445"/>
  <c r="E6" i="445"/>
  <c r="F6" i="445" s="1"/>
  <c r="G6" i="445" s="1"/>
  <c r="H6" i="445" s="1"/>
  <c r="AB5" i="445"/>
  <c r="AA5" i="445"/>
  <c r="E5" i="445"/>
  <c r="F5" i="445" s="1"/>
  <c r="G5" i="445" s="1"/>
  <c r="H5" i="445" s="1"/>
  <c r="K42" i="13"/>
  <c r="J42" i="13"/>
  <c r="I42" i="13"/>
  <c r="H42" i="13"/>
  <c r="G79" i="15" l="1"/>
  <c r="F79" i="15"/>
  <c r="E79" i="15"/>
  <c r="D79" i="15"/>
  <c r="I65" i="441"/>
  <c r="I64" i="441"/>
  <c r="H64" i="441"/>
  <c r="I63" i="441"/>
  <c r="H63" i="441"/>
  <c r="G63" i="441"/>
  <c r="I62" i="441"/>
  <c r="H62" i="441"/>
  <c r="G62" i="441"/>
  <c r="F62" i="441"/>
  <c r="I61" i="441"/>
  <c r="H61" i="441"/>
  <c r="G61" i="441"/>
  <c r="F61" i="441"/>
  <c r="E61" i="441"/>
  <c r="I60" i="441"/>
  <c r="H60" i="441"/>
  <c r="G60" i="441"/>
  <c r="F60" i="441"/>
  <c r="E60" i="441"/>
  <c r="D60" i="441"/>
  <c r="J55" i="441"/>
  <c r="I55" i="441"/>
  <c r="H55" i="441"/>
  <c r="J54" i="441"/>
  <c r="I54" i="441"/>
  <c r="H54" i="441"/>
  <c r="G54" i="441"/>
  <c r="J53" i="441"/>
  <c r="I53" i="441"/>
  <c r="H53" i="441"/>
  <c r="G53" i="441"/>
  <c r="F53" i="441"/>
  <c r="J52" i="441"/>
  <c r="J51" i="441"/>
  <c r="I52" i="441"/>
  <c r="H52" i="441"/>
  <c r="G52" i="441"/>
  <c r="F52" i="441"/>
  <c r="E52" i="441"/>
  <c r="I51" i="441"/>
  <c r="H51" i="441"/>
  <c r="G51" i="441"/>
  <c r="F51" i="441"/>
  <c r="E51" i="441"/>
  <c r="D51" i="441"/>
  <c r="I27" i="441"/>
  <c r="F25" i="441"/>
  <c r="E23" i="441"/>
  <c r="H26" i="441"/>
  <c r="G26" i="441"/>
  <c r="H23" i="441"/>
  <c r="G23" i="441"/>
  <c r="I28" i="441"/>
  <c r="H27" i="441"/>
  <c r="H25" i="441"/>
  <c r="G25" i="441"/>
  <c r="E24" i="441"/>
  <c r="I36" i="441"/>
  <c r="I35" i="441"/>
  <c r="H35" i="441"/>
  <c r="I34" i="441"/>
  <c r="H34" i="441"/>
  <c r="G34" i="441"/>
  <c r="I33" i="441"/>
  <c r="H33" i="441"/>
  <c r="G33" i="441"/>
  <c r="F33" i="441"/>
  <c r="I32" i="441"/>
  <c r="H32" i="441"/>
  <c r="G32" i="441"/>
  <c r="F32" i="441"/>
  <c r="E32" i="441"/>
  <c r="I31" i="441"/>
  <c r="H31" i="441"/>
  <c r="G31" i="441"/>
  <c r="F31" i="441"/>
  <c r="E31" i="441"/>
  <c r="D31" i="441"/>
  <c r="I45" i="441"/>
  <c r="I44" i="441"/>
  <c r="H44" i="441"/>
  <c r="I43" i="441"/>
  <c r="H43" i="441"/>
  <c r="G43" i="441"/>
  <c r="I42" i="441"/>
  <c r="H42" i="441"/>
  <c r="G42" i="441"/>
  <c r="F42" i="441"/>
  <c r="I41" i="441"/>
  <c r="H41" i="441"/>
  <c r="G41" i="441"/>
  <c r="F41" i="441"/>
  <c r="E41" i="441"/>
  <c r="I40" i="441"/>
  <c r="H40" i="441"/>
  <c r="G40" i="441"/>
  <c r="F40" i="441"/>
  <c r="E40" i="441"/>
  <c r="D40" i="441"/>
  <c r="D23" i="441" l="1"/>
  <c r="I23" i="441"/>
  <c r="I26" i="441"/>
  <c r="F24" i="441"/>
  <c r="G24" i="441"/>
  <c r="H24" i="441"/>
  <c r="F23" i="441"/>
  <c r="I24" i="441"/>
  <c r="I25" i="441"/>
  <c r="K33" i="15" l="1"/>
  <c r="J33" i="15"/>
  <c r="C90" i="15" s="1"/>
  <c r="J90" i="15" s="1"/>
  <c r="K90" i="15" s="1"/>
  <c r="L90" i="15" s="1"/>
  <c r="I33" i="15"/>
  <c r="C89" i="15" s="1"/>
  <c r="I89" i="15" s="1"/>
  <c r="J89" i="15" s="1"/>
  <c r="K89" i="15" s="1"/>
  <c r="L89" i="15" s="1"/>
  <c r="H33" i="15"/>
  <c r="C88" i="15" s="1"/>
  <c r="H88" i="15" s="1"/>
  <c r="H87" i="15" s="1"/>
  <c r="H79" i="15" s="1"/>
  <c r="I15" i="441"/>
  <c r="H15" i="441"/>
  <c r="G15" i="441"/>
  <c r="F15" i="441"/>
  <c r="E15" i="441"/>
  <c r="D15" i="441"/>
  <c r="G99" i="14"/>
  <c r="F99" i="14"/>
  <c r="G142" i="14"/>
  <c r="G122" i="14"/>
  <c r="G36" i="419"/>
  <c r="G35" i="419"/>
  <c r="G34" i="419"/>
  <c r="G33" i="419"/>
  <c r="G32" i="419"/>
  <c r="G31" i="419"/>
  <c r="G30" i="419"/>
  <c r="G29" i="419"/>
  <c r="G28" i="419"/>
  <c r="G27" i="419"/>
  <c r="G26" i="419"/>
  <c r="G25" i="419"/>
  <c r="G24" i="419"/>
  <c r="G23" i="419"/>
  <c r="G22" i="419"/>
  <c r="G21" i="419"/>
  <c r="G20" i="419"/>
  <c r="G19" i="419"/>
  <c r="G18" i="419"/>
  <c r="G17" i="419"/>
  <c r="G16" i="419"/>
  <c r="G15" i="419"/>
  <c r="G13" i="419"/>
  <c r="G12" i="419"/>
  <c r="G11" i="419"/>
  <c r="G10" i="419"/>
  <c r="G9" i="419"/>
  <c r="G8" i="419"/>
  <c r="G7" i="419"/>
  <c r="G6" i="419"/>
  <c r="G14" i="419"/>
  <c r="G5" i="419"/>
  <c r="G55" i="415"/>
  <c r="G54" i="415"/>
  <c r="G53" i="415"/>
  <c r="G52" i="415"/>
  <c r="G51" i="415"/>
  <c r="G50" i="415"/>
  <c r="G49" i="415"/>
  <c r="G48" i="415"/>
  <c r="G47" i="415"/>
  <c r="G46" i="415"/>
  <c r="L14" i="415" s="1"/>
  <c r="G45" i="415"/>
  <c r="G44" i="415"/>
  <c r="G140" i="14" s="1"/>
  <c r="G43" i="415"/>
  <c r="G61" i="14" s="1"/>
  <c r="G42" i="415"/>
  <c r="G156" i="14" s="1"/>
  <c r="G41" i="415"/>
  <c r="G55" i="14" s="1"/>
  <c r="G40" i="415"/>
  <c r="G39" i="415"/>
  <c r="G138" i="14" s="1"/>
  <c r="G38" i="415"/>
  <c r="G51" i="14" s="1"/>
  <c r="G37" i="415"/>
  <c r="G47" i="14" s="1"/>
  <c r="G36" i="415"/>
  <c r="G136" i="14" s="1"/>
  <c r="G35" i="415"/>
  <c r="G134" i="14" s="1"/>
  <c r="G34" i="415"/>
  <c r="G132" i="14" s="1"/>
  <c r="G33" i="415"/>
  <c r="G130" i="14" s="1"/>
  <c r="G32" i="415"/>
  <c r="G43" i="14" s="1"/>
  <c r="G39" i="14" s="1"/>
  <c r="G31" i="415"/>
  <c r="G128" i="14" s="1"/>
  <c r="G30" i="415"/>
  <c r="G126" i="14" s="1"/>
  <c r="G29" i="415"/>
  <c r="G124" i="14" s="1"/>
  <c r="G28" i="415"/>
  <c r="G27" i="415"/>
  <c r="G153" i="14" s="1"/>
  <c r="G26" i="415"/>
  <c r="G120" i="14" s="1"/>
  <c r="G25" i="415"/>
  <c r="G118" i="14" s="1"/>
  <c r="G24" i="415"/>
  <c r="G116" i="14" s="1"/>
  <c r="G23" i="415"/>
  <c r="G114" i="14" s="1"/>
  <c r="G22" i="415"/>
  <c r="G112" i="14" s="1"/>
  <c r="G21" i="415"/>
  <c r="G110" i="14" s="1"/>
  <c r="G20" i="415"/>
  <c r="G19" i="415"/>
  <c r="G95" i="14" s="1"/>
  <c r="G18" i="415"/>
  <c r="G91" i="14" s="1"/>
  <c r="G17" i="415"/>
  <c r="G87" i="14" s="1"/>
  <c r="G16" i="415"/>
  <c r="G82" i="14" s="1"/>
  <c r="G15" i="415"/>
  <c r="G79" i="14" s="1"/>
  <c r="G14" i="415"/>
  <c r="G17" i="9" s="1"/>
  <c r="G13" i="415"/>
  <c r="G12" i="415"/>
  <c r="G11" i="415"/>
  <c r="G10" i="415"/>
  <c r="G9" i="415"/>
  <c r="G8" i="415"/>
  <c r="G9" i="9" s="1"/>
  <c r="G7" i="415"/>
  <c r="F213" i="450" s="1"/>
  <c r="F216" i="450" s="1"/>
  <c r="G216" i="450" s="1"/>
  <c r="H216" i="450" s="1"/>
  <c r="I216" i="450" s="1"/>
  <c r="J216" i="450" s="1"/>
  <c r="K216" i="450" s="1"/>
  <c r="G6" i="415"/>
  <c r="G5" i="415"/>
  <c r="J200" i="437"/>
  <c r="K200" i="437" s="1"/>
  <c r="I200" i="437"/>
  <c r="H200" i="437"/>
  <c r="G200" i="437"/>
  <c r="E220" i="437"/>
  <c r="F220" i="437"/>
  <c r="D219" i="437"/>
  <c r="S159" i="438"/>
  <c r="S141" i="438"/>
  <c r="S138" i="438"/>
  <c r="S128" i="438"/>
  <c r="AE126" i="438"/>
  <c r="T113" i="438"/>
  <c r="S113" i="438"/>
  <c r="AL112" i="438"/>
  <c r="AI112" i="438"/>
  <c r="U112" i="438"/>
  <c r="S107" i="438"/>
  <c r="K1641" i="458" s="1"/>
  <c r="T106" i="438"/>
  <c r="T107" i="438" s="1"/>
  <c r="S104" i="438"/>
  <c r="T103" i="438"/>
  <c r="U103" i="438" s="1"/>
  <c r="S101" i="438"/>
  <c r="K1627" i="458" s="1"/>
  <c r="T100" i="438"/>
  <c r="U100" i="438" s="1"/>
  <c r="AM99" i="438"/>
  <c r="AL99" i="438"/>
  <c r="AK99" i="438"/>
  <c r="AJ99" i="438"/>
  <c r="AI99" i="438"/>
  <c r="S98" i="438"/>
  <c r="AM97" i="438"/>
  <c r="AL97" i="438"/>
  <c r="AK97" i="438"/>
  <c r="AJ97" i="438"/>
  <c r="AI97" i="438"/>
  <c r="T97" i="438"/>
  <c r="S95" i="438"/>
  <c r="AM94" i="438"/>
  <c r="AL94" i="438"/>
  <c r="AK94" i="438"/>
  <c r="AJ94" i="438"/>
  <c r="AI94" i="438"/>
  <c r="G179" i="450" s="1"/>
  <c r="T94" i="438"/>
  <c r="T95" i="438" s="1"/>
  <c r="R124" i="446" s="1"/>
  <c r="AM91" i="438"/>
  <c r="AL91" i="438"/>
  <c r="AK91" i="438"/>
  <c r="AJ91" i="438"/>
  <c r="AI91" i="438"/>
  <c r="Z91" i="438"/>
  <c r="AA91" i="438" s="1"/>
  <c r="AB91" i="438" s="1"/>
  <c r="AC91" i="438" s="1"/>
  <c r="T91" i="438"/>
  <c r="U91" i="438" s="1"/>
  <c r="U118" i="446"/>
  <c r="T118" i="446"/>
  <c r="S118" i="446"/>
  <c r="T88" i="438"/>
  <c r="U88" i="438" s="1"/>
  <c r="T114" i="446"/>
  <c r="S114" i="446"/>
  <c r="S86" i="438"/>
  <c r="AM85" i="438"/>
  <c r="K197" i="437" s="1"/>
  <c r="K198" i="450" s="1"/>
  <c r="AL85" i="438"/>
  <c r="J197" i="437" s="1"/>
  <c r="AK85" i="438"/>
  <c r="I197" i="437" s="1"/>
  <c r="AJ85" i="438"/>
  <c r="H197" i="437" s="1"/>
  <c r="AI85" i="438"/>
  <c r="G197" i="437" s="1"/>
  <c r="T85" i="438"/>
  <c r="S83" i="438"/>
  <c r="AM82" i="438"/>
  <c r="AL82" i="438"/>
  <c r="AK82" i="438"/>
  <c r="AJ82" i="438"/>
  <c r="AI82" i="438"/>
  <c r="T82" i="438"/>
  <c r="S80" i="438"/>
  <c r="Q104" i="446" s="1"/>
  <c r="AM79" i="438"/>
  <c r="AL79" i="438"/>
  <c r="AK79" i="438"/>
  <c r="AJ79" i="438"/>
  <c r="H172" i="450" s="1"/>
  <c r="AI79" i="438"/>
  <c r="T79" i="438"/>
  <c r="AJ77" i="438"/>
  <c r="AK77" i="438" s="1"/>
  <c r="AL77" i="438" s="1"/>
  <c r="AM77" i="438" s="1"/>
  <c r="S77" i="438"/>
  <c r="T76" i="438"/>
  <c r="U76" i="438" s="1"/>
  <c r="U77" i="438" s="1"/>
  <c r="S100" i="446" s="1"/>
  <c r="S74" i="438"/>
  <c r="T73" i="438"/>
  <c r="U73" i="438" s="1"/>
  <c r="AM71" i="438"/>
  <c r="K148" i="450" s="1"/>
  <c r="AL71" i="438"/>
  <c r="AK71" i="438"/>
  <c r="AJ71" i="438"/>
  <c r="H148" i="450" s="1"/>
  <c r="AI71" i="438"/>
  <c r="T70" i="438"/>
  <c r="U70" i="438" s="1"/>
  <c r="U159" i="438" s="1"/>
  <c r="R208" i="446" s="1"/>
  <c r="U90" i="446"/>
  <c r="AL20" i="446" s="1"/>
  <c r="T90" i="446"/>
  <c r="AK20" i="446" s="1"/>
  <c r="S90" i="446"/>
  <c r="AJ20" i="446" s="1"/>
  <c r="S68" i="438"/>
  <c r="T67" i="438"/>
  <c r="U67" i="438" s="1"/>
  <c r="S65" i="438"/>
  <c r="AM64" i="438"/>
  <c r="AL64" i="438"/>
  <c r="AK64" i="438"/>
  <c r="AJ64" i="438"/>
  <c r="AI64" i="438"/>
  <c r="T64" i="438"/>
  <c r="T65" i="438" s="1"/>
  <c r="R84" i="446" s="1"/>
  <c r="AI39" i="446" s="1"/>
  <c r="AM61" i="438"/>
  <c r="AL61" i="438"/>
  <c r="AK61" i="438"/>
  <c r="AJ61" i="438"/>
  <c r="AI61" i="438"/>
  <c r="T61" i="438"/>
  <c r="U78" i="446"/>
  <c r="T78" i="446"/>
  <c r="S78" i="446"/>
  <c r="S59" i="438"/>
  <c r="T58" i="438"/>
  <c r="U58" i="438" s="1"/>
  <c r="AM55" i="438"/>
  <c r="AL55" i="438"/>
  <c r="AK55" i="438"/>
  <c r="AJ55" i="438"/>
  <c r="AI55" i="438"/>
  <c r="T55" i="438"/>
  <c r="U70" i="446"/>
  <c r="T70" i="446"/>
  <c r="AK64" i="446" s="1"/>
  <c r="S70" i="446"/>
  <c r="S53" i="438"/>
  <c r="AM52" i="438"/>
  <c r="AL52" i="438"/>
  <c r="AK52" i="438"/>
  <c r="AJ52" i="438"/>
  <c r="AI52" i="438"/>
  <c r="T52" i="438"/>
  <c r="S50" i="438"/>
  <c r="T49" i="438"/>
  <c r="U49" i="438" s="1"/>
  <c r="S47" i="438"/>
  <c r="K1576" i="458" s="1"/>
  <c r="AM46" i="438"/>
  <c r="AL46" i="438"/>
  <c r="AK46" i="438"/>
  <c r="AJ46" i="438"/>
  <c r="AI46" i="438"/>
  <c r="T46" i="438"/>
  <c r="U46" i="438" s="1"/>
  <c r="S44" i="438"/>
  <c r="AM43" i="438"/>
  <c r="AL43" i="438"/>
  <c r="AK43" i="438"/>
  <c r="AJ43" i="438"/>
  <c r="AI43" i="438"/>
  <c r="T43" i="438"/>
  <c r="S41" i="438"/>
  <c r="T40" i="438"/>
  <c r="U40" i="438" s="1"/>
  <c r="S38" i="438"/>
  <c r="T37" i="438"/>
  <c r="U37" i="438" s="1"/>
  <c r="S35" i="438"/>
  <c r="K1589" i="458" s="1"/>
  <c r="T34" i="438"/>
  <c r="U34" i="438" s="1"/>
  <c r="U35" i="438" s="1"/>
  <c r="S32" i="438"/>
  <c r="K1569" i="458" s="1"/>
  <c r="T31" i="438"/>
  <c r="U31" i="438" s="1"/>
  <c r="U32" i="438" s="1"/>
  <c r="S29" i="438"/>
  <c r="K1575" i="458" s="1"/>
  <c r="T28" i="438"/>
  <c r="U28" i="438" s="1"/>
  <c r="U29" i="438" s="1"/>
  <c r="S36" i="446" s="1"/>
  <c r="S26" i="438"/>
  <c r="K1600" i="458" s="1"/>
  <c r="AM25" i="438"/>
  <c r="AL25" i="438"/>
  <c r="AK25" i="438"/>
  <c r="AJ25" i="438"/>
  <c r="AI25" i="438"/>
  <c r="T25" i="438"/>
  <c r="U25" i="438" s="1"/>
  <c r="U26" i="438" s="1"/>
  <c r="T22" i="438"/>
  <c r="U26" i="446"/>
  <c r="T26" i="446"/>
  <c r="S26" i="446"/>
  <c r="T19" i="438"/>
  <c r="U22" i="446"/>
  <c r="T22" i="446"/>
  <c r="S22" i="446"/>
  <c r="Q22" i="446"/>
  <c r="S17" i="438"/>
  <c r="T16" i="438"/>
  <c r="U16" i="438" s="1"/>
  <c r="U17" i="438" s="1"/>
  <c r="S20" i="446" s="1"/>
  <c r="S14" i="438"/>
  <c r="K1585" i="458" s="1"/>
  <c r="T13" i="438"/>
  <c r="T14" i="438" s="1"/>
  <c r="R16" i="446" s="1"/>
  <c r="U11" i="438"/>
  <c r="V11" i="438" s="1"/>
  <c r="W11" i="438" s="1"/>
  <c r="G106" i="14" l="1"/>
  <c r="AL64" i="446"/>
  <c r="M120" i="461"/>
  <c r="L120" i="461"/>
  <c r="M119" i="461"/>
  <c r="L119" i="461"/>
  <c r="M139" i="461"/>
  <c r="L139" i="461"/>
  <c r="Q108" i="446"/>
  <c r="W109" i="446" s="1"/>
  <c r="K1661" i="458"/>
  <c r="G148" i="14"/>
  <c r="G9" i="235"/>
  <c r="G19" i="9"/>
  <c r="G59" i="419"/>
  <c r="G60" i="419" s="1"/>
  <c r="G57" i="419"/>
  <c r="G58" i="419" s="1"/>
  <c r="C91" i="15"/>
  <c r="K91" i="15" s="1"/>
  <c r="L91" i="15" s="1"/>
  <c r="L34" i="15"/>
  <c r="R26" i="446"/>
  <c r="L128" i="461"/>
  <c r="M128" i="461"/>
  <c r="R114" i="446"/>
  <c r="M130" i="461"/>
  <c r="L130" i="461"/>
  <c r="G7" i="235"/>
  <c r="G28" i="16"/>
  <c r="R22" i="446"/>
  <c r="M121" i="461"/>
  <c r="L121" i="461"/>
  <c r="M207" i="461"/>
  <c r="L207" i="461"/>
  <c r="F6" i="450"/>
  <c r="G6" i="9"/>
  <c r="G61" i="419"/>
  <c r="G62" i="419" s="1"/>
  <c r="Q112" i="446"/>
  <c r="W113" i="446" s="1"/>
  <c r="K1557" i="458"/>
  <c r="Q124" i="446"/>
  <c r="W124" i="446" s="1"/>
  <c r="K1603" i="458"/>
  <c r="Q136" i="446"/>
  <c r="W135" i="446" s="1"/>
  <c r="K1579" i="458"/>
  <c r="Q48" i="446"/>
  <c r="W48" i="446" s="1"/>
  <c r="K1581" i="458"/>
  <c r="Q84" i="446"/>
  <c r="AH39" i="446" s="1"/>
  <c r="K1658" i="458"/>
  <c r="Q96" i="446"/>
  <c r="K1592" i="458"/>
  <c r="Q20" i="446"/>
  <c r="K1618" i="458"/>
  <c r="Q56" i="446"/>
  <c r="W57" i="446" s="1"/>
  <c r="K1552" i="458"/>
  <c r="Q68" i="446"/>
  <c r="W67" i="446" s="1"/>
  <c r="K1566" i="458"/>
  <c r="Q100" i="446"/>
  <c r="W101" i="446" s="1"/>
  <c r="K1590" i="458"/>
  <c r="Q52" i="446"/>
  <c r="W52" i="446" s="1"/>
  <c r="K1562" i="458"/>
  <c r="Q64" i="446"/>
  <c r="K1560" i="458"/>
  <c r="Q76" i="446"/>
  <c r="W74" i="446" s="1"/>
  <c r="K1556" i="458"/>
  <c r="Q88" i="446"/>
  <c r="AH43" i="446" s="1"/>
  <c r="AH45" i="446" s="1"/>
  <c r="K1578" i="458"/>
  <c r="Q128" i="446"/>
  <c r="K1561" i="458"/>
  <c r="AJ64" i="446"/>
  <c r="S150" i="446"/>
  <c r="AJ16" i="446"/>
  <c r="S23" i="438"/>
  <c r="Q26" i="446"/>
  <c r="Q29" i="446" s="1"/>
  <c r="AI19" i="438"/>
  <c r="Q32" i="446"/>
  <c r="AH23" i="446" s="1"/>
  <c r="AH25" i="446" s="1"/>
  <c r="AI58" i="438"/>
  <c r="Q40" i="446"/>
  <c r="AI31" i="438"/>
  <c r="Q60" i="446"/>
  <c r="T62" i="438"/>
  <c r="R80" i="446" s="1"/>
  <c r="R78" i="446"/>
  <c r="T148" i="438"/>
  <c r="Q193" i="446" s="1"/>
  <c r="Q192" i="446"/>
  <c r="T71" i="438"/>
  <c r="R92" i="446" s="1"/>
  <c r="R90" i="446"/>
  <c r="AI20" i="446" s="1"/>
  <c r="S142" i="438"/>
  <c r="P185" i="446" s="1"/>
  <c r="U186" i="446" s="1"/>
  <c r="P184" i="446"/>
  <c r="AI95" i="438"/>
  <c r="G179" i="437" s="1"/>
  <c r="P208" i="446"/>
  <c r="P210" i="446" s="1"/>
  <c r="AK16" i="446"/>
  <c r="T150" i="446"/>
  <c r="AK22" i="438"/>
  <c r="S44" i="446"/>
  <c r="S89" i="438"/>
  <c r="Q114" i="446"/>
  <c r="Q117" i="446" s="1"/>
  <c r="AJ67" i="438"/>
  <c r="R140" i="446"/>
  <c r="AI87" i="446" s="1"/>
  <c r="AI89" i="446" s="1"/>
  <c r="S148" i="438"/>
  <c r="P193" i="446" s="1"/>
  <c r="P192" i="446"/>
  <c r="Q25" i="446"/>
  <c r="AI28" i="438"/>
  <c r="Q36" i="446"/>
  <c r="AI22" i="438"/>
  <c r="Q44" i="446"/>
  <c r="S56" i="438"/>
  <c r="Q70" i="446"/>
  <c r="AI41" i="446"/>
  <c r="T77" i="438"/>
  <c r="R100" i="446" s="1"/>
  <c r="S92" i="438"/>
  <c r="Q118" i="446"/>
  <c r="Q121" i="446" s="1"/>
  <c r="AI40" i="438"/>
  <c r="Q132" i="446"/>
  <c r="AI67" i="438"/>
  <c r="Q140" i="446"/>
  <c r="AH87" i="446" s="1"/>
  <c r="AH89" i="446" s="1"/>
  <c r="AI70" i="438"/>
  <c r="AI72" i="438" s="1"/>
  <c r="Q148" i="446"/>
  <c r="AH91" i="446" s="1"/>
  <c r="AH93" i="446" s="1"/>
  <c r="AI80" i="438"/>
  <c r="G173" i="450" s="1"/>
  <c r="P172" i="446"/>
  <c r="S151" i="438"/>
  <c r="P197" i="446" s="1"/>
  <c r="U198" i="446" s="1"/>
  <c r="P196" i="446"/>
  <c r="R12" i="446"/>
  <c r="AL16" i="446"/>
  <c r="U150" i="446"/>
  <c r="AK19" i="438"/>
  <c r="S32" i="446"/>
  <c r="AJ23" i="446" s="1"/>
  <c r="AJ25" i="446" s="1"/>
  <c r="AI37" i="438"/>
  <c r="Q16" i="446"/>
  <c r="T151" i="438"/>
  <c r="Q197" i="446" s="1"/>
  <c r="Q196" i="446"/>
  <c r="AK58" i="438"/>
  <c r="S40" i="446"/>
  <c r="T56" i="438"/>
  <c r="R72" i="446" s="1"/>
  <c r="R70" i="446"/>
  <c r="S62" i="438"/>
  <c r="Q78" i="446"/>
  <c r="S71" i="438"/>
  <c r="Q90" i="446"/>
  <c r="AH20" i="446" s="1"/>
  <c r="T92" i="438"/>
  <c r="R120" i="446" s="1"/>
  <c r="R118" i="446"/>
  <c r="AJ70" i="438"/>
  <c r="AJ72" i="438" s="1"/>
  <c r="R148" i="446"/>
  <c r="AI91" i="446" s="1"/>
  <c r="AI93" i="446" s="1"/>
  <c r="S139" i="438"/>
  <c r="P180" i="446"/>
  <c r="S156" i="438"/>
  <c r="P204" i="446" s="1"/>
  <c r="P200" i="446"/>
  <c r="AK47" i="438"/>
  <c r="I93" i="450" s="1"/>
  <c r="AL68" i="438"/>
  <c r="J143" i="437" s="1"/>
  <c r="AK68" i="438"/>
  <c r="I144" i="450" s="1"/>
  <c r="AJ68" i="438"/>
  <c r="AM68" i="438"/>
  <c r="K144" i="450" s="1"/>
  <c r="AI68" i="438"/>
  <c r="G144" i="450" s="1"/>
  <c r="S20" i="438"/>
  <c r="S115" i="438"/>
  <c r="T115" i="438"/>
  <c r="G172" i="437"/>
  <c r="G148" i="450"/>
  <c r="G171" i="437"/>
  <c r="G172" i="450"/>
  <c r="K171" i="437"/>
  <c r="K172" i="450"/>
  <c r="G184" i="437"/>
  <c r="G185" i="450"/>
  <c r="K184" i="437"/>
  <c r="K185" i="450"/>
  <c r="H198" i="450"/>
  <c r="J165" i="437"/>
  <c r="K101" i="13" s="1"/>
  <c r="J166" i="450"/>
  <c r="H178" i="437"/>
  <c r="H179" i="450"/>
  <c r="I191" i="437"/>
  <c r="I192" i="450"/>
  <c r="H184" i="437"/>
  <c r="H185" i="450"/>
  <c r="I198" i="450"/>
  <c r="G165" i="437"/>
  <c r="H101" i="13" s="1"/>
  <c r="G166" i="450"/>
  <c r="K165" i="437"/>
  <c r="L101" i="13" s="1"/>
  <c r="K166" i="450"/>
  <c r="I178" i="437"/>
  <c r="J191" i="437"/>
  <c r="J192" i="450"/>
  <c r="T38" i="438"/>
  <c r="R48" i="446" s="1"/>
  <c r="I171" i="437"/>
  <c r="I172" i="450"/>
  <c r="I184" i="437"/>
  <c r="I185" i="450"/>
  <c r="J198" i="450"/>
  <c r="T89" i="438"/>
  <c r="R116" i="446" s="1"/>
  <c r="H165" i="437"/>
  <c r="I101" i="13" s="1"/>
  <c r="H166" i="450"/>
  <c r="J178" i="437"/>
  <c r="J179" i="450"/>
  <c r="G191" i="437"/>
  <c r="G192" i="450"/>
  <c r="K191" i="437"/>
  <c r="K192" i="450"/>
  <c r="H171" i="437"/>
  <c r="J148" i="450"/>
  <c r="J171" i="437"/>
  <c r="J172" i="450"/>
  <c r="J184" i="437"/>
  <c r="J185" i="450"/>
  <c r="G198" i="450"/>
  <c r="I165" i="437"/>
  <c r="J101" i="13" s="1"/>
  <c r="I166" i="450"/>
  <c r="K178" i="437"/>
  <c r="K179" i="450"/>
  <c r="H191" i="437"/>
  <c r="H192" i="450"/>
  <c r="I148" i="450"/>
  <c r="U89" i="438"/>
  <c r="S116" i="446" s="1"/>
  <c r="AM14" i="438"/>
  <c r="AI78" i="438"/>
  <c r="T104" i="438"/>
  <c r="R136" i="446" s="1"/>
  <c r="T41" i="438"/>
  <c r="R52" i="446" s="1"/>
  <c r="K147" i="437"/>
  <c r="AI34" i="438"/>
  <c r="I88" i="15"/>
  <c r="I87" i="15" s="1"/>
  <c r="I79" i="15" s="1"/>
  <c r="V16" i="438"/>
  <c r="W16" i="438" s="1"/>
  <c r="W17" i="438" s="1"/>
  <c r="U20" i="446" s="1"/>
  <c r="U19" i="438"/>
  <c r="T50" i="438"/>
  <c r="R64" i="446" s="1"/>
  <c r="T101" i="438"/>
  <c r="T159" i="438"/>
  <c r="G147" i="437"/>
  <c r="AM17" i="438"/>
  <c r="T47" i="438"/>
  <c r="V76" i="438"/>
  <c r="V77" i="438" s="1"/>
  <c r="T100" i="446" s="1"/>
  <c r="V73" i="438"/>
  <c r="W73" i="438" s="1"/>
  <c r="W74" i="438" s="1"/>
  <c r="U96" i="446" s="1"/>
  <c r="U74" i="438"/>
  <c r="S96" i="446" s="1"/>
  <c r="AI23" i="438"/>
  <c r="AK26" i="438"/>
  <c r="I46" i="450" s="1"/>
  <c r="AI53" i="438"/>
  <c r="AM56" i="438"/>
  <c r="AM26" i="438"/>
  <c r="AM27" i="438" s="1"/>
  <c r="AK29" i="438"/>
  <c r="AK32" i="438"/>
  <c r="I63" i="450" s="1"/>
  <c r="AK35" i="438"/>
  <c r="I69" i="450" s="1"/>
  <c r="AM38" i="438"/>
  <c r="U43" i="438"/>
  <c r="U44" i="438" s="1"/>
  <c r="S56" i="446" s="1"/>
  <c r="T44" i="438"/>
  <c r="R56" i="446" s="1"/>
  <c r="U52" i="438"/>
  <c r="U53" i="438" s="1"/>
  <c r="S68" i="446" s="1"/>
  <c r="T53" i="438"/>
  <c r="R68" i="446" s="1"/>
  <c r="U68" i="438"/>
  <c r="S88" i="446" s="1"/>
  <c r="V67" i="438"/>
  <c r="W67" i="438" s="1"/>
  <c r="W68" i="438" s="1"/>
  <c r="U88" i="446" s="1"/>
  <c r="U160" i="438"/>
  <c r="R209" i="446" s="1"/>
  <c r="AK95" i="438"/>
  <c r="I180" i="450" s="1"/>
  <c r="AJ65" i="438"/>
  <c r="AM65" i="438"/>
  <c r="AK59" i="438"/>
  <c r="AK56" i="438"/>
  <c r="AM50" i="438"/>
  <c r="AI47" i="438"/>
  <c r="AM41" i="438"/>
  <c r="AK38" i="438"/>
  <c r="I81" i="450" s="1"/>
  <c r="AI35" i="438"/>
  <c r="G69" i="450" s="1"/>
  <c r="AI32" i="438"/>
  <c r="G63" i="450" s="1"/>
  <c r="AI29" i="438"/>
  <c r="AI26" i="438"/>
  <c r="AM23" i="438"/>
  <c r="K32" i="450" s="1"/>
  <c r="AJ20" i="438"/>
  <c r="H39" i="450" s="1"/>
  <c r="AI17" i="438"/>
  <c r="G25" i="450" s="1"/>
  <c r="AK14" i="438"/>
  <c r="AM44" i="438"/>
  <c r="AK23" i="438"/>
  <c r="AI14" i="438"/>
  <c r="AL62" i="438"/>
  <c r="AK53" i="438"/>
  <c r="AI50" i="438"/>
  <c r="G104" i="450" s="1"/>
  <c r="AM47" i="438"/>
  <c r="K93" i="450" s="1"/>
  <c r="AK44" i="438"/>
  <c r="AI41" i="438"/>
  <c r="G75" i="450" s="1"/>
  <c r="AM35" i="438"/>
  <c r="AM32" i="438"/>
  <c r="AM29" i="438"/>
  <c r="AM53" i="438"/>
  <c r="AK50" i="438"/>
  <c r="I104" i="450" s="1"/>
  <c r="AK41" i="438"/>
  <c r="I75" i="450" s="1"/>
  <c r="AI38" i="438"/>
  <c r="AL20" i="438"/>
  <c r="J39" i="450" s="1"/>
  <c r="AI44" i="438"/>
  <c r="V70" i="438"/>
  <c r="W70" i="438" s="1"/>
  <c r="AK17" i="438"/>
  <c r="I25" i="450" s="1"/>
  <c r="U20" i="438"/>
  <c r="S24" i="446" s="1"/>
  <c r="T141" i="438"/>
  <c r="U55" i="438"/>
  <c r="U141" i="438" s="1"/>
  <c r="H147" i="437"/>
  <c r="T74" i="438"/>
  <c r="R96" i="446" s="1"/>
  <c r="U61" i="438"/>
  <c r="U62" i="438" s="1"/>
  <c r="S80" i="446" s="1"/>
  <c r="V88" i="438"/>
  <c r="V89" i="438" s="1"/>
  <c r="T116" i="446" s="1"/>
  <c r="U94" i="438"/>
  <c r="U138" i="438"/>
  <c r="I147" i="437"/>
  <c r="T32" i="438"/>
  <c r="T35" i="438"/>
  <c r="V28" i="438"/>
  <c r="V31" i="438"/>
  <c r="V32" i="438" s="1"/>
  <c r="V34" i="438"/>
  <c r="V35" i="438" s="1"/>
  <c r="AI49" i="438"/>
  <c r="U64" i="438"/>
  <c r="V64" i="438" s="1"/>
  <c r="AI93" i="438"/>
  <c r="U106" i="438"/>
  <c r="U107" i="438" s="1"/>
  <c r="S140" i="446" s="1"/>
  <c r="AJ87" i="446" s="1"/>
  <c r="AJ89" i="446" s="1"/>
  <c r="G178" i="437"/>
  <c r="J147" i="437"/>
  <c r="Q200" i="446"/>
  <c r="U22" i="438"/>
  <c r="U23" i="438" s="1"/>
  <c r="S28" i="446" s="1"/>
  <c r="T26" i="438"/>
  <c r="T17" i="438"/>
  <c r="V114" i="438"/>
  <c r="T23" i="438"/>
  <c r="R28" i="446" s="1"/>
  <c r="V25" i="438"/>
  <c r="T29" i="438"/>
  <c r="R36" i="446" s="1"/>
  <c r="U41" i="438"/>
  <c r="S52" i="446" s="1"/>
  <c r="V40" i="438"/>
  <c r="U59" i="438"/>
  <c r="S76" i="446" s="1"/>
  <c r="V58" i="438"/>
  <c r="U38" i="438"/>
  <c r="S48" i="446" s="1"/>
  <c r="V37" i="438"/>
  <c r="U50" i="438"/>
  <c r="S64" i="446" s="1"/>
  <c r="V49" i="438"/>
  <c r="U13" i="438"/>
  <c r="AJ14" i="438"/>
  <c r="T114" i="438"/>
  <c r="T20" i="438"/>
  <c r="R24" i="446" s="1"/>
  <c r="V19" i="438"/>
  <c r="U47" i="438"/>
  <c r="V46" i="438"/>
  <c r="U79" i="438"/>
  <c r="T80" i="438"/>
  <c r="R104" i="446" s="1"/>
  <c r="U92" i="438"/>
  <c r="S120" i="446" s="1"/>
  <c r="V112" i="438"/>
  <c r="U113" i="438"/>
  <c r="S154" i="438"/>
  <c r="AL14" i="438"/>
  <c r="AJ17" i="438"/>
  <c r="H25" i="450" s="1"/>
  <c r="S114" i="438"/>
  <c r="W114" i="438"/>
  <c r="AI20" i="438"/>
  <c r="G39" i="450" s="1"/>
  <c r="AM20" i="438"/>
  <c r="AL23" i="438"/>
  <c r="J32" i="450" s="1"/>
  <c r="AL26" i="438"/>
  <c r="J46" i="450" s="1"/>
  <c r="AL29" i="438"/>
  <c r="AL32" i="438"/>
  <c r="J63" i="450" s="1"/>
  <c r="AL35" i="438"/>
  <c r="J69" i="450" s="1"/>
  <c r="AL38" i="438"/>
  <c r="J81" i="450" s="1"/>
  <c r="AL41" i="438"/>
  <c r="J75" i="450" s="1"/>
  <c r="AL44" i="438"/>
  <c r="J87" i="450" s="1"/>
  <c r="AL47" i="438"/>
  <c r="J93" i="450" s="1"/>
  <c r="AL50" i="438"/>
  <c r="J104" i="450" s="1"/>
  <c r="AL53" i="438"/>
  <c r="J110" i="450" s="1"/>
  <c r="AL56" i="438"/>
  <c r="J122" i="450" s="1"/>
  <c r="T59" i="438"/>
  <c r="R76" i="446" s="1"/>
  <c r="AM59" i="438"/>
  <c r="AJ62" i="438"/>
  <c r="H128" i="450" s="1"/>
  <c r="U82" i="438"/>
  <c r="T83" i="438"/>
  <c r="R108" i="446" s="1"/>
  <c r="T98" i="438"/>
  <c r="R128" i="446" s="1"/>
  <c r="U97" i="438"/>
  <c r="U101" i="438"/>
  <c r="V100" i="438"/>
  <c r="U104" i="438"/>
  <c r="S136" i="446" s="1"/>
  <c r="V103" i="438"/>
  <c r="D220" i="437"/>
  <c r="U85" i="438"/>
  <c r="T86" i="438"/>
  <c r="R112" i="446" s="1"/>
  <c r="V91" i="438"/>
  <c r="AL65" i="438"/>
  <c r="J134" i="450" s="1"/>
  <c r="AK65" i="438"/>
  <c r="AK62" i="438"/>
  <c r="I128" i="450" s="1"/>
  <c r="AL59" i="438"/>
  <c r="J116" i="450" s="1"/>
  <c r="AI65" i="438"/>
  <c r="G134" i="450" s="1"/>
  <c r="AM62" i="438"/>
  <c r="AI62" i="438"/>
  <c r="G128" i="450" s="1"/>
  <c r="AJ59" i="438"/>
  <c r="H116" i="450" s="1"/>
  <c r="AJ56" i="438"/>
  <c r="H122" i="450" s="1"/>
  <c r="AL17" i="438"/>
  <c r="J25" i="450" s="1"/>
  <c r="U114" i="438"/>
  <c r="AK20" i="438"/>
  <c r="I39" i="450" s="1"/>
  <c r="AJ23" i="438"/>
  <c r="H32" i="450" s="1"/>
  <c r="AJ26" i="438"/>
  <c r="H46" i="450" s="1"/>
  <c r="AJ29" i="438"/>
  <c r="AJ32" i="438"/>
  <c r="H63" i="450" s="1"/>
  <c r="AJ35" i="438"/>
  <c r="H69" i="450" s="1"/>
  <c r="AJ38" i="438"/>
  <c r="H81" i="450" s="1"/>
  <c r="AJ41" i="438"/>
  <c r="H75" i="450" s="1"/>
  <c r="AJ44" i="438"/>
  <c r="H87" i="450" s="1"/>
  <c r="AJ47" i="438"/>
  <c r="H93" i="450" s="1"/>
  <c r="AJ50" i="438"/>
  <c r="H104" i="450" s="1"/>
  <c r="AJ53" i="438"/>
  <c r="H110" i="450" s="1"/>
  <c r="AI56" i="438"/>
  <c r="AI59" i="438"/>
  <c r="G116" i="450" s="1"/>
  <c r="T68" i="438"/>
  <c r="S133" i="438"/>
  <c r="T138" i="438"/>
  <c r="S160" i="438"/>
  <c r="P209" i="446" s="1"/>
  <c r="U71" i="438"/>
  <c r="S92" i="446" s="1"/>
  <c r="F210" i="437"/>
  <c r="F211" i="450" s="1"/>
  <c r="S157" i="438" l="1"/>
  <c r="P205" i="446" s="1"/>
  <c r="AI98" i="438"/>
  <c r="G193" i="450" s="1"/>
  <c r="X7" i="446"/>
  <c r="Q81" i="446" s="1"/>
  <c r="R81" i="446" s="1"/>
  <c r="W85" i="446"/>
  <c r="Q89" i="446" s="1"/>
  <c r="N139" i="461"/>
  <c r="N207" i="461"/>
  <c r="N119" i="461"/>
  <c r="N120" i="461"/>
  <c r="AI16" i="446"/>
  <c r="G37" i="419"/>
  <c r="P181" i="446"/>
  <c r="U182" i="446" s="1"/>
  <c r="K1660" i="458"/>
  <c r="V68" i="438"/>
  <c r="T88" i="446" s="1"/>
  <c r="Q120" i="446"/>
  <c r="G18" i="15"/>
  <c r="G6" i="235"/>
  <c r="G8" i="235" s="1"/>
  <c r="G10" i="235" s="1"/>
  <c r="G27" i="16"/>
  <c r="G13" i="9"/>
  <c r="G21" i="9" s="1"/>
  <c r="N121" i="461"/>
  <c r="R25" i="446"/>
  <c r="S25" i="446" s="1"/>
  <c r="T25" i="446" s="1"/>
  <c r="U25" i="446" s="1"/>
  <c r="H86" i="418"/>
  <c r="F7" i="450"/>
  <c r="F100" i="450"/>
  <c r="F13" i="450"/>
  <c r="F59" i="450"/>
  <c r="N130" i="461"/>
  <c r="N128" i="461"/>
  <c r="X9" i="446"/>
  <c r="Q93" i="446" s="1"/>
  <c r="Q24" i="446"/>
  <c r="K1555" i="458"/>
  <c r="Q116" i="446"/>
  <c r="W116" i="446" s="1"/>
  <c r="K1568" i="458"/>
  <c r="Q92" i="446"/>
  <c r="AH19" i="446" s="1"/>
  <c r="K1580" i="458"/>
  <c r="Q72" i="446"/>
  <c r="K1554" i="458"/>
  <c r="Q28" i="446"/>
  <c r="K1565" i="458"/>
  <c r="AH16" i="446"/>
  <c r="V52" i="438"/>
  <c r="Q80" i="446"/>
  <c r="K1553" i="458"/>
  <c r="I143" i="437"/>
  <c r="V74" i="438"/>
  <c r="T96" i="446" s="1"/>
  <c r="AH21" i="446"/>
  <c r="AI13" i="438"/>
  <c r="AI81" i="438"/>
  <c r="AI83" i="438" s="1"/>
  <c r="G185" i="437" s="1"/>
  <c r="W34" i="438"/>
  <c r="W35" i="438" s="1"/>
  <c r="U44" i="446" s="1"/>
  <c r="AP14" i="438"/>
  <c r="G180" i="450"/>
  <c r="G178" i="450" s="1"/>
  <c r="AJ69" i="438"/>
  <c r="H144" i="437" s="1"/>
  <c r="W76" i="438"/>
  <c r="W77" i="438" s="1"/>
  <c r="U100" i="446" s="1"/>
  <c r="V17" i="438"/>
  <c r="T20" i="446" s="1"/>
  <c r="AI16" i="438"/>
  <c r="AI18" i="438" s="1"/>
  <c r="AI64" i="446"/>
  <c r="AL58" i="438"/>
  <c r="T40" i="446"/>
  <c r="T142" i="438"/>
  <c r="Q185" i="446" s="1"/>
  <c r="Q184" i="446"/>
  <c r="AJ95" i="438"/>
  <c r="AJ93" i="438" s="1"/>
  <c r="Q208" i="446"/>
  <c r="Q12" i="446"/>
  <c r="AH47" i="446"/>
  <c r="AH49" i="446" s="1"/>
  <c r="Q73" i="446"/>
  <c r="AH64" i="446"/>
  <c r="W37" i="446"/>
  <c r="X10" i="446" s="1"/>
  <c r="Q97" i="446" s="1"/>
  <c r="AH35" i="446"/>
  <c r="AH37" i="446" s="1"/>
  <c r="AH51" i="446"/>
  <c r="AH53" i="446" s="1"/>
  <c r="R29" i="446"/>
  <c r="S29" i="446" s="1"/>
  <c r="T29" i="446" s="1"/>
  <c r="U29" i="446" s="1"/>
  <c r="W27" i="446"/>
  <c r="AI90" i="438"/>
  <c r="AI92" i="438" s="1"/>
  <c r="G166" i="437" s="1"/>
  <c r="P201" i="446"/>
  <c r="U151" i="438"/>
  <c r="R197" i="446" s="1"/>
  <c r="R196" i="446"/>
  <c r="U115" i="438"/>
  <c r="T139" i="438"/>
  <c r="Q181" i="446" s="1"/>
  <c r="Q180" i="446"/>
  <c r="R172" i="446"/>
  <c r="AK70" i="438"/>
  <c r="AK72" i="438" s="1"/>
  <c r="I148" i="437" s="1"/>
  <c r="I146" i="437" s="1"/>
  <c r="S148" i="446"/>
  <c r="AJ91" i="446" s="1"/>
  <c r="AJ93" i="446" s="1"/>
  <c r="AM22" i="438"/>
  <c r="AM24" i="438" s="1"/>
  <c r="AJ19" i="438"/>
  <c r="AJ21" i="438" s="1"/>
  <c r="R32" i="446"/>
  <c r="AI23" i="446" s="1"/>
  <c r="AI25" i="446" s="1"/>
  <c r="U139" i="438"/>
  <c r="R181" i="446" s="1"/>
  <c r="R180" i="446"/>
  <c r="AJ31" i="438"/>
  <c r="AJ33" i="438" s="1"/>
  <c r="R60" i="446"/>
  <c r="AI63" i="446" s="1"/>
  <c r="AJ40" i="438"/>
  <c r="AJ42" i="438" s="1"/>
  <c r="R132" i="446"/>
  <c r="AI19" i="446"/>
  <c r="AI21" i="446" s="1"/>
  <c r="R117" i="446"/>
  <c r="S117" i="446" s="1"/>
  <c r="T117" i="446" s="1"/>
  <c r="U117" i="446" s="1"/>
  <c r="AK40" i="438"/>
  <c r="AK42" i="438" s="1"/>
  <c r="S132" i="446"/>
  <c r="AJ51" i="446" s="1"/>
  <c r="AJ53" i="446" s="1"/>
  <c r="S60" i="446"/>
  <c r="AJ22" i="438"/>
  <c r="AJ24" i="438" s="1"/>
  <c r="R44" i="446"/>
  <c r="T133" i="438"/>
  <c r="Q172" i="446"/>
  <c r="R150" i="446"/>
  <c r="Q150" i="446"/>
  <c r="X8" i="446"/>
  <c r="AJ34" i="438"/>
  <c r="AJ36" i="438" s="1"/>
  <c r="R88" i="446"/>
  <c r="AI43" i="446" s="1"/>
  <c r="U148" i="438"/>
  <c r="R193" i="446" s="1"/>
  <c r="R192" i="446"/>
  <c r="P173" i="446"/>
  <c r="U174" i="446" s="1"/>
  <c r="AI35" i="446"/>
  <c r="AI37" i="446" s="1"/>
  <c r="AJ37" i="438"/>
  <c r="AJ39" i="438" s="1"/>
  <c r="R20" i="446"/>
  <c r="AI47" i="446" s="1"/>
  <c r="AI49" i="446" s="1"/>
  <c r="AL22" i="438"/>
  <c r="AL24" i="438" s="1"/>
  <c r="T44" i="446"/>
  <c r="AJ58" i="438"/>
  <c r="AJ60" i="438" s="1"/>
  <c r="R40" i="446"/>
  <c r="U142" i="438"/>
  <c r="R185" i="446" s="1"/>
  <c r="R184" i="446"/>
  <c r="R121" i="446"/>
  <c r="S121" i="446" s="1"/>
  <c r="T121" i="446" s="1"/>
  <c r="U121" i="446" s="1"/>
  <c r="AH41" i="446"/>
  <c r="AK48" i="438"/>
  <c r="I95" i="450" s="1"/>
  <c r="AI69" i="438"/>
  <c r="G145" i="450" s="1"/>
  <c r="G143" i="450" s="1"/>
  <c r="K143" i="437"/>
  <c r="J144" i="450"/>
  <c r="AI15" i="446"/>
  <c r="I94" i="450"/>
  <c r="I92" i="437"/>
  <c r="G143" i="437"/>
  <c r="H143" i="437"/>
  <c r="T160" i="438"/>
  <c r="Q209" i="446" s="1"/>
  <c r="H144" i="450"/>
  <c r="W31" i="438"/>
  <c r="W32" i="438" s="1"/>
  <c r="AK67" i="438"/>
  <c r="AK69" i="438" s="1"/>
  <c r="G148" i="437"/>
  <c r="G146" i="437" s="1"/>
  <c r="G149" i="450"/>
  <c r="I178" i="450"/>
  <c r="H148" i="437"/>
  <c r="H146" i="437" s="1"/>
  <c r="H149" i="450"/>
  <c r="G191" i="450"/>
  <c r="V61" i="438"/>
  <c r="G171" i="450"/>
  <c r="J82" i="450"/>
  <c r="H18" i="450"/>
  <c r="AJ3" i="438"/>
  <c r="I76" i="450"/>
  <c r="AK60" i="438"/>
  <c r="I116" i="450"/>
  <c r="J117" i="450" s="1"/>
  <c r="I52" i="437"/>
  <c r="I53" i="450"/>
  <c r="I40" i="450"/>
  <c r="J47" i="450"/>
  <c r="H52" i="437"/>
  <c r="H53" i="450"/>
  <c r="I129" i="450"/>
  <c r="J70" i="450"/>
  <c r="J40" i="450"/>
  <c r="I105" i="450"/>
  <c r="AK24" i="438"/>
  <c r="I32" i="450"/>
  <c r="J33" i="450" s="1"/>
  <c r="J105" i="450"/>
  <c r="J18" i="450"/>
  <c r="AL3" i="438"/>
  <c r="J94" i="450"/>
  <c r="I47" i="450"/>
  <c r="J26" i="450"/>
  <c r="AK66" i="438"/>
  <c r="I134" i="450"/>
  <c r="J135" i="450" s="1"/>
  <c r="J64" i="450"/>
  <c r="I26" i="450"/>
  <c r="AK54" i="438"/>
  <c r="I110" i="450"/>
  <c r="J111" i="450" s="1"/>
  <c r="AJ66" i="438"/>
  <c r="H134" i="450"/>
  <c r="H135" i="450" s="1"/>
  <c r="I70" i="450"/>
  <c r="J76" i="450"/>
  <c r="J52" i="437"/>
  <c r="J53" i="450"/>
  <c r="AK45" i="438"/>
  <c r="I87" i="450"/>
  <c r="J88" i="450" s="1"/>
  <c r="AL63" i="438"/>
  <c r="J128" i="450"/>
  <c r="I18" i="450"/>
  <c r="AK3" i="438"/>
  <c r="I82" i="450"/>
  <c r="AK57" i="438"/>
  <c r="I122" i="450"/>
  <c r="J123" i="450" s="1"/>
  <c r="I64" i="450"/>
  <c r="G76" i="450"/>
  <c r="H76" i="450"/>
  <c r="H117" i="450"/>
  <c r="G117" i="450"/>
  <c r="G135" i="450"/>
  <c r="H40" i="450"/>
  <c r="G40" i="450"/>
  <c r="AI39" i="438"/>
  <c r="G81" i="450"/>
  <c r="AI27" i="438"/>
  <c r="G46" i="450"/>
  <c r="AI54" i="438"/>
  <c r="G110" i="450"/>
  <c r="G70" i="450"/>
  <c r="H70" i="450"/>
  <c r="AI57" i="438"/>
  <c r="G122" i="450"/>
  <c r="AI45" i="438"/>
  <c r="G87" i="450"/>
  <c r="G18" i="450"/>
  <c r="AI3" i="438"/>
  <c r="G26" i="450"/>
  <c r="H26" i="450"/>
  <c r="G52" i="437"/>
  <c r="G53" i="450"/>
  <c r="G129" i="450"/>
  <c r="H129" i="450"/>
  <c r="H105" i="450"/>
  <c r="G105" i="450"/>
  <c r="H64" i="450"/>
  <c r="G64" i="450"/>
  <c r="AI48" i="438"/>
  <c r="G93" i="450"/>
  <c r="AI24" i="438"/>
  <c r="G32" i="450"/>
  <c r="K38" i="437"/>
  <c r="K39" i="450"/>
  <c r="K33" i="450"/>
  <c r="K24" i="437"/>
  <c r="K25" i="450"/>
  <c r="K17" i="437"/>
  <c r="K18" i="450"/>
  <c r="AM3" i="438"/>
  <c r="K52" i="437"/>
  <c r="K53" i="450"/>
  <c r="K109" i="437"/>
  <c r="K110" i="450"/>
  <c r="K103" i="437"/>
  <c r="K104" i="450"/>
  <c r="K115" i="437"/>
  <c r="K116" i="450"/>
  <c r="K62" i="437"/>
  <c r="K63" i="450"/>
  <c r="K94" i="450"/>
  <c r="K74" i="437"/>
  <c r="K75" i="450"/>
  <c r="K127" i="437"/>
  <c r="K128" i="450"/>
  <c r="K86" i="437"/>
  <c r="K84" i="437" s="1"/>
  <c r="K87" i="450"/>
  <c r="K121" i="437"/>
  <c r="K122" i="450"/>
  <c r="K68" i="437"/>
  <c r="K69" i="450"/>
  <c r="K133" i="437"/>
  <c r="K134" i="450"/>
  <c r="K80" i="437"/>
  <c r="K81" i="450"/>
  <c r="K45" i="437"/>
  <c r="K42" i="437" s="1"/>
  <c r="K46" i="450"/>
  <c r="AI30" i="438"/>
  <c r="AM57" i="438"/>
  <c r="AM48" i="438"/>
  <c r="K92" i="437"/>
  <c r="J88" i="15"/>
  <c r="J87" i="15" s="1"/>
  <c r="J79" i="15" s="1"/>
  <c r="V71" i="438"/>
  <c r="T92" i="446" s="1"/>
  <c r="V159" i="438"/>
  <c r="V138" i="438"/>
  <c r="U65" i="438"/>
  <c r="S84" i="446" s="1"/>
  <c r="AJ39" i="446" s="1"/>
  <c r="AJ49" i="438"/>
  <c r="U56" i="438"/>
  <c r="S72" i="446" s="1"/>
  <c r="AM54" i="438"/>
  <c r="AI15" i="438"/>
  <c r="AJ80" i="438"/>
  <c r="H173" i="450" s="1"/>
  <c r="H171" i="450" s="1"/>
  <c r="AJ16" i="438"/>
  <c r="AJ18" i="438" s="1"/>
  <c r="V43" i="438"/>
  <c r="W43" i="438" s="1"/>
  <c r="W44" i="438" s="1"/>
  <c r="U56" i="446" s="1"/>
  <c r="H74" i="437"/>
  <c r="AL27" i="438"/>
  <c r="J45" i="437"/>
  <c r="W28" i="438"/>
  <c r="W29" i="438" s="1"/>
  <c r="U36" i="446" s="1"/>
  <c r="V29" i="438"/>
  <c r="T36" i="446" s="1"/>
  <c r="I74" i="437"/>
  <c r="G17" i="437"/>
  <c r="G24" i="437"/>
  <c r="I115" i="437"/>
  <c r="I45" i="437"/>
  <c r="AJ54" i="438"/>
  <c r="H109" i="437"/>
  <c r="AK63" i="438"/>
  <c r="I127" i="437"/>
  <c r="J80" i="437"/>
  <c r="I24" i="437"/>
  <c r="W88" i="438"/>
  <c r="H103" i="437"/>
  <c r="H80" i="437"/>
  <c r="AJ27" i="438"/>
  <c r="H45" i="437"/>
  <c r="J24" i="437"/>
  <c r="AM63" i="438"/>
  <c r="I133" i="437"/>
  <c r="AJ63" i="438"/>
  <c r="H127" i="437"/>
  <c r="V55" i="438"/>
  <c r="V56" i="438" s="1"/>
  <c r="T72" i="446" s="1"/>
  <c r="AL48" i="438"/>
  <c r="J92" i="437"/>
  <c r="J68" i="437"/>
  <c r="J31" i="437"/>
  <c r="AK27" i="438"/>
  <c r="AM45" i="438"/>
  <c r="J38" i="437"/>
  <c r="I103" i="437"/>
  <c r="G103" i="437"/>
  <c r="I31" i="437"/>
  <c r="H38" i="437"/>
  <c r="G62" i="437"/>
  <c r="G92" i="437"/>
  <c r="AM66" i="438"/>
  <c r="G31" i="437"/>
  <c r="AI33" i="438"/>
  <c r="AI63" i="438"/>
  <c r="G127" i="437"/>
  <c r="AL57" i="438"/>
  <c r="J121" i="437"/>
  <c r="J103" i="437"/>
  <c r="J17" i="437"/>
  <c r="AI96" i="438"/>
  <c r="G192" i="437"/>
  <c r="AI60" i="438"/>
  <c r="G115" i="437"/>
  <c r="AJ48" i="438"/>
  <c r="H92" i="437"/>
  <c r="H68" i="437"/>
  <c r="H31" i="437"/>
  <c r="AJ57" i="438"/>
  <c r="H121" i="437"/>
  <c r="AI66" i="438"/>
  <c r="G133" i="437"/>
  <c r="AL66" i="438"/>
  <c r="J133" i="437"/>
  <c r="V106" i="438"/>
  <c r="V107" i="438" s="1"/>
  <c r="T140" i="446" s="1"/>
  <c r="AK87" i="446" s="1"/>
  <c r="AK89" i="446" s="1"/>
  <c r="AL45" i="438"/>
  <c r="J86" i="437"/>
  <c r="J62" i="437"/>
  <c r="H17" i="437"/>
  <c r="V65" i="438"/>
  <c r="T84" i="446" s="1"/>
  <c r="AK39" i="446" s="1"/>
  <c r="W64" i="438"/>
  <c r="W65" i="438" s="1"/>
  <c r="U84" i="446" s="1"/>
  <c r="AL39" i="446" s="1"/>
  <c r="AL41" i="446" s="1"/>
  <c r="G74" i="437"/>
  <c r="I109" i="437"/>
  <c r="K31" i="437"/>
  <c r="G68" i="437"/>
  <c r="H133" i="437"/>
  <c r="I68" i="437"/>
  <c r="G121" i="437"/>
  <c r="AJ45" i="438"/>
  <c r="H86" i="437"/>
  <c r="H62" i="437"/>
  <c r="AK21" i="438"/>
  <c r="I38" i="437"/>
  <c r="H115" i="437"/>
  <c r="J115" i="437"/>
  <c r="AL54" i="438"/>
  <c r="J109" i="437"/>
  <c r="J74" i="437"/>
  <c r="AI21" i="438"/>
  <c r="G38" i="437"/>
  <c r="H24" i="437"/>
  <c r="AJ28" i="438"/>
  <c r="AJ30" i="438" s="1"/>
  <c r="AI51" i="438"/>
  <c r="AP15" i="438"/>
  <c r="V94" i="438"/>
  <c r="U95" i="438"/>
  <c r="S124" i="446" s="1"/>
  <c r="AJ43" i="446" s="1"/>
  <c r="AJ45" i="446" s="1"/>
  <c r="AI42" i="438"/>
  <c r="G86" i="437"/>
  <c r="G80" i="437"/>
  <c r="I86" i="437"/>
  <c r="J127" i="437"/>
  <c r="I17" i="437"/>
  <c r="G45" i="437"/>
  <c r="I80" i="437"/>
  <c r="I121" i="437"/>
  <c r="AK93" i="438"/>
  <c r="I179" i="437"/>
  <c r="AI36" i="438"/>
  <c r="I62" i="437"/>
  <c r="G109" i="437"/>
  <c r="U133" i="438"/>
  <c r="AK80" i="438"/>
  <c r="I173" i="450" s="1"/>
  <c r="I171" i="450" s="1"/>
  <c r="V101" i="438"/>
  <c r="W100" i="438"/>
  <c r="W101" i="438" s="1"/>
  <c r="V82" i="438"/>
  <c r="U83" i="438"/>
  <c r="U14" i="438"/>
  <c r="V13" i="438"/>
  <c r="R200" i="446"/>
  <c r="V22" i="438"/>
  <c r="W91" i="438"/>
  <c r="V92" i="438"/>
  <c r="T120" i="446" s="1"/>
  <c r="W71" i="438"/>
  <c r="U92" i="446" s="1"/>
  <c r="W159" i="438"/>
  <c r="T208" i="446" s="1"/>
  <c r="AJ13" i="438"/>
  <c r="W37" i="438"/>
  <c r="W38" i="438" s="1"/>
  <c r="U48" i="446" s="1"/>
  <c r="V38" i="438"/>
  <c r="T48" i="446" s="1"/>
  <c r="W40" i="438"/>
  <c r="W41" i="438" s="1"/>
  <c r="U52" i="446" s="1"/>
  <c r="V41" i="438"/>
  <c r="T52" i="446" s="1"/>
  <c r="AL60" i="438"/>
  <c r="Q204" i="446"/>
  <c r="T154" i="438"/>
  <c r="W103" i="438"/>
  <c r="W104" i="438" s="1"/>
  <c r="U136" i="446" s="1"/>
  <c r="V104" i="438"/>
  <c r="T136" i="446" s="1"/>
  <c r="V97" i="438"/>
  <c r="U98" i="438"/>
  <c r="S128" i="446" s="1"/>
  <c r="W46" i="438"/>
  <c r="W47" i="438" s="1"/>
  <c r="V47" i="438"/>
  <c r="W49" i="438"/>
  <c r="W50" i="438" s="1"/>
  <c r="U64" i="446" s="1"/>
  <c r="V50" i="438"/>
  <c r="T64" i="446" s="1"/>
  <c r="W25" i="438"/>
  <c r="W26" i="438" s="1"/>
  <c r="V26" i="438"/>
  <c r="V85" i="438"/>
  <c r="U86" i="438"/>
  <c r="W112" i="438"/>
  <c r="W113" i="438" s="1"/>
  <c r="V113" i="438"/>
  <c r="V79" i="438"/>
  <c r="U80" i="438"/>
  <c r="W19" i="438"/>
  <c r="W58" i="438"/>
  <c r="W59" i="438" s="1"/>
  <c r="U76" i="446" s="1"/>
  <c r="V59" i="438"/>
  <c r="T76" i="446" s="1"/>
  <c r="V20" i="438"/>
  <c r="T24" i="446" s="1"/>
  <c r="W52" i="438"/>
  <c r="W53" i="438" s="1"/>
  <c r="U68" i="446" s="1"/>
  <c r="V53" i="438"/>
  <c r="T68" i="446" s="1"/>
  <c r="E212" i="437"/>
  <c r="E210" i="437" s="1"/>
  <c r="E211" i="450" s="1"/>
  <c r="D212" i="437"/>
  <c r="D210" i="437" s="1"/>
  <c r="D211" i="450" s="1"/>
  <c r="D209" i="437"/>
  <c r="AH63" i="446" l="1"/>
  <c r="AO18" i="446" s="1"/>
  <c r="AP13" i="438"/>
  <c r="AH15" i="446"/>
  <c r="AH17" i="446" s="1"/>
  <c r="G97" i="14"/>
  <c r="G39" i="419"/>
  <c r="W61" i="438"/>
  <c r="Q153" i="446"/>
  <c r="AO16" i="446"/>
  <c r="H145" i="450"/>
  <c r="P194" i="446"/>
  <c r="I149" i="450"/>
  <c r="I147" i="450" s="1"/>
  <c r="G167" i="450"/>
  <c r="G165" i="450" s="1"/>
  <c r="G162" i="450" s="1"/>
  <c r="H180" i="450"/>
  <c r="H178" i="450" s="1"/>
  <c r="G186" i="450"/>
  <c r="G184" i="450" s="1"/>
  <c r="G175" i="450" s="1"/>
  <c r="G176" i="450" s="1"/>
  <c r="AH18" i="446"/>
  <c r="H58" i="13" s="1"/>
  <c r="R153" i="446"/>
  <c r="AI51" i="446"/>
  <c r="AI53" i="446" s="1"/>
  <c r="AI11" i="438"/>
  <c r="S116" i="438" s="1"/>
  <c r="S117" i="438" s="1"/>
  <c r="H179" i="437"/>
  <c r="V141" i="438"/>
  <c r="S184" i="446" s="1"/>
  <c r="Q152" i="446"/>
  <c r="G144" i="437"/>
  <c r="G142" i="437" s="1"/>
  <c r="G140" i="437" s="1"/>
  <c r="AK81" i="438"/>
  <c r="AK83" i="438" s="1"/>
  <c r="AQ15" i="438"/>
  <c r="I94" i="437"/>
  <c r="I90" i="437" s="1"/>
  <c r="AK31" i="438"/>
  <c r="AK33" i="438" s="1"/>
  <c r="I65" i="450" s="1"/>
  <c r="V148" i="438"/>
  <c r="S193" i="446" s="1"/>
  <c r="S192" i="446"/>
  <c r="AL19" i="438"/>
  <c r="AL21" i="438" s="1"/>
  <c r="J40" i="437" s="1"/>
  <c r="T32" i="446"/>
  <c r="AK23" i="446" s="1"/>
  <c r="AK25" i="446" s="1"/>
  <c r="AJ90" i="438"/>
  <c r="AJ92" i="438" s="1"/>
  <c r="Q201" i="446"/>
  <c r="AK37" i="438"/>
  <c r="AK39" i="438" s="1"/>
  <c r="I83" i="450" s="1"/>
  <c r="S16" i="446"/>
  <c r="AL40" i="438"/>
  <c r="AL42" i="438" s="1"/>
  <c r="J76" i="437" s="1"/>
  <c r="T132" i="446"/>
  <c r="AK51" i="446" s="1"/>
  <c r="AK53" i="446" s="1"/>
  <c r="G117" i="437"/>
  <c r="G118" i="450"/>
  <c r="V139" i="438"/>
  <c r="S181" i="446" s="1"/>
  <c r="S180" i="446"/>
  <c r="R89" i="446"/>
  <c r="AH46" i="446"/>
  <c r="H79" i="13" s="1"/>
  <c r="H75" i="13" s="1"/>
  <c r="V151" i="438"/>
  <c r="S197" i="446" s="1"/>
  <c r="S196" i="446"/>
  <c r="AM70" i="438"/>
  <c r="AM72" i="438" s="1"/>
  <c r="U148" i="446"/>
  <c r="AL91" i="446" s="1"/>
  <c r="AL93" i="446" s="1"/>
  <c r="AM19" i="438"/>
  <c r="AM21" i="438" s="1"/>
  <c r="K41" i="450" s="1"/>
  <c r="U32" i="446"/>
  <c r="AL23" i="446" s="1"/>
  <c r="AL25" i="446" s="1"/>
  <c r="AM31" i="438"/>
  <c r="AM33" i="438" s="1"/>
  <c r="K65" i="450" s="1"/>
  <c r="U60" i="446"/>
  <c r="V62" i="438"/>
  <c r="T80" i="446" s="1"/>
  <c r="AK28" i="438"/>
  <c r="AK30" i="438" s="1"/>
  <c r="I54" i="437" s="1"/>
  <c r="S108" i="446"/>
  <c r="AJ35" i="446" s="1"/>
  <c r="AJ37" i="446" s="1"/>
  <c r="AQ14" i="438"/>
  <c r="I33" i="437"/>
  <c r="I34" i="450"/>
  <c r="I117" i="437"/>
  <c r="I118" i="450"/>
  <c r="I114" i="450" s="1"/>
  <c r="AI45" i="446"/>
  <c r="AP18" i="446"/>
  <c r="AI65" i="446"/>
  <c r="AH65" i="446"/>
  <c r="R73" i="446"/>
  <c r="AH66" i="446"/>
  <c r="H68" i="13" s="1"/>
  <c r="H65" i="13" s="1"/>
  <c r="J117" i="437"/>
  <c r="J118" i="450"/>
  <c r="S172" i="446"/>
  <c r="AK41" i="446"/>
  <c r="K33" i="437"/>
  <c r="K34" i="450"/>
  <c r="H117" i="437"/>
  <c r="H118" i="450"/>
  <c r="H114" i="450" s="1"/>
  <c r="AL70" i="438"/>
  <c r="AL72" i="438" s="1"/>
  <c r="J148" i="437" s="1"/>
  <c r="J146" i="437" s="1"/>
  <c r="T148" i="446"/>
  <c r="AK91" i="446" s="1"/>
  <c r="AK93" i="446" s="1"/>
  <c r="AL31" i="438"/>
  <c r="AL33" i="438" s="1"/>
  <c r="T60" i="446"/>
  <c r="V142" i="438"/>
  <c r="S185" i="446" s="1"/>
  <c r="AM58" i="438"/>
  <c r="AM60" i="438" s="1"/>
  <c r="U40" i="446"/>
  <c r="AK16" i="438"/>
  <c r="AK18" i="438" s="1"/>
  <c r="I26" i="437" s="1"/>
  <c r="I21" i="437" s="1"/>
  <c r="S112" i="446"/>
  <c r="AJ19" i="446" s="1"/>
  <c r="AJ21" i="446" s="1"/>
  <c r="J33" i="437"/>
  <c r="J34" i="450"/>
  <c r="AM40" i="438"/>
  <c r="AM42" i="438" s="1"/>
  <c r="K76" i="437" s="1"/>
  <c r="K72" i="437" s="1"/>
  <c r="U132" i="446"/>
  <c r="R173" i="446"/>
  <c r="H33" i="437"/>
  <c r="H34" i="450"/>
  <c r="H29" i="450" s="1"/>
  <c r="AJ41" i="446"/>
  <c r="V160" i="438"/>
  <c r="S209" i="446" s="1"/>
  <c r="S208" i="446"/>
  <c r="AJ81" i="438"/>
  <c r="AJ83" i="438" s="1"/>
  <c r="H186" i="450" s="1"/>
  <c r="H184" i="450" s="1"/>
  <c r="H175" i="450" s="1"/>
  <c r="G33" i="437"/>
  <c r="G34" i="450"/>
  <c r="G29" i="450" s="1"/>
  <c r="AH22" i="446"/>
  <c r="H59" i="13" s="1"/>
  <c r="R93" i="446"/>
  <c r="Q173" i="446"/>
  <c r="AJ63" i="446"/>
  <c r="R97" i="446"/>
  <c r="AH38" i="446"/>
  <c r="H63" i="13" s="1"/>
  <c r="J53" i="437"/>
  <c r="H143" i="450"/>
  <c r="H142" i="437"/>
  <c r="H140" i="437" s="1"/>
  <c r="H53" i="437"/>
  <c r="AP15" i="446"/>
  <c r="AI17" i="446"/>
  <c r="I53" i="437"/>
  <c r="AK13" i="438"/>
  <c r="S104" i="446"/>
  <c r="S81" i="446"/>
  <c r="AI18" i="446"/>
  <c r="I58" i="13" s="1"/>
  <c r="I144" i="437"/>
  <c r="I142" i="437" s="1"/>
  <c r="I140" i="437" s="1"/>
  <c r="I145" i="450"/>
  <c r="I143" i="450" s="1"/>
  <c r="V115" i="438"/>
  <c r="AL67" i="438"/>
  <c r="AL69" i="438" s="1"/>
  <c r="J144" i="437" s="1"/>
  <c r="J142" i="437" s="1"/>
  <c r="G147" i="450"/>
  <c r="G141" i="450" s="1"/>
  <c r="H172" i="437"/>
  <c r="AJ78" i="438"/>
  <c r="H147" i="450"/>
  <c r="W106" i="438"/>
  <c r="W107" i="438" s="1"/>
  <c r="U140" i="446" s="1"/>
  <c r="AL87" i="446" s="1"/>
  <c r="AL89" i="446" s="1"/>
  <c r="AL95" i="438"/>
  <c r="J180" i="450" s="1"/>
  <c r="J178" i="450" s="1"/>
  <c r="K148" i="437"/>
  <c r="K146" i="437" s="1"/>
  <c r="K149" i="450"/>
  <c r="H166" i="437"/>
  <c r="H167" i="450"/>
  <c r="H165" i="450" s="1"/>
  <c r="H162" i="450" s="1"/>
  <c r="I185" i="437"/>
  <c r="I186" i="450"/>
  <c r="I184" i="450" s="1"/>
  <c r="I175" i="450" s="1"/>
  <c r="K53" i="437"/>
  <c r="J111" i="437"/>
  <c r="J107" i="437" s="1"/>
  <c r="J112" i="450"/>
  <c r="J108" i="450" s="1"/>
  <c r="H88" i="437"/>
  <c r="H89" i="450"/>
  <c r="H85" i="450" s="1"/>
  <c r="H54" i="437"/>
  <c r="H55" i="450"/>
  <c r="H50" i="450" s="1"/>
  <c r="I76" i="437"/>
  <c r="I77" i="450"/>
  <c r="I40" i="437"/>
  <c r="I41" i="450"/>
  <c r="I47" i="437"/>
  <c r="I42" i="437" s="1"/>
  <c r="I48" i="450"/>
  <c r="H129" i="437"/>
  <c r="H130" i="450"/>
  <c r="H126" i="450" s="1"/>
  <c r="H111" i="437"/>
  <c r="H107" i="437" s="1"/>
  <c r="H112" i="450"/>
  <c r="H108" i="450" s="1"/>
  <c r="H76" i="437"/>
  <c r="H77" i="450"/>
  <c r="H73" i="450" s="1"/>
  <c r="I123" i="437"/>
  <c r="I124" i="450"/>
  <c r="I120" i="450" s="1"/>
  <c r="I19" i="450"/>
  <c r="I88" i="437"/>
  <c r="I89" i="450"/>
  <c r="J54" i="450"/>
  <c r="H135" i="437"/>
  <c r="H136" i="450"/>
  <c r="H132" i="450" s="1"/>
  <c r="I135" i="437"/>
  <c r="I136" i="450"/>
  <c r="I132" i="450" s="1"/>
  <c r="I64" i="437"/>
  <c r="J135" i="437"/>
  <c r="J136" i="450"/>
  <c r="H123" i="437"/>
  <c r="H124" i="450"/>
  <c r="H120" i="450" s="1"/>
  <c r="J94" i="437"/>
  <c r="J90" i="437" s="1"/>
  <c r="J95" i="450"/>
  <c r="H47" i="437"/>
  <c r="H42" i="437" s="1"/>
  <c r="H48" i="450"/>
  <c r="H43" i="450" s="1"/>
  <c r="J129" i="450"/>
  <c r="I91" i="450"/>
  <c r="I111" i="450"/>
  <c r="I33" i="450"/>
  <c r="I54" i="450"/>
  <c r="H70" i="437"/>
  <c r="H71" i="450"/>
  <c r="J88" i="437"/>
  <c r="K89" i="437" s="1"/>
  <c r="J89" i="450"/>
  <c r="H94" i="437"/>
  <c r="H95" i="450"/>
  <c r="H91" i="450" s="1"/>
  <c r="J123" i="437"/>
  <c r="J124" i="450"/>
  <c r="I129" i="437"/>
  <c r="I130" i="450"/>
  <c r="J47" i="437"/>
  <c r="K48" i="437" s="1"/>
  <c r="J48" i="450"/>
  <c r="H82" i="437"/>
  <c r="H83" i="450"/>
  <c r="H79" i="450" s="1"/>
  <c r="J129" i="437"/>
  <c r="J130" i="450"/>
  <c r="I111" i="437"/>
  <c r="I107" i="437" s="1"/>
  <c r="I112" i="450"/>
  <c r="I108" i="450" s="1"/>
  <c r="H26" i="437"/>
  <c r="H21" i="437" s="1"/>
  <c r="H27" i="450"/>
  <c r="H22" i="450" s="1"/>
  <c r="H64" i="437"/>
  <c r="H65" i="450"/>
  <c r="H61" i="450" s="1"/>
  <c r="H40" i="437"/>
  <c r="H41" i="450"/>
  <c r="H36" i="450" s="1"/>
  <c r="I123" i="450"/>
  <c r="I88" i="450"/>
  <c r="I135" i="450"/>
  <c r="J19" i="450"/>
  <c r="I117" i="450"/>
  <c r="G70" i="437"/>
  <c r="G71" i="450"/>
  <c r="G94" i="450"/>
  <c r="H94" i="450"/>
  <c r="G54" i="450"/>
  <c r="H54" i="450"/>
  <c r="G88" i="437"/>
  <c r="G89" i="450"/>
  <c r="H47" i="450"/>
  <c r="G47" i="450"/>
  <c r="G40" i="437"/>
  <c r="G41" i="450"/>
  <c r="G129" i="437"/>
  <c r="G130" i="450"/>
  <c r="G26" i="437"/>
  <c r="G21" i="437" s="1"/>
  <c r="G27" i="450"/>
  <c r="G19" i="437"/>
  <c r="G14" i="437" s="1"/>
  <c r="G20" i="450"/>
  <c r="G15" i="450" s="1"/>
  <c r="G16" i="450" s="1"/>
  <c r="G94" i="437"/>
  <c r="G90" i="437" s="1"/>
  <c r="G95" i="450"/>
  <c r="H123" i="450"/>
  <c r="G123" i="450"/>
  <c r="G47" i="437"/>
  <c r="G42" i="437" s="1"/>
  <c r="G48" i="450"/>
  <c r="G105" i="437"/>
  <c r="G106" i="450"/>
  <c r="G135" i="437"/>
  <c r="G136" i="450"/>
  <c r="G64" i="437"/>
  <c r="G65" i="450"/>
  <c r="G54" i="437"/>
  <c r="G55" i="450"/>
  <c r="G50" i="450" s="1"/>
  <c r="H33" i="450"/>
  <c r="G33" i="450"/>
  <c r="H19" i="450"/>
  <c r="G19" i="450"/>
  <c r="G123" i="437"/>
  <c r="G124" i="450"/>
  <c r="H111" i="450"/>
  <c r="G111" i="450"/>
  <c r="H82" i="450"/>
  <c r="G82" i="450"/>
  <c r="G76" i="437"/>
  <c r="G77" i="450"/>
  <c r="H88" i="450"/>
  <c r="G88" i="450"/>
  <c r="G111" i="437"/>
  <c r="G107" i="437" s="1"/>
  <c r="G112" i="450"/>
  <c r="G108" i="450" s="1"/>
  <c r="G82" i="437"/>
  <c r="G83" i="450"/>
  <c r="G79" i="450" s="1"/>
  <c r="K111" i="437"/>
  <c r="K107" i="437" s="1"/>
  <c r="K112" i="450"/>
  <c r="K108" i="450" s="1"/>
  <c r="K123" i="437"/>
  <c r="K119" i="437" s="1"/>
  <c r="K124" i="450"/>
  <c r="K70" i="450"/>
  <c r="K85" i="450"/>
  <c r="K88" i="450"/>
  <c r="K76" i="450"/>
  <c r="K54" i="450"/>
  <c r="K94" i="437"/>
  <c r="K90" i="437" s="1"/>
  <c r="K95" i="450"/>
  <c r="K19" i="450"/>
  <c r="K129" i="437"/>
  <c r="K125" i="437" s="1"/>
  <c r="K130" i="450"/>
  <c r="L26" i="450"/>
  <c r="K26" i="450"/>
  <c r="K40" i="450"/>
  <c r="K135" i="437"/>
  <c r="K131" i="437" s="1"/>
  <c r="K136" i="450"/>
  <c r="K43" i="450"/>
  <c r="K47" i="450"/>
  <c r="K135" i="450"/>
  <c r="K123" i="450"/>
  <c r="K129" i="450"/>
  <c r="K117" i="450"/>
  <c r="K111" i="450"/>
  <c r="V44" i="438"/>
  <c r="T56" i="446" s="1"/>
  <c r="W55" i="438"/>
  <c r="W56" i="438" s="1"/>
  <c r="U72" i="446" s="1"/>
  <c r="AK34" i="438"/>
  <c r="AK36" i="438" s="1"/>
  <c r="I87" i="437"/>
  <c r="I122" i="437"/>
  <c r="I93" i="437"/>
  <c r="I39" i="437"/>
  <c r="H32" i="437"/>
  <c r="I69" i="437"/>
  <c r="I116" i="437"/>
  <c r="H18" i="437"/>
  <c r="J25" i="437"/>
  <c r="H75" i="437"/>
  <c r="H134" i="437"/>
  <c r="I110" i="437"/>
  <c r="I32" i="437"/>
  <c r="H128" i="437"/>
  <c r="H110" i="437"/>
  <c r="J128" i="437"/>
  <c r="K128" i="437"/>
  <c r="J110" i="437"/>
  <c r="K110" i="437"/>
  <c r="J116" i="437"/>
  <c r="K116" i="437"/>
  <c r="J134" i="437"/>
  <c r="K134" i="437"/>
  <c r="H122" i="437"/>
  <c r="H116" i="437"/>
  <c r="H93" i="437"/>
  <c r="K122" i="437"/>
  <c r="J122" i="437"/>
  <c r="I134" i="437"/>
  <c r="I128" i="437"/>
  <c r="K69" i="437"/>
  <c r="J69" i="437"/>
  <c r="I75" i="437"/>
  <c r="H69" i="437"/>
  <c r="J93" i="437"/>
  <c r="K93" i="437"/>
  <c r="H46" i="437"/>
  <c r="J75" i="437"/>
  <c r="K75" i="437"/>
  <c r="J18" i="437"/>
  <c r="H87" i="437"/>
  <c r="J87" i="437"/>
  <c r="K87" i="437"/>
  <c r="H25" i="437"/>
  <c r="K25" i="437"/>
  <c r="K32" i="437"/>
  <c r="I25" i="437"/>
  <c r="I46" i="437"/>
  <c r="J46" i="437"/>
  <c r="K46" i="437"/>
  <c r="K18" i="437"/>
  <c r="I18" i="437"/>
  <c r="H39" i="437"/>
  <c r="J39" i="437"/>
  <c r="K39" i="437"/>
  <c r="J32" i="437"/>
  <c r="AJ51" i="438"/>
  <c r="K88" i="15"/>
  <c r="K87" i="15" s="1"/>
  <c r="K79" i="15" s="1"/>
  <c r="AK49" i="438"/>
  <c r="AK51" i="438" s="1"/>
  <c r="W138" i="438"/>
  <c r="W89" i="438"/>
  <c r="U116" i="446" s="1"/>
  <c r="V95" i="438"/>
  <c r="W94" i="438"/>
  <c r="W95" i="438" s="1"/>
  <c r="AK78" i="438"/>
  <c r="I172" i="437"/>
  <c r="AQ13" i="438"/>
  <c r="U154" i="438"/>
  <c r="R204" i="446"/>
  <c r="W20" i="438"/>
  <c r="U24" i="446" s="1"/>
  <c r="V86" i="438"/>
  <c r="T112" i="446" s="1"/>
  <c r="W85" i="438"/>
  <c r="W86" i="438" s="1"/>
  <c r="U112" i="446" s="1"/>
  <c r="AL19" i="446" s="1"/>
  <c r="AL21" i="446" s="1"/>
  <c r="W92" i="438"/>
  <c r="U120" i="446" s="1"/>
  <c r="W13" i="438"/>
  <c r="V14" i="438"/>
  <c r="AJ15" i="438"/>
  <c r="AJ11" i="438"/>
  <c r="T116" i="438" s="1"/>
  <c r="T117" i="438" s="1"/>
  <c r="AM95" i="438"/>
  <c r="K180" i="450" s="1"/>
  <c r="K178" i="450" s="1"/>
  <c r="W160" i="438"/>
  <c r="T209" i="446" s="1"/>
  <c r="AL80" i="438"/>
  <c r="J173" i="450" s="1"/>
  <c r="J171" i="450" s="1"/>
  <c r="V133" i="438"/>
  <c r="S200" i="446"/>
  <c r="W22" i="438"/>
  <c r="V23" i="438"/>
  <c r="T28" i="446" s="1"/>
  <c r="V83" i="438"/>
  <c r="W82" i="438"/>
  <c r="W83" i="438" s="1"/>
  <c r="AJ98" i="438"/>
  <c r="H193" i="450" s="1"/>
  <c r="H191" i="450" s="1"/>
  <c r="T157" i="438"/>
  <c r="Q205" i="446" s="1"/>
  <c r="V80" i="438"/>
  <c r="T104" i="446" s="1"/>
  <c r="W79" i="438"/>
  <c r="W80" i="438" s="1"/>
  <c r="U104" i="446" s="1"/>
  <c r="W97" i="438"/>
  <c r="W98" i="438" s="1"/>
  <c r="U128" i="446" s="1"/>
  <c r="V98" i="438"/>
  <c r="W62" i="438"/>
  <c r="U80" i="446" s="1"/>
  <c r="Q155" i="446" l="1"/>
  <c r="H96" i="13"/>
  <c r="H93" i="13" s="1"/>
  <c r="U194" i="446"/>
  <c r="Q154" i="446"/>
  <c r="J77" i="450"/>
  <c r="AO15" i="446"/>
  <c r="K40" i="437"/>
  <c r="K35" i="437" s="1"/>
  <c r="K77" i="450"/>
  <c r="G43" i="419"/>
  <c r="G47" i="419" s="1"/>
  <c r="K14" i="419"/>
  <c r="K21" i="419"/>
  <c r="G221" i="13" s="1"/>
  <c r="K11" i="419"/>
  <c r="G148" i="13" s="1"/>
  <c r="K36" i="419"/>
  <c r="G237" i="13" s="1"/>
  <c r="K9" i="419"/>
  <c r="K26" i="419"/>
  <c r="G227" i="13" s="1"/>
  <c r="K10" i="419"/>
  <c r="G144" i="13" s="1"/>
  <c r="K23" i="419"/>
  <c r="G225" i="13" s="1"/>
  <c r="K5" i="419"/>
  <c r="K8" i="419"/>
  <c r="K25" i="419"/>
  <c r="G181" i="13" s="1"/>
  <c r="K24" i="419"/>
  <c r="G171" i="13" s="1"/>
  <c r="G178" i="13" s="1"/>
  <c r="G179" i="13" s="1"/>
  <c r="C179" i="13" s="1"/>
  <c r="H179" i="13" s="1"/>
  <c r="K13" i="419"/>
  <c r="G156" i="13" s="1"/>
  <c r="K30" i="419"/>
  <c r="G233" i="13" s="1"/>
  <c r="K15" i="419"/>
  <c r="K27" i="419"/>
  <c r="G229" i="13" s="1"/>
  <c r="G45" i="419"/>
  <c r="G49" i="419" s="1"/>
  <c r="K17" i="419"/>
  <c r="G215" i="13" s="1"/>
  <c r="K33" i="419"/>
  <c r="G198" i="13" s="1"/>
  <c r="K7" i="419"/>
  <c r="K20" i="419"/>
  <c r="G219" i="13" s="1"/>
  <c r="K32" i="419"/>
  <c r="G193" i="13" s="1"/>
  <c r="G44" i="419"/>
  <c r="G48" i="419" s="1"/>
  <c r="G132" i="13" s="1"/>
  <c r="G14" i="13" s="1"/>
  <c r="K22" i="419"/>
  <c r="G223" i="13" s="1"/>
  <c r="K12" i="419"/>
  <c r="G152" i="13" s="1"/>
  <c r="G154" i="13" s="1"/>
  <c r="K29" i="419"/>
  <c r="G231" i="13" s="1"/>
  <c r="K16" i="419"/>
  <c r="G213" i="13" s="1"/>
  <c r="K28" i="419"/>
  <c r="G185" i="13" s="1"/>
  <c r="K18" i="419"/>
  <c r="G217" i="13" s="1"/>
  <c r="K34" i="419"/>
  <c r="G235" i="13" s="1"/>
  <c r="K31" i="419"/>
  <c r="G189" i="13" s="1"/>
  <c r="K6" i="419"/>
  <c r="K19" i="419"/>
  <c r="G248" i="13" s="1"/>
  <c r="G243" i="13" s="1"/>
  <c r="K35" i="419"/>
  <c r="G202" i="13" s="1"/>
  <c r="I82" i="437"/>
  <c r="H185" i="437"/>
  <c r="I55" i="450"/>
  <c r="I50" i="450" s="1"/>
  <c r="I51" i="450" s="1"/>
  <c r="AK19" i="446"/>
  <c r="AK21" i="446" s="1"/>
  <c r="Q194" i="446"/>
  <c r="I96" i="13" s="1"/>
  <c r="I93" i="13" s="1"/>
  <c r="AP16" i="446"/>
  <c r="I27" i="450"/>
  <c r="AD18" i="446"/>
  <c r="R152" i="446"/>
  <c r="R155" i="446" s="1"/>
  <c r="AL93" i="438"/>
  <c r="AM16" i="438"/>
  <c r="AM18" i="438" s="1"/>
  <c r="H141" i="450"/>
  <c r="AL51" i="446"/>
  <c r="AL53" i="446" s="1"/>
  <c r="AL28" i="438"/>
  <c r="AL30" i="438" s="1"/>
  <c r="T108" i="446"/>
  <c r="AK35" i="446" s="1"/>
  <c r="AK37" i="446" s="1"/>
  <c r="Q210" i="446"/>
  <c r="H103" i="13"/>
  <c r="H100" i="13" s="1"/>
  <c r="T172" i="446"/>
  <c r="S173" i="446"/>
  <c r="S97" i="446"/>
  <c r="AI38" i="446"/>
  <c r="I63" i="13" s="1"/>
  <c r="S93" i="446"/>
  <c r="AI22" i="446"/>
  <c r="I59" i="13" s="1"/>
  <c r="AL49" i="438"/>
  <c r="AL51" i="438" s="1"/>
  <c r="T128" i="446"/>
  <c r="AK63" i="446" s="1"/>
  <c r="AM34" i="438"/>
  <c r="AM36" i="438" s="1"/>
  <c r="U124" i="446"/>
  <c r="AL43" i="446" s="1"/>
  <c r="AL45" i="446" s="1"/>
  <c r="J149" i="450"/>
  <c r="AJ65" i="446"/>
  <c r="AQ18" i="446"/>
  <c r="AM21" i="446"/>
  <c r="W151" i="438"/>
  <c r="T197" i="446" s="1"/>
  <c r="T196" i="446"/>
  <c r="AL34" i="438"/>
  <c r="AL36" i="438" s="1"/>
  <c r="T124" i="446"/>
  <c r="AK43" i="446" s="1"/>
  <c r="W139" i="438"/>
  <c r="T181" i="446" s="1"/>
  <c r="T180" i="446"/>
  <c r="J41" i="450"/>
  <c r="J36" i="450" s="1"/>
  <c r="AL81" i="438"/>
  <c r="AL83" i="438" s="1"/>
  <c r="P213" i="446"/>
  <c r="AR13" i="438"/>
  <c r="K117" i="437"/>
  <c r="K113" i="437" s="1"/>
  <c r="K118" i="450"/>
  <c r="K119" i="450" s="1"/>
  <c r="AL63" i="446"/>
  <c r="AL65" i="446" s="1"/>
  <c r="W148" i="438"/>
  <c r="T193" i="446" s="1"/>
  <c r="T192" i="446"/>
  <c r="AK90" i="438"/>
  <c r="AK92" i="438" s="1"/>
  <c r="I167" i="450" s="1"/>
  <c r="I165" i="450" s="1"/>
  <c r="I162" i="450" s="1"/>
  <c r="R201" i="446"/>
  <c r="S12" i="446"/>
  <c r="AJ47" i="446"/>
  <c r="S73" i="446"/>
  <c r="AI66" i="446"/>
  <c r="I68" i="13" s="1"/>
  <c r="I65" i="13" s="1"/>
  <c r="S89" i="446"/>
  <c r="AI46" i="446"/>
  <c r="I79" i="13" s="1"/>
  <c r="I75" i="13" s="1"/>
  <c r="I76" i="13" s="1"/>
  <c r="W141" i="438"/>
  <c r="AM28" i="438"/>
  <c r="AM30" i="438" s="1"/>
  <c r="K54" i="437" s="1"/>
  <c r="K49" i="437" s="1"/>
  <c r="U108" i="446"/>
  <c r="AL35" i="446" s="1"/>
  <c r="AL37" i="446" s="1"/>
  <c r="AL37" i="438"/>
  <c r="AL39" i="438" s="1"/>
  <c r="J82" i="437" s="1"/>
  <c r="J83" i="437" s="1"/>
  <c r="T16" i="446"/>
  <c r="AH97" i="446"/>
  <c r="H71" i="437"/>
  <c r="K78" i="450"/>
  <c r="H41" i="437"/>
  <c r="AK15" i="438"/>
  <c r="I19" i="437" s="1"/>
  <c r="I14" i="437" s="1"/>
  <c r="I141" i="450"/>
  <c r="K64" i="437"/>
  <c r="K60" i="437" s="1"/>
  <c r="AK15" i="446"/>
  <c r="R154" i="446"/>
  <c r="S153" i="446"/>
  <c r="AJ15" i="446"/>
  <c r="T81" i="446"/>
  <c r="AJ18" i="446"/>
  <c r="H76" i="13"/>
  <c r="J145" i="450"/>
  <c r="J143" i="450" s="1"/>
  <c r="AM67" i="438"/>
  <c r="AM69" i="438" s="1"/>
  <c r="W115" i="438"/>
  <c r="AL16" i="438"/>
  <c r="AL18" i="438" s="1"/>
  <c r="J26" i="437" s="1"/>
  <c r="J21" i="437" s="1"/>
  <c r="J22" i="437" s="1"/>
  <c r="J179" i="437"/>
  <c r="J140" i="437"/>
  <c r="H136" i="437"/>
  <c r="J41" i="437"/>
  <c r="H65" i="437"/>
  <c r="J42" i="437"/>
  <c r="K43" i="437" s="1"/>
  <c r="K131" i="450"/>
  <c r="I176" i="450"/>
  <c r="H176" i="450"/>
  <c r="J89" i="437"/>
  <c r="H163" i="450"/>
  <c r="J147" i="450"/>
  <c r="K147" i="450"/>
  <c r="H118" i="437"/>
  <c r="H95" i="437"/>
  <c r="K137" i="450"/>
  <c r="H90" i="437"/>
  <c r="H91" i="437" s="1"/>
  <c r="I27" i="437"/>
  <c r="I109" i="450"/>
  <c r="I90" i="450"/>
  <c r="H60" i="437"/>
  <c r="I95" i="437"/>
  <c r="H130" i="437"/>
  <c r="I41" i="437"/>
  <c r="K125" i="450"/>
  <c r="H83" i="437"/>
  <c r="J136" i="437"/>
  <c r="I65" i="437"/>
  <c r="I77" i="437"/>
  <c r="I89" i="437"/>
  <c r="K95" i="437"/>
  <c r="J48" i="437"/>
  <c r="K120" i="450"/>
  <c r="J118" i="437"/>
  <c r="H48" i="437"/>
  <c r="H124" i="437"/>
  <c r="I48" i="437"/>
  <c r="K42" i="450"/>
  <c r="H89" i="437"/>
  <c r="I83" i="437"/>
  <c r="H77" i="437"/>
  <c r="I124" i="437"/>
  <c r="H34" i="437"/>
  <c r="I34" i="437"/>
  <c r="I60" i="437"/>
  <c r="I85" i="450"/>
  <c r="I86" i="450" s="1"/>
  <c r="J130" i="437"/>
  <c r="J124" i="437"/>
  <c r="J77" i="437"/>
  <c r="I118" i="437"/>
  <c r="J131" i="450"/>
  <c r="I121" i="450"/>
  <c r="K109" i="450"/>
  <c r="I115" i="450"/>
  <c r="K77" i="437"/>
  <c r="K124" i="437"/>
  <c r="K126" i="450"/>
  <c r="K73" i="450"/>
  <c r="K132" i="450"/>
  <c r="K36" i="450"/>
  <c r="K130" i="437"/>
  <c r="K41" i="437"/>
  <c r="K136" i="437"/>
  <c r="J95" i="437"/>
  <c r="K34" i="437"/>
  <c r="I130" i="437"/>
  <c r="J34" i="437"/>
  <c r="H27" i="437"/>
  <c r="I133" i="450"/>
  <c r="I137" i="450"/>
  <c r="I125" i="450"/>
  <c r="I136" i="437"/>
  <c r="H105" i="437"/>
  <c r="H106" i="437" s="1"/>
  <c r="H106" i="450"/>
  <c r="H102" i="450" s="1"/>
  <c r="H98" i="450" s="1"/>
  <c r="J119" i="450"/>
  <c r="J114" i="450"/>
  <c r="J115" i="450" s="1"/>
  <c r="I35" i="450"/>
  <c r="K49" i="450"/>
  <c r="J49" i="450"/>
  <c r="J43" i="450"/>
  <c r="K44" i="450" s="1"/>
  <c r="J125" i="450"/>
  <c r="J120" i="450"/>
  <c r="J121" i="450" s="1"/>
  <c r="K90" i="450"/>
  <c r="J90" i="450"/>
  <c r="J85" i="450"/>
  <c r="J78" i="450"/>
  <c r="J73" i="450"/>
  <c r="I29" i="450"/>
  <c r="I96" i="450"/>
  <c r="I42" i="450"/>
  <c r="I36" i="450"/>
  <c r="J109" i="450"/>
  <c r="J54" i="437"/>
  <c r="J55" i="450"/>
  <c r="J50" i="450" s="1"/>
  <c r="J126" i="450"/>
  <c r="J96" i="450"/>
  <c r="J91" i="450"/>
  <c r="J92" i="450" s="1"/>
  <c r="J137" i="450"/>
  <c r="J132" i="450"/>
  <c r="J133" i="450" s="1"/>
  <c r="I84" i="450"/>
  <c r="I79" i="450"/>
  <c r="I80" i="450" s="1"/>
  <c r="I105" i="437"/>
  <c r="I106" i="450"/>
  <c r="I70" i="437"/>
  <c r="I71" i="437" s="1"/>
  <c r="I71" i="450"/>
  <c r="I67" i="450" s="1"/>
  <c r="I28" i="450"/>
  <c r="I22" i="450"/>
  <c r="J113" i="450"/>
  <c r="I113" i="450"/>
  <c r="I131" i="450"/>
  <c r="I126" i="450"/>
  <c r="I127" i="450" s="1"/>
  <c r="H67" i="450"/>
  <c r="H57" i="450" s="1"/>
  <c r="J42" i="450"/>
  <c r="I119" i="450"/>
  <c r="I49" i="450"/>
  <c r="I43" i="450"/>
  <c r="I78" i="450"/>
  <c r="I73" i="450"/>
  <c r="I74" i="450" s="1"/>
  <c r="J70" i="437"/>
  <c r="J71" i="450"/>
  <c r="J64" i="437"/>
  <c r="J60" i="437" s="1"/>
  <c r="J65" i="450"/>
  <c r="K66" i="450" s="1"/>
  <c r="H19" i="437"/>
  <c r="H14" i="437" s="1"/>
  <c r="H15" i="437" s="1"/>
  <c r="H20" i="450"/>
  <c r="H15" i="450" s="1"/>
  <c r="H16" i="450" s="1"/>
  <c r="I92" i="450"/>
  <c r="I66" i="450"/>
  <c r="I61" i="450"/>
  <c r="J35" i="450"/>
  <c r="J29" i="450"/>
  <c r="G80" i="450"/>
  <c r="H80" i="450"/>
  <c r="H109" i="450"/>
  <c r="G109" i="450"/>
  <c r="G30" i="450"/>
  <c r="H30" i="450"/>
  <c r="H137" i="450"/>
  <c r="G137" i="450"/>
  <c r="G132" i="450"/>
  <c r="H49" i="450"/>
  <c r="G49" i="450"/>
  <c r="H66" i="450"/>
  <c r="G66" i="450"/>
  <c r="G61" i="450"/>
  <c r="H96" i="450"/>
  <c r="G96" i="450"/>
  <c r="H28" i="450"/>
  <c r="G28" i="450"/>
  <c r="G22" i="450"/>
  <c r="H119" i="450"/>
  <c r="G119" i="450"/>
  <c r="G114" i="450"/>
  <c r="G85" i="450"/>
  <c r="H90" i="450"/>
  <c r="G90" i="450"/>
  <c r="G113" i="450"/>
  <c r="H113" i="450"/>
  <c r="H35" i="450"/>
  <c r="G35" i="450"/>
  <c r="H78" i="450"/>
  <c r="G78" i="450"/>
  <c r="G73" i="450"/>
  <c r="H125" i="450"/>
  <c r="G125" i="450"/>
  <c r="G107" i="450"/>
  <c r="G102" i="450"/>
  <c r="G72" i="450"/>
  <c r="H72" i="450"/>
  <c r="G67" i="450"/>
  <c r="H84" i="450"/>
  <c r="G84" i="450"/>
  <c r="H51" i="450"/>
  <c r="G51" i="450"/>
  <c r="G120" i="450"/>
  <c r="G21" i="450"/>
  <c r="H131" i="450"/>
  <c r="G131" i="450"/>
  <c r="G126" i="450"/>
  <c r="H42" i="450"/>
  <c r="G42" i="450"/>
  <c r="G36" i="450"/>
  <c r="G43" i="450"/>
  <c r="G91" i="450"/>
  <c r="K70" i="437"/>
  <c r="K66" i="437" s="1"/>
  <c r="K71" i="450"/>
  <c r="K61" i="450"/>
  <c r="K96" i="450"/>
  <c r="K91" i="450"/>
  <c r="K26" i="437"/>
  <c r="K27" i="450"/>
  <c r="K28" i="437"/>
  <c r="K35" i="450"/>
  <c r="K29" i="450"/>
  <c r="AR15" i="438"/>
  <c r="AR14" i="438"/>
  <c r="H55" i="13"/>
  <c r="AL13" i="438"/>
  <c r="AM49" i="438"/>
  <c r="AM93" i="438"/>
  <c r="K179" i="437"/>
  <c r="K177" i="437" s="1"/>
  <c r="I22" i="437"/>
  <c r="H108" i="437"/>
  <c r="H43" i="437"/>
  <c r="J108" i="437"/>
  <c r="K108" i="437"/>
  <c r="I108" i="437"/>
  <c r="J91" i="437"/>
  <c r="K91" i="437"/>
  <c r="I43" i="437"/>
  <c r="H22" i="437"/>
  <c r="AK11" i="438"/>
  <c r="U116" i="438" s="1"/>
  <c r="U117" i="438" s="1"/>
  <c r="L88" i="15"/>
  <c r="AJ96" i="438"/>
  <c r="H192" i="437"/>
  <c r="AL78" i="438"/>
  <c r="J172" i="437"/>
  <c r="S204" i="446"/>
  <c r="V154" i="438"/>
  <c r="W14" i="438"/>
  <c r="U157" i="438"/>
  <c r="R205" i="446" s="1"/>
  <c r="AK98" i="438"/>
  <c r="I193" i="450" s="1"/>
  <c r="I191" i="450" s="1"/>
  <c r="T200" i="446"/>
  <c r="W23" i="438"/>
  <c r="AM80" i="438"/>
  <c r="K173" i="450" s="1"/>
  <c r="K171" i="450" s="1"/>
  <c r="W133" i="438"/>
  <c r="R194" i="446" l="1"/>
  <c r="I179" i="13"/>
  <c r="H91" i="13"/>
  <c r="H92" i="13" s="1"/>
  <c r="I166" i="437"/>
  <c r="Q213" i="446"/>
  <c r="S152" i="446"/>
  <c r="S155" i="446" s="1"/>
  <c r="I55" i="13"/>
  <c r="I89" i="13" s="1"/>
  <c r="K55" i="450"/>
  <c r="K50" i="450" s="1"/>
  <c r="H154" i="13"/>
  <c r="I154" i="13" s="1"/>
  <c r="J154" i="13" s="1"/>
  <c r="K154" i="13" s="1"/>
  <c r="L154" i="13" s="1"/>
  <c r="C154" i="13"/>
  <c r="G53" i="419"/>
  <c r="G26" i="13" s="1"/>
  <c r="G52" i="419"/>
  <c r="G51" i="419"/>
  <c r="G167" i="13"/>
  <c r="G52" i="13"/>
  <c r="G50" i="419"/>
  <c r="G209" i="13"/>
  <c r="G160" i="13"/>
  <c r="K37" i="419"/>
  <c r="G139" i="13"/>
  <c r="G136" i="13"/>
  <c r="G145" i="13"/>
  <c r="C145" i="13" s="1"/>
  <c r="H145" i="13" s="1"/>
  <c r="I145" i="13" s="1"/>
  <c r="J145" i="13" s="1"/>
  <c r="K145" i="13" s="1"/>
  <c r="L145" i="13" s="1"/>
  <c r="I20" i="450"/>
  <c r="I21" i="450" s="1"/>
  <c r="T153" i="446"/>
  <c r="AS15" i="438"/>
  <c r="K114" i="450"/>
  <c r="K118" i="437"/>
  <c r="AM37" i="438"/>
  <c r="AM39" i="438" s="1"/>
  <c r="K82" i="437" s="1"/>
  <c r="K78" i="437" s="1"/>
  <c r="K56" i="437" s="1"/>
  <c r="U16" i="446"/>
  <c r="AI97" i="446"/>
  <c r="AR18" i="446"/>
  <c r="AK65" i="446"/>
  <c r="T97" i="446"/>
  <c r="AJ38" i="446"/>
  <c r="J63" i="13" s="1"/>
  <c r="AL90" i="438"/>
  <c r="AL92" i="438" s="1"/>
  <c r="J167" i="450" s="1"/>
  <c r="J165" i="450" s="1"/>
  <c r="J162" i="450" s="1"/>
  <c r="S201" i="446"/>
  <c r="T89" i="446"/>
  <c r="AJ46" i="446"/>
  <c r="J79" i="13" s="1"/>
  <c r="J75" i="13" s="1"/>
  <c r="J76" i="13" s="1"/>
  <c r="AJ49" i="446"/>
  <c r="AQ16" i="446"/>
  <c r="J185" i="437"/>
  <c r="J186" i="450"/>
  <c r="J184" i="450" s="1"/>
  <c r="J175" i="450" s="1"/>
  <c r="J176" i="450" s="1"/>
  <c r="AK45" i="446"/>
  <c r="H20" i="437"/>
  <c r="AM13" i="438"/>
  <c r="AT13" i="438" s="1"/>
  <c r="U28" i="446"/>
  <c r="AL15" i="446" s="1"/>
  <c r="AL17" i="446" s="1"/>
  <c r="J83" i="450"/>
  <c r="J79" i="450" s="1"/>
  <c r="J80" i="450" s="1"/>
  <c r="T93" i="446"/>
  <c r="AJ22" i="446"/>
  <c r="J59" i="13" s="1"/>
  <c r="AS14" i="438"/>
  <c r="T173" i="446"/>
  <c r="T12" i="446"/>
  <c r="AK47" i="446"/>
  <c r="AK49" i="446" s="1"/>
  <c r="W142" i="438"/>
  <c r="T184" i="446"/>
  <c r="T73" i="446"/>
  <c r="T152" i="446" s="1"/>
  <c r="T155" i="446" s="1"/>
  <c r="AJ66" i="446"/>
  <c r="J68" i="13" s="1"/>
  <c r="J65" i="13" s="1"/>
  <c r="R210" i="446"/>
  <c r="R213" i="446" s="1"/>
  <c r="I103" i="13"/>
  <c r="I100" i="13" s="1"/>
  <c r="I91" i="13" s="1"/>
  <c r="K61" i="437"/>
  <c r="J27" i="450"/>
  <c r="K28" i="450" s="1"/>
  <c r="J141" i="450"/>
  <c r="K74" i="450"/>
  <c r="AK17" i="446"/>
  <c r="AR15" i="446"/>
  <c r="AJ17" i="446"/>
  <c r="AQ15" i="446"/>
  <c r="J86" i="450"/>
  <c r="S154" i="446"/>
  <c r="J58" i="13"/>
  <c r="S194" i="446"/>
  <c r="J96" i="13"/>
  <c r="J93" i="13" s="1"/>
  <c r="U81" i="446"/>
  <c r="AK18" i="446"/>
  <c r="H89" i="13"/>
  <c r="H90" i="13" s="1"/>
  <c r="K144" i="437"/>
  <c r="K142" i="437" s="1"/>
  <c r="K140" i="437" s="1"/>
  <c r="K145" i="450"/>
  <c r="K143" i="450" s="1"/>
  <c r="K141" i="450" s="1"/>
  <c r="AS13" i="438"/>
  <c r="J43" i="437"/>
  <c r="AM51" i="438"/>
  <c r="K106" i="450" s="1"/>
  <c r="AT15" i="438"/>
  <c r="I91" i="437"/>
  <c r="J166" i="437"/>
  <c r="I163" i="450"/>
  <c r="I20" i="437"/>
  <c r="J71" i="437"/>
  <c r="K92" i="450"/>
  <c r="H107" i="450"/>
  <c r="J27" i="437"/>
  <c r="K65" i="437"/>
  <c r="H21" i="450"/>
  <c r="J61" i="437"/>
  <c r="J65" i="437"/>
  <c r="K71" i="437"/>
  <c r="K27" i="437"/>
  <c r="I61" i="437"/>
  <c r="K37" i="450"/>
  <c r="J127" i="450"/>
  <c r="G11" i="450"/>
  <c r="G12" i="450" s="1"/>
  <c r="K21" i="437"/>
  <c r="K22" i="437" s="1"/>
  <c r="K133" i="450"/>
  <c r="I72" i="450"/>
  <c r="I106" i="437"/>
  <c r="J30" i="450"/>
  <c r="I107" i="450"/>
  <c r="I102" i="450"/>
  <c r="J105" i="437"/>
  <c r="J106" i="437" s="1"/>
  <c r="J106" i="450"/>
  <c r="H11" i="450"/>
  <c r="H151" i="450" s="1"/>
  <c r="H152" i="450" s="1"/>
  <c r="J72" i="450"/>
  <c r="J67" i="450"/>
  <c r="J68" i="450" s="1"/>
  <c r="K127" i="450"/>
  <c r="I30" i="450"/>
  <c r="J44" i="450"/>
  <c r="I62" i="450"/>
  <c r="I57" i="450"/>
  <c r="I68" i="450"/>
  <c r="I37" i="450"/>
  <c r="J74" i="450"/>
  <c r="K121" i="450"/>
  <c r="J84" i="450"/>
  <c r="J66" i="450"/>
  <c r="J61" i="450"/>
  <c r="K62" i="450" s="1"/>
  <c r="I44" i="450"/>
  <c r="J37" i="450"/>
  <c r="I23" i="450"/>
  <c r="K86" i="450"/>
  <c r="J51" i="450"/>
  <c r="K115" i="450"/>
  <c r="H121" i="450"/>
  <c r="G121" i="450"/>
  <c r="H115" i="450"/>
  <c r="G115" i="450"/>
  <c r="G57" i="450"/>
  <c r="G62" i="450"/>
  <c r="H62" i="450"/>
  <c r="G103" i="450"/>
  <c r="H103" i="450"/>
  <c r="G98" i="450"/>
  <c r="H92" i="450"/>
  <c r="G92" i="450"/>
  <c r="G68" i="450"/>
  <c r="H68" i="450"/>
  <c r="G74" i="450"/>
  <c r="H74" i="450"/>
  <c r="G133" i="450"/>
  <c r="H133" i="450"/>
  <c r="H37" i="450"/>
  <c r="G37" i="450"/>
  <c r="G44" i="450"/>
  <c r="H44" i="450"/>
  <c r="G127" i="450"/>
  <c r="H127" i="450"/>
  <c r="G86" i="450"/>
  <c r="H86" i="450"/>
  <c r="G23" i="450"/>
  <c r="H23" i="450"/>
  <c r="K51" i="450"/>
  <c r="K30" i="450"/>
  <c r="K72" i="450"/>
  <c r="K67" i="450"/>
  <c r="K22" i="450"/>
  <c r="AL11" i="438"/>
  <c r="V116" i="438" s="1"/>
  <c r="V117" i="438" s="1"/>
  <c r="AL15" i="438"/>
  <c r="AM78" i="438"/>
  <c r="K172" i="437"/>
  <c r="K170" i="437" s="1"/>
  <c r="I15" i="437"/>
  <c r="L87" i="15"/>
  <c r="L79" i="15" s="1"/>
  <c r="AK96" i="438"/>
  <c r="I192" i="437"/>
  <c r="T204" i="446"/>
  <c r="W154" i="438"/>
  <c r="AL98" i="438"/>
  <c r="J193" i="450" s="1"/>
  <c r="J191" i="450" s="1"/>
  <c r="V157" i="438"/>
  <c r="S205" i="446" s="1"/>
  <c r="H10" i="13" l="1"/>
  <c r="H12" i="13" s="1"/>
  <c r="J179" i="13"/>
  <c r="G129" i="13"/>
  <c r="G22" i="13"/>
  <c r="I90" i="13"/>
  <c r="K83" i="450"/>
  <c r="K84" i="450" s="1"/>
  <c r="AT14" i="438"/>
  <c r="AM11" i="438"/>
  <c r="W116" i="438" s="1"/>
  <c r="W117" i="438" s="1"/>
  <c r="I15" i="450"/>
  <c r="I16" i="450" s="1"/>
  <c r="G10" i="13"/>
  <c r="G53" i="13"/>
  <c r="G164" i="13"/>
  <c r="G169" i="13"/>
  <c r="G18" i="13"/>
  <c r="G54" i="419"/>
  <c r="K105" i="437"/>
  <c r="K101" i="437" s="1"/>
  <c r="K97" i="437" s="1"/>
  <c r="L41" i="13" s="1"/>
  <c r="AM15" i="438"/>
  <c r="J22" i="450"/>
  <c r="J23" i="450" s="1"/>
  <c r="J28" i="450"/>
  <c r="AL13" i="446"/>
  <c r="AJ97" i="446"/>
  <c r="I92" i="13"/>
  <c r="AM90" i="438"/>
  <c r="AM92" i="438" s="1"/>
  <c r="T201" i="446"/>
  <c r="J55" i="13"/>
  <c r="J89" i="13" s="1"/>
  <c r="U73" i="446"/>
  <c r="AL66" i="446" s="1"/>
  <c r="L68" i="13" s="1"/>
  <c r="L65" i="13" s="1"/>
  <c r="AK66" i="446"/>
  <c r="K68" i="13" s="1"/>
  <c r="K65" i="13" s="1"/>
  <c r="S210" i="446"/>
  <c r="J103" i="13"/>
  <c r="J100" i="13" s="1"/>
  <c r="J91" i="13" s="1"/>
  <c r="J92" i="13" s="1"/>
  <c r="U89" i="446"/>
  <c r="AL46" i="446" s="1"/>
  <c r="L79" i="13" s="1"/>
  <c r="L75" i="13" s="1"/>
  <c r="AK46" i="446"/>
  <c r="K79" i="13" s="1"/>
  <c r="K75" i="13" s="1"/>
  <c r="K76" i="13" s="1"/>
  <c r="AR16" i="446"/>
  <c r="U97" i="446"/>
  <c r="AL38" i="446" s="1"/>
  <c r="L63" i="13" s="1"/>
  <c r="AK38" i="446"/>
  <c r="K63" i="13" s="1"/>
  <c r="U12" i="446"/>
  <c r="AL47" i="446"/>
  <c r="AL49" i="446" s="1"/>
  <c r="U153" i="446"/>
  <c r="U154" i="446" s="1"/>
  <c r="T185" i="446"/>
  <c r="AM81" i="438"/>
  <c r="AM83" i="438" s="1"/>
  <c r="U93" i="446"/>
  <c r="AL22" i="446" s="1"/>
  <c r="L59" i="13" s="1"/>
  <c r="AK22" i="446"/>
  <c r="K59" i="13" s="1"/>
  <c r="AK13" i="446"/>
  <c r="T154" i="446"/>
  <c r="K58" i="13"/>
  <c r="T194" i="446"/>
  <c r="K96" i="13"/>
  <c r="K93" i="13" s="1"/>
  <c r="S213" i="446"/>
  <c r="AL18" i="446"/>
  <c r="K166" i="437"/>
  <c r="K164" i="437" s="1"/>
  <c r="K161" i="437" s="1"/>
  <c r="K167" i="450"/>
  <c r="K165" i="450" s="1"/>
  <c r="K162" i="450" s="1"/>
  <c r="J163" i="450"/>
  <c r="H12" i="450"/>
  <c r="G9" i="450"/>
  <c r="K83" i="437"/>
  <c r="K68" i="450"/>
  <c r="K106" i="437"/>
  <c r="I58" i="450"/>
  <c r="J19" i="437"/>
  <c r="J20" i="450"/>
  <c r="J57" i="450"/>
  <c r="J62" i="450"/>
  <c r="H9" i="450"/>
  <c r="I11" i="450"/>
  <c r="J107" i="450"/>
  <c r="J102" i="450"/>
  <c r="I103" i="450"/>
  <c r="I98" i="450"/>
  <c r="G99" i="450"/>
  <c r="H99" i="450"/>
  <c r="G151" i="450"/>
  <c r="G152" i="450" s="1"/>
  <c r="H58" i="450"/>
  <c r="G58" i="450"/>
  <c r="K19" i="437"/>
  <c r="K20" i="450"/>
  <c r="K79" i="450"/>
  <c r="K107" i="450"/>
  <c r="K102" i="450"/>
  <c r="AL96" i="438"/>
  <c r="J192" i="437"/>
  <c r="W157" i="438"/>
  <c r="T205" i="446" s="1"/>
  <c r="AM98" i="438"/>
  <c r="K193" i="450" s="1"/>
  <c r="K191" i="450" s="1"/>
  <c r="G6" i="13" l="1"/>
  <c r="G8" i="13" s="1"/>
  <c r="L67" i="13"/>
  <c r="K179" i="13"/>
  <c r="K23" i="450"/>
  <c r="U152" i="446"/>
  <c r="U155" i="446" s="1"/>
  <c r="J90" i="13"/>
  <c r="L76" i="13"/>
  <c r="K185" i="437"/>
  <c r="K183" i="437" s="1"/>
  <c r="K174" i="437" s="1"/>
  <c r="K186" i="450"/>
  <c r="K184" i="450" s="1"/>
  <c r="K175" i="450" s="1"/>
  <c r="K176" i="450" s="1"/>
  <c r="T210" i="446"/>
  <c r="L103" i="13" s="1"/>
  <c r="L100" i="13" s="1"/>
  <c r="K103" i="13"/>
  <c r="K100" i="13" s="1"/>
  <c r="K91" i="13" s="1"/>
  <c r="AK97" i="446"/>
  <c r="K55" i="13"/>
  <c r="K89" i="13" s="1"/>
  <c r="L77" i="13"/>
  <c r="L96" i="13"/>
  <c r="L93" i="13" s="1"/>
  <c r="L58" i="13"/>
  <c r="L55" i="13" s="1"/>
  <c r="AL97" i="446"/>
  <c r="K163" i="450"/>
  <c r="K20" i="437"/>
  <c r="G45" i="450"/>
  <c r="G17" i="450"/>
  <c r="G38" i="450"/>
  <c r="G31" i="450"/>
  <c r="G24" i="450"/>
  <c r="G52" i="450"/>
  <c r="K14" i="437"/>
  <c r="K10" i="437" s="1"/>
  <c r="J21" i="450"/>
  <c r="J15" i="450"/>
  <c r="I99" i="450"/>
  <c r="I151" i="450"/>
  <c r="I152" i="450" s="1"/>
  <c r="H24" i="450"/>
  <c r="H52" i="450"/>
  <c r="H31" i="450"/>
  <c r="H38" i="450"/>
  <c r="H45" i="450"/>
  <c r="H17" i="450"/>
  <c r="J20" i="437"/>
  <c r="J14" i="437"/>
  <c r="J15" i="437" s="1"/>
  <c r="I9" i="450"/>
  <c r="I12" i="450"/>
  <c r="J103" i="450"/>
  <c r="J98" i="450"/>
  <c r="J58" i="450"/>
  <c r="K21" i="450"/>
  <c r="K15" i="450"/>
  <c r="K98" i="450"/>
  <c r="K103" i="450"/>
  <c r="K80" i="450"/>
  <c r="K57" i="450"/>
  <c r="AM96" i="438"/>
  <c r="K192" i="437"/>
  <c r="K190" i="437" s="1"/>
  <c r="F77" i="15"/>
  <c r="E77" i="15"/>
  <c r="E75" i="15" s="1"/>
  <c r="D77" i="15"/>
  <c r="D75" i="15" s="1"/>
  <c r="F76" i="15"/>
  <c r="G201" i="437"/>
  <c r="F199" i="450"/>
  <c r="E199" i="450"/>
  <c r="D199" i="450"/>
  <c r="F198" i="450"/>
  <c r="E198" i="450"/>
  <c r="D198" i="450"/>
  <c r="F196" i="450"/>
  <c r="E196" i="450"/>
  <c r="D196" i="450"/>
  <c r="J193" i="437"/>
  <c r="J195" i="450" s="1"/>
  <c r="J194" i="450" s="1"/>
  <c r="I193" i="437"/>
  <c r="I195" i="450" s="1"/>
  <c r="I194" i="450" s="1"/>
  <c r="H193" i="437"/>
  <c r="H195" i="450" s="1"/>
  <c r="H194" i="450" s="1"/>
  <c r="G193" i="437"/>
  <c r="G195" i="450" s="1"/>
  <c r="G194" i="450" s="1"/>
  <c r="J190" i="437"/>
  <c r="I190" i="437"/>
  <c r="H190" i="437"/>
  <c r="G190" i="437"/>
  <c r="J183" i="437"/>
  <c r="I183" i="437"/>
  <c r="H183" i="437"/>
  <c r="G183" i="437"/>
  <c r="J180" i="437"/>
  <c r="I180" i="437"/>
  <c r="H180" i="437"/>
  <c r="G180" i="437"/>
  <c r="J177" i="437"/>
  <c r="I177" i="437"/>
  <c r="H177" i="437"/>
  <c r="G177" i="437"/>
  <c r="J170" i="437"/>
  <c r="I170" i="437"/>
  <c r="H170" i="437"/>
  <c r="G170" i="437"/>
  <c r="F170" i="450"/>
  <c r="E170" i="450"/>
  <c r="D170" i="450"/>
  <c r="F169" i="450"/>
  <c r="E169" i="450"/>
  <c r="D169" i="450"/>
  <c r="J167" i="437"/>
  <c r="I167" i="437"/>
  <c r="H167" i="437"/>
  <c r="G167" i="437"/>
  <c r="J164" i="437"/>
  <c r="I164" i="437"/>
  <c r="H164" i="437"/>
  <c r="G164" i="437"/>
  <c r="D156" i="437"/>
  <c r="G42" i="13"/>
  <c r="F42" i="13"/>
  <c r="E42" i="13"/>
  <c r="J131" i="437"/>
  <c r="I131" i="437"/>
  <c r="H131" i="437"/>
  <c r="G131" i="437"/>
  <c r="J125" i="437"/>
  <c r="I125" i="437"/>
  <c r="H125" i="437"/>
  <c r="G125" i="437"/>
  <c r="D124" i="437"/>
  <c r="J119" i="437"/>
  <c r="I119" i="437"/>
  <c r="H119" i="437"/>
  <c r="G119" i="437"/>
  <c r="D118" i="437"/>
  <c r="J113" i="437"/>
  <c r="I113" i="437"/>
  <c r="H113" i="437"/>
  <c r="G113" i="437"/>
  <c r="J112" i="437"/>
  <c r="I112" i="437"/>
  <c r="H112" i="437"/>
  <c r="G112" i="437"/>
  <c r="D106" i="437"/>
  <c r="J104" i="437"/>
  <c r="I104" i="437"/>
  <c r="H104" i="437"/>
  <c r="G104" i="437"/>
  <c r="J101" i="437"/>
  <c r="I101" i="437"/>
  <c r="H101" i="437"/>
  <c r="G101" i="437"/>
  <c r="G95" i="437"/>
  <c r="D95" i="437"/>
  <c r="G93" i="437"/>
  <c r="G89" i="437"/>
  <c r="D89" i="437"/>
  <c r="G87" i="437"/>
  <c r="D87" i="437"/>
  <c r="J84" i="437"/>
  <c r="I84" i="437"/>
  <c r="H84" i="437"/>
  <c r="G84" i="437"/>
  <c r="G83" i="437"/>
  <c r="D83" i="437"/>
  <c r="J81" i="437"/>
  <c r="I81" i="437"/>
  <c r="H81" i="437"/>
  <c r="G81" i="437"/>
  <c r="J78" i="437"/>
  <c r="I78" i="437"/>
  <c r="H78" i="437"/>
  <c r="G78" i="437"/>
  <c r="G77" i="437"/>
  <c r="G75" i="437"/>
  <c r="D75" i="437"/>
  <c r="J72" i="437"/>
  <c r="I72" i="437"/>
  <c r="H72" i="437"/>
  <c r="G72" i="437"/>
  <c r="G71" i="437"/>
  <c r="G69" i="437"/>
  <c r="D69" i="437"/>
  <c r="J66" i="437"/>
  <c r="I66" i="437"/>
  <c r="H66" i="437"/>
  <c r="G66" i="437"/>
  <c r="G65" i="437"/>
  <c r="D65" i="437"/>
  <c r="J63" i="437"/>
  <c r="I63" i="437"/>
  <c r="H63" i="437"/>
  <c r="G63" i="437"/>
  <c r="D63" i="437"/>
  <c r="G60" i="437"/>
  <c r="G53" i="437"/>
  <c r="D53" i="437"/>
  <c r="J49" i="437"/>
  <c r="I49" i="437"/>
  <c r="H49" i="437"/>
  <c r="G49" i="437"/>
  <c r="G48" i="437"/>
  <c r="D48" i="437"/>
  <c r="G46" i="437"/>
  <c r="G41" i="437"/>
  <c r="D41" i="437"/>
  <c r="G39" i="437"/>
  <c r="D39" i="437"/>
  <c r="J35" i="437"/>
  <c r="I35" i="437"/>
  <c r="H35" i="437"/>
  <c r="G35" i="437"/>
  <c r="G34" i="437"/>
  <c r="D34" i="437"/>
  <c r="G32" i="437"/>
  <c r="J28" i="437"/>
  <c r="I28" i="437"/>
  <c r="H28" i="437"/>
  <c r="G28" i="437"/>
  <c r="G27" i="437"/>
  <c r="G25" i="437"/>
  <c r="G20" i="437"/>
  <c r="D20" i="437"/>
  <c r="G18" i="437"/>
  <c r="D5" i="437"/>
  <c r="J1" i="437"/>
  <c r="L179" i="13" l="1"/>
  <c r="L91" i="13"/>
  <c r="L10" i="13" s="1"/>
  <c r="K90" i="13"/>
  <c r="T213" i="446"/>
  <c r="K92" i="13"/>
  <c r="K10" i="13"/>
  <c r="K12" i="13" s="1"/>
  <c r="L89" i="13"/>
  <c r="L90" i="13" s="1"/>
  <c r="L56" i="13"/>
  <c r="E168" i="450"/>
  <c r="E162" i="450" s="1"/>
  <c r="F168" i="450"/>
  <c r="F162" i="450" s="1"/>
  <c r="D197" i="450"/>
  <c r="E197" i="450"/>
  <c r="K15" i="437"/>
  <c r="L17" i="450"/>
  <c r="M17" i="450"/>
  <c r="J99" i="450"/>
  <c r="I52" i="450"/>
  <c r="I38" i="450"/>
  <c r="I45" i="450"/>
  <c r="I24" i="450"/>
  <c r="I31" i="450"/>
  <c r="I17" i="450"/>
  <c r="J11" i="450"/>
  <c r="J151" i="450" s="1"/>
  <c r="J152" i="450" s="1"/>
  <c r="J16" i="450"/>
  <c r="K99" i="450"/>
  <c r="K58" i="450"/>
  <c r="L16" i="450"/>
  <c r="K16" i="450"/>
  <c r="K11" i="450"/>
  <c r="D168" i="450"/>
  <c r="D162" i="450" s="1"/>
  <c r="F197" i="450"/>
  <c r="H114" i="437"/>
  <c r="H126" i="437"/>
  <c r="J102" i="437"/>
  <c r="K102" i="437"/>
  <c r="F110" i="437"/>
  <c r="G110" i="437"/>
  <c r="F118" i="437"/>
  <c r="G118" i="437"/>
  <c r="J120" i="437"/>
  <c r="K120" i="437"/>
  <c r="F130" i="437"/>
  <c r="G130" i="437"/>
  <c r="J132" i="437"/>
  <c r="K132" i="437"/>
  <c r="H36" i="437"/>
  <c r="H67" i="437"/>
  <c r="H79" i="437"/>
  <c r="F106" i="437"/>
  <c r="G106" i="437"/>
  <c r="I114" i="437"/>
  <c r="F116" i="437"/>
  <c r="G116" i="437"/>
  <c r="I126" i="437"/>
  <c r="F128" i="437"/>
  <c r="G128" i="437"/>
  <c r="H102" i="437"/>
  <c r="J114" i="437"/>
  <c r="K114" i="437"/>
  <c r="H120" i="437"/>
  <c r="F124" i="437"/>
  <c r="G124" i="437"/>
  <c r="K126" i="437"/>
  <c r="J126" i="437"/>
  <c r="H132" i="437"/>
  <c r="F136" i="437"/>
  <c r="G136" i="437"/>
  <c r="L39" i="13"/>
  <c r="L57" i="13" s="1"/>
  <c r="K150" i="437"/>
  <c r="K214" i="437" s="1"/>
  <c r="H73" i="437"/>
  <c r="I85" i="437"/>
  <c r="I102" i="437"/>
  <c r="I120" i="437"/>
  <c r="F122" i="437"/>
  <c r="G122" i="437"/>
  <c r="I132" i="437"/>
  <c r="F134" i="437"/>
  <c r="G134" i="437"/>
  <c r="J67" i="437"/>
  <c r="K67" i="437"/>
  <c r="J79" i="437"/>
  <c r="K79" i="437"/>
  <c r="H61" i="437"/>
  <c r="I67" i="437"/>
  <c r="I79" i="437"/>
  <c r="H85" i="437"/>
  <c r="I73" i="437"/>
  <c r="J85" i="437"/>
  <c r="K85" i="437"/>
  <c r="J73" i="437"/>
  <c r="K73" i="437"/>
  <c r="J29" i="437"/>
  <c r="K29" i="437"/>
  <c r="I36" i="437"/>
  <c r="H29" i="437"/>
  <c r="J36" i="437"/>
  <c r="K36" i="437"/>
  <c r="I29" i="437"/>
  <c r="J50" i="437"/>
  <c r="K50" i="437"/>
  <c r="H50" i="437"/>
  <c r="I50" i="437"/>
  <c r="D84" i="437"/>
  <c r="D85" i="437" s="1"/>
  <c r="F93" i="437"/>
  <c r="E122" i="437"/>
  <c r="E134" i="437"/>
  <c r="D164" i="437"/>
  <c r="F75" i="15"/>
  <c r="I161" i="437"/>
  <c r="G174" i="437"/>
  <c r="E110" i="437"/>
  <c r="E196" i="437"/>
  <c r="H174" i="437"/>
  <c r="J174" i="437"/>
  <c r="H56" i="437"/>
  <c r="E113" i="437"/>
  <c r="I174" i="437"/>
  <c r="D190" i="437"/>
  <c r="J161" i="437"/>
  <c r="G56" i="437"/>
  <c r="E93" i="437"/>
  <c r="E77" i="437"/>
  <c r="E87" i="437"/>
  <c r="E131" i="437"/>
  <c r="D66" i="437"/>
  <c r="D67" i="437" s="1"/>
  <c r="E118" i="437"/>
  <c r="F167" i="437"/>
  <c r="D170" i="437"/>
  <c r="D131" i="437"/>
  <c r="D132" i="437" s="1"/>
  <c r="F20" i="437"/>
  <c r="F32" i="437"/>
  <c r="E46" i="437"/>
  <c r="F49" i="437"/>
  <c r="G50" i="437" s="1"/>
  <c r="E107" i="437"/>
  <c r="D122" i="437"/>
  <c r="D134" i="437"/>
  <c r="D177" i="437"/>
  <c r="E190" i="437"/>
  <c r="E41" i="437"/>
  <c r="F60" i="437"/>
  <c r="G61" i="437" s="1"/>
  <c r="E180" i="437"/>
  <c r="F193" i="437"/>
  <c r="F195" i="450" s="1"/>
  <c r="F194" i="450" s="1"/>
  <c r="F28" i="437"/>
  <c r="G29" i="437" s="1"/>
  <c r="E69" i="437"/>
  <c r="F14" i="437"/>
  <c r="G15" i="437" s="1"/>
  <c r="D35" i="437"/>
  <c r="D36" i="437" s="1"/>
  <c r="D46" i="437"/>
  <c r="F53" i="437"/>
  <c r="D71" i="437"/>
  <c r="D110" i="437"/>
  <c r="F112" i="437"/>
  <c r="F113" i="437"/>
  <c r="E183" i="437"/>
  <c r="D18" i="437"/>
  <c r="D14" i="437"/>
  <c r="D60" i="437"/>
  <c r="D61" i="437" s="1"/>
  <c r="E65" i="437"/>
  <c r="F72" i="437"/>
  <c r="G73" i="437" s="1"/>
  <c r="F78" i="437"/>
  <c r="G79" i="437" s="1"/>
  <c r="F183" i="437"/>
  <c r="E25" i="437"/>
  <c r="E21" i="437"/>
  <c r="F27" i="437"/>
  <c r="E60" i="437"/>
  <c r="E66" i="437"/>
  <c r="E67" i="437" s="1"/>
  <c r="F66" i="437"/>
  <c r="G67" i="437" s="1"/>
  <c r="E95" i="437"/>
  <c r="E130" i="437"/>
  <c r="D130" i="437"/>
  <c r="E170" i="437"/>
  <c r="I10" i="437"/>
  <c r="J39" i="13" s="1"/>
  <c r="J57" i="13" s="1"/>
  <c r="F25" i="437"/>
  <c r="D32" i="437"/>
  <c r="D28" i="437"/>
  <c r="D29" i="437" s="1"/>
  <c r="J56" i="437"/>
  <c r="F81" i="437"/>
  <c r="E81" i="437"/>
  <c r="G97" i="437"/>
  <c r="F180" i="437"/>
  <c r="J201" i="437"/>
  <c r="E101" i="437"/>
  <c r="D167" i="437"/>
  <c r="D196" i="437"/>
  <c r="E20" i="437"/>
  <c r="E34" i="437"/>
  <c r="E63" i="437"/>
  <c r="E125" i="437"/>
  <c r="F170" i="437"/>
  <c r="F177" i="437"/>
  <c r="D193" i="437"/>
  <c r="D195" i="450" s="1"/>
  <c r="D194" i="450" s="1"/>
  <c r="F201" i="437"/>
  <c r="J10" i="437"/>
  <c r="G10" i="437"/>
  <c r="H39" i="13" s="1"/>
  <c r="H57" i="13" s="1"/>
  <c r="E27" i="437"/>
  <c r="F39" i="437"/>
  <c r="D42" i="437"/>
  <c r="D43" i="437" s="1"/>
  <c r="D49" i="437"/>
  <c r="D50" i="437" s="1"/>
  <c r="E71" i="437"/>
  <c r="E75" i="437"/>
  <c r="F77" i="437"/>
  <c r="F104" i="437"/>
  <c r="E106" i="437"/>
  <c r="D107" i="437"/>
  <c r="D108" i="437" s="1"/>
  <c r="H161" i="437"/>
  <c r="E164" i="437"/>
  <c r="F196" i="437"/>
  <c r="E18" i="437"/>
  <c r="E14" i="437"/>
  <c r="E42" i="437"/>
  <c r="E48" i="437"/>
  <c r="F18" i="437"/>
  <c r="F48" i="437"/>
  <c r="H10" i="437"/>
  <c r="I39" i="13" s="1"/>
  <c r="I57" i="13" s="1"/>
  <c r="D25" i="437"/>
  <c r="D21" i="437"/>
  <c r="F34" i="437"/>
  <c r="F41" i="437"/>
  <c r="F35" i="437"/>
  <c r="G36" i="437" s="1"/>
  <c r="I56" i="437"/>
  <c r="F84" i="437"/>
  <c r="G85" i="437" s="1"/>
  <c r="I97" i="437"/>
  <c r="D112" i="437"/>
  <c r="E112" i="437"/>
  <c r="D136" i="437"/>
  <c r="E136" i="437"/>
  <c r="F21" i="437"/>
  <c r="G22" i="437" s="1"/>
  <c r="D27" i="437"/>
  <c r="E28" i="437"/>
  <c r="E32" i="437"/>
  <c r="E35" i="437"/>
  <c r="E39" i="437"/>
  <c r="F46" i="437"/>
  <c r="F42" i="437"/>
  <c r="G43" i="437" s="1"/>
  <c r="E53" i="437"/>
  <c r="E49" i="437"/>
  <c r="F69" i="437"/>
  <c r="F71" i="437"/>
  <c r="E72" i="437"/>
  <c r="D77" i="437"/>
  <c r="D72" i="437"/>
  <c r="F90" i="437"/>
  <c r="G91" i="437" s="1"/>
  <c r="D101" i="437"/>
  <c r="D104" i="437"/>
  <c r="D119" i="437"/>
  <c r="D120" i="437" s="1"/>
  <c r="E124" i="437"/>
  <c r="D125" i="437"/>
  <c r="D126" i="437" s="1"/>
  <c r="D128" i="437"/>
  <c r="D201" i="437"/>
  <c r="H201" i="437"/>
  <c r="F87" i="437"/>
  <c r="F95" i="437"/>
  <c r="F107" i="437"/>
  <c r="D113" i="437"/>
  <c r="D114" i="437" s="1"/>
  <c r="D116" i="437"/>
  <c r="E116" i="437"/>
  <c r="F119" i="437"/>
  <c r="G120" i="437" s="1"/>
  <c r="F131" i="437"/>
  <c r="F63" i="437"/>
  <c r="F65" i="437"/>
  <c r="D78" i="437"/>
  <c r="D79" i="437" s="1"/>
  <c r="D81" i="437"/>
  <c r="E83" i="437"/>
  <c r="F83" i="437"/>
  <c r="E78" i="437"/>
  <c r="E79" i="437" s="1"/>
  <c r="F89" i="437"/>
  <c r="E89" i="437"/>
  <c r="E84" i="437"/>
  <c r="D90" i="437"/>
  <c r="D91" i="437" s="1"/>
  <c r="D93" i="437"/>
  <c r="F101" i="437"/>
  <c r="G102" i="437" s="1"/>
  <c r="J97" i="437"/>
  <c r="F125" i="437"/>
  <c r="G126" i="437" s="1"/>
  <c r="G161" i="437"/>
  <c r="E167" i="437"/>
  <c r="D180" i="437"/>
  <c r="D183" i="437"/>
  <c r="F190" i="437"/>
  <c r="I201" i="437"/>
  <c r="F75" i="437"/>
  <c r="E90" i="437"/>
  <c r="H97" i="437"/>
  <c r="E104" i="437"/>
  <c r="E119" i="437"/>
  <c r="E128" i="437"/>
  <c r="F164" i="437"/>
  <c r="E177" i="437"/>
  <c r="E193" i="437"/>
  <c r="E195" i="450" s="1"/>
  <c r="E194" i="450" s="1"/>
  <c r="E201" i="437"/>
  <c r="F163" i="450" l="1"/>
  <c r="L11" i="13"/>
  <c r="L92" i="13"/>
  <c r="E163" i="450"/>
  <c r="D188" i="450"/>
  <c r="D158" i="450" s="1"/>
  <c r="G163" i="450"/>
  <c r="E188" i="450"/>
  <c r="E158" i="450" s="1"/>
  <c r="F188" i="450"/>
  <c r="F158" i="450" s="1"/>
  <c r="F177" i="450" s="1"/>
  <c r="N17" i="450"/>
  <c r="J12" i="450"/>
  <c r="J9" i="450"/>
  <c r="K9" i="450"/>
  <c r="K12" i="450"/>
  <c r="K151" i="450"/>
  <c r="K152" i="450" s="1"/>
  <c r="K151" i="437"/>
  <c r="F114" i="437"/>
  <c r="F102" i="437"/>
  <c r="J98" i="437"/>
  <c r="K98" i="437"/>
  <c r="H175" i="437"/>
  <c r="G114" i="437"/>
  <c r="I41" i="13"/>
  <c r="I67" i="13" s="1"/>
  <c r="H98" i="437"/>
  <c r="F132" i="437"/>
  <c r="I98" i="437"/>
  <c r="H41" i="13"/>
  <c r="H67" i="13" s="1"/>
  <c r="G132" i="437"/>
  <c r="F126" i="437"/>
  <c r="F120" i="437"/>
  <c r="F108" i="437"/>
  <c r="G108" i="437"/>
  <c r="J40" i="13"/>
  <c r="J77" i="13" s="1"/>
  <c r="I57" i="437"/>
  <c r="K40" i="13"/>
  <c r="K77" i="13" s="1"/>
  <c r="J57" i="437"/>
  <c r="K57" i="437"/>
  <c r="I40" i="13"/>
  <c r="I77" i="13" s="1"/>
  <c r="H57" i="437"/>
  <c r="K39" i="13"/>
  <c r="K57" i="13" s="1"/>
  <c r="K11" i="437"/>
  <c r="J150" i="437"/>
  <c r="J214" i="437" s="1"/>
  <c r="K41" i="13"/>
  <c r="K67" i="13" s="1"/>
  <c r="I150" i="437"/>
  <c r="I214" i="437" s="1"/>
  <c r="J41" i="13"/>
  <c r="J67" i="13" s="1"/>
  <c r="H40" i="13"/>
  <c r="H77" i="13" s="1"/>
  <c r="E85" i="437"/>
  <c r="J162" i="437"/>
  <c r="H150" i="437"/>
  <c r="D187" i="437"/>
  <c r="D188" i="437" s="1"/>
  <c r="G150" i="437"/>
  <c r="G214" i="437" s="1"/>
  <c r="I175" i="437"/>
  <c r="F61" i="437"/>
  <c r="J175" i="437"/>
  <c r="F73" i="437"/>
  <c r="I162" i="437"/>
  <c r="F67" i="437"/>
  <c r="E187" i="437"/>
  <c r="F187" i="437"/>
  <c r="E102" i="437"/>
  <c r="I11" i="437"/>
  <c r="E61" i="437"/>
  <c r="E132" i="437"/>
  <c r="J11" i="437"/>
  <c r="E114" i="437"/>
  <c r="D10" i="437"/>
  <c r="D15" i="437"/>
  <c r="F29" i="437"/>
  <c r="D161" i="437"/>
  <c r="D162" i="437" s="1"/>
  <c r="E91" i="437"/>
  <c r="F174" i="437"/>
  <c r="G175" i="437" s="1"/>
  <c r="E120" i="437"/>
  <c r="E174" i="437"/>
  <c r="F10" i="437"/>
  <c r="G39" i="13" s="1"/>
  <c r="G57" i="13" s="1"/>
  <c r="E161" i="437"/>
  <c r="E108" i="437"/>
  <c r="F161" i="437"/>
  <c r="G162" i="437" s="1"/>
  <c r="D174" i="437"/>
  <c r="D175" i="437" s="1"/>
  <c r="E126" i="437"/>
  <c r="F91" i="437"/>
  <c r="F56" i="437"/>
  <c r="G40" i="13" s="1"/>
  <c r="G77" i="13" s="1"/>
  <c r="F43" i="437"/>
  <c r="E56" i="437"/>
  <c r="F40" i="13" s="1"/>
  <c r="F77" i="13" s="1"/>
  <c r="E15" i="437"/>
  <c r="E10" i="437"/>
  <c r="F39" i="13" s="1"/>
  <c r="F57" i="13" s="1"/>
  <c r="E73" i="437"/>
  <c r="E50" i="437"/>
  <c r="E36" i="437"/>
  <c r="F22" i="437"/>
  <c r="F85" i="437"/>
  <c r="F50" i="437"/>
  <c r="D22" i="437"/>
  <c r="E22" i="437"/>
  <c r="F15" i="437"/>
  <c r="F79" i="437"/>
  <c r="F36" i="437"/>
  <c r="E43" i="437"/>
  <c r="E97" i="437"/>
  <c r="F41" i="13" s="1"/>
  <c r="F67" i="13" s="1"/>
  <c r="F97" i="437"/>
  <c r="D102" i="437"/>
  <c r="D97" i="437"/>
  <c r="E41" i="13" s="1"/>
  <c r="E67" i="13" s="1"/>
  <c r="D73" i="437"/>
  <c r="D56" i="437"/>
  <c r="E40" i="13" s="1"/>
  <c r="E77" i="13" s="1"/>
  <c r="E29" i="437"/>
  <c r="H162" i="437"/>
  <c r="H11" i="437"/>
  <c r="F73" i="15"/>
  <c r="E73" i="15"/>
  <c r="D73" i="15"/>
  <c r="F72" i="15"/>
  <c r="E72" i="15"/>
  <c r="D72" i="15"/>
  <c r="F71" i="15"/>
  <c r="E71" i="15"/>
  <c r="D71" i="15"/>
  <c r="F70" i="15"/>
  <c r="E70" i="15"/>
  <c r="D70" i="15"/>
  <c r="F69" i="15"/>
  <c r="E69" i="15"/>
  <c r="D69" i="15"/>
  <c r="F68" i="15"/>
  <c r="E68" i="15"/>
  <c r="D68" i="15"/>
  <c r="F67" i="15"/>
  <c r="E67" i="15"/>
  <c r="D67" i="15"/>
  <c r="F53" i="15"/>
  <c r="F56" i="15"/>
  <c r="E56" i="15"/>
  <c r="E52" i="15" s="1"/>
  <c r="D56" i="15"/>
  <c r="F48" i="15"/>
  <c r="E48" i="15"/>
  <c r="D48" i="15"/>
  <c r="F45" i="15"/>
  <c r="E45" i="15"/>
  <c r="D45" i="15"/>
  <c r="F42" i="15"/>
  <c r="E42" i="15"/>
  <c r="D42" i="15"/>
  <c r="F39" i="15"/>
  <c r="E39" i="15"/>
  <c r="D39" i="15"/>
  <c r="F36" i="15"/>
  <c r="E36" i="15"/>
  <c r="D36" i="15"/>
  <c r="F33" i="15"/>
  <c r="E33" i="15"/>
  <c r="D33" i="15"/>
  <c r="F30" i="15"/>
  <c r="E30" i="15"/>
  <c r="D30" i="15"/>
  <c r="F27" i="15"/>
  <c r="E27" i="15"/>
  <c r="D27" i="15"/>
  <c r="E54" i="15"/>
  <c r="D54" i="15"/>
  <c r="K49" i="15"/>
  <c r="J49" i="15"/>
  <c r="I49" i="15"/>
  <c r="K46" i="15"/>
  <c r="J46" i="15"/>
  <c r="I46" i="15"/>
  <c r="K43" i="15"/>
  <c r="J43" i="15"/>
  <c r="I43" i="15"/>
  <c r="K37" i="15"/>
  <c r="J37" i="15"/>
  <c r="I37" i="15"/>
  <c r="K34" i="15"/>
  <c r="J34" i="15"/>
  <c r="I34" i="15"/>
  <c r="K31" i="15"/>
  <c r="J31" i="15"/>
  <c r="I31" i="15"/>
  <c r="K28" i="15"/>
  <c r="J28" i="15"/>
  <c r="I28" i="15"/>
  <c r="D160" i="450" l="1"/>
  <c r="E177" i="450"/>
  <c r="E160" i="450"/>
  <c r="F228" i="450"/>
  <c r="F160" i="450"/>
  <c r="G67" i="14"/>
  <c r="D205" i="450"/>
  <c r="F205" i="450"/>
  <c r="F190" i="450"/>
  <c r="E190" i="450"/>
  <c r="J151" i="437"/>
  <c r="E205" i="450"/>
  <c r="E164" i="450"/>
  <c r="F189" i="450"/>
  <c r="E203" i="450"/>
  <c r="E189" i="450"/>
  <c r="E228" i="450"/>
  <c r="F159" i="450"/>
  <c r="F203" i="450"/>
  <c r="F164" i="450"/>
  <c r="D164" i="450"/>
  <c r="D228" i="450"/>
  <c r="J45" i="450"/>
  <c r="J31" i="450"/>
  <c r="J52" i="450"/>
  <c r="J38" i="450"/>
  <c r="J24" i="450"/>
  <c r="J17" i="450"/>
  <c r="K38" i="450"/>
  <c r="K45" i="450"/>
  <c r="K31" i="450"/>
  <c r="K52" i="450"/>
  <c r="K24" i="450"/>
  <c r="K17" i="450"/>
  <c r="E159" i="450"/>
  <c r="D190" i="450"/>
  <c r="D177" i="450"/>
  <c r="D203" i="450"/>
  <c r="I151" i="437"/>
  <c r="G41" i="13"/>
  <c r="G67" i="13" s="1"/>
  <c r="F98" i="437"/>
  <c r="G98" i="437"/>
  <c r="G57" i="437"/>
  <c r="E188" i="437"/>
  <c r="D11" i="437"/>
  <c r="E39" i="13"/>
  <c r="E57" i="13" s="1"/>
  <c r="E34" i="15"/>
  <c r="E57" i="15"/>
  <c r="G54" i="15"/>
  <c r="D37" i="15"/>
  <c r="H37" i="15"/>
  <c r="D49" i="15"/>
  <c r="H49" i="15"/>
  <c r="H34" i="15"/>
  <c r="D46" i="15"/>
  <c r="H46" i="15"/>
  <c r="D31" i="15"/>
  <c r="H31" i="15"/>
  <c r="D43" i="15"/>
  <c r="H43" i="15"/>
  <c r="D28" i="15"/>
  <c r="F31" i="15"/>
  <c r="D40" i="15"/>
  <c r="G40" i="15"/>
  <c r="E43" i="15"/>
  <c r="H151" i="437"/>
  <c r="G151" i="437"/>
  <c r="F188" i="437"/>
  <c r="E157" i="437"/>
  <c r="E176" i="437" s="1"/>
  <c r="E162" i="437"/>
  <c r="F162" i="437"/>
  <c r="F175" i="437"/>
  <c r="E204" i="437"/>
  <c r="F11" i="437"/>
  <c r="G11" i="437"/>
  <c r="D157" i="437"/>
  <c r="D176" i="437" s="1"/>
  <c r="F157" i="437"/>
  <c r="F163" i="437" s="1"/>
  <c r="F204" i="437"/>
  <c r="D204" i="437"/>
  <c r="E175" i="437"/>
  <c r="F150" i="437"/>
  <c r="F214" i="437" s="1"/>
  <c r="F215" i="437" s="1"/>
  <c r="E57" i="437"/>
  <c r="F57" i="437"/>
  <c r="D57" i="437"/>
  <c r="E11" i="437"/>
  <c r="D150" i="437"/>
  <c r="D214" i="437" s="1"/>
  <c r="D215" i="437" s="1"/>
  <c r="D98" i="437"/>
  <c r="E150" i="437"/>
  <c r="E214" i="437" s="1"/>
  <c r="E215" i="437" s="1"/>
  <c r="E98" i="437"/>
  <c r="E66" i="15"/>
  <c r="D66" i="15"/>
  <c r="F66" i="15"/>
  <c r="F54" i="15"/>
  <c r="F57" i="15"/>
  <c r="F37" i="15"/>
  <c r="F49" i="15"/>
  <c r="E28" i="15"/>
  <c r="F28" i="15"/>
  <c r="F46" i="15"/>
  <c r="D57" i="15"/>
  <c r="F26" i="15"/>
  <c r="F40" i="15"/>
  <c r="E40" i="15"/>
  <c r="D26" i="15"/>
  <c r="E46" i="15"/>
  <c r="E49" i="15"/>
  <c r="E37" i="15"/>
  <c r="F43" i="15"/>
  <c r="D52" i="15"/>
  <c r="F52" i="15"/>
  <c r="F34" i="15"/>
  <c r="E26" i="15"/>
  <c r="E23" i="15" s="1"/>
  <c r="E6" i="15" s="1"/>
  <c r="D34" i="15"/>
  <c r="E31" i="15"/>
  <c r="F67" i="14" l="1"/>
  <c r="E67" i="14"/>
  <c r="C67" i="14" s="1"/>
  <c r="H67" i="14" s="1"/>
  <c r="G63" i="14"/>
  <c r="E64" i="15"/>
  <c r="E8" i="15" s="1"/>
  <c r="F64" i="15"/>
  <c r="F8" i="15" s="1"/>
  <c r="D64" i="15"/>
  <c r="D8" i="15" s="1"/>
  <c r="G215" i="437"/>
  <c r="G213" i="437" s="1"/>
  <c r="O17" i="450"/>
  <c r="P17" i="450"/>
  <c r="D189" i="437"/>
  <c r="E163" i="437"/>
  <c r="G34" i="15"/>
  <c r="G49" i="15"/>
  <c r="G43" i="15"/>
  <c r="G57" i="15"/>
  <c r="H57" i="15"/>
  <c r="G37" i="15"/>
  <c r="G52" i="15"/>
  <c r="G46" i="15"/>
  <c r="G28" i="15"/>
  <c r="G26" i="15"/>
  <c r="H28" i="15"/>
  <c r="G31" i="15"/>
  <c r="D202" i="437"/>
  <c r="E189" i="437"/>
  <c r="D158" i="437"/>
  <c r="E202" i="437"/>
  <c r="D163" i="437"/>
  <c r="E158" i="437"/>
  <c r="F202" i="437"/>
  <c r="F158" i="437"/>
  <c r="F189" i="437"/>
  <c r="F176" i="437"/>
  <c r="D153" i="437"/>
  <c r="F153" i="437"/>
  <c r="E153" i="437"/>
  <c r="D23" i="15"/>
  <c r="F23" i="15"/>
  <c r="F6" i="15" s="1"/>
  <c r="I67" i="14" l="1"/>
  <c r="G23" i="15"/>
  <c r="H215" i="437"/>
  <c r="I215" i="437" s="1"/>
  <c r="J215" i="437" s="1"/>
  <c r="K215" i="437" s="1"/>
  <c r="K210" i="437" s="1"/>
  <c r="AM106" i="438" s="1"/>
  <c r="G210" i="437"/>
  <c r="G211" i="450" s="1"/>
  <c r="H45" i="13" s="1"/>
  <c r="D24" i="15"/>
  <c r="D6" i="15"/>
  <c r="I57" i="15"/>
  <c r="E24" i="15"/>
  <c r="G6" i="15"/>
  <c r="H54" i="15"/>
  <c r="H52" i="15"/>
  <c r="F7" i="437"/>
  <c r="F16" i="437"/>
  <c r="F30" i="437"/>
  <c r="F51" i="437"/>
  <c r="F12" i="437"/>
  <c r="F44" i="437"/>
  <c r="F23" i="437"/>
  <c r="F37" i="437"/>
  <c r="F99" i="437"/>
  <c r="F58" i="437"/>
  <c r="E7" i="437"/>
  <c r="E23" i="437"/>
  <c r="E16" i="437"/>
  <c r="E37" i="437"/>
  <c r="E44" i="437"/>
  <c r="E51" i="437"/>
  <c r="E30" i="437"/>
  <c r="E58" i="437"/>
  <c r="E99" i="437"/>
  <c r="E12" i="437"/>
  <c r="D37" i="437"/>
  <c r="D7" i="437"/>
  <c r="D44" i="437"/>
  <c r="D16" i="437"/>
  <c r="D30" i="437"/>
  <c r="D51" i="437"/>
  <c r="D23" i="437"/>
  <c r="D12" i="437"/>
  <c r="D58" i="437"/>
  <c r="D99" i="437"/>
  <c r="F24" i="15"/>
  <c r="K213" i="437" l="1"/>
  <c r="J67" i="14"/>
  <c r="J210" i="437"/>
  <c r="AL106" i="438" s="1"/>
  <c r="H210" i="437"/>
  <c r="AJ106" i="438" s="1"/>
  <c r="H213" i="437"/>
  <c r="I210" i="437"/>
  <c r="AK106" i="438" s="1"/>
  <c r="I212" i="437" s="1"/>
  <c r="I213" i="437"/>
  <c r="J213" i="437"/>
  <c r="K212" i="437"/>
  <c r="AI106" i="438"/>
  <c r="J212" i="437"/>
  <c r="H212" i="437"/>
  <c r="K211" i="450"/>
  <c r="L45" i="13" s="1"/>
  <c r="J211" i="450"/>
  <c r="K45" i="13" s="1"/>
  <c r="I52" i="15"/>
  <c r="I54" i="15"/>
  <c r="G24" i="15"/>
  <c r="I26" i="15"/>
  <c r="J57" i="15"/>
  <c r="K17" i="15"/>
  <c r="J17" i="15"/>
  <c r="I17" i="15"/>
  <c r="H17" i="15"/>
  <c r="G17" i="15"/>
  <c r="F17" i="15"/>
  <c r="E17" i="15"/>
  <c r="D17" i="15"/>
  <c r="K16" i="15"/>
  <c r="J16" i="15"/>
  <c r="I16" i="15"/>
  <c r="H16" i="15"/>
  <c r="G16" i="15"/>
  <c r="F16" i="15"/>
  <c r="E16" i="15"/>
  <c r="D16" i="15"/>
  <c r="K15" i="15"/>
  <c r="J15" i="15"/>
  <c r="I15" i="15"/>
  <c r="H15" i="15"/>
  <c r="G15" i="15"/>
  <c r="F15" i="15"/>
  <c r="E15" i="15"/>
  <c r="D15" i="15"/>
  <c r="K14" i="15"/>
  <c r="L14" i="15" s="1"/>
  <c r="J14" i="15"/>
  <c r="I14" i="15"/>
  <c r="H14" i="15"/>
  <c r="G14" i="15"/>
  <c r="F14" i="15"/>
  <c r="E14" i="15"/>
  <c r="D14" i="15"/>
  <c r="H211" i="450" l="1"/>
  <c r="I45" i="13" s="1"/>
  <c r="K67" i="14"/>
  <c r="I211" i="450"/>
  <c r="J45" i="13" s="1"/>
  <c r="G212" i="437"/>
  <c r="K57" i="15"/>
  <c r="I23" i="15"/>
  <c r="J26" i="15"/>
  <c r="J40" i="15"/>
  <c r="J54" i="15"/>
  <c r="J52" i="15"/>
  <c r="T278" i="435"/>
  <c r="S276" i="435"/>
  <c r="R276" i="435"/>
  <c r="P276" i="435"/>
  <c r="L276" i="435"/>
  <c r="K276" i="435"/>
  <c r="J276" i="435"/>
  <c r="H276" i="435"/>
  <c r="S250" i="435"/>
  <c r="R250" i="435"/>
  <c r="P250" i="435"/>
  <c r="L250" i="435"/>
  <c r="K250" i="435"/>
  <c r="J250" i="435"/>
  <c r="H250" i="435"/>
  <c r="S233" i="435"/>
  <c r="R233" i="435"/>
  <c r="P233" i="435"/>
  <c r="L233" i="435"/>
  <c r="K233" i="435"/>
  <c r="J233" i="435"/>
  <c r="H233" i="435"/>
  <c r="S188" i="435"/>
  <c r="R188" i="435"/>
  <c r="P188" i="435"/>
  <c r="L188" i="435"/>
  <c r="J188" i="435"/>
  <c r="I188" i="435"/>
  <c r="I277" i="435" s="1"/>
  <c r="H188" i="435"/>
  <c r="S40" i="435"/>
  <c r="R40" i="435"/>
  <c r="P40" i="435"/>
  <c r="L40" i="435"/>
  <c r="K40" i="435"/>
  <c r="J40" i="435"/>
  <c r="H40" i="435"/>
  <c r="S33" i="435"/>
  <c r="R33" i="435"/>
  <c r="P33" i="435"/>
  <c r="L33" i="435"/>
  <c r="K33" i="435"/>
  <c r="J33" i="435"/>
  <c r="H33" i="435"/>
  <c r="L67" i="14" l="1"/>
  <c r="L277" i="435"/>
  <c r="R277" i="435"/>
  <c r="H277" i="435"/>
  <c r="P277" i="435"/>
  <c r="P308" i="435" s="1"/>
  <c r="J277" i="435"/>
  <c r="S277" i="435"/>
  <c r="L52" i="15"/>
  <c r="I6" i="15"/>
  <c r="I15" i="235" s="1"/>
  <c r="L26" i="15"/>
  <c r="K40" i="15"/>
  <c r="K26" i="15"/>
  <c r="J23" i="15"/>
  <c r="K52" i="15"/>
  <c r="K54" i="15"/>
  <c r="L23" i="15" l="1"/>
  <c r="J24" i="15"/>
  <c r="J6" i="15"/>
  <c r="J15" i="235" s="1"/>
  <c r="K23" i="15"/>
  <c r="L24" i="15" l="1"/>
  <c r="L6" i="15"/>
  <c r="K24" i="15"/>
  <c r="K6" i="15"/>
  <c r="K15" i="235" s="1"/>
  <c r="L15" i="235" l="1"/>
  <c r="L75" i="15"/>
  <c r="G75" i="15"/>
  <c r="G158" i="14" s="1"/>
  <c r="I75" i="15"/>
  <c r="H75" i="15"/>
  <c r="J75" i="15"/>
  <c r="H66" i="15" l="1"/>
  <c r="H64" i="15" s="1"/>
  <c r="K75" i="15"/>
  <c r="L66" i="15" l="1"/>
  <c r="L64" i="15" s="1"/>
  <c r="H8" i="15"/>
  <c r="H13" i="235" s="1"/>
  <c r="K66" i="15"/>
  <c r="K64" i="15" s="1"/>
  <c r="J66" i="15"/>
  <c r="J64" i="15" s="1"/>
  <c r="I66" i="15"/>
  <c r="I64" i="15" s="1"/>
  <c r="L8" i="15" l="1"/>
  <c r="J8" i="15"/>
  <c r="J13" i="235" s="1"/>
  <c r="K8" i="15"/>
  <c r="K13" i="235" s="1"/>
  <c r="I8" i="15"/>
  <c r="I13" i="235" s="1"/>
  <c r="L13" i="235" l="1"/>
  <c r="L25" i="9"/>
  <c r="V11" i="432"/>
  <c r="U11" i="432"/>
  <c r="P11" i="432"/>
  <c r="O11" i="432"/>
  <c r="J11" i="432"/>
  <c r="I11" i="432"/>
  <c r="F11" i="16" l="1"/>
  <c r="E11" i="16"/>
  <c r="D11" i="16"/>
  <c r="G6" i="16"/>
  <c r="H47" i="432" l="1"/>
  <c r="J69" i="432"/>
  <c r="T11" i="432" s="1"/>
  <c r="I69" i="432"/>
  <c r="N11" i="432" s="1"/>
  <c r="H69" i="432"/>
  <c r="H11" i="432" s="1"/>
  <c r="R68" i="432"/>
  <c r="Q68" i="432"/>
  <c r="P68" i="432"/>
  <c r="N68" i="432"/>
  <c r="M68" i="432"/>
  <c r="L68" i="432"/>
  <c r="J68" i="432"/>
  <c r="I68" i="432"/>
  <c r="H68" i="432"/>
  <c r="R67" i="432"/>
  <c r="Q67" i="432"/>
  <c r="P67" i="432"/>
  <c r="N67" i="432"/>
  <c r="M67" i="432"/>
  <c r="L67" i="432"/>
  <c r="J67" i="432"/>
  <c r="I67" i="432"/>
  <c r="H67" i="432"/>
  <c r="R66" i="432"/>
  <c r="Q66" i="432"/>
  <c r="P66" i="432"/>
  <c r="N66" i="432"/>
  <c r="M66" i="432"/>
  <c r="L66" i="432"/>
  <c r="J66" i="432"/>
  <c r="I66" i="432"/>
  <c r="H66" i="432"/>
  <c r="R65" i="432"/>
  <c r="Q65" i="432"/>
  <c r="P65" i="432"/>
  <c r="N65" i="432"/>
  <c r="M65" i="432"/>
  <c r="L65" i="432"/>
  <c r="K65" i="432"/>
  <c r="J65" i="432"/>
  <c r="I65" i="432"/>
  <c r="H65" i="432"/>
  <c r="S64" i="432"/>
  <c r="R64" i="432"/>
  <c r="Q64" i="432"/>
  <c r="P64" i="432"/>
  <c r="O64" i="432"/>
  <c r="N64" i="432"/>
  <c r="M64" i="432"/>
  <c r="L64" i="432"/>
  <c r="J64" i="432"/>
  <c r="I64" i="432"/>
  <c r="H64" i="432"/>
  <c r="S63" i="432"/>
  <c r="R63" i="432"/>
  <c r="Q63" i="432"/>
  <c r="P63" i="432"/>
  <c r="N63" i="432"/>
  <c r="M63" i="432"/>
  <c r="L63" i="432"/>
  <c r="J63" i="432"/>
  <c r="I63" i="432"/>
  <c r="H63" i="432"/>
  <c r="S62" i="432"/>
  <c r="R62" i="432"/>
  <c r="Q62" i="432"/>
  <c r="P62" i="432"/>
  <c r="O62" i="432"/>
  <c r="N62" i="432"/>
  <c r="M62" i="432"/>
  <c r="L62" i="432"/>
  <c r="J62" i="432"/>
  <c r="I62" i="432"/>
  <c r="H62" i="432"/>
  <c r="R61" i="432"/>
  <c r="V9" i="432" s="1"/>
  <c r="Q61" i="432"/>
  <c r="P61" i="432"/>
  <c r="N61" i="432"/>
  <c r="M61" i="432"/>
  <c r="O9" i="432" s="1"/>
  <c r="L61" i="432"/>
  <c r="J61" i="432"/>
  <c r="I61" i="432"/>
  <c r="H61" i="432"/>
  <c r="H9" i="432" s="1"/>
  <c r="D65" i="13" s="1"/>
  <c r="D67" i="13" s="1"/>
  <c r="AX60" i="432"/>
  <c r="AH60" i="432"/>
  <c r="K69" i="432" s="1"/>
  <c r="S60" i="432"/>
  <c r="R60" i="432"/>
  <c r="Q60" i="432"/>
  <c r="P60" i="432"/>
  <c r="O60" i="432"/>
  <c r="N60" i="432"/>
  <c r="M60" i="432"/>
  <c r="L60" i="432"/>
  <c r="J60" i="432"/>
  <c r="I60" i="432"/>
  <c r="H60" i="432"/>
  <c r="AX59" i="432"/>
  <c r="AH59" i="432"/>
  <c r="R59" i="432"/>
  <c r="Q59" i="432"/>
  <c r="P59" i="432"/>
  <c r="N59" i="432"/>
  <c r="M59" i="432"/>
  <c r="L59" i="432"/>
  <c r="J59" i="432"/>
  <c r="I59" i="432"/>
  <c r="H59" i="432"/>
  <c r="AX58" i="432"/>
  <c r="AP58" i="432"/>
  <c r="O39" i="432" s="1"/>
  <c r="AH58" i="432"/>
  <c r="K67" i="432" s="1"/>
  <c r="R58" i="432"/>
  <c r="Q58" i="432"/>
  <c r="P58" i="432"/>
  <c r="N58" i="432"/>
  <c r="M58" i="432"/>
  <c r="L58" i="432"/>
  <c r="J58" i="432"/>
  <c r="I58" i="432"/>
  <c r="H58" i="432"/>
  <c r="AX57" i="432"/>
  <c r="S67" i="432" s="1"/>
  <c r="AP57" i="432"/>
  <c r="O67" i="432" s="1"/>
  <c r="AH57" i="432"/>
  <c r="K68" i="432" s="1"/>
  <c r="R57" i="432"/>
  <c r="Q57" i="432"/>
  <c r="P57" i="432"/>
  <c r="O57" i="432"/>
  <c r="N57" i="432"/>
  <c r="M57" i="432"/>
  <c r="L57" i="432"/>
  <c r="J57" i="432"/>
  <c r="I57" i="432"/>
  <c r="H57" i="432"/>
  <c r="AX56" i="432"/>
  <c r="S68" i="432" s="1"/>
  <c r="AP56" i="432"/>
  <c r="O68" i="432" s="1"/>
  <c r="AH56" i="432"/>
  <c r="K66" i="432" s="1"/>
  <c r="S56" i="432"/>
  <c r="R56" i="432"/>
  <c r="Q56" i="432"/>
  <c r="P56" i="432"/>
  <c r="N56" i="432"/>
  <c r="M56" i="432"/>
  <c r="L56" i="432"/>
  <c r="K56" i="432"/>
  <c r="J56" i="432"/>
  <c r="I56" i="432"/>
  <c r="H56" i="432"/>
  <c r="AX55" i="432"/>
  <c r="S65" i="432" s="1"/>
  <c r="AP55" i="432"/>
  <c r="O65" i="432" s="1"/>
  <c r="AH55" i="432"/>
  <c r="K63" i="432" s="1"/>
  <c r="S55" i="432"/>
  <c r="R55" i="432"/>
  <c r="Q55" i="432"/>
  <c r="P55" i="432"/>
  <c r="O55" i="432"/>
  <c r="N55" i="432"/>
  <c r="M55" i="432"/>
  <c r="L55" i="432"/>
  <c r="K55" i="432"/>
  <c r="J55" i="432"/>
  <c r="I55" i="432"/>
  <c r="H55" i="432"/>
  <c r="AX54" i="432"/>
  <c r="S66" i="432" s="1"/>
  <c r="AP54" i="432"/>
  <c r="O66" i="432" s="1"/>
  <c r="AH54" i="432"/>
  <c r="K64" i="432" s="1"/>
  <c r="R54" i="432"/>
  <c r="Q54" i="432"/>
  <c r="P54" i="432"/>
  <c r="N54" i="432"/>
  <c r="M54" i="432"/>
  <c r="L54" i="432"/>
  <c r="K54" i="432"/>
  <c r="J54" i="432"/>
  <c r="I54" i="432"/>
  <c r="H54" i="432"/>
  <c r="AX53" i="432"/>
  <c r="S61" i="432" s="1"/>
  <c r="AP53" i="432"/>
  <c r="O63" i="432" s="1"/>
  <c r="AH53" i="432"/>
  <c r="K62" i="432" s="1"/>
  <c r="R53" i="432"/>
  <c r="Q53" i="432"/>
  <c r="P53" i="432"/>
  <c r="N53" i="432"/>
  <c r="M53" i="432"/>
  <c r="L53" i="432"/>
  <c r="J53" i="432"/>
  <c r="I53" i="432"/>
  <c r="H53" i="432"/>
  <c r="AX52" i="432"/>
  <c r="S35" i="432" s="1"/>
  <c r="AP52" i="432"/>
  <c r="O61" i="432" s="1"/>
  <c r="AH52" i="432"/>
  <c r="K61" i="432" s="1"/>
  <c r="R52" i="432"/>
  <c r="Q52" i="432"/>
  <c r="P52" i="432"/>
  <c r="N52" i="432"/>
  <c r="M52" i="432"/>
  <c r="L52" i="432"/>
  <c r="J52" i="432"/>
  <c r="I52" i="432"/>
  <c r="H52" i="432"/>
  <c r="AX51" i="432"/>
  <c r="S36" i="432" s="1"/>
  <c r="AP51" i="432"/>
  <c r="O35" i="432" s="1"/>
  <c r="AH51" i="432"/>
  <c r="K35" i="432" s="1"/>
  <c r="S51" i="432"/>
  <c r="R51" i="432"/>
  <c r="Q51" i="432"/>
  <c r="P51" i="432"/>
  <c r="O51" i="432"/>
  <c r="N51" i="432"/>
  <c r="M51" i="432"/>
  <c r="L51" i="432"/>
  <c r="J51" i="432"/>
  <c r="I51" i="432"/>
  <c r="H51" i="432"/>
  <c r="AX50" i="432"/>
  <c r="S38" i="432" s="1"/>
  <c r="AP50" i="432"/>
  <c r="O36" i="432" s="1"/>
  <c r="AH50" i="432"/>
  <c r="K36" i="432" s="1"/>
  <c r="S50" i="432"/>
  <c r="R50" i="432"/>
  <c r="Q50" i="432"/>
  <c r="P50" i="432"/>
  <c r="N50" i="432"/>
  <c r="M50" i="432"/>
  <c r="L50" i="432"/>
  <c r="J50" i="432"/>
  <c r="I50" i="432"/>
  <c r="H50" i="432"/>
  <c r="AX49" i="432"/>
  <c r="S37" i="432" s="1"/>
  <c r="AP49" i="432"/>
  <c r="O50" i="432" s="1"/>
  <c r="AH49" i="432"/>
  <c r="K51" i="432" s="1"/>
  <c r="S49" i="432"/>
  <c r="R49" i="432"/>
  <c r="Q49" i="432"/>
  <c r="P49" i="432"/>
  <c r="N49" i="432"/>
  <c r="M49" i="432"/>
  <c r="L49" i="432"/>
  <c r="K49" i="432"/>
  <c r="J49" i="432"/>
  <c r="I49" i="432"/>
  <c r="H49" i="432"/>
  <c r="AX48" i="432"/>
  <c r="S46" i="432" s="1"/>
  <c r="AP48" i="432"/>
  <c r="O49" i="432" s="1"/>
  <c r="AH48" i="432"/>
  <c r="K50" i="432" s="1"/>
  <c r="R48" i="432"/>
  <c r="Q48" i="432"/>
  <c r="P48" i="432"/>
  <c r="N48" i="432"/>
  <c r="M48" i="432"/>
  <c r="L48" i="432"/>
  <c r="J48" i="432"/>
  <c r="I48" i="432"/>
  <c r="H48" i="432"/>
  <c r="AX47" i="432"/>
  <c r="S45" i="432" s="1"/>
  <c r="AP47" i="432"/>
  <c r="O46" i="432" s="1"/>
  <c r="AH47" i="432"/>
  <c r="K46" i="432" s="1"/>
  <c r="S47" i="432"/>
  <c r="R47" i="432"/>
  <c r="Q47" i="432"/>
  <c r="P47" i="432"/>
  <c r="N47" i="432"/>
  <c r="M47" i="432"/>
  <c r="L47" i="432"/>
  <c r="J47" i="432"/>
  <c r="I47" i="432"/>
  <c r="AX46" i="432"/>
  <c r="S48" i="432" s="1"/>
  <c r="AP46" i="432"/>
  <c r="O45" i="432" s="1"/>
  <c r="AH46" i="432"/>
  <c r="K45" i="432" s="1"/>
  <c r="R46" i="432"/>
  <c r="Q46" i="432"/>
  <c r="P46" i="432"/>
  <c r="N46" i="432"/>
  <c r="M46" i="432"/>
  <c r="L46" i="432"/>
  <c r="J46" i="432"/>
  <c r="I46" i="432"/>
  <c r="H46" i="432"/>
  <c r="AX45" i="432"/>
  <c r="S44" i="432" s="1"/>
  <c r="AP45" i="432"/>
  <c r="O48" i="432" s="1"/>
  <c r="AH45" i="432"/>
  <c r="K48" i="432" s="1"/>
  <c r="R45" i="432"/>
  <c r="Q45" i="432"/>
  <c r="P45" i="432"/>
  <c r="N45" i="432"/>
  <c r="M45" i="432"/>
  <c r="L45" i="432"/>
  <c r="J45" i="432"/>
  <c r="I45" i="432"/>
  <c r="H45" i="432"/>
  <c r="AX44" i="432"/>
  <c r="S52" i="432" s="1"/>
  <c r="AP44" i="432"/>
  <c r="O47" i="432" s="1"/>
  <c r="AH44" i="432"/>
  <c r="K47" i="432" s="1"/>
  <c r="R44" i="432"/>
  <c r="Q44" i="432"/>
  <c r="P44" i="432"/>
  <c r="O44" i="432"/>
  <c r="N44" i="432"/>
  <c r="M44" i="432"/>
  <c r="L44" i="432"/>
  <c r="K44" i="432"/>
  <c r="J44" i="432"/>
  <c r="I44" i="432"/>
  <c r="H44" i="432"/>
  <c r="AX43" i="432"/>
  <c r="S43" i="432" s="1"/>
  <c r="AP43" i="432"/>
  <c r="O52" i="432" s="1"/>
  <c r="AH43" i="432"/>
  <c r="K52" i="432" s="1"/>
  <c r="R43" i="432"/>
  <c r="Q43" i="432"/>
  <c r="P43" i="432"/>
  <c r="N43" i="432"/>
  <c r="M43" i="432"/>
  <c r="L43" i="432"/>
  <c r="J43" i="432"/>
  <c r="I43" i="432"/>
  <c r="H43" i="432"/>
  <c r="AX42" i="432"/>
  <c r="S42" i="432" s="1"/>
  <c r="AP42" i="432"/>
  <c r="O43" i="432" s="1"/>
  <c r="AH42" i="432"/>
  <c r="K43" i="432" s="1"/>
  <c r="R42" i="432"/>
  <c r="Q42" i="432"/>
  <c r="P42" i="432"/>
  <c r="N42" i="432"/>
  <c r="M42" i="432"/>
  <c r="L42" i="432"/>
  <c r="J42" i="432"/>
  <c r="I42" i="432"/>
  <c r="H42" i="432"/>
  <c r="AX41" i="432"/>
  <c r="S40" i="432" s="1"/>
  <c r="AP41" i="432"/>
  <c r="O42" i="432" s="1"/>
  <c r="AH41" i="432"/>
  <c r="K42" i="432" s="1"/>
  <c r="R41" i="432"/>
  <c r="Q41" i="432"/>
  <c r="P41" i="432"/>
  <c r="O41" i="432"/>
  <c r="N41" i="432"/>
  <c r="M41" i="432"/>
  <c r="L41" i="432"/>
  <c r="K41" i="432"/>
  <c r="J41" i="432"/>
  <c r="I41" i="432"/>
  <c r="H41" i="432"/>
  <c r="AX40" i="432"/>
  <c r="S41" i="432" s="1"/>
  <c r="AP40" i="432"/>
  <c r="O40" i="432" s="1"/>
  <c r="AH40" i="432"/>
  <c r="K40" i="432" s="1"/>
  <c r="R40" i="432"/>
  <c r="Q40" i="432"/>
  <c r="P40" i="432"/>
  <c r="N40" i="432"/>
  <c r="M40" i="432"/>
  <c r="L40" i="432"/>
  <c r="J40" i="432"/>
  <c r="I40" i="432"/>
  <c r="H40" i="432"/>
  <c r="AX39" i="432"/>
  <c r="S59" i="432" s="1"/>
  <c r="AP39" i="432"/>
  <c r="O59" i="432" s="1"/>
  <c r="AH39" i="432"/>
  <c r="K59" i="432" s="1"/>
  <c r="S39" i="432"/>
  <c r="R39" i="432"/>
  <c r="Q39" i="432"/>
  <c r="P39" i="432"/>
  <c r="N39" i="432"/>
  <c r="M39" i="432"/>
  <c r="L39" i="432"/>
  <c r="K39" i="432"/>
  <c r="J39" i="432"/>
  <c r="I39" i="432"/>
  <c r="H39" i="432"/>
  <c r="AX38" i="432"/>
  <c r="S58" i="432" s="1"/>
  <c r="AP38" i="432"/>
  <c r="O58" i="432" s="1"/>
  <c r="AH38" i="432"/>
  <c r="K60" i="432" s="1"/>
  <c r="R38" i="432"/>
  <c r="Q38" i="432"/>
  <c r="P38" i="432"/>
  <c r="O38" i="432"/>
  <c r="N38" i="432"/>
  <c r="M38" i="432"/>
  <c r="L38" i="432"/>
  <c r="K38" i="432"/>
  <c r="J38" i="432"/>
  <c r="I38" i="432"/>
  <c r="H38" i="432"/>
  <c r="AX37" i="432"/>
  <c r="S57" i="432" s="1"/>
  <c r="AP37" i="432"/>
  <c r="O56" i="432" s="1"/>
  <c r="AH37" i="432"/>
  <c r="K58" i="432" s="1"/>
  <c r="R37" i="432"/>
  <c r="V8" i="432" s="1"/>
  <c r="Q37" i="432"/>
  <c r="P37" i="432"/>
  <c r="O37" i="432"/>
  <c r="N37" i="432"/>
  <c r="U8" i="432" s="1"/>
  <c r="M37" i="432"/>
  <c r="L37" i="432"/>
  <c r="K37" i="432"/>
  <c r="J37" i="432"/>
  <c r="T8" i="432" s="1"/>
  <c r="I37" i="432"/>
  <c r="H37" i="432"/>
  <c r="AX36" i="432"/>
  <c r="S54" i="432" s="1"/>
  <c r="AR36" i="432"/>
  <c r="AR37" i="432" s="1"/>
  <c r="AR38" i="432" s="1"/>
  <c r="AR39" i="432" s="1"/>
  <c r="AR40" i="432" s="1"/>
  <c r="AR41" i="432" s="1"/>
  <c r="AR42" i="432" s="1"/>
  <c r="AR43" i="432" s="1"/>
  <c r="AR44" i="432" s="1"/>
  <c r="AR45" i="432" s="1"/>
  <c r="AR46" i="432" s="1"/>
  <c r="AR47" i="432" s="1"/>
  <c r="AR48" i="432" s="1"/>
  <c r="AR49" i="432" s="1"/>
  <c r="AR50" i="432" s="1"/>
  <c r="AR51" i="432" s="1"/>
  <c r="AR52" i="432" s="1"/>
  <c r="AR53" i="432" s="1"/>
  <c r="AR54" i="432" s="1"/>
  <c r="AR55" i="432" s="1"/>
  <c r="AR56" i="432" s="1"/>
  <c r="AR57" i="432" s="1"/>
  <c r="AR58" i="432" s="1"/>
  <c r="AR59" i="432" s="1"/>
  <c r="AR60" i="432" s="1"/>
  <c r="AP36" i="432"/>
  <c r="O54" i="432" s="1"/>
  <c r="AJ36" i="432"/>
  <c r="AJ37" i="432" s="1"/>
  <c r="AJ38" i="432" s="1"/>
  <c r="AJ39" i="432" s="1"/>
  <c r="AJ40" i="432" s="1"/>
  <c r="AJ41" i="432" s="1"/>
  <c r="AJ42" i="432" s="1"/>
  <c r="AJ43" i="432" s="1"/>
  <c r="AJ44" i="432" s="1"/>
  <c r="AJ45" i="432" s="1"/>
  <c r="AJ46" i="432" s="1"/>
  <c r="AJ47" i="432" s="1"/>
  <c r="AJ48" i="432" s="1"/>
  <c r="AJ49" i="432" s="1"/>
  <c r="AJ50" i="432" s="1"/>
  <c r="AJ51" i="432" s="1"/>
  <c r="AJ52" i="432" s="1"/>
  <c r="AJ53" i="432" s="1"/>
  <c r="AJ54" i="432" s="1"/>
  <c r="AJ55" i="432" s="1"/>
  <c r="AJ56" i="432" s="1"/>
  <c r="AJ57" i="432" s="1"/>
  <c r="AJ58" i="432" s="1"/>
  <c r="AH36" i="432"/>
  <c r="K57" i="432" s="1"/>
  <c r="AB36" i="432"/>
  <c r="AB37" i="432" s="1"/>
  <c r="AB38" i="432" s="1"/>
  <c r="AB39" i="432" s="1"/>
  <c r="AB40" i="432" s="1"/>
  <c r="AB41" i="432" s="1"/>
  <c r="AB42" i="432" s="1"/>
  <c r="AB43" i="432" s="1"/>
  <c r="AB44" i="432" s="1"/>
  <c r="AB45" i="432" s="1"/>
  <c r="AB46" i="432" s="1"/>
  <c r="AB47" i="432" s="1"/>
  <c r="AB48" i="432" s="1"/>
  <c r="AB49" i="432" s="1"/>
  <c r="AB50" i="432" s="1"/>
  <c r="AB51" i="432" s="1"/>
  <c r="AB52" i="432" s="1"/>
  <c r="AB53" i="432" s="1"/>
  <c r="AB54" i="432" s="1"/>
  <c r="AB55" i="432" s="1"/>
  <c r="AB56" i="432" s="1"/>
  <c r="AB57" i="432" s="1"/>
  <c r="AB58" i="432" s="1"/>
  <c r="AB59" i="432" s="1"/>
  <c r="AB60" i="432" s="1"/>
  <c r="R36" i="432"/>
  <c r="Q36" i="432"/>
  <c r="P36" i="432"/>
  <c r="N36" i="432"/>
  <c r="M36" i="432"/>
  <c r="L36" i="432"/>
  <c r="J36" i="432"/>
  <c r="I36" i="432"/>
  <c r="H36" i="432"/>
  <c r="AX35" i="432"/>
  <c r="S53" i="432" s="1"/>
  <c r="AP35" i="432"/>
  <c r="O53" i="432" s="1"/>
  <c r="AH35" i="432"/>
  <c r="R35" i="432"/>
  <c r="Q35" i="432"/>
  <c r="P35" i="432"/>
  <c r="N35" i="432"/>
  <c r="M35" i="432"/>
  <c r="L35" i="432"/>
  <c r="J35" i="432"/>
  <c r="I35" i="432"/>
  <c r="H35" i="432"/>
  <c r="J70" i="432" l="1"/>
  <c r="T10" i="432"/>
  <c r="T12" i="432" s="1"/>
  <c r="P70" i="432"/>
  <c r="J10" i="432"/>
  <c r="L70" i="432"/>
  <c r="I10" i="432"/>
  <c r="P10" i="432"/>
  <c r="Q70" i="432"/>
  <c r="N9" i="432"/>
  <c r="U9" i="432"/>
  <c r="U12" i="432" s="1"/>
  <c r="U13" i="432" s="1"/>
  <c r="H10" i="432"/>
  <c r="H70" i="432"/>
  <c r="O10" i="432"/>
  <c r="M70" i="432"/>
  <c r="V10" i="432"/>
  <c r="V12" i="432" s="1"/>
  <c r="V13" i="432" s="1"/>
  <c r="R70" i="432"/>
  <c r="H8" i="432"/>
  <c r="I8" i="432"/>
  <c r="J8" i="432"/>
  <c r="T9" i="432"/>
  <c r="J9" i="432"/>
  <c r="N10" i="432"/>
  <c r="I70" i="432"/>
  <c r="U10" i="432"/>
  <c r="N70" i="432"/>
  <c r="N8" i="432"/>
  <c r="N12" i="432" s="1"/>
  <c r="O8" i="432"/>
  <c r="O12" i="432" s="1"/>
  <c r="O13" i="432" s="1"/>
  <c r="P8" i="432"/>
  <c r="O70" i="432"/>
  <c r="I9" i="432"/>
  <c r="P9" i="432"/>
  <c r="S70" i="432"/>
  <c r="AH61" i="432"/>
  <c r="AP61" i="432"/>
  <c r="AX61" i="432"/>
  <c r="K53" i="432"/>
  <c r="K70" i="432" s="1"/>
  <c r="J12" i="432" l="1"/>
  <c r="J13" i="432" s="1"/>
  <c r="K71" i="432"/>
  <c r="N13" i="432"/>
  <c r="I12" i="432"/>
  <c r="I13" i="432" s="1"/>
  <c r="T13" i="432"/>
  <c r="H12" i="432"/>
  <c r="H13" i="432" s="1"/>
  <c r="D58" i="13"/>
  <c r="P12" i="432"/>
  <c r="P13" i="432" s="1"/>
  <c r="S71" i="432"/>
  <c r="O71" i="432"/>
  <c r="D66" i="13" l="1"/>
  <c r="F38" i="419" l="1"/>
  <c r="E38" i="419"/>
  <c r="D38" i="419"/>
  <c r="D55" i="13"/>
  <c r="D10" i="13" s="1"/>
  <c r="G252" i="13"/>
  <c r="F152" i="419"/>
  <c r="E152" i="419"/>
  <c r="E246" i="13"/>
  <c r="D248" i="13"/>
  <c r="D152" i="419"/>
  <c r="G28" i="13" l="1"/>
  <c r="E28" i="13"/>
  <c r="E249" i="13"/>
  <c r="F249" i="13"/>
  <c r="D243" i="13"/>
  <c r="D26" i="13" s="1"/>
  <c r="D27" i="13" s="1"/>
  <c r="D249" i="13"/>
  <c r="H11" i="13"/>
  <c r="E11" i="13"/>
  <c r="G11" i="13"/>
  <c r="F11" i="13"/>
  <c r="D11" i="13"/>
  <c r="G245" i="13"/>
  <c r="F246" i="13" l="1"/>
  <c r="E244" i="13"/>
  <c r="E27" i="13"/>
  <c r="D244" i="13"/>
  <c r="F27" i="13"/>
  <c r="G244" i="13"/>
  <c r="F244" i="13"/>
  <c r="G24" i="13"/>
  <c r="G238" i="13"/>
  <c r="D237" i="13"/>
  <c r="D238" i="13" s="1"/>
  <c r="G236" i="13"/>
  <c r="D235" i="13"/>
  <c r="D236" i="13" s="1"/>
  <c r="G234" i="13"/>
  <c r="D233" i="13"/>
  <c r="G232" i="13"/>
  <c r="D231" i="13"/>
  <c r="D232" i="13" s="1"/>
  <c r="D229" i="13"/>
  <c r="D230" i="13" s="1"/>
  <c r="G228" i="13"/>
  <c r="D227" i="13"/>
  <c r="G226" i="13"/>
  <c r="D225" i="13"/>
  <c r="G224" i="13"/>
  <c r="D223" i="13"/>
  <c r="G222" i="13"/>
  <c r="D221" i="13"/>
  <c r="G220" i="13"/>
  <c r="D219" i="13"/>
  <c r="D220" i="13" s="1"/>
  <c r="G218" i="13"/>
  <c r="D217" i="13"/>
  <c r="G216" i="13"/>
  <c r="D215" i="13"/>
  <c r="D213" i="13"/>
  <c r="G204" i="13"/>
  <c r="G203" i="13"/>
  <c r="D202" i="13"/>
  <c r="D203" i="13" s="1"/>
  <c r="G199" i="13"/>
  <c r="D198" i="13"/>
  <c r="G194" i="13"/>
  <c r="D193" i="13"/>
  <c r="D194" i="13" s="1"/>
  <c r="D189" i="13"/>
  <c r="G186" i="13"/>
  <c r="D185" i="13"/>
  <c r="D186" i="13" s="1"/>
  <c r="G200" i="13"/>
  <c r="G195" i="13"/>
  <c r="G191" i="13"/>
  <c r="G187" i="13"/>
  <c r="G183" i="13"/>
  <c r="G182" i="13"/>
  <c r="D181" i="13"/>
  <c r="D182" i="13" s="1"/>
  <c r="G173" i="13"/>
  <c r="C173" i="13" s="1"/>
  <c r="D171" i="13"/>
  <c r="G162" i="13"/>
  <c r="C162" i="13" s="1"/>
  <c r="G161" i="13"/>
  <c r="D160" i="13"/>
  <c r="D161" i="13" s="1"/>
  <c r="G158" i="13"/>
  <c r="C158" i="13" s="1"/>
  <c r="G157" i="13"/>
  <c r="D156" i="13"/>
  <c r="D152" i="13"/>
  <c r="D153" i="13" s="1"/>
  <c r="D148" i="13"/>
  <c r="D139" i="13"/>
  <c r="G172" i="13" l="1"/>
  <c r="F167" i="13"/>
  <c r="G27" i="13"/>
  <c r="F28" i="13"/>
  <c r="G153" i="13"/>
  <c r="D149" i="13"/>
  <c r="G20" i="13"/>
  <c r="G211" i="13"/>
  <c r="E230" i="13"/>
  <c r="E218" i="13"/>
  <c r="E234" i="13"/>
  <c r="F236" i="13"/>
  <c r="F222" i="13"/>
  <c r="F238" i="13"/>
  <c r="F216" i="13"/>
  <c r="F224" i="13"/>
  <c r="F232" i="13"/>
  <c r="E220" i="13"/>
  <c r="F234" i="13"/>
  <c r="E226" i="13"/>
  <c r="F228" i="13"/>
  <c r="F218" i="13"/>
  <c r="E224" i="13"/>
  <c r="F226" i="13"/>
  <c r="E232" i="13"/>
  <c r="E238" i="13"/>
  <c r="E216" i="13"/>
  <c r="D209" i="13"/>
  <c r="D216" i="13"/>
  <c r="D218" i="13"/>
  <c r="F230" i="13"/>
  <c r="E236" i="13"/>
  <c r="F214" i="13"/>
  <c r="G214" i="13"/>
  <c r="F220" i="13"/>
  <c r="D224" i="13"/>
  <c r="D226" i="13"/>
  <c r="G230" i="13"/>
  <c r="E222" i="13"/>
  <c r="E214" i="13"/>
  <c r="D214" i="13"/>
  <c r="D234" i="13"/>
  <c r="E228" i="13"/>
  <c r="D228" i="13"/>
  <c r="D222" i="13"/>
  <c r="E190" i="13"/>
  <c r="F194" i="13"/>
  <c r="F199" i="13"/>
  <c r="E194" i="13"/>
  <c r="F190" i="13"/>
  <c r="F186" i="13"/>
  <c r="G190" i="13"/>
  <c r="E199" i="13"/>
  <c r="E172" i="13"/>
  <c r="F182" i="13"/>
  <c r="F203" i="13"/>
  <c r="F172" i="13"/>
  <c r="D167" i="13"/>
  <c r="D172" i="13"/>
  <c r="E182" i="13"/>
  <c r="E186" i="13"/>
  <c r="D199" i="13"/>
  <c r="E203" i="13"/>
  <c r="D190" i="13"/>
  <c r="F153" i="13"/>
  <c r="F149" i="13"/>
  <c r="E149" i="13"/>
  <c r="E153" i="13"/>
  <c r="F157" i="13"/>
  <c r="G149" i="13"/>
  <c r="E157" i="13"/>
  <c r="F161" i="13"/>
  <c r="D157" i="13"/>
  <c r="E161" i="13"/>
  <c r="F164" i="13" l="1"/>
  <c r="F18" i="13"/>
  <c r="F6" i="13" s="1"/>
  <c r="D168" i="13"/>
  <c r="D18" i="13"/>
  <c r="E24" i="13"/>
  <c r="E20" i="13"/>
  <c r="D210" i="13"/>
  <c r="D22" i="13"/>
  <c r="D23" i="13" s="1"/>
  <c r="G210" i="13"/>
  <c r="F24" i="13"/>
  <c r="F210" i="13"/>
  <c r="E210" i="13"/>
  <c r="E168" i="13"/>
  <c r="G168" i="13"/>
  <c r="F168" i="13"/>
  <c r="F20" i="13" l="1"/>
  <c r="F8" i="13"/>
  <c r="G23" i="13"/>
  <c r="F23" i="13"/>
  <c r="G19" i="13"/>
  <c r="F19" i="13"/>
  <c r="E23" i="13"/>
  <c r="E19" i="13"/>
  <c r="D19" i="13"/>
  <c r="K56" i="13" l="1"/>
  <c r="J56" i="13"/>
  <c r="I56" i="13"/>
  <c r="H56" i="13"/>
  <c r="G56" i="13"/>
  <c r="D56" i="13"/>
  <c r="G150" i="13"/>
  <c r="F150" i="13"/>
  <c r="C150" i="13" s="1"/>
  <c r="D136" i="13"/>
  <c r="D150" i="13" s="1"/>
  <c r="E16" i="13" l="1"/>
  <c r="G138" i="13"/>
  <c r="D132" i="13"/>
  <c r="G134" i="13" l="1"/>
  <c r="G16" i="13"/>
  <c r="F16" i="13"/>
  <c r="D14" i="13"/>
  <c r="D133" i="13"/>
  <c r="F133" i="13"/>
  <c r="E133" i="13"/>
  <c r="G133" i="13"/>
  <c r="E51" i="13"/>
  <c r="E131" i="13" s="1"/>
  <c r="D51" i="13"/>
  <c r="B51" i="13"/>
  <c r="G15" i="13" l="1"/>
  <c r="F15" i="13"/>
  <c r="D15" i="13"/>
  <c r="D6" i="13"/>
  <c r="D31" i="13" s="1"/>
  <c r="E15" i="13"/>
  <c r="C9" i="427"/>
  <c r="C8" i="427"/>
  <c r="C6" i="427"/>
  <c r="C5" i="427"/>
  <c r="C7" i="427" s="1"/>
  <c r="C4" i="427"/>
  <c r="C3" i="427"/>
  <c r="C2" i="427"/>
  <c r="C9" i="426"/>
  <c r="C8" i="426"/>
  <c r="C6" i="426"/>
  <c r="C7" i="426" s="1"/>
  <c r="C5" i="426"/>
  <c r="C4" i="426"/>
  <c r="C3" i="426"/>
  <c r="C2" i="426"/>
  <c r="C9" i="425"/>
  <c r="C8" i="425"/>
  <c r="C6" i="425"/>
  <c r="C5" i="425"/>
  <c r="C7" i="425" s="1"/>
  <c r="C4" i="425"/>
  <c r="C3" i="425"/>
  <c r="C2" i="425"/>
  <c r="C10" i="424"/>
  <c r="C9" i="424"/>
  <c r="C7" i="424"/>
  <c r="C6" i="424"/>
  <c r="C5" i="424"/>
  <c r="C4" i="424"/>
  <c r="C3" i="424"/>
  <c r="C9" i="423"/>
  <c r="C8" i="423"/>
  <c r="C6" i="423"/>
  <c r="C5" i="423"/>
  <c r="C7" i="423" s="1"/>
  <c r="C4" i="423"/>
  <c r="C3" i="423"/>
  <c r="C2" i="423"/>
  <c r="C9" i="422"/>
  <c r="C8" i="422"/>
  <c r="C6" i="422"/>
  <c r="C5" i="422"/>
  <c r="C4" i="422"/>
  <c r="C3" i="422"/>
  <c r="C2" i="422"/>
  <c r="C9" i="421"/>
  <c r="C8" i="421"/>
  <c r="C6" i="421"/>
  <c r="C5" i="421"/>
  <c r="C7" i="421" s="1"/>
  <c r="C4" i="421"/>
  <c r="C3" i="421"/>
  <c r="C2" i="421"/>
  <c r="C25" i="420"/>
  <c r="C8" i="424" l="1"/>
  <c r="C7" i="422"/>
  <c r="E7" i="13"/>
  <c r="G7" i="13"/>
  <c r="F7" i="13"/>
  <c r="D30" i="13"/>
  <c r="D7" i="13"/>
  <c r="K37" i="13"/>
  <c r="L37" i="13" s="1"/>
  <c r="J37" i="13"/>
  <c r="I37" i="13"/>
  <c r="H37" i="13"/>
  <c r="G37" i="13"/>
  <c r="F37" i="13"/>
  <c r="E37" i="13"/>
  <c r="D37" i="13"/>
  <c r="K36" i="13"/>
  <c r="L36" i="13" s="1"/>
  <c r="J36" i="13"/>
  <c r="I36" i="13"/>
  <c r="H36" i="13"/>
  <c r="H177" i="13" s="1"/>
  <c r="G36" i="13"/>
  <c r="F36" i="13"/>
  <c r="E36" i="13"/>
  <c r="D36" i="13"/>
  <c r="K35" i="13"/>
  <c r="L35" i="13" s="1"/>
  <c r="J35" i="13"/>
  <c r="I35" i="13"/>
  <c r="H35" i="13"/>
  <c r="G35" i="13"/>
  <c r="F35" i="13"/>
  <c r="E35" i="13"/>
  <c r="D35" i="13"/>
  <c r="K34" i="13"/>
  <c r="L34" i="13" s="1"/>
  <c r="J34" i="13"/>
  <c r="I34" i="13"/>
  <c r="H34" i="13"/>
  <c r="G34" i="13"/>
  <c r="F34" i="13"/>
  <c r="E34" i="13"/>
  <c r="D34" i="13"/>
  <c r="I177" i="13" l="1"/>
  <c r="H174" i="13"/>
  <c r="H237" i="13"/>
  <c r="H229" i="13"/>
  <c r="H221" i="13"/>
  <c r="H235" i="13"/>
  <c r="H227" i="13"/>
  <c r="H219" i="13"/>
  <c r="H213" i="13"/>
  <c r="H233" i="13"/>
  <c r="H225" i="13"/>
  <c r="H217" i="13"/>
  <c r="H231" i="13"/>
  <c r="H223" i="13"/>
  <c r="H215" i="13"/>
  <c r="F19" i="16"/>
  <c r="E19" i="16"/>
  <c r="D19" i="16"/>
  <c r="G15" i="16"/>
  <c r="F7" i="16"/>
  <c r="F6" i="16" s="1"/>
  <c r="E7" i="16"/>
  <c r="J177" i="13" l="1"/>
  <c r="I174" i="13"/>
  <c r="E6" i="16"/>
  <c r="H224" i="13"/>
  <c r="I223" i="13"/>
  <c r="I233" i="13"/>
  <c r="H234" i="13"/>
  <c r="I235" i="13"/>
  <c r="H236" i="13"/>
  <c r="I231" i="13"/>
  <c r="H232" i="13"/>
  <c r="I213" i="13"/>
  <c r="H209" i="13"/>
  <c r="H22" i="13" s="1"/>
  <c r="H214" i="13"/>
  <c r="I221" i="13"/>
  <c r="H222" i="13"/>
  <c r="I217" i="13"/>
  <c r="H218" i="13"/>
  <c r="I219" i="13"/>
  <c r="H220" i="13"/>
  <c r="I229" i="13"/>
  <c r="H230" i="13"/>
  <c r="I215" i="13"/>
  <c r="H216" i="13"/>
  <c r="I225" i="13"/>
  <c r="H226" i="13"/>
  <c r="I227" i="13"/>
  <c r="H228" i="13"/>
  <c r="I237" i="13"/>
  <c r="H238" i="13"/>
  <c r="N1" i="419"/>
  <c r="K177" i="13" l="1"/>
  <c r="J174" i="13"/>
  <c r="F154" i="13"/>
  <c r="D38" i="13"/>
  <c r="D179" i="13" s="1"/>
  <c r="J227" i="13"/>
  <c r="I228" i="13"/>
  <c r="J215" i="13"/>
  <c r="I216" i="13"/>
  <c r="J219" i="13"/>
  <c r="I220" i="13"/>
  <c r="J221" i="13"/>
  <c r="I222" i="13"/>
  <c r="J231" i="13"/>
  <c r="I232" i="13"/>
  <c r="J233" i="13"/>
  <c r="I234" i="13"/>
  <c r="J237" i="13"/>
  <c r="I238" i="13"/>
  <c r="J225" i="13"/>
  <c r="I226" i="13"/>
  <c r="J229" i="13"/>
  <c r="I230" i="13"/>
  <c r="J217" i="13"/>
  <c r="I218" i="13"/>
  <c r="H210" i="13"/>
  <c r="J223" i="13"/>
  <c r="I224" i="13"/>
  <c r="J213" i="13"/>
  <c r="K213" i="13" s="1"/>
  <c r="L213" i="13" s="1"/>
  <c r="I209" i="13"/>
  <c r="I22" i="13" s="1"/>
  <c r="I214" i="13"/>
  <c r="J235" i="13"/>
  <c r="I236" i="13"/>
  <c r="L177" i="13" l="1"/>
  <c r="L174" i="13" s="1"/>
  <c r="K174" i="13"/>
  <c r="E154" i="13"/>
  <c r="F173" i="13"/>
  <c r="D252" i="13"/>
  <c r="D57" i="13"/>
  <c r="F195" i="13"/>
  <c r="F187" i="13"/>
  <c r="F211" i="13"/>
  <c r="F245" i="13"/>
  <c r="F158" i="13"/>
  <c r="F169" i="13"/>
  <c r="F183" i="13"/>
  <c r="D211" i="13"/>
  <c r="F138" i="13"/>
  <c r="D173" i="13"/>
  <c r="D200" i="13"/>
  <c r="F162" i="13"/>
  <c r="F204" i="13"/>
  <c r="F252" i="13"/>
  <c r="D134" i="13"/>
  <c r="D195" i="13"/>
  <c r="D204" i="13"/>
  <c r="D191" i="13"/>
  <c r="D187" i="13"/>
  <c r="D138" i="13"/>
  <c r="D183" i="13"/>
  <c r="D154" i="13"/>
  <c r="D245" i="13"/>
  <c r="D169" i="13"/>
  <c r="D158" i="13"/>
  <c r="D162" i="13"/>
  <c r="F134" i="13"/>
  <c r="F191" i="13"/>
  <c r="F200" i="13"/>
  <c r="K223" i="13"/>
  <c r="J224" i="13"/>
  <c r="I210" i="13"/>
  <c r="K217" i="13"/>
  <c r="J218" i="13"/>
  <c r="K225" i="13"/>
  <c r="J226" i="13"/>
  <c r="K233" i="13"/>
  <c r="J234" i="13"/>
  <c r="K221" i="13"/>
  <c r="J222" i="13"/>
  <c r="K215" i="13"/>
  <c r="J216" i="13"/>
  <c r="J214" i="13"/>
  <c r="J209" i="13"/>
  <c r="J22" i="13" s="1"/>
  <c r="K235" i="13"/>
  <c r="J236" i="13"/>
  <c r="H23" i="13"/>
  <c r="K229" i="13"/>
  <c r="J230" i="13"/>
  <c r="K237" i="13"/>
  <c r="J238" i="13"/>
  <c r="K231" i="13"/>
  <c r="J232" i="13"/>
  <c r="K219" i="13"/>
  <c r="J220" i="13"/>
  <c r="K227" i="13"/>
  <c r="J228" i="13"/>
  <c r="E173" i="13"/>
  <c r="H173" i="13" s="1"/>
  <c r="I173" i="13" s="1"/>
  <c r="J173" i="13" s="1"/>
  <c r="K173" i="13" s="1"/>
  <c r="L173" i="13" s="1"/>
  <c r="E158" i="13"/>
  <c r="E245" i="13"/>
  <c r="E252" i="13"/>
  <c r="E183" i="13"/>
  <c r="E204" i="13"/>
  <c r="E191" i="13"/>
  <c r="E195" i="13"/>
  <c r="E187" i="13"/>
  <c r="E162" i="13"/>
  <c r="E200" i="13"/>
  <c r="E169" i="13"/>
  <c r="E211" i="13"/>
  <c r="E134" i="13"/>
  <c r="K32" i="14"/>
  <c r="L32" i="14" s="1"/>
  <c r="J32" i="14"/>
  <c r="I32" i="14"/>
  <c r="H32" i="14"/>
  <c r="G32" i="14"/>
  <c r="F32" i="14"/>
  <c r="E32" i="14"/>
  <c r="D32" i="14"/>
  <c r="K31" i="14"/>
  <c r="L31" i="14" s="1"/>
  <c r="J31" i="14"/>
  <c r="I31" i="14"/>
  <c r="H31" i="14"/>
  <c r="G31" i="14"/>
  <c r="F31" i="14"/>
  <c r="E31" i="14"/>
  <c r="D31" i="14"/>
  <c r="K30" i="14"/>
  <c r="L30" i="14" s="1"/>
  <c r="J30" i="14"/>
  <c r="I30" i="14"/>
  <c r="H30" i="14"/>
  <c r="G30" i="14"/>
  <c r="F30" i="14"/>
  <c r="E30" i="14"/>
  <c r="D30" i="14"/>
  <c r="K29" i="14"/>
  <c r="L29" i="14" s="1"/>
  <c r="J29" i="14"/>
  <c r="I29" i="14"/>
  <c r="H29" i="14"/>
  <c r="G29" i="14"/>
  <c r="F29" i="14"/>
  <c r="E29" i="14"/>
  <c r="D29" i="14"/>
  <c r="E99" i="14"/>
  <c r="D99" i="14"/>
  <c r="F95" i="14"/>
  <c r="F97" i="14" s="1"/>
  <c r="E95" i="14"/>
  <c r="E97" i="14" s="1"/>
  <c r="D95" i="14"/>
  <c r="D97" i="14" s="1"/>
  <c r="F91" i="14"/>
  <c r="E91" i="14"/>
  <c r="D91" i="14"/>
  <c r="F87" i="14"/>
  <c r="E87" i="14"/>
  <c r="D87" i="14"/>
  <c r="G76" i="14"/>
  <c r="F82" i="14"/>
  <c r="E82" i="14"/>
  <c r="D82" i="14"/>
  <c r="F79" i="14"/>
  <c r="E79" i="14"/>
  <c r="D79" i="14"/>
  <c r="G140" i="13"/>
  <c r="F140" i="13"/>
  <c r="E140" i="13"/>
  <c r="D140" i="13"/>
  <c r="D142" i="13" s="1"/>
  <c r="F83" i="14"/>
  <c r="E83" i="14"/>
  <c r="D83" i="14"/>
  <c r="H75" i="418"/>
  <c r="G80" i="14" s="1"/>
  <c r="G75" i="418"/>
  <c r="F75" i="418"/>
  <c r="F74" i="418" s="1"/>
  <c r="E75" i="418"/>
  <c r="D80" i="14" s="1"/>
  <c r="H68" i="418"/>
  <c r="G83" i="14" s="1"/>
  <c r="H83" i="14" s="1"/>
  <c r="G68" i="418"/>
  <c r="F68" i="418"/>
  <c r="E68" i="418"/>
  <c r="Q137" i="418"/>
  <c r="Q136" i="418"/>
  <c r="G135" i="418"/>
  <c r="F135" i="418"/>
  <c r="E135" i="418"/>
  <c r="P134" i="418"/>
  <c r="P135" i="418" s="1"/>
  <c r="O134" i="418"/>
  <c r="O135" i="418" s="1"/>
  <c r="N134" i="418"/>
  <c r="N135" i="418" s="1"/>
  <c r="M134" i="418"/>
  <c r="M135" i="418" s="1"/>
  <c r="L134" i="418"/>
  <c r="L135" i="418" s="1"/>
  <c r="K134" i="418"/>
  <c r="K135" i="418" s="1"/>
  <c r="J134" i="418"/>
  <c r="J135" i="418" s="1"/>
  <c r="I134" i="418"/>
  <c r="I135" i="418" s="1"/>
  <c r="H134" i="418"/>
  <c r="H135" i="418" s="1"/>
  <c r="Q133" i="418"/>
  <c r="G28" i="418" s="1"/>
  <c r="Q132" i="418"/>
  <c r="G27" i="418" s="1"/>
  <c r="Q131" i="418"/>
  <c r="G26" i="418" s="1"/>
  <c r="Q130" i="418"/>
  <c r="G25" i="418" s="1"/>
  <c r="Q129" i="418"/>
  <c r="G35" i="418" s="1"/>
  <c r="Q128" i="418"/>
  <c r="G34" i="418" s="1"/>
  <c r="Q127" i="418"/>
  <c r="G33" i="418" s="1"/>
  <c r="Q121" i="418"/>
  <c r="Q120" i="418"/>
  <c r="P119" i="418"/>
  <c r="O119" i="418"/>
  <c r="N119" i="418"/>
  <c r="M119" i="418"/>
  <c r="L119" i="418"/>
  <c r="K119" i="418"/>
  <c r="J119" i="418"/>
  <c r="I119" i="418"/>
  <c r="H119" i="418"/>
  <c r="G119" i="418"/>
  <c r="F119" i="418"/>
  <c r="E119" i="418"/>
  <c r="Q118" i="418"/>
  <c r="Q117" i="418"/>
  <c r="F28" i="418" s="1"/>
  <c r="Q116" i="418"/>
  <c r="F27" i="418" s="1"/>
  <c r="Q115" i="418"/>
  <c r="F26" i="418" s="1"/>
  <c r="Q114" i="418"/>
  <c r="Q113" i="418"/>
  <c r="F35" i="418" s="1"/>
  <c r="Q112" i="418"/>
  <c r="F34" i="418" s="1"/>
  <c r="Q111" i="418"/>
  <c r="F33" i="418" s="1"/>
  <c r="Q104" i="418"/>
  <c r="Q103" i="418"/>
  <c r="P102" i="418"/>
  <c r="O102" i="418"/>
  <c r="N102" i="418"/>
  <c r="M102" i="418"/>
  <c r="L102" i="418"/>
  <c r="K102" i="418"/>
  <c r="J102" i="418"/>
  <c r="I102" i="418"/>
  <c r="H102" i="418"/>
  <c r="G102" i="418"/>
  <c r="F102" i="418"/>
  <c r="E102" i="418"/>
  <c r="Q101" i="418"/>
  <c r="Q100" i="418"/>
  <c r="E28" i="418" s="1"/>
  <c r="Q99" i="418"/>
  <c r="E27" i="418" s="1"/>
  <c r="Q98" i="418"/>
  <c r="E26" i="418" s="1"/>
  <c r="Q97" i="418"/>
  <c r="E25" i="418" s="1"/>
  <c r="Q96" i="418"/>
  <c r="E35" i="418" s="1"/>
  <c r="Q95" i="418"/>
  <c r="E34" i="418" s="1"/>
  <c r="Q94" i="418"/>
  <c r="G11" i="418"/>
  <c r="F11" i="418"/>
  <c r="E11" i="418"/>
  <c r="G10" i="418"/>
  <c r="F10" i="418"/>
  <c r="E10" i="418"/>
  <c r="G9" i="418"/>
  <c r="F9" i="418"/>
  <c r="E9" i="418"/>
  <c r="G8" i="418"/>
  <c r="F8" i="418"/>
  <c r="E8" i="418"/>
  <c r="G7" i="418"/>
  <c r="F7" i="418"/>
  <c r="E7" i="418"/>
  <c r="G6" i="418"/>
  <c r="F6" i="418"/>
  <c r="E6" i="418"/>
  <c r="H19" i="418"/>
  <c r="G19" i="418"/>
  <c r="F19" i="418"/>
  <c r="E19" i="418"/>
  <c r="H12" i="418"/>
  <c r="H20" i="418" s="1"/>
  <c r="H38" i="418"/>
  <c r="G38" i="418"/>
  <c r="F38" i="418"/>
  <c r="H142" i="14" l="1"/>
  <c r="H143" i="14" s="1"/>
  <c r="I76" i="418"/>
  <c r="I74" i="418" s="1"/>
  <c r="R110" i="418"/>
  <c r="R93" i="418"/>
  <c r="E33" i="418"/>
  <c r="E38" i="418" s="1"/>
  <c r="G74" i="418"/>
  <c r="E80" i="14"/>
  <c r="G81" i="14"/>
  <c r="H81" i="14" s="1"/>
  <c r="F142" i="13"/>
  <c r="F141" i="13"/>
  <c r="F80" i="14"/>
  <c r="F81" i="14" s="1"/>
  <c r="H74" i="418"/>
  <c r="G84" i="14"/>
  <c r="G142" i="13"/>
  <c r="H142" i="13" s="1"/>
  <c r="I142" i="13" s="1"/>
  <c r="J142" i="13" s="1"/>
  <c r="K142" i="13" s="1"/>
  <c r="L142" i="13" s="1"/>
  <c r="G141" i="13"/>
  <c r="H141" i="13" s="1"/>
  <c r="K228" i="13"/>
  <c r="L227" i="13"/>
  <c r="K232" i="13"/>
  <c r="L231" i="13"/>
  <c r="K230" i="13"/>
  <c r="L229" i="13"/>
  <c r="K224" i="13"/>
  <c r="L223" i="13"/>
  <c r="K222" i="13"/>
  <c r="L221" i="13"/>
  <c r="K226" i="13"/>
  <c r="L225" i="13"/>
  <c r="K220" i="13"/>
  <c r="L219" i="13"/>
  <c r="K238" i="13"/>
  <c r="L237" i="13"/>
  <c r="K236" i="13"/>
  <c r="L235" i="13"/>
  <c r="K216" i="13"/>
  <c r="L215" i="13"/>
  <c r="K234" i="13"/>
  <c r="L233" i="13"/>
  <c r="K218" i="13"/>
  <c r="L217" i="13"/>
  <c r="H162" i="13"/>
  <c r="I162" i="13" s="1"/>
  <c r="J162" i="13" s="1"/>
  <c r="K162" i="13" s="1"/>
  <c r="L162" i="13" s="1"/>
  <c r="C204" i="13"/>
  <c r="H204" i="13" s="1"/>
  <c r="H158" i="13"/>
  <c r="G89" i="14"/>
  <c r="G78" i="14"/>
  <c r="C195" i="13"/>
  <c r="H195" i="13" s="1"/>
  <c r="C187" i="13"/>
  <c r="H187" i="13" s="1"/>
  <c r="C183" i="13"/>
  <c r="H183" i="13" s="1"/>
  <c r="C200" i="13"/>
  <c r="H200" i="13" s="1"/>
  <c r="C191" i="13"/>
  <c r="H191" i="13" s="1"/>
  <c r="K209" i="13"/>
  <c r="K22" i="13" s="1"/>
  <c r="K214" i="13"/>
  <c r="I23" i="13"/>
  <c r="J210" i="13"/>
  <c r="H122" i="14"/>
  <c r="H130" i="14"/>
  <c r="H138" i="14"/>
  <c r="E81" i="14"/>
  <c r="F84" i="14"/>
  <c r="I142" i="14"/>
  <c r="H114" i="14"/>
  <c r="H112" i="14"/>
  <c r="H116" i="14"/>
  <c r="H132" i="14"/>
  <c r="H118" i="14"/>
  <c r="H126" i="14"/>
  <c r="H134" i="14"/>
  <c r="H140" i="14"/>
  <c r="H110" i="14"/>
  <c r="H124" i="14"/>
  <c r="H120" i="14"/>
  <c r="H128" i="14"/>
  <c r="H136" i="14"/>
  <c r="D81" i="14"/>
  <c r="E84" i="14"/>
  <c r="D84" i="14"/>
  <c r="F76" i="14"/>
  <c r="F89" i="14" s="1"/>
  <c r="D76" i="14"/>
  <c r="D89" i="14" s="1"/>
  <c r="E76" i="14"/>
  <c r="E89" i="14" s="1"/>
  <c r="Q102" i="418"/>
  <c r="Q119" i="418"/>
  <c r="R126" i="418"/>
  <c r="F25" i="418"/>
  <c r="G12" i="418"/>
  <c r="G20" i="418" s="1"/>
  <c r="F12" i="418"/>
  <c r="F20" i="418" s="1"/>
  <c r="Q135" i="418"/>
  <c r="Q134" i="418"/>
  <c r="E12" i="418"/>
  <c r="E20" i="418" s="1"/>
  <c r="H106" i="14" l="1"/>
  <c r="J76" i="418"/>
  <c r="J74" i="418" s="1"/>
  <c r="I141" i="13"/>
  <c r="J141" i="13" s="1"/>
  <c r="I195" i="13"/>
  <c r="H84" i="14"/>
  <c r="H82" i="14" s="1"/>
  <c r="E85" i="14"/>
  <c r="F85" i="14"/>
  <c r="G85" i="14"/>
  <c r="L209" i="13"/>
  <c r="H89" i="14"/>
  <c r="I89" i="14" s="1"/>
  <c r="I158" i="13"/>
  <c r="I204" i="13"/>
  <c r="J204" i="13" s="1"/>
  <c r="I120" i="14"/>
  <c r="H121" i="14"/>
  <c r="I136" i="14"/>
  <c r="H137" i="14"/>
  <c r="I124" i="14"/>
  <c r="H125" i="14"/>
  <c r="I126" i="14"/>
  <c r="H127" i="14"/>
  <c r="I112" i="14"/>
  <c r="H113" i="14"/>
  <c r="J142" i="14"/>
  <c r="I143" i="14"/>
  <c r="I130" i="14"/>
  <c r="H131" i="14"/>
  <c r="I128" i="14"/>
  <c r="H129" i="14"/>
  <c r="H111" i="14"/>
  <c r="I118" i="14"/>
  <c r="H119" i="14"/>
  <c r="I114" i="14"/>
  <c r="H115" i="14"/>
  <c r="I122" i="14"/>
  <c r="H123" i="14"/>
  <c r="I140" i="14"/>
  <c r="H141" i="14"/>
  <c r="I132" i="14"/>
  <c r="H133" i="14"/>
  <c r="I134" i="14"/>
  <c r="H135" i="14"/>
  <c r="I116" i="14"/>
  <c r="H117" i="14"/>
  <c r="I138" i="14"/>
  <c r="H139" i="14"/>
  <c r="I183" i="13"/>
  <c r="I187" i="13"/>
  <c r="I191" i="13"/>
  <c r="I200" i="13"/>
  <c r="J23" i="13"/>
  <c r="K210" i="13"/>
  <c r="I81" i="14"/>
  <c r="H79" i="14"/>
  <c r="I110" i="14"/>
  <c r="I106" i="14" s="1"/>
  <c r="H31" i="418"/>
  <c r="H39" i="418" s="1"/>
  <c r="G31" i="418"/>
  <c r="G39" i="418" s="1"/>
  <c r="F31" i="418"/>
  <c r="F39" i="418" s="1"/>
  <c r="E31" i="418"/>
  <c r="E39" i="418" s="1"/>
  <c r="H77" i="418"/>
  <c r="G77" i="418"/>
  <c r="F77" i="418"/>
  <c r="E77" i="418"/>
  <c r="E74" i="418"/>
  <c r="I84" i="14" l="1"/>
  <c r="H76" i="14"/>
  <c r="H139" i="13"/>
  <c r="H144" i="13" s="1"/>
  <c r="I79" i="418"/>
  <c r="I77" i="418" s="1"/>
  <c r="I82" i="418" s="1"/>
  <c r="K83" i="14"/>
  <c r="K76" i="418"/>
  <c r="K74" i="418" s="1"/>
  <c r="K82" i="418" s="1"/>
  <c r="J195" i="13"/>
  <c r="J79" i="418"/>
  <c r="J77" i="418" s="1"/>
  <c r="J82" i="418" s="1"/>
  <c r="G87" i="418"/>
  <c r="G83" i="418"/>
  <c r="H87" i="418"/>
  <c r="H83" i="418"/>
  <c r="F87" i="418"/>
  <c r="F83" i="418"/>
  <c r="E83" i="418"/>
  <c r="L22" i="13"/>
  <c r="J158" i="13"/>
  <c r="J89" i="14"/>
  <c r="J138" i="14"/>
  <c r="I139" i="14"/>
  <c r="J134" i="14"/>
  <c r="I135" i="14"/>
  <c r="J132" i="14"/>
  <c r="I133" i="14"/>
  <c r="J122" i="14"/>
  <c r="I123" i="14"/>
  <c r="J118" i="14"/>
  <c r="I119" i="14"/>
  <c r="J128" i="14"/>
  <c r="I129" i="14"/>
  <c r="K142" i="14"/>
  <c r="J143" i="14"/>
  <c r="J126" i="14"/>
  <c r="I127" i="14"/>
  <c r="J136" i="14"/>
  <c r="I137" i="14"/>
  <c r="I111" i="14"/>
  <c r="J116" i="14"/>
  <c r="I117" i="14"/>
  <c r="J140" i="14"/>
  <c r="I141" i="14"/>
  <c r="J114" i="14"/>
  <c r="I115" i="14"/>
  <c r="J130" i="14"/>
  <c r="I131" i="14"/>
  <c r="J112" i="14"/>
  <c r="I113" i="14"/>
  <c r="J124" i="14"/>
  <c r="I125" i="14"/>
  <c r="J120" i="14"/>
  <c r="I121" i="14"/>
  <c r="K195" i="13"/>
  <c r="J200" i="13"/>
  <c r="K204" i="13"/>
  <c r="J191" i="13"/>
  <c r="J187" i="13"/>
  <c r="J183" i="13"/>
  <c r="K23" i="13"/>
  <c r="I79" i="14"/>
  <c r="J81" i="14"/>
  <c r="J84" i="14"/>
  <c r="I82" i="14"/>
  <c r="J110" i="14"/>
  <c r="I139" i="13" l="1"/>
  <c r="I144" i="13" s="1"/>
  <c r="J106" i="14"/>
  <c r="I76" i="14"/>
  <c r="L83" i="14"/>
  <c r="M76" i="418" s="1"/>
  <c r="M74" i="418" s="1"/>
  <c r="L76" i="418"/>
  <c r="L74" i="418" s="1"/>
  <c r="L79" i="418"/>
  <c r="L77" i="418" s="1"/>
  <c r="J139" i="13"/>
  <c r="J144" i="13" s="1"/>
  <c r="L23" i="13"/>
  <c r="K143" i="14"/>
  <c r="L142" i="14"/>
  <c r="L195" i="13"/>
  <c r="L204" i="13"/>
  <c r="K158" i="13"/>
  <c r="K89" i="14"/>
  <c r="L89" i="14" s="1"/>
  <c r="K120" i="14"/>
  <c r="J121" i="14"/>
  <c r="K112" i="14"/>
  <c r="J113" i="14"/>
  <c r="K114" i="14"/>
  <c r="J115" i="14"/>
  <c r="K126" i="14"/>
  <c r="J127" i="14"/>
  <c r="K128" i="14"/>
  <c r="J129" i="14"/>
  <c r="K122" i="14"/>
  <c r="J123" i="14"/>
  <c r="K134" i="14"/>
  <c r="J135" i="14"/>
  <c r="J111" i="14"/>
  <c r="K124" i="14"/>
  <c r="J125" i="14"/>
  <c r="K130" i="14"/>
  <c r="J131" i="14"/>
  <c r="K140" i="14"/>
  <c r="J141" i="14"/>
  <c r="K116" i="14"/>
  <c r="J117" i="14"/>
  <c r="K136" i="14"/>
  <c r="J137" i="14"/>
  <c r="K118" i="14"/>
  <c r="J119" i="14"/>
  <c r="K132" i="14"/>
  <c r="J133" i="14"/>
  <c r="K138" i="14"/>
  <c r="J139" i="14"/>
  <c r="K183" i="13"/>
  <c r="K191" i="13"/>
  <c r="K187" i="13"/>
  <c r="K200" i="13"/>
  <c r="J82" i="14"/>
  <c r="K84" i="14"/>
  <c r="K81" i="14"/>
  <c r="J79" i="14"/>
  <c r="K110" i="14"/>
  <c r="L110" i="14" l="1"/>
  <c r="K106" i="14"/>
  <c r="L82" i="418"/>
  <c r="J76" i="14"/>
  <c r="K139" i="13"/>
  <c r="K144" i="13" s="1"/>
  <c r="K133" i="14"/>
  <c r="L132" i="14"/>
  <c r="K137" i="14"/>
  <c r="L136" i="14"/>
  <c r="K141" i="14"/>
  <c r="L140" i="14"/>
  <c r="K125" i="14"/>
  <c r="L124" i="14"/>
  <c r="K135" i="14"/>
  <c r="L134" i="14"/>
  <c r="K129" i="14"/>
  <c r="L128" i="14"/>
  <c r="K113" i="14"/>
  <c r="L112" i="14"/>
  <c r="K79" i="14"/>
  <c r="L81" i="14"/>
  <c r="L79" i="14" s="1"/>
  <c r="K139" i="14"/>
  <c r="L138" i="14"/>
  <c r="K119" i="14"/>
  <c r="L118" i="14"/>
  <c r="K117" i="14"/>
  <c r="L116" i="14"/>
  <c r="K131" i="14"/>
  <c r="L130" i="14"/>
  <c r="K123" i="14"/>
  <c r="L122" i="14"/>
  <c r="K127" i="14"/>
  <c r="L126" i="14"/>
  <c r="K115" i="14"/>
  <c r="L114" i="14"/>
  <c r="K121" i="14"/>
  <c r="L120" i="14"/>
  <c r="L121" i="14" s="1"/>
  <c r="K82" i="14"/>
  <c r="L84" i="14"/>
  <c r="L82" i="14" s="1"/>
  <c r="L183" i="13"/>
  <c r="L200" i="13"/>
  <c r="L187" i="13"/>
  <c r="L191" i="13"/>
  <c r="L158" i="13"/>
  <c r="K111" i="14"/>
  <c r="F156" i="14"/>
  <c r="F158" i="14" s="1"/>
  <c r="E156" i="14"/>
  <c r="E158" i="14" s="1"/>
  <c r="D156" i="14"/>
  <c r="D158" i="14" s="1"/>
  <c r="F153" i="14"/>
  <c r="F154" i="14" s="1"/>
  <c r="E153" i="14"/>
  <c r="E154" i="14" s="1"/>
  <c r="D153" i="14"/>
  <c r="D154" i="14" s="1"/>
  <c r="F142" i="14"/>
  <c r="E142" i="14"/>
  <c r="D142" i="14"/>
  <c r="D143" i="14" s="1"/>
  <c r="F140" i="14"/>
  <c r="E140" i="14"/>
  <c r="D140" i="14"/>
  <c r="D141" i="14" s="1"/>
  <c r="F138" i="14"/>
  <c r="E138" i="14"/>
  <c r="D138" i="14"/>
  <c r="D139" i="14" s="1"/>
  <c r="F136" i="14"/>
  <c r="E136" i="14"/>
  <c r="D136" i="14"/>
  <c r="D137" i="14" s="1"/>
  <c r="F134" i="14"/>
  <c r="E134" i="14"/>
  <c r="D134" i="14"/>
  <c r="D135" i="14" s="1"/>
  <c r="F132" i="14"/>
  <c r="E132" i="14"/>
  <c r="D132" i="14"/>
  <c r="D133" i="14" s="1"/>
  <c r="F130" i="14"/>
  <c r="E130" i="14"/>
  <c r="D130" i="14"/>
  <c r="D131" i="14" s="1"/>
  <c r="F128" i="14"/>
  <c r="E128" i="14"/>
  <c r="D128" i="14"/>
  <c r="D129" i="14" s="1"/>
  <c r="G100" i="14"/>
  <c r="G96" i="14"/>
  <c r="G92" i="14"/>
  <c r="G88" i="14"/>
  <c r="G77" i="14"/>
  <c r="F12" i="16"/>
  <c r="E12" i="16"/>
  <c r="E13" i="16" s="1"/>
  <c r="F16" i="16"/>
  <c r="E16" i="16"/>
  <c r="D16" i="16"/>
  <c r="D7" i="16"/>
  <c r="D6" i="16" s="1"/>
  <c r="L106" i="14" l="1"/>
  <c r="L139" i="13"/>
  <c r="L144" i="13" s="1"/>
  <c r="M79" i="418"/>
  <c r="M77" i="418" s="1"/>
  <c r="M82" i="418" s="1"/>
  <c r="L76" i="14"/>
  <c r="K76" i="14"/>
  <c r="L18" i="14"/>
  <c r="C158" i="14"/>
  <c r="H158" i="14" s="1"/>
  <c r="I158" i="14" s="1"/>
  <c r="E135" i="14"/>
  <c r="E141" i="14"/>
  <c r="E131" i="14"/>
  <c r="E139" i="14"/>
  <c r="G129" i="14"/>
  <c r="F129" i="14"/>
  <c r="G137" i="14"/>
  <c r="F137" i="14"/>
  <c r="G143" i="14"/>
  <c r="F143" i="14"/>
  <c r="E133" i="14"/>
  <c r="G135" i="14"/>
  <c r="F135" i="14"/>
  <c r="G141" i="14"/>
  <c r="F141" i="14"/>
  <c r="G133" i="14"/>
  <c r="F133" i="14"/>
  <c r="E129" i="14"/>
  <c r="G131" i="14"/>
  <c r="F131" i="14"/>
  <c r="E137" i="14"/>
  <c r="G139" i="14"/>
  <c r="F139" i="14"/>
  <c r="E143" i="14"/>
  <c r="F13" i="16"/>
  <c r="D20" i="16"/>
  <c r="D21" i="16" s="1"/>
  <c r="D12" i="16"/>
  <c r="D13" i="16" s="1"/>
  <c r="F20" i="16"/>
  <c r="F21" i="16" s="1"/>
  <c r="F17" i="16"/>
  <c r="E20" i="16"/>
  <c r="E21" i="16" s="1"/>
  <c r="E17" i="16"/>
  <c r="F148" i="14"/>
  <c r="E148" i="14"/>
  <c r="E151" i="14" s="1"/>
  <c r="N151" i="14" s="1"/>
  <c r="D148" i="14"/>
  <c r="D151" i="14" s="1"/>
  <c r="F126" i="14"/>
  <c r="E126" i="14"/>
  <c r="D126" i="14"/>
  <c r="D127" i="14" s="1"/>
  <c r="F124" i="14"/>
  <c r="E124" i="14"/>
  <c r="D124" i="14"/>
  <c r="D125" i="14" s="1"/>
  <c r="F122" i="14"/>
  <c r="E122" i="14"/>
  <c r="D122" i="14"/>
  <c r="D123" i="14" s="1"/>
  <c r="F120" i="14"/>
  <c r="E120" i="14"/>
  <c r="D120" i="14"/>
  <c r="D121" i="14" s="1"/>
  <c r="F118" i="14"/>
  <c r="E118" i="14"/>
  <c r="D118" i="14"/>
  <c r="D119" i="14" s="1"/>
  <c r="F116" i="14"/>
  <c r="E116" i="14"/>
  <c r="D116" i="14"/>
  <c r="D117" i="14" s="1"/>
  <c r="F114" i="14"/>
  <c r="E114" i="14"/>
  <c r="D114" i="14"/>
  <c r="D115" i="14" s="1"/>
  <c r="F112" i="14"/>
  <c r="E112" i="14"/>
  <c r="D112" i="14"/>
  <c r="D113" i="14" s="1"/>
  <c r="F110" i="14"/>
  <c r="E110" i="14"/>
  <c r="D110" i="14"/>
  <c r="D106" i="14" s="1"/>
  <c r="G72" i="14"/>
  <c r="F72" i="14"/>
  <c r="E72" i="14"/>
  <c r="F100" i="14"/>
  <c r="E100" i="14"/>
  <c r="D100" i="14"/>
  <c r="F96" i="14"/>
  <c r="E96" i="14"/>
  <c r="D96" i="14"/>
  <c r="F92" i="14"/>
  <c r="E92" i="14"/>
  <c r="D92" i="14"/>
  <c r="F88" i="14"/>
  <c r="E88" i="14"/>
  <c r="D88" i="14"/>
  <c r="F77" i="14"/>
  <c r="D77" i="14"/>
  <c r="F55" i="14"/>
  <c r="G56" i="14" s="1"/>
  <c r="E55" i="14"/>
  <c r="F61" i="14"/>
  <c r="E61" i="14"/>
  <c r="E63" i="14" s="1"/>
  <c r="D61" i="14"/>
  <c r="D55" i="14"/>
  <c r="D56" i="14" s="1"/>
  <c r="F51" i="14"/>
  <c r="G52" i="14" s="1"/>
  <c r="E51" i="14"/>
  <c r="D51" i="14"/>
  <c r="D52" i="14" s="1"/>
  <c r="F47" i="14"/>
  <c r="G48" i="14" s="1"/>
  <c r="E47" i="14"/>
  <c r="D47" i="14"/>
  <c r="D48" i="14" s="1"/>
  <c r="F43" i="14"/>
  <c r="E43" i="14"/>
  <c r="D43" i="14"/>
  <c r="E39" i="14" l="1"/>
  <c r="D44" i="14"/>
  <c r="D39" i="14"/>
  <c r="G44" i="14"/>
  <c r="F39" i="14"/>
  <c r="E106" i="14"/>
  <c r="F106" i="14"/>
  <c r="G62" i="14"/>
  <c r="F63" i="14"/>
  <c r="C63" i="14" s="1"/>
  <c r="H63" i="14" s="1"/>
  <c r="H156" i="14"/>
  <c r="G149" i="14"/>
  <c r="F151" i="14"/>
  <c r="O151" i="14" s="1"/>
  <c r="J158" i="14"/>
  <c r="J156" i="14" s="1"/>
  <c r="I156" i="14"/>
  <c r="E113" i="14"/>
  <c r="E121" i="14"/>
  <c r="E117" i="14"/>
  <c r="E125" i="14"/>
  <c r="D108" i="14"/>
  <c r="D111" i="14"/>
  <c r="G115" i="14"/>
  <c r="F115" i="14"/>
  <c r="G123" i="14"/>
  <c r="F123" i="14"/>
  <c r="E108" i="14"/>
  <c r="E111" i="14"/>
  <c r="G113" i="14"/>
  <c r="F113" i="14"/>
  <c r="E119" i="14"/>
  <c r="G121" i="14"/>
  <c r="F121" i="14"/>
  <c r="E127" i="14"/>
  <c r="G107" i="14"/>
  <c r="G111" i="14"/>
  <c r="F111" i="14"/>
  <c r="G119" i="14"/>
  <c r="F119" i="14"/>
  <c r="G127" i="14"/>
  <c r="F127" i="14"/>
  <c r="E115" i="14"/>
  <c r="G117" i="14"/>
  <c r="F117" i="14"/>
  <c r="E123" i="14"/>
  <c r="G125" i="14"/>
  <c r="F125" i="14"/>
  <c r="F149" i="14"/>
  <c r="E149" i="14"/>
  <c r="D149" i="14"/>
  <c r="D150" i="14"/>
  <c r="F73" i="14"/>
  <c r="E77" i="14"/>
  <c r="F101" i="14"/>
  <c r="F150" i="14"/>
  <c r="G150" i="14"/>
  <c r="E150" i="14"/>
  <c r="G73" i="14"/>
  <c r="J107" i="14"/>
  <c r="K107" i="14"/>
  <c r="H107" i="14"/>
  <c r="I107" i="14"/>
  <c r="G108" i="14"/>
  <c r="E56" i="14"/>
  <c r="E78" i="14"/>
  <c r="D78" i="14"/>
  <c r="D93" i="14"/>
  <c r="D101" i="14"/>
  <c r="E93" i="14"/>
  <c r="E62" i="14"/>
  <c r="F74" i="14"/>
  <c r="D72" i="14"/>
  <c r="E101" i="14"/>
  <c r="G93" i="14"/>
  <c r="G101" i="14"/>
  <c r="G40" i="14"/>
  <c r="D62" i="14"/>
  <c r="F78" i="14"/>
  <c r="F93" i="14"/>
  <c r="E74" i="14"/>
  <c r="G74" i="14"/>
  <c r="F45" i="14"/>
  <c r="F44" i="14"/>
  <c r="F52" i="14"/>
  <c r="E49" i="14"/>
  <c r="G45" i="14"/>
  <c r="E45" i="14"/>
  <c r="F49" i="14"/>
  <c r="E57" i="14"/>
  <c r="G49" i="14"/>
  <c r="D53" i="14"/>
  <c r="G53" i="14"/>
  <c r="D45" i="14"/>
  <c r="E44" i="14"/>
  <c r="D63" i="14"/>
  <c r="D57" i="14"/>
  <c r="F57" i="14"/>
  <c r="F56" i="14"/>
  <c r="G57" i="14"/>
  <c r="D49" i="14"/>
  <c r="E53" i="14"/>
  <c r="F62" i="14"/>
  <c r="E48" i="14"/>
  <c r="F48" i="14"/>
  <c r="E52" i="14"/>
  <c r="F53" i="14"/>
  <c r="M1" i="417"/>
  <c r="N1" i="415"/>
  <c r="I63" i="14" l="1"/>
  <c r="K158" i="14"/>
  <c r="C45" i="14"/>
  <c r="H45" i="14" s="1"/>
  <c r="C49" i="14"/>
  <c r="H49" i="14" s="1"/>
  <c r="C101" i="14"/>
  <c r="H101" i="14" s="1"/>
  <c r="C57" i="14"/>
  <c r="H57" i="14" s="1"/>
  <c r="C97" i="14"/>
  <c r="H97" i="14" s="1"/>
  <c r="C93" i="14"/>
  <c r="H93" i="14" s="1"/>
  <c r="C53" i="14"/>
  <c r="H53" i="14" s="1"/>
  <c r="F108" i="14"/>
  <c r="F40" i="14"/>
  <c r="D40" i="14"/>
  <c r="D10" i="14"/>
  <c r="F107" i="14"/>
  <c r="E107" i="14"/>
  <c r="D107" i="14"/>
  <c r="E73" i="14"/>
  <c r="D74" i="14"/>
  <c r="D73" i="14"/>
  <c r="E40" i="14"/>
  <c r="J63" i="14" l="1"/>
  <c r="K156" i="14"/>
  <c r="L158" i="14"/>
  <c r="L156" i="14" s="1"/>
  <c r="I45" i="14"/>
  <c r="I101" i="14"/>
  <c r="I93" i="14"/>
  <c r="I97" i="14"/>
  <c r="I57" i="14"/>
  <c r="I53" i="14"/>
  <c r="I49" i="14"/>
  <c r="E5" i="235"/>
  <c r="D5" i="235"/>
  <c r="K63" i="14" l="1"/>
  <c r="H87" i="14"/>
  <c r="H88" i="14" s="1"/>
  <c r="H77" i="14"/>
  <c r="J45" i="14"/>
  <c r="J101" i="14"/>
  <c r="J93" i="14"/>
  <c r="J97" i="14"/>
  <c r="J57" i="14"/>
  <c r="J49" i="14"/>
  <c r="J53" i="14"/>
  <c r="K45" i="14" l="1"/>
  <c r="L63" i="14"/>
  <c r="I87" i="14"/>
  <c r="I77" i="14"/>
  <c r="L45" i="14"/>
  <c r="K93" i="14"/>
  <c r="K101" i="14"/>
  <c r="K97" i="14"/>
  <c r="K57" i="14"/>
  <c r="K53" i="14"/>
  <c r="K49" i="14"/>
  <c r="E34" i="235"/>
  <c r="E34" i="406"/>
  <c r="M25" i="407"/>
  <c r="L25" i="407"/>
  <c r="K25" i="407"/>
  <c r="J25" i="407"/>
  <c r="I25" i="407"/>
  <c r="M17" i="407"/>
  <c r="L17" i="407"/>
  <c r="K17" i="407"/>
  <c r="J17" i="407"/>
  <c r="I17" i="407"/>
  <c r="M9" i="407"/>
  <c r="L9" i="407"/>
  <c r="K9" i="407"/>
  <c r="J9" i="407"/>
  <c r="M6" i="407"/>
  <c r="L6" i="407"/>
  <c r="K6" i="407"/>
  <c r="J6" i="407"/>
  <c r="I6" i="407"/>
  <c r="J87" i="14" l="1"/>
  <c r="J77" i="14"/>
  <c r="L57" i="14"/>
  <c r="L53" i="14"/>
  <c r="L49" i="14"/>
  <c r="L101" i="14"/>
  <c r="L97" i="14"/>
  <c r="L93" i="14"/>
  <c r="K87" i="14" l="1"/>
  <c r="K77" i="14"/>
  <c r="L77" i="14"/>
  <c r="L87" i="14"/>
  <c r="L88" i="14" l="1"/>
  <c r="K27" i="407" l="1"/>
  <c r="M26" i="407"/>
  <c r="L26" i="407"/>
  <c r="K26" i="407"/>
  <c r="G25" i="407"/>
  <c r="H25" i="407" s="1"/>
  <c r="F25" i="407"/>
  <c r="F26" i="407" s="1"/>
  <c r="K19" i="407"/>
  <c r="M18" i="407"/>
  <c r="L18" i="407"/>
  <c r="K18" i="407"/>
  <c r="M10" i="407"/>
  <c r="L10" i="407"/>
  <c r="K13" i="407"/>
  <c r="G9" i="407"/>
  <c r="F9" i="407"/>
  <c r="K7" i="407"/>
  <c r="J7" i="407"/>
  <c r="G6" i="407"/>
  <c r="F6" i="407"/>
  <c r="F7" i="407" s="1"/>
  <c r="I5" i="407"/>
  <c r="J5" i="407" s="1"/>
  <c r="H5" i="407"/>
  <c r="H5" i="406" s="1"/>
  <c r="G5" i="407"/>
  <c r="G5" i="406" s="1"/>
  <c r="B5" i="407"/>
  <c r="M1" i="407"/>
  <c r="J33" i="406"/>
  <c r="J34" i="406" s="1"/>
  <c r="J35" i="406" s="1"/>
  <c r="F31" i="406"/>
  <c r="E31" i="406"/>
  <c r="D31" i="406"/>
  <c r="M30" i="406"/>
  <c r="N30" i="406" s="1"/>
  <c r="O30" i="406" s="1"/>
  <c r="F28" i="406"/>
  <c r="I5" i="406"/>
  <c r="B5" i="406"/>
  <c r="N1" i="406"/>
  <c r="D11" i="17"/>
  <c r="C11" i="17"/>
  <c r="L30" i="406" l="1"/>
  <c r="K30" i="406" s="1"/>
  <c r="E11" i="17"/>
  <c r="E32" i="406" s="1"/>
  <c r="H6" i="407"/>
  <c r="H27" i="407" s="1"/>
  <c r="G27" i="407"/>
  <c r="G13" i="407"/>
  <c r="I7" i="407"/>
  <c r="K5" i="407"/>
  <c r="J5" i="406"/>
  <c r="M7" i="407"/>
  <c r="F13" i="407"/>
  <c r="F11" i="407"/>
  <c r="J13" i="407"/>
  <c r="K14" i="407" s="1"/>
  <c r="J11" i="407"/>
  <c r="F10" i="407"/>
  <c r="K21" i="407"/>
  <c r="K15" i="407"/>
  <c r="L19" i="407"/>
  <c r="L7" i="407"/>
  <c r="L27" i="407"/>
  <c r="L13" i="407"/>
  <c r="L11" i="407"/>
  <c r="M19" i="407"/>
  <c r="I26" i="407"/>
  <c r="M27" i="407"/>
  <c r="F5" i="407"/>
  <c r="F5" i="406" s="1"/>
  <c r="J18" i="407"/>
  <c r="J19" i="407"/>
  <c r="J26" i="407"/>
  <c r="F27" i="407"/>
  <c r="J27" i="407"/>
  <c r="J32" i="406"/>
  <c r="J31" i="406" s="1"/>
  <c r="M11" i="407"/>
  <c r="M13" i="407"/>
  <c r="I19" i="407"/>
  <c r="I27" i="407"/>
  <c r="K10" i="407"/>
  <c r="G11" i="407"/>
  <c r="K11" i="407"/>
  <c r="E33" i="406" l="1"/>
  <c r="E36" i="406" s="1"/>
  <c r="E38" i="406" s="1"/>
  <c r="F33" i="406"/>
  <c r="F36" i="406" s="1"/>
  <c r="F38" i="406" s="1"/>
  <c r="D33" i="406"/>
  <c r="D36" i="406" s="1"/>
  <c r="D38" i="406" s="1"/>
  <c r="E32" i="235"/>
  <c r="G15" i="407"/>
  <c r="K29" i="407"/>
  <c r="K23" i="407"/>
  <c r="L21" i="407"/>
  <c r="L15" i="407"/>
  <c r="L14" i="407"/>
  <c r="M15" i="407"/>
  <c r="M14" i="407"/>
  <c r="M21" i="407"/>
  <c r="J15" i="407"/>
  <c r="J21" i="407"/>
  <c r="F14" i="407"/>
  <c r="F15" i="407"/>
  <c r="K5" i="406"/>
  <c r="L5" i="407"/>
  <c r="M26" i="16"/>
  <c r="B242" i="13"/>
  <c r="B208" i="13"/>
  <c r="B166" i="13"/>
  <c r="I1" i="17"/>
  <c r="N1" i="235"/>
  <c r="F31" i="235"/>
  <c r="D31" i="235"/>
  <c r="F28" i="235"/>
  <c r="B5" i="235"/>
  <c r="J23" i="407" l="1"/>
  <c r="J29" i="407"/>
  <c r="K31" i="407"/>
  <c r="L5" i="406"/>
  <c r="M5" i="407"/>
  <c r="L23" i="407"/>
  <c r="L22" i="407"/>
  <c r="L29" i="407"/>
  <c r="M23" i="407"/>
  <c r="M22" i="407"/>
  <c r="M29" i="407"/>
  <c r="K22" i="407"/>
  <c r="I9" i="407"/>
  <c r="D33" i="235"/>
  <c r="F33" i="235"/>
  <c r="K30" i="407" l="1"/>
  <c r="H9" i="407"/>
  <c r="J10" i="407"/>
  <c r="I11" i="407"/>
  <c r="I10" i="407"/>
  <c r="I13" i="407"/>
  <c r="D36" i="235"/>
  <c r="F36" i="235"/>
  <c r="L31" i="407"/>
  <c r="L30" i="407"/>
  <c r="M31" i="407"/>
  <c r="M30" i="407"/>
  <c r="J31" i="407"/>
  <c r="D7" i="391"/>
  <c r="D6" i="391"/>
  <c r="D5" i="391"/>
  <c r="C1" i="6"/>
  <c r="C9" i="6"/>
  <c r="C10" i="6" s="1"/>
  <c r="I14" i="407" l="1"/>
  <c r="I21" i="407"/>
  <c r="I15" i="407"/>
  <c r="J14" i="407"/>
  <c r="H11" i="407"/>
  <c r="H13" i="407"/>
  <c r="H18" i="235"/>
  <c r="J22" i="407" l="1"/>
  <c r="I23" i="407"/>
  <c r="I29" i="407"/>
  <c r="H15" i="407"/>
  <c r="I31" i="407" l="1"/>
  <c r="J30" i="407"/>
  <c r="B63" i="15" l="1"/>
  <c r="B22" i="15"/>
  <c r="D18" i="14" l="1"/>
  <c r="D14" i="14"/>
  <c r="D22" i="14" l="1"/>
  <c r="D6" i="14" s="1"/>
  <c r="D8" i="14" l="1"/>
  <c r="D26" i="14"/>
  <c r="E10" i="14"/>
  <c r="E18" i="14" l="1"/>
  <c r="E22" i="14"/>
  <c r="E14" i="14" l="1"/>
  <c r="E6" i="14" l="1"/>
  <c r="E26" i="14" s="1"/>
  <c r="G17" i="407"/>
  <c r="F22" i="14"/>
  <c r="F18" i="14"/>
  <c r="F10" i="14"/>
  <c r="F14" i="14"/>
  <c r="F6" i="14" l="1"/>
  <c r="H17" i="407"/>
  <c r="G19" i="407"/>
  <c r="G21" i="407"/>
  <c r="F17" i="407" l="1"/>
  <c r="I18" i="407" s="1"/>
  <c r="F26" i="14"/>
  <c r="G29" i="407"/>
  <c r="G31" i="407" s="1"/>
  <c r="G23" i="407"/>
  <c r="H19" i="407"/>
  <c r="H21" i="407"/>
  <c r="F19" i="407" l="1"/>
  <c r="F18" i="407"/>
  <c r="F21" i="407"/>
  <c r="F22" i="407" s="1"/>
  <c r="H29" i="407"/>
  <c r="H31" i="407" s="1"/>
  <c r="H23" i="407"/>
  <c r="I22" i="407" l="1"/>
  <c r="F23" i="407"/>
  <c r="F29" i="407"/>
  <c r="F30" i="407" s="1"/>
  <c r="F15" i="16"/>
  <c r="D15" i="16"/>
  <c r="E15" i="16"/>
  <c r="I30" i="407" l="1"/>
  <c r="F31" i="407"/>
  <c r="E65" i="15"/>
  <c r="D65" i="15"/>
  <c r="F65" i="15"/>
  <c r="E25" i="15" l="1"/>
  <c r="E50" i="15"/>
  <c r="E47" i="15"/>
  <c r="E44" i="15"/>
  <c r="E41" i="15"/>
  <c r="E38" i="15"/>
  <c r="E35" i="15"/>
  <c r="E32" i="15"/>
  <c r="E29" i="15"/>
  <c r="E58" i="15"/>
  <c r="E55" i="15"/>
  <c r="D25" i="15"/>
  <c r="D55" i="15"/>
  <c r="D50" i="15"/>
  <c r="D47" i="15"/>
  <c r="D44" i="15"/>
  <c r="D41" i="15"/>
  <c r="D38" i="15"/>
  <c r="D35" i="15"/>
  <c r="D32" i="15"/>
  <c r="D29" i="15"/>
  <c r="D58" i="15"/>
  <c r="F25" i="15"/>
  <c r="F50" i="15"/>
  <c r="F58" i="15"/>
  <c r="F55" i="15"/>
  <c r="F44" i="15"/>
  <c r="F38" i="15"/>
  <c r="F32" i="15"/>
  <c r="F47" i="15"/>
  <c r="F41" i="15"/>
  <c r="F35" i="15"/>
  <c r="F29" i="15"/>
  <c r="F7" i="15"/>
  <c r="F9" i="15"/>
  <c r="D9" i="15"/>
  <c r="D7" i="15"/>
  <c r="E9" i="15"/>
  <c r="E7" i="15"/>
  <c r="G14" i="14"/>
  <c r="E12" i="17" l="1"/>
  <c r="B71" i="14" l="1"/>
  <c r="F16" i="14"/>
  <c r="E16" i="14"/>
  <c r="D16" i="14"/>
  <c r="G15" i="14"/>
  <c r="F15" i="14"/>
  <c r="E15" i="14"/>
  <c r="F8" i="16"/>
  <c r="F25" i="9" l="1"/>
  <c r="I13" i="17"/>
  <c r="I4" i="17"/>
  <c r="E18" i="16"/>
  <c r="D17" i="16"/>
  <c r="F9" i="16"/>
  <c r="E8" i="16"/>
  <c r="E9" i="16" s="1"/>
  <c r="D8" i="16"/>
  <c r="L1" i="187"/>
  <c r="D9" i="16" l="1"/>
  <c r="D18" i="16"/>
  <c r="F18" i="16"/>
  <c r="B5" i="15" l="1"/>
  <c r="B147" i="14"/>
  <c r="B105" i="14"/>
  <c r="B38" i="14"/>
  <c r="F24" i="14"/>
  <c r="E24" i="14"/>
  <c r="D24" i="14"/>
  <c r="F23" i="14"/>
  <c r="E23" i="14"/>
  <c r="F20" i="14"/>
  <c r="E20" i="14"/>
  <c r="D20" i="14"/>
  <c r="F19" i="14"/>
  <c r="E19" i="14"/>
  <c r="F12" i="14"/>
  <c r="E12" i="14"/>
  <c r="D12" i="14"/>
  <c r="F11" i="14"/>
  <c r="E11" i="14"/>
  <c r="F8" i="14"/>
  <c r="E8" i="14"/>
  <c r="F7" i="14"/>
  <c r="E7" i="14"/>
  <c r="B5" i="14"/>
  <c r="K1" i="14"/>
  <c r="B5" i="9"/>
  <c r="B5" i="13"/>
  <c r="K1" i="9"/>
  <c r="F18" i="9" l="1"/>
  <c r="G25" i="15" l="1"/>
  <c r="G58" i="15"/>
  <c r="G55" i="15"/>
  <c r="G50" i="15"/>
  <c r="G47" i="15"/>
  <c r="G44" i="15"/>
  <c r="G41" i="15"/>
  <c r="G38" i="15"/>
  <c r="G35" i="15"/>
  <c r="G32" i="15"/>
  <c r="G29" i="15"/>
  <c r="G7" i="15"/>
  <c r="G20" i="16"/>
  <c r="G16" i="14"/>
  <c r="G18" i="14"/>
  <c r="G19" i="14" s="1"/>
  <c r="G8" i="16"/>
  <c r="C8" i="16" s="1"/>
  <c r="H8" i="16" s="1"/>
  <c r="I8" i="16" s="1"/>
  <c r="J8" i="16" s="1"/>
  <c r="K8" i="16" s="1"/>
  <c r="L8" i="16" s="1"/>
  <c r="H18" i="14"/>
  <c r="M8" i="16" l="1"/>
  <c r="M9" i="16" s="1"/>
  <c r="L9" i="16"/>
  <c r="C20" i="16"/>
  <c r="H20" i="16" s="1"/>
  <c r="H21" i="16" s="1"/>
  <c r="G21" i="16"/>
  <c r="G20" i="14"/>
  <c r="G10" i="14"/>
  <c r="I18" i="14"/>
  <c r="H19" i="14"/>
  <c r="I20" i="16" l="1"/>
  <c r="I19" i="14"/>
  <c r="J18" i="14"/>
  <c r="G11" i="14"/>
  <c r="G12" i="14"/>
  <c r="I21" i="16" l="1"/>
  <c r="J20" i="16"/>
  <c r="J19" i="14"/>
  <c r="K18" i="14"/>
  <c r="L19" i="14" s="1"/>
  <c r="K20" i="16" l="1"/>
  <c r="J21" i="16"/>
  <c r="K19" i="14"/>
  <c r="L20" i="16" l="1"/>
  <c r="K21" i="16"/>
  <c r="M20" i="16" l="1"/>
  <c r="L21" i="16"/>
  <c r="F19" i="9"/>
  <c r="M21" i="16" l="1"/>
  <c r="F26" i="9"/>
  <c r="E22" i="16"/>
  <c r="D22" i="16" l="1"/>
  <c r="D23" i="16" s="1"/>
  <c r="F22" i="16"/>
  <c r="E23" i="16" l="1"/>
  <c r="F7" i="9"/>
  <c r="F27" i="9"/>
  <c r="F23" i="16"/>
  <c r="F11" i="9" l="1"/>
  <c r="F10" i="9"/>
  <c r="F13" i="9"/>
  <c r="F21" i="9" l="1"/>
  <c r="F29" i="9" s="1"/>
  <c r="F14" i="9"/>
  <c r="F15" i="9"/>
  <c r="F23" i="9" l="1"/>
  <c r="F22" i="9"/>
  <c r="F31" i="9" l="1"/>
  <c r="F30" i="9"/>
  <c r="G5" i="9" l="1"/>
  <c r="F5" i="450" l="1"/>
  <c r="F210" i="450"/>
  <c r="F220" i="450"/>
  <c r="F157" i="450"/>
  <c r="G5" i="235"/>
  <c r="F219" i="437"/>
  <c r="F209" i="437"/>
  <c r="F5" i="437"/>
  <c r="F156" i="437"/>
  <c r="G51" i="13"/>
  <c r="G131" i="13" s="1"/>
  <c r="G105" i="14"/>
  <c r="G242" i="13"/>
  <c r="G208" i="13"/>
  <c r="G166" i="13"/>
  <c r="G71" i="14"/>
  <c r="G4" i="187"/>
  <c r="G147" i="14"/>
  <c r="G5" i="14"/>
  <c r="G28" i="14" s="1"/>
  <c r="G38" i="14"/>
  <c r="G5" i="13"/>
  <c r="G33" i="13" s="1"/>
  <c r="G5" i="16"/>
  <c r="G26" i="16" s="1"/>
  <c r="F5" i="9"/>
  <c r="H5" i="9"/>
  <c r="G210" i="450" l="1"/>
  <c r="G220" i="450"/>
  <c r="G157" i="450"/>
  <c r="G5" i="450"/>
  <c r="E5" i="450"/>
  <c r="E210" i="450"/>
  <c r="E220" i="450"/>
  <c r="E157" i="450"/>
  <c r="E219" i="437"/>
  <c r="E209" i="437"/>
  <c r="E156" i="437"/>
  <c r="E5" i="437"/>
  <c r="F51" i="13"/>
  <c r="F131" i="13" s="1"/>
  <c r="H5" i="235"/>
  <c r="G219" i="437"/>
  <c r="G209" i="437"/>
  <c r="G156" i="437"/>
  <c r="G5" i="437"/>
  <c r="H51" i="13"/>
  <c r="H131" i="13" s="1"/>
  <c r="H105" i="14"/>
  <c r="H242" i="13"/>
  <c r="H208" i="13"/>
  <c r="H166" i="13"/>
  <c r="F5" i="235"/>
  <c r="F242" i="13"/>
  <c r="F208" i="13"/>
  <c r="F166" i="13"/>
  <c r="F71" i="14"/>
  <c r="F4" i="187"/>
  <c r="H71" i="14"/>
  <c r="H4" i="187"/>
  <c r="G5" i="15"/>
  <c r="G13" i="15" s="1"/>
  <c r="F105" i="14"/>
  <c r="F5" i="14"/>
  <c r="F28" i="14" s="1"/>
  <c r="F38" i="14"/>
  <c r="F147" i="14"/>
  <c r="H38" i="14"/>
  <c r="H147" i="14"/>
  <c r="H5" i="14"/>
  <c r="H28" i="14" s="1"/>
  <c r="F5" i="13"/>
  <c r="F33" i="13" s="1"/>
  <c r="H5" i="13"/>
  <c r="H33" i="13" s="1"/>
  <c r="H5" i="16"/>
  <c r="H26" i="16" s="1"/>
  <c r="F5" i="16"/>
  <c r="F26" i="16" s="1"/>
  <c r="I5" i="9"/>
  <c r="H220" i="450" l="1"/>
  <c r="H157" i="450"/>
  <c r="H5" i="450"/>
  <c r="H210" i="450"/>
  <c r="I5" i="235"/>
  <c r="H219" i="437"/>
  <c r="H209" i="437"/>
  <c r="H5" i="437"/>
  <c r="H156" i="437"/>
  <c r="I51" i="13"/>
  <c r="I131" i="13" s="1"/>
  <c r="E242" i="13"/>
  <c r="E208" i="13"/>
  <c r="E166" i="13"/>
  <c r="I242" i="13"/>
  <c r="I208" i="13"/>
  <c r="I166" i="13"/>
  <c r="E71" i="14"/>
  <c r="E4" i="187"/>
  <c r="I71" i="14"/>
  <c r="I4" i="187"/>
  <c r="G63" i="15"/>
  <c r="G22" i="15"/>
  <c r="F5" i="15"/>
  <c r="F13" i="15" s="1"/>
  <c r="H5" i="15"/>
  <c r="H13" i="15" s="1"/>
  <c r="E105" i="14"/>
  <c r="E5" i="14"/>
  <c r="E28" i="14" s="1"/>
  <c r="E38" i="14"/>
  <c r="E147" i="14"/>
  <c r="I5" i="14"/>
  <c r="I28" i="14" s="1"/>
  <c r="I38" i="14"/>
  <c r="I105" i="14"/>
  <c r="I147" i="14"/>
  <c r="E5" i="13"/>
  <c r="E33" i="13" s="1"/>
  <c r="I5" i="13"/>
  <c r="I33" i="13" s="1"/>
  <c r="I5" i="16"/>
  <c r="I26" i="16" s="1"/>
  <c r="E5" i="16"/>
  <c r="E26" i="16" s="1"/>
  <c r="J5" i="9"/>
  <c r="I5" i="450" l="1"/>
  <c r="I210" i="450"/>
  <c r="I220" i="450"/>
  <c r="I157" i="450"/>
  <c r="J5" i="235"/>
  <c r="I219" i="437"/>
  <c r="I209" i="437"/>
  <c r="I5" i="437"/>
  <c r="I156" i="437"/>
  <c r="J51" i="13"/>
  <c r="J131" i="13" s="1"/>
  <c r="D242" i="13"/>
  <c r="D131" i="13"/>
  <c r="D166" i="13"/>
  <c r="D208" i="13"/>
  <c r="J242" i="13"/>
  <c r="J208" i="13"/>
  <c r="J166" i="13"/>
  <c r="J71" i="14"/>
  <c r="J4" i="187"/>
  <c r="D71" i="14"/>
  <c r="D4" i="187"/>
  <c r="H63" i="15"/>
  <c r="H22" i="15"/>
  <c r="F63" i="15"/>
  <c r="F22" i="15"/>
  <c r="E5" i="15"/>
  <c r="E13" i="15" s="1"/>
  <c r="I5" i="15"/>
  <c r="I13" i="15" s="1"/>
  <c r="J5" i="14"/>
  <c r="J28" i="14" s="1"/>
  <c r="J38" i="14"/>
  <c r="J147" i="14"/>
  <c r="J105" i="14"/>
  <c r="D5" i="14"/>
  <c r="D28" i="14" s="1"/>
  <c r="D38" i="14"/>
  <c r="D147" i="14"/>
  <c r="D105" i="14"/>
  <c r="J5" i="13"/>
  <c r="J33" i="13" s="1"/>
  <c r="D5" i="13"/>
  <c r="D33" i="13" s="1"/>
  <c r="D5" i="16"/>
  <c r="D26" i="16" s="1"/>
  <c r="J5" i="16"/>
  <c r="J26" i="16" s="1"/>
  <c r="K5" i="9"/>
  <c r="J5" i="450" l="1"/>
  <c r="J210" i="450"/>
  <c r="K210" i="450" s="1"/>
  <c r="J220" i="450"/>
  <c r="J157" i="450"/>
  <c r="K157" i="450" s="1"/>
  <c r="L5" i="9"/>
  <c r="K5" i="235"/>
  <c r="J219" i="437"/>
  <c r="J209" i="437"/>
  <c r="K209" i="437" s="1"/>
  <c r="J156" i="437"/>
  <c r="K156" i="437" s="1"/>
  <c r="J5" i="437"/>
  <c r="K51" i="13"/>
  <c r="K131" i="13" s="1"/>
  <c r="K4" i="187"/>
  <c r="K242" i="13"/>
  <c r="K208" i="13"/>
  <c r="K166" i="13"/>
  <c r="K71" i="14"/>
  <c r="I63" i="15"/>
  <c r="I22" i="15"/>
  <c r="E63" i="15"/>
  <c r="E22" i="15"/>
  <c r="D5" i="15"/>
  <c r="D13" i="15" s="1"/>
  <c r="J5" i="15"/>
  <c r="J13" i="15" s="1"/>
  <c r="K105" i="14"/>
  <c r="L105" i="14" s="1"/>
  <c r="K147" i="14"/>
  <c r="L147" i="14" s="1"/>
  <c r="K5" i="14"/>
  <c r="K28" i="14" s="1"/>
  <c r="L28" i="14" s="1"/>
  <c r="K38" i="14"/>
  <c r="L38" i="14" s="1"/>
  <c r="K5" i="13"/>
  <c r="K5" i="16"/>
  <c r="K26" i="16" s="1"/>
  <c r="L5" i="14" l="1"/>
  <c r="L5" i="16"/>
  <c r="L26" i="16" s="1"/>
  <c r="K33" i="13"/>
  <c r="L5" i="13"/>
  <c r="J63" i="15"/>
  <c r="J22" i="15"/>
  <c r="D63" i="15"/>
  <c r="D22" i="15"/>
  <c r="K5" i="15"/>
  <c r="K13" i="15" l="1"/>
  <c r="L13" i="15" s="1"/>
  <c r="L5" i="15"/>
  <c r="K63" i="15"/>
  <c r="K22" i="15"/>
  <c r="L6" i="4" l="1"/>
  <c r="B1" i="450" l="1"/>
  <c r="B1" i="437"/>
  <c r="C1" i="419"/>
  <c r="B1" i="391"/>
  <c r="C1" i="415"/>
  <c r="B1" i="417"/>
  <c r="B1" i="407"/>
  <c r="B1" i="5"/>
  <c r="B1" i="406"/>
  <c r="B1" i="6"/>
  <c r="B1" i="235"/>
  <c r="B1" i="187"/>
  <c r="B1" i="14"/>
  <c r="M6" i="4"/>
  <c r="M1" i="16" l="1"/>
  <c r="K1" i="15"/>
  <c r="B1" i="17" l="1"/>
  <c r="B1" i="16"/>
  <c r="B1" i="15"/>
  <c r="K1" i="13"/>
  <c r="B1" i="13"/>
  <c r="B1" i="9" l="1"/>
  <c r="G7" i="9" l="1"/>
  <c r="G9" i="16" l="1"/>
  <c r="H9" i="16"/>
  <c r="I9" i="16" l="1"/>
  <c r="J9" i="16" l="1"/>
  <c r="K9" i="16" l="1"/>
  <c r="H25" i="9" l="1"/>
  <c r="J25" i="9" l="1"/>
  <c r="I25" i="9"/>
  <c r="J26" i="9" l="1"/>
  <c r="K25" i="9"/>
  <c r="L26" i="9" s="1"/>
  <c r="I26" i="9"/>
  <c r="K26" i="9" l="1"/>
  <c r="G22" i="14" l="1"/>
  <c r="G6" i="14" s="1"/>
  <c r="G26" i="14" s="1"/>
  <c r="G8" i="14" l="1"/>
  <c r="G24" i="14"/>
  <c r="G23" i="14"/>
  <c r="G7" i="14" l="1"/>
  <c r="G18" i="9" l="1"/>
  <c r="G17" i="16" l="1"/>
  <c r="C17" i="16" s="1"/>
  <c r="H17" i="16" s="1"/>
  <c r="I17" i="16" s="1"/>
  <c r="G12" i="16"/>
  <c r="G22" i="16"/>
  <c r="G10" i="9"/>
  <c r="G11" i="9"/>
  <c r="G13" i="16" l="1"/>
  <c r="C12" i="16"/>
  <c r="H12" i="16" s="1"/>
  <c r="J17" i="16"/>
  <c r="K17" i="16" s="1"/>
  <c r="L17" i="16" s="1"/>
  <c r="G23" i="16"/>
  <c r="G18" i="16"/>
  <c r="G14" i="9"/>
  <c r="G15" i="9"/>
  <c r="M17" i="16" l="1"/>
  <c r="M18" i="16" s="1"/>
  <c r="L18" i="16"/>
  <c r="I12" i="16"/>
  <c r="G23" i="9"/>
  <c r="G22" i="9"/>
  <c r="J12" i="16" l="1"/>
  <c r="J30" i="406"/>
  <c r="K12" i="16" l="1"/>
  <c r="L12" i="16" s="1"/>
  <c r="M12" i="16" l="1"/>
  <c r="L13" i="16"/>
  <c r="M13" i="16" l="1"/>
  <c r="I18" i="16"/>
  <c r="K18" i="16"/>
  <c r="H18" i="16"/>
  <c r="J18" i="16"/>
  <c r="I88" i="14" l="1"/>
  <c r="J88" i="14"/>
  <c r="K88" i="14"/>
  <c r="I40" i="15" l="1"/>
  <c r="H40" i="15"/>
  <c r="H26" i="15"/>
  <c r="H23" i="15" s="1"/>
  <c r="G66" i="15"/>
  <c r="G64" i="15" s="1"/>
  <c r="G8" i="15" l="1"/>
  <c r="G151" i="14"/>
  <c r="G246" i="13"/>
  <c r="H246" i="13" s="1"/>
  <c r="G154" i="14"/>
  <c r="C154" i="14" s="1"/>
  <c r="H154" i="14" s="1"/>
  <c r="G249" i="13"/>
  <c r="C249" i="13" s="1"/>
  <c r="H249" i="13" s="1"/>
  <c r="H6" i="15"/>
  <c r="H15" i="235" s="1"/>
  <c r="H24" i="15"/>
  <c r="I24" i="15"/>
  <c r="I246" i="13" l="1"/>
  <c r="H243" i="13"/>
  <c r="H26" i="13" s="1"/>
  <c r="H151" i="14"/>
  <c r="P151" i="14"/>
  <c r="G65" i="15"/>
  <c r="H248" i="13"/>
  <c r="I249" i="13"/>
  <c r="H153" i="14"/>
  <c r="I154" i="14"/>
  <c r="H148" i="14" l="1"/>
  <c r="I151" i="14"/>
  <c r="Q151" i="14"/>
  <c r="I243" i="13"/>
  <c r="I26" i="13" s="1"/>
  <c r="J246" i="13"/>
  <c r="J249" i="13"/>
  <c r="I248" i="13"/>
  <c r="H244" i="13"/>
  <c r="G25" i="9"/>
  <c r="G9" i="15"/>
  <c r="J154" i="14"/>
  <c r="I153" i="14"/>
  <c r="H22" i="14" l="1"/>
  <c r="H149" i="14"/>
  <c r="J151" i="14"/>
  <c r="I148" i="14"/>
  <c r="I149" i="14" s="1"/>
  <c r="R151" i="14"/>
  <c r="K246" i="13"/>
  <c r="J243" i="13"/>
  <c r="J26" i="13" s="1"/>
  <c r="K249" i="13"/>
  <c r="J248" i="13"/>
  <c r="H23" i="14"/>
  <c r="K154" i="14"/>
  <c r="J153" i="14"/>
  <c r="H27" i="13"/>
  <c r="H26" i="9"/>
  <c r="G26" i="9"/>
  <c r="G27" i="9"/>
  <c r="G29" i="9"/>
  <c r="I244" i="13"/>
  <c r="I22" i="14" l="1"/>
  <c r="L246" i="13"/>
  <c r="L243" i="13" s="1"/>
  <c r="K243" i="13"/>
  <c r="K26" i="13" s="1"/>
  <c r="J148" i="14"/>
  <c r="J149" i="14" s="1"/>
  <c r="K151" i="14"/>
  <c r="S151" i="14"/>
  <c r="K153" i="14"/>
  <c r="L154" i="14"/>
  <c r="L153" i="14" s="1"/>
  <c r="K248" i="13"/>
  <c r="L249" i="13"/>
  <c r="L248" i="13" s="1"/>
  <c r="I27" i="13"/>
  <c r="J244" i="13"/>
  <c r="G30" i="9"/>
  <c r="G31" i="9"/>
  <c r="I23" i="14"/>
  <c r="J22" i="14" l="1"/>
  <c r="J23" i="14" s="1"/>
  <c r="K244" i="13"/>
  <c r="L151" i="14"/>
  <c r="L148" i="14" s="1"/>
  <c r="K148" i="14"/>
  <c r="T151" i="14"/>
  <c r="L26" i="13"/>
  <c r="K27" i="13"/>
  <c r="H13" i="16"/>
  <c r="J27" i="13"/>
  <c r="L27" i="13" l="1"/>
  <c r="K149" i="14"/>
  <c r="K22" i="14"/>
  <c r="L22" i="14"/>
  <c r="I13" i="16"/>
  <c r="L23" i="14" l="1"/>
  <c r="K23" i="14"/>
  <c r="J13" i="16"/>
  <c r="K13" i="16"/>
  <c r="I66" i="13" l="1"/>
  <c r="L66" i="13"/>
  <c r="H66" i="13"/>
  <c r="K66" i="13"/>
  <c r="J66" i="13"/>
  <c r="L136" i="13" l="1"/>
  <c r="K136" i="13"/>
  <c r="H136" i="13"/>
  <c r="J136" i="13"/>
  <c r="I136" i="13"/>
  <c r="H150" i="13" l="1"/>
  <c r="H148" i="13" s="1"/>
  <c r="E145" i="13"/>
  <c r="E139" i="13"/>
  <c r="E142" i="13" s="1"/>
  <c r="E136" i="13"/>
  <c r="E129" i="13" s="1"/>
  <c r="E150" i="13" l="1"/>
  <c r="I150" i="13"/>
  <c r="I148" i="13" s="1"/>
  <c r="I149" i="13" s="1"/>
  <c r="H149" i="13"/>
  <c r="E138" i="13"/>
  <c r="J150" i="13" l="1"/>
  <c r="J148" i="13"/>
  <c r="K150" i="13"/>
  <c r="K148" i="13" l="1"/>
  <c r="L150" i="13"/>
  <c r="L148" i="13" s="1"/>
  <c r="J149" i="13"/>
  <c r="K149" i="13" l="1"/>
  <c r="S144" i="438" l="1"/>
  <c r="S135" i="438" s="1"/>
  <c r="AI86" i="438" s="1"/>
  <c r="G198" i="437" s="1"/>
  <c r="T144" i="438"/>
  <c r="P188" i="446"/>
  <c r="P189" i="446"/>
  <c r="U190" i="446" s="1"/>
  <c r="G196" i="437" l="1"/>
  <c r="G187" i="437" s="1"/>
  <c r="G199" i="450"/>
  <c r="G197" i="450" s="1"/>
  <c r="G188" i="450" s="1"/>
  <c r="P176" i="446"/>
  <c r="P211" i="446" s="1"/>
  <c r="S161" i="438"/>
  <c r="T135" i="438"/>
  <c r="AI84" i="438"/>
  <c r="AI102" i="438" s="1"/>
  <c r="AI104" i="438" s="1"/>
  <c r="AI114" i="438" s="1"/>
  <c r="U144" i="438"/>
  <c r="Q188" i="446"/>
  <c r="S136" i="438"/>
  <c r="K1665" i="458" l="1"/>
  <c r="V144" i="438"/>
  <c r="R188" i="446"/>
  <c r="G189" i="450"/>
  <c r="G205" i="450"/>
  <c r="G158" i="450"/>
  <c r="G190" i="450" s="1"/>
  <c r="K1659" i="458"/>
  <c r="K1664" i="458" s="1"/>
  <c r="K1666" i="458" s="1"/>
  <c r="S162" i="438"/>
  <c r="S163" i="438" s="1"/>
  <c r="P177" i="446"/>
  <c r="U135" i="438"/>
  <c r="T136" i="438"/>
  <c r="T161" i="438"/>
  <c r="Q176" i="446"/>
  <c r="Q211" i="446" s="1"/>
  <c r="AJ86" i="438"/>
  <c r="G188" i="437"/>
  <c r="G157" i="437"/>
  <c r="G189" i="437" s="1"/>
  <c r="G204" i="437"/>
  <c r="U176" i="446" l="1"/>
  <c r="P212" i="446"/>
  <c r="P214" i="446" s="1"/>
  <c r="Q156" i="446" s="1"/>
  <c r="G215" i="450"/>
  <c r="G213" i="450" s="1"/>
  <c r="G206" i="450"/>
  <c r="W144" i="438"/>
  <c r="T188" i="446" s="1"/>
  <c r="S188" i="446"/>
  <c r="G176" i="437"/>
  <c r="G202" i="437"/>
  <c r="G158" i="437"/>
  <c r="G159" i="437"/>
  <c r="G163" i="437"/>
  <c r="Q177" i="446"/>
  <c r="Q212" i="446" s="1"/>
  <c r="Q214" i="446" s="1"/>
  <c r="R156" i="446" s="1"/>
  <c r="T162" i="438"/>
  <c r="G6" i="437"/>
  <c r="G205" i="437"/>
  <c r="H198" i="437"/>
  <c r="AJ84" i="438"/>
  <c r="AJ102" i="438" s="1"/>
  <c r="AJ104" i="438" s="1"/>
  <c r="AJ114" i="438" s="1"/>
  <c r="AK86" i="438"/>
  <c r="U136" i="438"/>
  <c r="V135" i="438"/>
  <c r="U161" i="438"/>
  <c r="R176" i="446"/>
  <c r="R211" i="446" s="1"/>
  <c r="G203" i="450"/>
  <c r="G164" i="450"/>
  <c r="G177" i="450"/>
  <c r="G6" i="450"/>
  <c r="H44" i="13"/>
  <c r="G159" i="450"/>
  <c r="G228" i="450"/>
  <c r="I198" i="437" l="1"/>
  <c r="AK84" i="438"/>
  <c r="AK102" i="438" s="1"/>
  <c r="AK104" i="438" s="1"/>
  <c r="AK114" i="438" s="1"/>
  <c r="G7" i="437"/>
  <c r="G30" i="437"/>
  <c r="G58" i="437"/>
  <c r="G16" i="437"/>
  <c r="G44" i="437"/>
  <c r="G12" i="437"/>
  <c r="G99" i="437"/>
  <c r="G51" i="437"/>
  <c r="G37" i="437"/>
  <c r="G23" i="437"/>
  <c r="G3" i="437"/>
  <c r="H24" i="13"/>
  <c r="H160" i="13"/>
  <c r="H161" i="13" s="1"/>
  <c r="H28" i="13"/>
  <c r="H152" i="13"/>
  <c r="H189" i="13"/>
  <c r="H190" i="13" s="1"/>
  <c r="H211" i="13"/>
  <c r="H245" i="13"/>
  <c r="H138" i="13"/>
  <c r="H178" i="13"/>
  <c r="H171" i="13" s="1"/>
  <c r="H53" i="13"/>
  <c r="H156" i="13"/>
  <c r="H157" i="13" s="1"/>
  <c r="H181" i="13"/>
  <c r="H182" i="13" s="1"/>
  <c r="H198" i="13"/>
  <c r="H199" i="13" s="1"/>
  <c r="H185" i="13"/>
  <c r="H186" i="13" s="1"/>
  <c r="H193" i="13"/>
  <c r="H194" i="13" s="1"/>
  <c r="H202" i="13"/>
  <c r="H203" i="13" s="1"/>
  <c r="H252" i="13"/>
  <c r="G3" i="450"/>
  <c r="G59" i="450"/>
  <c r="G7" i="450"/>
  <c r="G13" i="450"/>
  <c r="G100" i="450"/>
  <c r="G160" i="450"/>
  <c r="V161" i="438"/>
  <c r="S176" i="446"/>
  <c r="S211" i="446" s="1"/>
  <c r="W135" i="438"/>
  <c r="V136" i="438"/>
  <c r="AL86" i="438"/>
  <c r="H199" i="450"/>
  <c r="H197" i="450" s="1"/>
  <c r="H188" i="450" s="1"/>
  <c r="H196" i="437"/>
  <c r="H187" i="437" s="1"/>
  <c r="H61" i="14"/>
  <c r="H62" i="14" s="1"/>
  <c r="H65" i="14"/>
  <c r="H66" i="14" s="1"/>
  <c r="U162" i="438"/>
  <c r="R177" i="446"/>
  <c r="R212" i="446" s="1"/>
  <c r="R214" i="446" s="1"/>
  <c r="S156" i="446" s="1"/>
  <c r="H172" i="13" l="1"/>
  <c r="H167" i="13"/>
  <c r="H18" i="15"/>
  <c r="H7" i="9"/>
  <c r="H33" i="14"/>
  <c r="H27" i="9"/>
  <c r="H48" i="13"/>
  <c r="H6" i="235"/>
  <c r="H27" i="16"/>
  <c r="H204" i="437"/>
  <c r="H188" i="437"/>
  <c r="H157" i="437"/>
  <c r="H189" i="437" s="1"/>
  <c r="AM86" i="438"/>
  <c r="W161" i="438"/>
  <c r="T176" i="446"/>
  <c r="T211" i="446" s="1"/>
  <c r="W136" i="438"/>
  <c r="H189" i="450"/>
  <c r="H158" i="450"/>
  <c r="H205" i="450"/>
  <c r="J198" i="437"/>
  <c r="AL84" i="438"/>
  <c r="AL102" i="438" s="1"/>
  <c r="AL104" i="438" s="1"/>
  <c r="AL114" i="438" s="1"/>
  <c r="H132" i="13"/>
  <c r="H153" i="13"/>
  <c r="S177" i="446"/>
  <c r="S212" i="446" s="1"/>
  <c r="S214" i="446" s="1"/>
  <c r="T156" i="446" s="1"/>
  <c r="V162" i="438"/>
  <c r="I199" i="450"/>
  <c r="I197" i="450" s="1"/>
  <c r="I188" i="450" s="1"/>
  <c r="I196" i="437"/>
  <c r="I187" i="437" s="1"/>
  <c r="H34" i="14" l="1"/>
  <c r="H20" i="14"/>
  <c r="H47" i="14"/>
  <c r="H48" i="14" s="1"/>
  <c r="H78" i="14"/>
  <c r="H24" i="14"/>
  <c r="H108" i="14"/>
  <c r="H43" i="14"/>
  <c r="H95" i="14"/>
  <c r="H96" i="14" s="1"/>
  <c r="H150" i="14"/>
  <c r="H91" i="14"/>
  <c r="H51" i="14"/>
  <c r="H52" i="14" s="1"/>
  <c r="H99" i="14"/>
  <c r="H100" i="14" s="1"/>
  <c r="H169" i="13"/>
  <c r="H18" i="13"/>
  <c r="H168" i="13"/>
  <c r="I204" i="437"/>
  <c r="I157" i="437"/>
  <c r="I188" i="437"/>
  <c r="J196" i="437"/>
  <c r="J187" i="437" s="1"/>
  <c r="J199" i="450"/>
  <c r="J197" i="450" s="1"/>
  <c r="J188" i="450" s="1"/>
  <c r="K198" i="437"/>
  <c r="AM84" i="438"/>
  <c r="AM102" i="438" s="1"/>
  <c r="AM104" i="438" s="1"/>
  <c r="AM114" i="438" s="1"/>
  <c r="H6" i="437"/>
  <c r="H205" i="437"/>
  <c r="I158" i="450"/>
  <c r="I190" i="450" s="1"/>
  <c r="I205" i="450"/>
  <c r="I189" i="450"/>
  <c r="H215" i="450"/>
  <c r="H213" i="450" s="1"/>
  <c r="H206" i="450"/>
  <c r="W162" i="438"/>
  <c r="T177" i="446"/>
  <c r="H163" i="437"/>
  <c r="H176" i="437"/>
  <c r="H159" i="437"/>
  <c r="H158" i="437"/>
  <c r="H202" i="437"/>
  <c r="H7" i="16"/>
  <c r="H19" i="16"/>
  <c r="H35" i="15"/>
  <c r="H47" i="15"/>
  <c r="H65" i="15"/>
  <c r="H7" i="15"/>
  <c r="H29" i="15"/>
  <c r="H41" i="15"/>
  <c r="H55" i="15"/>
  <c r="H9" i="15"/>
  <c r="H44" i="15"/>
  <c r="H32" i="15"/>
  <c r="H58" i="15"/>
  <c r="H38" i="15"/>
  <c r="H50" i="15"/>
  <c r="H25" i="15"/>
  <c r="H134" i="13"/>
  <c r="H133" i="13"/>
  <c r="H14" i="13"/>
  <c r="H159" i="450"/>
  <c r="I44" i="13"/>
  <c r="H228" i="450"/>
  <c r="H164" i="450"/>
  <c r="H6" i="450"/>
  <c r="H160" i="450" s="1"/>
  <c r="H203" i="450"/>
  <c r="H177" i="450"/>
  <c r="H190" i="450"/>
  <c r="H59" i="14" l="1"/>
  <c r="H55" i="14" s="1"/>
  <c r="H56" i="14" s="1"/>
  <c r="U178" i="446"/>
  <c r="T212" i="446"/>
  <c r="T214" i="446" s="1"/>
  <c r="U156" i="446" s="1"/>
  <c r="J205" i="450"/>
  <c r="J189" i="450"/>
  <c r="J158" i="450"/>
  <c r="J190" i="450" s="1"/>
  <c r="I158" i="437"/>
  <c r="I159" i="437"/>
  <c r="I202" i="437"/>
  <c r="I163" i="437"/>
  <c r="I176" i="437"/>
  <c r="H7" i="437"/>
  <c r="H12" i="437"/>
  <c r="H37" i="437"/>
  <c r="H99" i="437"/>
  <c r="H23" i="437"/>
  <c r="H51" i="437"/>
  <c r="H44" i="437"/>
  <c r="H30" i="437"/>
  <c r="H16" i="437"/>
  <c r="H58" i="437"/>
  <c r="H3" i="437"/>
  <c r="J157" i="437"/>
  <c r="J189" i="437"/>
  <c r="J188" i="437"/>
  <c r="J204" i="437"/>
  <c r="I205" i="437"/>
  <c r="I6" i="437"/>
  <c r="H16" i="13"/>
  <c r="H6" i="13"/>
  <c r="H15" i="13"/>
  <c r="H13" i="450"/>
  <c r="H59" i="450"/>
  <c r="H100" i="450"/>
  <c r="H7" i="450"/>
  <c r="I206" i="450"/>
  <c r="I215" i="450"/>
  <c r="I213" i="450" s="1"/>
  <c r="I189" i="437"/>
  <c r="H39" i="14"/>
  <c r="H44" i="14"/>
  <c r="I177" i="450"/>
  <c r="I6" i="450"/>
  <c r="I160" i="450" s="1"/>
  <c r="I203" i="450"/>
  <c r="I159" i="450"/>
  <c r="I164" i="450"/>
  <c r="I228" i="450"/>
  <c r="J44" i="13"/>
  <c r="K196" i="437"/>
  <c r="K187" i="437" s="1"/>
  <c r="K199" i="450"/>
  <c r="K197" i="450" s="1"/>
  <c r="K188" i="450" s="1"/>
  <c r="H20" i="13"/>
  <c r="H19" i="13"/>
  <c r="H92" i="14"/>
  <c r="H72" i="14"/>
  <c r="H73" i="14" l="1"/>
  <c r="H74" i="14"/>
  <c r="H14" i="14"/>
  <c r="H10" i="14"/>
  <c r="H40" i="14"/>
  <c r="H9" i="9"/>
  <c r="H8" i="13"/>
  <c r="H7" i="13"/>
  <c r="J6" i="437"/>
  <c r="J205" i="437"/>
  <c r="J206" i="450"/>
  <c r="J215" i="450"/>
  <c r="J213" i="450" s="1"/>
  <c r="K189" i="450"/>
  <c r="K158" i="450"/>
  <c r="K205" i="450"/>
  <c r="I16" i="437"/>
  <c r="I44" i="437"/>
  <c r="I30" i="437"/>
  <c r="I58" i="437"/>
  <c r="I23" i="437"/>
  <c r="I12" i="437"/>
  <c r="I99" i="437"/>
  <c r="I51" i="437"/>
  <c r="I7" i="437"/>
  <c r="I37" i="437"/>
  <c r="I3" i="437"/>
  <c r="J6" i="450"/>
  <c r="J164" i="450"/>
  <c r="J228" i="450"/>
  <c r="J177" i="450"/>
  <c r="J160" i="450"/>
  <c r="J159" i="450"/>
  <c r="K44" i="13"/>
  <c r="J203" i="450"/>
  <c r="K204" i="437"/>
  <c r="K157" i="437"/>
  <c r="K159" i="437" s="1"/>
  <c r="I7" i="450"/>
  <c r="I59" i="450"/>
  <c r="I13" i="450"/>
  <c r="I100" i="450"/>
  <c r="J158" i="437"/>
  <c r="J176" i="437"/>
  <c r="J202" i="437"/>
  <c r="J163" i="437"/>
  <c r="J159" i="437"/>
  <c r="K28" i="13" l="1"/>
  <c r="K53" i="13"/>
  <c r="K138" i="13"/>
  <c r="K152" i="13"/>
  <c r="K156" i="13"/>
  <c r="K178" i="13"/>
  <c r="K171" i="13" s="1"/>
  <c r="K193" i="13"/>
  <c r="K252" i="13"/>
  <c r="K24" i="13"/>
  <c r="K185" i="13"/>
  <c r="K202" i="13"/>
  <c r="K211" i="13"/>
  <c r="K160" i="13"/>
  <c r="K181" i="13"/>
  <c r="K189" i="13"/>
  <c r="K245" i="13"/>
  <c r="K198" i="13"/>
  <c r="K205" i="437"/>
  <c r="K6" i="437"/>
  <c r="J100" i="450"/>
  <c r="J7" i="450"/>
  <c r="J13" i="450"/>
  <c r="J59" i="450"/>
  <c r="K203" i="450"/>
  <c r="K159" i="450"/>
  <c r="K228" i="450"/>
  <c r="K177" i="450"/>
  <c r="K164" i="450"/>
  <c r="L44" i="13"/>
  <c r="L12" i="13" s="1"/>
  <c r="K6" i="450"/>
  <c r="K160" i="450" s="1"/>
  <c r="J3" i="450"/>
  <c r="J12" i="437"/>
  <c r="J16" i="437"/>
  <c r="J23" i="437"/>
  <c r="J30" i="437"/>
  <c r="J37" i="437"/>
  <c r="J44" i="437"/>
  <c r="J51" i="437"/>
  <c r="J58" i="437"/>
  <c r="J99" i="437"/>
  <c r="J7" i="437"/>
  <c r="J3" i="437"/>
  <c r="H10" i="9"/>
  <c r="H7" i="235"/>
  <c r="H8" i="235" s="1"/>
  <c r="H28" i="16"/>
  <c r="H11" i="9"/>
  <c r="H13" i="9"/>
  <c r="K61" i="14"/>
  <c r="K65" i="14"/>
  <c r="H15" i="14"/>
  <c r="H16" i="14"/>
  <c r="K215" i="450"/>
  <c r="K213" i="450" s="1"/>
  <c r="K206" i="450"/>
  <c r="H6" i="14"/>
  <c r="H12" i="14"/>
  <c r="H11" i="14"/>
  <c r="K190" i="450"/>
  <c r="H8" i="14" l="1"/>
  <c r="H17" i="9"/>
  <c r="H21" i="9" s="1"/>
  <c r="H7" i="14"/>
  <c r="H11" i="16"/>
  <c r="H6" i="16" s="1"/>
  <c r="H16" i="16"/>
  <c r="H15" i="16" s="1"/>
  <c r="L24" i="13"/>
  <c r="L160" i="13"/>
  <c r="L53" i="13"/>
  <c r="L189" i="13"/>
  <c r="L245" i="13"/>
  <c r="L28" i="13"/>
  <c r="L156" i="13"/>
  <c r="L178" i="13"/>
  <c r="L171" i="13" s="1"/>
  <c r="L152" i="13"/>
  <c r="L181" i="13"/>
  <c r="L198" i="13"/>
  <c r="L202" i="13"/>
  <c r="L138" i="13"/>
  <c r="L185" i="13"/>
  <c r="L193" i="13"/>
  <c r="K132" i="13"/>
  <c r="K7" i="437"/>
  <c r="K3" i="437"/>
  <c r="H15" i="9"/>
  <c r="H14" i="9"/>
  <c r="K6" i="235"/>
  <c r="K27" i="9"/>
  <c r="K18" i="15"/>
  <c r="K33" i="14"/>
  <c r="K34" i="14" s="1"/>
  <c r="K59" i="14" s="1"/>
  <c r="K55" i="14" s="1"/>
  <c r="K48" i="13"/>
  <c r="K27" i="16"/>
  <c r="K167" i="13"/>
  <c r="K3" i="450"/>
  <c r="K59" i="450"/>
  <c r="K100" i="450"/>
  <c r="K7" i="450"/>
  <c r="K13" i="450"/>
  <c r="L65" i="14"/>
  <c r="L66" i="14" s="1"/>
  <c r="L61" i="14"/>
  <c r="L62" i="14" s="1"/>
  <c r="H22" i="16" l="1"/>
  <c r="H23" i="16" s="1"/>
  <c r="H14" i="235" s="1"/>
  <c r="H29" i="9"/>
  <c r="H23" i="9"/>
  <c r="H22" i="9"/>
  <c r="K18" i="13"/>
  <c r="K169" i="13"/>
  <c r="K24" i="14"/>
  <c r="K43" i="14"/>
  <c r="K51" i="14"/>
  <c r="K47" i="14"/>
  <c r="K91" i="14"/>
  <c r="K99" i="14"/>
  <c r="K20" i="14"/>
  <c r="K95" i="14"/>
  <c r="K108" i="14"/>
  <c r="K150" i="14"/>
  <c r="K78" i="14"/>
  <c r="K14" i="13"/>
  <c r="K134" i="13"/>
  <c r="L132" i="13"/>
  <c r="K19" i="16"/>
  <c r="K7" i="16"/>
  <c r="L18" i="15"/>
  <c r="L7" i="9"/>
  <c r="L33" i="14"/>
  <c r="L34" i="14" s="1"/>
  <c r="L27" i="9"/>
  <c r="L48" i="13"/>
  <c r="L27" i="16"/>
  <c r="L6" i="235"/>
  <c r="M6" i="9"/>
  <c r="L167" i="13"/>
  <c r="H18" i="9"/>
  <c r="H9" i="235"/>
  <c r="H10" i="235" s="1"/>
  <c r="H19" i="9"/>
  <c r="K25" i="15"/>
  <c r="K38" i="15"/>
  <c r="K50" i="15"/>
  <c r="K9" i="15"/>
  <c r="K32" i="15"/>
  <c r="K44" i="15"/>
  <c r="K58" i="15"/>
  <c r="K47" i="15"/>
  <c r="K35" i="15"/>
  <c r="K65" i="15"/>
  <c r="K41" i="15"/>
  <c r="K7" i="15"/>
  <c r="K29" i="15"/>
  <c r="K55" i="15"/>
  <c r="L59" i="14" l="1"/>
  <c r="L55" i="14" s="1"/>
  <c r="L56" i="14" s="1"/>
  <c r="L35" i="15"/>
  <c r="L47" i="15"/>
  <c r="L65" i="15"/>
  <c r="L7" i="15"/>
  <c r="L29" i="15"/>
  <c r="L41" i="15"/>
  <c r="L55" i="15"/>
  <c r="L32" i="15"/>
  <c r="L58" i="15"/>
  <c r="L9" i="15"/>
  <c r="L44" i="15"/>
  <c r="L50" i="15"/>
  <c r="L25" i="15"/>
  <c r="L38" i="15"/>
  <c r="L134" i="13"/>
  <c r="L14" i="13"/>
  <c r="L133" i="13"/>
  <c r="K39" i="14"/>
  <c r="K20" i="13"/>
  <c r="H11" i="235"/>
  <c r="H12" i="235" s="1"/>
  <c r="H16" i="235" s="1"/>
  <c r="H19" i="235" s="1"/>
  <c r="M6" i="235"/>
  <c r="L20" i="14"/>
  <c r="L78" i="14"/>
  <c r="L47" i="14"/>
  <c r="L48" i="14" s="1"/>
  <c r="L51" i="14"/>
  <c r="L52" i="14" s="1"/>
  <c r="L95" i="14"/>
  <c r="L96" i="14" s="1"/>
  <c r="L150" i="14"/>
  <c r="L43" i="14"/>
  <c r="L24" i="14"/>
  <c r="L91" i="14"/>
  <c r="L99" i="14"/>
  <c r="L100" i="14" s="1"/>
  <c r="K72" i="14"/>
  <c r="L7" i="16"/>
  <c r="L19" i="16"/>
  <c r="M27" i="16"/>
  <c r="L18" i="13"/>
  <c r="L169" i="13"/>
  <c r="K16" i="13"/>
  <c r="K6" i="13"/>
  <c r="H30" i="9"/>
  <c r="H31" i="9"/>
  <c r="L19" i="13" l="1"/>
  <c r="L20" i="13"/>
  <c r="K14" i="14"/>
  <c r="K74" i="14"/>
  <c r="K10" i="14"/>
  <c r="M7" i="16"/>
  <c r="M19" i="16"/>
  <c r="L39" i="14"/>
  <c r="L10" i="14" s="1"/>
  <c r="L44" i="14"/>
  <c r="L16" i="13"/>
  <c r="L6" i="13"/>
  <c r="L15" i="13"/>
  <c r="K9" i="9"/>
  <c r="K8" i="13"/>
  <c r="L92" i="14"/>
  <c r="L72" i="14"/>
  <c r="L12" i="14" l="1"/>
  <c r="L11" i="14"/>
  <c r="K6" i="14"/>
  <c r="K12" i="14"/>
  <c r="L73" i="14"/>
  <c r="L14" i="14"/>
  <c r="L74" i="14"/>
  <c r="L9" i="9"/>
  <c r="L8" i="13"/>
  <c r="L7" i="13"/>
  <c r="K16" i="14"/>
  <c r="K11" i="9"/>
  <c r="K7" i="235"/>
  <c r="K8" i="235" s="1"/>
  <c r="K28" i="16"/>
  <c r="K13" i="9"/>
  <c r="L15" i="14" l="1"/>
  <c r="L16" i="14"/>
  <c r="L6" i="14"/>
  <c r="K15" i="9"/>
  <c r="K11" i="16"/>
  <c r="K6" i="16" s="1"/>
  <c r="K16" i="16"/>
  <c r="K15" i="16" s="1"/>
  <c r="L10" i="9"/>
  <c r="L7" i="235"/>
  <c r="L28" i="16"/>
  <c r="L11" i="9"/>
  <c r="L13" i="9"/>
  <c r="K17" i="9"/>
  <c r="K8" i="14"/>
  <c r="K22" i="16" l="1"/>
  <c r="L16" i="16"/>
  <c r="L15" i="16" s="1"/>
  <c r="L11" i="16"/>
  <c r="L6" i="16" s="1"/>
  <c r="M28" i="16"/>
  <c r="L17" i="9"/>
  <c r="L8" i="14"/>
  <c r="K9" i="235"/>
  <c r="K10" i="235" s="1"/>
  <c r="K19" i="9"/>
  <c r="M7" i="235"/>
  <c r="M8" i="235" s="1"/>
  <c r="L8" i="235"/>
  <c r="K21" i="9"/>
  <c r="L15" i="9"/>
  <c r="L14" i="9"/>
  <c r="L18" i="9" l="1"/>
  <c r="L19" i="9"/>
  <c r="L9" i="235"/>
  <c r="M9" i="235" s="1"/>
  <c r="M10" i="235" s="1"/>
  <c r="M11" i="16"/>
  <c r="M6" i="16" s="1"/>
  <c r="M16" i="16"/>
  <c r="M15" i="16" s="1"/>
  <c r="L21" i="9"/>
  <c r="K11" i="235"/>
  <c r="K12" i="235" s="1"/>
  <c r="L22" i="16"/>
  <c r="L23" i="16" s="1"/>
  <c r="L14" i="235" s="1"/>
  <c r="K29" i="9"/>
  <c r="K23" i="9"/>
  <c r="L10" i="235" l="1"/>
  <c r="L11" i="235" s="1"/>
  <c r="L12" i="235" s="1"/>
  <c r="L16" i="235" s="1"/>
  <c r="L19" i="235" s="1"/>
  <c r="M11" i="235"/>
  <c r="M12" i="235" s="1"/>
  <c r="M22" i="16"/>
  <c r="M23" i="16" s="1"/>
  <c r="M14" i="235" s="1"/>
  <c r="K31" i="9"/>
  <c r="L29" i="9"/>
  <c r="L23" i="9"/>
  <c r="L22" i="9"/>
  <c r="M16" i="235" l="1"/>
  <c r="M19" i="235" s="1"/>
  <c r="H21" i="235" s="1"/>
  <c r="L30" i="9"/>
  <c r="L31" i="9"/>
  <c r="M29" i="9"/>
  <c r="AI127" i="462"/>
  <c r="AI163" i="462" l="1"/>
  <c r="AI166" i="462" s="1"/>
  <c r="T163" i="462"/>
  <c r="U163" i="462" s="1"/>
  <c r="I35" i="14" l="1"/>
  <c r="I65" i="14" s="1"/>
  <c r="T166" i="462"/>
  <c r="U166" i="462" s="1"/>
  <c r="I61" i="14" l="1"/>
  <c r="I62" i="14" s="1"/>
  <c r="T172" i="462"/>
  <c r="AI172" i="462" s="1"/>
  <c r="I66" i="14"/>
  <c r="T174" i="462" l="1"/>
  <c r="AI174" i="462" s="1"/>
  <c r="AI176" i="462" s="1"/>
  <c r="AI185" i="462" s="1"/>
  <c r="I52" i="13" s="1"/>
  <c r="T176" i="462" l="1"/>
  <c r="T185" i="462" s="1"/>
  <c r="I6" i="9" s="1"/>
  <c r="I33" i="14" s="1"/>
  <c r="I10" i="13"/>
  <c r="I6" i="235" l="1"/>
  <c r="H3" i="450"/>
  <c r="I38" i="13"/>
  <c r="I53" i="13" s="1"/>
  <c r="I27" i="9"/>
  <c r="I18" i="15"/>
  <c r="I25" i="15" s="1"/>
  <c r="I27" i="16"/>
  <c r="I7" i="16" s="1"/>
  <c r="I7" i="9"/>
  <c r="I20" i="14"/>
  <c r="I43" i="14"/>
  <c r="I78" i="14"/>
  <c r="I99" i="14"/>
  <c r="I34" i="14"/>
  <c r="I59" i="14" s="1"/>
  <c r="I55" i="14" s="1"/>
  <c r="I24" i="14"/>
  <c r="I150" i="14"/>
  <c r="I51" i="14"/>
  <c r="I108" i="14"/>
  <c r="I91" i="14"/>
  <c r="I95" i="14"/>
  <c r="I47" i="14"/>
  <c r="I11" i="13"/>
  <c r="I245" i="13" l="1"/>
  <c r="I12" i="13"/>
  <c r="I38" i="15"/>
  <c r="I152" i="13"/>
  <c r="I19" i="16"/>
  <c r="I160" i="13"/>
  <c r="I202" i="13"/>
  <c r="I193" i="13"/>
  <c r="I198" i="13"/>
  <c r="I41" i="15"/>
  <c r="I181" i="13"/>
  <c r="I252" i="13"/>
  <c r="I24" i="13"/>
  <c r="I138" i="13"/>
  <c r="I211" i="13"/>
  <c r="I28" i="13"/>
  <c r="I29" i="15"/>
  <c r="I35" i="15"/>
  <c r="I7" i="15"/>
  <c r="I48" i="13"/>
  <c r="I185" i="13"/>
  <c r="I186" i="13" s="1"/>
  <c r="I178" i="13"/>
  <c r="I171" i="13" s="1"/>
  <c r="I172" i="13" s="1"/>
  <c r="I156" i="13"/>
  <c r="I157" i="13" s="1"/>
  <c r="I189" i="13"/>
  <c r="I190" i="13" s="1"/>
  <c r="I32" i="15"/>
  <c r="I55" i="15"/>
  <c r="I9" i="15"/>
  <c r="I65" i="15"/>
  <c r="I50" i="15"/>
  <c r="I47" i="15"/>
  <c r="I58" i="15"/>
  <c r="I44" i="15"/>
  <c r="I96" i="14"/>
  <c r="I92" i="14"/>
  <c r="I72" i="14"/>
  <c r="I39" i="14"/>
  <c r="I44" i="14"/>
  <c r="I182" i="13"/>
  <c r="I194" i="13"/>
  <c r="I199" i="13"/>
  <c r="I56" i="14"/>
  <c r="I48" i="14"/>
  <c r="I52" i="14"/>
  <c r="I100" i="14"/>
  <c r="I161" i="13"/>
  <c r="I203" i="13"/>
  <c r="I153" i="13"/>
  <c r="I132" i="13" l="1"/>
  <c r="I133" i="13" s="1"/>
  <c r="I167" i="13"/>
  <c r="I168" i="13" s="1"/>
  <c r="I40" i="14"/>
  <c r="I10" i="14"/>
  <c r="I73" i="14"/>
  <c r="I14" i="14"/>
  <c r="I74" i="14"/>
  <c r="I134" i="13" l="1"/>
  <c r="I14" i="13"/>
  <c r="I15" i="13" s="1"/>
  <c r="I169" i="13"/>
  <c r="I18" i="13"/>
  <c r="I19" i="13" s="1"/>
  <c r="I11" i="14"/>
  <c r="I12" i="14"/>
  <c r="I6" i="14"/>
  <c r="I16" i="14"/>
  <c r="I15" i="14"/>
  <c r="I16" i="13" l="1"/>
  <c r="I20" i="13"/>
  <c r="I6" i="13"/>
  <c r="I9" i="9" s="1"/>
  <c r="I7" i="14"/>
  <c r="I8" i="14"/>
  <c r="I17" i="9"/>
  <c r="I8" i="13" l="1"/>
  <c r="I7" i="13"/>
  <c r="I18" i="9"/>
  <c r="I9" i="235"/>
  <c r="I19" i="9"/>
  <c r="I10" i="9"/>
  <c r="I11" i="9"/>
  <c r="I28" i="16"/>
  <c r="I7" i="235"/>
  <c r="I8" i="235" s="1"/>
  <c r="I13" i="9"/>
  <c r="I11" i="16" l="1"/>
  <c r="I6" i="16" s="1"/>
  <c r="I16" i="16"/>
  <c r="I15" i="16" s="1"/>
  <c r="I21" i="9"/>
  <c r="I15" i="9"/>
  <c r="I14" i="9"/>
  <c r="I10" i="235"/>
  <c r="I29" i="9" l="1"/>
  <c r="I22" i="9"/>
  <c r="I23" i="9"/>
  <c r="I11" i="235"/>
  <c r="I12" i="235" s="1"/>
  <c r="I22" i="16"/>
  <c r="I23" i="16" l="1"/>
  <c r="I14" i="235" s="1"/>
  <c r="I16" i="235" s="1"/>
  <c r="I19" i="235" s="1"/>
  <c r="I31" i="9"/>
  <c r="I30" i="9"/>
  <c r="AJ115" i="462"/>
  <c r="W163" i="462"/>
  <c r="J35" i="14" s="1"/>
  <c r="J65" i="14" s="1"/>
  <c r="K66" i="14" s="1"/>
  <c r="AJ163" i="462" l="1"/>
  <c r="AJ166" i="462" s="1"/>
  <c r="X163" i="462"/>
  <c r="W166" i="462"/>
  <c r="W172" i="462" s="1"/>
  <c r="W174" i="462" s="1"/>
  <c r="W176" i="462" s="1"/>
  <c r="W185" i="462" s="1"/>
  <c r="J6" i="9" s="1"/>
  <c r="J33" i="14" s="1"/>
  <c r="J66" i="14"/>
  <c r="J61" i="14"/>
  <c r="AJ174" i="462" l="1"/>
  <c r="AJ176" i="462" s="1"/>
  <c r="AJ185" i="462" s="1"/>
  <c r="J52" i="13" s="1"/>
  <c r="J10" i="13" s="1"/>
  <c r="J38" i="13"/>
  <c r="J48" i="13" s="1"/>
  <c r="AJ172" i="462"/>
  <c r="X166" i="462"/>
  <c r="J18" i="15"/>
  <c r="J38" i="15" s="1"/>
  <c r="J6" i="235"/>
  <c r="J27" i="9"/>
  <c r="J7" i="9"/>
  <c r="I3" i="450"/>
  <c r="K7" i="9"/>
  <c r="J27" i="16"/>
  <c r="J7" i="16" s="1"/>
  <c r="J108" i="14"/>
  <c r="J24" i="14"/>
  <c r="J47" i="14"/>
  <c r="J91" i="14"/>
  <c r="J150" i="14"/>
  <c r="J99" i="14"/>
  <c r="J20" i="14"/>
  <c r="J78" i="14"/>
  <c r="J51" i="14"/>
  <c r="J43" i="14"/>
  <c r="J95" i="14"/>
  <c r="J34" i="14"/>
  <c r="J59" i="14" s="1"/>
  <c r="J55" i="14" s="1"/>
  <c r="J50" i="15"/>
  <c r="J62" i="14"/>
  <c r="K62" i="14"/>
  <c r="J24" i="13"/>
  <c r="J202" i="13"/>
  <c r="J193" i="13"/>
  <c r="J185" i="13"/>
  <c r="J32" i="15" l="1"/>
  <c r="J19" i="16"/>
  <c r="J160" i="13"/>
  <c r="J161" i="13" s="1"/>
  <c r="J198" i="13"/>
  <c r="J25" i="15"/>
  <c r="J252" i="13"/>
  <c r="J138" i="13"/>
  <c r="J178" i="13"/>
  <c r="J171" i="13" s="1"/>
  <c r="K172" i="13" s="1"/>
  <c r="J28" i="13"/>
  <c r="J181" i="13"/>
  <c r="J182" i="13" s="1"/>
  <c r="J44" i="15"/>
  <c r="J9" i="15"/>
  <c r="J65" i="15"/>
  <c r="J29" i="15"/>
  <c r="J152" i="13"/>
  <c r="J153" i="13" s="1"/>
  <c r="J156" i="13"/>
  <c r="K157" i="13" s="1"/>
  <c r="J245" i="13"/>
  <c r="J47" i="15"/>
  <c r="J7" i="15"/>
  <c r="J58" i="15"/>
  <c r="J35" i="15"/>
  <c r="J41" i="15"/>
  <c r="J55" i="15"/>
  <c r="J189" i="13"/>
  <c r="J211" i="13"/>
  <c r="J53" i="13"/>
  <c r="J39" i="14"/>
  <c r="J44" i="14"/>
  <c r="K44" i="14"/>
  <c r="K161" i="13"/>
  <c r="K56" i="14"/>
  <c r="J56" i="14"/>
  <c r="J92" i="14"/>
  <c r="K92" i="14"/>
  <c r="J72" i="14"/>
  <c r="K194" i="13"/>
  <c r="J194" i="13"/>
  <c r="J203" i="13"/>
  <c r="K203" i="13"/>
  <c r="K100" i="14"/>
  <c r="J100" i="14"/>
  <c r="K199" i="13"/>
  <c r="J199" i="13"/>
  <c r="K52" i="14"/>
  <c r="J52" i="14"/>
  <c r="J186" i="13"/>
  <c r="K186" i="13"/>
  <c r="K96" i="14"/>
  <c r="J96" i="14"/>
  <c r="K48" i="14"/>
  <c r="J48" i="14"/>
  <c r="J12" i="13"/>
  <c r="J11" i="13"/>
  <c r="K11" i="13"/>
  <c r="K182" i="13" l="1"/>
  <c r="J167" i="13"/>
  <c r="J18" i="13" s="1"/>
  <c r="J172" i="13"/>
  <c r="K190" i="13"/>
  <c r="J157" i="13"/>
  <c r="K153" i="13"/>
  <c r="J190" i="13"/>
  <c r="J132" i="13"/>
  <c r="K133" i="13" s="1"/>
  <c r="J14" i="14"/>
  <c r="J73" i="14"/>
  <c r="J74" i="14"/>
  <c r="K73" i="14"/>
  <c r="J40" i="14"/>
  <c r="J10" i="14"/>
  <c r="K40" i="14"/>
  <c r="J169" i="13" l="1"/>
  <c r="K168" i="13"/>
  <c r="J168" i="13"/>
  <c r="J133" i="13"/>
  <c r="J14" i="13"/>
  <c r="K15" i="13" s="1"/>
  <c r="J134" i="13"/>
  <c r="K11" i="14"/>
  <c r="J12" i="14"/>
  <c r="J11" i="14"/>
  <c r="J6" i="14"/>
  <c r="J15" i="13"/>
  <c r="K19" i="13"/>
  <c r="J20" i="13"/>
  <c r="J19" i="13"/>
  <c r="J16" i="14"/>
  <c r="J15" i="14"/>
  <c r="K15" i="14"/>
  <c r="J6" i="13" l="1"/>
  <c r="K7" i="13" s="1"/>
  <c r="J16" i="13"/>
  <c r="J7" i="14"/>
  <c r="J8" i="14"/>
  <c r="J17" i="9"/>
  <c r="K7" i="14"/>
  <c r="J9" i="9" l="1"/>
  <c r="J28" i="16" s="1"/>
  <c r="J8" i="13"/>
  <c r="J7" i="13"/>
  <c r="K18" i="9"/>
  <c r="J18" i="9"/>
  <c r="J19" i="9"/>
  <c r="J9" i="235"/>
  <c r="J13" i="9" l="1"/>
  <c r="J15" i="9" s="1"/>
  <c r="J11" i="9"/>
  <c r="J7" i="235"/>
  <c r="J8" i="235" s="1"/>
  <c r="J10" i="235" s="1"/>
  <c r="J10" i="9"/>
  <c r="K10" i="9"/>
  <c r="J11" i="16"/>
  <c r="J6" i="16" s="1"/>
  <c r="J16" i="16"/>
  <c r="J15" i="16" s="1"/>
  <c r="K14" i="9"/>
  <c r="J21" i="9" l="1"/>
  <c r="J29" i="9" s="1"/>
  <c r="J14" i="9"/>
  <c r="K22" i="9"/>
  <c r="J11" i="235"/>
  <c r="J12" i="235" s="1"/>
  <c r="J22" i="16"/>
  <c r="J23" i="9" l="1"/>
  <c r="J22" i="9"/>
  <c r="J31" i="9"/>
  <c r="J30" i="9"/>
  <c r="K30" i="9"/>
  <c r="J23" i="16"/>
  <c r="J14" i="235" s="1"/>
  <c r="J16" i="235" s="1"/>
  <c r="J19" i="235" s="1"/>
  <c r="K23" i="16"/>
  <c r="K14" i="235" s="1"/>
  <c r="K16" i="235" s="1"/>
  <c r="K19" i="235" s="1"/>
  <c r="H20" i="235" l="1"/>
  <c r="H22" i="235" s="1"/>
  <c r="I30" i="235" s="1"/>
  <c r="E31" i="235" l="1"/>
  <c r="E33" i="235" s="1"/>
  <c r="E36" i="235" s="1"/>
</calcChain>
</file>

<file path=xl/comments1.xml><?xml version="1.0" encoding="utf-8"?>
<comments xmlns="http://schemas.openxmlformats.org/spreadsheetml/2006/main">
  <authors>
    <author>Yoon, Won-Sik (KR/Deal Adv3)</author>
  </authors>
  <commentList>
    <comment ref="S218" authorId="0" shapeId="0">
      <text>
        <r>
          <rPr>
            <b/>
            <sz val="9"/>
            <color indexed="81"/>
            <rFont val="Tahoma"/>
            <family val="2"/>
          </rPr>
          <t>Yoon, Won-Sik (KR/Deal Adv3):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명세서를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기말에서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</t>
        </r>
      </text>
    </comment>
  </commentList>
</comments>
</file>

<file path=xl/sharedStrings.xml><?xml version="1.0" encoding="utf-8"?>
<sst xmlns="http://schemas.openxmlformats.org/spreadsheetml/2006/main" count="49500" uniqueCount="7781">
  <si>
    <t>Project</t>
    <phoneticPr fontId="3" type="noConversion"/>
  </si>
  <si>
    <t>Description</t>
    <phoneticPr fontId="1" type="noConversion"/>
  </si>
  <si>
    <t>Project Name</t>
    <phoneticPr fontId="1" type="noConversion"/>
  </si>
  <si>
    <t>Client</t>
    <phoneticPr fontId="1" type="noConversion"/>
  </si>
  <si>
    <t>Target Company</t>
    <phoneticPr fontId="1" type="noConversion"/>
  </si>
  <si>
    <t>Valuation Date</t>
    <phoneticPr fontId="1" type="noConversion"/>
  </si>
  <si>
    <t>Year End after Valuation Date</t>
    <phoneticPr fontId="1" type="noConversion"/>
  </si>
  <si>
    <t>Partial Period Factor</t>
    <phoneticPr fontId="1" type="noConversion"/>
  </si>
  <si>
    <t>Projection Period</t>
    <phoneticPr fontId="1" type="noConversion"/>
  </si>
  <si>
    <t>Currency &amp; Unit</t>
    <phoneticPr fontId="1" type="noConversion"/>
  </si>
  <si>
    <t xml:space="preserve">Financial Model </t>
    <phoneticPr fontId="3" type="noConversion"/>
  </si>
  <si>
    <t>Work-In-Progress Disclaimer</t>
  </si>
  <si>
    <t>KRW Millions</t>
  </si>
  <si>
    <t>판매비와관리비</t>
    <phoneticPr fontId="1" type="noConversion"/>
  </si>
  <si>
    <t>Terminal Growth Rate</t>
    <phoneticPr fontId="1" type="noConversion"/>
  </si>
  <si>
    <t>WACC</t>
    <phoneticPr fontId="1" type="noConversion"/>
  </si>
  <si>
    <t>Stand-Alone Operating Value</t>
    <phoneticPr fontId="1" type="noConversion"/>
  </si>
  <si>
    <t>항목</t>
    <phoneticPr fontId="1" type="noConversion"/>
  </si>
  <si>
    <t>평가결과</t>
    <phoneticPr fontId="1" type="noConversion"/>
  </si>
  <si>
    <t>중앙값</t>
    <phoneticPr fontId="1" type="noConversion"/>
  </si>
  <si>
    <t>최소값</t>
    <phoneticPr fontId="1" type="noConversion"/>
  </si>
  <si>
    <t>최대값</t>
    <phoneticPr fontId="1" type="noConversion"/>
  </si>
  <si>
    <t>Average</t>
  </si>
  <si>
    <t>매출원가</t>
    <phoneticPr fontId="1" type="noConversion"/>
  </si>
  <si>
    <t>Spread</t>
  </si>
  <si>
    <t>장부금액</t>
    <phoneticPr fontId="1" type="noConversion"/>
  </si>
  <si>
    <t>반영금액</t>
    <phoneticPr fontId="1" type="noConversion"/>
  </si>
  <si>
    <t>Note</t>
    <phoneticPr fontId="1" type="noConversion"/>
  </si>
  <si>
    <t>Total</t>
    <phoneticPr fontId="1" type="noConversion"/>
  </si>
  <si>
    <t>운전자본</t>
    <phoneticPr fontId="1" type="noConversion"/>
  </si>
  <si>
    <t>Terminal</t>
    <phoneticPr fontId="1" type="noConversion"/>
  </si>
  <si>
    <t>n.a.</t>
  </si>
  <si>
    <t>Items</t>
  </si>
  <si>
    <t>유동자산</t>
    <phoneticPr fontId="1" type="noConversion"/>
  </si>
  <si>
    <t xml:space="preserve">- Business Valuation </t>
    <phoneticPr fontId="1" type="noConversion"/>
  </si>
  <si>
    <t>기준일</t>
  </si>
  <si>
    <t>2. Interest Bearing Debt</t>
    <phoneticPr fontId="1" type="noConversion"/>
  </si>
  <si>
    <t>% of growth</t>
    <phoneticPr fontId="1" type="noConversion"/>
  </si>
  <si>
    <t>=Dep</t>
    <phoneticPr fontId="1" type="noConversion"/>
  </si>
  <si>
    <t>자본적 지출</t>
    <phoneticPr fontId="1" type="noConversion"/>
  </si>
  <si>
    <t>Terminal</t>
    <phoneticPr fontId="1" type="noConversion"/>
  </si>
  <si>
    <t>운전자산</t>
    <phoneticPr fontId="1" type="noConversion"/>
  </si>
  <si>
    <t>매출채권(순액)</t>
    <phoneticPr fontId="1" type="noConversion"/>
  </si>
  <si>
    <t>운전부채</t>
    <phoneticPr fontId="1" type="noConversion"/>
  </si>
  <si>
    <t>매입채무</t>
    <phoneticPr fontId="1" type="noConversion"/>
  </si>
  <si>
    <t>순운전자본</t>
    <phoneticPr fontId="1" type="noConversion"/>
  </si>
  <si>
    <t>순운전자본의 변동</t>
    <phoneticPr fontId="1" type="noConversion"/>
  </si>
  <si>
    <t>% of sales</t>
    <phoneticPr fontId="1" type="noConversion"/>
  </si>
  <si>
    <t>EBITDA</t>
    <phoneticPr fontId="1" type="noConversion"/>
  </si>
  <si>
    <t>Left</t>
  </si>
  <si>
    <t>Top</t>
  </si>
  <si>
    <t>Right</t>
  </si>
  <si>
    <t>Bottom</t>
  </si>
  <si>
    <t>Ref</t>
  </si>
  <si>
    <t>$B$4:$G$26</t>
  </si>
  <si>
    <t>$B$101:$G$292</t>
  </si>
  <si>
    <t>DRAFT - For Discussion Purposes Only</t>
  </si>
  <si>
    <t>매출액</t>
    <phoneticPr fontId="1" type="noConversion"/>
  </si>
  <si>
    <t>% of sales</t>
  </si>
  <si>
    <t>비유동부채</t>
    <phoneticPr fontId="1" type="noConversion"/>
  </si>
  <si>
    <t>FINAL</t>
  </si>
  <si>
    <t>고정비성 경비</t>
  </si>
  <si>
    <t>고정비성 경비</t>
    <phoneticPr fontId="1" type="noConversion"/>
  </si>
  <si>
    <t>변동비성 경비</t>
  </si>
  <si>
    <t>매출원가</t>
    <phoneticPr fontId="1" type="noConversion"/>
  </si>
  <si>
    <t>Operating Value</t>
    <phoneticPr fontId="1" type="noConversion"/>
  </si>
  <si>
    <t>Macro</t>
    <phoneticPr fontId="1" type="noConversion"/>
  </si>
  <si>
    <t>Macro Variables</t>
    <phoneticPr fontId="1" type="noConversion"/>
  </si>
  <si>
    <t>% of change</t>
    <phoneticPr fontId="1" type="noConversion"/>
  </si>
  <si>
    <t>인건비성 경비</t>
  </si>
  <si>
    <t>인건비성 경비</t>
    <phoneticPr fontId="1" type="noConversion"/>
  </si>
  <si>
    <t>현금및현금성자산</t>
    <phoneticPr fontId="1" type="noConversion"/>
  </si>
  <si>
    <t>$B$24:$N$24</t>
  </si>
  <si>
    <t>유무형자산 상각비</t>
  </si>
  <si>
    <t>유무형자산 Capex</t>
    <phoneticPr fontId="1" type="noConversion"/>
  </si>
  <si>
    <t>DCF</t>
  </si>
  <si>
    <t>Gross Profit</t>
    <phoneticPr fontId="1" type="noConversion"/>
  </si>
  <si>
    <t>유무형자산 상각비</t>
    <phoneticPr fontId="1" type="noConversion"/>
  </si>
  <si>
    <t>$B$18:$G$24</t>
  </si>
  <si>
    <t>$G$5:$L$7</t>
  </si>
  <si>
    <t>2014.09 연결 총자산 대비 비율</t>
    <phoneticPr fontId="1" type="noConversion"/>
  </si>
  <si>
    <t>1. Non-Operating Asset</t>
    <phoneticPr fontId="1" type="noConversion"/>
  </si>
  <si>
    <t xml:space="preserve">, </t>
    <phoneticPr fontId="1" type="noConversion"/>
  </si>
  <si>
    <t>GPCM</t>
    <phoneticPr fontId="1" type="noConversion"/>
  </si>
  <si>
    <t>중간값</t>
    <phoneticPr fontId="1" type="noConversion"/>
  </si>
  <si>
    <t>$N$17:$Q$22</t>
    <phoneticPr fontId="1" type="noConversion"/>
  </si>
  <si>
    <t>회전율 (x)</t>
  </si>
  <si>
    <t>회전율 (x)</t>
    <phoneticPr fontId="1" type="noConversion"/>
  </si>
  <si>
    <t>회전기일 (일)</t>
  </si>
  <si>
    <t>회전기일 (일)</t>
    <phoneticPr fontId="1" type="noConversion"/>
  </si>
  <si>
    <t>유무형 상각비</t>
    <phoneticPr fontId="1" type="noConversion"/>
  </si>
  <si>
    <t>조정금액</t>
    <phoneticPr fontId="1" type="noConversion"/>
  </si>
  <si>
    <t>KPMG Color (신규)</t>
    <phoneticPr fontId="1" type="noConversion"/>
  </si>
  <si>
    <t>Primary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</si>
  <si>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</si>
  <si>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</si>
  <si>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</si>
  <si>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KPMG blue</t>
  </si>
  <si>
    <t>Medium blue</t>
  </si>
  <si>
    <t>Light blue</t>
  </si>
  <si>
    <t>Secondary</t>
    <phoneticPr fontId="1" type="noConversion"/>
  </si>
  <si>
    <t>KRW Million</t>
    <phoneticPr fontId="1" type="noConversion"/>
  </si>
  <si>
    <t>Violet</t>
  </si>
  <si>
    <t>Terminal Growth rate</t>
    <phoneticPr fontId="1" type="noConversion"/>
  </si>
  <si>
    <t>Purple</t>
  </si>
  <si>
    <t>Light purple</t>
  </si>
  <si>
    <t>Green</t>
  </si>
  <si>
    <t>Tertiary</t>
    <phoneticPr fontId="1" type="noConversion"/>
  </si>
  <si>
    <t>Working Group List</t>
  </si>
  <si>
    <t>회사명</t>
  </si>
  <si>
    <t>업무</t>
  </si>
  <si>
    <t>이름</t>
  </si>
  <si>
    <t>부서</t>
  </si>
  <si>
    <t>직급</t>
  </si>
  <si>
    <t>이메일</t>
  </si>
  <si>
    <t>전화번호</t>
  </si>
  <si>
    <t>휴대전화</t>
  </si>
  <si>
    <t>KPMG 삼정회계법인</t>
    <phoneticPr fontId="1" type="noConversion"/>
  </si>
  <si>
    <t>EP</t>
    <phoneticPr fontId="1" type="noConversion"/>
  </si>
  <si>
    <t>KPMG 삼정회계법인</t>
    <phoneticPr fontId="1" type="noConversion"/>
  </si>
  <si>
    <t>ICA</t>
    <phoneticPr fontId="1" type="noConversion"/>
  </si>
  <si>
    <t>Result</t>
    <phoneticPr fontId="1" type="noConversion"/>
  </si>
  <si>
    <t>평가방법</t>
    <phoneticPr fontId="1" type="noConversion"/>
  </si>
  <si>
    <t>Low</t>
    <phoneticPr fontId="1" type="noConversion"/>
  </si>
  <si>
    <t>High</t>
    <phoneticPr fontId="1" type="noConversion"/>
  </si>
  <si>
    <t>GTM</t>
    <phoneticPr fontId="1" type="noConversion"/>
  </si>
  <si>
    <t>민감도 범위 선택</t>
    <phoneticPr fontId="1" type="noConversion"/>
  </si>
  <si>
    <t>% of growth</t>
    <phoneticPr fontId="1" type="noConversion"/>
  </si>
  <si>
    <t>% of sales</t>
    <phoneticPr fontId="1" type="noConversion"/>
  </si>
  <si>
    <t>매출원가</t>
    <phoneticPr fontId="1" type="noConversion"/>
  </si>
  <si>
    <t>Discounted Cash Flow Results</t>
    <phoneticPr fontId="1" type="noConversion"/>
  </si>
  <si>
    <t>DCF Results</t>
    <phoneticPr fontId="1" type="noConversion"/>
  </si>
  <si>
    <t>Historical</t>
    <phoneticPr fontId="1" type="noConversion"/>
  </si>
  <si>
    <t>Forecasted</t>
    <phoneticPr fontId="1" type="noConversion"/>
  </si>
  <si>
    <t>=CapEx</t>
    <phoneticPr fontId="1" type="noConversion"/>
  </si>
  <si>
    <t>Macro Variables</t>
    <phoneticPr fontId="1" type="noConversion"/>
  </si>
  <si>
    <t>change of %</t>
    <phoneticPr fontId="1" type="noConversion"/>
  </si>
  <si>
    <t>자본적 지출 및 감가상각비</t>
    <phoneticPr fontId="1" type="noConversion"/>
  </si>
  <si>
    <t>NOA&amp;IBD</t>
    <phoneticPr fontId="1" type="noConversion"/>
  </si>
  <si>
    <t>유무형자산 상각비</t>
    <phoneticPr fontId="1" type="noConversion"/>
  </si>
  <si>
    <t>판매비와관리비</t>
    <phoneticPr fontId="1" type="noConversion"/>
  </si>
  <si>
    <t>% of growth</t>
    <phoneticPr fontId="1" type="noConversion"/>
  </si>
  <si>
    <t>변동비성 경비</t>
    <phoneticPr fontId="1" type="noConversion"/>
  </si>
  <si>
    <t>% of growth</t>
    <phoneticPr fontId="1" type="noConversion"/>
  </si>
  <si>
    <t>인건비성 경비</t>
    <phoneticPr fontId="1" type="noConversion"/>
  </si>
  <si>
    <t>고정비성 경비</t>
    <phoneticPr fontId="1" type="noConversion"/>
  </si>
  <si>
    <t>유무형자산 상각비</t>
    <phoneticPr fontId="1" type="noConversion"/>
  </si>
  <si>
    <t>% of 총 상각비</t>
    <phoneticPr fontId="1" type="noConversion"/>
  </si>
  <si>
    <t>자본적 지출, 감가상각비 및 무형자산상각비</t>
    <phoneticPr fontId="1" type="noConversion"/>
  </si>
  <si>
    <t>Depreciation &amp; Amortization</t>
    <phoneticPr fontId="1" type="noConversion"/>
  </si>
  <si>
    <t>KPMG 삼정회계법인</t>
  </si>
  <si>
    <t>EM</t>
    <phoneticPr fontId="1" type="noConversion"/>
  </si>
  <si>
    <t>Sales</t>
    <phoneticPr fontId="1" type="noConversion"/>
  </si>
  <si>
    <t>COGS</t>
    <phoneticPr fontId="1" type="noConversion"/>
  </si>
  <si>
    <t>SG&amp;A</t>
    <phoneticPr fontId="1" type="noConversion"/>
  </si>
  <si>
    <t>EBIT</t>
    <phoneticPr fontId="1" type="noConversion"/>
  </si>
  <si>
    <t>Discount Period</t>
    <phoneticPr fontId="1" type="noConversion"/>
  </si>
  <si>
    <t>Discount Factor</t>
    <phoneticPr fontId="1" type="noConversion"/>
  </si>
  <si>
    <t>Income Tax</t>
    <phoneticPr fontId="1" type="noConversion"/>
  </si>
  <si>
    <t>NOPLAT</t>
    <phoneticPr fontId="1" type="noConversion"/>
  </si>
  <si>
    <t>(+) Depreciation</t>
    <phoneticPr fontId="1" type="noConversion"/>
  </si>
  <si>
    <t>(-) Increase in Net WC</t>
    <phoneticPr fontId="1" type="noConversion"/>
  </si>
  <si>
    <t>(-) Capital Expenditure</t>
    <phoneticPr fontId="1" type="noConversion"/>
  </si>
  <si>
    <t>Free Cash Flow to Firm (FCFF)</t>
    <phoneticPr fontId="1" type="noConversion"/>
  </si>
  <si>
    <t>Present Value of FCFF</t>
    <phoneticPr fontId="1" type="noConversion"/>
  </si>
  <si>
    <t>Cumulative Present Value</t>
    <phoneticPr fontId="1" type="noConversion"/>
  </si>
  <si>
    <t>Present Value of Terminal Value</t>
    <phoneticPr fontId="1" type="noConversion"/>
  </si>
  <si>
    <t>Operating Value</t>
  </si>
  <si>
    <t>Non-operating Asset</t>
    <phoneticPr fontId="1" type="noConversion"/>
  </si>
  <si>
    <t>Enterprise Value</t>
    <phoneticPr fontId="1" type="noConversion"/>
  </si>
  <si>
    <t>Interest Bearing Debt</t>
    <phoneticPr fontId="1" type="noConversion"/>
  </si>
  <si>
    <t>Equity Value</t>
    <phoneticPr fontId="1" type="noConversion"/>
  </si>
  <si>
    <t>Number of Shares Outstanding</t>
    <phoneticPr fontId="1" type="noConversion"/>
  </si>
  <si>
    <t>Pro Forma</t>
    <phoneticPr fontId="1" type="noConversion"/>
  </si>
  <si>
    <t>Pro Forma</t>
    <phoneticPr fontId="1" type="noConversion"/>
  </si>
  <si>
    <t>COGS</t>
    <phoneticPr fontId="1" type="noConversion"/>
  </si>
  <si>
    <t>Equity Value (USD Million)</t>
    <phoneticPr fontId="1" type="noConversion"/>
  </si>
  <si>
    <t>Stock Price (USD)</t>
    <phoneticPr fontId="1" type="noConversion"/>
  </si>
  <si>
    <t>Stock Price (KRW)</t>
    <phoneticPr fontId="1" type="noConversion"/>
  </si>
  <si>
    <t>SG&amp;A</t>
    <phoneticPr fontId="1" type="noConversion"/>
  </si>
  <si>
    <t>EBIT</t>
    <phoneticPr fontId="1" type="noConversion"/>
  </si>
  <si>
    <t>Depreciation</t>
    <phoneticPr fontId="1" type="noConversion"/>
  </si>
  <si>
    <t>매출액</t>
    <phoneticPr fontId="1" type="noConversion"/>
  </si>
  <si>
    <t>판매단가</t>
    <phoneticPr fontId="1" type="noConversion"/>
  </si>
  <si>
    <t>계</t>
    <phoneticPr fontId="3" type="noConversion"/>
  </si>
  <si>
    <t>구분</t>
    <phoneticPr fontId="1" type="noConversion"/>
  </si>
  <si>
    <t>Stock Option</t>
    <phoneticPr fontId="1" type="noConversion"/>
  </si>
  <si>
    <t>Guideline Public Company</t>
    <phoneticPr fontId="85" type="noConversion"/>
  </si>
  <si>
    <t>KRW</t>
  </si>
  <si>
    <t>SVG1</t>
    <phoneticPr fontId="1" type="noConversion"/>
  </si>
  <si>
    <t>주식회사 동해기계항공</t>
    <phoneticPr fontId="1" type="noConversion"/>
  </si>
  <si>
    <t>2017/10/01 ~ 2021/12/31, 4년 3개월</t>
    <phoneticPr fontId="1" type="noConversion"/>
  </si>
  <si>
    <t>김이동</t>
    <phoneticPr fontId="1" type="noConversion"/>
  </si>
  <si>
    <t>DA5</t>
    <phoneticPr fontId="1" type="noConversion"/>
  </si>
  <si>
    <t>상무</t>
    <phoneticPr fontId="1" type="noConversion"/>
  </si>
  <si>
    <t>yidongkim@kr.kpmg.com</t>
    <phoneticPr fontId="1" type="noConversion"/>
  </si>
  <si>
    <t>02-2112-0343</t>
    <phoneticPr fontId="1" type="noConversion"/>
  </si>
  <si>
    <t>010-4048-5105</t>
    <phoneticPr fontId="1" type="noConversion"/>
  </si>
  <si>
    <t>박영걸</t>
    <phoneticPr fontId="1" type="noConversion"/>
  </si>
  <si>
    <t>이사</t>
    <phoneticPr fontId="1" type="noConversion"/>
  </si>
  <si>
    <t>younggulpark@kr.kpmg.com</t>
    <phoneticPr fontId="1" type="noConversion"/>
  </si>
  <si>
    <t>02-2112-0749</t>
    <phoneticPr fontId="1" type="noConversion"/>
  </si>
  <si>
    <t>010-6889-9548</t>
    <phoneticPr fontId="1" type="noConversion"/>
  </si>
  <si>
    <t>김양태</t>
    <phoneticPr fontId="1" type="noConversion"/>
  </si>
  <si>
    <t>차장</t>
    <phoneticPr fontId="1" type="noConversion"/>
  </si>
  <si>
    <t>ykim32@kr.kpmg.com</t>
    <phoneticPr fontId="1" type="noConversion"/>
  </si>
  <si>
    <t>02-2112-7585</t>
    <phoneticPr fontId="1" type="noConversion"/>
  </si>
  <si>
    <t>010-5895-9114</t>
    <phoneticPr fontId="1" type="noConversion"/>
  </si>
  <si>
    <t>권기문</t>
    <phoneticPr fontId="1" type="noConversion"/>
  </si>
  <si>
    <t>과장'</t>
    <phoneticPr fontId="1" type="noConversion"/>
  </si>
  <si>
    <t>kimoonkwon@kr.kpmg.com</t>
    <phoneticPr fontId="1" type="noConversion"/>
  </si>
  <si>
    <t>02-2112-6948</t>
    <phoneticPr fontId="1" type="noConversion"/>
  </si>
  <si>
    <t>010-2506-1320</t>
    <phoneticPr fontId="1" type="noConversion"/>
  </si>
  <si>
    <t>Report as of : 2017-11-08</t>
  </si>
  <si>
    <t>(주)동해기계항공</t>
  </si>
  <si>
    <t>2007 ~ 2016, Standard Form</t>
  </si>
  <si>
    <t>127042,  Statutory Aud.</t>
  </si>
  <si>
    <t>Report</t>
  </si>
  <si>
    <t>2007/Annual</t>
  </si>
  <si>
    <t>2008/Annual</t>
  </si>
  <si>
    <t>2009/Annual</t>
  </si>
  <si>
    <t>2010/Annual</t>
  </si>
  <si>
    <t>2011/Annual</t>
  </si>
  <si>
    <t>2012/Annual</t>
  </si>
  <si>
    <t>2013/Annual</t>
  </si>
  <si>
    <t>2014/Annual</t>
  </si>
  <si>
    <t>2015/Annual</t>
  </si>
  <si>
    <t>2016/Annual</t>
  </si>
  <si>
    <t>Code</t>
  </si>
  <si>
    <t>Account</t>
  </si>
  <si>
    <t>감사의견</t>
  </si>
  <si>
    <t>적정</t>
  </si>
  <si>
    <t xml:space="preserve">          대손상각비</t>
  </si>
  <si>
    <t xml:space="preserve">          무형자산상각비</t>
  </si>
  <si>
    <t>Data Explorer - Cash Flow Statement</t>
  </si>
  <si>
    <t>영업활동으로인한현금흐름</t>
  </si>
  <si>
    <t xml:space="preserve">     당기순이익(손실)</t>
  </si>
  <si>
    <t xml:space="preserve">     현금유출없는비용등가산</t>
  </si>
  <si>
    <t xml:space="preserve">          유형,임대주택자산감가상각비</t>
  </si>
  <si>
    <t xml:space="preserve">               기타무형자산상각비</t>
  </si>
  <si>
    <t xml:space="preserve">          기타의대손상각비</t>
  </si>
  <si>
    <t xml:space="preserve">          퇴직급여</t>
  </si>
  <si>
    <t xml:space="preserve">          유,무형,리스자산처분손실</t>
  </si>
  <si>
    <t xml:space="preserve">          투자자산감액손실</t>
  </si>
  <si>
    <t xml:space="preserve">          현금의유출이없는기타비용</t>
  </si>
  <si>
    <t xml:space="preserve">     현금유입없는수익등차감</t>
  </si>
  <si>
    <t xml:space="preserve">          유,무형,리스자산처분이익</t>
  </si>
  <si>
    <t xml:space="preserve">          외화환산이익</t>
  </si>
  <si>
    <t xml:space="preserve">          대손충당금환입</t>
  </si>
  <si>
    <t xml:space="preserve">          부채성충당금환입액</t>
  </si>
  <si>
    <t xml:space="preserve">          자산수증이익</t>
  </si>
  <si>
    <t xml:space="preserve">     영업활동관련자산부채변동</t>
  </si>
  <si>
    <t xml:space="preserve">          매출채권의감소(증가)</t>
  </si>
  <si>
    <t xml:space="preserve">          재고자산의감소(증가)</t>
  </si>
  <si>
    <t xml:space="preserve">          선급금의감소(증가)</t>
  </si>
  <si>
    <t xml:space="preserve">          선급비용의감소(증가)</t>
  </si>
  <si>
    <t xml:space="preserve">          미수금의감소(증가)</t>
  </si>
  <si>
    <t xml:space="preserve">          미수수익의감소(증가)</t>
  </si>
  <si>
    <t xml:space="preserve">          매입채무의증가(감소)</t>
  </si>
  <si>
    <t xml:space="preserve">          선수금의증가(감소)</t>
  </si>
  <si>
    <t xml:space="preserve">          예수금의증가(감소)</t>
  </si>
  <si>
    <t xml:space="preserve">          부가세예수금의증가(감소)</t>
  </si>
  <si>
    <t xml:space="preserve">          미지급비용의증가(감소)</t>
  </si>
  <si>
    <t xml:space="preserve">          미지급금의증가(감소)</t>
  </si>
  <si>
    <t xml:space="preserve">          퇴직금의지급</t>
  </si>
  <si>
    <t xml:space="preserve">          비유동부채의증가(감소)</t>
  </si>
  <si>
    <t>투자활동으로인한현금흐름</t>
  </si>
  <si>
    <t xml:space="preserve">     투자활동으로인한현금유입</t>
  </si>
  <si>
    <t xml:space="preserve">          유동자산의감소</t>
  </si>
  <si>
    <t xml:space="preserve">               단기투자증권의처분</t>
  </si>
  <si>
    <t xml:space="preserve">               단기대여금의회수</t>
  </si>
  <si>
    <t xml:space="preserve">               단기금융상품의회수</t>
  </si>
  <si>
    <t xml:space="preserve">          투자자산및기타비유동자산의감소</t>
  </si>
  <si>
    <t xml:space="preserve">               장기금융상품의감소</t>
  </si>
  <si>
    <t xml:space="preserve">               장기투자증권처분</t>
  </si>
  <si>
    <t xml:space="preserve">               장기대여금의회수</t>
  </si>
  <si>
    <t xml:space="preserve">               보증금의감소</t>
  </si>
  <si>
    <t xml:space="preserve">          유,무형,리스자산의감소</t>
  </si>
  <si>
    <t xml:space="preserve">               기계장치의처분</t>
  </si>
  <si>
    <t xml:space="preserve">               차량운반구처분</t>
  </si>
  <si>
    <t xml:space="preserve">     투자활동으로인한현금유출</t>
  </si>
  <si>
    <t xml:space="preserve">          유동자산의증가</t>
  </si>
  <si>
    <t xml:space="preserve">               단기대여금의증가</t>
  </si>
  <si>
    <t xml:space="preserve">               단기금융상품의증가</t>
  </si>
  <si>
    <t xml:space="preserve">          투자자산및비유동자산의증가</t>
  </si>
  <si>
    <t xml:space="preserve">               장기금융상품의증가</t>
  </si>
  <si>
    <t xml:space="preserve">               장기대여금증가</t>
  </si>
  <si>
    <t xml:space="preserve">               보증금의증가</t>
  </si>
  <si>
    <t xml:space="preserve">          유,무형,리스자산의증가</t>
  </si>
  <si>
    <t xml:space="preserve">               토지의취득</t>
  </si>
  <si>
    <t xml:space="preserve">               건물구축물시설장치의취득</t>
  </si>
  <si>
    <t xml:space="preserve">               기계장치의취득</t>
  </si>
  <si>
    <t xml:space="preserve">               공구,기구,비품취득</t>
  </si>
  <si>
    <t xml:space="preserve">               차량운반구취득</t>
  </si>
  <si>
    <t xml:space="preserve">               건설중인자산의증가</t>
  </si>
  <si>
    <t xml:space="preserve">               무형자산증가</t>
  </si>
  <si>
    <t xml:space="preserve">                기타무형자산증가</t>
  </si>
  <si>
    <t>재무활동으로인한현금흐름</t>
  </si>
  <si>
    <t xml:space="preserve">     재무활동으로인한현금유입</t>
  </si>
  <si>
    <t xml:space="preserve">          유동부채의증가</t>
  </si>
  <si>
    <t xml:space="preserve">               단기차입금의증가</t>
  </si>
  <si>
    <t xml:space="preserve">          비유동부채의증가</t>
  </si>
  <si>
    <t xml:space="preserve">               장기차입금증가</t>
  </si>
  <si>
    <t xml:space="preserve">               장기미지급금증가</t>
  </si>
  <si>
    <t xml:space="preserve">     재무활동으로인한현금유출</t>
  </si>
  <si>
    <t xml:space="preserve">          유동부채의감소</t>
  </si>
  <si>
    <t xml:space="preserve">               단기차입금의상환</t>
  </si>
  <si>
    <t xml:space="preserve">               유동성장기차입금상환</t>
  </si>
  <si>
    <t xml:space="preserve">          비유동부채의감소</t>
  </si>
  <si>
    <t xml:space="preserve">               장기차입금상환</t>
  </si>
  <si>
    <t xml:space="preserve">          배당금의지급</t>
  </si>
  <si>
    <t>현금의증가(감소)</t>
  </si>
  <si>
    <t>기초의현금</t>
  </si>
  <si>
    <t>기말의현금</t>
  </si>
  <si>
    <t>현금유입과유출없는거래</t>
  </si>
  <si>
    <t xml:space="preserve">     유,무형자산간대체</t>
  </si>
  <si>
    <t xml:space="preserve">     장기차입금유동성대체</t>
  </si>
  <si>
    <t xml:space="preserve">     장,단기매출채권의대손처리</t>
  </si>
  <si>
    <t xml:space="preserve">     기타</t>
  </si>
  <si>
    <t xml:space="preserve">  Ⅰ. 매           출           액</t>
  </si>
  <si>
    <t xml:space="preserve">       제      품     매     출</t>
  </si>
  <si>
    <t xml:space="preserve">       서    비    스   매   출</t>
  </si>
  <si>
    <t xml:space="preserve">  Ⅱ. 매       출       원      가</t>
  </si>
  <si>
    <t xml:space="preserve">       제   품   매  출  원  가</t>
  </si>
  <si>
    <t xml:space="preserve">       기  초  제  품  재 고 액</t>
  </si>
  <si>
    <t xml:space="preserve">       당  기 제 품 제 조 원 가</t>
  </si>
  <si>
    <t xml:space="preserve">       기  말  제  품  재 고 액</t>
  </si>
  <si>
    <t xml:space="preserve">  Ⅲ. 매     출     총    이    익</t>
  </si>
  <si>
    <t xml:space="preserve">  Ⅳ. 판   매   비  와  관  리  비</t>
  </si>
  <si>
    <t xml:space="preserve">       임      원     급     여</t>
  </si>
  <si>
    <t xml:space="preserve">       직      원     급     여</t>
  </si>
  <si>
    <t xml:space="preserve">       상         여         금</t>
  </si>
  <si>
    <t xml:space="preserve">       잡                    급</t>
  </si>
  <si>
    <t xml:space="preserve">       퇴      직     급     여</t>
  </si>
  <si>
    <t xml:space="preserve">       복    리    후   생   비</t>
  </si>
  <si>
    <t xml:space="preserve">       여    비    교   통   비</t>
  </si>
  <si>
    <t xml:space="preserve">       접         대         비</t>
  </si>
  <si>
    <t xml:space="preserve">       통         신         비</t>
  </si>
  <si>
    <t xml:space="preserve">       수    도    광   열   비</t>
  </si>
  <si>
    <t xml:space="preserve">       전         력         비</t>
  </si>
  <si>
    <t xml:space="preserve">       세   금   과  공  과  금</t>
  </si>
  <si>
    <t xml:space="preserve">       감    가    상   각   비</t>
  </si>
  <si>
    <t xml:space="preserve">       지    급    임   차   료</t>
  </si>
  <si>
    <t xml:space="preserve">       수         선         비</t>
  </si>
  <si>
    <t xml:space="preserve">       보         험         료</t>
  </si>
  <si>
    <t xml:space="preserve">       차    량    유   지   비</t>
  </si>
  <si>
    <t xml:space="preserve">       운         반         비</t>
  </si>
  <si>
    <t xml:space="preserve">       교    육    훈   련   비</t>
  </si>
  <si>
    <t xml:space="preserve">       도    서    인   쇄   비</t>
  </si>
  <si>
    <t xml:space="preserve">       사    무    용   품   비</t>
  </si>
  <si>
    <t xml:space="preserve">       소      모     품     비</t>
  </si>
  <si>
    <t xml:space="preserve">       지    급    수   수   료</t>
  </si>
  <si>
    <t xml:space="preserve">       광    고    선   전   비</t>
  </si>
  <si>
    <t xml:space="preserve">       대    손    상   각   비</t>
  </si>
  <si>
    <t xml:space="preserve">       수    출    제   비   용</t>
  </si>
  <si>
    <t xml:space="preserve">       판    매    수   수   료</t>
  </si>
  <si>
    <t xml:space="preserve">       무  형 고 정 자 산 상 각</t>
  </si>
  <si>
    <t xml:space="preserve">       해  외  시  장  개 척 비</t>
  </si>
  <si>
    <t xml:space="preserve">       잡                    비</t>
  </si>
  <si>
    <t xml:space="preserve">       용         역         비</t>
  </si>
  <si>
    <t xml:space="preserve">  Ⅴ. 영       업       이      익</t>
  </si>
  <si>
    <t xml:space="preserve">  Ⅵ. 영     업     외    수    익</t>
  </si>
  <si>
    <t xml:space="preserve">       이      자     수     익</t>
  </si>
  <si>
    <t xml:space="preserve">       수    입    임   대   료</t>
  </si>
  <si>
    <t xml:space="preserve">       외      환     차     익</t>
  </si>
  <si>
    <t xml:space="preserve">       외   화   환  산  이  익</t>
  </si>
  <si>
    <t xml:space="preserve">       유  형 자 산 처 분 이 익</t>
  </si>
  <si>
    <t xml:space="preserve">       기  술 교 육 용 역 수 익</t>
  </si>
  <si>
    <t xml:space="preserve">       잡         이         익</t>
  </si>
  <si>
    <t xml:space="preserve">  Ⅶ. 영     업     외    비    용</t>
  </si>
  <si>
    <t xml:space="preserve">       이      자     비     용</t>
  </si>
  <si>
    <t xml:space="preserve">       외      환     차     손</t>
  </si>
  <si>
    <t xml:space="preserve">       기         부         금</t>
  </si>
  <si>
    <t xml:space="preserve">       외   화   환  산  손  실</t>
  </si>
  <si>
    <t xml:space="preserve">       유  형 자 산 처 분 손 실</t>
  </si>
  <si>
    <t xml:space="preserve">       잡         손         실</t>
  </si>
  <si>
    <t xml:space="preserve">  Ⅷ. 법  인  세  차  감  전 이 익</t>
  </si>
  <si>
    <t xml:space="preserve">  Ⅸ. 법       인       세      등</t>
  </si>
  <si>
    <t xml:space="preserve">       법      인     세     등</t>
  </si>
  <si>
    <t xml:space="preserve">  Ⅹ. 당     기     순    이    익</t>
  </si>
  <si>
    <t xml:space="preserve">Income Statement </t>
    <phoneticPr fontId="1" type="noConversion"/>
  </si>
  <si>
    <t xml:space="preserve">과목 </t>
    <phoneticPr fontId="1" type="noConversion"/>
  </si>
  <si>
    <t>FY2014</t>
    <phoneticPr fontId="1" type="noConversion"/>
  </si>
  <si>
    <t>FY2015</t>
    <phoneticPr fontId="1" type="noConversion"/>
  </si>
  <si>
    <t>FY2016</t>
    <phoneticPr fontId="1" type="noConversion"/>
  </si>
  <si>
    <t xml:space="preserve">       보험차익</t>
    <phoneticPr fontId="1" type="noConversion"/>
  </si>
  <si>
    <t>회원권손상차손</t>
    <phoneticPr fontId="1" type="noConversion"/>
  </si>
  <si>
    <t>Balance Sheet</t>
    <phoneticPr fontId="1" type="noConversion"/>
  </si>
  <si>
    <t xml:space="preserve">  자                        산</t>
  </si>
  <si>
    <t xml:space="preserve">   Ⅰ. 유     동     자     산</t>
  </si>
  <si>
    <t xml:space="preserve">       현                   금</t>
  </si>
  <si>
    <t xml:space="preserve">       보     통     예     금</t>
  </si>
  <si>
    <t xml:space="preserve">       정     기     예     금</t>
  </si>
  <si>
    <t xml:space="preserve">       정     기     적     금</t>
  </si>
  <si>
    <t xml:space="preserve">       외    상   매   출   금</t>
  </si>
  <si>
    <t xml:space="preserve">       대    손   충   당   금</t>
  </si>
  <si>
    <t xml:space="preserve">       받     을     어     음</t>
  </si>
  <si>
    <t xml:space="preserve">       단    기   대   여   금</t>
  </si>
  <si>
    <t xml:space="preserve">       미     수     수     익</t>
  </si>
  <si>
    <t xml:space="preserve">       미         수        금</t>
  </si>
  <si>
    <t xml:space="preserve">       선         급        금</t>
  </si>
  <si>
    <t xml:space="preserve">       선     급     비     용</t>
  </si>
  <si>
    <t xml:space="preserve">      (2) 재    고    자    산</t>
  </si>
  <si>
    <t xml:space="preserve">       제                   품</t>
  </si>
  <si>
    <t xml:space="preserve">       원         재        료</t>
  </si>
  <si>
    <t xml:space="preserve">   Ⅱ. 비    유   동   자   산</t>
  </si>
  <si>
    <t xml:space="preserve">      (1) 투    자    자    산</t>
  </si>
  <si>
    <t xml:space="preserve">       장    기   성   예   금</t>
  </si>
  <si>
    <t xml:space="preserve">       특  정  현  금 과 예 금</t>
  </si>
  <si>
    <t xml:space="preserve">      (2) 유    형    자    산</t>
  </si>
  <si>
    <t xml:space="preserve">       토                   지</t>
  </si>
  <si>
    <t xml:space="preserve">       건                   물</t>
  </si>
  <si>
    <t xml:space="preserve">       감  가  상  각 누 계 액</t>
  </si>
  <si>
    <t xml:space="preserve">       구         축        물</t>
  </si>
  <si>
    <t xml:space="preserve">       기     계     장     치</t>
  </si>
  <si>
    <t xml:space="preserve">       차    량   운   반   구</t>
  </si>
  <si>
    <t xml:space="preserve">       시         설        물</t>
  </si>
  <si>
    <t xml:space="preserve">       비                   품</t>
  </si>
  <si>
    <t xml:space="preserve">       건   설  중  인  자  산</t>
  </si>
  <si>
    <t xml:space="preserve">      (3) 무    형    자    산</t>
  </si>
  <si>
    <t xml:space="preserve">       소    프   트   웨   어</t>
  </si>
  <si>
    <t xml:space="preserve">      (4) 기 타 비 유 동 자 산</t>
  </si>
  <si>
    <t xml:space="preserve">       임    차   보   증   금</t>
  </si>
  <si>
    <t xml:space="preserve">       기    타   보   증   금</t>
  </si>
  <si>
    <t xml:space="preserve">  자       산       총      계</t>
  </si>
  <si>
    <t xml:space="preserve">  부                        채</t>
  </si>
  <si>
    <t xml:space="preserve">   Ⅰ. 유     동     부     채</t>
  </si>
  <si>
    <t xml:space="preserve">       외    상   매   입   금</t>
  </si>
  <si>
    <t xml:space="preserve">       지     급     어     음</t>
  </si>
  <si>
    <t xml:space="preserve">       미     지     급     금</t>
  </si>
  <si>
    <t xml:space="preserve">       예         수        금</t>
  </si>
  <si>
    <t xml:space="preserve">       선         수        금</t>
  </si>
  <si>
    <t xml:space="preserve">       단    기   차   입   금</t>
  </si>
  <si>
    <t xml:space="preserve">       미   지  급  법  인  세</t>
  </si>
  <si>
    <t xml:space="preserve">       미    지   급   비   용</t>
  </si>
  <si>
    <t xml:space="preserve">       유  동  성  장 기 부 채</t>
  </si>
  <si>
    <t xml:space="preserve">   Ⅱ. 비    유   동   부   채</t>
  </si>
  <si>
    <t xml:space="preserve">       장    기   차   입   금</t>
  </si>
  <si>
    <t xml:space="preserve">       임    대   보   증   금</t>
  </si>
  <si>
    <t xml:space="preserve">       장   기  미  지  급  금</t>
  </si>
  <si>
    <t xml:space="preserve">  부       채       총      계</t>
  </si>
  <si>
    <t xml:space="preserve">  자                        본</t>
  </si>
  <si>
    <t xml:space="preserve">   Ⅰ. 자         본        금</t>
  </si>
  <si>
    <t xml:space="preserve">       자         본        금</t>
  </si>
  <si>
    <t xml:space="preserve">   Ⅱ. 자    본   잉   여   금</t>
  </si>
  <si>
    <t xml:space="preserve">       합     병     차     익</t>
  </si>
  <si>
    <t xml:space="preserve">   Ⅲ. 자     본     조     정</t>
  </si>
  <si>
    <t xml:space="preserve">   Ⅳ. 기 타 포 괄 손 익누계액</t>
  </si>
  <si>
    <t xml:space="preserve">   Ⅴ. 이    익   잉   여   금</t>
  </si>
  <si>
    <t xml:space="preserve">       이    익   준   비   금</t>
  </si>
  <si>
    <t xml:space="preserve">       기 업 합 리 화 적 립 금</t>
  </si>
  <si>
    <t xml:space="preserve">       연 구 인 력 개 발준비금</t>
  </si>
  <si>
    <t xml:space="preserve">       미 처 분 이 익 잉 여 금</t>
  </si>
  <si>
    <t xml:space="preserve">    (   당   기  순  이  익  )</t>
  </si>
  <si>
    <t xml:space="preserve">       당기 : 10,920,024,131 원</t>
  </si>
  <si>
    <t xml:space="preserve">       전기 : 5,746,441,816 원</t>
  </si>
  <si>
    <t xml:space="preserve">  자       본       총      계</t>
  </si>
  <si>
    <t xml:space="preserve">  부   채   및  자  본  총  계</t>
  </si>
  <si>
    <t>(단위: 원)</t>
    <phoneticPr fontId="1" type="noConversion"/>
  </si>
  <si>
    <t>인건비</t>
    <phoneticPr fontId="100" type="noConversion"/>
  </si>
  <si>
    <t xml:space="preserve">      특허권</t>
    <phoneticPr fontId="1" type="noConversion"/>
  </si>
  <si>
    <t>고정비</t>
    <phoneticPr fontId="100" type="noConversion"/>
  </si>
  <si>
    <t>상각비</t>
    <phoneticPr fontId="1" type="noConversion"/>
  </si>
  <si>
    <t>Q) 대표이사님에게 지급되는 임차료로 사료되는데 연도별 감소 사유는 무엇인가요?</t>
    <phoneticPr fontId="1" type="noConversion"/>
  </si>
  <si>
    <t>변동비</t>
    <phoneticPr fontId="100" type="noConversion"/>
  </si>
  <si>
    <t>변동비</t>
    <phoneticPr fontId="100" type="noConversion"/>
  </si>
  <si>
    <t>운반비</t>
    <phoneticPr fontId="1" type="noConversion"/>
  </si>
  <si>
    <t>매출액</t>
    <phoneticPr fontId="1" type="noConversion"/>
  </si>
  <si>
    <t>지급수수료</t>
    <phoneticPr fontId="1" type="noConversion"/>
  </si>
  <si>
    <t>광고선전비</t>
    <phoneticPr fontId="1" type="noConversion"/>
  </si>
  <si>
    <t>판매수수료</t>
    <phoneticPr fontId="1" type="noConversion"/>
  </si>
  <si>
    <t>해외시장개척비</t>
    <phoneticPr fontId="1" type="noConversion"/>
  </si>
  <si>
    <t>여비교통비</t>
    <phoneticPr fontId="1" type="noConversion"/>
  </si>
  <si>
    <t>통신비</t>
    <phoneticPr fontId="1" type="noConversion"/>
  </si>
  <si>
    <t>임원급여</t>
    <phoneticPr fontId="1" type="noConversion"/>
  </si>
  <si>
    <t>급여</t>
    <phoneticPr fontId="1" type="noConversion"/>
  </si>
  <si>
    <t>평균임원수</t>
    <phoneticPr fontId="1" type="noConversion"/>
  </si>
  <si>
    <t>임원당급여</t>
    <phoneticPr fontId="1" type="noConversion"/>
  </si>
  <si>
    <t>직원급여</t>
    <phoneticPr fontId="1" type="noConversion"/>
  </si>
  <si>
    <t>평균직원수</t>
    <phoneticPr fontId="1" type="noConversion"/>
  </si>
  <si>
    <t>직원당급여</t>
    <phoneticPr fontId="1" type="noConversion"/>
  </si>
  <si>
    <t>상여금</t>
    <phoneticPr fontId="1" type="noConversion"/>
  </si>
  <si>
    <t>잡급</t>
    <phoneticPr fontId="1" type="noConversion"/>
  </si>
  <si>
    <t>퇴직급여</t>
    <phoneticPr fontId="1" type="noConversion"/>
  </si>
  <si>
    <t>복리후생비</t>
    <phoneticPr fontId="1" type="noConversion"/>
  </si>
  <si>
    <t>접대비</t>
    <phoneticPr fontId="1" type="noConversion"/>
  </si>
  <si>
    <t>수도광열비</t>
    <phoneticPr fontId="1" type="noConversion"/>
  </si>
  <si>
    <t>전력비</t>
    <phoneticPr fontId="1" type="noConversion"/>
  </si>
  <si>
    <t>세금과공과금</t>
    <phoneticPr fontId="1" type="noConversion"/>
  </si>
  <si>
    <t>지급임차료</t>
    <phoneticPr fontId="1" type="noConversion"/>
  </si>
  <si>
    <t>수선비</t>
    <phoneticPr fontId="1" type="noConversion"/>
  </si>
  <si>
    <t>보험료</t>
    <phoneticPr fontId="1" type="noConversion"/>
  </si>
  <si>
    <t>차량유지비</t>
    <phoneticPr fontId="1" type="noConversion"/>
  </si>
  <si>
    <t>교육훈련비</t>
    <phoneticPr fontId="1" type="noConversion"/>
  </si>
  <si>
    <t>도서인쇄비</t>
    <phoneticPr fontId="1" type="noConversion"/>
  </si>
  <si>
    <t>사무용품비</t>
    <phoneticPr fontId="1" type="noConversion"/>
  </si>
  <si>
    <t>소모품비</t>
    <phoneticPr fontId="1" type="noConversion"/>
  </si>
  <si>
    <t>대손상각비</t>
    <phoneticPr fontId="1" type="noConversion"/>
  </si>
  <si>
    <t>수출제비용</t>
    <phoneticPr fontId="1" type="noConversion"/>
  </si>
  <si>
    <t>잡비</t>
    <phoneticPr fontId="1" type="noConversion"/>
  </si>
  <si>
    <t>용역비</t>
    <phoneticPr fontId="1" type="noConversion"/>
  </si>
  <si>
    <t>유형자산상각비</t>
    <phoneticPr fontId="1" type="noConversion"/>
  </si>
  <si>
    <t>무형자산상각비</t>
    <phoneticPr fontId="1" type="noConversion"/>
  </si>
  <si>
    <t>% of 총 무형자산상각비</t>
    <phoneticPr fontId="1" type="noConversion"/>
  </si>
  <si>
    <t>구분</t>
    <phoneticPr fontId="105" type="noConversion"/>
  </si>
  <si>
    <t>2014년</t>
    <phoneticPr fontId="105" type="noConversion"/>
  </si>
  <si>
    <t>판관비</t>
    <phoneticPr fontId="105" type="noConversion"/>
  </si>
  <si>
    <t>임원급여</t>
    <phoneticPr fontId="105" type="noConversion"/>
  </si>
  <si>
    <t>직원급여</t>
    <phoneticPr fontId="105" type="noConversion"/>
  </si>
  <si>
    <t>상여금</t>
    <phoneticPr fontId="105" type="noConversion"/>
  </si>
  <si>
    <t>판관비 소 계</t>
    <phoneticPr fontId="105" type="noConversion"/>
  </si>
  <si>
    <t>총급여</t>
    <phoneticPr fontId="105" type="noConversion"/>
  </si>
  <si>
    <t>구분</t>
    <phoneticPr fontId="105" type="noConversion"/>
  </si>
  <si>
    <t>판관비</t>
  </si>
  <si>
    <t>제조원가</t>
  </si>
  <si>
    <t>판관인원</t>
    <phoneticPr fontId="105" type="noConversion"/>
  </si>
  <si>
    <t>임원</t>
    <phoneticPr fontId="105" type="noConversion"/>
  </si>
  <si>
    <t>직원</t>
    <phoneticPr fontId="105" type="noConversion"/>
  </si>
  <si>
    <t>임원</t>
    <phoneticPr fontId="105" type="noConversion"/>
  </si>
  <si>
    <t>제조인원</t>
    <phoneticPr fontId="105" type="noConversion"/>
  </si>
  <si>
    <t>잡급</t>
    <phoneticPr fontId="105" type="noConversion"/>
  </si>
  <si>
    <t>퇴직급여</t>
    <phoneticPr fontId="105" type="noConversion"/>
  </si>
  <si>
    <t>복리후생비</t>
    <phoneticPr fontId="105" type="noConversion"/>
  </si>
  <si>
    <t>2015년</t>
    <phoneticPr fontId="105" type="noConversion"/>
  </si>
  <si>
    <t>2016년</t>
    <phoneticPr fontId="105" type="noConversion"/>
  </si>
  <si>
    <t>2017년 3Q</t>
    <phoneticPr fontId="105" type="noConversion"/>
  </si>
  <si>
    <t>매출원가</t>
    <phoneticPr fontId="105" type="noConversion"/>
  </si>
  <si>
    <t>매출원가 소계</t>
    <phoneticPr fontId="105" type="noConversion"/>
  </si>
  <si>
    <t>총 계정원장 상 인건비</t>
    <phoneticPr fontId="1" type="noConversion"/>
  </si>
  <si>
    <t>(단위: 백만원)</t>
    <phoneticPr fontId="1" type="noConversion"/>
  </si>
  <si>
    <t>(단위: 명)</t>
    <phoneticPr fontId="1" type="noConversion"/>
  </si>
  <si>
    <t xml:space="preserve">IS/제조원가명세서 상 인건비 </t>
    <phoneticPr fontId="1" type="noConversion"/>
  </si>
  <si>
    <t>2014년 급여총액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</si>
  <si>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</si>
  <si>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</si>
  <si>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</si>
  <si>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</si>
  <si>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</si>
  <si>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</si>
  <si>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</si>
  <si>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</si>
  <si>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</si>
  <si>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</si>
  <si>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</si>
  <si>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</si>
  <si>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계</t>
    <phoneticPr fontId="3" type="noConversion"/>
  </si>
  <si>
    <t>계정(제조)</t>
    <phoneticPr fontId="3" type="noConversion"/>
  </si>
  <si>
    <t>급여</t>
    <phoneticPr fontId="3" type="noConversion"/>
  </si>
  <si>
    <t>상여</t>
    <phoneticPr fontId="3" type="noConversion"/>
  </si>
  <si>
    <t>잡급</t>
    <phoneticPr fontId="3" type="noConversion"/>
  </si>
  <si>
    <t>계정(판관)</t>
    <phoneticPr fontId="3" type="noConversion"/>
  </si>
  <si>
    <t>임원급여</t>
    <phoneticPr fontId="3" type="noConversion"/>
  </si>
  <si>
    <t>급여</t>
    <phoneticPr fontId="3" type="noConversion"/>
  </si>
  <si>
    <t>잡금</t>
    <phoneticPr fontId="3" type="noConversion"/>
  </si>
  <si>
    <t>원천징수</t>
    <phoneticPr fontId="3" type="noConversion"/>
  </si>
  <si>
    <t>차액</t>
    <phoneticPr fontId="3" type="noConversion"/>
  </si>
  <si>
    <t>분석</t>
    <phoneticPr fontId="3" type="noConversion"/>
  </si>
  <si>
    <t>식대</t>
    <phoneticPr fontId="3" type="noConversion"/>
  </si>
  <si>
    <t>일숙직비</t>
    <phoneticPr fontId="3" type="noConversion"/>
  </si>
  <si>
    <t>총 급여액_원천 개정별 (2014)</t>
    <phoneticPr fontId="1" type="noConversion"/>
  </si>
  <si>
    <t>총 급여액_원천 개정별 (2015)</t>
    <phoneticPr fontId="1" type="noConversion"/>
  </si>
  <si>
    <t>2015년 급여총액</t>
    <phoneticPr fontId="3" type="noConversion"/>
  </si>
  <si>
    <t>1월</t>
    <phoneticPr fontId="3" type="noConversion"/>
  </si>
  <si>
    <t>2월</t>
    <phoneticPr fontId="3" type="noConversion"/>
  </si>
  <si>
    <t>계정(제조)</t>
    <phoneticPr fontId="3" type="noConversion"/>
  </si>
  <si>
    <t>급여</t>
    <phoneticPr fontId="3" type="noConversion"/>
  </si>
  <si>
    <t>상여</t>
    <phoneticPr fontId="3" type="noConversion"/>
  </si>
  <si>
    <t>잡급</t>
    <phoneticPr fontId="3" type="noConversion"/>
  </si>
  <si>
    <t>계정(판관)</t>
    <phoneticPr fontId="3" type="noConversion"/>
  </si>
  <si>
    <t>임원급여</t>
    <phoneticPr fontId="3" type="noConversion"/>
  </si>
  <si>
    <t>잡금</t>
    <phoneticPr fontId="3" type="noConversion"/>
  </si>
  <si>
    <t>원천징수</t>
    <phoneticPr fontId="3" type="noConversion"/>
  </si>
  <si>
    <t>차액</t>
    <phoneticPr fontId="3" type="noConversion"/>
  </si>
  <si>
    <t>분석</t>
    <phoneticPr fontId="3" type="noConversion"/>
  </si>
  <si>
    <t>식대</t>
    <phoneticPr fontId="3" type="noConversion"/>
  </si>
  <si>
    <t>일숙직비</t>
    <phoneticPr fontId="3" type="noConversion"/>
  </si>
  <si>
    <t>총 급여액_원천 개정별 (2016)</t>
    <phoneticPr fontId="1" type="noConversion"/>
  </si>
  <si>
    <t>2016년 급여총액</t>
    <phoneticPr fontId="3" type="noConversion"/>
  </si>
  <si>
    <t>부서별 인력현황</t>
    <phoneticPr fontId="1" type="noConversion"/>
  </si>
  <si>
    <t>C/S기술지원부</t>
    <phoneticPr fontId="105" type="noConversion"/>
  </si>
  <si>
    <t>C/S사업부</t>
    <phoneticPr fontId="105" type="noConversion"/>
  </si>
  <si>
    <t>가공팀</t>
    <phoneticPr fontId="105" type="noConversion"/>
  </si>
  <si>
    <t>경영지원부</t>
    <phoneticPr fontId="105" type="noConversion"/>
  </si>
  <si>
    <t>국내영업부</t>
    <phoneticPr fontId="105" type="noConversion"/>
  </si>
  <si>
    <r>
      <t>기술연구소</t>
    </r>
    <r>
      <rPr>
        <sz val="10"/>
        <rFont val="Arial"/>
        <family val="2"/>
      </rPr>
      <t/>
    </r>
    <phoneticPr fontId="105" type="noConversion"/>
  </si>
  <si>
    <t>도장팀</t>
    <phoneticPr fontId="105" type="noConversion"/>
  </si>
  <si>
    <t>레이져/절곡팀</t>
    <phoneticPr fontId="105" type="noConversion"/>
  </si>
  <si>
    <t>부품조립팀</t>
    <phoneticPr fontId="105" type="noConversion"/>
  </si>
  <si>
    <t>생산관리부</t>
    <phoneticPr fontId="105" type="noConversion"/>
  </si>
  <si>
    <t>영업지원부</t>
    <phoneticPr fontId="105" type="noConversion"/>
  </si>
  <si>
    <t>완성조립1팀</t>
    <phoneticPr fontId="105" type="noConversion"/>
  </si>
  <si>
    <t>완성조립2팀</t>
    <phoneticPr fontId="105" type="noConversion"/>
  </si>
  <si>
    <t>자재관리부</t>
    <phoneticPr fontId="105" type="noConversion"/>
  </si>
  <si>
    <t>장착팀</t>
    <phoneticPr fontId="105" type="noConversion"/>
  </si>
  <si>
    <t>전기팀</t>
    <phoneticPr fontId="105" type="noConversion"/>
  </si>
  <si>
    <t>제관팀</t>
    <phoneticPr fontId="105" type="noConversion"/>
  </si>
  <si>
    <t>출하검사팀</t>
    <phoneticPr fontId="105" type="noConversion"/>
  </si>
  <si>
    <t>특수영업팀</t>
    <phoneticPr fontId="105" type="noConversion"/>
  </si>
  <si>
    <t>품질관리부</t>
    <phoneticPr fontId="105" type="noConversion"/>
  </si>
  <si>
    <t>항공사업부</t>
    <phoneticPr fontId="105" type="noConversion"/>
  </si>
  <si>
    <t>해외영업부</t>
    <phoneticPr fontId="105" type="noConversion"/>
  </si>
  <si>
    <t>총계</t>
    <phoneticPr fontId="1" type="noConversion"/>
  </si>
  <si>
    <t>판관비</t>
    <phoneticPr fontId="1" type="noConversion"/>
  </si>
  <si>
    <t>판관/제조인력 구분</t>
    <phoneticPr fontId="1" type="noConversion"/>
  </si>
  <si>
    <t>총직원</t>
    <phoneticPr fontId="105" type="noConversion"/>
  </si>
  <si>
    <t>% of 급여</t>
    <phoneticPr fontId="1" type="noConversion"/>
  </si>
  <si>
    <t>THE ECONOMIST INTELLIGENCE UNIT (Updated as of Dec.10th)</t>
    <phoneticPr fontId="1" type="noConversion"/>
  </si>
  <si>
    <t>GDP (% real change pa)</t>
  </si>
  <si>
    <t>Private consumption (% real change pa)</t>
  </si>
  <si>
    <t>Gross fixed investment (% real change pa)</t>
  </si>
  <si>
    <t>Nominal GDP (US$ at PPP)</t>
  </si>
  <si>
    <t>Nominal GDP (US$)</t>
  </si>
  <si>
    <t>Exchange rate LCU:US$ (av)</t>
  </si>
  <si>
    <t>Budget balance (% of GDP)</t>
  </si>
  <si>
    <t>Money market interest rate (%) - [YQM]</t>
  </si>
  <si>
    <t>Consumer prices (% change pa; av)</t>
  </si>
  <si>
    <t>Average nominal wages (% change pa)</t>
  </si>
  <si>
    <t>Average real wages (% change pa)</t>
  </si>
  <si>
    <t>Population</t>
  </si>
  <si>
    <t>Population (% change pa)</t>
  </si>
  <si>
    <t>Recorded unemployment (%)</t>
  </si>
  <si>
    <t>GDP per head</t>
  </si>
  <si>
    <t>GDP per head ($ at PPP)</t>
  </si>
  <si>
    <t>Real GDP growth per head (% pa)</t>
  </si>
  <si>
    <t>Personal disposable income</t>
  </si>
  <si>
    <t>Current account balance/GDP</t>
  </si>
  <si>
    <t>Total exports fob</t>
  </si>
  <si>
    <t>Total imports cif - [Y]</t>
  </si>
  <si>
    <t>Export volume of goods (% change pa)</t>
  </si>
  <si>
    <t>Import volume of goods (% change pa)</t>
  </si>
  <si>
    <t xml:space="preserve">% of population aged 0 -14 </t>
  </si>
  <si>
    <t>% of population aged 15-64</t>
  </si>
  <si>
    <t>% of population aged 65 and over</t>
  </si>
  <si>
    <t>Personal disposable income (per head)</t>
  </si>
  <si>
    <t>Passenger cars (stock per 1,000 pop)</t>
  </si>
  <si>
    <t>Passenger car registrations (units)</t>
  </si>
  <si>
    <t>Passenger car production (units)</t>
  </si>
  <si>
    <t>Light commercial vehicle registrations (units)</t>
  </si>
  <si>
    <t>Light commercial vehicle production (units)</t>
  </si>
  <si>
    <t>Medium and heavy vehicle registrations (units)</t>
  </si>
  <si>
    <t>Medium and heavy vehicle production (units)</t>
  </si>
  <si>
    <t>Commercial vehicle registrations (units)</t>
  </si>
  <si>
    <t>Commercial vehicle production (units)</t>
  </si>
  <si>
    <t>Petrol consumption (tonnes)</t>
  </si>
  <si>
    <t>Employment growth (% pa)</t>
  </si>
  <si>
    <t>–</t>
  </si>
  <si>
    <t>Producer prices (% change pa; av) - [YQM]</t>
  </si>
  <si>
    <t>2022F</t>
    <phoneticPr fontId="1" type="noConversion"/>
  </si>
  <si>
    <t>활선차</t>
    <phoneticPr fontId="1" type="noConversion"/>
  </si>
  <si>
    <t>크레인</t>
    <phoneticPr fontId="1" type="noConversion"/>
  </si>
  <si>
    <t>Manufacturing Cost</t>
    <phoneticPr fontId="1" type="noConversion"/>
  </si>
  <si>
    <t>Ⅰ.원     재    료    비</t>
  </si>
  <si>
    <t xml:space="preserve">   기 초 원 재 료 재고액</t>
  </si>
  <si>
    <t xml:space="preserve">   당 기 원 재 료 매입액</t>
  </si>
  <si>
    <t xml:space="preserve">   기 말 원 재 료 재고액</t>
  </si>
  <si>
    <t>Ⅱ.노        무       비</t>
  </si>
  <si>
    <t xml:space="preserve">   급                 여</t>
  </si>
  <si>
    <t xml:space="preserve">   상        여       금</t>
  </si>
  <si>
    <t xml:space="preserve">   잡                 급</t>
  </si>
  <si>
    <t xml:space="preserve">   퇴     직    급    여</t>
  </si>
  <si>
    <t>Ⅲ.경                 비</t>
  </si>
  <si>
    <t xml:space="preserve">   복   리   후   생  비</t>
  </si>
  <si>
    <t xml:space="preserve">   여   비   교   통  비</t>
  </si>
  <si>
    <t xml:space="preserve">   전        력       비</t>
  </si>
  <si>
    <t xml:space="preserve">   세  금  과  공  과 금</t>
  </si>
  <si>
    <t xml:space="preserve">   감   가   상   각  비</t>
  </si>
  <si>
    <t xml:space="preserve">   지   급   임   차  료</t>
  </si>
  <si>
    <t xml:space="preserve">   수        선       비</t>
  </si>
  <si>
    <t xml:space="preserve">   보        험       료</t>
  </si>
  <si>
    <t xml:space="preserve">   차   량   유   지  비</t>
  </si>
  <si>
    <t xml:space="preserve">   경  상 연 구 개 발 비</t>
  </si>
  <si>
    <t xml:space="preserve">   운        반       비</t>
  </si>
  <si>
    <t xml:space="preserve">   교   육   훈   련  비</t>
  </si>
  <si>
    <t xml:space="preserve">   도   서   인   쇄  비</t>
  </si>
  <si>
    <t xml:space="preserve">   포        장       비</t>
  </si>
  <si>
    <t xml:space="preserve">   사   무   용   품  비</t>
  </si>
  <si>
    <t xml:space="preserve">   소     모    품    비</t>
  </si>
  <si>
    <t xml:space="preserve">   지   급   수   수  료</t>
  </si>
  <si>
    <t xml:space="preserve">   외        주       비</t>
  </si>
  <si>
    <t xml:space="preserve">   잡                 비</t>
  </si>
  <si>
    <t xml:space="preserve">   소   모   공   구  비</t>
  </si>
  <si>
    <t xml:space="preserve">   용        역       비</t>
  </si>
  <si>
    <t xml:space="preserve">   수   도   광   열  비</t>
  </si>
  <si>
    <t>Ⅳ.당  기 총 제 조 비 용</t>
  </si>
  <si>
    <t>Ⅴ.기 초 재 공 품 재고액</t>
  </si>
  <si>
    <t>Ⅵ.합                 계</t>
  </si>
  <si>
    <t>Ⅶ.기 말 재 공 품 재고액</t>
  </si>
  <si>
    <t>Ⅷ.타 계 정 으 로 대체액</t>
  </si>
  <si>
    <t>평균비율' Option</t>
    <phoneticPr fontId="1" type="noConversion"/>
  </si>
  <si>
    <t>2014~2017E (과거 4개년) 평균</t>
    <phoneticPr fontId="1" type="noConversion"/>
  </si>
  <si>
    <t>2015~2017E (과거 3개년) 평균</t>
    <phoneticPr fontId="1" type="noConversion"/>
  </si>
  <si>
    <t>2016~2017E (과거 2개년) 평균</t>
    <phoneticPr fontId="1" type="noConversion"/>
  </si>
  <si>
    <t xml:space="preserve"> : '평균 회전율' Option</t>
    <phoneticPr fontId="1" type="noConversion"/>
  </si>
  <si>
    <t xml:space="preserve">Q) 인력 구분에 대한 확인 </t>
    <phoneticPr fontId="1" type="noConversion"/>
  </si>
  <si>
    <t>1. 유사회사 선정</t>
    <phoneticPr fontId="1" type="noConversion"/>
  </si>
  <si>
    <t>(1) 모집단 선정</t>
    <phoneticPr fontId="1" type="noConversion"/>
  </si>
  <si>
    <r>
      <rPr>
        <sz val="8"/>
        <color theme="1"/>
        <rFont val="맑은 고딕"/>
        <family val="3"/>
        <charset val="129"/>
      </rPr>
      <t>①</t>
    </r>
    <r>
      <rPr>
        <sz val="8"/>
        <color theme="1"/>
        <rFont val="맑은 고딕"/>
        <family val="2"/>
        <charset val="129"/>
        <scheme val="minor"/>
      </rPr>
      <t xml:space="preserve"> 한국거래소 KIND 시스템에 주요 제품을 '건설기계, 건설중장비'로 등록하고 제조업으로 분류된 상장회사 (2017년 11월 30일 기준)</t>
    </r>
    <phoneticPr fontId="1" type="noConversion"/>
  </si>
  <si>
    <t>- 일반 목적용 기계 제조업 / 기타금융업 / 특수 목적용 기계 제조업 / 금속 주조업 / 자동차용 엔진 및 자동차 제조업 / 자동차 신품 부품 제조업 / 기계장비 및 관련 물품 도매업</t>
    <phoneticPr fontId="25" type="noConversion"/>
  </si>
  <si>
    <t>Ticker</t>
    <phoneticPr fontId="1" type="noConversion"/>
  </si>
  <si>
    <t>Name</t>
  </si>
  <si>
    <t>업종</t>
    <phoneticPr fontId="1" type="noConversion"/>
  </si>
  <si>
    <t>주요제품</t>
    <phoneticPr fontId="25" type="noConversion"/>
  </si>
  <si>
    <t>대표자명</t>
    <phoneticPr fontId="25" type="noConversion"/>
  </si>
  <si>
    <t>상장일</t>
    <phoneticPr fontId="25" type="noConversion"/>
  </si>
  <si>
    <t>홈페이지</t>
    <phoneticPr fontId="25" type="noConversion"/>
  </si>
  <si>
    <t>지역</t>
    <phoneticPr fontId="25" type="noConversion"/>
  </si>
  <si>
    <t>비고</t>
    <phoneticPr fontId="25" type="noConversion"/>
  </si>
  <si>
    <t>267270</t>
  </si>
  <si>
    <t>현대건설기계</t>
  </si>
  <si>
    <t>일반 목적용 기계 제조업</t>
  </si>
  <si>
    <t>굴삭기, 지게차, 휠로더 등</t>
  </si>
  <si>
    <t>공기영</t>
  </si>
  <si>
    <t>http://www.hyundai-ce.com</t>
  </si>
  <si>
    <t>서울특별시</t>
  </si>
  <si>
    <t>동양기전의 분할로 건설장비부품 사업부가 분사하여 상장함. 유압실린더 단일사업부이며 가야바(일), 헝리(중)와 더불어 세계 3대 업체임. 국내외 대부분의 메이저 건설장비 업체에 납품됨 </t>
    <phoneticPr fontId="25" type="noConversion"/>
  </si>
  <si>
    <t>241560</t>
  </si>
  <si>
    <t>두산밥캣</t>
  </si>
  <si>
    <t>기타 금융업</t>
  </si>
  <si>
    <t>Compact Equipment, Heavy Equipment, Portable Power</t>
  </si>
  <si>
    <t>스캇성철박,김종선</t>
  </si>
  <si>
    <t>http://www.doosanbobcat.com</t>
  </si>
  <si>
    <t>210540</t>
  </si>
  <si>
    <t>디와이파워</t>
  </si>
  <si>
    <t>특수 목적용 기계 제조업</t>
  </si>
  <si>
    <t>유공압기기 등</t>
  </si>
  <si>
    <t>김지현</t>
  </si>
  <si>
    <t>http://power.dy.co.kr</t>
  </si>
  <si>
    <t>경상남도</t>
  </si>
  <si>
    <t>109860</t>
  </si>
  <si>
    <t>동일금속</t>
  </si>
  <si>
    <t>금속 주조업</t>
  </si>
  <si>
    <t>크롤러크레인용 트랙슈 어셈블리, 굴삭기용 아이들러 트랙슈 스프링 등</t>
  </si>
  <si>
    <t>오길봉</t>
  </si>
  <si>
    <t>http://www.dongilmetal.co.kr</t>
  </si>
  <si>
    <t>경상북도</t>
  </si>
  <si>
    <t>크롤러크레인의 슈(Shoe), 가공품과 굴삭기용 아이들러(Idler) 등을 생산함. 크롤러크레인 부품은 주로 일본과 중국으로 수출되고 굴삭기 부품도 주로 초대형 위주의 제품에 납품 중임</t>
    <phoneticPr fontId="25" type="noConversion"/>
  </si>
  <si>
    <t>010240</t>
  </si>
  <si>
    <t>흥국</t>
  </si>
  <si>
    <t>굴삭기 Roller 및 형단조품</t>
  </si>
  <si>
    <t>류명준</t>
  </si>
  <si>
    <t>http://www.heungkuk.co.kr</t>
  </si>
  <si>
    <t>충청남도</t>
  </si>
  <si>
    <t>크롤러 건설장비 하부체의 롤러(Roller), 아이들러(Idler) 등의 단조품을 생산한다. 현대중공업, 볼보코리아, 두산인프라코어 등 국내업체들에 주로 납품된다. </t>
    <phoneticPr fontId="25" type="noConversion"/>
  </si>
  <si>
    <t>101170</t>
  </si>
  <si>
    <t>우림기계</t>
  </si>
  <si>
    <t>트랜스미션,감속기,기어전동축 제조</t>
  </si>
  <si>
    <t>한규석</t>
  </si>
  <si>
    <t>http://www.woorimgear.co.kr</t>
  </si>
  <si>
    <t>산업용, 굴삭기용 감속기와 기어박스를 만들며 감속기는 두산모트롤, 현대중공업, Nabtesco(일) 등에 납품</t>
    <phoneticPr fontId="25" type="noConversion"/>
  </si>
  <si>
    <t>041440</t>
  </si>
  <si>
    <t>에버다임</t>
  </si>
  <si>
    <t>콘크리트펌프트럭, 중장비개량사업</t>
  </si>
  <si>
    <t>전병찬</t>
  </si>
  <si>
    <t>http://www.everdigm.com</t>
  </si>
  <si>
    <t>충청북도</t>
  </si>
  <si>
    <t>현대백화점 그룹 계열의 니치마켓 건설장비 제조회사로 굴삭기 관련 부품은 유압 브레이커를 포함한 어태치먼트를 생산. 과거 시장이 좋을 때는 어태치먼트 비중이 높았으나 지금은 콘크리트펌프카, 소방차 등에 비해 비중이 낮은 편임 </t>
    <phoneticPr fontId="25" type="noConversion"/>
  </si>
  <si>
    <t>042670</t>
  </si>
  <si>
    <t>두산인프라코어</t>
  </si>
  <si>
    <t>굴삭기,엔진 제조,도소매</t>
  </si>
  <si>
    <t>손동연</t>
  </si>
  <si>
    <t>http://www.doosaninfracore.com</t>
  </si>
  <si>
    <t>인천광역시</t>
  </si>
  <si>
    <t>036890</t>
  </si>
  <si>
    <t>진성티이씨</t>
  </si>
  <si>
    <t>트랙롤라. 플로팅 씰</t>
  </si>
  <si>
    <t>윤우석,윤성수(공동대표이사)</t>
  </si>
  <si>
    <t>http://www.jinsungtec.com</t>
  </si>
  <si>
    <t>경기도</t>
  </si>
  <si>
    <t>크롤러 건설장비 하부체의 롤러(Roller), 아이들러(Idler) 등을 생산함. 캐터필러(미)와의 장기공급계약 이후 미국 현지 공장의 지었으며, 매출의 많은 부분이 캐터필러 향임</t>
    <phoneticPr fontId="25" type="noConversion"/>
  </si>
  <si>
    <t>014200</t>
  </si>
  <si>
    <t>광림</t>
  </si>
  <si>
    <t>자동차용 엔진 및 자동차 제조업</t>
  </si>
  <si>
    <t>전기공사용, 운송용, 환경용 특수차량 및 건설용 장비인 유압크레인을 생산·판매하는 제조업체</t>
  </si>
  <si>
    <t>이인우</t>
  </si>
  <si>
    <t>http://www.kanglim.com</t>
  </si>
  <si>
    <t>017550</t>
  </si>
  <si>
    <t>수산중공업</t>
  </si>
  <si>
    <t>유압브레이커,트럭크레인,플라즈마 파암장비,특장차,산업기계,건설기계 제조,도매</t>
  </si>
  <si>
    <t>정석현, 김병현 (각자대표이사)</t>
  </si>
  <si>
    <t>http://www.soosan.co.kr</t>
  </si>
  <si>
    <t>에버다임과 함께 대표적인 어태치먼트 제작업체이며 유압 브레이커, 유압 드릴 외에 트럭크레인 등을 생산</t>
    <phoneticPr fontId="25" type="noConversion"/>
  </si>
  <si>
    <t>015230</t>
  </si>
  <si>
    <t>대창단조</t>
  </si>
  <si>
    <t>자동차 신품 부품 제조업</t>
  </si>
  <si>
    <t>자동차,중장비 부품(크랭크샤프트,트랙링크조립체,커넥팅로드,중장비롤러류),기어,동력전달장치,단조가공품,단조품 제조</t>
  </si>
  <si>
    <t>박권일</t>
  </si>
  <si>
    <t>http://www.dcf.co.kr</t>
  </si>
  <si>
    <t>건설장비 하부체의 링크(Link), 슈(Shoe), 롤러(Roller), 아이들러(Idler) 등의 단조품이 주력임. 볼보코리아, 현대중공업 매출비중이 10% 이상이고 너머지 매출은 흩어져 있음</t>
    <phoneticPr fontId="25" type="noConversion"/>
  </si>
  <si>
    <t>013570</t>
  </si>
  <si>
    <t>디와이</t>
  </si>
  <si>
    <t>자동차부품,유공압기기,소각로,자동세차기,하훼유통,발효기,모터 제조</t>
  </si>
  <si>
    <t>조병호, 김용진 (각기 대표이사)</t>
  </si>
  <si>
    <t>http://www.dy.co.kr</t>
  </si>
  <si>
    <t>003010</t>
  </si>
  <si>
    <t>혜인</t>
  </si>
  <si>
    <t>기계장비 및 관련 물품 도매업</t>
  </si>
  <si>
    <t>건설기계,산업용 기계장비(진공흡인차,세정차),스테거크레인,비상용발전기,해상용엔진 도소매/창고</t>
  </si>
  <si>
    <t>원경희</t>
  </si>
  <si>
    <t>http://www.haein.com</t>
  </si>
  <si>
    <t>기준에 따라 위의 14개 기업을 모집단으로 선정</t>
    <phoneticPr fontId="1" type="noConversion"/>
  </si>
  <si>
    <t>(2) 유사회사 선정 기준</t>
    <phoneticPr fontId="1" type="noConversion"/>
  </si>
  <si>
    <t>기준 I</t>
    <phoneticPr fontId="1" type="noConversion"/>
  </si>
  <si>
    <t>산업 유사성: 특수장비차, 크레인, 유공압기계설비 등 건설기계 완제품 생산판매에 대한 매출 비중이 50% 미만인 기업 제외 (산업장비용 부품 등의 부속품 생산업체 제외)</t>
    <phoneticPr fontId="1" type="noConversion"/>
  </si>
  <si>
    <t>&gt;&gt; 4개 제외</t>
    <phoneticPr fontId="1" type="noConversion"/>
  </si>
  <si>
    <t>기준 II</t>
    <phoneticPr fontId="1" type="noConversion"/>
  </si>
  <si>
    <t>제품 유사성: 대상회사가 영위하는 고소작업차, 유압크레인 등의 특수장비차 및 크레인생산을 주요 사업 목적으로 생산하지 않는 업체 제외</t>
    <phoneticPr fontId="1" type="noConversion"/>
  </si>
  <si>
    <t>&gt;&gt; 7개 제외</t>
    <phoneticPr fontId="1" type="noConversion"/>
  </si>
  <si>
    <t>기준 III</t>
    <phoneticPr fontId="1" type="noConversion"/>
  </si>
  <si>
    <t>자료 접근성: 평가기준일로부터 2년 이내에 상장되거나 코넥스에 상장된 기업 제외(Source: KRX KIND 시스템)</t>
    <phoneticPr fontId="1" type="noConversion"/>
  </si>
  <si>
    <t>&gt;&gt; 2개 제외</t>
    <phoneticPr fontId="1" type="noConversion"/>
  </si>
  <si>
    <t>기준 IV</t>
    <phoneticPr fontId="1" type="noConversion"/>
  </si>
  <si>
    <t xml:space="preserve">&gt;&gt; Outlier 제외 : Bloomberg에서 조회되는 EV/EBITDA Multiple 상 Outlier로 판단되는 업체 제외 (2017년 9월 30일 기준) </t>
    <phoneticPr fontId="1" type="noConversion"/>
  </si>
  <si>
    <t>&gt;&gt; 3개 제외</t>
    <phoneticPr fontId="1" type="noConversion"/>
  </si>
  <si>
    <t>5개</t>
    <phoneticPr fontId="25" type="noConversion"/>
  </si>
  <si>
    <t>: 유사기업으로 선정</t>
    <phoneticPr fontId="1" type="noConversion"/>
  </si>
  <si>
    <t>11개</t>
    <phoneticPr fontId="25" type="noConversion"/>
  </si>
  <si>
    <t>: 유사기업에서 제외</t>
    <phoneticPr fontId="1" type="noConversion"/>
  </si>
  <si>
    <t>기준 I</t>
  </si>
  <si>
    <t>기준 II</t>
  </si>
  <si>
    <t>기준 III</t>
  </si>
  <si>
    <t>기준 IV</t>
    <phoneticPr fontId="25" type="noConversion"/>
  </si>
  <si>
    <t>Ticker</t>
    <phoneticPr fontId="1" type="noConversion"/>
  </si>
  <si>
    <t>Name</t>
    <phoneticPr fontId="1" type="noConversion"/>
  </si>
  <si>
    <t>중장비 완제품 매출 비중</t>
    <phoneticPr fontId="1" type="noConversion"/>
  </si>
  <si>
    <t>생산 제품 유사 여부</t>
    <phoneticPr fontId="1" type="noConversion"/>
  </si>
  <si>
    <t>2년 내 상장 여부</t>
    <phoneticPr fontId="1" type="noConversion"/>
  </si>
  <si>
    <t>Outler 여부</t>
    <phoneticPr fontId="1" type="noConversion"/>
  </si>
  <si>
    <t>충족 (70%)</t>
    <phoneticPr fontId="25" type="noConversion"/>
  </si>
  <si>
    <r>
      <t>미충족 (굴삭기</t>
    </r>
    <r>
      <rPr>
        <sz val="8"/>
        <color rgb="FF000000"/>
        <rFont val="맑은 고딕"/>
        <family val="3"/>
        <charset val="129"/>
      </rPr>
      <t>∙휠로더∙지게차 등)</t>
    </r>
    <phoneticPr fontId="25" type="noConversion"/>
  </si>
  <si>
    <t>미충족</t>
    <phoneticPr fontId="25" type="noConversion"/>
  </si>
  <si>
    <t>충족 (92%)</t>
    <phoneticPr fontId="25" type="noConversion"/>
  </si>
  <si>
    <t>미충족(Roller∙어태치먼트 등)</t>
    <phoneticPr fontId="25" type="noConversion"/>
  </si>
  <si>
    <t>충족 (97%)</t>
    <phoneticPr fontId="25" type="noConversion"/>
  </si>
  <si>
    <t>충족 (고소작업차, 굴삭기, 지게차 등)</t>
    <phoneticPr fontId="25" type="noConversion"/>
  </si>
  <si>
    <t>충족</t>
    <phoneticPr fontId="25" type="noConversion"/>
  </si>
  <si>
    <t>충족 (100%)</t>
    <phoneticPr fontId="25" type="noConversion"/>
  </si>
  <si>
    <t>충족 (크레인, 굴삭기, BOOM 등)</t>
    <phoneticPr fontId="25" type="noConversion"/>
  </si>
  <si>
    <t>미충족</t>
    <phoneticPr fontId="25" type="noConversion"/>
  </si>
  <si>
    <t>미충족 (롤러, Idler, Sprocket 등 건설 및 산업기계 부품)</t>
    <phoneticPr fontId="25" type="noConversion"/>
  </si>
  <si>
    <t>미충족 (산업기계 감속기 부품)</t>
    <phoneticPr fontId="25" type="noConversion"/>
  </si>
  <si>
    <t>충족 (80%)</t>
    <phoneticPr fontId="25" type="noConversion"/>
  </si>
  <si>
    <t>충족 (유압 브레이커, 타워크레인, 소방차 등)</t>
    <phoneticPr fontId="25" type="noConversion"/>
  </si>
  <si>
    <t xml:space="preserve">미충족 (굴삭기, 로더, 덤프트럭, 어태치먼트 등) </t>
    <phoneticPr fontId="25" type="noConversion"/>
  </si>
  <si>
    <t>미충족 (Roller 부품)</t>
    <phoneticPr fontId="25" type="noConversion"/>
  </si>
  <si>
    <t>충족 (70%)</t>
    <phoneticPr fontId="25" type="noConversion"/>
  </si>
  <si>
    <t>충족 (고소작업차, 크레인)</t>
    <phoneticPr fontId="25" type="noConversion"/>
  </si>
  <si>
    <t>충족 (유압브레이커, 드릴, 크레인 등)</t>
    <phoneticPr fontId="25" type="noConversion"/>
  </si>
  <si>
    <t>미충족 (Roller, Idler, Crank Shaft 등 부품)</t>
    <phoneticPr fontId="25" type="noConversion"/>
  </si>
  <si>
    <t>충족 (78%)</t>
    <phoneticPr fontId="25" type="noConversion"/>
  </si>
  <si>
    <t>충족 (크레인 등 건설특수차량, 골프카, 유지보수 등)</t>
    <phoneticPr fontId="25" type="noConversion"/>
  </si>
  <si>
    <t>충족 (98%)</t>
    <phoneticPr fontId="25" type="noConversion"/>
  </si>
  <si>
    <t>충족 (굴삭기, 휠로더, 지게차, 임목업, 농업장비 등)</t>
    <phoneticPr fontId="25" type="noConversion"/>
  </si>
  <si>
    <t>모집단 14개 중 7개 기업 제외하여, 7개 기업을 유사기업으로 선정함.</t>
    <phoneticPr fontId="1" type="noConversion"/>
  </si>
  <si>
    <t>(단위: 백만원)</t>
    <phoneticPr fontId="25" type="noConversion"/>
  </si>
  <si>
    <t>NOA</t>
    <phoneticPr fontId="25" type="noConversion"/>
  </si>
  <si>
    <t>IBD</t>
    <phoneticPr fontId="25" type="noConversion"/>
  </si>
  <si>
    <t>Sales</t>
    <phoneticPr fontId="25" type="noConversion"/>
  </si>
  <si>
    <t>EBIT</t>
    <phoneticPr fontId="25" type="noConversion"/>
  </si>
  <si>
    <t>Dep</t>
    <phoneticPr fontId="25" type="noConversion"/>
  </si>
  <si>
    <t>EBITDA</t>
    <phoneticPr fontId="25" type="noConversion"/>
  </si>
  <si>
    <t>BV</t>
    <phoneticPr fontId="25" type="noConversion"/>
  </si>
  <si>
    <t>NI</t>
    <phoneticPr fontId="25" type="noConversion"/>
  </si>
  <si>
    <t>연결 재무상태표</t>
  </si>
  <si>
    <t>제 4 기 3분기말 2017.09.30 현재</t>
  </si>
  <si>
    <t>제 3 기말          2016.12.31 현재</t>
  </si>
  <si>
    <t>(단위 : 원)</t>
  </si>
  <si>
    <t>제 4 기 3분기말</t>
  </si>
  <si>
    <t>제 3 기말</t>
  </si>
  <si>
    <t>자산</t>
  </si>
  <si>
    <t>　Ⅰ.유동자산</t>
  </si>
  <si>
    <t>NOA</t>
    <phoneticPr fontId="25" type="noConversion"/>
  </si>
  <si>
    <t>　　(1)현금및현금성자산</t>
  </si>
  <si>
    <t>　　(2)기타유동금융자산</t>
  </si>
  <si>
    <t>　　(3)매출채권 및 기타유동채권</t>
  </si>
  <si>
    <t>　　(4)기타유동자산</t>
  </si>
  <si>
    <t>　　(5)당기법인세자산</t>
  </si>
  <si>
    <t>　　(6)재고자산</t>
  </si>
  <si>
    <t>　Ⅱ.비유동자산</t>
  </si>
  <si>
    <t>　　(1)기타비유동금융자산</t>
  </si>
  <si>
    <t>　　(2)장기매출채권 및 기타비유동채권</t>
  </si>
  <si>
    <t>　　(3)기타비유동자산</t>
  </si>
  <si>
    <t>　　(4)유형자산</t>
  </si>
  <si>
    <t>　　(5)영업권 이외의 무형자산</t>
  </si>
  <si>
    <t>　　(6)이연법인세자산</t>
  </si>
  <si>
    <t>　자산총계</t>
  </si>
  <si>
    <t>부채</t>
  </si>
  <si>
    <t>　Ⅰ.유동부채</t>
  </si>
  <si>
    <t>　　(1)매입채무 및 기타유동채무</t>
  </si>
  <si>
    <t>　　(2)단기차입금</t>
  </si>
  <si>
    <t>　　(3)기타유동금융부채</t>
  </si>
  <si>
    <t>　　(4)기타유동부채</t>
  </si>
  <si>
    <t>　　(5)당기법인세부채</t>
  </si>
  <si>
    <t>　Ⅱ.비유동부채</t>
  </si>
  <si>
    <t>　　(1)장기매입채무 및 기타비유동채무</t>
  </si>
  <si>
    <t>　　(2)장기차입금</t>
  </si>
  <si>
    <t>　　(3)기타비유동금융부채</t>
  </si>
  <si>
    <t>　　(4)비유동충당부채</t>
  </si>
  <si>
    <t>　　(5)퇴직급여부채</t>
  </si>
  <si>
    <t>　부채총계</t>
  </si>
  <si>
    <t>자본</t>
  </si>
  <si>
    <t>BV</t>
    <phoneticPr fontId="25" type="noConversion"/>
  </si>
  <si>
    <t>　Ⅰ.지배기업의 소유주에게 귀속되는 자본</t>
  </si>
  <si>
    <t>　　(1)자본금</t>
  </si>
  <si>
    <t>　　(2)자본잉여금</t>
  </si>
  <si>
    <t>　　(3)이익잉여금(결손금)</t>
  </si>
  <si>
    <t>　　(4)기타자본구성요소</t>
  </si>
  <si>
    <t>　Ⅱ.비지배지분</t>
  </si>
  <si>
    <t>　자본총계</t>
  </si>
  <si>
    <t>자본과부채총계</t>
  </si>
  <si>
    <t>연결 포괄손익계산서</t>
  </si>
  <si>
    <t>제 4 기 3분기 2017.01.01 부터 2017.09.30 까지</t>
  </si>
  <si>
    <t>제 3 기 2016.01.01 부터 2016.12.31 까지</t>
  </si>
  <si>
    <t>제 3 기 3분기 2016.01.01 부터 2016.09.30 까지</t>
  </si>
  <si>
    <t>제 2 기 2015.01.01 부터 2015.12.31 까지</t>
  </si>
  <si>
    <t>제 1 기 2014.01.01 부터 2014.12.31 까지</t>
  </si>
  <si>
    <t>제 4 기 3분기</t>
  </si>
  <si>
    <t>제 3 기 3분기</t>
  </si>
  <si>
    <t>3개월</t>
  </si>
  <si>
    <t>누적</t>
  </si>
  <si>
    <t>제 3 기</t>
  </si>
  <si>
    <t>제 2 기</t>
  </si>
  <si>
    <t>제 1 기</t>
  </si>
  <si>
    <t>Sales</t>
    <phoneticPr fontId="25" type="noConversion"/>
  </si>
  <si>
    <t>Ⅰ.수익(매출액)</t>
  </si>
  <si>
    <t>Ⅱ.매출원가</t>
  </si>
  <si>
    <t>Ⅲ.매출총이익</t>
  </si>
  <si>
    <t>Ⅳ.판매비와관리비</t>
  </si>
  <si>
    <t>Ⅳ.물류원가</t>
  </si>
  <si>
    <t>EBIT</t>
    <phoneticPr fontId="25" type="noConversion"/>
  </si>
  <si>
    <t>Ⅴ.영업이익(손실)</t>
  </si>
  <si>
    <t>Ⅴ.판매비와관리비</t>
  </si>
  <si>
    <t>Ⅵ.기타이익</t>
  </si>
  <si>
    <t>Ⅵ.영업이익(손실)</t>
  </si>
  <si>
    <t>Ⅶ.기타손실</t>
  </si>
  <si>
    <t>Ⅶ.기타이익</t>
  </si>
  <si>
    <t>Ⅷ.금융수익</t>
  </si>
  <si>
    <t>Ⅷ.기타손실</t>
  </si>
  <si>
    <t>Ⅸ.금융원가</t>
  </si>
  <si>
    <t>Ⅸ.금융수익</t>
  </si>
  <si>
    <t>Ⅹ.법인세비용차감전순이익(손실)</t>
  </si>
  <si>
    <t>Ⅹ.금융원가</t>
  </si>
  <si>
    <t>XI.법인세비용</t>
  </si>
  <si>
    <t>XI.법인세비용차감전순이익(손실)</t>
  </si>
  <si>
    <t>XⅡ.당기순이익(손실)</t>
  </si>
  <si>
    <t>XⅡ.법인세비용</t>
  </si>
  <si>
    <t>XⅢ.기타포괄손익</t>
  </si>
  <si>
    <t>XⅢ.당기순이익(손실)</t>
  </si>
  <si>
    <t>　(1)당기손익으로 재분류될 수 있는 항목(세후기타포괄손익)</t>
  </si>
  <si>
    <t>XIV.기타포괄손익</t>
  </si>
  <si>
    <t>　　1.해외사업장환산외환차이(세후기타포괄손익)</t>
  </si>
  <si>
    <t>　(1)당기손익으로 재분류되지 않는 세후기타포괄손익</t>
  </si>
  <si>
    <t>XIV.총포괄손익</t>
  </si>
  <si>
    <t>　　1.확정급여제도의 보험수리적손익의 세후기타포괄손익</t>
  </si>
  <si>
    <t>XV.당기순이익(손실)의 귀속</t>
  </si>
  <si>
    <t>　　2.당기손익으로 재분류되지 않는 세후기타포괄손익의 법인세</t>
  </si>
  <si>
    <t>　(1)지배기업의 소유주에게 귀속되는 당기순이익(손실)</t>
  </si>
  <si>
    <t>　(2)당기손익으로 재분류되는 세후기타포괄손익</t>
  </si>
  <si>
    <t>　(2)비지배지분에 귀속되는 당기순이익(손실)</t>
  </si>
  <si>
    <t>　　1.외화환산외환차이</t>
  </si>
  <si>
    <t>XVI.총 포괄손익의 귀속</t>
  </si>
  <si>
    <t>XV.총포괄손익</t>
  </si>
  <si>
    <t>　(1)총 포괄손익, 지배기업의 소유주에게 귀속되는 지분</t>
  </si>
  <si>
    <t>XVI.당기순이익(손실)의 귀속</t>
  </si>
  <si>
    <t>　(2)총 포괄손익, 비지배지분</t>
  </si>
  <si>
    <t>XVII.주당이익</t>
  </si>
  <si>
    <t>　(1)기본주당이익(손실)</t>
  </si>
  <si>
    <t>XVII.포괄손익의 귀속</t>
  </si>
  <si>
    <t>　(2)희석주당이익(손실)</t>
  </si>
  <si>
    <t>　(1)포괄손익, 지배기업의 소유주에게 귀속되는 지분</t>
  </si>
  <si>
    <t>　(2)포괄손익, 비지배지분</t>
  </si>
  <si>
    <t>XVIII.주당이익</t>
  </si>
  <si>
    <t>연결 현금흐름표</t>
  </si>
  <si>
    <t>Ⅰ.영업활동현금흐름</t>
  </si>
  <si>
    <t>　(1)당기순이익(손실)</t>
  </si>
  <si>
    <t>　(2)당기순이익조정을 위한 가감</t>
  </si>
  <si>
    <t>　　1.법인세비용</t>
  </si>
  <si>
    <t>　　2.이자수익</t>
  </si>
  <si>
    <t>　　3.이자비용</t>
  </si>
  <si>
    <t>　　4.대손상각비</t>
  </si>
  <si>
    <t>　　5.퇴직급여</t>
  </si>
  <si>
    <t>　　6.충당부채전입액</t>
  </si>
  <si>
    <t>　　7.외화환산손실</t>
  </si>
  <si>
    <t>　　6.충당부채</t>
  </si>
  <si>
    <t>　　8.외화환산이익</t>
  </si>
  <si>
    <t>　　9.감가상각비</t>
  </si>
  <si>
    <t>　　10.무형자산상각비</t>
  </si>
  <si>
    <t>　　11.유형자산처분손실</t>
  </si>
  <si>
    <t>　　12.무형자산처분손실</t>
  </si>
  <si>
    <t>　　13.유형자산처분이익</t>
  </si>
  <si>
    <t>　　14.파생금융자산평가손실</t>
  </si>
  <si>
    <t>　　13.파생상품평가손실</t>
  </si>
  <si>
    <t>　　15.파생금융자산평가이익</t>
  </si>
  <si>
    <t>　　14.유형자산처분이익</t>
  </si>
  <si>
    <t>　(3)영업활동으로인한자산ㆍ부채의변동</t>
  </si>
  <si>
    <t>　　15.파생상품평가이익</t>
  </si>
  <si>
    <t>　　1.매출채권의 감소(증가)</t>
  </si>
  <si>
    <t>　　16.매출채권의 감소(증가)</t>
  </si>
  <si>
    <t>　　2.매출채권 및 기타채권의 감소(증가)</t>
  </si>
  <si>
    <t>　　17.기타 영업활동 관련 채권의 감소(증가)</t>
  </si>
  <si>
    <t>　　3.기타유동자산의 감소(증가)</t>
  </si>
  <si>
    <t>　　18.기타자산의 감소(증가)</t>
  </si>
  <si>
    <t>　　4.재고자산의 감소(증가)</t>
  </si>
  <si>
    <t>　　19.재고자산의 감소(증가)</t>
  </si>
  <si>
    <t>　　5.파생상품자산의 감소(증가)</t>
  </si>
  <si>
    <t>　　20.파생상품자산의 감소(증가)</t>
  </si>
  <si>
    <t>　　6.매입채무의 증가(감소)</t>
  </si>
  <si>
    <t>　　21.매입채무의 증가(감소)</t>
  </si>
  <si>
    <t>　　7.매입채무 및 기타채무의 증가(감소)</t>
  </si>
  <si>
    <t>　　22.기타 영업활동 관련 채무의 증가(감소)</t>
  </si>
  <si>
    <t>　　8.기타유동부채의 증가(감소)</t>
  </si>
  <si>
    <t>　　23.기타부채의 증가(감소)</t>
  </si>
  <si>
    <t>　　9.파생상품부채의 증가(감소)</t>
  </si>
  <si>
    <t>　　24.파생상품부채의 증가(감소)</t>
  </si>
  <si>
    <t>　　10.퇴직급여채무의 증가(감소)</t>
  </si>
  <si>
    <t>　　25.충당부채의 증가(감소)</t>
  </si>
  <si>
    <t>　　11.충당부채의 증가(감소)</t>
  </si>
  <si>
    <t>　　26.퇴직금의 지급</t>
  </si>
  <si>
    <t>　　12.사외적립자산의공정가치의 감소(증가)</t>
  </si>
  <si>
    <t>　　27.사외적립자산의공정가치의 증가(감소)</t>
  </si>
  <si>
    <t>　(4)이자지급(영업)</t>
  </si>
  <si>
    <t>　(3)이자지급</t>
  </si>
  <si>
    <t>　(5)이자수취(영업)</t>
  </si>
  <si>
    <t>　(4)이자수취</t>
  </si>
  <si>
    <t>　(6)법인세납부(환급)</t>
  </si>
  <si>
    <t>　(5)법인세납부(환급)</t>
  </si>
  <si>
    <t>Ⅱ.투자활동현금흐름</t>
  </si>
  <si>
    <t>　(1)단기금융상품의 취득</t>
  </si>
  <si>
    <t>　(1)유형자산의 취득</t>
  </si>
  <si>
    <t>　(2)단기금융상품의 처분</t>
  </si>
  <si>
    <t>　(2)유형자산의 처분</t>
  </si>
  <si>
    <t>　(3)유형자산의 취득</t>
  </si>
  <si>
    <t>　(3)무형자산의 취득</t>
  </si>
  <si>
    <t>　(4)유형자산의 처분</t>
  </si>
  <si>
    <t>　(4)무형자산의 처분</t>
  </si>
  <si>
    <t>　(5)무형자산의 취득</t>
  </si>
  <si>
    <t>　(5)종속기업과 기타 사업의 지배력 획득에 따른 현금흐름</t>
  </si>
  <si>
    <t>　(6)무형자산의 처분</t>
  </si>
  <si>
    <t>　(6)단기대여금및수취채권의 취득</t>
  </si>
  <si>
    <t>　(7)종속기업과 기타 사업의 지배력 획득에 따른 현금흐름</t>
  </si>
  <si>
    <t>Ⅲ.재무활동현금흐름</t>
  </si>
  <si>
    <t>　(8)단기대여금및수취채권의 취득</t>
  </si>
  <si>
    <t>　(1)단기차입금의 증가</t>
  </si>
  <si>
    <t>　(2)단기차입금의 상환</t>
  </si>
  <si>
    <t>　(3)장기차입금의 증가</t>
  </si>
  <si>
    <t>　(4)장기차입금의 상환</t>
  </si>
  <si>
    <t>　(5)유동성장기차입금의 상환</t>
  </si>
  <si>
    <t>　(6)자기주식의 취득</t>
  </si>
  <si>
    <t>　(5)차입금의 상환</t>
  </si>
  <si>
    <t>　(7)종속기업에 대한 소유지분의 변동으로 인한 지급</t>
  </si>
  <si>
    <t>　(8)배당금지급</t>
  </si>
  <si>
    <t>　(7)종속기업에 대한 소유지분의 변동으로 인한 처분</t>
  </si>
  <si>
    <t>Ⅳ.현금및현금성자산의순증가(감소)</t>
  </si>
  <si>
    <t>Ⅴ.기초현금및현금성자산</t>
  </si>
  <si>
    <t>Ⅳ.환율변동효과 반영전 현금및현금성자산의 순증가(감소)</t>
  </si>
  <si>
    <t>Ⅵ.현금및현금성자산에 대한 환율변동효과</t>
  </si>
  <si>
    <t>Ⅴ.현금및현금성자산에 대한 환율변동효과</t>
  </si>
  <si>
    <t>Ⅶ.기말현금및현금성자산</t>
  </si>
  <si>
    <t>Ⅵ.기초현금및현금성자산</t>
  </si>
  <si>
    <t>(단위: 백만원)</t>
    <phoneticPr fontId="25" type="noConversion"/>
  </si>
  <si>
    <t>Dep</t>
    <phoneticPr fontId="25" type="noConversion"/>
  </si>
  <si>
    <t>EBITDA</t>
    <phoneticPr fontId="25" type="noConversion"/>
  </si>
  <si>
    <t>제 34 기 3분기말 2017.09.30 현재</t>
  </si>
  <si>
    <t>제 33 기말          2016.12.31 현재</t>
  </si>
  <si>
    <t>제 34 기 3분기말</t>
  </si>
  <si>
    <t>제 33 기말</t>
  </si>
  <si>
    <t>　유동자산</t>
  </si>
  <si>
    <t>　　현금및현금성자산</t>
  </si>
  <si>
    <t>　　단기금융상품</t>
  </si>
  <si>
    <t>　　기타유동금융자산</t>
  </si>
  <si>
    <t>　　매출채권 및 기타유동채권</t>
  </si>
  <si>
    <t>　　재고자산</t>
  </si>
  <si>
    <t>　　기타유동자산</t>
  </si>
  <si>
    <t>　비유동자산</t>
  </si>
  <si>
    <t>　　장기금융상품</t>
  </si>
  <si>
    <t>　　기타비유동금융자산</t>
  </si>
  <si>
    <t>　　장기매출채권 및 기타비유동채권</t>
  </si>
  <si>
    <t>　　유형자산</t>
  </si>
  <si>
    <t>　　무형자산</t>
  </si>
  <si>
    <t>　유동부채</t>
  </si>
  <si>
    <t>　　매입채무 및 기타유동채무</t>
  </si>
  <si>
    <t>　　차입금</t>
  </si>
  <si>
    <t>　　당기법인세부채</t>
  </si>
  <si>
    <t>　　유동충당부채</t>
  </si>
  <si>
    <t>　　기타유동부채</t>
  </si>
  <si>
    <t>　비유동부채</t>
  </si>
  <si>
    <t>　　비유동충당부채</t>
  </si>
  <si>
    <t>　　이연법인세부채</t>
  </si>
  <si>
    <t>　지배기업의 소유주에게 귀속되는 자본</t>
  </si>
  <si>
    <t>　　자본금</t>
  </si>
  <si>
    <t>　　자본잉여금</t>
  </si>
  <si>
    <t>　　기타자본구성요소</t>
  </si>
  <si>
    <t>　　이익잉여금(결손금)</t>
  </si>
  <si>
    <t>　비지배지분</t>
  </si>
  <si>
    <t>제 34 기 3분기 2017.01.01 부터 2017.09.30 까지</t>
  </si>
  <si>
    <t>제 33 기 2016.01.01 부터 2016.12.31 까지</t>
  </si>
  <si>
    <t>제 33 기 3분기 2016.01.01 부터 2016.09.30 까지</t>
  </si>
  <si>
    <t>제 32 기 2015.01.01 부터 2015.12.31 까지</t>
  </si>
  <si>
    <t>제 31 기 2014.01.01 부터 2014.12.31 까지</t>
  </si>
  <si>
    <t>제 34 기 3분기</t>
  </si>
  <si>
    <t>제 33 기 3분기</t>
  </si>
  <si>
    <t>제 33 기</t>
  </si>
  <si>
    <t>제 32 기</t>
  </si>
  <si>
    <t>제 31 기</t>
  </si>
  <si>
    <t>수익(매출액)</t>
  </si>
  <si>
    <t>매출원가</t>
  </si>
  <si>
    <t>매출총이익</t>
  </si>
  <si>
    <t>판매비와관리비</t>
  </si>
  <si>
    <t>EBIT</t>
    <phoneticPr fontId="25" type="noConversion"/>
  </si>
  <si>
    <t>영업이익(손실)</t>
  </si>
  <si>
    <t>기타이익</t>
  </si>
  <si>
    <t>금융수익</t>
  </si>
  <si>
    <t>기타손실</t>
  </si>
  <si>
    <t>기타수익</t>
  </si>
  <si>
    <t>금융비용</t>
  </si>
  <si>
    <t>금융원가</t>
  </si>
  <si>
    <t>기타비용</t>
  </si>
  <si>
    <t>법인세비용차감전순이익(손실)</t>
  </si>
  <si>
    <t>법인세비용</t>
  </si>
  <si>
    <t>NI</t>
    <phoneticPr fontId="25" type="noConversion"/>
  </si>
  <si>
    <t>당기순이익(손실)</t>
  </si>
  <si>
    <t>기타포괄손익</t>
  </si>
  <si>
    <t>　지배기업의 소유주지분</t>
  </si>
  <si>
    <t>　당기손익으로 재분류되지 않는항목(세후기타포괄손익)</t>
  </si>
  <si>
    <t>　비지배지분 소유주비분</t>
  </si>
  <si>
    <t>　　확정급여제도의 재측정손익(세후기타포괄손익)</t>
  </si>
  <si>
    <t>　　법인세효과</t>
  </si>
  <si>
    <t>　후속적으로 당기손익으로 재분류되지 않는 항목:</t>
  </si>
  <si>
    <t>　당기손익으로 재분류될 수 있는 항목(세후기타포괄손익)</t>
  </si>
  <si>
    <t>　　확정급여제도의 재측정요소</t>
  </si>
  <si>
    <t>　　매도가능금융자산평가손익(세후기타포괄손익)</t>
  </si>
  <si>
    <t>　후속적으로 당기손익으로 재분류되는 항목:</t>
  </si>
  <si>
    <t>　　해외사업장환산외환차이(세후기타포괄손익)</t>
  </si>
  <si>
    <t>　　매도가능금융자산평가손익</t>
  </si>
  <si>
    <t>총포괄손익</t>
  </si>
  <si>
    <t>당기순이익(손실)의 귀속</t>
  </si>
  <si>
    <t>　　해외사업환산손익</t>
  </si>
  <si>
    <t>　지배기업의 소유주에게 귀속되는 당기순이익(손실)</t>
  </si>
  <si>
    <t>　비지배지분에 귀속되는 당기순이익(손실)</t>
  </si>
  <si>
    <t>총포괄이익의귀속</t>
  </si>
  <si>
    <t>총 포괄손익의 귀속</t>
  </si>
  <si>
    <t>　총 포괄손익, 지배기업의 소유주에게 귀속되는 지분</t>
  </si>
  <si>
    <t>　비지배지분 소유주지분</t>
  </si>
  <si>
    <t>　총 포괄손익, 비지배지분</t>
  </si>
  <si>
    <t>주당이익</t>
  </si>
  <si>
    <t>　기본주당이익(손실)</t>
  </si>
  <si>
    <t>　희석주당이익(손실)</t>
  </si>
  <si>
    <t>영업활동현금흐름</t>
  </si>
  <si>
    <t>　당기순이익(손실)</t>
  </si>
  <si>
    <t>　당기순이익조정을 위한 가감</t>
  </si>
  <si>
    <t>　당기순손익</t>
  </si>
  <si>
    <t>　영업활동으로인한자산ㆍ부채의변동</t>
  </si>
  <si>
    <t>　비현금 조정</t>
  </si>
  <si>
    <t>　이자수취(영업)</t>
  </si>
  <si>
    <t>　　법인세비용</t>
  </si>
  <si>
    <t>　배당금수취(영업)</t>
  </si>
  <si>
    <t>　　이자수익</t>
  </si>
  <si>
    <t>　이자지급(영업)</t>
  </si>
  <si>
    <t>　　배당금수익</t>
  </si>
  <si>
    <t>　법인세납부(환급)</t>
  </si>
  <si>
    <t>　　이자비용</t>
  </si>
  <si>
    <t>투자활동현금흐름</t>
  </si>
  <si>
    <t>　　퇴직급여</t>
  </si>
  <si>
    <t>　기타유동금융자산의 처분</t>
  </si>
  <si>
    <t>　　감가상각비</t>
  </si>
  <si>
    <t>　유동매도가능금융자산의 처분</t>
  </si>
  <si>
    <t>　　무형자산상각비</t>
  </si>
  <si>
    <t>　대여금의 감소</t>
  </si>
  <si>
    <t>　　외화환산이익</t>
  </si>
  <si>
    <t>　기타비유동금융자산의 처분</t>
  </si>
  <si>
    <t>　　외화환산손실</t>
  </si>
  <si>
    <t>　유형자산의 처분</t>
  </si>
  <si>
    <t>　　매도가능금융자산처분이익</t>
  </si>
  <si>
    <t>　무형자산의 처분</t>
  </si>
  <si>
    <t>　　매도가능금융자산처분손실</t>
  </si>
  <si>
    <t>　보증금의 감소</t>
  </si>
  <si>
    <t>　　매도가능금융자산손상차손환입</t>
  </si>
  <si>
    <t>　비유동매도가능금융자산의 처분</t>
  </si>
  <si>
    <t>　　매도가능금융자산손상차손</t>
  </si>
  <si>
    <t>　기타유동금융자산의 취득</t>
  </si>
  <si>
    <t>　　파생상품평가이익</t>
  </si>
  <si>
    <t>　유동매도가능금융자산의 취득</t>
  </si>
  <si>
    <t>　　판매보증충당부채환입</t>
  </si>
  <si>
    <t>　기타비유동금융자산의 취득</t>
  </si>
  <si>
    <t>　　유형자산처분이익</t>
  </si>
  <si>
    <t>　비유동매도가능금융자산의 취득</t>
  </si>
  <si>
    <t>　　유형자산처분손실</t>
  </si>
  <si>
    <t>　유형자산의 취득</t>
  </si>
  <si>
    <t>　　무형자산처분손실</t>
  </si>
  <si>
    <t>　보증금의 증가</t>
  </si>
  <si>
    <t>　　판매보증비</t>
  </si>
  <si>
    <t>재무활동현금흐름</t>
  </si>
  <si>
    <t>　　잡손실</t>
  </si>
  <si>
    <t>　장기차입금의 상환</t>
  </si>
  <si>
    <t>　　통화선도평가이익</t>
  </si>
  <si>
    <t>　단기차입금의 상환</t>
  </si>
  <si>
    <t>　운전자본 조정</t>
  </si>
  <si>
    <t>　자기주식의 취득</t>
  </si>
  <si>
    <t>　　매출채권및기타유동채권의 감소(증가)</t>
  </si>
  <si>
    <t>　배당금지급</t>
  </si>
  <si>
    <t>　　재고자산의 감소(증가)</t>
  </si>
  <si>
    <t>현금및현금성자산에 대한 환율변동효과</t>
  </si>
  <si>
    <t>　　매입채무및기타채무의 증가(감소)</t>
  </si>
  <si>
    <t>현금및현금성자산의순증가(감소)</t>
  </si>
  <si>
    <t>　　비유동충당부채의 증가(감소)</t>
  </si>
  <si>
    <t>기초현금및현금성자산</t>
  </si>
  <si>
    <t>　　기타비유동부채의 증가(감소)</t>
  </si>
  <si>
    <t>기말현금및현금성자산</t>
  </si>
  <si>
    <t>　　퇴직금의 지급</t>
  </si>
  <si>
    <t>　　사외적립자산의 감소(증가)</t>
  </si>
  <si>
    <t>　이자수취</t>
  </si>
  <si>
    <t>　배당금수취</t>
  </si>
  <si>
    <t>　이자지급</t>
  </si>
  <si>
    <t>　법인세지급</t>
  </si>
  <si>
    <t>　단기금융상품의 감소</t>
  </si>
  <si>
    <t>　매도가능금융자산의 처분</t>
  </si>
  <si>
    <t>　단기대여금의 감소</t>
  </si>
  <si>
    <t>　매각예정비유동자산의 처분</t>
  </si>
  <si>
    <t>　단기금융상품의 증가</t>
  </si>
  <si>
    <t>　단기대여금의 증가</t>
  </si>
  <si>
    <t>　장기대여금의 증가</t>
  </si>
  <si>
    <t>　장기금융상품의 증가</t>
  </si>
  <si>
    <t>　매도가능금융자산의 취득</t>
  </si>
  <si>
    <t>　무형자산의 취득</t>
  </si>
  <si>
    <t>　차입금의 차입</t>
  </si>
  <si>
    <t>　정부보조금의 수령</t>
  </si>
  <si>
    <t>　비지배지분의 증가</t>
  </si>
  <si>
    <t>　유동성장기부채의 상환</t>
  </si>
  <si>
    <t>10. 유형자산</t>
  </si>
  <si>
    <t>(1) 보고부문 정보</t>
  </si>
  <si>
    <t>당기와 전기 연결실체의 각 보고부문에 대한 정보는 다음과 같습니다. 보고부문의 영업손익은 연결실체의 경영진이 검토하는 내부 보고자료에 포함되어 성과 평가를 위해 이용됩니다.</t>
  </si>
  <si>
    <t>(1) 당분기와 전분기의 유형자산의 변동내역은 다음과 같습니다.</t>
  </si>
  <si>
    <t>(단위: 원)</t>
  </si>
  <si>
    <t>구  분</t>
  </si>
  <si>
    <t>동일금속주식회사</t>
  </si>
  <si>
    <t>동일캐스팅주식회사</t>
  </si>
  <si>
    <t>PT. DONGIL CASTING</t>
  </si>
  <si>
    <t>합  계</t>
  </si>
  <si>
    <t>구     분</t>
  </si>
  <si>
    <t>당분기</t>
  </si>
  <si>
    <t>전분기</t>
  </si>
  <si>
    <t>당  기</t>
  </si>
  <si>
    <t>전  기</t>
  </si>
  <si>
    <t>기초 순장부금액</t>
  </si>
  <si>
    <t>외부수익</t>
  </si>
  <si>
    <t>-</t>
  </si>
  <si>
    <t>취득</t>
  </si>
  <si>
    <t>부문간수익</t>
  </si>
  <si>
    <t>매각(*)</t>
  </si>
  <si>
    <t>총부문수익</t>
  </si>
  <si>
    <t>매각예정자산으로 대체</t>
  </si>
  <si>
    <t>-  </t>
  </si>
  <si>
    <t>영업손익</t>
  </si>
  <si>
    <t>감가상각비</t>
  </si>
  <si>
    <t>감가상각비와 </t>
  </si>
  <si>
    <t>정부보조금</t>
  </si>
  <si>
    <t>기타상각비</t>
  </si>
  <si>
    <t>환율변동</t>
  </si>
  <si>
    <t>보고기간말 장부금액</t>
  </si>
  <si>
    <t>당기손익</t>
  </si>
  <si>
    <t>취득원가</t>
  </si>
  <si>
    <t>부문자산총계</t>
  </si>
  <si>
    <t>감가상각누계액</t>
  </si>
  <si>
    <t>- 재고자산</t>
  </si>
  <si>
    <t>- 유ㆍ무형자산</t>
  </si>
  <si>
    <t>부문부채총계</t>
  </si>
  <si>
    <t>제 24 기 3분기말 2017.09.30 현재</t>
  </si>
  <si>
    <t>제 23 기말          2016.12.31 현재</t>
  </si>
  <si>
    <t>제 24 기 3분기말</t>
  </si>
  <si>
    <t>제 23 기말</t>
  </si>
  <si>
    <t>　　유동파생상품자산</t>
  </si>
  <si>
    <t>　　당기법인세자산</t>
  </si>
  <si>
    <t>　　비유동매도가능금융자산</t>
  </si>
  <si>
    <t>　　비유동만기보유금융자산</t>
  </si>
  <si>
    <t>　　투자부동산</t>
  </si>
  <si>
    <t>　　이연법인세자산</t>
  </si>
  <si>
    <t>　　단기차입금</t>
  </si>
  <si>
    <t>　　유동성장기차입금</t>
  </si>
  <si>
    <t>　　유동파생상품부채</t>
  </si>
  <si>
    <t>　　장기차입금</t>
  </si>
  <si>
    <t>　　장기금융부채</t>
  </si>
  <si>
    <t>　　순확정급여부채</t>
  </si>
  <si>
    <t>　　장기종업원급여부채</t>
  </si>
  <si>
    <t>　　기타비유동부채</t>
  </si>
  <si>
    <t>　　기타포괄손익누계액</t>
  </si>
  <si>
    <t>제 24 기 3분기 2017.01.01 부터 2017.09.30 까지</t>
  </si>
  <si>
    <t>제 23 기 3분기 2016.01.01 부터 2016.09.30 까지</t>
  </si>
  <si>
    <t>제 23 기 2016.01.01 부터 2016.12.31 까지</t>
  </si>
  <si>
    <t>제 22 기 2015.01.01 부터 2015.12.31 까지</t>
  </si>
  <si>
    <t>제 24 기 3분기</t>
  </si>
  <si>
    <t>제 23 기 3분기</t>
  </si>
  <si>
    <t>제 21 기 2014.01.01 부터 2014.12.31 까지</t>
  </si>
  <si>
    <t>제 23 기</t>
  </si>
  <si>
    <t>제 22 기</t>
  </si>
  <si>
    <t>제 21 기</t>
  </si>
  <si>
    <t>　당기손익으로 재분류되지 않는 세후기타포괄손익</t>
  </si>
  <si>
    <t>　　보험수리적손실</t>
  </si>
  <si>
    <t>　당기손익으로 재분류되는 세후기타포괄손익</t>
  </si>
  <si>
    <t>　　급여</t>
  </si>
  <si>
    <t>　비현금조정</t>
  </si>
  <si>
    <t>　　기타장기종업원급여</t>
  </si>
  <si>
    <t>　　대손상각비</t>
  </si>
  <si>
    <t>　　기타의 대손상각비</t>
  </si>
  <si>
    <t>　　기타의 대손충당금환입</t>
  </si>
  <si>
    <t>　　기타의대손상각비</t>
  </si>
  <si>
    <t>　　대손상각비 환입</t>
  </si>
  <si>
    <t>　　판매보증충당부채전입액</t>
  </si>
  <si>
    <t>　　판매보증충당금전입액</t>
  </si>
  <si>
    <t>　　재고자산평가손실</t>
  </si>
  <si>
    <t>　　소모품처리비용</t>
  </si>
  <si>
    <t>　　금융수익</t>
  </si>
  <si>
    <t>　　파생금융자산평가이익</t>
  </si>
  <si>
    <t>　　금융비용</t>
  </si>
  <si>
    <t>　　파생금융자산평가손실</t>
  </si>
  <si>
    <t>　　파생상품거래이익</t>
  </si>
  <si>
    <t>　　파생금융자산거래이익</t>
  </si>
  <si>
    <t>　　파생상품평가손실</t>
  </si>
  <si>
    <t>　　유형자산폐기손실</t>
  </si>
  <si>
    <t>　　유형자산손상차손</t>
  </si>
  <si>
    <t>　　무형자산처분이익</t>
  </si>
  <si>
    <t>　　무형자산손상차손</t>
  </si>
  <si>
    <t>　　매출채권 및 기타유동채권의 감소(증가)</t>
  </si>
  <si>
    <t>　　투자부동산처분손실</t>
  </si>
  <si>
    <t>　　잡이익</t>
  </si>
  <si>
    <t>　　기타유동자산의 감소(증가)</t>
  </si>
  <si>
    <t>　운전자본조정</t>
  </si>
  <si>
    <t>　　당기법인세자산의 감소(증가)</t>
  </si>
  <si>
    <t>　　매출채권 및 기타채권</t>
  </si>
  <si>
    <t>　　기타유동금융자산의 감소(증가)</t>
  </si>
  <si>
    <t>　　매입채무 및 기타채무의 증가(감소)</t>
  </si>
  <si>
    <t>　　기타유동부채의 증가(감소)</t>
  </si>
  <si>
    <t>　　종업원급여충당부채의 증가(감소)</t>
  </si>
  <si>
    <t>　　매입채무및기타채무</t>
  </si>
  <si>
    <t>　　유동충당부채의 증가(감소)</t>
  </si>
  <si>
    <t>　　퇴직연금운용자산의 감소(증가)</t>
  </si>
  <si>
    <t>　　파생금융부채</t>
  </si>
  <si>
    <t>　　비유동기타금융부채</t>
  </si>
  <si>
    <t>　　해외환산사업의차익</t>
  </si>
  <si>
    <t>　　충당부채</t>
  </si>
  <si>
    <t>　　퇴직연금운용자산의증가</t>
  </si>
  <si>
    <t>　　퇴직금의지급</t>
  </si>
  <si>
    <t>　　해외환산차익</t>
  </si>
  <si>
    <t>　유동만기보유금융자산의 처분</t>
  </si>
  <si>
    <t>　비유동만기보유금융자산의 처분</t>
  </si>
  <si>
    <t>　유동기타금융자산</t>
  </si>
  <si>
    <t>　비유동기타금융자산</t>
  </si>
  <si>
    <t>　유형자산의처분</t>
  </si>
  <si>
    <t>　장기금융자산의감소</t>
  </si>
  <si>
    <t>　무형자산의처분</t>
  </si>
  <si>
    <t>　단기금융자산의증가</t>
  </si>
  <si>
    <t>　장기금융자산의증가</t>
  </si>
  <si>
    <t>　파생금융자산의감소</t>
  </si>
  <si>
    <t>　유형자산의취득</t>
  </si>
  <si>
    <t>　파생금융부채의감소</t>
  </si>
  <si>
    <t>　무형자산의취득</t>
  </si>
  <si>
    <t>　매도가능금융자산의증가</t>
  </si>
  <si>
    <t>　단기차입금의 증가</t>
  </si>
  <si>
    <t>　투자부동산의취득</t>
  </si>
  <si>
    <t>　장기차입금의 증가</t>
  </si>
  <si>
    <t>　투자부동산의처분</t>
  </si>
  <si>
    <t>　주식선택권행사로 인한 현금유입</t>
  </si>
  <si>
    <t>　임대보증금의 증가</t>
  </si>
  <si>
    <t>　주식매수선택권의 행사</t>
  </si>
  <si>
    <t>환율변동효과 반영전 현금및현금성자산의 순증가(감소)</t>
  </si>
  <si>
    <t>　유동성장기차입금의 상환</t>
  </si>
  <si>
    <t>　임대보증금의증가</t>
  </si>
  <si>
    <t>　임대보증금의감소</t>
  </si>
  <si>
    <t>환율변동효과 반영전 현금및 현금성자산의 순증가(감소)</t>
  </si>
  <si>
    <t>연결범위변동으로 인한 현금증가</t>
  </si>
  <si>
    <t>(단위: 백만원)</t>
    <phoneticPr fontId="25" type="noConversion"/>
  </si>
  <si>
    <t>NOA</t>
    <phoneticPr fontId="25" type="noConversion"/>
  </si>
  <si>
    <t>제 39 기 3분기말 2017.09.30 현재</t>
  </si>
  <si>
    <t>제 38 기말          2016.12.31 현재</t>
  </si>
  <si>
    <t>제 39 기 3분기말</t>
  </si>
  <si>
    <t>제 38 기말</t>
  </si>
  <si>
    <t>　　기타금융자산</t>
  </si>
  <si>
    <t>　　대여금 및 수취채권</t>
  </si>
  <si>
    <t>　　장기기타금융자산</t>
  </si>
  <si>
    <t>　　장기대여금 및 수취채권</t>
  </si>
  <si>
    <t>　　관계기업투자주식</t>
  </si>
  <si>
    <t>　　장기매입채무 및 기타비유동채무</t>
  </si>
  <si>
    <t>　　퇴직급여부채</t>
  </si>
  <si>
    <t>제 39 기 3분기 2017.01.01 부터 2017.09.30 까지</t>
  </si>
  <si>
    <t>제 38 기 2016.01.01 부터 2016.12.31 까지</t>
  </si>
  <si>
    <t>제 38 기 3분기 2016.01.01 부터 2016.09.30 까지</t>
  </si>
  <si>
    <t>제 37 기 2015.01.01 부터 2015.12.31 까지</t>
  </si>
  <si>
    <t>제 36 기 2014.01.01 부터 2014.12.31 까지</t>
  </si>
  <si>
    <t>제 39 기 3분기</t>
  </si>
  <si>
    <t>제 38 기 3분기</t>
  </si>
  <si>
    <t>제 38 기</t>
  </si>
  <si>
    <t>제 37 기</t>
  </si>
  <si>
    <t>제 36 기</t>
  </si>
  <si>
    <t>매출 (주22,30,35)</t>
  </si>
  <si>
    <t>매출원가 (주30,34)</t>
  </si>
  <si>
    <t>판매비와관리비 (주31,34)</t>
  </si>
  <si>
    <t>영업이익(손실) (주35)</t>
  </si>
  <si>
    <t>기타수익 (주32)</t>
  </si>
  <si>
    <t>기타비용 (주32)</t>
  </si>
  <si>
    <t>금융수익 (주33)</t>
  </si>
  <si>
    <t>금융비용 (주33)</t>
  </si>
  <si>
    <t>관계사지분법손익</t>
  </si>
  <si>
    <t>관계사지분법손익 (주10)</t>
  </si>
  <si>
    <t>법인세비용차감전이익(손실) (주35)</t>
  </si>
  <si>
    <t>법인세비용 (주29)</t>
  </si>
  <si>
    <t>연결당기순이익(손실)의 귀속</t>
  </si>
  <si>
    <t>　지배기업주주지분순이익(손실)</t>
  </si>
  <si>
    <t>　비지배지분순이익(손실)</t>
  </si>
  <si>
    <t>　당기손익으로 재분류되지 않는항목</t>
  </si>
  <si>
    <t>　　보험수리적손익</t>
  </si>
  <si>
    <t>　　지분법이익잉여금변동</t>
  </si>
  <si>
    <t>　당기손익으로 재분류될 수 있는 항목</t>
  </si>
  <si>
    <t>　　지분법자본변동</t>
  </si>
  <si>
    <t>　　매도가능증권 평가손익</t>
  </si>
  <si>
    <t>　　해외사업환산차대</t>
  </si>
  <si>
    <t>　　지분법자본변동 (주10)</t>
  </si>
  <si>
    <t>　　해외사업환산차이</t>
  </si>
  <si>
    <t>포괄손익의 귀속</t>
  </si>
  <si>
    <t>　지배기업주주지분 총포괄손익</t>
  </si>
  <si>
    <t>　비지배지분 총포괄손익</t>
  </si>
  <si>
    <t>　기본주당이익(손실) (주28)</t>
  </si>
  <si>
    <t>　영업에서 창출된 현금</t>
  </si>
  <si>
    <t>　　당기순이익(손실)</t>
  </si>
  <si>
    <t>　　조정</t>
  </si>
  <si>
    <t>　　　대손상각비</t>
  </si>
  <si>
    <t>　　지분법손실</t>
  </si>
  <si>
    <t>　　　기타의대손상각비</t>
  </si>
  <si>
    <t>　　　감가상각비</t>
  </si>
  <si>
    <t>　　장기매도가능금융자산처분손실</t>
  </si>
  <si>
    <t>　　　무형자산상각비</t>
  </si>
  <si>
    <t>　　　퇴직급여</t>
  </si>
  <si>
    <t>　　　지분법손실</t>
  </si>
  <si>
    <t>　　지분법이익</t>
  </si>
  <si>
    <t>　　　단기매매증권처분손실</t>
  </si>
  <si>
    <t>　　　유형자산처분손실</t>
  </si>
  <si>
    <t>　　장기매도가능금융자산처분이익</t>
  </si>
  <si>
    <t>　　　무형자산처분손실</t>
  </si>
  <si>
    <t>　　　장기매도가능금융자산처분손실</t>
  </si>
  <si>
    <t>　　　외화환산손실</t>
  </si>
  <si>
    <t>　　　이자비용</t>
  </si>
  <si>
    <t>　　　재고자산평가손실</t>
  </si>
  <si>
    <t>　　재고자산평가손실환입</t>
  </si>
  <si>
    <t>　　　재고자산폐기손실</t>
  </si>
  <si>
    <t>　　　법인세비용</t>
  </si>
  <si>
    <t>　　단기매매증권처분손실</t>
  </si>
  <si>
    <t>　　　지분법이익</t>
  </si>
  <si>
    <t>　　단기매매증권처분이익</t>
  </si>
  <si>
    <t>　　　단기매매증권처분이익</t>
  </si>
  <si>
    <t>　　단기매매증권평가손실</t>
  </si>
  <si>
    <t>　　　단기매매증권평가손실</t>
  </si>
  <si>
    <t>　　단기매매증권평가이익</t>
  </si>
  <si>
    <t>　　　단기매매증권평가이익</t>
  </si>
  <si>
    <t>　　　유형자산처분이익</t>
  </si>
  <si>
    <t>　　재고자산폐기손실</t>
  </si>
  <si>
    <t>　　　장기매도가능금융자산처분이익</t>
  </si>
  <si>
    <t>　　　매도가능금융자산처분이익</t>
  </si>
  <si>
    <t>　　　이자수익</t>
  </si>
  <si>
    <t>　　　배당금수익</t>
  </si>
  <si>
    <t>　　사채상환이익</t>
  </si>
  <si>
    <t>　　　외화환산이익</t>
  </si>
  <si>
    <t>　　　재고자산평가손실환입</t>
  </si>
  <si>
    <t>　　　종속기업투자주식처분이익</t>
  </si>
  <si>
    <t>　　　무형자산손상차손</t>
  </si>
  <si>
    <t>　　매출채권의 감소(증가)</t>
  </si>
  <si>
    <t>　　자산및부채의증감</t>
  </si>
  <si>
    <t>　　미수금의 감소(증가)</t>
  </si>
  <si>
    <t>　　　매출채권의 감소(증가)</t>
  </si>
  <si>
    <t>　　선급금의 감소(증가)</t>
  </si>
  <si>
    <t>　　　미수금의 감소(증가)</t>
  </si>
  <si>
    <t>　　선급비용의 감소(증가)</t>
  </si>
  <si>
    <t>　　　선급금의 감소(증가)</t>
  </si>
  <si>
    <t>　　기타수취채권의 감소(증가)</t>
  </si>
  <si>
    <t>　　　선급비용의 감소(증가)</t>
  </si>
  <si>
    <t>　　부가세대급금의 감소(증가)</t>
  </si>
  <si>
    <t>　　　기타당좌자산의  감소(증가)</t>
  </si>
  <si>
    <t>　　선납부가세의 감소(증가)</t>
  </si>
  <si>
    <t>　　　선납부가세의 감소(증가)</t>
  </si>
  <si>
    <t>　　　기타비유동자산의 감소(증가)</t>
  </si>
  <si>
    <t>　　매입채무의 증가(감소)</t>
  </si>
  <si>
    <t>　　　재고자산의 감소(증가)</t>
  </si>
  <si>
    <t>　　미지급금의 증가(감소)</t>
  </si>
  <si>
    <t>　　　매입채무의 증가(감소)</t>
  </si>
  <si>
    <t>　　기타지급채무의 증가(감소)</t>
  </si>
  <si>
    <t>　　　미지급금의 증가(감소)</t>
  </si>
  <si>
    <t>　　선수금의 증가(감소)</t>
  </si>
  <si>
    <t>　　　선수금의 증가(감소)</t>
  </si>
  <si>
    <t>　　미지급비용의 증가(감소)</t>
  </si>
  <si>
    <t>　　　미지급비용의 증가(감소)</t>
  </si>
  <si>
    <t>　　예수금의 증가(감소)</t>
  </si>
  <si>
    <t>　　　예수금의 증가(감소)</t>
  </si>
  <si>
    <t>　　파생상품부채의 증가(감소)</t>
  </si>
  <si>
    <t>　　　부가세예수금의 증가(감소)</t>
  </si>
  <si>
    <t>　　부가가치세 예수금의 증가(감소)</t>
  </si>
  <si>
    <t>　　　제품보증충당부채의 증가(감소)</t>
  </si>
  <si>
    <t>　　제품보증충당부채의 증가(감소)</t>
  </si>
  <si>
    <t>　　　장기미지급금의 증가(감소)</t>
  </si>
  <si>
    <t>　　반품충당부채의 증가(감소)</t>
  </si>
  <si>
    <t>　　　예수보증금의 증가(감소)</t>
  </si>
  <si>
    <t>　　예수보증금의 증가(감소)</t>
  </si>
  <si>
    <t>　　　퇴직금의 지급</t>
  </si>
  <si>
    <t>　　　국민연금전환금의 감소(증가)</t>
  </si>
  <si>
    <t>　　국민연금전환금의 감소(증가)</t>
  </si>
  <si>
    <t>　　　퇴직연금운용자산의 증가(감소)</t>
  </si>
  <si>
    <t>　이자의 수취</t>
  </si>
  <si>
    <t>　이자의 지급</t>
  </si>
  <si>
    <t>　법인세납부</t>
  </si>
  <si>
    <t>　법인세 납부</t>
  </si>
  <si>
    <t>　단기금융상품의 처분</t>
  </si>
  <si>
    <t>　투자활동으로 인한 현금유입액</t>
  </si>
  <si>
    <t>　　단기금융상품의 처분</t>
  </si>
  <si>
    <t>　단기매매증권의 처분</t>
  </si>
  <si>
    <t>　　단기대여금의 감소</t>
  </si>
  <si>
    <t>　종업원단기대여금의 회수</t>
  </si>
  <si>
    <t>　　단기매매증권의 감소</t>
  </si>
  <si>
    <t>　　종업원단기대여금의 회수</t>
  </si>
  <si>
    <t>　장기매도가능금융자산의 처분</t>
  </si>
  <si>
    <t>　　매도가능금융자산의 감소</t>
  </si>
  <si>
    <t>　종업원장기대여금의 회수</t>
  </si>
  <si>
    <t>　　장기투자증권의 처분</t>
  </si>
  <si>
    <t>　　종업원장기대여금의 회수</t>
  </si>
  <si>
    <t>　기타금융자산의 처분</t>
  </si>
  <si>
    <t>　　보증금의 감소</t>
  </si>
  <si>
    <t>　기계장치의 처분</t>
  </si>
  <si>
    <t>　　기계장치의 처분</t>
  </si>
  <si>
    <t>　차량운반구의 처분</t>
  </si>
  <si>
    <t>　　차량운반구의 처분</t>
  </si>
  <si>
    <t>　비품의 처분</t>
  </si>
  <si>
    <t>　　공구와기구의 처분</t>
  </si>
  <si>
    <t>　기타유형자산의 처분</t>
  </si>
  <si>
    <t>　　비품의처분</t>
  </si>
  <si>
    <t>　　무형자산의 처분</t>
  </si>
  <si>
    <t>　　퇴직보험예치금의 감소</t>
  </si>
  <si>
    <t>　단기매매증권의 취득</t>
  </si>
  <si>
    <t>　　연결실체의 변동으로 인한 현금의 증가</t>
  </si>
  <si>
    <t>　종업원단기대여금의 증가</t>
  </si>
  <si>
    <t>　투자활동으로 인한 현금유출액</t>
  </si>
  <si>
    <t>　장기투자증권의 취득</t>
  </si>
  <si>
    <t>　　단기금융상품의 취득</t>
  </si>
  <si>
    <t>　종업원장기대여금의 증가</t>
  </si>
  <si>
    <t>　　단기대여금의 증가</t>
  </si>
  <si>
    <t>　　단기매매증권의 취득</t>
  </si>
  <si>
    <t>　기타금융자산의 취득</t>
  </si>
  <si>
    <t>　　매도가능금융자산의 증가</t>
  </si>
  <si>
    <t>　토지의 취득</t>
  </si>
  <si>
    <t>　　종업원단기대여금의 증가</t>
  </si>
  <si>
    <t>　건물의 취득</t>
  </si>
  <si>
    <t>　　장기금융상품의 취득</t>
  </si>
  <si>
    <t>　기계장치의 취득</t>
  </si>
  <si>
    <t>　　장기투자증권의 취득</t>
  </si>
  <si>
    <t>　차량운반구의 취득</t>
  </si>
  <si>
    <t>　　종속기업투자주식의 취득</t>
  </si>
  <si>
    <t>　공구와기구의 취득</t>
  </si>
  <si>
    <t>　　종업원장기대여금의증가</t>
  </si>
  <si>
    <t>　비품의 취득</t>
  </si>
  <si>
    <t>　　장기대여금의증가</t>
  </si>
  <si>
    <t>　　보증금의 증가</t>
  </si>
  <si>
    <t>　　토지의취득</t>
  </si>
  <si>
    <t>　　건물의취득</t>
  </si>
  <si>
    <t>　　구축물의 취득</t>
  </si>
  <si>
    <t>　　기계장치의 취득</t>
  </si>
  <si>
    <t>　전환사채의 발행</t>
  </si>
  <si>
    <t>　　차량운반구의 취득</t>
  </si>
  <si>
    <t>　유상증자</t>
  </si>
  <si>
    <t>　　공구와기구의 취득</t>
  </si>
  <si>
    <t>　　비품의 취득</t>
  </si>
  <si>
    <t>　　기타유형자산의 취득</t>
  </si>
  <si>
    <t>　주식발행비용</t>
  </si>
  <si>
    <t>　　무형자산의 취득</t>
  </si>
  <si>
    <t>　　기타무형자산의 취득</t>
  </si>
  <si>
    <t>　　투자자산의 취득</t>
  </si>
  <si>
    <t>　　퇴직보험예치금의 증가</t>
  </si>
  <si>
    <t>　　퇴직연금운용자산의 증가</t>
  </si>
  <si>
    <t>　　연결실체의변동으로인한 현금의 감소</t>
  </si>
  <si>
    <t>　재무활동으로 인한 현금유입액</t>
  </si>
  <si>
    <t>　　종속기업투자주식의 처분</t>
  </si>
  <si>
    <t>　　단기차입금의 차입</t>
  </si>
  <si>
    <t>　　장기차입금의 차입</t>
  </si>
  <si>
    <t>　　유상증자</t>
  </si>
  <si>
    <t>　재무활동으로 인한 현금유출액</t>
  </si>
  <si>
    <t>　　단기차입금의 상환</t>
  </si>
  <si>
    <t>　　유동성장기부채의 상환</t>
  </si>
  <si>
    <t>　　장기차입금의 상환</t>
  </si>
  <si>
    <t>　　주식발행비용</t>
  </si>
  <si>
    <t>현금의 증가(감소)</t>
  </si>
  <si>
    <t>기초의 현금</t>
  </si>
  <si>
    <t>외화표시 현금 및 현금성자산의 환율변동효과</t>
  </si>
  <si>
    <t>　　유동당기손익인식지정금융자산</t>
  </si>
  <si>
    <t>　　유동파생금융상품자산</t>
  </si>
  <si>
    <t>　　비유동파생금융상품자산</t>
  </si>
  <si>
    <t>　　기타비유동자산</t>
  </si>
  <si>
    <t>　　미지급법인세</t>
  </si>
  <si>
    <t>　　유동판매보증충당부채</t>
  </si>
  <si>
    <t>　　유동파생금융상품부채</t>
  </si>
  <si>
    <t>　　기타비유동금융부채</t>
  </si>
  <si>
    <t>　　비유동파생금융상품부채</t>
  </si>
  <si>
    <t>　　　보통주자본금</t>
  </si>
  <si>
    <t>　　　우선주자본금</t>
  </si>
  <si>
    <t>매출액</t>
  </si>
  <si>
    <t>　　순확정급여부채 재측정요소</t>
  </si>
  <si>
    <t>　포괄손익, 지배기업의 소유주에게 귀속되는 지분</t>
  </si>
  <si>
    <t>　포괄손익, 비지배지분</t>
  </si>
  <si>
    <t>　　투자부동산평가손실</t>
  </si>
  <si>
    <t>　　대손상각비(환입)</t>
  </si>
  <si>
    <t>　　투자부동산감가상각비</t>
  </si>
  <si>
    <t>　　재고자산평가손실(환입)</t>
  </si>
  <si>
    <t>　　기타의 대손상각비(환입)</t>
  </si>
  <si>
    <t>　　기타의대손상각비(환입)</t>
  </si>
  <si>
    <t>　　판매보증비(환입)</t>
  </si>
  <si>
    <t>　　당기손익인식금융자산평가이익</t>
  </si>
  <si>
    <t>　　유형자산감액</t>
  </si>
  <si>
    <t>　　투자부동산처분이익</t>
  </si>
  <si>
    <t>　　무형자산감액</t>
  </si>
  <si>
    <t>　　지급수수료</t>
  </si>
  <si>
    <t>　　기타채권의 감소(증가)</t>
  </si>
  <si>
    <t>　　파생상품자산의 감소(증가)</t>
  </si>
  <si>
    <t>　　기타채무의 증가(감소)</t>
  </si>
  <si>
    <t>　　기타금융부채의 증가(감소)</t>
  </si>
  <si>
    <t>　　판매보증충당부채의 증가(감소)</t>
  </si>
  <si>
    <t>　　사외적립자산의감소(증가)</t>
  </si>
  <si>
    <t>　정부보조금의 수취</t>
  </si>
  <si>
    <t>　당기손익인식금융자산의 처분</t>
  </si>
  <si>
    <t>　토지의 처분</t>
  </si>
  <si>
    <t>　기타무형자산의 처분</t>
  </si>
  <si>
    <t>　건물의 처분</t>
  </si>
  <si>
    <t>　구축물의 처분</t>
  </si>
  <si>
    <t>　구축물의 취득</t>
  </si>
  <si>
    <t>　투자부동산의 처분</t>
  </si>
  <si>
    <t>　건설중인자산의 취득</t>
  </si>
  <si>
    <t>　기타유형자산의 취득</t>
  </si>
  <si>
    <t>　보증금의 감소(증가)</t>
  </si>
  <si>
    <t>　컴퓨터소프트웨어의 취득</t>
  </si>
  <si>
    <t>　개발비의 증가</t>
  </si>
  <si>
    <t>　당기손익인식금융자산의 취득</t>
  </si>
  <si>
    <t>　단기금융상품의 취득</t>
  </si>
  <si>
    <t>　소프트웨어의 취득</t>
  </si>
  <si>
    <t>　기타무형자산의 취득</t>
  </si>
  <si>
    <t>　단기차입금의 차입</t>
  </si>
  <si>
    <t>　금융리스부채의 상환</t>
  </si>
  <si>
    <t>　종속기업, 관계기업 및 공동기업 투자의 취득</t>
  </si>
  <si>
    <t>외화표시 현금및현금성자산에 대한 환율변동효과.</t>
  </si>
  <si>
    <t>제 40 기 3분기말 2017.09.30 현재</t>
  </si>
  <si>
    <t>제 39 기말          2016.12.31 현재</t>
  </si>
  <si>
    <t>제 40 기 3분기말</t>
  </si>
  <si>
    <t>제 39 기말</t>
  </si>
  <si>
    <t>　　(2)매출채권 및 기타유동채권</t>
  </si>
  <si>
    <t>　　(3)당기법인세자산</t>
  </si>
  <si>
    <t>　　(4)재고자산</t>
  </si>
  <si>
    <t>　　(5)기타유동금융자산</t>
  </si>
  <si>
    <t>　　(6)기타유동자산</t>
  </si>
  <si>
    <t>　　(1)장기매출채권 및 기타비유동채권</t>
  </si>
  <si>
    <t>　　(2)유형자산</t>
  </si>
  <si>
    <t>　　(3)영업권 이외의 무형자산</t>
  </si>
  <si>
    <t>　　(4)기타비유동금융자산</t>
  </si>
  <si>
    <t>　　(5)이연법인세자산</t>
  </si>
  <si>
    <t>　　(6)기타비유동자산</t>
  </si>
  <si>
    <t>　　(3)당기법인세부채</t>
  </si>
  <si>
    <t>　　(4)기타유동금융부채</t>
  </si>
  <si>
    <t>　　(5)기타유동부채</t>
  </si>
  <si>
    <t>　　(6)이연법인세부채</t>
  </si>
  <si>
    <t>　　(2)이익잉여금(결손금)</t>
  </si>
  <si>
    <t>　　(3)기타자본잉여금</t>
  </si>
  <si>
    <t>　　　1.자기주식</t>
  </si>
  <si>
    <t>　　(5)기타포괄손익누계액</t>
  </si>
  <si>
    <t>제 40 기 3분기 2017.01.01 부터 2017.09.30 까지</t>
  </si>
  <si>
    <t>제 39 기 2016.01.01 부터 2016.12.31 까지</t>
  </si>
  <si>
    <t>제 39 기 3분기 2016.01.01 부터 2016.09.30 까지</t>
  </si>
  <si>
    <t>제 38 기 2015.01.01 부터 2015.12.31 까지</t>
  </si>
  <si>
    <t>제 37 기 2014.01.01 부터 2014.12.31 까지</t>
  </si>
  <si>
    <t>제 40 기 3분기</t>
  </si>
  <si>
    <t>제 39 기</t>
  </si>
  <si>
    <t>XⅡ.계속영업이익(손실)</t>
  </si>
  <si>
    <t>XⅢ.계속영업이익(손실)</t>
  </si>
  <si>
    <t>XIV.중단영업이익(손실)</t>
  </si>
  <si>
    <t>XV.당기순이익(손실)</t>
  </si>
  <si>
    <t>XVI.지배기업의 소유지분</t>
  </si>
  <si>
    <t>XVII.비지배지분</t>
  </si>
  <si>
    <t>XVIII.기타포괄손익</t>
  </si>
  <si>
    <t>XVII.총 포괄손익의 귀속</t>
  </si>
  <si>
    <t>　　2.법인세비용차감후기타포괄손익, 확정급여제도의 재측정손익</t>
  </si>
  <si>
    <t>　　1.매도가능금융자산</t>
  </si>
  <si>
    <t>　　2.해외산업환산손익</t>
  </si>
  <si>
    <t>　　3.당기손익으로 재분류될 수 있는 항목의 법인세</t>
  </si>
  <si>
    <t>　　1.계속영업기본주당이익(손실)</t>
  </si>
  <si>
    <t>XIX.총포괄손익</t>
  </si>
  <si>
    <t>XX.당기순이익(손실)의 귀속</t>
  </si>
  <si>
    <t>　　1.계속영업희석주당이익(손실)</t>
  </si>
  <si>
    <t>XXI.포괄손익의 귀속</t>
  </si>
  <si>
    <t>XXⅡ.주당이익</t>
  </si>
  <si>
    <t>　　2.중단영업기본주당이익(손실)</t>
  </si>
  <si>
    <t>　　2.중단영업희석주당이익(손실)</t>
  </si>
  <si>
    <t>　　1.중단영업처분이익</t>
  </si>
  <si>
    <t>　　2.법인세비용</t>
  </si>
  <si>
    <t>　　3.이자수익</t>
  </si>
  <si>
    <t>　　5.충당부채전입액</t>
  </si>
  <si>
    <t>　　4.이자비용</t>
  </si>
  <si>
    <t>　　6.퇴직급여</t>
  </si>
  <si>
    <t>　　5.대손상각비</t>
  </si>
  <si>
    <t>　　7.감가상각비</t>
  </si>
  <si>
    <t>　　8.외화환산손실</t>
  </si>
  <si>
    <t>　　7.판매보증충당부채전입</t>
  </si>
  <si>
    <t>　　9.외화환산이익</t>
  </si>
  <si>
    <t>　　8.기타충당부채전입</t>
  </si>
  <si>
    <t>　　9.종속기업투자주식처분이익</t>
  </si>
  <si>
    <t>　　10.외화환산손실</t>
  </si>
  <si>
    <t>　　12.유형자산처분이익</t>
  </si>
  <si>
    <t>　　11.외화환산이익</t>
  </si>
  <si>
    <t>　　13.무형자산처분손실</t>
  </si>
  <si>
    <t>　　12.감가상각비</t>
  </si>
  <si>
    <t>　　13.무형자산상각비</t>
  </si>
  <si>
    <t>　　15.파생금융상품평가이익</t>
  </si>
  <si>
    <t>　　14.유형자산처분손실</t>
  </si>
  <si>
    <t>　　15.투자자산처분손실</t>
  </si>
  <si>
    <t>　　16.투자자산처분이익</t>
  </si>
  <si>
    <t>　　17.유형자산처분이익</t>
  </si>
  <si>
    <t>　　18.무형자산처분손실</t>
  </si>
  <si>
    <t>　　19.파생상품평가손실</t>
  </si>
  <si>
    <t>　　20.파생상품평가이익</t>
  </si>
  <si>
    <t>　　21.당기손익으로 인식된 손상차손(손상차손환입)</t>
  </si>
  <si>
    <t>　　22.매출채권의 감소(증가)</t>
  </si>
  <si>
    <t>　　23.기타채권의 감소(증가)</t>
  </si>
  <si>
    <t>　　24.기타자산의 감소(증가)</t>
  </si>
  <si>
    <t>　　10.제품보증충당부채의 증가(감소)</t>
  </si>
  <si>
    <t>　　25.재고자산의 감소(증가)</t>
  </si>
  <si>
    <t>　　26.파생상품자산의 감소(증가)</t>
  </si>
  <si>
    <t>　　12.퇴직급여채무의 증가(감소)</t>
  </si>
  <si>
    <t>　　27.매입채무의 증가(감소)</t>
  </si>
  <si>
    <t>　　13.사외적립자산의공정가치의 감소(증가)</t>
  </si>
  <si>
    <t>　　28.기타채무의 증가(감소)</t>
  </si>
  <si>
    <t>　　29.기타부채의 증가(감소)</t>
  </si>
  <si>
    <t>　　30.파생상품부채의 증가(감소)</t>
  </si>
  <si>
    <t>　　31.충당부채의 증가(감소)</t>
  </si>
  <si>
    <t>　　32.제품보증충당부채의 증가(감소)</t>
  </si>
  <si>
    <t>　(1)금융상품의 취득</t>
  </si>
  <si>
    <t>　　33.퇴직금의 지급</t>
  </si>
  <si>
    <t>　(2)금융상품의 처분</t>
  </si>
  <si>
    <t>　　34.사외적립자산의공정가치의 증가(감소)</t>
  </si>
  <si>
    <t>　(3)매도가능금융자산의 취득</t>
  </si>
  <si>
    <t>　(4)매도가능금융자산의 처분</t>
  </si>
  <si>
    <t>　(5)유형자산의 취득</t>
  </si>
  <si>
    <t>　(6)유형자산의 처분</t>
  </si>
  <si>
    <t>　(7)무형자산의 취득</t>
  </si>
  <si>
    <t>　(8)무형자산의 처분</t>
  </si>
  <si>
    <t>　(2)매도가능금융자산의 취득</t>
  </si>
  <si>
    <t>　(9)대여금및수취채권의 취득</t>
  </si>
  <si>
    <t>　(3)매도가능금융자산의 처분</t>
  </si>
  <si>
    <t>　(10)대여금및수취채권의 처분</t>
  </si>
  <si>
    <t>　(4)유형자산의 취득</t>
  </si>
  <si>
    <t>　(5)유형자산의 처분</t>
  </si>
  <si>
    <t>　(6)무형자산의 취득</t>
  </si>
  <si>
    <t>　(7)무형자산의 처분</t>
  </si>
  <si>
    <t>　(8)대여금및수취채권의 취득</t>
  </si>
  <si>
    <t>　(9)대여금및수취채권의 처분</t>
  </si>
  <si>
    <t>　(10)종속기업과 기타 사업의 지배력 상실에 따른 현금흐름</t>
  </si>
  <si>
    <t>　(6)배당금지급</t>
  </si>
  <si>
    <t>　(11)종속기업과 기타 사업의 지배력 획득에 따른 현금흐름</t>
  </si>
  <si>
    <t>　(8)주식의 발행</t>
  </si>
  <si>
    <t>　(9)비지배의증가</t>
  </si>
  <si>
    <t>　(10)분할로인한 증감</t>
  </si>
  <si>
    <t>Ⅵ.연결대상범위의 변동</t>
  </si>
  <si>
    <t>Ⅶ.현금및현금성자산에 대한 환율변동효과</t>
  </si>
  <si>
    <t>Ⅷ.기말현금및현금성자산</t>
  </si>
  <si>
    <t>IBD</t>
    <phoneticPr fontId="25" type="noConversion"/>
  </si>
  <si>
    <t>NI</t>
    <phoneticPr fontId="25" type="noConversion"/>
  </si>
  <si>
    <t>제 58 기 3분기말 2017.09.30 현재</t>
  </si>
  <si>
    <t>제 57 기말          2016.12.31 현재</t>
  </si>
  <si>
    <t>제 58 기 3분기말</t>
  </si>
  <si>
    <t>제 57 기말</t>
  </si>
  <si>
    <t>　　　현금성자산</t>
  </si>
  <si>
    <t>　　　매출채권</t>
  </si>
  <si>
    <t>　　　대손충당금</t>
  </si>
  <si>
    <t>　　　단기미수금</t>
  </si>
  <si>
    <t>　　　단기미수수익</t>
  </si>
  <si>
    <t>　　　단기선급금</t>
  </si>
  <si>
    <t>　　　단기선급비용</t>
  </si>
  <si>
    <t>　　　단기대여금</t>
  </si>
  <si>
    <t>　　　상품</t>
  </si>
  <si>
    <t>　　　평가충당금</t>
  </si>
  <si>
    <t>　　　재공품</t>
  </si>
  <si>
    <t>　　　제품</t>
  </si>
  <si>
    <t>　　　저장품</t>
  </si>
  <si>
    <t>　　　미착품</t>
  </si>
  <si>
    <t>　　　기타재고</t>
  </si>
  <si>
    <t>　　　유동당기손익인식지정금융자산</t>
  </si>
  <si>
    <t>　　　장기매출채권</t>
  </si>
  <si>
    <t>　　　장기미수금</t>
  </si>
  <si>
    <t>　　　장기미수수익</t>
  </si>
  <si>
    <t>　　　장기대여금</t>
  </si>
  <si>
    <t>　　　장기임차보증금</t>
  </si>
  <si>
    <t>　　　토지</t>
  </si>
  <si>
    <t>　　　건물</t>
  </si>
  <si>
    <t>　　　감가상각누계액</t>
  </si>
  <si>
    <t>　　　구축물</t>
  </si>
  <si>
    <t>　　　손상차손누계액</t>
  </si>
  <si>
    <t>　　　기계장치</t>
  </si>
  <si>
    <t>　　　차량운반구</t>
  </si>
  <si>
    <t>　　　금융리스자산</t>
  </si>
  <si>
    <t>　　　사무용비품</t>
  </si>
  <si>
    <t>　　　건설중인자산</t>
  </si>
  <si>
    <t>　　　렌탈자산</t>
  </si>
  <si>
    <t>　　　기타유형자산</t>
  </si>
  <si>
    <t>　　영업권 이외의 무형자산</t>
  </si>
  <si>
    <t>　　　컴퓨터소프트웨어</t>
  </si>
  <si>
    <t>　　　회원권</t>
  </si>
  <si>
    <t>　　　기타무형자산</t>
  </si>
  <si>
    <t>　　　비유동매도가능금융자산</t>
  </si>
  <si>
    <t>　　　단기매입채무</t>
  </si>
  <si>
    <t>　　　단기미지급금</t>
  </si>
  <si>
    <t>　　　미지급배당금</t>
  </si>
  <si>
    <t>　　　단기미지급비용</t>
  </si>
  <si>
    <t>　　　단기임대보증금</t>
  </si>
  <si>
    <t>　　　단기예수금</t>
  </si>
  <si>
    <t>　　　부가가치세예수금</t>
  </si>
  <si>
    <t>　　　단기선수금</t>
  </si>
  <si>
    <t>　　　단기이연수익</t>
  </si>
  <si>
    <t>　　　단기선수수익</t>
  </si>
  <si>
    <t>　　　단기차입금</t>
  </si>
  <si>
    <t>　　　유동성장기차입금</t>
  </si>
  <si>
    <t>　　　유동성사채</t>
  </si>
  <si>
    <t>　　　유동성금융리스부채</t>
  </si>
  <si>
    <t>　　기타유동금융부채</t>
  </si>
  <si>
    <t>　　　유동금융보증부채</t>
  </si>
  <si>
    <t>　　　유동판매보증충당부채</t>
  </si>
  <si>
    <t>　　　장기예수보증금</t>
  </si>
  <si>
    <t>　　　장기차입금</t>
  </si>
  <si>
    <t>　　　비유동금융리스부채</t>
  </si>
  <si>
    <t>　　　비유동금융보증부채</t>
  </si>
  <si>
    <t>　　　비유동종업원급여충당부채</t>
  </si>
  <si>
    <t>　　　그 밖의 기타장기충당부채</t>
  </si>
  <si>
    <t>　　　확정급여채무의현재가치</t>
  </si>
  <si>
    <t>BV</t>
    <phoneticPr fontId="25" type="noConversion"/>
  </si>
  <si>
    <t>　　　주식발행초과금</t>
  </si>
  <si>
    <t>　　　자기주식</t>
  </si>
  <si>
    <t>　　　기타자본조정</t>
  </si>
  <si>
    <t>　　　매도가능금융자산평가손실</t>
  </si>
  <si>
    <t>　　　지분법기타포괄손익변동</t>
  </si>
  <si>
    <t>　　　이익준비금</t>
  </si>
  <si>
    <t>　　　임의적립금</t>
  </si>
  <si>
    <t>　　　유형자산재평가차익</t>
  </si>
  <si>
    <t>　　　재측정요소</t>
  </si>
  <si>
    <t>　　　미처분이익잉여금(미처리결손금)</t>
  </si>
  <si>
    <t>제 58 기 3분기 2017.01.01 부터 2017.09.30 까지</t>
  </si>
  <si>
    <t>제 57 기 2016.01.01 부터 2016.12.31 까지</t>
  </si>
  <si>
    <t>제 57 기 3분기 2016.01.01 부터 2016.09.30 까지</t>
  </si>
  <si>
    <t>제 56 기 2015.01.01 부터 2015.12.31 까지</t>
  </si>
  <si>
    <t>제 55 기 2014.01.01 부터 2014.12.31 까지</t>
  </si>
  <si>
    <t>제 58 기 3분기</t>
  </si>
  <si>
    <t>제 57 기 3분기</t>
  </si>
  <si>
    <t>제 57 기</t>
  </si>
  <si>
    <t>제 56 기</t>
  </si>
  <si>
    <t>제 55 기</t>
  </si>
  <si>
    <t>Sales</t>
    <phoneticPr fontId="25" type="noConversion"/>
  </si>
  <si>
    <t>매출</t>
  </si>
  <si>
    <t>　재화의 판매로 인한 수익(매출액)</t>
  </si>
  <si>
    <t>　　제품매출액</t>
  </si>
  <si>
    <t>　　상품매출액</t>
  </si>
  <si>
    <t>　용역의 제공으로 인한 수익(매출액)</t>
  </si>
  <si>
    <t>　　임대수익</t>
  </si>
  <si>
    <t>　　정비매출</t>
  </si>
  <si>
    <t>　　오파매출</t>
  </si>
  <si>
    <t>　기타수익(매출액)</t>
  </si>
  <si>
    <t>관계기업에대한 지분법손익</t>
  </si>
  <si>
    <t>　재화의 판매로 인한 수익(매출액)에 대한 매출원가</t>
  </si>
  <si>
    <t>　　제품매출원가</t>
  </si>
  <si>
    <t>　　상품매출원가</t>
  </si>
  <si>
    <t>계속영업이익(손실)</t>
  </si>
  <si>
    <t>　용역의 제공으로 인한 수익(매출액)에 대한 매출원가</t>
  </si>
  <si>
    <t>중단영업이익(손실)</t>
  </si>
  <si>
    <t>　　임대매출원가/임대수익원가</t>
  </si>
  <si>
    <t>　　정비매출원가</t>
  </si>
  <si>
    <t>　기타수익(매출액)에 대한 매출원가</t>
  </si>
  <si>
    <t>　급여</t>
  </si>
  <si>
    <t>　당기손익으로 재분류되지 않는 항목</t>
  </si>
  <si>
    <t>　퇴직급여</t>
  </si>
  <si>
    <t>　　법인세비용차감후기타포괄손익, 확정급여제도의 재측정손익</t>
  </si>
  <si>
    <t>　복리후생비</t>
  </si>
  <si>
    <t>　당기손익으로 재분류되는 항목</t>
  </si>
  <si>
    <t>　보험료</t>
  </si>
  <si>
    <t>　　매도가능금융자산평가</t>
  </si>
  <si>
    <t>　감가상각비</t>
  </si>
  <si>
    <t>　　관계기업기타포괄손익에 대한 지분해당액</t>
  </si>
  <si>
    <t>　무형자산상각비</t>
  </si>
  <si>
    <t>　　외화환산외환차이</t>
  </si>
  <si>
    <t>　대손상각비(대손충당금환입)</t>
  </si>
  <si>
    <t>　지급수수료</t>
  </si>
  <si>
    <t>　광고선전비</t>
  </si>
  <si>
    <t>　교육회의비</t>
  </si>
  <si>
    <t>　차량유지비</t>
  </si>
  <si>
    <t>　도서인쇄비</t>
  </si>
  <si>
    <t>　접대비</t>
  </si>
  <si>
    <t>　　계속영업기본주당이익(손실)</t>
  </si>
  <si>
    <t>　임차료</t>
  </si>
  <si>
    <t>　　중단영업기본주당이익(손실)</t>
  </si>
  <si>
    <t>　통신비</t>
  </si>
  <si>
    <t>　운반비</t>
  </si>
  <si>
    <t>　　계속영업희석주당이익(손실)</t>
  </si>
  <si>
    <t>　세금과공과</t>
  </si>
  <si>
    <t>　　중단영업희석주당이익(손실)</t>
  </si>
  <si>
    <t>　소모품비</t>
  </si>
  <si>
    <t>　수도광열비</t>
  </si>
  <si>
    <t>　수선비</t>
  </si>
  <si>
    <t>　여비교통비</t>
  </si>
  <si>
    <t>　반품비용</t>
  </si>
  <si>
    <t>　외주용역비</t>
  </si>
  <si>
    <t>　판매보증비</t>
  </si>
  <si>
    <t>　판매촉진비</t>
  </si>
  <si>
    <t>　유형자산처분이익</t>
  </si>
  <si>
    <t>　재고자산평가손실환입</t>
  </si>
  <si>
    <t>　수입임대료</t>
  </si>
  <si>
    <t>　잡이익</t>
  </si>
  <si>
    <t>　유형자산처분손실</t>
  </si>
  <si>
    <t>　유형자산폐기손실</t>
  </si>
  <si>
    <t>　무형자산손상차손</t>
  </si>
  <si>
    <t>　단기매매금융자산처분손실</t>
  </si>
  <si>
    <t>　매출채권처분손실</t>
  </si>
  <si>
    <t>　재고자산평가손실</t>
  </si>
  <si>
    <t>　재고자산폐기손실</t>
  </si>
  <si>
    <t>　기타의대손상각비</t>
  </si>
  <si>
    <t>　기타의감가상각비</t>
  </si>
  <si>
    <t>　기부금</t>
  </si>
  <si>
    <t>　잡손실</t>
  </si>
  <si>
    <t>　이자수익</t>
  </si>
  <si>
    <t>　금융보증부채환입</t>
  </si>
  <si>
    <t>　배당금수익(금융수익)</t>
  </si>
  <si>
    <t>　외화환산이익(금융수익)</t>
  </si>
  <si>
    <t>　외환차익(금융수익)</t>
  </si>
  <si>
    <t>　통화선도거래이익(금융수익)</t>
  </si>
  <si>
    <t>　통화선도평가이익(금융수익)</t>
  </si>
  <si>
    <t>　이자비용</t>
  </si>
  <si>
    <t>　외화환산손실(금융원가)</t>
  </si>
  <si>
    <t>　외환차손(금융원가)</t>
  </si>
  <si>
    <t>　통화선도거래손실(금융원가)</t>
  </si>
  <si>
    <t>　통화선도평가손실(금융원가)</t>
  </si>
  <si>
    <t>　　지분법 적용대상 관계기업과 공동기업의 기타포괄손익에 대한 지분(세후기타포괄손익)</t>
  </si>
  <si>
    <t>　영업에서 창출된 현금흐름</t>
  </si>
  <si>
    <t>　　장기종업원급여비용</t>
  </si>
  <si>
    <t>　장기금융상품의 처분</t>
  </si>
  <si>
    <t>　　충당부채전입액</t>
  </si>
  <si>
    <t>　통화선도(유입)</t>
  </si>
  <si>
    <t>　장기대여금의 회수</t>
  </si>
  <si>
    <t>　단기대여금의 회수</t>
  </si>
  <si>
    <t>　종속기업투자주식의 처분</t>
  </si>
  <si>
    <t>　　통화선도거래손실</t>
  </si>
  <si>
    <t>　관계기업에 대한 투자자산의 처분</t>
  </si>
  <si>
    <t>　　통화선도평가손실</t>
  </si>
  <si>
    <t>　　판매보증비환입</t>
  </si>
  <si>
    <t>　장기금융상품의 취득</t>
  </si>
  <si>
    <t>　　매출채권처분손실</t>
  </si>
  <si>
    <t>　　통화선도거래이익</t>
  </si>
  <si>
    <t>　통화선도(유출)</t>
  </si>
  <si>
    <t>　　금융보증비용환입</t>
  </si>
  <si>
    <t>　수입보증금 증가</t>
  </si>
  <si>
    <t>　　기타충당부채의 환입</t>
  </si>
  <si>
    <t>　신주인수권의 행사</t>
  </si>
  <si>
    <t>　　매출채권 및 기타채권의 감소(증가)</t>
  </si>
  <si>
    <t>　유동성장기차입금 상환</t>
  </si>
  <si>
    <t>　사채의 상환</t>
  </si>
  <si>
    <t>　　미수수익의 감소(증가)</t>
  </si>
  <si>
    <t>　신주인수권부사채 상환</t>
  </si>
  <si>
    <t>　　보증금의 감소(증가)</t>
  </si>
  <si>
    <t>　금융리스부채의 지급</t>
  </si>
  <si>
    <t>　신주인수권 매입</t>
  </si>
  <si>
    <t>　　부가가치세 선급금의 감소(증가)</t>
  </si>
  <si>
    <t>　수입보증금 감소</t>
  </si>
  <si>
    <t>　　이연법인세자산의 감소(증가)</t>
  </si>
  <si>
    <t>현금및현금성자산의 순증가(감소)</t>
  </si>
  <si>
    <t>　　매입채무 및 기타유동채무의 증가(감소)</t>
  </si>
  <si>
    <t>　　미지급배당금의 증가(감소)</t>
  </si>
  <si>
    <t>당기)</t>
  </si>
  <si>
    <t>(단위 : 천원)</t>
  </si>
  <si>
    <t>구분</t>
  </si>
  <si>
    <t>토지</t>
  </si>
  <si>
    <t>건물</t>
  </si>
  <si>
    <t>구축물</t>
  </si>
  <si>
    <t>기계장치</t>
  </si>
  <si>
    <t>운용리스</t>
  </si>
  <si>
    <t>시설장치</t>
  </si>
  <si>
    <t>　　퇴직급여채무의 증가(감소)</t>
  </si>
  <si>
    <t>기초 장부금액</t>
  </si>
  <si>
    <t>폐기/처분</t>
  </si>
  <si>
    <t>대체</t>
  </si>
  <si>
    <t>　현금의기타유입(유출)</t>
  </si>
  <si>
    <t>기말</t>
  </si>
  <si>
    <t>　임차보증금의 감소</t>
  </si>
  <si>
    <t>　임차보증금의 증가</t>
  </si>
  <si>
    <t>손상차손누계액</t>
  </si>
  <si>
    <t>　통화선도 처분</t>
  </si>
  <si>
    <t>　통화선도 취득</t>
  </si>
  <si>
    <t>(당기)</t>
  </si>
  <si>
    <t>차량운반구</t>
  </si>
  <si>
    <t>비품</t>
  </si>
  <si>
    <t>공구와</t>
  </si>
  <si>
    <t>금융리스</t>
  </si>
  <si>
    <t>건설중인</t>
  </si>
  <si>
    <t>합계</t>
  </si>
  <si>
    <t>기구</t>
  </si>
  <si>
    <t>　종속기업에 대한 투자자산의 처분</t>
  </si>
  <si>
    <t>　대여금의 증가</t>
  </si>
  <si>
    <t>　연결자본거래로 인한 현금유입</t>
  </si>
  <si>
    <t>상여금</t>
    <phoneticPr fontId="1" type="noConversion"/>
  </si>
  <si>
    <t>잡급</t>
    <phoneticPr fontId="1" type="noConversion"/>
  </si>
  <si>
    <t>퇴직급여</t>
    <phoneticPr fontId="1" type="noConversion"/>
  </si>
  <si>
    <t>복리후생비</t>
    <phoneticPr fontId="1" type="noConversion"/>
  </si>
  <si>
    <t>경상연구개발비</t>
    <phoneticPr fontId="1" type="noConversion"/>
  </si>
  <si>
    <t>운반비</t>
    <phoneticPr fontId="1" type="noConversion"/>
  </si>
  <si>
    <t>포장비</t>
    <phoneticPr fontId="1" type="noConversion"/>
  </si>
  <si>
    <t>지급수수료</t>
    <phoneticPr fontId="1" type="noConversion"/>
  </si>
  <si>
    <t>외주비</t>
    <phoneticPr fontId="1" type="noConversion"/>
  </si>
  <si>
    <t>잡비</t>
    <phoneticPr fontId="1" type="noConversion"/>
  </si>
  <si>
    <t>용역비</t>
    <phoneticPr fontId="1" type="noConversion"/>
  </si>
  <si>
    <t>여비교통비</t>
    <phoneticPr fontId="1" type="noConversion"/>
  </si>
  <si>
    <t>전력비</t>
    <phoneticPr fontId="1" type="noConversion"/>
  </si>
  <si>
    <t>세금과공과금</t>
    <phoneticPr fontId="1" type="noConversion"/>
  </si>
  <si>
    <t>지급임차료</t>
    <phoneticPr fontId="1" type="noConversion"/>
  </si>
  <si>
    <t>수선비</t>
    <phoneticPr fontId="1" type="noConversion"/>
  </si>
  <si>
    <t>보험료</t>
    <phoneticPr fontId="1" type="noConversion"/>
  </si>
  <si>
    <t>차량유지비</t>
    <phoneticPr fontId="1" type="noConversion"/>
  </si>
  <si>
    <t>교육훈련비</t>
    <phoneticPr fontId="1" type="noConversion"/>
  </si>
  <si>
    <t>도서인쇄비</t>
    <phoneticPr fontId="1" type="noConversion"/>
  </si>
  <si>
    <t>사무용품비</t>
    <phoneticPr fontId="1" type="noConversion"/>
  </si>
  <si>
    <t>소모품비</t>
    <phoneticPr fontId="1" type="noConversion"/>
  </si>
  <si>
    <t>소모공구비</t>
    <phoneticPr fontId="1" type="noConversion"/>
  </si>
  <si>
    <t>수도광열비</t>
    <phoneticPr fontId="1" type="noConversion"/>
  </si>
  <si>
    <t>% of COGS</t>
    <phoneticPr fontId="1" type="noConversion"/>
  </si>
  <si>
    <t>원재료비</t>
    <phoneticPr fontId="1" type="noConversion"/>
  </si>
  <si>
    <t>회사로부터 판관비/매출원가 배분 인력에 대한 확인 / 인력 계획 인터뷰 후 반영 예정</t>
    <phoneticPr fontId="1" type="noConversion"/>
  </si>
  <si>
    <t>활선차</t>
  </si>
  <si>
    <t>크레인</t>
  </si>
  <si>
    <t>기타</t>
  </si>
  <si>
    <t>DHS 433</t>
  </si>
  <si>
    <t>DHS 433M</t>
  </si>
  <si>
    <t>DHS 433L</t>
  </si>
  <si>
    <t>DH SUPER 3000</t>
  </si>
  <si>
    <t>DHS 870</t>
  </si>
  <si>
    <t>AUGER CRANE(5TON)</t>
  </si>
  <si>
    <t>DHS 930</t>
  </si>
  <si>
    <t>DHA 102AP</t>
  </si>
  <si>
    <t>DHS 920</t>
  </si>
  <si>
    <t>DHAS 120AP</t>
  </si>
  <si>
    <t>DH SUPER 3000A(R)</t>
  </si>
  <si>
    <t>DHS 950L</t>
  </si>
  <si>
    <t>DHS 105AP</t>
  </si>
  <si>
    <t>DHS 1200L</t>
  </si>
  <si>
    <t>DHS 125AP</t>
  </si>
  <si>
    <t>DHS 15AP</t>
  </si>
  <si>
    <t>DHAS 140SS</t>
  </si>
  <si>
    <t>DHS 17AP</t>
  </si>
  <si>
    <t>DHS 108SKY</t>
  </si>
  <si>
    <t>DHS 1800</t>
  </si>
  <si>
    <t>DHS 250AP</t>
  </si>
  <si>
    <t>DHS 280AP</t>
  </si>
  <si>
    <t>DHS 130SKY</t>
  </si>
  <si>
    <t>DHT 105S</t>
  </si>
  <si>
    <t>DHS 14</t>
  </si>
  <si>
    <t>DHT 110</t>
  </si>
  <si>
    <t>DHS 433HC</t>
  </si>
  <si>
    <t>DHS 7526</t>
  </si>
  <si>
    <t>DHS 534</t>
  </si>
  <si>
    <t>DHS 190SKY</t>
  </si>
  <si>
    <t>DHS 19AP</t>
  </si>
  <si>
    <t>DHS 706</t>
  </si>
  <si>
    <t>DHS 930(R)</t>
  </si>
  <si>
    <t>DHS 950L(R)</t>
  </si>
  <si>
    <t>DHT 150AS</t>
  </si>
  <si>
    <t>DHT 150S</t>
  </si>
  <si>
    <t>DHT 160AS</t>
  </si>
  <si>
    <t>DHT 160S</t>
  </si>
  <si>
    <t>DHT 180S</t>
  </si>
  <si>
    <t>이동정비탑차</t>
  </si>
  <si>
    <t>코란도이동정비차</t>
  </si>
  <si>
    <t>ALPHA 12000</t>
  </si>
  <si>
    <t>DH SUPER 3000A</t>
  </si>
  <si>
    <t>경비 (변동비성 경비)</t>
    <phoneticPr fontId="1" type="noConversion"/>
  </si>
  <si>
    <t>경비 (고정비성 경비)</t>
    <phoneticPr fontId="1" type="noConversion"/>
  </si>
  <si>
    <t>% of 활선차 매출액</t>
    <phoneticPr fontId="1" type="noConversion"/>
  </si>
  <si>
    <t>(단위:원)</t>
  </si>
  <si>
    <t/>
  </si>
  <si>
    <t>모델별 매출원가 (2014)</t>
    <phoneticPr fontId="1" type="noConversion"/>
  </si>
  <si>
    <t>모델별 매출원가 (2015)</t>
    <phoneticPr fontId="1" type="noConversion"/>
  </si>
  <si>
    <t>모델별 매출원가 (2016)</t>
    <phoneticPr fontId="1" type="noConversion"/>
  </si>
  <si>
    <t>(단위 : 원)</t>
    <phoneticPr fontId="1" type="noConversion"/>
  </si>
  <si>
    <t xml:space="preserve">*) </t>
    <phoneticPr fontId="1" type="noConversion"/>
  </si>
  <si>
    <t>(단위: 원)</t>
    <phoneticPr fontId="1" type="noConversion"/>
  </si>
  <si>
    <t>제품명</t>
    <phoneticPr fontId="1" type="noConversion"/>
  </si>
  <si>
    <t>원재료비</t>
    <phoneticPr fontId="1" type="noConversion"/>
  </si>
  <si>
    <t>노무비</t>
    <phoneticPr fontId="1" type="noConversion"/>
  </si>
  <si>
    <t>경비</t>
    <phoneticPr fontId="1" type="noConversion"/>
  </si>
  <si>
    <t>단위당원가</t>
    <phoneticPr fontId="1" type="noConversion"/>
  </si>
  <si>
    <t>노무비</t>
    <phoneticPr fontId="1" type="noConversion"/>
  </si>
  <si>
    <t>경비</t>
    <phoneticPr fontId="1" type="noConversion"/>
  </si>
  <si>
    <t>단위당원가</t>
    <phoneticPr fontId="1" type="noConversion"/>
  </si>
  <si>
    <t>순위</t>
    <phoneticPr fontId="1" type="noConversion"/>
  </si>
  <si>
    <t>구분</t>
    <phoneticPr fontId="1" type="noConversion"/>
  </si>
  <si>
    <t>모델명</t>
    <phoneticPr fontId="1" type="noConversion"/>
  </si>
  <si>
    <t>원재료비</t>
  </si>
  <si>
    <t>노무비</t>
  </si>
  <si>
    <t>경비</t>
  </si>
  <si>
    <t>단위당원가</t>
  </si>
  <si>
    <t>순위</t>
    <phoneticPr fontId="1" type="noConversion"/>
  </si>
  <si>
    <t>DHS-433</t>
  </si>
  <si>
    <t>ALPHA-12000N</t>
  </si>
  <si>
    <t>크레인</t>
    <phoneticPr fontId="1" type="noConversion"/>
  </si>
  <si>
    <t>DHS-920</t>
  </si>
  <si>
    <t>ALPHA-5000N</t>
  </si>
  <si>
    <t>소형 고소작업차</t>
    <phoneticPr fontId="1" type="noConversion"/>
  </si>
  <si>
    <t>DHS-534</t>
  </si>
  <si>
    <t>DHS-930</t>
  </si>
  <si>
    <t>DHA-102AP</t>
  </si>
  <si>
    <t>DHS-870</t>
  </si>
  <si>
    <t>DHS-988</t>
  </si>
  <si>
    <t>DHAS-120AP</t>
  </si>
  <si>
    <t>DHS-950L</t>
  </si>
  <si>
    <t>DHS-102AP</t>
  </si>
  <si>
    <t>DHS-105AP</t>
  </si>
  <si>
    <t>DHS-108SKY</t>
  </si>
  <si>
    <t>DHS-1200L</t>
  </si>
  <si>
    <t>DHS-125AP</t>
  </si>
  <si>
    <t>DH-S3000</t>
  </si>
  <si>
    <t>DHS-1800</t>
  </si>
  <si>
    <t>DHS-130SKY</t>
  </si>
  <si>
    <t>DHS-190SKY</t>
  </si>
  <si>
    <t>DHS-15AP</t>
  </si>
  <si>
    <t>DHS-17AP</t>
  </si>
  <si>
    <t>DHS-250AP</t>
  </si>
  <si>
    <t>DHS-21AP</t>
  </si>
  <si>
    <t>DHS-280AP</t>
  </si>
  <si>
    <t>DHT-105S</t>
  </si>
  <si>
    <t>활선차</t>
    <phoneticPr fontId="1" type="noConversion"/>
  </si>
  <si>
    <t>크레인</t>
    <phoneticPr fontId="1" type="noConversion"/>
  </si>
  <si>
    <t>DHT-110S</t>
  </si>
  <si>
    <t>DHT-145AS</t>
  </si>
  <si>
    <t>DHT-145S</t>
  </si>
  <si>
    <t>DHT-150S</t>
  </si>
  <si>
    <t>DHS-7526</t>
  </si>
  <si>
    <t>DHT-150AS</t>
  </si>
  <si>
    <t>DHT-160S</t>
  </si>
  <si>
    <t>DHT-160AS</t>
  </si>
  <si>
    <t>소형 고소작업차</t>
    <phoneticPr fontId="1" type="noConversion"/>
  </si>
  <si>
    <t>HWD200</t>
  </si>
  <si>
    <t>기초 기말 재고 고려</t>
    <phoneticPr fontId="1" type="noConversion"/>
  </si>
  <si>
    <t>*) 2017년 11월 기준 원가세부 내역 수령 필요</t>
    <phoneticPr fontId="1" type="noConversion"/>
  </si>
  <si>
    <t>활선차</t>
    <phoneticPr fontId="1" type="noConversion"/>
  </si>
  <si>
    <t>고소작업차</t>
    <phoneticPr fontId="1" type="noConversion"/>
  </si>
  <si>
    <t>베트남</t>
    <phoneticPr fontId="1" type="noConversion"/>
  </si>
  <si>
    <t>FY2017</t>
    <phoneticPr fontId="1" type="noConversion"/>
  </si>
  <si>
    <t>원재료비</t>
    <phoneticPr fontId="1" type="noConversion"/>
  </si>
  <si>
    <t>제품구분</t>
    <phoneticPr fontId="1" type="noConversion"/>
  </si>
  <si>
    <t>2016년 하락 사유 : 과거 지사 운영 전에는 DM/카탈로그 영업을 수행하였음. 최근에는 맨투맨 영업으로 해당 비용이 감소하여 광고선전비 하락</t>
    <phoneticPr fontId="1" type="noConversion"/>
  </si>
  <si>
    <t>환경 정비, 조경 등에 대한 발생 비용</t>
    <phoneticPr fontId="1" type="noConversion"/>
  </si>
  <si>
    <t>대표이사 개인부지에 대한 임대료 및 연구소 임차료로 구성</t>
    <phoneticPr fontId="1" type="noConversion"/>
  </si>
  <si>
    <t>탁송용역 비용으로 판매대수와 함께 증가하는 부분</t>
    <phoneticPr fontId="1" type="noConversion"/>
  </si>
  <si>
    <t>대부분 동해중공업 외주비용으로 구성</t>
    <phoneticPr fontId="1" type="noConversion"/>
  </si>
  <si>
    <t>노후화된 건축물에 대한 수선(방수 및 도장)이 대부분이며 수선비와 자본적 지출 구분은 세법에 따라 구분</t>
    <phoneticPr fontId="1" type="noConversion"/>
  </si>
  <si>
    <t>대손상각비는 년말 기준 외상대 기준 충당금 설정으로 변동이 되며 12월 말 기준 대기업 및 관공서 외상대가 증가하는 경우 일시적으로 증가 가능성 보유</t>
    <phoneticPr fontId="1" type="noConversion"/>
  </si>
  <si>
    <t>매출원가상 차량유지비는 시험 테스트용 차량에 소요되는 비용으로 노후화된 차량이 매각되어 감소함</t>
    <phoneticPr fontId="1" type="noConversion"/>
  </si>
  <si>
    <t>전력비는 16년도 동해중공업으로 공정 이관으로 인해 감소</t>
    <phoneticPr fontId="1" type="noConversion"/>
  </si>
  <si>
    <t>교육훈련비는 정부지원사업으로 대체하며 무료교육이 증가하여 비용 감소</t>
    <phoneticPr fontId="1" type="noConversion"/>
  </si>
  <si>
    <t>차량에 지급되는 소모공구류가 새로이 추가되어 상승</t>
    <phoneticPr fontId="1" type="noConversion"/>
  </si>
  <si>
    <t>항공매출</t>
    <phoneticPr fontId="1" type="noConversion"/>
  </si>
  <si>
    <t>필리핀</t>
    <phoneticPr fontId="1" type="noConversion"/>
  </si>
  <si>
    <t>고소작업차</t>
    <phoneticPr fontId="1" type="noConversion"/>
  </si>
  <si>
    <t>중국</t>
    <phoneticPr fontId="1" type="noConversion"/>
  </si>
  <si>
    <t>재고자산</t>
    <phoneticPr fontId="1" type="noConversion"/>
  </si>
  <si>
    <t>기타</t>
    <phoneticPr fontId="1" type="noConversion"/>
  </si>
  <si>
    <t>고소작업차</t>
    <phoneticPr fontId="1" type="noConversion"/>
  </si>
  <si>
    <t>활선차</t>
    <phoneticPr fontId="1" type="noConversion"/>
  </si>
  <si>
    <t>크레인</t>
    <phoneticPr fontId="1" type="noConversion"/>
  </si>
  <si>
    <t>기타</t>
    <phoneticPr fontId="1" type="noConversion"/>
  </si>
  <si>
    <t>원재료비</t>
    <phoneticPr fontId="1" type="noConversion"/>
  </si>
  <si>
    <t>(단위: 원)</t>
    <phoneticPr fontId="1" type="noConversion"/>
  </si>
  <si>
    <t>합계</t>
    <phoneticPr fontId="1" type="noConversion"/>
  </si>
  <si>
    <t>노무비</t>
    <phoneticPr fontId="1" type="noConversion"/>
  </si>
  <si>
    <t>경비</t>
    <phoneticPr fontId="1" type="noConversion"/>
  </si>
  <si>
    <t>과거 3개년 평균 매출액 대비 비율 유지 가정</t>
    <phoneticPr fontId="1" type="noConversion"/>
  </si>
  <si>
    <t>서비스 매출</t>
    <phoneticPr fontId="1" type="noConversion"/>
  </si>
  <si>
    <t xml:space="preserve">% of 제품매출 </t>
    <phoneticPr fontId="1" type="noConversion"/>
  </si>
  <si>
    <t>AIR COMPRESSOR</t>
  </si>
  <si>
    <t>2000-07-01</t>
  </si>
  <si>
    <t>2002-10-28</t>
  </si>
  <si>
    <t>2008-02-29</t>
  </si>
  <si>
    <t>DUDT COLLECTOR</t>
  </si>
  <si>
    <t>1998-04-15</t>
  </si>
  <si>
    <t>PAINTING BOOTH</t>
  </si>
  <si>
    <t>1998-04-27</t>
  </si>
  <si>
    <t>디지탈</t>
  </si>
  <si>
    <t>MILLING(CMT-1100)</t>
  </si>
  <si>
    <t>수전설비(본사)</t>
  </si>
  <si>
    <t>1998-05-28</t>
  </si>
  <si>
    <t>2T HOIST(A동-6대)</t>
  </si>
  <si>
    <t>1998-06-27</t>
  </si>
  <si>
    <t>2.8T HOIST(A동-4대)</t>
  </si>
  <si>
    <t>5T HOIST(자재)</t>
  </si>
  <si>
    <t>호이스트</t>
  </si>
  <si>
    <t>1999-04-20</t>
  </si>
  <si>
    <t>AIR COMP</t>
  </si>
  <si>
    <t>BLITTER</t>
  </si>
  <si>
    <t>BAND SW(SA330)</t>
  </si>
  <si>
    <t>BAND SW(HA-450)</t>
  </si>
  <si>
    <t>HOIST</t>
  </si>
  <si>
    <t>LATHER(8010-59)</t>
  </si>
  <si>
    <t>LATHER(WL-580*2000)</t>
  </si>
  <si>
    <t>LATHER(83M)</t>
  </si>
  <si>
    <t>LATHER(WL-380B)</t>
  </si>
  <si>
    <t>LADIAL MACHINE (CDR-1160)</t>
  </si>
  <si>
    <t>닥트공사</t>
  </si>
  <si>
    <t>도로캇팅기</t>
  </si>
  <si>
    <t>복합밀링</t>
  </si>
  <si>
    <t>컴프레샤</t>
  </si>
  <si>
    <t>유압절곡기</t>
  </si>
  <si>
    <t>2000-07-25</t>
  </si>
  <si>
    <t>NC선반</t>
  </si>
  <si>
    <t>2000-11-30</t>
  </si>
  <si>
    <t>CNC 지그보링기(CNC-800B)</t>
  </si>
  <si>
    <t>CNC MILLING (HI-SUPER-4)</t>
  </si>
  <si>
    <t>2001-05-02</t>
  </si>
  <si>
    <t>2.5톤 호이스트제</t>
  </si>
  <si>
    <t>2001-12-17</t>
  </si>
  <si>
    <t>선반HL380*1000</t>
  </si>
  <si>
    <t>2002-06-19</t>
  </si>
  <si>
    <t>호이스트(2.8톤)대구</t>
  </si>
  <si>
    <t>도장설비</t>
  </si>
  <si>
    <t>2003-02-27</t>
  </si>
  <si>
    <t>용접기</t>
  </si>
  <si>
    <t>2003-05-12</t>
  </si>
  <si>
    <t>밀링</t>
  </si>
  <si>
    <t>2003-12-25</t>
  </si>
  <si>
    <t>에어콤프레셔</t>
  </si>
  <si>
    <t>2004-01-06</t>
  </si>
  <si>
    <t>1.8T HOIST</t>
  </si>
  <si>
    <t>2004-01-30</t>
  </si>
  <si>
    <t>2.8T HOIST</t>
  </si>
  <si>
    <t>2006-09-26</t>
  </si>
  <si>
    <t>호스압착기</t>
  </si>
  <si>
    <t>2007-05-03</t>
  </si>
  <si>
    <t>2.8T HOIST(광주)</t>
  </si>
  <si>
    <t>2007-06-18</t>
  </si>
  <si>
    <t>2.8T HOIST(인천)</t>
  </si>
  <si>
    <t>2.8T HOIST(제관)</t>
  </si>
  <si>
    <t>CNC LATHER(HI-TECH 400)</t>
  </si>
  <si>
    <t>2007-06-27</t>
  </si>
  <si>
    <t>CNC HYDRAULIC PRESS BRAKE(NCB 0930)</t>
  </si>
  <si>
    <t>CO2 LASER MACHINE (BYSTA 3015)</t>
  </si>
  <si>
    <t>2007-07-04</t>
  </si>
  <si>
    <t>호스커팅기</t>
  </si>
  <si>
    <t>2007-08-31</t>
  </si>
  <si>
    <t>국소배기장치</t>
  </si>
  <si>
    <t>2007-08-22</t>
  </si>
  <si>
    <t>2007-12-31</t>
  </si>
  <si>
    <t>호이스트(옥천5/10톤)</t>
  </si>
  <si>
    <t>도장부스(옥천)</t>
  </si>
  <si>
    <t>2008-05-26</t>
  </si>
  <si>
    <t>CNC LATHER(SKT 28)</t>
  </si>
  <si>
    <t>2008-06-30</t>
  </si>
  <si>
    <t>2.8T HOIST(도장)</t>
  </si>
  <si>
    <t>2008-12-31</t>
  </si>
  <si>
    <t>5T HOIST (제관품이동용)</t>
  </si>
  <si>
    <t>2.8T HOIST (제관품이동용)</t>
  </si>
  <si>
    <t>2.8T HOIST(완성조립)</t>
  </si>
  <si>
    <t>5T HOIST(완성조립)</t>
  </si>
  <si>
    <t>2009-03-20</t>
  </si>
  <si>
    <t>전동스테커</t>
  </si>
  <si>
    <t>2009-05-22</t>
  </si>
  <si>
    <t>고정식테이블리프트</t>
  </si>
  <si>
    <t>전동포크리프트</t>
  </si>
  <si>
    <t>2.8T HOIST(기흥)</t>
  </si>
  <si>
    <t>2009-06-15</t>
  </si>
  <si>
    <t>2.8T HOIST(강릉)</t>
  </si>
  <si>
    <t>2010-04-07</t>
  </si>
  <si>
    <t>BS복합 축중개조장치</t>
  </si>
  <si>
    <t>2010-09-15</t>
  </si>
  <si>
    <t>2.8T HOIST(사천)</t>
  </si>
  <si>
    <t>2010-07-26</t>
  </si>
  <si>
    <t>2.8T HOIST(제주)</t>
  </si>
  <si>
    <t>2010-11-02</t>
  </si>
  <si>
    <t>2.8T HOIST(남양주)</t>
  </si>
  <si>
    <t>2010-11-30</t>
  </si>
  <si>
    <t>CNC LATHER(HI-TECH 200A)</t>
  </si>
  <si>
    <t>2011-04-11</t>
  </si>
  <si>
    <t>2.8톤 호이스트(제관)</t>
  </si>
  <si>
    <t>2011-04-12</t>
  </si>
  <si>
    <t>2.8T HOIST(본사A/S)</t>
  </si>
  <si>
    <t>2011-05-09</t>
  </si>
  <si>
    <t>도장부스-건조기</t>
  </si>
  <si>
    <t>2011-01-12</t>
  </si>
  <si>
    <t>2011-01-19</t>
  </si>
  <si>
    <t>CNC LATHER(SKT 128L)</t>
  </si>
  <si>
    <t>2011-08-16</t>
  </si>
  <si>
    <t>0.5T HOIST(기흥)</t>
  </si>
  <si>
    <t>2011-11-24</t>
  </si>
  <si>
    <t>0.5T HOIST(남양주)</t>
  </si>
  <si>
    <t>0.5T HOIST(인천)</t>
  </si>
  <si>
    <t>0.5T HOIST(광주)</t>
  </si>
  <si>
    <t>0.5T HOIST(대구)</t>
  </si>
  <si>
    <t>타각기</t>
  </si>
  <si>
    <t>2011-11-28</t>
  </si>
  <si>
    <t>제설기</t>
  </si>
  <si>
    <t>2011-12-23</t>
  </si>
  <si>
    <t>염화칼슘 살포기</t>
  </si>
  <si>
    <t>2011-12-26</t>
  </si>
  <si>
    <t>2.8T HOIST(김해)</t>
  </si>
  <si>
    <t>2011-11-29</t>
  </si>
  <si>
    <t>2012-02-16</t>
  </si>
  <si>
    <t>CNC HYDRAULIC PRESS BRAKE(NCB 60082)</t>
  </si>
  <si>
    <t>2012-03-20</t>
  </si>
  <si>
    <t>2012-03-22</t>
  </si>
  <si>
    <t>5T HOIST(제관)</t>
  </si>
  <si>
    <t>0.5T HOIST(강릉)</t>
  </si>
  <si>
    <t>MACHINE CENTER(MYNX-5400 8K)</t>
  </si>
  <si>
    <t>2012-04-16</t>
  </si>
  <si>
    <t>WACUUM LIFTING DEVIC (KH-16P160)</t>
  </si>
  <si>
    <t>2012-05-31</t>
  </si>
  <si>
    <t>CO2 LASER MACHINE(BYSTA 4025)</t>
  </si>
  <si>
    <t>2012-04-20</t>
  </si>
  <si>
    <t>2.0T HOIST(제관3팀)</t>
  </si>
  <si>
    <t>2012-06-15</t>
  </si>
  <si>
    <t>Oscilloscope Digital TDS2024C</t>
  </si>
  <si>
    <t>2012-07-13</t>
  </si>
  <si>
    <t>2.8T HOIST(연구동)</t>
  </si>
  <si>
    <t>2012-08-27</t>
  </si>
  <si>
    <t>원적외선건조장치</t>
  </si>
  <si>
    <t>2012-12-07</t>
  </si>
  <si>
    <t>ATC 40 TOOL</t>
  </si>
  <si>
    <t>2012-12-27</t>
  </si>
  <si>
    <t>CO2 WELDMASTER(EP-500A)</t>
  </si>
  <si>
    <t>2013-01-24</t>
  </si>
  <si>
    <t>2013-04-30</t>
  </si>
  <si>
    <t>5T HOIST(제주)</t>
  </si>
  <si>
    <t>0.5T HOIST(청원)</t>
  </si>
  <si>
    <t>2013-05-15</t>
  </si>
  <si>
    <t>2.8T HOIST(울산)</t>
  </si>
  <si>
    <t>2013-07-29</t>
  </si>
  <si>
    <t>0.5T HOIST(울산)</t>
  </si>
  <si>
    <t>CO2 WELDMASTER(EP-500M)</t>
  </si>
  <si>
    <t>2013-11-27</t>
  </si>
  <si>
    <t>CO2 WELDMASTER(EP-350M)</t>
  </si>
  <si>
    <t>2014-02-08</t>
  </si>
  <si>
    <t>BALANCE LIFT(ABS150GF-RM)</t>
  </si>
  <si>
    <t>2014-03-31</t>
  </si>
  <si>
    <t>닥트</t>
  </si>
  <si>
    <t>2014-04-25</t>
  </si>
  <si>
    <t>에어컴프라샤</t>
  </si>
  <si>
    <t>SHOT MC</t>
  </si>
  <si>
    <t>2014-05-13</t>
  </si>
  <si>
    <t>가스분석기</t>
  </si>
  <si>
    <t>2014-10-30</t>
  </si>
  <si>
    <t>CNC LATHER(HI-TECH 450B)</t>
  </si>
  <si>
    <t>2014-12-27</t>
  </si>
  <si>
    <t>CNC LATHER(PUMA GT2100)</t>
  </si>
  <si>
    <t>만증재료시험기(HDU-201TC)</t>
  </si>
  <si>
    <t>2015-07-30</t>
  </si>
  <si>
    <t>디지털진동계:1332B(건설기계)</t>
  </si>
  <si>
    <t>2015-07-31</t>
  </si>
  <si>
    <t>로크웰경도계:TH-500(수동)(건설기계)</t>
  </si>
  <si>
    <t>2015-08-11</t>
  </si>
  <si>
    <t>1T HOIST(기흥)</t>
  </si>
  <si>
    <t>승용잔디깍기 LT2216(존스레드)</t>
  </si>
  <si>
    <t>2015-08-26</t>
  </si>
  <si>
    <t>피스톤 에어콤프레샤</t>
  </si>
  <si>
    <t>2015-11-09</t>
  </si>
  <si>
    <t>2TON 호이스트(제관)</t>
  </si>
  <si>
    <t>2016-03-20</t>
  </si>
  <si>
    <t>미니전동 포크리프트(EPS-0415)</t>
  </si>
  <si>
    <t>2016-04-18</t>
  </si>
  <si>
    <t>절곡기</t>
  </si>
  <si>
    <t>2016-06-28</t>
  </si>
  <si>
    <t>수직형머시닝센타MYNX-7500</t>
  </si>
  <si>
    <t>2016-08-20</t>
  </si>
  <si>
    <t>수직형머시닝센타MYNX-6500</t>
  </si>
  <si>
    <t>3D프린터 Cross D500</t>
  </si>
  <si>
    <t>2016-09-20</t>
  </si>
  <si>
    <t>2016-09-26</t>
  </si>
  <si>
    <t>CO2 레이져 가공기</t>
  </si>
  <si>
    <t>2016-09-27</t>
  </si>
  <si>
    <t>진공흡착기(VACUUM LIFTING DEVICE)</t>
  </si>
  <si>
    <t>2016-11-16</t>
  </si>
  <si>
    <t>2016-12-12</t>
  </si>
  <si>
    <t>2.8T 호이스트(전북)</t>
  </si>
  <si>
    <t>2017-01-18</t>
  </si>
  <si>
    <t>1T 호이스트(전북)</t>
  </si>
  <si>
    <t>NC 선반(L280)</t>
  </si>
  <si>
    <t>2017-07-08</t>
  </si>
  <si>
    <t>4주식 리프트(스페셜)</t>
  </si>
  <si>
    <t>2017-08-16</t>
  </si>
  <si>
    <t>유압유니트</t>
  </si>
  <si>
    <t>2017-08-25</t>
  </si>
  <si>
    <t>제어앰프 메니폴드</t>
  </si>
  <si>
    <t>2017-09-04</t>
  </si>
  <si>
    <t>유량센서+앰프</t>
  </si>
  <si>
    <t>2017-09-06</t>
  </si>
  <si>
    <t>밸브 시험용 다이</t>
  </si>
  <si>
    <t>유압작동유 쿨링용 쿨러</t>
  </si>
  <si>
    <t>밸브 시험용 컨트롤 장치</t>
  </si>
  <si>
    <t>2017-10-26</t>
  </si>
  <si>
    <t>ATC 40 TOOL-쌍두보링기</t>
  </si>
  <si>
    <t>2017-11-22</t>
  </si>
  <si>
    <t>프런티어1.4(4759)</t>
  </si>
  <si>
    <t>프런티어 2.5톤(6777)</t>
  </si>
  <si>
    <t>지게차(KDF-30)</t>
  </si>
  <si>
    <t>2003-10-20</t>
  </si>
  <si>
    <t>봉고3밴(7306)</t>
  </si>
  <si>
    <t>2005-02-01</t>
  </si>
  <si>
    <t>모닝(4423)</t>
  </si>
  <si>
    <t>2008-09-24</t>
  </si>
  <si>
    <t>모닝벤(7257)</t>
  </si>
  <si>
    <t>2009-05-07</t>
  </si>
  <si>
    <t>전동 지게차-도요타</t>
  </si>
  <si>
    <t>2009-10-28</t>
  </si>
  <si>
    <t>카렌스(5883)</t>
  </si>
  <si>
    <t>2009-11-06</t>
  </si>
  <si>
    <t>베라크루즈(3927)</t>
  </si>
  <si>
    <t>2009-12-29</t>
  </si>
  <si>
    <t>모닝벤(7143)</t>
  </si>
  <si>
    <t>2010-04-26</t>
  </si>
  <si>
    <t>봉고3 1톤(3026)</t>
  </si>
  <si>
    <t>2010-07-20</t>
  </si>
  <si>
    <t>봉고3 4륜(8327)</t>
  </si>
  <si>
    <t>2011-03-30</t>
  </si>
  <si>
    <t>NF소나타(3425)</t>
  </si>
  <si>
    <t>2011-08-02</t>
  </si>
  <si>
    <t>스타렉스벤(2943)</t>
  </si>
  <si>
    <t>2011-11-04</t>
  </si>
  <si>
    <t>그랜저HG(7868)</t>
  </si>
  <si>
    <t>2012-03-26</t>
  </si>
  <si>
    <t>3.5톤 활선차(3504)</t>
  </si>
  <si>
    <t>2012-04-13</t>
  </si>
  <si>
    <t>전동 지게차</t>
  </si>
  <si>
    <t>2012-06-11</t>
  </si>
  <si>
    <t>봉고3 1톤(4868)</t>
  </si>
  <si>
    <t>2013-07-04</t>
  </si>
  <si>
    <t>카렌스(34조2513)</t>
  </si>
  <si>
    <t>2014-01-08</t>
  </si>
  <si>
    <t>코란도C(56도9704)</t>
  </si>
  <si>
    <t>2014-02-07</t>
  </si>
  <si>
    <t>전동지게차</t>
  </si>
  <si>
    <t>2014-02-26</t>
  </si>
  <si>
    <t>7톤지게차</t>
  </si>
  <si>
    <t>2014-02-28</t>
  </si>
  <si>
    <t>프라이드5DR(7282)</t>
  </si>
  <si>
    <t>2014-03-21</t>
  </si>
  <si>
    <t>2014-06-09</t>
  </si>
  <si>
    <t>5톤카고트럭(4509)</t>
  </si>
  <si>
    <t>2014-07-02</t>
  </si>
  <si>
    <t>프라이드(2601)</t>
  </si>
  <si>
    <t>2014-09-22</t>
  </si>
  <si>
    <t>트렉터</t>
  </si>
  <si>
    <t>2015-01-12</t>
  </si>
  <si>
    <t>봉고3 1톤(87무4610)</t>
  </si>
  <si>
    <t>2015-03-11</t>
  </si>
  <si>
    <t>지게차-7FB18N</t>
  </si>
  <si>
    <t>2015-05-04</t>
  </si>
  <si>
    <t>봉고3 1톤(82거5024)</t>
  </si>
  <si>
    <t>2015-05-19</t>
  </si>
  <si>
    <t>봉고3 1톤(84도7913)</t>
  </si>
  <si>
    <t>2015-06-22</t>
  </si>
  <si>
    <t>프라이드(22나0587)</t>
  </si>
  <si>
    <t>2015-09-01</t>
  </si>
  <si>
    <t>제설용 트랙터</t>
  </si>
  <si>
    <t>2015-11-25</t>
  </si>
  <si>
    <t>K3 (51도0429)</t>
  </si>
  <si>
    <t>2016-02-19</t>
  </si>
  <si>
    <t>봉고3 1톤 (84고8589)</t>
  </si>
  <si>
    <t>2016-04-21</t>
  </si>
  <si>
    <t>고소작업차 (99버5027)</t>
  </si>
  <si>
    <t>2016-05-09</t>
  </si>
  <si>
    <t>K3 (09머0762)</t>
  </si>
  <si>
    <t>2016-07-11</t>
  </si>
  <si>
    <t>봉고3 1톤 (88라9603)</t>
  </si>
  <si>
    <t>2016-09-02</t>
  </si>
  <si>
    <t>봉고3 1톤 (93거8988)</t>
  </si>
  <si>
    <t>봉고3 1톤 (85머7428)</t>
  </si>
  <si>
    <t>JEEP GRAND CHEROKEE 3.0 디젤 (07너2210)</t>
  </si>
  <si>
    <t>2017-02-16</t>
  </si>
  <si>
    <t>트레일러 DT700WB</t>
  </si>
  <si>
    <t>2017-03-13</t>
  </si>
  <si>
    <t>RAY (42고5543) 소형자동차-998CC</t>
  </si>
  <si>
    <t>2017-04-11</t>
  </si>
  <si>
    <t>봉고3 1톤 (88노2642)</t>
  </si>
  <si>
    <t>2017-02-14</t>
  </si>
  <si>
    <t>케이블설치</t>
  </si>
  <si>
    <t>2001-11-19</t>
  </si>
  <si>
    <t>생활관간판</t>
  </si>
  <si>
    <t>2001-11-29</t>
  </si>
  <si>
    <t>정화조(유구공장)</t>
  </si>
  <si>
    <t>2002-11-11</t>
  </si>
  <si>
    <t>비트</t>
  </si>
  <si>
    <t>2007-04-10</t>
  </si>
  <si>
    <t>파라피트</t>
  </si>
  <si>
    <t>2007-05-15</t>
  </si>
  <si>
    <t>캐노피(기흥)</t>
  </si>
  <si>
    <t>2009-04-27</t>
  </si>
  <si>
    <t>에어배관(기흥)</t>
  </si>
  <si>
    <t>2009-06-03</t>
  </si>
  <si>
    <t>지하수관정</t>
  </si>
  <si>
    <t>2009-07-03</t>
  </si>
  <si>
    <t>수전설비증설(본사)</t>
  </si>
  <si>
    <t>2011-05-24</t>
  </si>
  <si>
    <t>체육시설조성(본사)</t>
  </si>
  <si>
    <t>2012-06-25</t>
  </si>
  <si>
    <t>옥외소화전</t>
  </si>
  <si>
    <t>2012-11-26</t>
  </si>
  <si>
    <t>자바라대문</t>
  </si>
  <si>
    <t>2014-05-16</t>
  </si>
  <si>
    <t>가스탱크</t>
  </si>
  <si>
    <t>2014-09-02</t>
  </si>
  <si>
    <t>덕트</t>
  </si>
  <si>
    <t>2015-08-19</t>
  </si>
  <si>
    <t>덕트외(제관3팀)</t>
  </si>
  <si>
    <t>2016-03-25</t>
  </si>
  <si>
    <t>덕트(제관3팀,장착팀)</t>
  </si>
  <si>
    <t>2017-10-30</t>
  </si>
  <si>
    <t>콘테이너</t>
  </si>
  <si>
    <t>1997-03-19</t>
  </si>
  <si>
    <t>영사기</t>
  </si>
  <si>
    <t>1999-08-16</t>
  </si>
  <si>
    <t>OA책상</t>
  </si>
  <si>
    <t>1999-09-20</t>
  </si>
  <si>
    <t>책상외</t>
  </si>
  <si>
    <t>1999-12-10</t>
  </si>
  <si>
    <t>책장</t>
  </si>
  <si>
    <t>1999-12-16</t>
  </si>
  <si>
    <t>에어컨2대</t>
  </si>
  <si>
    <t>2000-06-28</t>
  </si>
  <si>
    <t>에어콘외</t>
  </si>
  <si>
    <t>2001-06-30</t>
  </si>
  <si>
    <t>에어컨</t>
  </si>
  <si>
    <t>2002-06-27</t>
  </si>
  <si>
    <t>냉동고</t>
  </si>
  <si>
    <t>2005-07-19</t>
  </si>
  <si>
    <t>디지털카메라</t>
  </si>
  <si>
    <t>2009-02-23</t>
  </si>
  <si>
    <t>2012-06-06</t>
  </si>
  <si>
    <t>2012-07-19</t>
  </si>
  <si>
    <t>2012-07-25</t>
  </si>
  <si>
    <t>CCTV</t>
  </si>
  <si>
    <t>2012-09-28</t>
  </si>
  <si>
    <t>CCTV-울산</t>
  </si>
  <si>
    <t>2013-08-19</t>
  </si>
  <si>
    <t>키폰</t>
  </si>
  <si>
    <t>2014-06-25</t>
  </si>
  <si>
    <t>근태관리기 SF-1289(스마트핑거)</t>
  </si>
  <si>
    <t>2015-03-05</t>
  </si>
  <si>
    <t>책상외-기술연구소</t>
  </si>
  <si>
    <t>2015-03-10</t>
  </si>
  <si>
    <t>인버터 냉난방기-기술연구소</t>
  </si>
  <si>
    <t>2015-03-12</t>
  </si>
  <si>
    <t>프로젝터 EB-W28외</t>
  </si>
  <si>
    <t>2015-04-08</t>
  </si>
  <si>
    <t>회의용 테이블외</t>
  </si>
  <si>
    <t>2015-04-23</t>
  </si>
  <si>
    <t>ESD SIMULATOR(시뮬레이터)</t>
  </si>
  <si>
    <t>2016-02-02</t>
  </si>
  <si>
    <t>산업용 컴퓨터</t>
  </si>
  <si>
    <t>2016-06-14</t>
  </si>
  <si>
    <t>열화상 카메라</t>
  </si>
  <si>
    <t>2017-08-07</t>
  </si>
  <si>
    <t>2017-11-09</t>
  </si>
  <si>
    <t>아스콘포장 도로 보수용 차량</t>
  </si>
  <si>
    <t>2016-04-20</t>
  </si>
  <si>
    <t>아스콘 호퍼 및 이를 포함하는 아스콘 포장 도로보수용 차량</t>
  </si>
  <si>
    <t>아스콘 포장도로 보수용 차량의 복합장치</t>
  </si>
  <si>
    <t>특허권</t>
    <phoneticPr fontId="1" type="noConversion"/>
  </si>
  <si>
    <t>운용체계소프트웨어</t>
  </si>
  <si>
    <t>2006-08-18</t>
  </si>
  <si>
    <t>더존프로그램</t>
  </si>
  <si>
    <t>2007-02-13</t>
  </si>
  <si>
    <t>설계보조프로그램</t>
  </si>
  <si>
    <t>2009-01-22</t>
  </si>
  <si>
    <t>Feature CAM(한국델켐</t>
  </si>
  <si>
    <t>2010-12-07</t>
  </si>
  <si>
    <t>오토캐드(9ea)</t>
  </si>
  <si>
    <t>2011-02-23</t>
  </si>
  <si>
    <t>한컴오피스외</t>
  </si>
  <si>
    <t>2011-06-07</t>
  </si>
  <si>
    <t>2011-11-15</t>
  </si>
  <si>
    <t>더존네오아이플러스</t>
  </si>
  <si>
    <t>2012-04-06</t>
  </si>
  <si>
    <t>WINDOWS 8 GGWA-SMO</t>
  </si>
  <si>
    <t>2013-06-24</t>
  </si>
  <si>
    <t>MEGA CAD 2013 3D UPGRADE SYSTEM</t>
  </si>
  <si>
    <t>2013-07-10</t>
  </si>
  <si>
    <t>WINDOWS 8 GGWA-SMO외</t>
  </si>
  <si>
    <t>2014-03-28</t>
  </si>
  <si>
    <t>MECHCLICK CMB 2D UPG</t>
  </si>
  <si>
    <t>2014-09-23</t>
  </si>
  <si>
    <t>AUTO CAD LT 2015 NO SUB</t>
  </si>
  <si>
    <t>2015-03-16</t>
  </si>
  <si>
    <t>SolidWorks Professional</t>
  </si>
  <si>
    <t>2015-04-30</t>
  </si>
  <si>
    <t>SOLIDWORKS 2D CAD SOLUTION NETWORK INSTALLATION</t>
  </si>
  <si>
    <t>MechClick CMB 2D OPEN Lience</t>
  </si>
  <si>
    <t>2016-03-09</t>
  </si>
  <si>
    <t>WINDOWS PRO 10 LICENSE</t>
  </si>
  <si>
    <t>OFFICE STD 2016 LICENSE</t>
  </si>
  <si>
    <t>MSC NASTRAN DESKTOP</t>
  </si>
  <si>
    <t>2016-10-18</t>
  </si>
  <si>
    <t>NES PDF 1.0</t>
  </si>
  <si>
    <t>2016-11-08</t>
  </si>
  <si>
    <t>TeamViewer 11 Premium</t>
  </si>
  <si>
    <t>2016-10-31</t>
  </si>
  <si>
    <t>MechClick CMB 2D SUVSCRIPTION LIENCE</t>
  </si>
  <si>
    <t>2017-03-10</t>
  </si>
  <si>
    <t>PDM Proressional CAD Editor</t>
  </si>
  <si>
    <t>2017-07-19</t>
  </si>
  <si>
    <t>소프트웨어</t>
    <phoneticPr fontId="1" type="noConversion"/>
  </si>
  <si>
    <t>특허권</t>
  </si>
  <si>
    <t>회사명 :(주)동해기계항공</t>
  </si>
  <si>
    <t>[미상각분 감가상각계산]</t>
  </si>
  <si>
    <t>자산명</t>
  </si>
  <si>
    <t>취득일</t>
  </si>
  <si>
    <t>업종코드/명</t>
  </si>
  <si>
    <t>기초가액</t>
  </si>
  <si>
    <t>당기증감</t>
  </si>
  <si>
    <t>전기말상각누계액</t>
  </si>
  <si>
    <t>상각대상금액</t>
  </si>
  <si>
    <t>년수</t>
  </si>
  <si>
    <t>상각률</t>
  </si>
  <si>
    <t>월수</t>
  </si>
  <si>
    <t>당기상각비</t>
  </si>
  <si>
    <t>특별상각비</t>
  </si>
  <si>
    <t>당기말상각누계액</t>
  </si>
  <si>
    <t>미상각잔액</t>
  </si>
  <si>
    <t>신풍공장(A,B,C동)</t>
  </si>
  <si>
    <t>1999-08-03</t>
  </si>
  <si>
    <t>13</t>
  </si>
  <si>
    <t>제조업</t>
  </si>
  <si>
    <t>유구공장 부속건물</t>
  </si>
  <si>
    <t>유구공장(A,B,C동)</t>
  </si>
  <si>
    <t>유구공장 창고</t>
  </si>
  <si>
    <t>신풍공장(D,E동)</t>
  </si>
  <si>
    <t>2001-12-07</t>
  </si>
  <si>
    <t>신풍공장 기숙사(F동)</t>
  </si>
  <si>
    <t>신풍공장(G동)</t>
  </si>
  <si>
    <t>2002-04-30</t>
  </si>
  <si>
    <t>대구경북지사</t>
  </si>
  <si>
    <t>인천경기지사(A)</t>
  </si>
  <si>
    <t>2007-04-04</t>
  </si>
  <si>
    <t>광주호남지사</t>
  </si>
  <si>
    <t>2007-06-28</t>
  </si>
  <si>
    <t>신풍공장(H동)</t>
  </si>
  <si>
    <t>2007-08-23</t>
  </si>
  <si>
    <t>옥천공장</t>
  </si>
  <si>
    <t>서울경기지사</t>
  </si>
  <si>
    <t>2008-04-11</t>
  </si>
  <si>
    <t>강원지사</t>
  </si>
  <si>
    <t>2010-04-09</t>
  </si>
  <si>
    <t>서부경남지사</t>
  </si>
  <si>
    <t>2010-06-11</t>
  </si>
  <si>
    <t>신풍공장(I,J,K동)</t>
  </si>
  <si>
    <t>2010-11-15</t>
  </si>
  <si>
    <t>제주지사-A</t>
  </si>
  <si>
    <t>2010-12-20</t>
  </si>
  <si>
    <t>서울경기북부지사</t>
  </si>
  <si>
    <t>2011-05-18</t>
  </si>
  <si>
    <t>부산경남지사</t>
  </si>
  <si>
    <t>2011-11-30</t>
  </si>
  <si>
    <t>신풍공장생활관(L동)</t>
  </si>
  <si>
    <t>2012-04-27</t>
  </si>
  <si>
    <t>제주지사-B</t>
  </si>
  <si>
    <t>2013-06-20</t>
  </si>
  <si>
    <t>울산경북지사</t>
  </si>
  <si>
    <t>2013-08-26</t>
  </si>
  <si>
    <t>인천경기지사 (B)</t>
  </si>
  <si>
    <t>2014-09-30</t>
  </si>
  <si>
    <t>서울경기지사 (B)</t>
  </si>
  <si>
    <t>2015-09-08</t>
  </si>
  <si>
    <t>신풍산정리생활관(A동)</t>
  </si>
  <si>
    <t>2016-10-27</t>
  </si>
  <si>
    <t>신풍산정리생활관(B동)</t>
  </si>
  <si>
    <t>전북지사</t>
  </si>
  <si>
    <t>2016-11-24</t>
  </si>
  <si>
    <t>시험연구동</t>
  </si>
  <si>
    <t>2016-01-01</t>
  </si>
  <si>
    <t>건물 소계</t>
    <phoneticPr fontId="3" type="noConversion"/>
  </si>
  <si>
    <t>수전설비</t>
  </si>
  <si>
    <t>1998-05-18</t>
  </si>
  <si>
    <t>주차장옹벽</t>
  </si>
  <si>
    <t>2000-10-28</t>
  </si>
  <si>
    <t>항공 활주로</t>
  </si>
  <si>
    <t>2001-04-30</t>
  </si>
  <si>
    <t>옥천공장 구축물</t>
  </si>
  <si>
    <t>구축물(강릉)</t>
  </si>
  <si>
    <t>2012-02-28</t>
  </si>
  <si>
    <t>주차장 및 휀스(기흥)</t>
  </si>
  <si>
    <t>2015-08-31</t>
  </si>
  <si>
    <t>구축물 소계</t>
    <phoneticPr fontId="3" type="noConversion"/>
  </si>
  <si>
    <t>PP</t>
  </si>
  <si>
    <t>기타 기계 및 장비 제조업</t>
  </si>
  <si>
    <t>기계장치 총계</t>
    <phoneticPr fontId="3" type="noConversion"/>
  </si>
  <si>
    <t>[소계] 차량운반구</t>
  </si>
  <si>
    <t>[소계] 비품</t>
  </si>
  <si>
    <t>[소계] 합계</t>
    <phoneticPr fontId="3" type="noConversion"/>
  </si>
  <si>
    <t>[소계] 특허권</t>
  </si>
  <si>
    <t>[소계] 소프트웨어</t>
  </si>
  <si>
    <t>유형자산</t>
    <phoneticPr fontId="1" type="noConversion"/>
  </si>
  <si>
    <t>토지</t>
    <phoneticPr fontId="1" type="noConversion"/>
  </si>
  <si>
    <t>건물</t>
    <phoneticPr fontId="1" type="noConversion"/>
  </si>
  <si>
    <t>기계장치</t>
    <phoneticPr fontId="1" type="noConversion"/>
  </si>
  <si>
    <t>차량운반구</t>
    <phoneticPr fontId="1" type="noConversion"/>
  </si>
  <si>
    <t>비품</t>
    <phoneticPr fontId="1" type="noConversion"/>
  </si>
  <si>
    <t>구축물</t>
    <phoneticPr fontId="1" type="noConversion"/>
  </si>
  <si>
    <t>시설물</t>
    <phoneticPr fontId="1" type="noConversion"/>
  </si>
  <si>
    <t>건설중인 자산</t>
    <phoneticPr fontId="1" type="noConversion"/>
  </si>
  <si>
    <t>무형자산</t>
    <phoneticPr fontId="1" type="noConversion"/>
  </si>
  <si>
    <t>특허권</t>
    <phoneticPr fontId="1" type="noConversion"/>
  </si>
  <si>
    <t>소프트웨어</t>
  </si>
  <si>
    <t>소프트웨어</t>
    <phoneticPr fontId="1" type="noConversion"/>
  </si>
  <si>
    <t>건설중인자산</t>
  </si>
  <si>
    <t>건설중인자산</t>
    <phoneticPr fontId="1" type="noConversion"/>
  </si>
  <si>
    <t>(단위: 천원)</t>
  </si>
  <si>
    <t>과목</t>
  </si>
  <si>
    <t>기초금액</t>
  </si>
  <si>
    <t>처분</t>
  </si>
  <si>
    <t>기말가액</t>
  </si>
  <si>
    <t>당기말</t>
  </si>
  <si>
    <t>전기말</t>
  </si>
  <si>
    <t>취득가액</t>
  </si>
  <si>
    <t>상각누계액</t>
  </si>
  <si>
    <t>장부금액</t>
  </si>
  <si>
    <t>상각비</t>
  </si>
  <si>
    <t>CAPEX 관련 주석사항</t>
    <phoneticPr fontId="1" type="noConversion"/>
  </si>
  <si>
    <t>2) 무형자산</t>
    <phoneticPr fontId="1" type="noConversion"/>
  </si>
  <si>
    <t>1) 유형자산</t>
    <phoneticPr fontId="1" type="noConversion"/>
  </si>
  <si>
    <t>구축물</t>
    <phoneticPr fontId="1" type="noConversion"/>
  </si>
  <si>
    <t>40년</t>
    <phoneticPr fontId="1" type="noConversion"/>
  </si>
  <si>
    <t>구        분</t>
    <phoneticPr fontId="1" type="noConversion"/>
  </si>
  <si>
    <t>내  용  연  수</t>
    <phoneticPr fontId="1" type="noConversion"/>
  </si>
  <si>
    <t>감가상각방법</t>
    <phoneticPr fontId="1" type="noConversion"/>
  </si>
  <si>
    <t>정액법</t>
    <phoneticPr fontId="1" type="noConversion"/>
  </si>
  <si>
    <t>10년</t>
    <phoneticPr fontId="1" type="noConversion"/>
  </si>
  <si>
    <t>정액법</t>
    <phoneticPr fontId="1" type="noConversion"/>
  </si>
  <si>
    <t>5년</t>
    <phoneticPr fontId="1" type="noConversion"/>
  </si>
  <si>
    <t>1. 상각정책 (From FY 2016 감사보고서)</t>
    <phoneticPr fontId="1" type="noConversion"/>
  </si>
  <si>
    <t>7년</t>
    <phoneticPr fontId="1" type="noConversion"/>
  </si>
  <si>
    <t>2. 변동내역 (From FY 2017 PBC , FY 2016, 2015, 2014 감사보고서)</t>
    <phoneticPr fontId="1" type="noConversion"/>
  </si>
  <si>
    <t>FY2016</t>
    <phoneticPr fontId="1" type="noConversion"/>
  </si>
  <si>
    <t>FY2015</t>
    <phoneticPr fontId="1" type="noConversion"/>
  </si>
  <si>
    <t>2) 무형자산</t>
    <phoneticPr fontId="1" type="noConversion"/>
  </si>
  <si>
    <t>(단위: 천원)</t>
    <phoneticPr fontId="1" type="noConversion"/>
  </si>
  <si>
    <t>내역</t>
    <phoneticPr fontId="1" type="noConversion"/>
  </si>
  <si>
    <t>변동내역</t>
    <phoneticPr fontId="1" type="noConversion"/>
  </si>
  <si>
    <t>FY2014</t>
    <phoneticPr fontId="1" type="noConversion"/>
  </si>
  <si>
    <t>1) 유형자산</t>
    <phoneticPr fontId="1" type="noConversion"/>
  </si>
  <si>
    <t> -</t>
  </si>
  <si>
    <t>시설장치</t>
    <phoneticPr fontId="1" type="noConversion"/>
  </si>
  <si>
    <t>% of growth</t>
    <phoneticPr fontId="1" type="noConversion"/>
  </si>
  <si>
    <t>기존 무형상각비</t>
    <phoneticPr fontId="1" type="noConversion"/>
  </si>
  <si>
    <t>기존 유형상각비</t>
    <phoneticPr fontId="1" type="noConversion"/>
  </si>
  <si>
    <t>총 무형자산상각비</t>
    <phoneticPr fontId="1" type="noConversion"/>
  </si>
  <si>
    <t>Sales Forecast</t>
    <phoneticPr fontId="1" type="noConversion"/>
  </si>
  <si>
    <t>KRW, 대수</t>
    <phoneticPr fontId="1" type="noConversion"/>
  </si>
  <si>
    <t>Sales</t>
    <phoneticPr fontId="1" type="noConversion"/>
  </si>
  <si>
    <t>% of growth</t>
    <phoneticPr fontId="1" type="noConversion"/>
  </si>
  <si>
    <t>고소작업차 부문</t>
    <phoneticPr fontId="1" type="noConversion"/>
  </si>
  <si>
    <t>% of growth</t>
    <phoneticPr fontId="1" type="noConversion"/>
  </si>
  <si>
    <t>전기향 매출</t>
    <phoneticPr fontId="1" type="noConversion"/>
  </si>
  <si>
    <t>% of 국내 Sales</t>
    <phoneticPr fontId="1" type="noConversion"/>
  </si>
  <si>
    <t>수량(Q)</t>
    <phoneticPr fontId="1" type="noConversion"/>
  </si>
  <si>
    <t>% of growth</t>
    <phoneticPr fontId="1" type="noConversion"/>
  </si>
  <si>
    <t>단가(P)</t>
    <phoneticPr fontId="1" type="noConversion"/>
  </si>
  <si>
    <t>통신향 매출</t>
    <phoneticPr fontId="1" type="noConversion"/>
  </si>
  <si>
    <t>% of 국내 Sales</t>
    <phoneticPr fontId="1" type="noConversion"/>
  </si>
  <si>
    <t>수량(Q)</t>
    <phoneticPr fontId="1" type="noConversion"/>
  </si>
  <si>
    <t>건설향 매출</t>
    <phoneticPr fontId="1" type="noConversion"/>
  </si>
  <si>
    <t>관공서향 매출</t>
    <phoneticPr fontId="1" type="noConversion"/>
  </si>
  <si>
    <t>항공향 매출</t>
    <phoneticPr fontId="1" type="noConversion"/>
  </si>
  <si>
    <t>기타 매출</t>
    <phoneticPr fontId="1" type="noConversion"/>
  </si>
  <si>
    <t>전기향 매출</t>
    <phoneticPr fontId="1" type="noConversion"/>
  </si>
  <si>
    <t>% of growth</t>
    <phoneticPr fontId="1" type="noConversion"/>
  </si>
  <si>
    <t>단가(P)</t>
    <phoneticPr fontId="1" type="noConversion"/>
  </si>
  <si>
    <t>항공향 매출</t>
    <phoneticPr fontId="1" type="noConversion"/>
  </si>
  <si>
    <t>기타 매출</t>
    <phoneticPr fontId="1" type="noConversion"/>
  </si>
  <si>
    <t>활선차</t>
    <phoneticPr fontId="1" type="noConversion"/>
  </si>
  <si>
    <t>전기향 매출</t>
    <phoneticPr fontId="1" type="noConversion"/>
  </si>
  <si>
    <t>통신향 매출</t>
    <phoneticPr fontId="1" type="noConversion"/>
  </si>
  <si>
    <t>건설향 매출</t>
    <phoneticPr fontId="1" type="noConversion"/>
  </si>
  <si>
    <t>관공서향 매출</t>
    <phoneticPr fontId="1" type="noConversion"/>
  </si>
  <si>
    <t>항공 매출</t>
    <phoneticPr fontId="1" type="noConversion"/>
  </si>
  <si>
    <t>기타</t>
    <phoneticPr fontId="1" type="noConversion"/>
  </si>
  <si>
    <t>Sales_수출향</t>
    <phoneticPr fontId="1" type="noConversion"/>
  </si>
  <si>
    <t>수출향 Sales</t>
    <phoneticPr fontId="1" type="noConversion"/>
  </si>
  <si>
    <t>베트남</t>
    <phoneticPr fontId="1" type="noConversion"/>
  </si>
  <si>
    <t>% of 수출향 매출</t>
    <phoneticPr fontId="1" type="noConversion"/>
  </si>
  <si>
    <t>고소작업차</t>
    <phoneticPr fontId="1" type="noConversion"/>
  </si>
  <si>
    <t>수량(Q)</t>
    <phoneticPr fontId="1" type="noConversion"/>
  </si>
  <si>
    <t>필리핀</t>
    <phoneticPr fontId="1" type="noConversion"/>
  </si>
  <si>
    <t>% of 수출향 매출</t>
    <phoneticPr fontId="1" type="noConversion"/>
  </si>
  <si>
    <t>고소작업차</t>
    <phoneticPr fontId="1" type="noConversion"/>
  </si>
  <si>
    <t>중국</t>
    <phoneticPr fontId="1" type="noConversion"/>
  </si>
  <si>
    <t>단가(P)</t>
    <phoneticPr fontId="1" type="noConversion"/>
  </si>
  <si>
    <t>크레인</t>
    <phoneticPr fontId="1" type="noConversion"/>
  </si>
  <si>
    <t>기타 지역 매출</t>
    <phoneticPr fontId="1" type="noConversion"/>
  </si>
  <si>
    <t>% of 수출향 매출</t>
    <phoneticPr fontId="1" type="noConversion"/>
  </si>
  <si>
    <t>수출매출</t>
    <phoneticPr fontId="1" type="noConversion"/>
  </si>
  <si>
    <t>FY2017</t>
    <phoneticPr fontId="1" type="noConversion"/>
  </si>
  <si>
    <t>Sales_서비스 매출</t>
    <phoneticPr fontId="1" type="noConversion"/>
  </si>
  <si>
    <t>서비스 매출 (IS)</t>
    <phoneticPr fontId="1" type="noConversion"/>
  </si>
  <si>
    <t>서비스매출</t>
    <phoneticPr fontId="1" type="noConversion"/>
  </si>
  <si>
    <t>2018년-2022년 모델별 매출 판매 대수 및 단가 계획</t>
    <phoneticPr fontId="1" type="noConversion"/>
  </si>
  <si>
    <t>*) 모델명은 2015-2018년 대상회사 원장 상 판매된 모델 취합본이며, 핑크색으로 표기된 부분을 기입해 주시면 감사하겠습니다.</t>
    <phoneticPr fontId="1" type="noConversion"/>
  </si>
  <si>
    <t>- 적용 산업 구분 : 윤이사님께서 1차적으로 구분해 주셨으며, 아직 구분 완료되지 않은 모델에 대한 산업 구분 부탁 드립니다 (전기, 건설, 통선, 관공서, 항공, 기타로 구분</t>
    <phoneticPr fontId="1" type="noConversion"/>
  </si>
  <si>
    <t>- 모델이 단종 예정이거나 판매 계획이 없는 경우 '없음'이라고 기입 부탁 드립니다.</t>
    <phoneticPr fontId="1" type="noConversion"/>
  </si>
  <si>
    <t>윤이사님과 인터뷰 이후 수정 확정된 확정된 사업 계획 안</t>
    <phoneticPr fontId="1" type="noConversion"/>
  </si>
  <si>
    <t>베트남/ 필리핀 /중국 쪽  납품 활선차 : DHT 160S, DHT 180S/ 고소작업차: DHS 17AP, DHS 15AP</t>
    <phoneticPr fontId="1" type="noConversion"/>
  </si>
  <si>
    <t>국내</t>
    <phoneticPr fontId="1" type="noConversion"/>
  </si>
  <si>
    <t>산업구분</t>
    <phoneticPr fontId="1" type="noConversion"/>
  </si>
  <si>
    <t>고소작업차</t>
  </si>
  <si>
    <t>판매국가</t>
    <phoneticPr fontId="1" type="noConversion"/>
  </si>
  <si>
    <t>모델명</t>
    <phoneticPr fontId="1" type="noConversion"/>
  </si>
  <si>
    <t>모델 구분</t>
    <phoneticPr fontId="1" type="noConversion"/>
  </si>
  <si>
    <t>적용 산업구분</t>
    <phoneticPr fontId="1" type="noConversion"/>
  </si>
  <si>
    <t>모델</t>
    <phoneticPr fontId="1" type="noConversion"/>
  </si>
  <si>
    <t>산업</t>
    <phoneticPr fontId="1" type="noConversion"/>
  </si>
  <si>
    <t>전기</t>
    <phoneticPr fontId="1" type="noConversion"/>
  </si>
  <si>
    <t>국내</t>
    <phoneticPr fontId="1" type="noConversion"/>
  </si>
  <si>
    <t>크레인</t>
    <phoneticPr fontId="1" type="noConversion"/>
  </si>
  <si>
    <t>관공서</t>
    <phoneticPr fontId="1" type="noConversion"/>
  </si>
  <si>
    <t>판대대수(개)</t>
    <phoneticPr fontId="1" type="noConversion"/>
  </si>
  <si>
    <t>고소작업차</t>
    <phoneticPr fontId="1" type="noConversion"/>
  </si>
  <si>
    <t>건설</t>
    <phoneticPr fontId="1" type="noConversion"/>
  </si>
  <si>
    <t>판매 단가(원)</t>
    <phoneticPr fontId="1" type="noConversion"/>
  </si>
  <si>
    <t>전기</t>
    <phoneticPr fontId="1" type="noConversion"/>
  </si>
  <si>
    <t>매출액(원)</t>
    <phoneticPr fontId="1" type="noConversion"/>
  </si>
  <si>
    <t>통신</t>
    <phoneticPr fontId="1" type="noConversion"/>
  </si>
  <si>
    <t>ALPHA 5000</t>
  </si>
  <si>
    <t>크레인</t>
    <phoneticPr fontId="1" type="noConversion"/>
  </si>
  <si>
    <t>통신</t>
    <phoneticPr fontId="1" type="noConversion"/>
  </si>
  <si>
    <t>DHM 1300S2</t>
  </si>
  <si>
    <t>기타</t>
    <phoneticPr fontId="1" type="noConversion"/>
  </si>
  <si>
    <t>고소작업차</t>
    <phoneticPr fontId="1" type="noConversion"/>
  </si>
  <si>
    <t>17-BAK-14 장비실 개선 공사</t>
  </si>
  <si>
    <t>항공</t>
    <phoneticPr fontId="1" type="noConversion"/>
  </si>
  <si>
    <t>건설</t>
    <phoneticPr fontId="1" type="noConversion"/>
  </si>
  <si>
    <t>항공</t>
    <phoneticPr fontId="1" type="noConversion"/>
  </si>
  <si>
    <t>방향지시등</t>
  </si>
  <si>
    <t>관공서</t>
    <phoneticPr fontId="1" type="noConversion"/>
  </si>
  <si>
    <t>기타</t>
    <phoneticPr fontId="1" type="noConversion"/>
  </si>
  <si>
    <t>밀폐형덮개설치</t>
  </si>
  <si>
    <t>공군수리부속</t>
  </si>
  <si>
    <t>수출부품</t>
  </si>
  <si>
    <t>DHS 534MAP</t>
  </si>
  <si>
    <t>DHS 433MAP(R)</t>
  </si>
  <si>
    <t>DHM 1500S2</t>
  </si>
  <si>
    <t>DHS 1200L(R)</t>
  </si>
  <si>
    <t>DHT 170AS</t>
  </si>
  <si>
    <t>활선차</t>
    <phoneticPr fontId="1" type="noConversion"/>
  </si>
  <si>
    <t>DHAS 130AP</t>
  </si>
  <si>
    <t>DHS 1200HC</t>
  </si>
  <si>
    <t>DSH 1200L</t>
  </si>
  <si>
    <t>외주생산</t>
    <phoneticPr fontId="1" type="noConversion"/>
  </si>
  <si>
    <t>DHS 606S</t>
  </si>
  <si>
    <t>신제품</t>
    <phoneticPr fontId="1" type="noConversion"/>
  </si>
  <si>
    <t>-2016년 개발되서 2017년 판매. 대기업 같은 경우는 노조 등의 문제로 트럭 운행보다</t>
    <phoneticPr fontId="1" type="noConversion"/>
  </si>
  <si>
    <t>올인원포트홀</t>
    <phoneticPr fontId="1" type="noConversion"/>
  </si>
  <si>
    <t>가로등주거치대</t>
  </si>
  <si>
    <t>통신</t>
    <phoneticPr fontId="1" type="noConversion"/>
  </si>
  <si>
    <t>고소작업차</t>
    <phoneticPr fontId="1" type="noConversion"/>
  </si>
  <si>
    <t>통신</t>
    <phoneticPr fontId="1" type="noConversion"/>
  </si>
  <si>
    <t>매출액(원)</t>
    <phoneticPr fontId="1" type="noConversion"/>
  </si>
  <si>
    <t>신제품</t>
    <phoneticPr fontId="1" type="noConversion"/>
  </si>
  <si>
    <t>올인원포트홀</t>
    <phoneticPr fontId="1" type="noConversion"/>
  </si>
  <si>
    <t>판대대수(개)</t>
    <phoneticPr fontId="1" type="noConversion"/>
  </si>
  <si>
    <t>사천비행장 공사</t>
  </si>
  <si>
    <t>기타</t>
    <phoneticPr fontId="1" type="noConversion"/>
  </si>
  <si>
    <t>고소작업차</t>
    <phoneticPr fontId="1" type="noConversion"/>
  </si>
  <si>
    <t>기타</t>
    <phoneticPr fontId="1" type="noConversion"/>
  </si>
  <si>
    <t>판대대수(개)</t>
    <phoneticPr fontId="1" type="noConversion"/>
  </si>
  <si>
    <t>신제품</t>
    <phoneticPr fontId="1" type="noConversion"/>
  </si>
  <si>
    <t>올인원포트홀</t>
    <phoneticPr fontId="1" type="noConversion"/>
  </si>
  <si>
    <t>판매 단가(원)</t>
    <phoneticPr fontId="1" type="noConversion"/>
  </si>
  <si>
    <t>관공서</t>
    <phoneticPr fontId="1" type="noConversion"/>
  </si>
  <si>
    <t>매출액(원)</t>
    <phoneticPr fontId="1" type="noConversion"/>
  </si>
  <si>
    <t>통신</t>
    <phoneticPr fontId="1" type="noConversion"/>
  </si>
  <si>
    <t>통신</t>
    <phoneticPr fontId="1" type="noConversion"/>
  </si>
  <si>
    <t>해외수출</t>
    <phoneticPr fontId="1" type="noConversion"/>
  </si>
  <si>
    <t>뉴질랜드전용사양</t>
    <phoneticPr fontId="1" type="noConversion"/>
  </si>
  <si>
    <t>전기</t>
    <phoneticPr fontId="1" type="noConversion"/>
  </si>
  <si>
    <t>베트남</t>
    <phoneticPr fontId="1" type="noConversion"/>
  </si>
  <si>
    <t>활선차</t>
    <phoneticPr fontId="1" type="noConversion"/>
  </si>
  <si>
    <t>세폭띠형끈등11종제조</t>
  </si>
  <si>
    <t>항공</t>
    <phoneticPr fontId="1" type="noConversion"/>
  </si>
  <si>
    <t>필리핀</t>
    <phoneticPr fontId="1" type="noConversion"/>
  </si>
  <si>
    <t>DHS 1200LS2</t>
  </si>
  <si>
    <t>중국</t>
    <phoneticPr fontId="1" type="noConversion"/>
  </si>
  <si>
    <t>세폭띠형 끈 등 11종 제조</t>
  </si>
  <si>
    <t>기타지역</t>
    <phoneticPr fontId="1" type="noConversion"/>
  </si>
  <si>
    <t>BKA-14,MA-1A 감시시스템 구축작업</t>
  </si>
  <si>
    <t>DHT 153</t>
  </si>
  <si>
    <t>전기</t>
    <phoneticPr fontId="1" type="noConversion"/>
  </si>
  <si>
    <t>활선차</t>
    <phoneticPr fontId="1" type="noConversion"/>
  </si>
  <si>
    <t>자동덮개장착자</t>
  </si>
  <si>
    <t>건설</t>
    <phoneticPr fontId="1" type="noConversion"/>
  </si>
  <si>
    <t>고소작업차</t>
    <phoneticPr fontId="1" type="noConversion"/>
  </si>
  <si>
    <t>한전납품사양</t>
    <phoneticPr fontId="1" type="noConversion"/>
  </si>
  <si>
    <t>초과저지장비실에어시스템개선공사</t>
  </si>
  <si>
    <t>DHS 303</t>
  </si>
  <si>
    <t>크레인</t>
    <phoneticPr fontId="1" type="noConversion"/>
  </si>
  <si>
    <t>건설</t>
    <phoneticPr fontId="1" type="noConversion"/>
  </si>
  <si>
    <t>계약금-DH SUPER 3000A</t>
  </si>
  <si>
    <t>계약금-DHS 15AP</t>
  </si>
  <si>
    <t>KT전용</t>
    <phoneticPr fontId="1" type="noConversion"/>
  </si>
  <si>
    <t>국내외 통합 제품매출</t>
    <phoneticPr fontId="1" type="noConversion"/>
  </si>
  <si>
    <t>신제품</t>
    <phoneticPr fontId="1" type="noConversion"/>
  </si>
  <si>
    <t>DHS 240SKY</t>
    <phoneticPr fontId="1" type="noConversion"/>
  </si>
  <si>
    <t>서비스 매출</t>
    <phoneticPr fontId="1" type="noConversion"/>
  </si>
  <si>
    <t>올인원포트홀</t>
    <phoneticPr fontId="1" type="noConversion"/>
  </si>
  <si>
    <t>항공매출</t>
    <phoneticPr fontId="1" type="noConversion"/>
  </si>
  <si>
    <t>총매출</t>
    <phoneticPr fontId="1" type="noConversion"/>
  </si>
  <si>
    <t>※ 공군은 활주로 설치공사건으로 개별판매단가 없으며 활주로 면적에 따른 공사원가가 산정됨</t>
    <phoneticPr fontId="1" type="noConversion"/>
  </si>
  <si>
    <t>※ 활주로 공사 예정금액 및 유지부품 군수사령부 납품예정금액</t>
    <phoneticPr fontId="1" type="noConversion"/>
  </si>
  <si>
    <t xml:space="preserve">HWD 400 </t>
  </si>
  <si>
    <t>18년도</t>
    <phoneticPr fontId="1" type="noConversion"/>
  </si>
  <si>
    <t>19년도</t>
    <phoneticPr fontId="1" type="noConversion"/>
  </si>
  <si>
    <t>20년도</t>
    <phoneticPr fontId="1" type="noConversion"/>
  </si>
  <si>
    <t>21년도</t>
    <phoneticPr fontId="1" type="noConversion"/>
  </si>
  <si>
    <t>22년도</t>
    <phoneticPr fontId="1" type="noConversion"/>
  </si>
  <si>
    <t>이라크비행장</t>
    <phoneticPr fontId="1" type="noConversion"/>
  </si>
  <si>
    <t>수원비행장</t>
    <phoneticPr fontId="1" type="noConversion"/>
  </si>
  <si>
    <t>청주비행장</t>
    <phoneticPr fontId="1" type="noConversion"/>
  </si>
  <si>
    <t>광주비행장</t>
    <phoneticPr fontId="1" type="noConversion"/>
  </si>
  <si>
    <t>공사예정금액(백만원)</t>
    <phoneticPr fontId="1" type="noConversion"/>
  </si>
  <si>
    <t>부품납품예정금액(백만원)</t>
    <phoneticPr fontId="1" type="noConversion"/>
  </si>
  <si>
    <t>확정적</t>
    <phoneticPr fontId="1" type="noConversion"/>
  </si>
  <si>
    <t>예정</t>
    <phoneticPr fontId="1" type="noConversion"/>
  </si>
  <si>
    <t>서비스 매출은 50억에서 100억수준</t>
    <phoneticPr fontId="1" type="noConversion"/>
  </si>
  <si>
    <t>해외 수출용</t>
    <phoneticPr fontId="1" type="noConversion"/>
  </si>
  <si>
    <t>제품 구분</t>
    <phoneticPr fontId="1" type="noConversion"/>
  </si>
  <si>
    <t>국가</t>
    <phoneticPr fontId="1" type="noConversion"/>
  </si>
  <si>
    <t>베트남</t>
    <phoneticPr fontId="1" type="noConversion"/>
  </si>
  <si>
    <t>동남아는 180S</t>
    <phoneticPr fontId="1" type="noConversion"/>
  </si>
  <si>
    <t>중국</t>
    <phoneticPr fontId="1" type="noConversion"/>
  </si>
  <si>
    <t xml:space="preserve">해외 </t>
    <phoneticPr fontId="1" type="noConversion"/>
  </si>
  <si>
    <t>- 60%-70% 해외물류. / 베트남 , 중국 50% 50%</t>
    <phoneticPr fontId="1" type="noConversion"/>
  </si>
  <si>
    <t>베트남 dth 180 S</t>
    <phoneticPr fontId="1" type="noConversion"/>
  </si>
  <si>
    <t>DHT 170S</t>
    <phoneticPr fontId="1" type="noConversion"/>
  </si>
  <si>
    <t>필리핀</t>
    <phoneticPr fontId="1" type="noConversion"/>
  </si>
  <si>
    <t>판매대수</t>
    <phoneticPr fontId="1" type="noConversion"/>
  </si>
  <si>
    <t>판매단가</t>
    <phoneticPr fontId="1" type="noConversion"/>
  </si>
  <si>
    <t>필리필 160S, 170S</t>
    <phoneticPr fontId="1" type="noConversion"/>
  </si>
  <si>
    <t>160S, 170S</t>
    <phoneticPr fontId="1" type="noConversion"/>
  </si>
  <si>
    <t>DHT 160AS</t>
    <phoneticPr fontId="1" type="noConversion"/>
  </si>
  <si>
    <t>베트남 : 1200A, 15AP, 17AP</t>
    <phoneticPr fontId="1" type="noConversion"/>
  </si>
  <si>
    <t xml:space="preserve">기종별로 10대 정도 10% 정도 증가 </t>
    <phoneticPr fontId="1" type="noConversion"/>
  </si>
  <si>
    <t xml:space="preserve">규제 등 있어서 고소작업차 </t>
    <phoneticPr fontId="1" type="noConversion"/>
  </si>
  <si>
    <t xml:space="preserve">필리핀 :120AP </t>
    <phoneticPr fontId="1" type="noConversion"/>
  </si>
  <si>
    <t xml:space="preserve">코란도스포츠 </t>
    <phoneticPr fontId="1" type="noConversion"/>
  </si>
  <si>
    <t>매출액</t>
    <phoneticPr fontId="1" type="noConversion"/>
  </si>
  <si>
    <t>DHAS 120AP</t>
    <phoneticPr fontId="1" type="noConversion"/>
  </si>
  <si>
    <t xml:space="preserve">해외 판매가는 국내 판매가 보다 6-7% 수준 낮음. 운송비, 딜러 커미션  같이 들어가니까 </t>
    <phoneticPr fontId="1" type="noConversion"/>
  </si>
  <si>
    <t>부품판매(수출)</t>
  </si>
  <si>
    <t>해미비행장 공사</t>
  </si>
  <si>
    <t>차량판매</t>
  </si>
  <si>
    <t>부품판매(내수)</t>
  </si>
  <si>
    <t>김해비행장 공사</t>
  </si>
  <si>
    <t>차체지지대</t>
  </si>
  <si>
    <t>공군군수사 수리부속</t>
  </si>
  <si>
    <t>대구비행장 공사</t>
  </si>
  <si>
    <t>성남비행장 공사</t>
  </si>
  <si>
    <t xml:space="preserve">DHS 534 </t>
  </si>
  <si>
    <t>Sales_항공</t>
    <phoneticPr fontId="1" type="noConversion"/>
  </si>
  <si>
    <t>부품매출로 구성. 인터뷰에 따르면 2018년부터 부품 매출은 서비스 매출애 가산되어 산출</t>
    <phoneticPr fontId="1" type="noConversion"/>
  </si>
  <si>
    <t>항공 매출</t>
    <phoneticPr fontId="1" type="noConversion"/>
  </si>
  <si>
    <t>국내 제품 매출</t>
    <phoneticPr fontId="1" type="noConversion"/>
  </si>
  <si>
    <t>고소</t>
    <phoneticPr fontId="1" type="noConversion"/>
  </si>
  <si>
    <t>활선</t>
    <phoneticPr fontId="1" type="noConversion"/>
  </si>
  <si>
    <t>신제품 매출</t>
    <phoneticPr fontId="1" type="noConversion"/>
  </si>
  <si>
    <t>- 인도네시아, 콜롬비아 등 기타 지역 연도별 35억 수준 (인터뷰 반영</t>
    <phoneticPr fontId="1" type="noConversion"/>
  </si>
  <si>
    <t>손   익   계   산   서</t>
  </si>
  <si>
    <t>제 21(당)기 2017년  1월  1일부터  2017년 12월 31일까지</t>
  </si>
  <si>
    <t>제 20(전)기 2017년  1월  1일부터  2017년 12월 31일까지</t>
  </si>
  <si>
    <t>회사명 : (주)동해기계항공</t>
  </si>
  <si>
    <t>(단위  :  원)</t>
  </si>
  <si>
    <t>과    목</t>
  </si>
  <si>
    <t>제 21 (당)기</t>
  </si>
  <si>
    <t>제 20 (전)기</t>
  </si>
  <si>
    <t>금    액</t>
  </si>
  <si>
    <t xml:space="preserve">       단 기 투 자 자 산 평가익</t>
  </si>
  <si>
    <t xml:space="preserve">       투  자 자 산 처 분 이 익</t>
  </si>
  <si>
    <t xml:space="preserve">       보      험     차     익</t>
  </si>
  <si>
    <t xml:space="preserve">       단 기 투 자 자 산 평가손</t>
  </si>
  <si>
    <t xml:space="preserve">       회  원  권  손  상 차 손</t>
  </si>
  <si>
    <t xml:space="preserve">       소      득     세     등</t>
  </si>
  <si>
    <t>제 조 원 가 명 세 서</t>
  </si>
  <si>
    <t>제 21기  2017년  01월  01일부터     2017년  12월  31일까지</t>
  </si>
  <si>
    <t>제 20기  2017년  01월  01일부터     2017년  12월  31일까지</t>
  </si>
  <si>
    <t>과        목</t>
  </si>
  <si>
    <t xml:space="preserve">제  21 (당)기 </t>
  </si>
  <si>
    <t xml:space="preserve">제  20 (전)기 </t>
  </si>
  <si>
    <t>금          액</t>
  </si>
  <si>
    <t>Ⅸ.당 기 제 품 제 조원가</t>
  </si>
  <si>
    <t>연도별 신규 투자 Schedule</t>
    <phoneticPr fontId="1" type="noConversion"/>
  </si>
  <si>
    <t>구분</t>
    <phoneticPr fontId="1" type="noConversion"/>
  </si>
  <si>
    <t>2018년</t>
    <phoneticPr fontId="3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</si>
  <si>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</si>
  <si>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</si>
  <si>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</si>
  <si>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2022년</t>
    <phoneticPr fontId="1" type="noConversion"/>
  </si>
  <si>
    <t>2023년</t>
    <phoneticPr fontId="1" type="noConversion"/>
  </si>
  <si>
    <t>토지</t>
    <phoneticPr fontId="3" type="noConversion"/>
  </si>
  <si>
    <t>지점 (수)</t>
    <phoneticPr fontId="1" type="noConversion"/>
  </si>
  <si>
    <t>금액(백만원)</t>
    <phoneticPr fontId="1" type="noConversion"/>
  </si>
  <si>
    <t>건물</t>
    <phoneticPr fontId="3" type="noConversion"/>
  </si>
  <si>
    <t>구축물</t>
    <phoneticPr fontId="1" type="noConversion"/>
  </si>
  <si>
    <t>기계장치</t>
    <phoneticPr fontId="3" type="noConversion"/>
  </si>
  <si>
    <t>차량대수</t>
    <phoneticPr fontId="1" type="noConversion"/>
  </si>
  <si>
    <t>시설장치</t>
    <phoneticPr fontId="1" type="noConversion"/>
  </si>
  <si>
    <t>건설중인 자산</t>
    <phoneticPr fontId="1" type="noConversion"/>
  </si>
  <si>
    <t>기타 투자</t>
    <phoneticPr fontId="3" type="noConversion"/>
  </si>
  <si>
    <t>계</t>
    <phoneticPr fontId="3" type="noConversion"/>
  </si>
  <si>
    <t>경기남부</t>
    <phoneticPr fontId="1" type="noConversion"/>
  </si>
  <si>
    <t>원주</t>
    <phoneticPr fontId="1" type="noConversion"/>
  </si>
  <si>
    <t>동부산</t>
    <phoneticPr fontId="1" type="noConversion"/>
  </si>
  <si>
    <t>여수순천</t>
    <phoneticPr fontId="1" type="noConversion"/>
  </si>
  <si>
    <t>포항</t>
    <phoneticPr fontId="1" type="noConversion"/>
  </si>
  <si>
    <t>목포</t>
    <phoneticPr fontId="1" type="noConversion"/>
  </si>
  <si>
    <t>Capital Expenditure (기존+신규)</t>
    <phoneticPr fontId="1" type="noConversion"/>
  </si>
  <si>
    <t>차량운반구</t>
    <phoneticPr fontId="1" type="noConversion"/>
  </si>
  <si>
    <t xml:space="preserve">40년 </t>
    <phoneticPr fontId="1" type="noConversion"/>
  </si>
  <si>
    <t>5년</t>
    <phoneticPr fontId="1" type="noConversion"/>
  </si>
  <si>
    <t>기중 취득 가정</t>
    <phoneticPr fontId="1" type="noConversion"/>
  </si>
  <si>
    <t>시설장치</t>
    <phoneticPr fontId="1" type="noConversion"/>
  </si>
  <si>
    <t>건설중인자산</t>
    <phoneticPr fontId="1" type="noConversion"/>
  </si>
  <si>
    <t>차량운반구</t>
    <phoneticPr fontId="3" type="noConversion"/>
  </si>
  <si>
    <t>특허권</t>
    <phoneticPr fontId="1" type="noConversion"/>
  </si>
  <si>
    <t>소프트웨어</t>
    <phoneticPr fontId="1" type="noConversion"/>
  </si>
  <si>
    <t>2022F</t>
    <phoneticPr fontId="1" type="noConversion"/>
  </si>
  <si>
    <t>% of 급여</t>
    <phoneticPr fontId="1" type="noConversion"/>
  </si>
  <si>
    <t>과거 3개년 평균 상여금/급여 적용</t>
    <phoneticPr fontId="1" type="noConversion"/>
  </si>
  <si>
    <t>유형자산상각비 (IS)</t>
    <phoneticPr fontId="1" type="noConversion"/>
  </si>
  <si>
    <t>무형자산상각비 (IS)</t>
    <phoneticPr fontId="1" type="noConversion"/>
  </si>
  <si>
    <t>% of 총 유형자산상각비</t>
    <phoneticPr fontId="1" type="noConversion"/>
  </si>
  <si>
    <t>% of 유형자산상각비</t>
    <phoneticPr fontId="1" type="noConversion"/>
  </si>
  <si>
    <t>% of 무형자산상각비</t>
    <phoneticPr fontId="1" type="noConversion"/>
  </si>
  <si>
    <t>% of 고소작업차 매출액</t>
    <phoneticPr fontId="1" type="noConversion"/>
  </si>
  <si>
    <t>고소작업차</t>
    <phoneticPr fontId="1" type="noConversion"/>
  </si>
  <si>
    <t>크레인</t>
    <phoneticPr fontId="1" type="noConversion"/>
  </si>
  <si>
    <t>활선차</t>
    <phoneticPr fontId="1" type="noConversion"/>
  </si>
  <si>
    <t>기타</t>
    <phoneticPr fontId="1" type="noConversion"/>
  </si>
  <si>
    <t>항공</t>
  </si>
  <si>
    <t>합계 : 2017</t>
  </si>
  <si>
    <t>열 레이블</t>
  </si>
  <si>
    <t>행 레이블</t>
  </si>
  <si>
    <t>총합계</t>
  </si>
  <si>
    <t>건설</t>
  </si>
  <si>
    <t>관공서</t>
  </si>
  <si>
    <t>전기</t>
  </si>
  <si>
    <t>통신</t>
  </si>
  <si>
    <t>합계 : 2018</t>
  </si>
  <si>
    <t>합계 : 2019</t>
  </si>
  <si>
    <t>합계 : 2020</t>
  </si>
  <si>
    <t>합계 : 2021</t>
  </si>
  <si>
    <t>원재료비 추정 (단종된 사양 제거)</t>
    <phoneticPr fontId="1" type="noConversion"/>
  </si>
  <si>
    <t>원재료비</t>
    <phoneticPr fontId="1" type="noConversion"/>
  </si>
  <si>
    <t>모델명</t>
  </si>
  <si>
    <t>산업군</t>
  </si>
  <si>
    <t>모델구분</t>
  </si>
  <si>
    <t>산업군</t>
    <phoneticPr fontId="1" type="noConversion"/>
  </si>
  <si>
    <t>모델구분</t>
    <phoneticPr fontId="1" type="noConversion"/>
  </si>
  <si>
    <t>모델 구분</t>
  </si>
  <si>
    <t>통신</t>
    <phoneticPr fontId="1" type="noConversion"/>
  </si>
  <si>
    <t>DHS 102AP</t>
  </si>
  <si>
    <t>DHS 120AP</t>
    <phoneticPr fontId="1" type="noConversion"/>
  </si>
  <si>
    <t>단종</t>
    <phoneticPr fontId="1" type="noConversion"/>
  </si>
  <si>
    <t>DHS 120AP</t>
  </si>
  <si>
    <t>뉴질랜드수출사양</t>
    <phoneticPr fontId="1" type="noConversion"/>
  </si>
  <si>
    <t>전기</t>
    <phoneticPr fontId="1" type="noConversion"/>
  </si>
  <si>
    <t>DHS 280AP</t>
    <phoneticPr fontId="1" type="noConversion"/>
  </si>
  <si>
    <t>DHS 433 집게크레인</t>
  </si>
  <si>
    <t>원재료비</t>
    <phoneticPr fontId="1" type="noConversion"/>
  </si>
  <si>
    <t>크레인</t>
    <phoneticPr fontId="1" type="noConversion"/>
  </si>
  <si>
    <t>건설</t>
    <phoneticPr fontId="1" type="noConversion"/>
  </si>
  <si>
    <t>건설</t>
    <phoneticPr fontId="1" type="noConversion"/>
  </si>
  <si>
    <t>원재료비</t>
    <phoneticPr fontId="1" type="noConversion"/>
  </si>
  <si>
    <t>HWD 400</t>
  </si>
  <si>
    <t>총 원재료비</t>
    <phoneticPr fontId="1" type="noConversion"/>
  </si>
  <si>
    <t>원재료비 상승율</t>
    <phoneticPr fontId="1" type="noConversion"/>
  </si>
  <si>
    <t>회사 인터뷰에 따르면 모든 모델에 대한 원재료는 매년 5% 수준 상승하여 이를 반영</t>
    <phoneticPr fontId="1" type="noConversion"/>
  </si>
  <si>
    <t>이동정비탑차 (고소작업차)</t>
    <phoneticPr fontId="1" type="noConversion"/>
  </si>
  <si>
    <t>원재료비</t>
    <phoneticPr fontId="1" type="noConversion"/>
  </si>
  <si>
    <t>원재료비(원)</t>
    <phoneticPr fontId="1" type="noConversion"/>
  </si>
  <si>
    <t>Bloomberg Template</t>
    <phoneticPr fontId="85" type="noConversion"/>
  </si>
  <si>
    <t>&lt;Tax Rate&gt;</t>
    <phoneticPr fontId="85" type="noConversion"/>
  </si>
  <si>
    <t>Weighted Average Cost of Capital</t>
  </si>
  <si>
    <t>Unlevered</t>
    <phoneticPr fontId="85" type="noConversion"/>
  </si>
  <si>
    <t>Re-Levered, Kd</t>
    <phoneticPr fontId="85" type="noConversion"/>
  </si>
  <si>
    <t>&lt;= Terminal year 기준 EBIT규모에 따름 =&gt; 11%(~2억), 22%(~200억), 24.2%(200억~)</t>
    <phoneticPr fontId="85" type="noConversion"/>
  </si>
  <si>
    <t>Country</t>
  </si>
  <si>
    <t xml:space="preserve">Observed </t>
    <phoneticPr fontId="85" type="noConversion"/>
  </si>
  <si>
    <t>MKT Cap</t>
    <phoneticPr fontId="85" type="noConversion"/>
  </si>
  <si>
    <t>IBD</t>
    <phoneticPr fontId="85" type="noConversion"/>
  </si>
  <si>
    <t>Debt</t>
  </si>
  <si>
    <t xml:space="preserve">Debt </t>
  </si>
  <si>
    <t>Tax Rate</t>
    <phoneticPr fontId="85" type="noConversion"/>
  </si>
  <si>
    <t>Unlevered Beta</t>
  </si>
  <si>
    <t>Re-Levered Beta</t>
    <phoneticPr fontId="85" type="noConversion"/>
  </si>
  <si>
    <t xml:space="preserve">Beta </t>
    <phoneticPr fontId="85" type="noConversion"/>
  </si>
  <si>
    <t>Equity</t>
  </si>
  <si>
    <t>TIC</t>
  </si>
  <si>
    <t>Maximum</t>
    <phoneticPr fontId="85" type="noConversion"/>
  </si>
  <si>
    <t xml:space="preserve">  : 'Beta' Option</t>
    <phoneticPr fontId="85" type="noConversion"/>
  </si>
  <si>
    <t>Median</t>
  </si>
  <si>
    <t xml:space="preserve">  : 'Market Capitalization' Option</t>
    <phoneticPr fontId="85" type="noConversion"/>
  </si>
  <si>
    <t>Minimum</t>
  </si>
  <si>
    <t xml:space="preserve">  : 'Equity Risk Premium' Option</t>
    <phoneticPr fontId="85" type="noConversion"/>
  </si>
  <si>
    <t>Selected (Average)</t>
    <phoneticPr fontId="85" type="noConversion"/>
  </si>
  <si>
    <t xml:space="preserve">  : 'Risk-free Rate' Option</t>
    <phoneticPr fontId="85" type="noConversion"/>
  </si>
  <si>
    <r>
      <t>Cost of Equity (K</t>
    </r>
    <r>
      <rPr>
        <b/>
        <u/>
        <vertAlign val="subscript"/>
        <sz val="9"/>
        <rFont val="맑은 고딕"/>
        <family val="3"/>
        <charset val="129"/>
      </rPr>
      <t>E</t>
    </r>
    <r>
      <rPr>
        <b/>
        <u/>
        <sz val="9"/>
        <rFont val="맑은 고딕"/>
        <family val="3"/>
        <charset val="129"/>
      </rPr>
      <t>)</t>
    </r>
  </si>
  <si>
    <t>Risk Free Rate</t>
    <phoneticPr fontId="85" type="noConversion"/>
  </si>
  <si>
    <t>+</t>
  </si>
  <si>
    <t>Beta</t>
    <phoneticPr fontId="85" type="noConversion"/>
  </si>
  <si>
    <t>x</t>
    <phoneticPr fontId="85" type="noConversion"/>
  </si>
  <si>
    <r>
      <t>Equity Risk Premium</t>
    </r>
    <r>
      <rPr>
        <b/>
        <vertAlign val="superscript"/>
        <sz val="9"/>
        <color indexed="9"/>
        <rFont val="맑은 고딕"/>
        <family val="3"/>
        <charset val="129"/>
      </rPr>
      <t xml:space="preserve"> </t>
    </r>
    <phoneticPr fontId="85" type="noConversion"/>
  </si>
  <si>
    <r>
      <t>Size Premium</t>
    </r>
    <r>
      <rPr>
        <b/>
        <vertAlign val="superscript"/>
        <sz val="9"/>
        <color indexed="9"/>
        <rFont val="맑은 고딕"/>
        <family val="3"/>
        <charset val="129"/>
      </rPr>
      <t xml:space="preserve"> </t>
    </r>
  </si>
  <si>
    <t xml:space="preserve">Specific Premium </t>
    <phoneticPr fontId="85" type="noConversion"/>
  </si>
  <si>
    <t>Country Risk Premium</t>
  </si>
  <si>
    <t>=</t>
  </si>
  <si>
    <t>Cost of Equity</t>
  </si>
  <si>
    <r>
      <t>After-Tax Cost of Debt (K</t>
    </r>
    <r>
      <rPr>
        <b/>
        <u/>
        <vertAlign val="subscript"/>
        <sz val="9"/>
        <rFont val="맑은 고딕"/>
        <family val="3"/>
        <charset val="129"/>
      </rPr>
      <t>D</t>
    </r>
    <r>
      <rPr>
        <b/>
        <u/>
        <sz val="9"/>
        <rFont val="맑은 고딕"/>
        <family val="3"/>
        <charset val="129"/>
      </rPr>
      <t>)</t>
    </r>
  </si>
  <si>
    <t xml:space="preserve">Pre-Tax Cost of Debt </t>
    <phoneticPr fontId="4" type="noConversion"/>
  </si>
  <si>
    <t>(1 - Tax Rate)</t>
  </si>
  <si>
    <t>After-Tax Cost of Debt</t>
  </si>
  <si>
    <t>Captial Structure</t>
    <phoneticPr fontId="85" type="noConversion"/>
  </si>
  <si>
    <t>Cost of Capital</t>
  </si>
  <si>
    <t>Contribution</t>
  </si>
  <si>
    <t>WACC</t>
  </si>
  <si>
    <t>Notes:</t>
  </si>
  <si>
    <t>[1]</t>
  </si>
  <si>
    <t>대상회사와 유사한 사업을 영위하고 있는 회사를 선정</t>
    <phoneticPr fontId="85" type="noConversion"/>
  </si>
  <si>
    <t>[2]</t>
  </si>
  <si>
    <t>2017년 9월 30일 기준 과거 5년 평균 Weekly adjusted Beta 적용</t>
    <phoneticPr fontId="85" type="noConversion"/>
  </si>
  <si>
    <t>[3]</t>
  </si>
  <si>
    <t>2017년 9월 30일 기준  시가총액 사용</t>
    <phoneticPr fontId="85" type="noConversion"/>
  </si>
  <si>
    <t>[4]</t>
  </si>
  <si>
    <t>2017년 9월 30일 기준 이자발생부채 적용</t>
    <phoneticPr fontId="85" type="noConversion"/>
  </si>
  <si>
    <t>[5]</t>
    <phoneticPr fontId="85" type="noConversion"/>
  </si>
  <si>
    <t>2017년 9월 30일 기준 10년 만기 국공채 이자율 적용 (Source: Bloomberg)</t>
    <phoneticPr fontId="85" type="noConversion"/>
  </si>
  <si>
    <t>[6]</t>
    <phoneticPr fontId="85" type="noConversion"/>
  </si>
  <si>
    <t>2017년 9월 30일 기준 Market Risk Premium 적용 (Source: Bloomberg)</t>
    <phoneticPr fontId="85" type="noConversion"/>
  </si>
  <si>
    <t>[7]</t>
  </si>
  <si>
    <t>2017년 9월 30일 기준 5년 만기 A0 등급 무보증 회사채 이자율 적용 (Source: www.KOFIAbond.or.kr)</t>
    <phoneticPr fontId="85" type="noConversion"/>
  </si>
  <si>
    <t>[8]</t>
  </si>
  <si>
    <t>유사회사의 평균 자본구조 적용</t>
    <phoneticPr fontId="85" type="noConversion"/>
  </si>
  <si>
    <t>&lt;비교대상 회사 선정 과정 및 기준&gt;</t>
    <phoneticPr fontId="14" type="noConversion"/>
  </si>
  <si>
    <t>선정 과정</t>
    <phoneticPr fontId="85" type="noConversion"/>
  </si>
  <si>
    <t>- 유사업체 선정기준 Tab 참조</t>
    <phoneticPr fontId="85" type="noConversion"/>
  </si>
  <si>
    <t>&lt;Beta 선정&gt;</t>
    <phoneticPr fontId="85" type="noConversion"/>
  </si>
  <si>
    <t>Option</t>
    <phoneticPr fontId="85" type="noConversion"/>
  </si>
  <si>
    <t>5-year weekly</t>
    <phoneticPr fontId="85" type="noConversion"/>
  </si>
  <si>
    <t>5-year monthly</t>
    <phoneticPr fontId="85" type="noConversion"/>
  </si>
  <si>
    <t>2-year weekly</t>
    <phoneticPr fontId="85" type="noConversion"/>
  </si>
  <si>
    <t>Index</t>
  </si>
  <si>
    <t>5year, weekly</t>
    <phoneticPr fontId="85" type="noConversion"/>
  </si>
  <si>
    <t>5year, monthly</t>
    <phoneticPr fontId="85" type="noConversion"/>
  </si>
  <si>
    <t>2year, weekly</t>
    <phoneticPr fontId="85" type="noConversion"/>
  </si>
  <si>
    <t>&lt;시가총액 선정&gt;</t>
    <phoneticPr fontId="85" type="noConversion"/>
  </si>
  <si>
    <t>1 month</t>
  </si>
  <si>
    <t>3 month</t>
  </si>
  <si>
    <t>6 month</t>
  </si>
  <si>
    <t>12 month</t>
  </si>
  <si>
    <t>1 month avg.</t>
    <phoneticPr fontId="85" type="noConversion"/>
  </si>
  <si>
    <t>3 month avg.</t>
    <phoneticPr fontId="85" type="noConversion"/>
  </si>
  <si>
    <t>6 month avg.</t>
    <phoneticPr fontId="85" type="noConversion"/>
  </si>
  <si>
    <t>12 month avg.</t>
    <phoneticPr fontId="85" type="noConversion"/>
  </si>
  <si>
    <t>&lt;이자부부채 선정&gt;</t>
    <phoneticPr fontId="85" type="noConversion"/>
  </si>
  <si>
    <t>이자부부채</t>
    <phoneticPr fontId="85" type="noConversion"/>
  </si>
  <si>
    <t>&lt;Rf, Equity Risk Premium 선정&gt;</t>
    <phoneticPr fontId="85" type="noConversion"/>
  </si>
  <si>
    <t>RF Rate</t>
  </si>
  <si>
    <t xml:space="preserve">Equity Risk Premium </t>
  </si>
  <si>
    <t>1month avg.</t>
    <phoneticPr fontId="85" type="noConversion"/>
  </si>
  <si>
    <t>3 month avg.</t>
    <phoneticPr fontId="85" type="noConversion"/>
  </si>
  <si>
    <t>6 month avg.</t>
    <phoneticPr fontId="85" type="noConversion"/>
  </si>
  <si>
    <t>12 month avg.</t>
    <phoneticPr fontId="85" type="noConversion"/>
  </si>
  <si>
    <t>24 month avg.</t>
    <phoneticPr fontId="85" type="noConversion"/>
  </si>
  <si>
    <t>취득년</t>
    <phoneticPr fontId="1" type="noConversion"/>
  </si>
  <si>
    <t>L</t>
    <phoneticPr fontId="1" type="noConversion"/>
  </si>
  <si>
    <t>비품</t>
    <phoneticPr fontId="1" type="noConversion"/>
  </si>
  <si>
    <t>[소계] 시설물</t>
    <phoneticPr fontId="1" type="noConversion"/>
  </si>
  <si>
    <t>시설물</t>
  </si>
  <si>
    <t>차량운반구</t>
    <phoneticPr fontId="1" type="noConversion"/>
  </si>
  <si>
    <t>기계장치</t>
    <phoneticPr fontId="1" type="noConversion"/>
  </si>
  <si>
    <t>구축물</t>
    <phoneticPr fontId="1" type="noConversion"/>
  </si>
  <si>
    <t>건물</t>
    <phoneticPr fontId="1" type="noConversion"/>
  </si>
  <si>
    <t>특허권</t>
    <phoneticPr fontId="1" type="noConversion"/>
  </si>
  <si>
    <t>소프트웨어</t>
    <phoneticPr fontId="1" type="noConversion"/>
  </si>
  <si>
    <t>시설물</t>
    <phoneticPr fontId="1" type="noConversion"/>
  </si>
  <si>
    <t xml:space="preserve">과거 건설중인자산으로 분류한 자본적지출은 향후에는 발생하지 않을 것인지? </t>
    <phoneticPr fontId="1" type="noConversion"/>
  </si>
  <si>
    <t>사업계획 적용</t>
    <phoneticPr fontId="1" type="noConversion"/>
  </si>
  <si>
    <t>2018년 투자분</t>
    <phoneticPr fontId="1" type="noConversion"/>
  </si>
  <si>
    <t>2019년 투자분</t>
    <phoneticPr fontId="1" type="noConversion"/>
  </si>
  <si>
    <t>2020년 투자분</t>
    <phoneticPr fontId="1" type="noConversion"/>
  </si>
  <si>
    <t>2021년 투자분</t>
    <phoneticPr fontId="1" type="noConversion"/>
  </si>
  <si>
    <t>2022년 투자분</t>
    <phoneticPr fontId="1" type="noConversion"/>
  </si>
  <si>
    <t>기계장치</t>
    <phoneticPr fontId="1" type="noConversion"/>
  </si>
  <si>
    <t>비품</t>
    <phoneticPr fontId="1" type="noConversion"/>
  </si>
  <si>
    <t>당기년도말</t>
    <phoneticPr fontId="85" type="noConversion"/>
  </si>
  <si>
    <t>말일 기준월</t>
    <phoneticPr fontId="85" type="noConversion"/>
  </si>
  <si>
    <t>평가 기준일</t>
    <phoneticPr fontId="1" type="noConversion"/>
  </si>
  <si>
    <t>구  분</t>
    <phoneticPr fontId="85" type="noConversion"/>
  </si>
  <si>
    <t>계정과목명</t>
    <phoneticPr fontId="85" type="noConversion"/>
  </si>
  <si>
    <t>취득일자</t>
    <phoneticPr fontId="85" type="noConversion"/>
  </si>
  <si>
    <t>내용연수</t>
    <phoneticPr fontId="85" type="noConversion"/>
  </si>
  <si>
    <t>잔존연수</t>
    <phoneticPr fontId="85" type="noConversion"/>
  </si>
  <si>
    <t>당기 상각일수</t>
    <phoneticPr fontId="85" type="noConversion"/>
  </si>
  <si>
    <t>당기상각비율</t>
    <phoneticPr fontId="85" type="noConversion"/>
  </si>
  <si>
    <t>상각율</t>
    <phoneticPr fontId="85" type="noConversion"/>
  </si>
  <si>
    <t>취득원가</t>
    <phoneticPr fontId="85" type="noConversion"/>
  </si>
  <si>
    <t>전기감가상각누계액</t>
    <phoneticPr fontId="85" type="noConversion"/>
  </si>
  <si>
    <t>전기감액누계액</t>
    <phoneticPr fontId="1" type="noConversion"/>
  </si>
  <si>
    <t>전기누적증감액</t>
    <phoneticPr fontId="1" type="noConversion"/>
  </si>
  <si>
    <t>기초잔액</t>
    <phoneticPr fontId="85" type="noConversion"/>
  </si>
  <si>
    <t>당기증가액</t>
    <phoneticPr fontId="85" type="noConversion"/>
  </si>
  <si>
    <t>당기감소액</t>
    <phoneticPr fontId="85" type="noConversion"/>
  </si>
  <si>
    <t>당기상각액</t>
    <phoneticPr fontId="85" type="noConversion"/>
  </si>
  <si>
    <t>기말장부가액</t>
    <phoneticPr fontId="85" type="noConversion"/>
  </si>
  <si>
    <t>장부가액 검증</t>
    <phoneticPr fontId="85" type="noConversion"/>
  </si>
  <si>
    <t>연간 감가상각비</t>
    <phoneticPr fontId="85" type="noConversion"/>
  </si>
  <si>
    <t>Check</t>
    <phoneticPr fontId="85" type="noConversion"/>
  </si>
  <si>
    <t>Summary (백만원)</t>
    <phoneticPr fontId="85" type="noConversion"/>
  </si>
  <si>
    <t>Average</t>
    <phoneticPr fontId="1" type="noConversion"/>
  </si>
  <si>
    <t>신규 상각비</t>
    <phoneticPr fontId="1" type="noConversion"/>
  </si>
  <si>
    <t>국내 제품 매출금액</t>
    <phoneticPr fontId="1" type="noConversion"/>
  </si>
  <si>
    <t>원재료비 상승률</t>
    <phoneticPr fontId="1" type="noConversion"/>
  </si>
  <si>
    <t>전기향 고소작업차 평균 원재료비 /매출</t>
    <phoneticPr fontId="1" type="noConversion"/>
  </si>
  <si>
    <t>- 전기향 고소작업차 평균 단가 대비 원재료 비율 적용</t>
    <phoneticPr fontId="1" type="noConversion"/>
  </si>
  <si>
    <t>통신향 크레인 비율</t>
    <phoneticPr fontId="1" type="noConversion"/>
  </si>
  <si>
    <t>통신향 고소작업차 평균 원재료비 /매출</t>
    <phoneticPr fontId="1" type="noConversion"/>
  </si>
  <si>
    <t>매출액(원)</t>
    <phoneticPr fontId="1" type="noConversion"/>
  </si>
  <si>
    <t>- 통신향 고소작업차 평균 단가 대비 원재료 비율 적용</t>
    <phoneticPr fontId="1" type="noConversion"/>
  </si>
  <si>
    <t>기타향 고소작업차 평균 원재료비/매출</t>
    <phoneticPr fontId="1" type="noConversion"/>
  </si>
  <si>
    <t>신제품</t>
    <phoneticPr fontId="1" type="noConversion"/>
  </si>
  <si>
    <t>신제품(고소작업차)</t>
    <phoneticPr fontId="1" type="noConversion"/>
  </si>
  <si>
    <t>DHT 170AS</t>
    <phoneticPr fontId="1" type="noConversion"/>
  </si>
  <si>
    <t>해외 제품 매출 계획</t>
    <phoneticPr fontId="1" type="noConversion"/>
  </si>
  <si>
    <t>- 22년은 과거 4개년 평균 발생 가정</t>
    <phoneticPr fontId="1" type="noConversion"/>
  </si>
  <si>
    <t>크레인</t>
    <phoneticPr fontId="1" type="noConversion"/>
  </si>
  <si>
    <t>회사 제시수치와 와꾸 맞음</t>
    <phoneticPr fontId="1" type="noConversion"/>
  </si>
  <si>
    <t>% of 크레인 매출액</t>
    <phoneticPr fontId="1" type="noConversion"/>
  </si>
  <si>
    <t>수량(Q)</t>
    <phoneticPr fontId="1" type="noConversion"/>
  </si>
  <si>
    <t>-인터뷰 반영</t>
    <phoneticPr fontId="1" type="noConversion"/>
  </si>
  <si>
    <t>서비스 매출 (제품매출 대비)</t>
    <phoneticPr fontId="1" type="noConversion"/>
  </si>
  <si>
    <t>총 매출액은 국내 제품 매출 /해외제품매출/서비스매출/항공매출로 구성</t>
    <phoneticPr fontId="1" type="noConversion"/>
  </si>
  <si>
    <t>해외매출</t>
    <phoneticPr fontId="1" type="noConversion"/>
  </si>
  <si>
    <t>해외</t>
    <phoneticPr fontId="1" type="noConversion"/>
  </si>
  <si>
    <t>상각비만큼 재투자 가정</t>
    <phoneticPr fontId="1" type="noConversion"/>
  </si>
  <si>
    <t xml:space="preserve">항공매출 </t>
    <phoneticPr fontId="1" type="noConversion"/>
  </si>
  <si>
    <t>항공 원가</t>
    <phoneticPr fontId="1" type="noConversion"/>
  </si>
  <si>
    <t>재 무 상 태 표</t>
  </si>
  <si>
    <t>제 21기  2017년  12월  31일  현재</t>
  </si>
  <si>
    <t>제 20기  2017년  12월  31일  현재</t>
  </si>
  <si>
    <t>과      목</t>
  </si>
  <si>
    <t>제 21(당)기</t>
  </si>
  <si>
    <t>제 20(전)기</t>
  </si>
  <si>
    <t>금      액</t>
  </si>
  <si>
    <t xml:space="preserve">      (1) 당    좌    자    산</t>
  </si>
  <si>
    <t xml:space="preserve">       단   기  금  융  상  품</t>
  </si>
  <si>
    <t xml:space="preserve">       특         허        권</t>
  </si>
  <si>
    <t xml:space="preserve">       전기 : 12,506,587,858 원</t>
  </si>
  <si>
    <t>FY2017</t>
    <phoneticPr fontId="1" type="noConversion"/>
  </si>
  <si>
    <t>NOA</t>
    <phoneticPr fontId="1" type="noConversion"/>
  </si>
  <si>
    <t>2022F</t>
    <phoneticPr fontId="1" type="noConversion"/>
  </si>
  <si>
    <t>Terminal</t>
    <phoneticPr fontId="1" type="noConversion"/>
  </si>
  <si>
    <t>세율</t>
    <phoneticPr fontId="1" type="noConversion"/>
  </si>
  <si>
    <t>최대</t>
    <phoneticPr fontId="1" type="noConversion"/>
  </si>
  <si>
    <t>Extra</t>
    <phoneticPr fontId="1" type="noConversion"/>
  </si>
  <si>
    <t>19년도 2세트 활주로 납품 예정</t>
    <phoneticPr fontId="1" type="noConversion"/>
  </si>
  <si>
    <t>2020년 : 28억 5천 (활주로 하나에 9억 5천) 3세트 납품 예정</t>
    <phoneticPr fontId="1" type="noConversion"/>
  </si>
  <si>
    <t>Rotation 주기 도래하여 2022년 2018년 수준 매출 발생 예정</t>
    <phoneticPr fontId="1" type="noConversion"/>
  </si>
  <si>
    <t>&lt;인터뷰&gt;</t>
    <phoneticPr fontId="1" type="noConversion"/>
  </si>
  <si>
    <t>항공 매출</t>
    <phoneticPr fontId="1" type="noConversion"/>
  </si>
  <si>
    <t>국내 제품 매출</t>
    <phoneticPr fontId="1" type="noConversion"/>
  </si>
  <si>
    <t>서비스 매출은 과거 국내 제품 매출 대비 비율로 발생함을 가정</t>
    <phoneticPr fontId="1" type="noConversion"/>
  </si>
  <si>
    <t>공군은 활주로 설치공사건으로 개별판매단가 없으며 활주로 면적에 따른 공사원가가 산정됨 (인터뷰 반영) : 원가율은 약 60% 수준임</t>
    <phoneticPr fontId="1" type="noConversion"/>
  </si>
  <si>
    <t>원재료</t>
    <phoneticPr fontId="1" type="noConversion"/>
  </si>
  <si>
    <t>노무비</t>
    <phoneticPr fontId="1" type="noConversion"/>
  </si>
  <si>
    <t>경비</t>
    <phoneticPr fontId="1" type="noConversion"/>
  </si>
  <si>
    <t>비용추산</t>
    <phoneticPr fontId="1" type="noConversion"/>
  </si>
  <si>
    <t>변동비</t>
    <phoneticPr fontId="1" type="noConversion"/>
  </si>
  <si>
    <t>고정비</t>
    <phoneticPr fontId="1" type="noConversion"/>
  </si>
  <si>
    <t>변동비 비율</t>
    <phoneticPr fontId="1" type="noConversion"/>
  </si>
  <si>
    <t>고정비 비율</t>
    <phoneticPr fontId="1" type="noConversion"/>
  </si>
  <si>
    <t>상각비 비율</t>
    <phoneticPr fontId="1" type="noConversion"/>
  </si>
  <si>
    <t>인터뷰에 따르면 전기 고소작업차는 약 4천만원 원재료. 이를 반영</t>
    <phoneticPr fontId="1" type="noConversion"/>
  </si>
  <si>
    <t>고소작업차 (240 SKY)</t>
    <phoneticPr fontId="1" type="noConversion"/>
  </si>
  <si>
    <t>DHS 320SKY</t>
    <phoneticPr fontId="1" type="noConversion"/>
  </si>
  <si>
    <t>보수적으로 적용</t>
    <phoneticPr fontId="1" type="noConversion"/>
  </si>
  <si>
    <t>고소작업차 (240 SKY)</t>
    <phoneticPr fontId="1" type="noConversion"/>
  </si>
  <si>
    <t>신제품 SKLY 320 반영 효과</t>
    <phoneticPr fontId="1" type="noConversion"/>
  </si>
  <si>
    <t>해외 영업부의 해외 딜러망 구축을 위한 출장 비용. 2018년부터 본격적인 수출향 매출 발생으로 인한 가산 효과 반영</t>
    <phoneticPr fontId="1" type="noConversion"/>
  </si>
  <si>
    <t>중국은 활선차 위주 판매 예정</t>
    <phoneticPr fontId="1" type="noConversion"/>
  </si>
  <si>
    <t>수량</t>
    <phoneticPr fontId="1" type="noConversion"/>
  </si>
  <si>
    <t>국내 제품 매출액</t>
    <phoneticPr fontId="1" type="noConversion"/>
  </si>
  <si>
    <t>총 매출액</t>
    <phoneticPr fontId="1" type="noConversion"/>
  </si>
  <si>
    <t>기타향 매출</t>
    <phoneticPr fontId="1" type="noConversion"/>
  </si>
  <si>
    <t>기타 지역</t>
    <phoneticPr fontId="1" type="noConversion"/>
  </si>
  <si>
    <t>% of 국내 제품 매출</t>
    <phoneticPr fontId="1" type="noConversion"/>
  </si>
  <si>
    <t>% of 총 매출액</t>
    <phoneticPr fontId="1" type="noConversion"/>
  </si>
  <si>
    <t>합계 : 매출금액</t>
  </si>
  <si>
    <t>국내</t>
  </si>
  <si>
    <t>수출</t>
  </si>
  <si>
    <t>뉴질랜드</t>
  </si>
  <si>
    <t>베트남</t>
  </si>
  <si>
    <t>인도네시아</t>
  </si>
  <si>
    <t>중국</t>
  </si>
  <si>
    <t>필리핀</t>
  </si>
  <si>
    <t>개수 : 매출금액</t>
  </si>
  <si>
    <t>매출액</t>
    <phoneticPr fontId="1" type="noConversion"/>
  </si>
  <si>
    <t xml:space="preserve">개수 </t>
    <phoneticPr fontId="1" type="noConversion"/>
  </si>
  <si>
    <t>단가</t>
    <phoneticPr fontId="1" type="noConversion"/>
  </si>
  <si>
    <t>국내</t>
    <phoneticPr fontId="1" type="noConversion"/>
  </si>
  <si>
    <t>대만</t>
  </si>
  <si>
    <t>멕시코</t>
  </si>
  <si>
    <t>스리랑카</t>
  </si>
  <si>
    <t>시리아</t>
  </si>
  <si>
    <t>개수 : 단가</t>
    <phoneticPr fontId="1" type="noConversion"/>
  </si>
  <si>
    <t>선수금</t>
    <phoneticPr fontId="1" type="noConversion"/>
  </si>
  <si>
    <t>DHS 130SKY</t>
    <phoneticPr fontId="1" type="noConversion"/>
  </si>
  <si>
    <t> 구분</t>
  </si>
  <si>
    <t>국가 </t>
  </si>
  <si>
    <t>기종 </t>
  </si>
  <si>
    <t> 대수</t>
  </si>
  <si>
    <t>금액 </t>
  </si>
  <si>
    <t> 1</t>
  </si>
  <si>
    <t> 스리랑카</t>
  </si>
  <si>
    <t>DHS1200</t>
  </si>
  <si>
    <t> 2</t>
  </si>
  <si>
    <t>DHS15AP</t>
  </si>
  <si>
    <t> 3</t>
  </si>
  <si>
    <t> DHT180S</t>
  </si>
  <si>
    <t> 5</t>
  </si>
  <si>
    <t> 4</t>
  </si>
  <si>
    <t> 필리핀</t>
  </si>
  <si>
    <t> $40,000</t>
  </si>
  <si>
    <t> DHS950</t>
  </si>
  <si>
    <t> 6</t>
  </si>
  <si>
    <t>  DHT160AS</t>
  </si>
  <si>
    <t> $475,000</t>
  </si>
  <si>
    <t> 7</t>
  </si>
  <si>
    <t> 베트남</t>
  </si>
  <si>
    <t> DHT180S </t>
  </si>
  <si>
    <t> 합계</t>
  </si>
  <si>
    <t> $2,842,050</t>
  </si>
  <si>
    <t xml:space="preserve">  </t>
  </si>
  <si>
    <t>2018년 계약금 입금 기준</t>
    <phoneticPr fontId="1" type="noConversion"/>
  </si>
  <si>
    <t>환율</t>
    <phoneticPr fontId="1" type="noConversion"/>
  </si>
  <si>
    <t>24일 환율 적용시</t>
    <phoneticPr fontId="1" type="noConversion"/>
  </si>
  <si>
    <t>USD</t>
    <phoneticPr fontId="1" type="noConversion"/>
  </si>
  <si>
    <t>KRW</t>
    <phoneticPr fontId="1" type="noConversion"/>
  </si>
  <si>
    <t>분류</t>
    <phoneticPr fontId="1" type="noConversion"/>
  </si>
  <si>
    <t>매출액</t>
    <phoneticPr fontId="1" type="noConversion"/>
  </si>
  <si>
    <t>(단위: 백만원)</t>
    <phoneticPr fontId="1" type="noConversion"/>
  </si>
  <si>
    <t>1인당 매출액</t>
    <phoneticPr fontId="1" type="noConversion"/>
  </si>
  <si>
    <t>확정적인건 아닌데, 경매물건이 나와서</t>
    <phoneticPr fontId="1" type="noConversion"/>
  </si>
  <si>
    <t>부지가 20억, 공장 증설 계획을 세우시는 것 같음</t>
    <phoneticPr fontId="1" type="noConversion"/>
  </si>
  <si>
    <t>외주를 하려고 했는데, 좋은 경매 물건나와서 자체 생산 할 수 잇게</t>
    <phoneticPr fontId="1" type="noConversion"/>
  </si>
  <si>
    <t>14000평 정도될 것 같아서, 라인 구축 하는데 기계설비 등</t>
    <phoneticPr fontId="1" type="noConversion"/>
  </si>
  <si>
    <t>확정적인건 아니고, 부지를 경매참여 한다고 하면, Minimum 100-130억이다</t>
    <phoneticPr fontId="1" type="noConversion"/>
  </si>
  <si>
    <t>(부지 경매가 되면)</t>
    <phoneticPr fontId="1" type="noConversion"/>
  </si>
  <si>
    <t>신제품 - 증축 필요없고, 최초에는 외주 처리를 좀 하고(제관 쪽이니까 우리가 하는거랑 차이 많지 않음)</t>
    <phoneticPr fontId="1" type="noConversion"/>
  </si>
  <si>
    <t>포트홀 판매를 60대로 추정했는데,</t>
    <phoneticPr fontId="1" type="noConversion"/>
  </si>
  <si>
    <t>6월달에 시제품이 나오면, 7-8월달이 되면 일정부분 홍보 형태로 관공서와 시험 운영을 하게 됨</t>
    <phoneticPr fontId="1" type="noConversion"/>
  </si>
  <si>
    <t xml:space="preserve">인원계획 : 생산인력만. 판관비 인력은 증가할텐데.. 해외 쪽은 </t>
    <phoneticPr fontId="1" type="noConversion"/>
  </si>
  <si>
    <t xml:space="preserve">Aichi사 대비 기술적 우위 : </t>
    <phoneticPr fontId="1" type="noConversion"/>
  </si>
  <si>
    <t xml:space="preserve">작업 속도가 1.4-2배 수준 차이가 남. </t>
    <phoneticPr fontId="1" type="noConversion"/>
  </si>
  <si>
    <t xml:space="preserve">고소작업차/활선차 시장 규모 : </t>
    <phoneticPr fontId="1" type="noConversion"/>
  </si>
  <si>
    <t>활선차도 고소작업차 안에 들어가는것임. 고소작업차는 특수자동차의 한 아이템</t>
    <phoneticPr fontId="1" type="noConversion"/>
  </si>
  <si>
    <t xml:space="preserve">고소작업차: 스카이/활선차 다 합해서 약 </t>
    <phoneticPr fontId="1" type="noConversion"/>
  </si>
  <si>
    <t>소형은 1000억 원/ 중대형은 6-7000억 수준 (스카이 포함해서) / 활선차는 700억 대 수준 (연도별 차이가 좀 있음0</t>
    <phoneticPr fontId="1" type="noConversion"/>
  </si>
  <si>
    <t>소형 고소작업차 시장에서는 우리 점유율이 80-90%</t>
    <phoneticPr fontId="1" type="noConversion"/>
  </si>
  <si>
    <t>불법장비들이 사용 못하니까 고소작업차 사용하게됨</t>
    <phoneticPr fontId="1" type="noConversion"/>
  </si>
  <si>
    <t xml:space="preserve">옛날에는 크레인에 버캣만 장착해서.. (카고 크레인 -&gt; 고소작업차 시장으로 일부가 늘어남) </t>
    <phoneticPr fontId="1" type="noConversion"/>
  </si>
  <si>
    <t>국내 시장 매출 성장</t>
    <phoneticPr fontId="1" type="noConversion"/>
  </si>
  <si>
    <t xml:space="preserve">법률이 강화되면서 안정성 강화로 인해 / 건설현장 공사현장 등에서 우리 제품이  꼭 들어가야 함 (예전에는 무식하게 작업하는) </t>
    <phoneticPr fontId="1" type="noConversion"/>
  </si>
  <si>
    <t>-&gt;불법장비로 의심되는 장비들 아직도 많음</t>
    <phoneticPr fontId="1" type="noConversion"/>
  </si>
  <si>
    <t>A/S</t>
    <phoneticPr fontId="1" type="noConversion"/>
  </si>
  <si>
    <t>한전, KT 등과의 유지보수 계약을 체결. 5년 씩.. 연 3억 수준은 서비스 매출로</t>
    <phoneticPr fontId="1" type="noConversion"/>
  </si>
  <si>
    <t>회사명 : (주)동해기계항공/제품매출2018/01/01  ~ 2018/01/26</t>
  </si>
  <si>
    <t>전표번호</t>
  </si>
  <si>
    <t>적요</t>
  </si>
  <si>
    <t>거래처</t>
  </si>
  <si>
    <t>차변</t>
  </si>
  <si>
    <t>대변</t>
  </si>
  <si>
    <t>잔액</t>
  </si>
  <si>
    <t>18/01/03-3</t>
  </si>
  <si>
    <t>일성통신</t>
  </si>
  <si>
    <t>18/01/03-5</t>
  </si>
  <si>
    <t>(주)국보전기</t>
  </si>
  <si>
    <t>18/01/03-6</t>
  </si>
  <si>
    <t>(주)하나로정보통신</t>
  </si>
  <si>
    <t>18/01/03-19</t>
  </si>
  <si>
    <t>라인로드(Line Road)</t>
  </si>
  <si>
    <t>18/01/04-3</t>
  </si>
  <si>
    <t>윤성만</t>
  </si>
  <si>
    <t>18/01/04-4</t>
  </si>
  <si>
    <t>에스엠활선</t>
  </si>
  <si>
    <t>18/01/04-5</t>
  </si>
  <si>
    <t>백수군서유선방송</t>
  </si>
  <si>
    <t>18/01/04-6</t>
  </si>
  <si>
    <t>(유) 대산전기</t>
  </si>
  <si>
    <t>18/01/04-7</t>
  </si>
  <si>
    <t>태양활선</t>
  </si>
  <si>
    <t>18/01/05-3</t>
  </si>
  <si>
    <t>서경</t>
  </si>
  <si>
    <t>18/01/05-4</t>
  </si>
  <si>
    <t>18/01/05-5</t>
  </si>
  <si>
    <t>DS통신</t>
  </si>
  <si>
    <t>18/01/05-6</t>
  </si>
  <si>
    <t>(주)건국전기</t>
  </si>
  <si>
    <t>18/01/08-6</t>
  </si>
  <si>
    <t>영산전기(주)</t>
  </si>
  <si>
    <t>18/01/08-7</t>
  </si>
  <si>
    <t>삼영기계유압호스</t>
  </si>
  <si>
    <t>18/01/08-8</t>
  </si>
  <si>
    <t>일사천리카</t>
  </si>
  <si>
    <t>18/01/08-9</t>
  </si>
  <si>
    <t>(주)우진산업공사</t>
  </si>
  <si>
    <t>18/01/08-10</t>
  </si>
  <si>
    <t>(주)정수미디어</t>
  </si>
  <si>
    <t>18/01/08-27</t>
  </si>
  <si>
    <t>미래로정보통신</t>
  </si>
  <si>
    <t>18/01/09-3</t>
  </si>
  <si>
    <t>제이케이 정보통신</t>
  </si>
  <si>
    <t>18/01/09-4</t>
  </si>
  <si>
    <t>삼일모터펌프</t>
  </si>
  <si>
    <t>18/01/09-5</t>
  </si>
  <si>
    <t>대승전기 주식회사</t>
  </si>
  <si>
    <t>18/01/09-6</t>
  </si>
  <si>
    <t>윈윈전기</t>
  </si>
  <si>
    <t>18/01/09-8</t>
  </si>
  <si>
    <t>SH정보통신</t>
  </si>
  <si>
    <t>18/01/09-13</t>
  </si>
  <si>
    <t>(주)아름방송네트워크</t>
  </si>
  <si>
    <t>18/01/10-9</t>
  </si>
  <si>
    <t>(주)우담라이팅</t>
  </si>
  <si>
    <t>18/01/10-10</t>
  </si>
  <si>
    <t>(주)건창강건</t>
  </si>
  <si>
    <t>18/01/10-11</t>
  </si>
  <si>
    <t>서동전기통신</t>
  </si>
  <si>
    <t>18/01/10-12</t>
  </si>
  <si>
    <t>현대전력 주식회사</t>
  </si>
  <si>
    <t>18/01/10-13</t>
  </si>
  <si>
    <t>(주)넥스파시스템</t>
  </si>
  <si>
    <t>18/01/11-2</t>
  </si>
  <si>
    <t>현대캐피탈주식회사</t>
  </si>
  <si>
    <t>18/01/11-3</t>
  </si>
  <si>
    <t>18/01/11-4</t>
  </si>
  <si>
    <t>천일상사</t>
  </si>
  <si>
    <t>18/01/11-5</t>
  </si>
  <si>
    <t>엄인상</t>
  </si>
  <si>
    <t>18/01/12-1</t>
  </si>
  <si>
    <t>소망정보통신</t>
  </si>
  <si>
    <t>18/01/12-3</t>
  </si>
  <si>
    <t>(주)영하아이앤티</t>
  </si>
  <si>
    <t>18/01/12-4</t>
  </si>
  <si>
    <t>천지성</t>
  </si>
  <si>
    <t>18/01/12-5</t>
  </si>
  <si>
    <t>(주)민주전력</t>
  </si>
  <si>
    <t>18/01/12-6</t>
  </si>
  <si>
    <t>권용국</t>
  </si>
  <si>
    <t>18/01/15-3</t>
  </si>
  <si>
    <t>두산건기충남서부판매(주)</t>
  </si>
  <si>
    <t>18/01/15-4</t>
  </si>
  <si>
    <t>태양정보통신주식회사</t>
  </si>
  <si>
    <t>18/01/15-5</t>
  </si>
  <si>
    <t>(주)태영전기통신</t>
  </si>
  <si>
    <t>18/01/15-6</t>
  </si>
  <si>
    <t>(주)선진정보통신</t>
  </si>
  <si>
    <t>18/01/15-7</t>
  </si>
  <si>
    <t>18/01/15-11</t>
  </si>
  <si>
    <t>(주)나우리정보통신</t>
  </si>
  <si>
    <t>18/01/15-25</t>
  </si>
  <si>
    <t>(주)유엔텍</t>
  </si>
  <si>
    <t>18/01/16-8</t>
  </si>
  <si>
    <t>서해수중</t>
  </si>
  <si>
    <t>18/01/16-9</t>
  </si>
  <si>
    <t>주식회사 서경엔지니어링</t>
  </si>
  <si>
    <t>18/01/16-10</t>
  </si>
  <si>
    <t>명진통신</t>
  </si>
  <si>
    <t>18/01/16-11</t>
  </si>
  <si>
    <t>주빈통신</t>
  </si>
  <si>
    <t>18/01/16-12</t>
  </si>
  <si>
    <t>두루이엔지(주)</t>
  </si>
  <si>
    <t>18/01/17-6</t>
  </si>
  <si>
    <t>대국통신</t>
  </si>
  <si>
    <t>18/01/17-7</t>
  </si>
  <si>
    <t>한솔산전</t>
  </si>
  <si>
    <t>18/01/17-20</t>
  </si>
  <si>
    <t>(주)이프라임</t>
  </si>
  <si>
    <t>18/01/17-21</t>
  </si>
  <si>
    <t>18/01/18-3</t>
  </si>
  <si>
    <t>(주)명신전기</t>
  </si>
  <si>
    <t>18/01/19-8</t>
  </si>
  <si>
    <t>원진통신</t>
  </si>
  <si>
    <t>18/01/19-9</t>
  </si>
  <si>
    <t>한길시스템에어컨</t>
  </si>
  <si>
    <t>18/01/19-10</t>
  </si>
  <si>
    <t>주식회사 신라이앤씨</t>
  </si>
  <si>
    <t>18/01/19-11</t>
  </si>
  <si>
    <t>세진정보주식회사</t>
  </si>
  <si>
    <t>18/01/19-12</t>
  </si>
  <si>
    <t>태화통신(주)</t>
  </si>
  <si>
    <t>18/01/19-13</t>
  </si>
  <si>
    <t>아트벨광고사</t>
  </si>
  <si>
    <t>18/01/19-14</t>
  </si>
  <si>
    <t>(주)대성전설</t>
  </si>
  <si>
    <t>18/01/22-1</t>
  </si>
  <si>
    <t>(주)동양기전</t>
  </si>
  <si>
    <t>18/01/22-2</t>
  </si>
  <si>
    <t>(주)동명이엔지</t>
  </si>
  <si>
    <t>18/01/22-18</t>
  </si>
  <si>
    <t>P.A.T 정보통신</t>
  </si>
  <si>
    <t>18/01/23-4</t>
  </si>
  <si>
    <t>홍스무역홍스공업사(주)</t>
  </si>
  <si>
    <t>18/01/23-5</t>
  </si>
  <si>
    <t>도현전기</t>
  </si>
  <si>
    <t>18/01/23-6</t>
  </si>
  <si>
    <t>석오에너텍</t>
  </si>
  <si>
    <t>18/01/23-7</t>
  </si>
  <si>
    <t>오름정보통신(주)</t>
  </si>
  <si>
    <t>18/01/24-1</t>
  </si>
  <si>
    <t>동해기계해상크레인</t>
  </si>
  <si>
    <t>18/01/24-2</t>
  </si>
  <si>
    <t>(주)모아</t>
  </si>
  <si>
    <t>18/01/24-3</t>
  </si>
  <si>
    <t>주식회사 영진전기</t>
  </si>
  <si>
    <t>18/01/24-4</t>
  </si>
  <si>
    <t>주식회사 태광전기</t>
  </si>
  <si>
    <t>18/01/24-5</t>
  </si>
  <si>
    <t>SJ통신</t>
  </si>
  <si>
    <t>18/01/25-7</t>
  </si>
  <si>
    <t>주현통신</t>
  </si>
  <si>
    <t>18/01/25-8</t>
  </si>
  <si>
    <t>한라테크 기남방송</t>
  </si>
  <si>
    <t>18/01/25-9</t>
  </si>
  <si>
    <t>(주)엘에스케이네트워크(LsK Network Co, .Ltd)</t>
  </si>
  <si>
    <t>18/01/25-10</t>
  </si>
  <si>
    <t>주식회사 일화전설</t>
  </si>
  <si>
    <t>18/01/25-11</t>
  </si>
  <si>
    <t>(주)백운전기통신</t>
  </si>
  <si>
    <t>18/01/26-3</t>
  </si>
  <si>
    <t>(주)에스에이치마린</t>
  </si>
  <si>
    <t>18/01/26-4</t>
  </si>
  <si>
    <t>스카이네트워크</t>
  </si>
  <si>
    <t>18/01/26-5</t>
  </si>
  <si>
    <t>주식회사엔클라우드</t>
  </si>
  <si>
    <t>18/01/26-6</t>
  </si>
  <si>
    <t>명일건설</t>
  </si>
  <si>
    <t>18/01/26-7</t>
  </si>
  <si>
    <t>OPTICAL(옵티칼)</t>
  </si>
  <si>
    <t>2018/01 계</t>
  </si>
  <si>
    <t>누계</t>
  </si>
  <si>
    <t>2018/01/26  오후 5:25:15</t>
  </si>
  <si>
    <t>DHS 950L®</t>
    <phoneticPr fontId="1" type="noConversion"/>
  </si>
  <si>
    <t>DHS 17AP</t>
    <phoneticPr fontId="1" type="noConversion"/>
  </si>
  <si>
    <t>DHS 534MAP</t>
    <phoneticPr fontId="1" type="noConversion"/>
  </si>
  <si>
    <t>DHS 950L</t>
    <phoneticPr fontId="1" type="noConversion"/>
  </si>
  <si>
    <t>DHS 930®</t>
    <phoneticPr fontId="1" type="noConversion"/>
  </si>
  <si>
    <t>DHT 170AS</t>
    <phoneticPr fontId="1" type="noConversion"/>
  </si>
  <si>
    <t>DHS 1200L</t>
    <phoneticPr fontId="1" type="noConversion"/>
  </si>
  <si>
    <t>DHS 15AP</t>
    <phoneticPr fontId="1" type="noConversion"/>
  </si>
  <si>
    <t>DHT 160S</t>
    <phoneticPr fontId="1" type="noConversion"/>
  </si>
  <si>
    <r>
      <t>DHS 105AP</t>
    </r>
    <r>
      <rPr>
        <sz val="10"/>
        <rFont val="돋움"/>
        <family val="3"/>
        <charset val="129"/>
      </rPr>
      <t/>
    </r>
    <phoneticPr fontId="1" type="noConversion"/>
  </si>
  <si>
    <t>DHS 433L</t>
    <phoneticPr fontId="1" type="noConversion"/>
  </si>
  <si>
    <t>계약금</t>
    <phoneticPr fontId="1" type="noConversion"/>
  </si>
  <si>
    <t>DHS 190SKY</t>
    <phoneticPr fontId="1" type="noConversion"/>
  </si>
  <si>
    <t>잔금</t>
    <phoneticPr fontId="1" type="noConversion"/>
  </si>
  <si>
    <t>DHS 930</t>
    <phoneticPr fontId="1" type="noConversion"/>
  </si>
  <si>
    <t>HWD-400</t>
    <phoneticPr fontId="1" type="noConversion"/>
  </si>
  <si>
    <t>DHS 105AP</t>
    <phoneticPr fontId="1" type="noConversion"/>
  </si>
  <si>
    <t>DHM 1300S2</t>
    <phoneticPr fontId="1" type="noConversion"/>
  </si>
  <si>
    <t>고소작업차</t>
    <phoneticPr fontId="1" type="noConversion"/>
  </si>
  <si>
    <t>모델별 분류</t>
    <phoneticPr fontId="1" type="noConversion"/>
  </si>
  <si>
    <t>거래처별 산업군</t>
    <phoneticPr fontId="1" type="noConversion"/>
  </si>
  <si>
    <t>통신</t>
    <phoneticPr fontId="1" type="noConversion"/>
  </si>
  <si>
    <t>기타</t>
    <phoneticPr fontId="1" type="noConversion"/>
  </si>
  <si>
    <t>합계 : 대변</t>
  </si>
  <si>
    <t>개수 : 대변</t>
  </si>
  <si>
    <t>2018년 한전향 단가 계약으로 인한 매출액 발생</t>
    <phoneticPr fontId="1" type="noConversion"/>
  </si>
  <si>
    <t>KT 매출</t>
    <phoneticPr fontId="1" type="noConversion"/>
  </si>
  <si>
    <t>모델의 범용성이 높은 모델들</t>
    <phoneticPr fontId="1" type="noConversion"/>
  </si>
  <si>
    <t>신제품</t>
    <phoneticPr fontId="1" type="noConversion"/>
  </si>
  <si>
    <t>신제품</t>
    <phoneticPr fontId="1" type="noConversion"/>
  </si>
  <si>
    <t>DHT 180S</t>
    <phoneticPr fontId="1" type="noConversion"/>
  </si>
  <si>
    <t>매출액(원)</t>
    <phoneticPr fontId="1" type="noConversion"/>
  </si>
  <si>
    <t>관공서</t>
    <phoneticPr fontId="1" type="noConversion"/>
  </si>
  <si>
    <t>항공</t>
    <phoneticPr fontId="1" type="noConversion"/>
  </si>
  <si>
    <t>국내합계</t>
    <phoneticPr fontId="1" type="noConversion"/>
  </si>
  <si>
    <t>크레인</t>
    <phoneticPr fontId="1" type="noConversion"/>
  </si>
  <si>
    <t>전기</t>
    <phoneticPr fontId="1" type="noConversion"/>
  </si>
  <si>
    <t>인원채용 계획 반영</t>
    <phoneticPr fontId="1" type="noConversion"/>
  </si>
  <si>
    <t>회사명 : (주)동해기계항공/제품매출2013/01/01  ~ 2017/12/31</t>
  </si>
  <si>
    <t>선일정보통신</t>
  </si>
  <si>
    <t>(주)애플파워</t>
  </si>
  <si>
    <t>부여군청</t>
  </si>
  <si>
    <t>제이에이치정보통신</t>
  </si>
  <si>
    <t>DHS433L</t>
  </si>
  <si>
    <t>대영</t>
  </si>
  <si>
    <t>(주)피닉스정보통신</t>
  </si>
  <si>
    <t>(주)태진코리아</t>
  </si>
  <si>
    <t>(유)나노정보통신</t>
  </si>
  <si>
    <t>(주)세인전력</t>
  </si>
  <si>
    <t>탐헤드 턴 실린더 외</t>
  </si>
  <si>
    <t>(주)한진디엔비</t>
  </si>
  <si>
    <t>(주)진원통신</t>
  </si>
  <si>
    <t>(주)한국케이블TV전북방송</t>
  </si>
  <si>
    <t>유앤아이</t>
  </si>
  <si>
    <t>DHT 145AS</t>
  </si>
  <si>
    <t>동일전기개별화물</t>
  </si>
  <si>
    <t>동화통신</t>
  </si>
  <si>
    <t>신아전업사</t>
  </si>
  <si>
    <t>(주)삼원이엔씨</t>
  </si>
  <si>
    <t>롯드랜들러 클램프 실린더 외 7종</t>
  </si>
  <si>
    <t>재성정보통신</t>
  </si>
  <si>
    <t>준정보통신</t>
  </si>
  <si>
    <t>씨앤피유니온</t>
  </si>
  <si>
    <t>15CR 리프팅 실린더 외 ／ 담당자  오세만</t>
  </si>
  <si>
    <t>(주)한울</t>
  </si>
  <si>
    <t>(주)서림정보통신</t>
  </si>
  <si>
    <t>청룡스카이</t>
  </si>
  <si>
    <t>박만서</t>
  </si>
  <si>
    <t>제이에스(JS)네트웍스</t>
  </si>
  <si>
    <t>칠성유선방송사</t>
  </si>
  <si>
    <t>주식회사 티브로드 기남방송</t>
  </si>
  <si>
    <t>(주)티브로드도봉강북방송</t>
  </si>
  <si>
    <t>(주)티브로드전주방송</t>
  </si>
  <si>
    <t>(주)동성통신</t>
  </si>
  <si>
    <t>대원정보통신</t>
  </si>
  <si>
    <t>(주)중부전설</t>
  </si>
  <si>
    <t>동해스카이</t>
  </si>
  <si>
    <t>와이어밸런스 실린더</t>
  </si>
  <si>
    <t>기연전기(주)</t>
  </si>
  <si>
    <t>수이건설(주)</t>
  </si>
  <si>
    <t>DHT 145S</t>
  </si>
  <si>
    <t>(주)삼호건설</t>
  </si>
  <si>
    <t>주식회사 명성전기</t>
  </si>
  <si>
    <t>일광전기</t>
  </si>
  <si>
    <t>거목전기</t>
  </si>
  <si>
    <t>문경전기정보통신</t>
  </si>
  <si>
    <t>에스앤지텔레콤(주)</t>
  </si>
  <si>
    <t>삼협농산제주도총판</t>
  </si>
  <si>
    <t>크레인마트</t>
  </si>
  <si>
    <t>초심통신</t>
  </si>
  <si>
    <t>F＆C Network</t>
  </si>
  <si>
    <t>주식회사 넥젠미디어</t>
  </si>
  <si>
    <t>현지통신</t>
  </si>
  <si>
    <t>(주)뉴젠스</t>
  </si>
  <si>
    <t>클린E＆T</t>
  </si>
  <si>
    <t>다성정보통신</t>
  </si>
  <si>
    <t>삼성디지컴(주)</t>
  </si>
  <si>
    <t>(주)제주네트웍스</t>
  </si>
  <si>
    <t>케이피정보통신</t>
  </si>
  <si>
    <t>(주)아미넷</t>
  </si>
  <si>
    <t>(주)아진전설</t>
  </si>
  <si>
    <t>코오롱워터앤에너지(주)</t>
  </si>
  <si>
    <t>(주)카이젠</t>
  </si>
  <si>
    <t>S3000</t>
  </si>
  <si>
    <t>실린더</t>
  </si>
  <si>
    <t>(주)대성전력</t>
  </si>
  <si>
    <t>(주)신한정보통신</t>
  </si>
  <si>
    <t>(합자)진광전기소방</t>
  </si>
  <si>
    <t>한빛테크원(주)</t>
  </si>
  <si>
    <t>신화중기</t>
  </si>
  <si>
    <t>(주)한북테크</t>
  </si>
  <si>
    <t>한국케이블티브이푸른방송(주)</t>
  </si>
  <si>
    <t>에스엘엔(주)</t>
  </si>
  <si>
    <t>오정오행복마을</t>
  </si>
  <si>
    <t>서광미디어(주)</t>
  </si>
  <si>
    <t>영희통신</t>
  </si>
  <si>
    <t>이동섭</t>
  </si>
  <si>
    <t>마루정보통신</t>
  </si>
  <si>
    <t>주식회사 한솔텔레콤</t>
  </si>
  <si>
    <t>DHS 185SKY</t>
  </si>
  <si>
    <t>컴텍스카이</t>
  </si>
  <si>
    <t>개별화물</t>
  </si>
  <si>
    <t>남양전기통신(주)</t>
  </si>
  <si>
    <t>실린더대금</t>
  </si>
  <si>
    <t>(주)태성이엔지</t>
  </si>
  <si>
    <t>이영숙</t>
  </si>
  <si>
    <t>지오전기(주)</t>
  </si>
  <si>
    <t>아신정보통신</t>
  </si>
  <si>
    <t>대경전력(주)</t>
  </si>
  <si>
    <t>세운전기</t>
  </si>
  <si>
    <t>(주)세종보안시스템</t>
  </si>
  <si>
    <t>(주)상우특장</t>
  </si>
  <si>
    <t>오산</t>
  </si>
  <si>
    <t>중상통신</t>
  </si>
  <si>
    <t>태경링크</t>
  </si>
  <si>
    <t>금호1주유소</t>
  </si>
  <si>
    <t>(주)태진전기</t>
  </si>
  <si>
    <t>세진와이피</t>
  </si>
  <si>
    <t>(주)서희전력</t>
  </si>
  <si>
    <t>(주)포스화인</t>
  </si>
  <si>
    <t>세로정보통신</t>
  </si>
  <si>
    <t>주식회사 티에스에이아이비에스</t>
  </si>
  <si>
    <t>LCS</t>
  </si>
  <si>
    <t>(주)포올이앤씨</t>
  </si>
  <si>
    <t>(주)이원전력</t>
  </si>
  <si>
    <t>아림통신건설</t>
  </si>
  <si>
    <t>(주)보고넷</t>
  </si>
  <si>
    <t>출장빵구정비</t>
  </si>
  <si>
    <t>JORDAN REFRIGERATION CO.LLC</t>
  </si>
  <si>
    <t>DHS 920 추가계약</t>
  </si>
  <si>
    <t>유성구청</t>
  </si>
  <si>
    <t>서초구청</t>
  </si>
  <si>
    <t>서울무역</t>
  </si>
  <si>
    <t>울산광역시북구청</t>
  </si>
  <si>
    <t>조승현</t>
  </si>
  <si>
    <t>한국 CATV 나라방송</t>
  </si>
  <si>
    <t>대아기계펌프</t>
  </si>
  <si>
    <t>일성정보통신</t>
  </si>
  <si>
    <t>다온정보통신</t>
  </si>
  <si>
    <t>(주)우정넷</t>
  </si>
  <si>
    <t>스마트콜스카이</t>
  </si>
  <si>
    <t>타이거정보통신</t>
  </si>
  <si>
    <t>(주)하나통신</t>
  </si>
  <si>
    <t>소연통신</t>
  </si>
  <si>
    <t>국제전기조명</t>
  </si>
  <si>
    <t>미래정보통신</t>
  </si>
  <si>
    <t>주식회사 에스디엠엔씨</t>
  </si>
  <si>
    <t>대신정보</t>
  </si>
  <si>
    <t>EAST BOY ENGINEERING CO., LTD</t>
  </si>
  <si>
    <t>우일정보기술(주)</t>
  </si>
  <si>
    <t>성진전력(주)</t>
  </si>
  <si>
    <t>감속기 ASSY</t>
  </si>
  <si>
    <t>젊은기술(주)</t>
  </si>
  <si>
    <t>(주)우호텔레콤</t>
  </si>
  <si>
    <t>(주)지원네트웍스</t>
  </si>
  <si>
    <t>동해해양사업</t>
  </si>
  <si>
    <t>오른유니트 및 전기시스템 조립체 등 34종</t>
  </si>
  <si>
    <t>공군제2762부대</t>
  </si>
  <si>
    <t>사하구청</t>
  </si>
  <si>
    <t>중부전력공사</t>
  </si>
  <si>
    <t>(주)경기종합관리</t>
  </si>
  <si>
    <t>DHS 5024</t>
  </si>
  <si>
    <t>유일산기</t>
  </si>
  <si>
    <t>IT네트웍스</t>
  </si>
  <si>
    <t>우주건축</t>
  </si>
  <si>
    <t>뉴코리아전자통신(주)</t>
  </si>
  <si>
    <t>(유)구이앤금우통신</t>
  </si>
  <si>
    <t>세아전기(주)</t>
  </si>
  <si>
    <t>(주)미디어테크</t>
  </si>
  <si>
    <t>대웅기업 주식회사</t>
  </si>
  <si>
    <t>문태식</t>
  </si>
  <si>
    <t>(주)순천에코트랜스</t>
  </si>
  <si>
    <t>주식회사 한빛전력</t>
  </si>
  <si>
    <t>도연전기공사</t>
  </si>
  <si>
    <t>DHS 1200L-3대</t>
  </si>
  <si>
    <t>(주)씨엠비광주방송</t>
  </si>
  <si>
    <t>전영상사</t>
  </si>
  <si>
    <t>태현정보통신</t>
  </si>
  <si>
    <t>(주)황기전기</t>
  </si>
  <si>
    <t>보성크레인</t>
  </si>
  <si>
    <t>(주)준영통신</t>
  </si>
  <si>
    <t>원일정보통신 주식회사</t>
  </si>
  <si>
    <t>대구광역시 시설관리공단</t>
  </si>
  <si>
    <t>진흥씨앤씨(주)</t>
  </si>
  <si>
    <t>엔씨정보통신주식회사</t>
  </si>
  <si>
    <t>티케이정보통신(주)</t>
  </si>
  <si>
    <t>(주)에이치제이통신</t>
  </si>
  <si>
    <t>(주)샤인정보통신</t>
  </si>
  <si>
    <t>김철수</t>
  </si>
  <si>
    <t>광진전기</t>
  </si>
  <si>
    <t>(주)영대정보통신</t>
  </si>
  <si>
    <t>(주)화창기업</t>
  </si>
  <si>
    <t>풋 클램프 실린더 외</t>
  </si>
  <si>
    <t>(주)케이티렌탈</t>
  </si>
  <si>
    <t>동해고소작업차-1306</t>
  </si>
  <si>
    <t>(주)엘지유플러스</t>
  </si>
  <si>
    <t>한일수중펌프</t>
  </si>
  <si>
    <t>하늘통신</t>
  </si>
  <si>
    <t>하이눈정보통신</t>
  </si>
  <si>
    <t>화목보일러 온풍기 종합전시장</t>
  </si>
  <si>
    <t>은성정보통신</t>
  </si>
  <si>
    <t>백송전기공사</t>
  </si>
  <si>
    <t>영도구청</t>
  </si>
  <si>
    <t>대전시중구청</t>
  </si>
  <si>
    <t>김포시청</t>
  </si>
  <si>
    <t>펌프외</t>
  </si>
  <si>
    <t>대전중구청 추가계약</t>
  </si>
  <si>
    <t>P3000틸팅 실린더외</t>
  </si>
  <si>
    <t>(주)자바네트웍스</t>
  </si>
  <si>
    <t>DHS 1200L 추가계약</t>
  </si>
  <si>
    <t>남해군청</t>
  </si>
  <si>
    <t>진경자원</t>
  </si>
  <si>
    <t>진성전력주식회사</t>
  </si>
  <si>
    <t>우리텔레콤</t>
  </si>
  <si>
    <t>위드</t>
  </si>
  <si>
    <t>(주)성창전기</t>
  </si>
  <si>
    <t>(주)피앤티정보통신</t>
  </si>
  <si>
    <t>(주)덕성전력</t>
  </si>
  <si>
    <t>(주)부천종합네트워크</t>
  </si>
  <si>
    <t>강건이앤씨(주)</t>
  </si>
  <si>
    <t>구미시청</t>
  </si>
  <si>
    <t>차고지 증명</t>
  </si>
  <si>
    <t>용일정보통신</t>
  </si>
  <si>
    <t>우리전기</t>
  </si>
  <si>
    <t>광케이블 포설용윈치</t>
  </si>
  <si>
    <t>주식회사이피에스솔루션</t>
  </si>
  <si>
    <t>서정통신</t>
  </si>
  <si>
    <t>동연통신</t>
  </si>
  <si>
    <t>탁인호</t>
  </si>
  <si>
    <t>양천구청</t>
  </si>
  <si>
    <t>보은전업사</t>
  </si>
  <si>
    <t>부영전기공사</t>
  </si>
  <si>
    <t>제주도 항공기 박물관 항공기 고정 물품</t>
  </si>
  <si>
    <t>터보라인</t>
  </si>
  <si>
    <t>JT네트워크</t>
  </si>
  <si>
    <t>(주)태경이앤씨</t>
  </si>
  <si>
    <t>누리정보통신</t>
  </si>
  <si>
    <t>대덕상사</t>
  </si>
  <si>
    <t>광테크</t>
  </si>
  <si>
    <t>대림산업자원</t>
  </si>
  <si>
    <t>(주)경성네트웍</t>
  </si>
  <si>
    <t>(주)전통</t>
  </si>
  <si>
    <t>타시마</t>
  </si>
  <si>
    <t>(주)건아정보기술</t>
  </si>
  <si>
    <t>에스티에스통신(주)</t>
  </si>
  <si>
    <t>추가계약</t>
  </si>
  <si>
    <t>뉴플러스 정보통신(주)</t>
  </si>
  <si>
    <t>팔팔횟집</t>
  </si>
  <si>
    <t>DH 433M</t>
  </si>
  <si>
    <t>주식회사 수길정보통신</t>
  </si>
  <si>
    <t>(주)기산전력</t>
  </si>
  <si>
    <t>DHS 433집게크레인-5대</t>
  </si>
  <si>
    <t>(주)지원정보통신</t>
  </si>
  <si>
    <t>세진통신</t>
  </si>
  <si>
    <t>지원조명전기</t>
  </si>
  <si>
    <t>이화통신(주)</t>
  </si>
  <si>
    <t>(주)나인정보시스템</t>
  </si>
  <si>
    <t>우리통신</t>
  </si>
  <si>
    <t>두산판매서비스</t>
  </si>
  <si>
    <t>김해시청</t>
  </si>
  <si>
    <t>(주)월드펌프시스템</t>
  </si>
  <si>
    <t>자금아크릴</t>
  </si>
  <si>
    <t>부산환경공단 정관사업소</t>
  </si>
  <si>
    <t>현대건설기계 창원대리점</t>
  </si>
  <si>
    <t>가가이지텍(주)</t>
  </si>
  <si>
    <t>부산광역시 강서구청</t>
  </si>
  <si>
    <t>(주)하모니정보통신</t>
  </si>
  <si>
    <t>(주)한백정보통신</t>
  </si>
  <si>
    <t>신정보통신</t>
  </si>
  <si>
    <t>한라정보통신(주)</t>
  </si>
  <si>
    <t>가평군청</t>
  </si>
  <si>
    <t>한성기업(주)</t>
  </si>
  <si>
    <t>광주 서구청</t>
  </si>
  <si>
    <t>유한회사 전북통신</t>
  </si>
  <si>
    <t>성신정보통신</t>
  </si>
  <si>
    <t>(주)한신전기</t>
  </si>
  <si>
    <t>아름통신</t>
  </si>
  <si>
    <t>정네트웍</t>
  </si>
  <si>
    <t>보성전기</t>
  </si>
  <si>
    <t>(주)현대건설장비</t>
  </si>
  <si>
    <t>무안군청</t>
  </si>
  <si>
    <t>갑을통신(주)</t>
  </si>
  <si>
    <t>화인텔레콤(주)</t>
  </si>
  <si>
    <t>케이티커머스(주)</t>
  </si>
  <si>
    <t>대보정보통신 주식회사</t>
  </si>
  <si>
    <t>(주)덕우산업</t>
  </si>
  <si>
    <t>(주)광주통신공사</t>
  </si>
  <si>
    <t>영천시환경사업소</t>
  </si>
  <si>
    <t>(주)한라발전기</t>
  </si>
  <si>
    <t>TAE WORKS(티에이이웍스)</t>
  </si>
  <si>
    <t>진테크</t>
  </si>
  <si>
    <t>가와사키주탑 실린더 외</t>
  </si>
  <si>
    <t>(주)한일에스티엠</t>
  </si>
  <si>
    <t>(주)정선통신</t>
  </si>
  <si>
    <t>광덕전력(주)</t>
  </si>
  <si>
    <t>면천농업협동조합</t>
  </si>
  <si>
    <t>동경건기</t>
  </si>
  <si>
    <t>천광전기공사</t>
  </si>
  <si>
    <t>여주군청</t>
  </si>
  <si>
    <t>자연환경(유)</t>
  </si>
  <si>
    <t>선적료</t>
  </si>
  <si>
    <t>울릉군농업기술센터</t>
  </si>
  <si>
    <t>(주)그린아이티코리아</t>
  </si>
  <si>
    <t>제니스네트웍</t>
  </si>
  <si>
    <t>파워통신</t>
  </si>
  <si>
    <t>백길통신</t>
  </si>
  <si>
    <t>두손</t>
  </si>
  <si>
    <t>아주통신(주)</t>
  </si>
  <si>
    <t>(주)논산전력</t>
  </si>
  <si>
    <t>오룡통신</t>
  </si>
  <si>
    <t>(주)대한전기</t>
  </si>
  <si>
    <t>정우전기(주)</t>
  </si>
  <si>
    <t>현대중장비용인판매(주)</t>
  </si>
  <si>
    <t>다솔렌탈</t>
  </si>
  <si>
    <t>부산광역시 기장군청</t>
  </si>
  <si>
    <t>남원시청</t>
  </si>
  <si>
    <t>HWD 200</t>
  </si>
  <si>
    <t>(주)태원전력</t>
  </si>
  <si>
    <t>풍진수산</t>
  </si>
  <si>
    <t>국제마린</t>
  </si>
  <si>
    <t>(주)우성통신</t>
  </si>
  <si>
    <t>GENERAL AUTOMOBILES</t>
  </si>
  <si>
    <t>네트워크아이</t>
  </si>
  <si>
    <t>SYKT.PEMBEKALAN ＆ PERKHIDMATANLEZAN</t>
  </si>
  <si>
    <t>한솔정보통신(주)</t>
  </si>
  <si>
    <t>출장빵구신광</t>
  </si>
  <si>
    <t>P3000 잭실린더 외</t>
  </si>
  <si>
    <t>DHS 920-추가계약</t>
  </si>
  <si>
    <t>여수시청</t>
  </si>
  <si>
    <t>하이텍</t>
  </si>
  <si>
    <t>에스엠통신</t>
  </si>
  <si>
    <t>DHS 1800-추가계약</t>
  </si>
  <si>
    <t>스마일정보통신</t>
  </si>
  <si>
    <t>정인통신</t>
  </si>
  <si>
    <t>제이에스네트웍</t>
  </si>
  <si>
    <t>거성기계산업</t>
  </si>
  <si>
    <t>장수군청</t>
  </si>
  <si>
    <t>진용전력(주)</t>
  </si>
  <si>
    <t>DHT 45S</t>
  </si>
  <si>
    <t>알바목형산업</t>
  </si>
  <si>
    <t>제이엠이엔지</t>
  </si>
  <si>
    <t>안전마린</t>
  </si>
  <si>
    <t>주식회사 예스정보통신</t>
  </si>
  <si>
    <t>남경통신</t>
  </si>
  <si>
    <t>동서남북</t>
  </si>
  <si>
    <t>(주)제일네트웍스</t>
  </si>
  <si>
    <t>청우통신(주)</t>
  </si>
  <si>
    <t>(주)나모스텔레콤</t>
  </si>
  <si>
    <t>7000 틸팅 실린더 외</t>
  </si>
  <si>
    <t>DHS 3524</t>
  </si>
  <si>
    <t>프로무역</t>
  </si>
  <si>
    <t>대광안전스카이</t>
  </si>
  <si>
    <t>아가페 네트웍스</t>
  </si>
  <si>
    <t>대성전기통신</t>
  </si>
  <si>
    <t>(주)거성전력</t>
  </si>
  <si>
    <t>카토스엔터프라이즈</t>
  </si>
  <si>
    <t>삼백온실(주)</t>
  </si>
  <si>
    <t>(주)삼원홀딩스</t>
  </si>
  <si>
    <t>(주)삼보전자통신</t>
  </si>
  <si>
    <t>(주)서해방송</t>
  </si>
  <si>
    <t>P4000 홀더 턴 실린더외</t>
  </si>
  <si>
    <t>공주시청</t>
  </si>
  <si>
    <t>KIA MOTORS MONGOLIA LLC</t>
  </si>
  <si>
    <t>강화군농업기술센터</t>
  </si>
  <si>
    <t>주식회사 청우이앤씨</t>
  </si>
  <si>
    <t>(주)해양FRP조선소</t>
  </si>
  <si>
    <t>정진전기</t>
  </si>
  <si>
    <t>휴먼네트워크</t>
  </si>
  <si>
    <t>코아드릴 붐실린더 외</t>
  </si>
  <si>
    <t>(주)코리아이노</t>
  </si>
  <si>
    <t>크레인대금</t>
  </si>
  <si>
    <t>중앙자동차폐차장</t>
  </si>
  <si>
    <t>삼흥선외기</t>
  </si>
  <si>
    <t>함안지방공사</t>
  </si>
  <si>
    <t>(주)용두애브컴</t>
  </si>
  <si>
    <t>주식회사 대영전력</t>
  </si>
  <si>
    <t>리더스텔</t>
  </si>
  <si>
    <t>(주)천양네트웍스</t>
  </si>
  <si>
    <t>(자)미래통신공사</t>
  </si>
  <si>
    <t>(주)아이티이즈넷</t>
  </si>
  <si>
    <t>(주)유에이종합통신</t>
  </si>
  <si>
    <t>대진ENG</t>
  </si>
  <si>
    <t>(주)다남산업</t>
  </si>
  <si>
    <t>(주)씨앤앰 용산케이블티브이</t>
  </si>
  <si>
    <t>(주)씨앤앰 우리케이블티브이</t>
  </si>
  <si>
    <t>무선리모컨추가</t>
  </si>
  <si>
    <t>베가네트워크</t>
  </si>
  <si>
    <t>유니온정보통신</t>
  </si>
  <si>
    <t>(주)신천지리조트</t>
  </si>
  <si>
    <t>(주)창성통신</t>
  </si>
  <si>
    <t>해양경찰청</t>
  </si>
  <si>
    <t>디오이엔지(주)</t>
  </si>
  <si>
    <t>성운 주식회사</t>
  </si>
  <si>
    <t>엔투알테크놀로지(주)</t>
  </si>
  <si>
    <t>한창건설</t>
  </si>
  <si>
    <t>가람정보통신</t>
  </si>
  <si>
    <t>(주)태화전기</t>
  </si>
  <si>
    <t>(주)엘지화학</t>
  </si>
  <si>
    <t>주식회사 세종네트워크</t>
  </si>
  <si>
    <t>시온전기통신</t>
  </si>
  <si>
    <t>S3000-집게크레인</t>
  </si>
  <si>
    <t>(주)우리넷</t>
  </si>
  <si>
    <t>(주)태림이엔지</t>
  </si>
  <si>
    <t>뉴게이트</t>
  </si>
  <si>
    <t>태창전기</t>
  </si>
  <si>
    <t>한웅석</t>
  </si>
  <si>
    <t>죤슨대리점</t>
  </si>
  <si>
    <t>YS통신</t>
  </si>
  <si>
    <t>청해마린</t>
  </si>
  <si>
    <t>유일</t>
  </si>
  <si>
    <t>하나정보통신(주)</t>
  </si>
  <si>
    <t>썬.넷</t>
  </si>
  <si>
    <t>썬테크</t>
  </si>
  <si>
    <t>(주)아이영남</t>
  </si>
  <si>
    <t>(주)빅스타건설</t>
  </si>
  <si>
    <t>보민정보</t>
  </si>
  <si>
    <t>(주)세진통신</t>
  </si>
  <si>
    <t>금오전기</t>
  </si>
  <si>
    <t>파워텔</t>
  </si>
  <si>
    <t>다원</t>
  </si>
  <si>
    <t>(주)아름</t>
  </si>
  <si>
    <t>지벡</t>
  </si>
  <si>
    <t>7000 틸팅 실린더외</t>
  </si>
  <si>
    <t>광림특장</t>
  </si>
  <si>
    <t>피엠(PM)통신</t>
  </si>
  <si>
    <t>(주)세명전기통신</t>
  </si>
  <si>
    <t>신명모터</t>
  </si>
  <si>
    <t>미래정보통신(주)</t>
  </si>
  <si>
    <t>중앙라듸에터</t>
  </si>
  <si>
    <t>대성</t>
  </si>
  <si>
    <t>신광</t>
  </si>
  <si>
    <t>신현승</t>
  </si>
  <si>
    <t>주식회사 거산</t>
  </si>
  <si>
    <t>광신네트워크</t>
  </si>
  <si>
    <t>(자)삼성건기영서총판</t>
  </si>
  <si>
    <t>삼광전설</t>
  </si>
  <si>
    <t>강은용</t>
  </si>
  <si>
    <t>삼송</t>
  </si>
  <si>
    <t>(주)딘엑스크레인</t>
  </si>
  <si>
    <t>(주)코엘</t>
  </si>
  <si>
    <t>경남스카이</t>
  </si>
  <si>
    <t>(주)대운전설</t>
  </si>
  <si>
    <t>맥정보통신(주)</t>
  </si>
  <si>
    <t>리건네트웍스</t>
  </si>
  <si>
    <t>형제통신</t>
  </si>
  <si>
    <t>(주)오성정보통신</t>
  </si>
  <si>
    <t>SHANGHAI AVION M ＆ E ENGINEERING CO</t>
  </si>
  <si>
    <t>기계설비 외</t>
  </si>
  <si>
    <t>금호산업(주)</t>
  </si>
  <si>
    <t>봉고 1.2톤외</t>
  </si>
  <si>
    <t>중원정보통신(주)</t>
  </si>
  <si>
    <t>(주)케이원전기</t>
  </si>
  <si>
    <t>부강유압</t>
  </si>
  <si>
    <t>태안군상하수도사업소</t>
  </si>
  <si>
    <t>가인통신</t>
  </si>
  <si>
    <t>태영정보통신</t>
  </si>
  <si>
    <t>드림네트웍스(주)</t>
  </si>
  <si>
    <t>KT네트웍스</t>
  </si>
  <si>
    <t>서이통신</t>
  </si>
  <si>
    <t>한마루정보통신</t>
  </si>
  <si>
    <t>(주)세광산업조명</t>
  </si>
  <si>
    <t>(주)씨앤앰 북부케이블티브이</t>
  </si>
  <si>
    <t>(주)씨앤앰중앙케이블티브이</t>
  </si>
  <si>
    <t>(주)씨앤앰중랑케이블티브이</t>
  </si>
  <si>
    <t>(주)씨앤앰 강동케이블티브이</t>
  </si>
  <si>
    <t>RS 정보통신</t>
  </si>
  <si>
    <t>XUZHOU CONSTRUCTION MACHINERY GROUP</t>
  </si>
  <si>
    <t>(주)해동</t>
  </si>
  <si>
    <t>대성시스템</t>
  </si>
  <si>
    <t>한경옥</t>
  </si>
  <si>
    <t>(주)다산통신</t>
  </si>
  <si>
    <t>세광전력(주)</t>
  </si>
  <si>
    <t>부안군청</t>
  </si>
  <si>
    <t>(주)건화서비스</t>
  </si>
  <si>
    <t>태승</t>
  </si>
  <si>
    <t>링크맥스 주식회사</t>
  </si>
  <si>
    <t>공간인테리어</t>
  </si>
  <si>
    <t>(주)이제이텍</t>
  </si>
  <si>
    <t>(주)태극</t>
  </si>
  <si>
    <t>창흥건설종합기계</t>
  </si>
  <si>
    <t>벽제농협발효퇴비공장</t>
  </si>
  <si>
    <t>(합자회사)동양아이텍</t>
  </si>
  <si>
    <t>LANDSKY ENGINEERS PVT.LTD</t>
  </si>
  <si>
    <t>(재)성산공원</t>
  </si>
  <si>
    <t>현대자동차(주)울산공장</t>
  </si>
  <si>
    <t>프리라인</t>
  </si>
  <si>
    <t>파이프렌치실린더</t>
  </si>
  <si>
    <t>DHS 950L-3대</t>
  </si>
  <si>
    <t>덕성정보통신(주)</t>
  </si>
  <si>
    <t>(주)넥스원</t>
  </si>
  <si>
    <t>롯드핸들러 턴 실린더 외</t>
  </si>
  <si>
    <t>(주)제일정보통신</t>
  </si>
  <si>
    <t>산청군농업기술센터</t>
  </si>
  <si>
    <t>누리통신</t>
  </si>
  <si>
    <t>PT. QUANTUM MARKETING</t>
  </si>
  <si>
    <t>거해정보통신</t>
  </si>
  <si>
    <t>주식회사 진성네트워크</t>
  </si>
  <si>
    <t>WAIMEA TRUCK ＆ CRANE LTD</t>
  </si>
  <si>
    <t>(주)티브로드 전주방송</t>
  </si>
  <si>
    <t>한미사</t>
  </si>
  <si>
    <t>(주)지에스엠텍</t>
  </si>
  <si>
    <t>광성전기</t>
  </si>
  <si>
    <t>(주)성업전기</t>
  </si>
  <si>
    <t>DHS 15AP-추가계약</t>
  </si>
  <si>
    <t>(주)메카넷</t>
  </si>
  <si>
    <t>가람통신</t>
  </si>
  <si>
    <t>온통신</t>
  </si>
  <si>
    <t>중앙마린</t>
  </si>
  <si>
    <t>(주)한길엔지니어링</t>
  </si>
  <si>
    <t>최영헌</t>
  </si>
  <si>
    <t>금산읍사무소</t>
  </si>
  <si>
    <t>서귀포농업기술원</t>
  </si>
  <si>
    <t>태극전기통신</t>
  </si>
  <si>
    <t>인켈전기통신(주)</t>
  </si>
  <si>
    <t>DUC HUY MOTORS COMPANY</t>
  </si>
  <si>
    <t>VIET TRUNG EQUIPMENT JOINT</t>
  </si>
  <si>
    <t>주식회사  띠앗정보통신</t>
  </si>
  <si>
    <t>송순근</t>
  </si>
  <si>
    <t>(주)용진통신</t>
  </si>
  <si>
    <t>대광마린</t>
  </si>
  <si>
    <t>엠파이어정보통신</t>
  </si>
  <si>
    <t>진텔콤</t>
  </si>
  <si>
    <t>지엠테크</t>
  </si>
  <si>
    <t>어서와통신</t>
  </si>
  <si>
    <t>민구통신</t>
  </si>
  <si>
    <t>주식회사 국일이앤씨</t>
  </si>
  <si>
    <t>동원텔레콤(주)</t>
  </si>
  <si>
    <t>(주)신화전력개발</t>
  </si>
  <si>
    <t>에스텍마린(주)</t>
  </si>
  <si>
    <t>파도 네트워크</t>
  </si>
  <si>
    <t>주니통신</t>
  </si>
  <si>
    <t>광접속</t>
  </si>
  <si>
    <t>크레인마스타</t>
  </si>
  <si>
    <t>고경통신</t>
  </si>
  <si>
    <t>사천비행장</t>
  </si>
  <si>
    <t>서광종합개발(주)</t>
  </si>
  <si>
    <t>거진통신</t>
  </si>
  <si>
    <t>수지코 앞 잭 실린더 외</t>
  </si>
  <si>
    <t>온누리환경(주)</t>
  </si>
  <si>
    <t>부덕정보통신</t>
  </si>
  <si>
    <t>수화통신</t>
  </si>
  <si>
    <t>블루정보통신</t>
  </si>
  <si>
    <t>제타통신</t>
  </si>
  <si>
    <t>사인플러스 앤 그녀의작업실</t>
  </si>
  <si>
    <t>공군군수사령부</t>
  </si>
  <si>
    <t>제일스카이</t>
  </si>
  <si>
    <t>광신중전기</t>
  </si>
  <si>
    <t>삼태미공업사</t>
  </si>
  <si>
    <t>나라산전</t>
  </si>
  <si>
    <t>유준네트웍스</t>
  </si>
  <si>
    <t>금강리모델링. 설비</t>
  </si>
  <si>
    <t>창원시 의창구청</t>
  </si>
  <si>
    <t>운창건설기계부품</t>
  </si>
  <si>
    <t>김준용</t>
  </si>
  <si>
    <t>적재함 바닥</t>
  </si>
  <si>
    <t>진도군농업기술센터</t>
  </si>
  <si>
    <t>성우산업개발</t>
  </si>
  <si>
    <t>수(SU)정보통신</t>
  </si>
  <si>
    <t>대정정보통신</t>
  </si>
  <si>
    <t>현정보통신</t>
  </si>
  <si>
    <t>DGS 433</t>
  </si>
  <si>
    <t>우주정보통신</t>
  </si>
  <si>
    <t>DHM 750S</t>
  </si>
  <si>
    <t>고성양식제81호</t>
  </si>
  <si>
    <t>지열작업판 롯드렌지 실린더</t>
  </si>
  <si>
    <t>DJS 950L</t>
  </si>
  <si>
    <t>(주)하나로전기</t>
  </si>
  <si>
    <t>(주)자동기</t>
  </si>
  <si>
    <t>크레인 수리비</t>
  </si>
  <si>
    <t>모토콤</t>
  </si>
  <si>
    <t>문성네트웍스</t>
  </si>
  <si>
    <t>케이앤통신</t>
  </si>
  <si>
    <t>(주)무창</t>
  </si>
  <si>
    <t>트윈통신</t>
  </si>
  <si>
    <t>인월 정보통신</t>
  </si>
  <si>
    <t>(주)정강통신</t>
  </si>
  <si>
    <t>(주)성광</t>
  </si>
  <si>
    <t>유성네트워크</t>
  </si>
  <si>
    <t>(주)신성네트웍스</t>
  </si>
  <si>
    <t>송언한</t>
  </si>
  <si>
    <t>최종원</t>
  </si>
  <si>
    <t>웅진보안시스템(주)</t>
  </si>
  <si>
    <t>MHTC</t>
  </si>
  <si>
    <t>(주)대천정보통신</t>
  </si>
  <si>
    <t>정도네트웍</t>
  </si>
  <si>
    <t>DHS 433M-SP</t>
  </si>
  <si>
    <t>익산농기계</t>
  </si>
  <si>
    <t>코리아마린</t>
  </si>
  <si>
    <t>두산에스엘공업주식회사</t>
  </si>
  <si>
    <t>국방부본부</t>
  </si>
  <si>
    <t>(주)제이엔테크</t>
  </si>
  <si>
    <t>최봉식</t>
  </si>
  <si>
    <t>경진</t>
  </si>
  <si>
    <t>주식회사캔텔</t>
  </si>
  <si>
    <t>울산광고물협동조합</t>
  </si>
  <si>
    <t>(주)국제전력</t>
  </si>
  <si>
    <t>제일정보통신</t>
  </si>
  <si>
    <t>하나통신</t>
  </si>
  <si>
    <t>(주)시열정보통신</t>
  </si>
  <si>
    <t>칠성전력</t>
  </si>
  <si>
    <t>주식회사 피누스이앤씨</t>
  </si>
  <si>
    <t>수지코 롯드받침 실린더 외</t>
  </si>
  <si>
    <t>서울기지 시설보완공사현장 MA-1A 자재납품 설치기성금</t>
  </si>
  <si>
    <t>롯데건설(주)</t>
  </si>
  <si>
    <t>에스케이씨앤씨(주)</t>
  </si>
  <si>
    <t>이종길</t>
  </si>
  <si>
    <t>이지에버텍</t>
  </si>
  <si>
    <t>P3000 틸팅실린더 외</t>
  </si>
  <si>
    <t>DONGHAE VIETNAM/Mr. VUTHANG</t>
  </si>
  <si>
    <t>지구별통신</t>
  </si>
  <si>
    <t>하이스트(Highest)</t>
  </si>
  <si>
    <t>윤정미</t>
  </si>
  <si>
    <t>김순철</t>
  </si>
  <si>
    <t>위은지</t>
  </si>
  <si>
    <t>김용국</t>
  </si>
  <si>
    <t>HWD-200</t>
  </si>
  <si>
    <t>진오통신</t>
  </si>
  <si>
    <t>관우통신</t>
  </si>
  <si>
    <t>(주)흥도통신</t>
  </si>
  <si>
    <t>진흥통신</t>
  </si>
  <si>
    <t>기가테크넷</t>
  </si>
  <si>
    <t>(주)경봉</t>
  </si>
  <si>
    <t>나은정보통신</t>
  </si>
  <si>
    <t>수진상사</t>
  </si>
  <si>
    <t>SM텔레콤</t>
  </si>
  <si>
    <t>엘프통신</t>
  </si>
  <si>
    <t>동우인더스(주)</t>
  </si>
  <si>
    <t>EL전기조명공사</t>
  </si>
  <si>
    <t>새누리정보통신</t>
  </si>
  <si>
    <t>DHS 15AP외</t>
  </si>
  <si>
    <t>명성아이티</t>
  </si>
  <si>
    <t>삼성텔레콤</t>
  </si>
  <si>
    <t>부품대금</t>
  </si>
  <si>
    <t>(주)승달전력</t>
  </si>
  <si>
    <t>연상우</t>
  </si>
  <si>
    <t>금강벤딩</t>
  </si>
  <si>
    <t>주식회사 푸른넷</t>
  </si>
  <si>
    <t>탑헤드 턴 실린더외</t>
  </si>
  <si>
    <t>성림정보산업</t>
  </si>
  <si>
    <t>방위사업청</t>
  </si>
  <si>
    <t>학산광고크레인</t>
  </si>
  <si>
    <t>주식회사 성화</t>
  </si>
  <si>
    <t>제일전설주식회사</t>
  </si>
  <si>
    <t>인천국제공항공사</t>
  </si>
  <si>
    <t>영천시청</t>
  </si>
  <si>
    <t>(주)청록</t>
  </si>
  <si>
    <t>(주)티에스케이워터</t>
  </si>
  <si>
    <t>우리네트웍스</t>
  </si>
  <si>
    <t>SH통신</t>
  </si>
  <si>
    <t>P4000 표준 홀더 실린더 외</t>
  </si>
  <si>
    <t>제이에이치</t>
  </si>
  <si>
    <t>유진테크</t>
  </si>
  <si>
    <t>(주)티피에이</t>
  </si>
  <si>
    <t>경상남도 양산시 웅상출장소</t>
  </si>
  <si>
    <t>광주광역시도시철도공사</t>
  </si>
  <si>
    <t>태원정보통신</t>
  </si>
  <si>
    <t>이만희</t>
  </si>
  <si>
    <t>주은정보통신</t>
  </si>
  <si>
    <t>구골플렉스</t>
  </si>
  <si>
    <t>세아통신</t>
  </si>
  <si>
    <t>차체지지대 설치</t>
  </si>
  <si>
    <t>주식회사 에이스원테크</t>
  </si>
  <si>
    <t>대한바닥미장</t>
  </si>
  <si>
    <t>법환어촌계</t>
  </si>
  <si>
    <t>지열홀더 실린더외</t>
  </si>
  <si>
    <t>(주)명광</t>
  </si>
  <si>
    <t>한별텔레콤</t>
  </si>
  <si>
    <t>서천군청</t>
  </si>
  <si>
    <t>성광정보통신</t>
  </si>
  <si>
    <t>LK정보통신</t>
  </si>
  <si>
    <t>인터뱅크</t>
  </si>
  <si>
    <t>대구시청</t>
  </si>
  <si>
    <t>주식회사 네트워크아이</t>
  </si>
  <si>
    <t>(주)에이앤비정보기술</t>
  </si>
  <si>
    <t>해운대구청</t>
  </si>
  <si>
    <t>두성전력공사</t>
  </si>
  <si>
    <t>동해크레인</t>
  </si>
  <si>
    <t>DHM 1500S-2</t>
  </si>
  <si>
    <t>CJ＆M 네트워크</t>
  </si>
  <si>
    <t>에스유통신</t>
  </si>
  <si>
    <t>(주)정창개발공사</t>
  </si>
  <si>
    <t>주식회사 정호전력</t>
  </si>
  <si>
    <t>클램프실린더</t>
  </si>
  <si>
    <t>남광정보통신(주)</t>
  </si>
  <si>
    <t>(주)제이엠테크놀로지</t>
  </si>
  <si>
    <t>보성스카이</t>
  </si>
  <si>
    <t>H3 HELICOPER TURBOCHARGER SET</t>
  </si>
  <si>
    <t>DYNALI S.A HELLCOPTERES</t>
  </si>
  <si>
    <t>청양군청</t>
  </si>
  <si>
    <t>HYUNDAI MOTOR (THAILAND)CO., LTD</t>
  </si>
  <si>
    <t>전국활선</t>
  </si>
  <si>
    <t>(주)대경텔레콤</t>
  </si>
  <si>
    <t>영암군청</t>
  </si>
  <si>
    <t>대불통신</t>
  </si>
  <si>
    <t>스마일전기</t>
  </si>
  <si>
    <t>(주)신라이앤씨</t>
  </si>
  <si>
    <t>제이텔콤</t>
  </si>
  <si>
    <t>주식회사 나라네트워크</t>
  </si>
  <si>
    <t>(주)정우통신</t>
  </si>
  <si>
    <t>주식회사 에스디앤</t>
  </si>
  <si>
    <t>주식회사 해동전기소방</t>
  </si>
  <si>
    <t>성우전자산업(주)</t>
  </si>
  <si>
    <t>진네트워크</t>
  </si>
  <si>
    <t>FAXMATEL IMPORTACIONES S.A.</t>
  </si>
  <si>
    <t>AJ렌터카 주식회사</t>
  </si>
  <si>
    <t>보광전기</t>
  </si>
  <si>
    <t>훈정보통신</t>
  </si>
  <si>
    <t>AJ인베스트먼트파트너스 주식회사</t>
  </si>
  <si>
    <t>대정농업협동조합</t>
  </si>
  <si>
    <t>(유)동화전력</t>
  </si>
  <si>
    <t>에스디(SD)정보통신</t>
  </si>
  <si>
    <t>동아전력공사</t>
  </si>
  <si>
    <t>보트코리아</t>
  </si>
  <si>
    <t>준네트웍스</t>
  </si>
  <si>
    <t>백광운</t>
  </si>
  <si>
    <t>진훈네트웍스</t>
  </si>
  <si>
    <t>금영전기(주)</t>
  </si>
  <si>
    <t>퍼스트텔레콤(주)</t>
  </si>
  <si>
    <t>(주)서경정보통신</t>
  </si>
  <si>
    <t>주식회사 사강전업사</t>
  </si>
  <si>
    <t>효원엔지니어링</t>
  </si>
  <si>
    <t>극동건설기계종합정비공장</t>
  </si>
  <si>
    <t>제이피네트워크</t>
  </si>
  <si>
    <t>미래통신</t>
  </si>
  <si>
    <t>인성통신</t>
  </si>
  <si>
    <t>케인통신</t>
  </si>
  <si>
    <t>주식회사 월드아이</t>
  </si>
  <si>
    <t>수지코 뒤 잭 실린더 외</t>
  </si>
  <si>
    <t>에스제이테크(주)</t>
  </si>
  <si>
    <t>투빈넷</t>
  </si>
  <si>
    <t>진흥정보통신(주)</t>
  </si>
  <si>
    <t>김분녀</t>
  </si>
  <si>
    <t>(주)타키온네트워크</t>
  </si>
  <si>
    <t>(주)엠아이네트웍스</t>
  </si>
  <si>
    <t>(주)세종정보통신</t>
  </si>
  <si>
    <t>오토시스템</t>
  </si>
  <si>
    <t>DH 105AP</t>
  </si>
  <si>
    <t>재승정보통신</t>
  </si>
  <si>
    <t>VIET TRUNG JOINT STOCK EQUIPMENT COMPANY</t>
  </si>
  <si>
    <t>(주)은하정보통신</t>
  </si>
  <si>
    <t>우리전력(주)</t>
  </si>
  <si>
    <t>코리아엔텍(주)</t>
  </si>
  <si>
    <t>스피드광통신</t>
  </si>
  <si>
    <t>용평유선방송공사</t>
  </si>
  <si>
    <t>하나글로벌통신</t>
  </si>
  <si>
    <t>나래솔루션</t>
  </si>
  <si>
    <t>동해마린</t>
  </si>
  <si>
    <t>태성</t>
  </si>
  <si>
    <t>예원통신</t>
  </si>
  <si>
    <t>원강정보통신 주식회사</t>
  </si>
  <si>
    <t>광진통신</t>
  </si>
  <si>
    <t>(주)정우정보통신</t>
  </si>
  <si>
    <t>배영텔레콤(주)</t>
  </si>
  <si>
    <t>영진통신</t>
  </si>
  <si>
    <t>(주)부경네티존</t>
  </si>
  <si>
    <t>세기정보통신</t>
  </si>
  <si>
    <t>아라통신</t>
  </si>
  <si>
    <t>박정희</t>
  </si>
  <si>
    <t>태송건업</t>
  </si>
  <si>
    <t>활주로 초과 저지자재</t>
  </si>
  <si>
    <t>이익원</t>
  </si>
  <si>
    <t>진한이엔지</t>
  </si>
  <si>
    <t>대경통신</t>
  </si>
  <si>
    <t>진호축산</t>
  </si>
  <si>
    <t>이레통신</t>
  </si>
  <si>
    <t>(주)광주텔레콤</t>
  </si>
  <si>
    <t>제이에이치네트웍스</t>
  </si>
  <si>
    <t>기어박스 스라이딩 CYL ASSY</t>
  </si>
  <si>
    <t>최순화</t>
  </si>
  <si>
    <t>대건정보통신</t>
  </si>
  <si>
    <t>주식회사 엠에스정보통신</t>
  </si>
  <si>
    <t>지아그로</t>
  </si>
  <si>
    <t>영범정보통신</t>
  </si>
  <si>
    <t>주하네트웍스</t>
  </si>
  <si>
    <t>(주)정우이엔지</t>
  </si>
  <si>
    <t>(주)한샘정보통신</t>
  </si>
  <si>
    <t>(주)제이피파워정보통신</t>
  </si>
  <si>
    <t>블루마린</t>
  </si>
  <si>
    <t>하이원전기(주)</t>
  </si>
  <si>
    <t>MACHINE COMPLETE CORPORATION</t>
  </si>
  <si>
    <t>대성전력(주)</t>
  </si>
  <si>
    <t>기어박스 슬라이딩 실린더외</t>
  </si>
  <si>
    <t>(주)국제미디어</t>
  </si>
  <si>
    <t>정민통신</t>
  </si>
  <si>
    <t>진복통신</t>
  </si>
  <si>
    <t>셀테크</t>
  </si>
  <si>
    <t>우림텍</t>
  </si>
  <si>
    <t>(주)나우시스템</t>
  </si>
  <si>
    <t>예인광고</t>
  </si>
  <si>
    <t>가우리정보통신</t>
  </si>
  <si>
    <t>에이치 정보통신</t>
  </si>
  <si>
    <t>윤정남</t>
  </si>
  <si>
    <t>주주통신</t>
  </si>
  <si>
    <t>(주)태영시스템</t>
  </si>
  <si>
    <t>애드원</t>
  </si>
  <si>
    <t>(주)가온산업</t>
  </si>
  <si>
    <t>(주)영인이엔씨</t>
  </si>
  <si>
    <t>주식회사 다이나맥스</t>
  </si>
  <si>
    <t>원전사</t>
  </si>
  <si>
    <t>인양수산</t>
  </si>
  <si>
    <t>대성전기</t>
  </si>
  <si>
    <t>(주)씨엔아이텔레콤</t>
  </si>
  <si>
    <t>(주)서호이앤씨</t>
  </si>
  <si>
    <t>주식회사 선우아이티</t>
  </si>
  <si>
    <t>SM엔지니어링</t>
  </si>
  <si>
    <t>천지</t>
  </si>
  <si>
    <t>렉스젠(주)</t>
  </si>
  <si>
    <t>다인정보기술(주)</t>
  </si>
  <si>
    <t>만주통신</t>
  </si>
  <si>
    <t>한백통신</t>
  </si>
  <si>
    <t>(주)사삼정보통신</t>
  </si>
  <si>
    <t>예원전기통신(주)</t>
  </si>
  <si>
    <t>주식회사 에이치에스네트워크</t>
  </si>
  <si>
    <t>효통신</t>
  </si>
  <si>
    <t>동신통신</t>
  </si>
  <si>
    <t>ALPHA 1200</t>
  </si>
  <si>
    <t>주식회사 동원유지</t>
  </si>
  <si>
    <t>천지산업기술</t>
  </si>
  <si>
    <t>일군통신</t>
  </si>
  <si>
    <t>국보전기(주)</t>
  </si>
  <si>
    <t>일광전기(주)</t>
  </si>
  <si>
    <t>동성정보</t>
  </si>
  <si>
    <t>피오네트웍스</t>
  </si>
  <si>
    <t>하영산업</t>
  </si>
  <si>
    <t>주식회사 대아전력</t>
  </si>
  <si>
    <t>대북통신</t>
  </si>
  <si>
    <t>임하산업개발</t>
  </si>
  <si>
    <t>PS4000SD 주탑실린더 외</t>
  </si>
  <si>
    <t>주식회사 우경엔지니어링</t>
  </si>
  <si>
    <t>주식회사 영보정보통신</t>
  </si>
  <si>
    <t>건수정보통신(주)</t>
  </si>
  <si>
    <t>주식회사 광파통신</t>
  </si>
  <si>
    <t>(주)삼흥정보통신</t>
  </si>
  <si>
    <t>(주)한진중공업 건설부문</t>
  </si>
  <si>
    <t>비호토탈</t>
  </si>
  <si>
    <t>세철통신</t>
  </si>
  <si>
    <t>창성공사</t>
  </si>
  <si>
    <t>HIAB MIDDLE EAST L.L.C</t>
  </si>
  <si>
    <t>포항시 건설환경사업소</t>
  </si>
  <si>
    <t>동아전기공사</t>
  </si>
  <si>
    <t>(주)사라다</t>
  </si>
  <si>
    <t>(주)씨앰디</t>
  </si>
  <si>
    <t>현풍타이어</t>
  </si>
  <si>
    <t>(주)대한이엔씨</t>
  </si>
  <si>
    <t>(주)이든정보기술</t>
  </si>
  <si>
    <t>삼성전력공사</t>
  </si>
  <si>
    <t>M＆T네트웍스</t>
  </si>
  <si>
    <t>주식회사 에스디전력</t>
  </si>
  <si>
    <t>타이어뱅크(주)</t>
  </si>
  <si>
    <t>(주)금성전력</t>
  </si>
  <si>
    <t>(주)하이원텔레콤</t>
  </si>
  <si>
    <t>SK네트웍스(주)카티즌</t>
  </si>
  <si>
    <t>현대전기소방건설공사</t>
  </si>
  <si>
    <t>엠에스온(주)</t>
  </si>
  <si>
    <t>CN(씨엔)</t>
  </si>
  <si>
    <t>(주)우솔정보통신</t>
  </si>
  <si>
    <t>근오엔지니어링</t>
  </si>
  <si>
    <t>민영정보통신</t>
  </si>
  <si>
    <t>지우네트웍스</t>
  </si>
  <si>
    <t>해광통신</t>
  </si>
  <si>
    <t>엘케이테크넷(주)</t>
  </si>
  <si>
    <t>(주)유진통신</t>
  </si>
  <si>
    <t>온양농업협동조합</t>
  </si>
  <si>
    <t>크린파워</t>
  </si>
  <si>
    <t>경보통신</t>
  </si>
  <si>
    <t>준네트워크</t>
  </si>
  <si>
    <t>(주)티와이씨엔</t>
  </si>
  <si>
    <t>(주)서광시스템</t>
  </si>
  <si>
    <t>VICTOR BALATA BELTING COMPANY</t>
  </si>
  <si>
    <t>(주)삼화타이어</t>
  </si>
  <si>
    <t>금오이엔시(주)</t>
  </si>
  <si>
    <t>금호전기</t>
  </si>
  <si>
    <t>(주)한빛전기</t>
  </si>
  <si>
    <t>(주)진주네트워크</t>
  </si>
  <si>
    <t>(주)함양케이블텔레비젼</t>
  </si>
  <si>
    <t>크레인대금3／14</t>
  </si>
  <si>
    <t>주식회사 모든정보통신</t>
  </si>
  <si>
    <t>영양군농업기술센터</t>
  </si>
  <si>
    <t>(주)송우인포텍</t>
  </si>
  <si>
    <t>성연정보통신</t>
  </si>
  <si>
    <t>에이디텔레콤(주)</t>
  </si>
  <si>
    <t>남구청</t>
  </si>
  <si>
    <t>RS정보통신</t>
  </si>
  <si>
    <t>썬더통신</t>
  </si>
  <si>
    <t>중기타이어</t>
  </si>
  <si>
    <t>아라네트웍스</t>
  </si>
  <si>
    <t>(주)예성전기통신</t>
  </si>
  <si>
    <t>(유)한마루에너지</t>
  </si>
  <si>
    <t>하동군청</t>
  </si>
  <si>
    <t>제일정보통신(주)</t>
  </si>
  <si>
    <t>KL전기</t>
  </si>
  <si>
    <t>제일창호</t>
  </si>
  <si>
    <t>함안군청</t>
  </si>
  <si>
    <t>최인천</t>
  </si>
  <si>
    <t>영진유압</t>
  </si>
  <si>
    <t>이지통신</t>
  </si>
  <si>
    <t>(유)서진아이티씨</t>
  </si>
  <si>
    <t>아라정보기술</t>
  </si>
  <si>
    <t>(주)타코스텔레콤</t>
  </si>
  <si>
    <t>케이지시스템</t>
  </si>
  <si>
    <t>진성개발</t>
  </si>
  <si>
    <t>태백통신</t>
  </si>
  <si>
    <t>시온네트워크</t>
  </si>
  <si>
    <t>동대문구청</t>
  </si>
  <si>
    <t>주식회사 월드멀티넷</t>
  </si>
  <si>
    <t>(주)화인이앤씨</t>
  </si>
  <si>
    <t>가온통신</t>
  </si>
  <si>
    <t>KM정보통신</t>
  </si>
  <si>
    <t>노블테크(주)</t>
  </si>
  <si>
    <t>한서정보통신주식회사</t>
  </si>
  <si>
    <t>(주)에이스정보통신</t>
  </si>
  <si>
    <t>(주)흥아</t>
  </si>
  <si>
    <t>주식회사 유니온테크</t>
  </si>
  <si>
    <t>형제마린</t>
  </si>
  <si>
    <t>벤져스</t>
  </si>
  <si>
    <t>건영정보통신(주)</t>
  </si>
  <si>
    <t>주식회사 애버커스엔지니어링</t>
  </si>
  <si>
    <t>제이앤제이정보통신(주)</t>
  </si>
  <si>
    <t>(주)제이넷통신</t>
  </si>
  <si>
    <t>장동범</t>
  </si>
  <si>
    <t>유나정보통신</t>
  </si>
  <si>
    <t>상하이통신</t>
  </si>
  <si>
    <t>손광원</t>
  </si>
  <si>
    <t>수지코 틸팅 다단실린더외</t>
  </si>
  <si>
    <t>평창군청</t>
  </si>
  <si>
    <t>창원시 마산회원구청</t>
  </si>
  <si>
    <t>탁송료</t>
  </si>
  <si>
    <t>강남이엔지(주)</t>
  </si>
  <si>
    <t>(주)남부전기</t>
  </si>
  <si>
    <t>밀성전기(주)</t>
  </si>
  <si>
    <t>토네이도정보통신</t>
  </si>
  <si>
    <t>(주)이산</t>
  </si>
  <si>
    <t>DHS 1200L-추가계약</t>
  </si>
  <si>
    <t>흥원통신</t>
  </si>
  <si>
    <t>동양마린</t>
  </si>
  <si>
    <t>에이텍(주)</t>
  </si>
  <si>
    <t>권이완</t>
  </si>
  <si>
    <t>대광정보통신</t>
  </si>
  <si>
    <t>충북건기</t>
  </si>
  <si>
    <t>대양전력주식회사</t>
  </si>
  <si>
    <t>알뜰산업</t>
  </si>
  <si>
    <t>(주)셀콤</t>
  </si>
  <si>
    <t>제이지</t>
  </si>
  <si>
    <t>(주)윈투스시스템</t>
  </si>
  <si>
    <t>(주)유선통신</t>
  </si>
  <si>
    <t>한성애드</t>
  </si>
  <si>
    <t>스피드 네트웍</t>
  </si>
  <si>
    <t>주영통신</t>
  </si>
  <si>
    <t>연천군청</t>
  </si>
  <si>
    <t>삼부통신</t>
  </si>
  <si>
    <t>삼성중공업(주)거제조선소</t>
  </si>
  <si>
    <t>테마가공영농조합법인</t>
  </si>
  <si>
    <t>(주)대륙전기</t>
  </si>
  <si>
    <t>춘천시생활민원처리사업소</t>
  </si>
  <si>
    <t>이중균</t>
  </si>
  <si>
    <t>주식회사 충청라인</t>
  </si>
  <si>
    <t>미아중기</t>
  </si>
  <si>
    <t>DHT 145S-추가계약</t>
  </si>
  <si>
    <t>득진네트웍</t>
  </si>
  <si>
    <t>거성</t>
  </si>
  <si>
    <t>JACK CYLINDER ASSY 외</t>
  </si>
  <si>
    <t>(주)굿네트웍스</t>
  </si>
  <si>
    <t>시흥시청</t>
  </si>
  <si>
    <t>황군</t>
  </si>
  <si>
    <t>배배통신</t>
  </si>
  <si>
    <t>S.B넷</t>
  </si>
  <si>
    <t>(주)나래씨앤디</t>
  </si>
  <si>
    <t>(주)남양통신</t>
  </si>
  <si>
    <t>당리통신</t>
  </si>
  <si>
    <t>주식회사 전국엔지니어링</t>
  </si>
  <si>
    <t>엠와이씨기술</t>
  </si>
  <si>
    <t>LK통신</t>
  </si>
  <si>
    <t>이레넷</t>
  </si>
  <si>
    <t>제이제이정보통신</t>
  </si>
  <si>
    <t>양평지방공사</t>
  </si>
  <si>
    <t>은성통신</t>
  </si>
  <si>
    <t>동원조명전기</t>
  </si>
  <si>
    <t>지니정보통신</t>
  </si>
  <si>
    <t>DHS 250AP외</t>
  </si>
  <si>
    <t>포크리프트</t>
  </si>
  <si>
    <t>AL-KASID GROUP DUBAI HQ</t>
  </si>
  <si>
    <t>인제군청</t>
  </si>
  <si>
    <t>주식회사 대아산업</t>
  </si>
  <si>
    <t>외동석재</t>
  </si>
  <si>
    <t>선남통신</t>
  </si>
  <si>
    <t>경남이엔지</t>
  </si>
  <si>
    <t>동구청</t>
  </si>
  <si>
    <t>(주)건양기술공사건축사사무소</t>
  </si>
  <si>
    <t>(유)테마이엔씨</t>
  </si>
  <si>
    <t>월드정보통신</t>
  </si>
  <si>
    <t>주식회사영동네트웍스</t>
  </si>
  <si>
    <t>영호정보</t>
  </si>
  <si>
    <t>(주)불스브로드밴드</t>
  </si>
  <si>
    <t>(주)충남네트웍스</t>
  </si>
  <si>
    <t>미래중공업</t>
  </si>
  <si>
    <t>(주)포앤텍</t>
  </si>
  <si>
    <t>백경이엔지(주)</t>
  </si>
  <si>
    <t>서부아크릴.넥산</t>
  </si>
  <si>
    <t>펜타코리아군산대리점</t>
  </si>
  <si>
    <t>대명정보통신</t>
  </si>
  <si>
    <t>(주)부창전기</t>
  </si>
  <si>
    <t>문산방송사</t>
  </si>
  <si>
    <t>성원통신</t>
  </si>
  <si>
    <t>서광정보통신(주)</t>
  </si>
  <si>
    <t>동성정밀</t>
  </si>
  <si>
    <t>주식회사 아이에스인텍</t>
  </si>
  <si>
    <t>나래텔레콤</t>
  </si>
  <si>
    <t>에스에스통신</t>
  </si>
  <si>
    <t>유동수</t>
  </si>
  <si>
    <t>훌루테크</t>
  </si>
  <si>
    <t>(주)경림이앤지</t>
  </si>
  <si>
    <t>ALPHA 12000-추가계약</t>
  </si>
  <si>
    <t>예성전력주식회사</t>
  </si>
  <si>
    <t>서진전기</t>
  </si>
  <si>
    <t>용역수수료</t>
  </si>
  <si>
    <t>(주)대우전기건설공사</t>
  </si>
  <si>
    <t>(주)구구이앤씨</t>
  </si>
  <si>
    <t>해피콤(주)</t>
  </si>
  <si>
    <t>(주)화성</t>
  </si>
  <si>
    <t>박흥국</t>
  </si>
  <si>
    <t>(주)만양</t>
  </si>
  <si>
    <t>장보고마린</t>
  </si>
  <si>
    <t>동광석재</t>
  </si>
  <si>
    <t>올림픽마린</t>
  </si>
  <si>
    <t>마린랜드(주)</t>
  </si>
  <si>
    <t>화천군농업기술센터</t>
  </si>
  <si>
    <t>(주)예산에너지</t>
  </si>
  <si>
    <t>태건건설(주)</t>
  </si>
  <si>
    <t>맥스정보</t>
  </si>
  <si>
    <t>선금급</t>
  </si>
  <si>
    <t>울진군청</t>
  </si>
  <si>
    <t>보령시청</t>
  </si>
  <si>
    <t>현대타이어</t>
  </si>
  <si>
    <t>(주)한미전기</t>
  </si>
  <si>
    <t>(주)동아티엔씨</t>
  </si>
  <si>
    <t>(주)명신하이넷</t>
  </si>
  <si>
    <t>성일광고</t>
  </si>
  <si>
    <t>도원통신</t>
  </si>
  <si>
    <t>(주)제이에이치전력</t>
  </si>
  <si>
    <t>(주)광일전기통신</t>
  </si>
  <si>
    <t>가나전기</t>
  </si>
  <si>
    <t>연일정미소</t>
  </si>
  <si>
    <t>(주)테라파워</t>
  </si>
  <si>
    <t>주식회사태웅씨비아이티</t>
  </si>
  <si>
    <t>광원</t>
  </si>
  <si>
    <t>대웅기건</t>
  </si>
  <si>
    <t>(주)대경인트라넷</t>
  </si>
  <si>
    <t>주식회사 선우</t>
  </si>
  <si>
    <t>J＆J</t>
  </si>
  <si>
    <t>공군19전투비행단</t>
  </si>
  <si>
    <t>(주)금호조선</t>
  </si>
  <si>
    <t xml:space="preserve">서림전기공사 </t>
  </si>
  <si>
    <t>다인정보통신</t>
  </si>
  <si>
    <t>유나이티드 제이앤씨</t>
  </si>
  <si>
    <t>SHIJIAZHUANG COAL MINING MACHINEY CO., LTD</t>
  </si>
  <si>
    <t>영동자원</t>
  </si>
  <si>
    <t>DHS 15AP-추각계약</t>
  </si>
  <si>
    <t>해남군청</t>
  </si>
  <si>
    <t>홍천군청</t>
  </si>
  <si>
    <t>명덕정보통신</t>
  </si>
  <si>
    <t>이지정보통신</t>
  </si>
  <si>
    <t>(주)서진아이티씨</t>
  </si>
  <si>
    <t>류네트웍</t>
  </si>
  <si>
    <t>(유)건진건설기계</t>
  </si>
  <si>
    <t>청주시청</t>
  </si>
  <si>
    <t>공군제10전투비행단</t>
  </si>
  <si>
    <t>링크시스콤</t>
  </si>
  <si>
    <t>동두천케이블</t>
  </si>
  <si>
    <t>에이스통신</t>
  </si>
  <si>
    <t>(주)청해정보통신</t>
  </si>
  <si>
    <t>나라통신</t>
  </si>
  <si>
    <t>해주통신</t>
  </si>
  <si>
    <t>세경</t>
  </si>
  <si>
    <t>(주)하이엔텍</t>
  </si>
  <si>
    <t>홍익디자인협동조합</t>
  </si>
  <si>
    <t>Young System</t>
  </si>
  <si>
    <t>재인네트워크</t>
  </si>
  <si>
    <t>AY통신</t>
  </si>
  <si>
    <t>의리네트워크</t>
  </si>
  <si>
    <t>양백이앤씨</t>
  </si>
  <si>
    <t>(주)비전정보통신</t>
  </si>
  <si>
    <t>JJ통신</t>
  </si>
  <si>
    <t>세인텔레콤</t>
  </si>
  <si>
    <t>에스디매직싸인</t>
  </si>
  <si>
    <t>OS통신</t>
  </si>
  <si>
    <t>민수통신</t>
  </si>
  <si>
    <t>케이에스오전기(주)</t>
  </si>
  <si>
    <t>포원정보통신(주)</t>
  </si>
  <si>
    <t>청하통신</t>
  </si>
  <si>
    <t>(주)서신엔지니어링</t>
  </si>
  <si>
    <t>(주)대성전력공사</t>
  </si>
  <si>
    <t>원척어촌계원</t>
  </si>
  <si>
    <t>태영텔레콤</t>
  </si>
  <si>
    <t>대일정보통신</t>
  </si>
  <si>
    <t>(주)창흥통신</t>
  </si>
  <si>
    <t>전주시 완산구청</t>
  </si>
  <si>
    <t>왕성유압</t>
  </si>
  <si>
    <t>천하통신</t>
  </si>
  <si>
    <t>(주)세븐전자코리아</t>
  </si>
  <si>
    <t>대양마린</t>
  </si>
  <si>
    <t>한성정보통신</t>
  </si>
  <si>
    <t>(주)에스디정보통신</t>
  </si>
  <si>
    <t>주식회사 세원그룹</t>
  </si>
  <si>
    <t>스피드방통</t>
  </si>
  <si>
    <t>YS정보통신</t>
  </si>
  <si>
    <t>(주)평화통신</t>
  </si>
  <si>
    <t>연우통신(주)</t>
  </si>
  <si>
    <t>DHS 950L／지석현</t>
  </si>
  <si>
    <t>(주)혜인</t>
  </si>
  <si>
    <t>(주)해상</t>
  </si>
  <si>
    <t>LIS</t>
  </si>
  <si>
    <t>라온정보통신</t>
  </si>
  <si>
    <t>(주)한국벨트산업테크</t>
  </si>
  <si>
    <t>아트시스</t>
  </si>
  <si>
    <t>기아자동차온천대리점</t>
  </si>
  <si>
    <t>(주)한화</t>
  </si>
  <si>
    <t>현대위성네트워크(주)</t>
  </si>
  <si>
    <t>김연숙</t>
  </si>
  <si>
    <t>경우전력(주)</t>
  </si>
  <si>
    <t>삼덕전기주식회사</t>
  </si>
  <si>
    <t>서울대공원</t>
  </si>
  <si>
    <t>LEVEL CYLINDER외-스리랑카 무상 A／S</t>
  </si>
  <si>
    <t>SENOK TRADE COMBINE PVT LT</t>
  </si>
  <si>
    <t>복개전기공사</t>
  </si>
  <si>
    <t>혜연통신</t>
  </si>
  <si>
    <t>김제시청</t>
  </si>
  <si>
    <t>주식회사 흥일전기</t>
  </si>
  <si>
    <t>창화이지텍 주식회사</t>
  </si>
  <si>
    <t>유환 정보통신</t>
  </si>
  <si>
    <t>김종국</t>
  </si>
  <si>
    <t>에이포테크</t>
  </si>
  <si>
    <t>주식회사금강케이블넷</t>
  </si>
  <si>
    <t>파워넷</t>
  </si>
  <si>
    <t>(주)엔엠엑스이엔씨</t>
  </si>
  <si>
    <t>박욱재</t>
  </si>
  <si>
    <t>(주)경진전력</t>
  </si>
  <si>
    <t>(주)지와이텐트</t>
  </si>
  <si>
    <t>우리네트워크</t>
  </si>
  <si>
    <t>신중승</t>
  </si>
  <si>
    <t>태흥네트웍스</t>
  </si>
  <si>
    <t>대영네트웍</t>
  </si>
  <si>
    <t>가인중기</t>
  </si>
  <si>
    <t>연합자원</t>
  </si>
  <si>
    <t>정애드</t>
  </si>
  <si>
    <t>일광ENC</t>
  </si>
  <si>
    <t>미소통신</t>
  </si>
  <si>
    <t>성남통신</t>
  </si>
  <si>
    <t>SY안전</t>
  </si>
  <si>
    <t>대유통신(주)</t>
  </si>
  <si>
    <t>(주)알앤아이</t>
  </si>
  <si>
    <t>전주통신</t>
  </si>
  <si>
    <t>(유)정안정보</t>
  </si>
  <si>
    <t>김진희</t>
  </si>
  <si>
    <t>제이엠</t>
  </si>
  <si>
    <t>매일이앤씨(주)</t>
  </si>
  <si>
    <t>엄문섭</t>
  </si>
  <si>
    <t>영진이앤지</t>
  </si>
  <si>
    <t>G＆S통신</t>
  </si>
  <si>
    <t>칠성통신</t>
  </si>
  <si>
    <t>금강엔지니어링(주)</t>
  </si>
  <si>
    <t>인천광역시남구시설관리공단</t>
  </si>
  <si>
    <t>(주)창대전력</t>
  </si>
  <si>
    <t>대성커뮤니케이션</t>
  </si>
  <si>
    <t>(주)알파인테크</t>
  </si>
  <si>
    <t>대호정보통신</t>
  </si>
  <si>
    <t>큰솔정보통신</t>
  </si>
  <si>
    <t>(재)현대공원</t>
  </si>
  <si>
    <t>강성건설</t>
  </si>
  <si>
    <t>한신공압기계</t>
  </si>
  <si>
    <t>득호에프알피조선소</t>
  </si>
  <si>
    <t>DK정보통신</t>
  </si>
  <si>
    <t>한마음협동조합</t>
  </si>
  <si>
    <t>(주)선진정밀</t>
  </si>
  <si>
    <t>금강통신</t>
  </si>
  <si>
    <t>주식회사 맥스정보통신</t>
  </si>
  <si>
    <t>주식회사 세원씨앤에스</t>
  </si>
  <si>
    <t>부완윤</t>
  </si>
  <si>
    <t>현대종합상사(주)</t>
  </si>
  <si>
    <t>에이에스에이피</t>
  </si>
  <si>
    <t>(주)다성프로페셔널</t>
  </si>
  <si>
    <t>동광크랑크공업</t>
  </si>
  <si>
    <t>금강마린</t>
  </si>
  <si>
    <t>최은준</t>
  </si>
  <si>
    <t>사필환</t>
  </si>
  <si>
    <t>K네트워크</t>
  </si>
  <si>
    <t>사랑정보통신</t>
  </si>
  <si>
    <t>한신전기</t>
  </si>
  <si>
    <t>정원통신</t>
  </si>
  <si>
    <t>대광전력</t>
  </si>
  <si>
    <t>공군군사사령부 2014년 본조</t>
  </si>
  <si>
    <t>성우계전</t>
  </si>
  <si>
    <t>신광전설주식회사</t>
  </si>
  <si>
    <t>SMJ 네트웍스</t>
  </si>
  <si>
    <t>신성이엔지</t>
  </si>
  <si>
    <t>PT Karya Energi Indonesia</t>
  </si>
  <si>
    <t>대경펌프공업</t>
  </si>
  <si>
    <t>경일네트웍스</t>
  </si>
  <si>
    <t>다르정보통신</t>
  </si>
  <si>
    <t>링통신</t>
  </si>
  <si>
    <t>엘림전기공사</t>
  </si>
  <si>
    <t>제주특별자치도 수자원본부</t>
  </si>
  <si>
    <t>엔제이네트웍스(NJ networks)</t>
  </si>
  <si>
    <t>이상훈</t>
  </si>
  <si>
    <t>이앤비정보통신(주)</t>
  </si>
  <si>
    <t>(주)신평통신</t>
  </si>
  <si>
    <t>태광텔레콤(주)</t>
  </si>
  <si>
    <t>우성활선</t>
  </si>
  <si>
    <t>디디네트워크</t>
  </si>
  <si>
    <t>(주)대우인터내셔널</t>
  </si>
  <si>
    <t>굴렁쇠</t>
  </si>
  <si>
    <t>에이스정보통신</t>
  </si>
  <si>
    <t>한빛전기(주)</t>
  </si>
  <si>
    <t>삼일전기(주)</t>
  </si>
  <si>
    <t>(주)새론</t>
  </si>
  <si>
    <t>QUANTUM GLOBALINO</t>
  </si>
  <si>
    <t>(주)현진네트웍스</t>
  </si>
  <si>
    <t>제우스통신</t>
  </si>
  <si>
    <t>진호통신</t>
  </si>
  <si>
    <t>문화체육관리사업소</t>
  </si>
  <si>
    <t>한라경기센타</t>
  </si>
  <si>
    <t>일진정보통신</t>
  </si>
  <si>
    <t>우정통신</t>
  </si>
  <si>
    <t>다운정보통신</t>
  </si>
  <si>
    <t>전대열</t>
  </si>
  <si>
    <t>(주)광고백화점 트인</t>
  </si>
  <si>
    <t>세원통신</t>
  </si>
  <si>
    <t>인천광역시경제자유구역청</t>
  </si>
  <si>
    <t>한밭정보통신</t>
  </si>
  <si>
    <t>(주)건영네트워크</t>
  </si>
  <si>
    <t>(주)화성정보통신</t>
  </si>
  <si>
    <t>영통신</t>
  </si>
  <si>
    <t>(주)엔씨디지넷</t>
  </si>
  <si>
    <t>(주)정훈기계</t>
  </si>
  <si>
    <t>(주)하이네트웍</t>
  </si>
  <si>
    <t>부산마린</t>
  </si>
  <si>
    <t>권영희</t>
  </si>
  <si>
    <t>현대전력</t>
  </si>
  <si>
    <t>(주)매크로미디어넷</t>
  </si>
  <si>
    <t>강진통신</t>
  </si>
  <si>
    <t>김재호</t>
  </si>
  <si>
    <t>주식회사 코어인프라</t>
  </si>
  <si>
    <t>주식회사 새로운</t>
  </si>
  <si>
    <t>씨엠정보통신(주)</t>
  </si>
  <si>
    <t>(주)그린이엔지</t>
  </si>
  <si>
    <t>세아</t>
  </si>
  <si>
    <t>(주)에이치넷</t>
  </si>
  <si>
    <t>에스에이치테크(주)</t>
  </si>
  <si>
    <t>컨텍</t>
  </si>
  <si>
    <t>승진통신</t>
  </si>
  <si>
    <t>이동철공소</t>
  </si>
  <si>
    <t>티엠지정보통신</t>
  </si>
  <si>
    <t>(주)동양이이씨</t>
  </si>
  <si>
    <t>주식회사 신아</t>
  </si>
  <si>
    <t>영남씨엔엠(주)</t>
  </si>
  <si>
    <t>(주)신양</t>
  </si>
  <si>
    <t>주식회사 국도전력</t>
  </si>
  <si>
    <t>신성통신공사</t>
  </si>
  <si>
    <t>용인조경화훼총판장</t>
  </si>
  <si>
    <t>아름기획</t>
  </si>
  <si>
    <t>서윤전기건설공사</t>
  </si>
  <si>
    <t>삼영정보통신</t>
  </si>
  <si>
    <t>(주)한진전력</t>
  </si>
  <si>
    <t>(주)그린정보시스템</t>
  </si>
  <si>
    <t>리더스 씨씨티브이</t>
  </si>
  <si>
    <t>주원정보통신</t>
  </si>
  <si>
    <t>명성개발</t>
  </si>
  <si>
    <t>정범통신</t>
  </si>
  <si>
    <t>주식회사 하동정보통신</t>
  </si>
  <si>
    <t>(주) 향수정보통신</t>
  </si>
  <si>
    <t>대아정보통신주식회사</t>
  </si>
  <si>
    <t>우성종합전기</t>
  </si>
  <si>
    <t>도신관</t>
  </si>
  <si>
    <t>이송산업</t>
  </si>
  <si>
    <t>(주)대영전기</t>
  </si>
  <si>
    <t>진성전력</t>
  </si>
  <si>
    <t>금강협동조합</t>
  </si>
  <si>
    <t>(주)미광전기</t>
  </si>
  <si>
    <t>경동보일러귀뚜라미보일러삼천리보일러</t>
  </si>
  <si>
    <t>(주)태일전기</t>
  </si>
  <si>
    <t>나린통신</t>
  </si>
  <si>
    <t>코어네트웍스</t>
  </si>
  <si>
    <t>비니정보통신</t>
  </si>
  <si>
    <t>김병준</t>
  </si>
  <si>
    <t>소현통신</t>
  </si>
  <si>
    <t>유진구내식당</t>
  </si>
  <si>
    <t>횡성군청</t>
  </si>
  <si>
    <t>월림전력</t>
  </si>
  <si>
    <t>우신건업(주)</t>
  </si>
  <si>
    <t>(주)삼표 송파지점</t>
  </si>
  <si>
    <t>에스제이모터스</t>
  </si>
  <si>
    <t>제이통신</t>
  </si>
  <si>
    <t>제16전투비행단</t>
  </si>
  <si>
    <t>한국전력공사</t>
  </si>
  <si>
    <t>한밭통신</t>
  </si>
  <si>
    <t>주식회사 하이네트워크</t>
  </si>
  <si>
    <t>진성정보통신</t>
  </si>
  <si>
    <t>공주컴텍1톤스카이</t>
  </si>
  <si>
    <t>가람</t>
  </si>
  <si>
    <t>다도해해상국립공원서부사무소</t>
  </si>
  <si>
    <t>두산건설기계충북판매(주)</t>
  </si>
  <si>
    <t>광속통신</t>
  </si>
  <si>
    <t>주식회사 현대전업사</t>
  </si>
  <si>
    <t>우리전력주식회사</t>
  </si>
  <si>
    <t>대광전기주식회사</t>
  </si>
  <si>
    <t>천지석물</t>
  </si>
  <si>
    <t>은솔텔레콤㈜</t>
  </si>
  <si>
    <t>원 종합정보통신(O.S.C)</t>
  </si>
  <si>
    <t>BIB자동장치&lt;13호기&gt;</t>
  </si>
  <si>
    <t>선테스트코리아(주)</t>
  </si>
  <si>
    <t>순천시청</t>
  </si>
  <si>
    <t>영천전기</t>
  </si>
  <si>
    <t>(주)대영엔지니어링</t>
  </si>
  <si>
    <t>해양선외기</t>
  </si>
  <si>
    <t>화성전기건설사</t>
  </si>
  <si>
    <t>(주)경운전력</t>
  </si>
  <si>
    <t>DALIAN TAIDA INTERNATIONAL TRADE CO., LTD</t>
  </si>
  <si>
    <t>주식회사 소명</t>
  </si>
  <si>
    <t>일성OA통신</t>
  </si>
  <si>
    <t>거양전기(주)</t>
  </si>
  <si>
    <t>(주)계룡전력</t>
  </si>
  <si>
    <t>(주)이원</t>
  </si>
  <si>
    <t>(주)경도전기</t>
  </si>
  <si>
    <t>제트마린</t>
  </si>
  <si>
    <t>이현정</t>
  </si>
  <si>
    <t>마라리마을회</t>
  </si>
  <si>
    <t>한결네트웍스</t>
  </si>
  <si>
    <t>인광전력 주식회사</t>
  </si>
  <si>
    <t>중앙통신</t>
  </si>
  <si>
    <t>대기냉동공사</t>
  </si>
  <si>
    <t>안태훈</t>
  </si>
  <si>
    <t>하이패스텔</t>
  </si>
  <si>
    <t>(주)명광전력</t>
  </si>
  <si>
    <t>김학영</t>
  </si>
  <si>
    <t>피케이정보통신</t>
  </si>
  <si>
    <t>서광통신</t>
  </si>
  <si>
    <t>은성전력</t>
  </si>
  <si>
    <t>한국메가와트 주식회사</t>
  </si>
  <si>
    <t>이복열</t>
  </si>
  <si>
    <t>엄태연</t>
  </si>
  <si>
    <t>충남전기</t>
  </si>
  <si>
    <t>조혜숙</t>
  </si>
  <si>
    <t>(주)명성전력</t>
  </si>
  <si>
    <t>키움스카이</t>
  </si>
  <si>
    <t>미래컴퓨터</t>
  </si>
  <si>
    <t>주식회사 청림</t>
  </si>
  <si>
    <t>두성</t>
  </si>
  <si>
    <t>(주)호남전력</t>
  </si>
  <si>
    <t>(주)하나로</t>
  </si>
  <si>
    <t>호원건설(주)</t>
  </si>
  <si>
    <t>세종전력(주)</t>
  </si>
  <si>
    <t>백호이엔지</t>
  </si>
  <si>
    <t>서부경남통신</t>
  </si>
  <si>
    <t>대흥광고공사</t>
  </si>
  <si>
    <t>신도산기(주)</t>
  </si>
  <si>
    <t>선진건설주식회사</t>
  </si>
  <si>
    <t>양산정보통신(주)</t>
  </si>
  <si>
    <t>민정보통신</t>
  </si>
  <si>
    <t>소정보통신</t>
  </si>
  <si>
    <t>으뜸정보통신</t>
  </si>
  <si>
    <t>삼성g2b주식회사</t>
  </si>
  <si>
    <t>신성전력</t>
  </si>
  <si>
    <t>글사랑광고</t>
  </si>
  <si>
    <t>태화정보통신(주)</t>
  </si>
  <si>
    <t>명진전기</t>
  </si>
  <si>
    <t>청마통신</t>
  </si>
  <si>
    <t>원플러스텔레콤(주)</t>
  </si>
  <si>
    <t>임회식</t>
  </si>
  <si>
    <t>스피드정보통신</t>
  </si>
  <si>
    <t>아이티솔루션</t>
  </si>
  <si>
    <t>김동훈</t>
  </si>
  <si>
    <t>(주)아이콘텍</t>
  </si>
  <si>
    <t>주식회사 진명텔레콤</t>
  </si>
  <si>
    <t>(주)이안네트워크</t>
  </si>
  <si>
    <t>(주)강동미디어</t>
  </si>
  <si>
    <t>(주)성광에너지</t>
  </si>
  <si>
    <t>(주)케이티오토리스</t>
  </si>
  <si>
    <t>신화전기</t>
  </si>
  <si>
    <t>주식회사 희성</t>
  </si>
  <si>
    <t>주식회사 경동전력</t>
  </si>
  <si>
    <t>한림전기</t>
  </si>
  <si>
    <t>(주)현대건설장비 전북중부대리점</t>
  </si>
  <si>
    <t>(주)원성</t>
  </si>
  <si>
    <t>(주)동방이엔씨</t>
  </si>
  <si>
    <t>금강전기(주)</t>
  </si>
  <si>
    <t>오성전력</t>
  </si>
  <si>
    <t>한바다</t>
  </si>
  <si>
    <t>제일모터</t>
  </si>
  <si>
    <t>금선통신</t>
  </si>
  <si>
    <t>진솔 주식회사</t>
  </si>
  <si>
    <t>주식회사 우림아이씨티</t>
  </si>
  <si>
    <t>준정보기술</t>
  </si>
  <si>
    <t>주식회사 예인이엔지</t>
  </si>
  <si>
    <t>유한회사 주성산업</t>
  </si>
  <si>
    <t>비케이시스템즈(주)</t>
  </si>
  <si>
    <t>서귀포농업협동조합</t>
  </si>
  <si>
    <t>천호전력 주식회사</t>
  </si>
  <si>
    <t>태일이엔아이(주)</t>
  </si>
  <si>
    <t>MIESCOR CO.</t>
  </si>
  <si>
    <t>(주)성빛</t>
  </si>
  <si>
    <t>관보토건(주)</t>
  </si>
  <si>
    <t>케이엔에이치</t>
  </si>
  <si>
    <t>(주)네이처테크</t>
  </si>
  <si>
    <t>한일전기</t>
  </si>
  <si>
    <t>태성이엔지</t>
  </si>
  <si>
    <t>(주)동훈전설</t>
  </si>
  <si>
    <t>세븐스카이</t>
  </si>
  <si>
    <t>태흥공사</t>
  </si>
  <si>
    <t>당진선외기</t>
  </si>
  <si>
    <t>(주)서림</t>
  </si>
  <si>
    <t>주식회사 이지스</t>
  </si>
  <si>
    <t>주식회사 태오</t>
  </si>
  <si>
    <t>대양선외기상사</t>
  </si>
  <si>
    <t>주식회사 천일로직스</t>
  </si>
  <si>
    <t>화창마린</t>
  </si>
  <si>
    <t>(주)넥스모어시스템즈</t>
  </si>
  <si>
    <t>(주)일렉콤</t>
  </si>
  <si>
    <t>태성전력 주식회사</t>
  </si>
  <si>
    <t>(주)대진전력</t>
  </si>
  <si>
    <t>주식회사 삼익전설</t>
  </si>
  <si>
    <t>주식회사 대우인터내셔널</t>
  </si>
  <si>
    <t>영성정보통신</t>
  </si>
  <si>
    <t>(주)광명텔레콤</t>
  </si>
  <si>
    <t>현진통신</t>
  </si>
  <si>
    <t>진광전력(주)</t>
  </si>
  <si>
    <t>(주)알파아이엔씨</t>
  </si>
  <si>
    <t>나은</t>
  </si>
  <si>
    <t>대광전기</t>
  </si>
  <si>
    <t>(주)평화기전</t>
  </si>
  <si>
    <t>웹정보통신</t>
  </si>
  <si>
    <t>상원전기</t>
  </si>
  <si>
    <t>우람</t>
  </si>
  <si>
    <t>(주)월산이앤씨</t>
  </si>
  <si>
    <t>현대마린</t>
  </si>
  <si>
    <t>안면충남선외기</t>
  </si>
  <si>
    <t>제5공중기동비행단</t>
  </si>
  <si>
    <t>(합)새한전기통신공사</t>
  </si>
  <si>
    <t>평화스크류</t>
  </si>
  <si>
    <t>(주)에스엠엔네트워크</t>
  </si>
  <si>
    <t>진서통신</t>
  </si>
  <si>
    <t>(주)케이탑솔루션</t>
  </si>
  <si>
    <t>신창전력주식회사</t>
  </si>
  <si>
    <t>재성전설(주)</t>
  </si>
  <si>
    <t>성일전기(주)</t>
  </si>
  <si>
    <t>(주)대한정보통신</t>
  </si>
  <si>
    <t>(주)남성전력</t>
  </si>
  <si>
    <t>링크텔</t>
  </si>
  <si>
    <t>정화통신</t>
  </si>
  <si>
    <t>고일선</t>
  </si>
  <si>
    <t>DHM 750S 장비 환입</t>
  </si>
  <si>
    <t>에스엠정보통신</t>
  </si>
  <si>
    <t>우진정보통신</t>
  </si>
  <si>
    <t>신흥전기건설공사</t>
  </si>
  <si>
    <t>두산지게차 호남전동판매</t>
  </si>
  <si>
    <t>주식회사 참솔조경개발</t>
  </si>
  <si>
    <t>조은기업</t>
  </si>
  <si>
    <t>뉴월드전력</t>
  </si>
  <si>
    <t>용마린</t>
  </si>
  <si>
    <t>서울특별시한강사업본부</t>
  </si>
  <si>
    <t>현대지게차</t>
  </si>
  <si>
    <t>주식회사 제이에스통신</t>
  </si>
  <si>
    <t>(주)한국티씨</t>
  </si>
  <si>
    <t>주식회사 삼영</t>
  </si>
  <si>
    <t>KD네트워크</t>
  </si>
  <si>
    <t>케이에스아이(주)</t>
  </si>
  <si>
    <t>두진통신산업주식회사</t>
  </si>
  <si>
    <t>주식회사 명성</t>
  </si>
  <si>
    <t>광진광고</t>
  </si>
  <si>
    <t>전옥자</t>
  </si>
  <si>
    <t>코아네트웍</t>
  </si>
  <si>
    <t>아트네트웍</t>
  </si>
  <si>
    <t>제이에스정보통신</t>
  </si>
  <si>
    <t>(사)영동군장애인협의회 영동군장애인보호작업장</t>
  </si>
  <si>
    <t>신도종합기획</t>
  </si>
  <si>
    <t>(주)세종철거산업</t>
  </si>
  <si>
    <t>미산이엔지</t>
  </si>
  <si>
    <t>주식회사 다윈</t>
  </si>
  <si>
    <t>정화통신(주)</t>
  </si>
  <si>
    <t>유신통신(주)</t>
  </si>
  <si>
    <t>서형종</t>
  </si>
  <si>
    <t>명운일렉트로닉스</t>
  </si>
  <si>
    <t>군위군농업기술센터</t>
  </si>
  <si>
    <t>홍영주</t>
  </si>
  <si>
    <t>세명전기</t>
  </si>
  <si>
    <t>DHM 1100S2 장비 환입</t>
  </si>
  <si>
    <t>왜관종합전자</t>
  </si>
  <si>
    <t>(주)이화텔레콤</t>
  </si>
  <si>
    <t>(주)두원전자통신</t>
  </si>
  <si>
    <t>대명종합전기</t>
  </si>
  <si>
    <t>아르니온</t>
  </si>
  <si>
    <t>(주)한미석유</t>
  </si>
  <si>
    <t>우석텔레콤</t>
  </si>
  <si>
    <t>상정정보시스템</t>
  </si>
  <si>
    <t>국제시스템(주)</t>
  </si>
  <si>
    <t>주식회사 세아베스틸</t>
  </si>
  <si>
    <t>신아통신</t>
  </si>
  <si>
    <t>하나넷</t>
  </si>
  <si>
    <t>(주)아이엔아이</t>
  </si>
  <si>
    <t>트러스트 맨</t>
  </si>
  <si>
    <t>(주)두배라</t>
  </si>
  <si>
    <t>대한전설(주)</t>
  </si>
  <si>
    <t>상승정보통신</t>
  </si>
  <si>
    <t>화성전기. 모터</t>
  </si>
  <si>
    <t>광림전기</t>
  </si>
  <si>
    <t>명은통신</t>
  </si>
  <si>
    <t>하윤이앤지</t>
  </si>
  <si>
    <t>환영건설</t>
  </si>
  <si>
    <t>YES정보통신</t>
  </si>
  <si>
    <t>거산통신건설</t>
  </si>
  <si>
    <t>경주전력</t>
  </si>
  <si>
    <t>혁정전력주식회사</t>
  </si>
  <si>
    <t>주식회사 시온이앤씨</t>
  </si>
  <si>
    <t>삼화타이어</t>
  </si>
  <si>
    <t>전남프로펠러</t>
  </si>
  <si>
    <t>바다마린레져</t>
  </si>
  <si>
    <t>한진네트워크</t>
  </si>
  <si>
    <t>우강정보통신</t>
  </si>
  <si>
    <t>(주)태양전기통신</t>
  </si>
  <si>
    <t>제일클린</t>
  </si>
  <si>
    <t>(주)지엠펌프</t>
  </si>
  <si>
    <t>에스앤씨통신</t>
  </si>
  <si>
    <t>지한정보</t>
  </si>
  <si>
    <t>디에스(DS)</t>
  </si>
  <si>
    <t>태흥정보통신</t>
  </si>
  <si>
    <t>(주)두원전기</t>
  </si>
  <si>
    <t>대성스크류</t>
  </si>
  <si>
    <t>양평군청</t>
  </si>
  <si>
    <t>영규전력공사</t>
  </si>
  <si>
    <t>DHS 433L 장비 환입</t>
  </si>
  <si>
    <t>(주)성보전력</t>
  </si>
  <si>
    <t>주식회사 제이엠정보통신</t>
  </si>
  <si>
    <t>두산건기 고양판매 주식회사</t>
  </si>
  <si>
    <t>에프투텔레콤(주)</t>
  </si>
  <si>
    <t>최병덕</t>
  </si>
  <si>
    <t>대성정보통신</t>
  </si>
  <si>
    <t>SM정보통신</t>
  </si>
  <si>
    <t>(주)장대</t>
  </si>
  <si>
    <t>지은텔레콤</t>
  </si>
  <si>
    <t>(주)씨유정보통신</t>
  </si>
  <si>
    <t>(주)동해중공업</t>
  </si>
  <si>
    <t>주식회사 성창엔지니어링</t>
  </si>
  <si>
    <t>에스케이(SK)사인플랜</t>
  </si>
  <si>
    <t>주식회사 세미이엔씨</t>
  </si>
  <si>
    <t>더좋은생활 주식회사</t>
  </si>
  <si>
    <t>키퍼스</t>
  </si>
  <si>
    <t>노화청해마린</t>
  </si>
  <si>
    <t>화명통신</t>
  </si>
  <si>
    <t>시화기계유통단지조합</t>
  </si>
  <si>
    <t>(주)효원이엔지</t>
  </si>
  <si>
    <t>JB냉동산업</t>
  </si>
  <si>
    <t>부산광역시 금정구</t>
  </si>
  <si>
    <t>대흥정보통신</t>
  </si>
  <si>
    <t>TJ네트워크</t>
  </si>
  <si>
    <t>가나통신</t>
  </si>
  <si>
    <t>한손전력</t>
  </si>
  <si>
    <t>베가마린</t>
  </si>
  <si>
    <t>상수도사업본부 송촌정수사업소</t>
  </si>
  <si>
    <t>경상남도 밀양시청</t>
  </si>
  <si>
    <t>울산광역시시설관리공단</t>
  </si>
  <si>
    <t>MA-1A 철거 및 설치비 외</t>
  </si>
  <si>
    <t>대성통신</t>
  </si>
  <si>
    <t>부산북구청</t>
  </si>
  <si>
    <t>(유)미주계전</t>
  </si>
  <si>
    <t>서해디지털</t>
  </si>
  <si>
    <t>(주)이일엔지니어링</t>
  </si>
  <si>
    <t>안동시설관리공단</t>
  </si>
  <si>
    <t>득진통신(주)</t>
  </si>
  <si>
    <t>유창통신(주)</t>
  </si>
  <si>
    <t>KIA BONGOIII 1TON 4WD</t>
  </si>
  <si>
    <t>삼삼종합기획</t>
  </si>
  <si>
    <t>(주)해동기업</t>
  </si>
  <si>
    <t>명성이엔지(주)</t>
  </si>
  <si>
    <t>유니온마린</t>
  </si>
  <si>
    <t>(주)스마트비전</t>
  </si>
  <si>
    <t>경기통신</t>
  </si>
  <si>
    <t>태양중기</t>
  </si>
  <si>
    <t>동래구청</t>
  </si>
  <si>
    <t>한별정보통신</t>
  </si>
  <si>
    <t>동현테크 주식회사</t>
  </si>
  <si>
    <t>부산진구청</t>
  </si>
  <si>
    <t>상주시청</t>
  </si>
  <si>
    <t>BIB자동장치&lt;14호기&gt;</t>
  </si>
  <si>
    <t>H. K. 정보통신</t>
  </si>
  <si>
    <t>SB정보통신</t>
  </si>
  <si>
    <t>태안군농업기술센터</t>
  </si>
  <si>
    <t>(주)솔인텍</t>
  </si>
  <si>
    <t>동성운수</t>
  </si>
  <si>
    <t>신라활선</t>
  </si>
  <si>
    <t>서해선외기</t>
  </si>
  <si>
    <t>미래시스템(주)</t>
  </si>
  <si>
    <t>(주)평창전기</t>
  </si>
  <si>
    <t>운화이엔지</t>
  </si>
  <si>
    <t>(주)라이트제림</t>
  </si>
  <si>
    <t>MH</t>
  </si>
  <si>
    <t>(주)원플러스서비스</t>
  </si>
  <si>
    <t>신영산전(주)</t>
  </si>
  <si>
    <t>(주)대림운수</t>
  </si>
  <si>
    <t>진안군청</t>
  </si>
  <si>
    <t>서령통신</t>
  </si>
  <si>
    <t>영진활선</t>
  </si>
  <si>
    <t>(주)삼화전력</t>
  </si>
  <si>
    <t>대광기업(주)</t>
  </si>
  <si>
    <t>현대씨즈올 주식회사</t>
  </si>
  <si>
    <t>DHM 1100S2 장비환입</t>
  </si>
  <si>
    <t>경남기업(주)</t>
  </si>
  <si>
    <t>BAK-12 설치공사 05월 06월 기성청구</t>
  </si>
  <si>
    <t>성광건설산업(주)</t>
  </si>
  <si>
    <t>(주)천안케이블네트웍</t>
  </si>
  <si>
    <t>주식회사 윌테크</t>
  </si>
  <si>
    <t>성남시분당구청</t>
  </si>
  <si>
    <t>성은</t>
  </si>
  <si>
    <t>다연이엔지</t>
  </si>
  <si>
    <t>진성이엔지</t>
  </si>
  <si>
    <t>예성마린</t>
  </si>
  <si>
    <t>백두전기(주)</t>
  </si>
  <si>
    <t>달성군청</t>
  </si>
  <si>
    <t>여름이야기</t>
  </si>
  <si>
    <t>에스에이치 정보통신</t>
  </si>
  <si>
    <t>유리넷</t>
  </si>
  <si>
    <t>태평양시스템(주)</t>
  </si>
  <si>
    <t>대림전기</t>
  </si>
  <si>
    <t>티앤제이건설 주식회사</t>
  </si>
  <si>
    <t>(주)한독전력</t>
  </si>
  <si>
    <t>주식회사 고운전기</t>
  </si>
  <si>
    <t>주식회사 태현전력</t>
  </si>
  <si>
    <t>김응관</t>
  </si>
  <si>
    <t>대구98사 1272</t>
  </si>
  <si>
    <t>나현전기</t>
  </si>
  <si>
    <t>주식회사이노탑</t>
  </si>
  <si>
    <t>성림정보통신</t>
  </si>
  <si>
    <t>참 통신기술</t>
  </si>
  <si>
    <t>광주제2순환도로(주)</t>
  </si>
  <si>
    <t>(주)다함정보통신</t>
  </si>
  <si>
    <t>유정통신</t>
  </si>
  <si>
    <t>엠테크</t>
  </si>
  <si>
    <t>주식회사 가나전력</t>
  </si>
  <si>
    <t>좋은광고협동조합</t>
  </si>
  <si>
    <t>대성마린</t>
  </si>
  <si>
    <t>주식회사 디에이치전력</t>
  </si>
  <si>
    <t>주식회사 케이엠전설</t>
  </si>
  <si>
    <t>제우통신</t>
  </si>
  <si>
    <t>주식회사 씨앤엘네트웍스</t>
  </si>
  <si>
    <t>천광 통신</t>
  </si>
  <si>
    <t>서경이엔씨(주)</t>
  </si>
  <si>
    <t>거제시청</t>
  </si>
  <si>
    <t>(주)이넷시스</t>
  </si>
  <si>
    <t>Jin Two 시스템</t>
  </si>
  <si>
    <t>일신정보통신</t>
  </si>
  <si>
    <t>국제활선</t>
  </si>
  <si>
    <t>주식회사 이원</t>
  </si>
  <si>
    <t>한영전기주식회사</t>
  </si>
  <si>
    <t>계룡전기활선</t>
  </si>
  <si>
    <t>케이(K)통신</t>
  </si>
  <si>
    <t>서부쌀상회</t>
  </si>
  <si>
    <t>부강통신</t>
  </si>
  <si>
    <t>주식회사 진양운수</t>
  </si>
  <si>
    <t>(주)한미엔텍</t>
  </si>
  <si>
    <t>대우컴퓨터</t>
  </si>
  <si>
    <t>경일중기</t>
  </si>
  <si>
    <t>유진활선</t>
  </si>
  <si>
    <t>코스모 정보통신</t>
  </si>
  <si>
    <t>(주)황실타이어</t>
  </si>
  <si>
    <t>한양전기 주식회사</t>
  </si>
  <si>
    <t>디앤수</t>
  </si>
  <si>
    <t>(주)중앙통신건설</t>
  </si>
  <si>
    <t>김해전기</t>
  </si>
  <si>
    <t>우주통신</t>
  </si>
  <si>
    <t>제주특별자치도 서귀포시</t>
  </si>
  <si>
    <t>BAK-12 설치공사 07월 기성청구-오산비행장</t>
  </si>
  <si>
    <t>정귀연</t>
  </si>
  <si>
    <t>해양마린</t>
  </si>
  <si>
    <t>지형정보통신</t>
  </si>
  <si>
    <t>신명엔지니어링(주)</t>
  </si>
  <si>
    <t>주식회사 조은전력</t>
  </si>
  <si>
    <t>대길통신</t>
  </si>
  <si>
    <t>주식회사 범우</t>
  </si>
  <si>
    <t>주식회사 영양수</t>
  </si>
  <si>
    <t>성진마린</t>
  </si>
  <si>
    <t>동진통신(주)</t>
  </si>
  <si>
    <t>유지텔레컴 주식회사</t>
  </si>
  <si>
    <t>포어텍</t>
  </si>
  <si>
    <t>(주)바이텍코리아</t>
  </si>
  <si>
    <t>대림전설 주식회사</t>
  </si>
  <si>
    <t>덕산통신</t>
  </si>
  <si>
    <t>롯데오토리스(주)</t>
  </si>
  <si>
    <t>군위활선</t>
  </si>
  <si>
    <t>SK네트웍스(주)</t>
  </si>
  <si>
    <t>타이어월드(주)</t>
  </si>
  <si>
    <t>(유)삼일통신</t>
  </si>
  <si>
    <t>대한네트웍스</t>
  </si>
  <si>
    <t>창대활선</t>
  </si>
  <si>
    <t>(유)가나통신</t>
  </si>
  <si>
    <t>주식회사 한올통신</t>
  </si>
  <si>
    <t>대성중기</t>
  </si>
  <si>
    <t>밀알통신</t>
  </si>
  <si>
    <t>(주)강원디지털네트웍스</t>
  </si>
  <si>
    <t>서암전설 주식회사</t>
  </si>
  <si>
    <t>주식회사 나라</t>
  </si>
  <si>
    <t>(주)상보전력</t>
  </si>
  <si>
    <t>주식회사 도암엔지니어링</t>
  </si>
  <si>
    <t>오향란</t>
  </si>
  <si>
    <t>(주)원더정보</t>
  </si>
  <si>
    <t>신흥전력주식회사</t>
  </si>
  <si>
    <t>신우티피에스 주식회사</t>
  </si>
  <si>
    <t>청도군청</t>
  </si>
  <si>
    <t>(유)딕스</t>
  </si>
  <si>
    <t>(주)경남네트워크</t>
  </si>
  <si>
    <t>(주)에드원텔레콤</t>
  </si>
  <si>
    <t>유니온</t>
  </si>
  <si>
    <t>(유)오성통신</t>
  </si>
  <si>
    <t>태양전력</t>
  </si>
  <si>
    <t>정진건설</t>
  </si>
  <si>
    <t>부산연제구청</t>
  </si>
  <si>
    <t>기수이엔지</t>
  </si>
  <si>
    <t>주식회사 동국산업</t>
  </si>
  <si>
    <t>청솔전기</t>
  </si>
  <si>
    <t>송림활선</t>
  </si>
  <si>
    <t>성보건설(주)</t>
  </si>
  <si>
    <t>광명전기(주)</t>
  </si>
  <si>
    <t>미래전기통신 주식회사</t>
  </si>
  <si>
    <t>이레정보통신</t>
  </si>
  <si>
    <t>(유)황우엔지니어링</t>
  </si>
  <si>
    <t>제일광고기획</t>
  </si>
  <si>
    <t>지문활선</t>
  </si>
  <si>
    <t>예종활선</t>
  </si>
  <si>
    <t>대명중기</t>
  </si>
  <si>
    <t>(주)대한</t>
  </si>
  <si>
    <t>BAK-12 설치공사 08월 기성청구-오산비행장</t>
  </si>
  <si>
    <t>(주)광운정보</t>
  </si>
  <si>
    <t>성창통신 주식회사</t>
  </si>
  <si>
    <t>K2 네트워크</t>
  </si>
  <si>
    <t>대한정보통신(주)</t>
  </si>
  <si>
    <t>(주)씨앤앰 송파케이블티브이</t>
  </si>
  <si>
    <t>(주)씨앤앰서초케이블티브이</t>
  </si>
  <si>
    <t>(주)씨앤앰구로금천케이블티브이</t>
  </si>
  <si>
    <t>(주)씨앤앰경기케이블티브이</t>
  </si>
  <si>
    <t>(주)씨앤앰경동케이블티브이</t>
  </si>
  <si>
    <t>(주)씨앤앰경기동부케이블티브이</t>
  </si>
  <si>
    <t>장성군청</t>
  </si>
  <si>
    <t>(주)씨앤앰 서초케이블티브이</t>
  </si>
  <si>
    <t>천하정보</t>
  </si>
  <si>
    <t>동남전기통신(주)</t>
  </si>
  <si>
    <t>현 컴퍼니</t>
  </si>
  <si>
    <t>명원통신</t>
  </si>
  <si>
    <t>오양ENG</t>
  </si>
  <si>
    <t>신용수</t>
  </si>
  <si>
    <t>오정우</t>
  </si>
  <si>
    <t>라인광고</t>
  </si>
  <si>
    <t>(주)삼진종합전기</t>
  </si>
  <si>
    <t>제주용마린</t>
  </si>
  <si>
    <t>해창ENG</t>
  </si>
  <si>
    <t>디앤엘아이티씨</t>
  </si>
  <si>
    <t>미성전기통신</t>
  </si>
  <si>
    <t>경주천년콜크레인</t>
  </si>
  <si>
    <t>유한회사 유성통신건설</t>
  </si>
  <si>
    <t>(유)제이케이건설</t>
  </si>
  <si>
    <t>서림건설 주식회사</t>
  </si>
  <si>
    <t>주식회사 백두전력</t>
  </si>
  <si>
    <t>주식회사 광덕기업</t>
  </si>
  <si>
    <t>에스에이치(S.H)파워넷</t>
  </si>
  <si>
    <t>주식회사 창성기술</t>
  </si>
  <si>
    <t>영현E＆I</t>
  </si>
  <si>
    <t>주식회사 월천</t>
  </si>
  <si>
    <t>제이씨비젼네트워크(주)</t>
  </si>
  <si>
    <t>BAK-12 설치공사 09월 기성청구-오산비행장</t>
  </si>
  <si>
    <t>대광통신</t>
  </si>
  <si>
    <t>임정근</t>
  </si>
  <si>
    <t>(주)아이마켓코리아</t>
  </si>
  <si>
    <t>임철</t>
  </si>
  <si>
    <t>S.S통신</t>
  </si>
  <si>
    <t>금천씨스템(주)</t>
  </si>
  <si>
    <t>주식회사 제이에스전력</t>
  </si>
  <si>
    <t>경인산업</t>
  </si>
  <si>
    <t>자청비료</t>
  </si>
  <si>
    <t>AD물류</t>
  </si>
  <si>
    <t>주식회사 타키온</t>
  </si>
  <si>
    <t>(주)중앙개발</t>
  </si>
  <si>
    <t>주식회사 디지탈라인</t>
  </si>
  <si>
    <t>삼산전기(주)</t>
  </si>
  <si>
    <t>서울시상수도사업본부</t>
  </si>
  <si>
    <t>피엠텍주식회사</t>
  </si>
  <si>
    <t>대경일레콤(주)</t>
  </si>
  <si>
    <t>아이엘전기</t>
  </si>
  <si>
    <t>해군군수사령부</t>
  </si>
  <si>
    <t>동명유압중기공업사</t>
  </si>
  <si>
    <t>주식회사 동명이엔씨</t>
  </si>
  <si>
    <t>신산건설기계</t>
  </si>
  <si>
    <t>수원광통신</t>
  </si>
  <si>
    <t>거광이엔티</t>
  </si>
  <si>
    <t>대산씨엔지 주식회사</t>
  </si>
  <si>
    <t>(주)패스테크</t>
  </si>
  <si>
    <t>이정정보통신</t>
  </si>
  <si>
    <t>밀양시산림조합</t>
  </si>
  <si>
    <t>주식회사 지엔티</t>
  </si>
  <si>
    <t>이희영</t>
  </si>
  <si>
    <t>(주)광명네트워크</t>
  </si>
  <si>
    <t>호성건설(주)</t>
  </si>
  <si>
    <t>(주)한일전기</t>
  </si>
  <si>
    <t>주식회사 대원산기</t>
  </si>
  <si>
    <t>주식회사 해림</t>
  </si>
  <si>
    <t>주식회사 포유</t>
  </si>
  <si>
    <t>제이제이통신</t>
  </si>
  <si>
    <t>쎈스통신</t>
  </si>
  <si>
    <t>대전사</t>
  </si>
  <si>
    <t>대광기전</t>
  </si>
  <si>
    <t>제일활선</t>
  </si>
  <si>
    <t>KS정보통신</t>
  </si>
  <si>
    <t>천창봉</t>
  </si>
  <si>
    <t>(주)센텍</t>
  </si>
  <si>
    <t>박명숙</t>
  </si>
  <si>
    <t>주식회사 중앙이앤씨</t>
  </si>
  <si>
    <t>(주)은성전기</t>
  </si>
  <si>
    <t>(주)미래환경</t>
  </si>
  <si>
    <t>동방신에너지 주식회사</t>
  </si>
  <si>
    <t>우영정보통신 주식회사</t>
  </si>
  <si>
    <t>엘케이정보통신(LK정보통신)</t>
  </si>
  <si>
    <t>은소전력</t>
  </si>
  <si>
    <t>주식회사 금호</t>
  </si>
  <si>
    <t>규민화물</t>
  </si>
  <si>
    <t>가온누리</t>
  </si>
  <si>
    <t>BAK-12 설치공사 10월 기성청구-오산비행장</t>
  </si>
  <si>
    <t>미래산업전기</t>
  </si>
  <si>
    <t>신흥산업전기</t>
  </si>
  <si>
    <t>주식회사 한울전기</t>
  </si>
  <si>
    <t>비젼넷 주식회사</t>
  </si>
  <si>
    <t>마이포스넷</t>
  </si>
  <si>
    <t>(주)오션네트웍스</t>
  </si>
  <si>
    <t>신아주통신</t>
  </si>
  <si>
    <t>(주)건영정보통신</t>
  </si>
  <si>
    <t>엠엔에이치정보통신</t>
  </si>
  <si>
    <t>세진네트워크</t>
  </si>
  <si>
    <t>신진통신</t>
  </si>
  <si>
    <t>원앤원정보통신</t>
  </si>
  <si>
    <t>주식회사 네트로</t>
  </si>
  <si>
    <t>한주통신(주)</t>
  </si>
  <si>
    <t>고은정보건설</t>
  </si>
  <si>
    <t>한솔미디어</t>
  </si>
  <si>
    <t>주식회사 성진전기</t>
  </si>
  <si>
    <t>주식회사광양테크</t>
  </si>
  <si>
    <t>혜우통신</t>
  </si>
  <si>
    <t>삼영주식회사</t>
  </si>
  <si>
    <t>주식회사 아인텍</t>
  </si>
  <si>
    <t>보림정보통신</t>
  </si>
  <si>
    <t>대성정밀</t>
  </si>
  <si>
    <t>최윤철</t>
  </si>
  <si>
    <t>OPTICAL</t>
  </si>
  <si>
    <t>정원</t>
  </si>
  <si>
    <t>태권도진흥재단</t>
  </si>
  <si>
    <t>주식회사 에스엠엔네트워크</t>
  </si>
  <si>
    <t>우리정보(주)</t>
  </si>
  <si>
    <t>네오(neo)정보통신</t>
  </si>
  <si>
    <t>명인종합가스설비공사</t>
  </si>
  <si>
    <t>동준통신</t>
  </si>
  <si>
    <t>경방전기통신(주)</t>
  </si>
  <si>
    <t>세화통신</t>
  </si>
  <si>
    <t>제이디통신</t>
  </si>
  <si>
    <t>금강전기냉동</t>
  </si>
  <si>
    <t>동일</t>
  </si>
  <si>
    <t>동해특장</t>
  </si>
  <si>
    <t>백진전기</t>
  </si>
  <si>
    <t>(주)진웅텔레콤</t>
  </si>
  <si>
    <t>주식회사 성진전설</t>
  </si>
  <si>
    <t>(주)일흥전력</t>
  </si>
  <si>
    <t>원케이블서비스(주)</t>
  </si>
  <si>
    <t>유원통신</t>
  </si>
  <si>
    <t>(주)원테크</t>
  </si>
  <si>
    <t>현대석재</t>
  </si>
  <si>
    <t>태진전공(주)</t>
  </si>
  <si>
    <t>홍종민</t>
  </si>
  <si>
    <t>주식회사 창우</t>
  </si>
  <si>
    <t>(주)프리텍</t>
  </si>
  <si>
    <t>에스엠(SM)</t>
  </si>
  <si>
    <t>대광전기(주)</t>
  </si>
  <si>
    <t>주식회사 태광전력</t>
  </si>
  <si>
    <t>진성마린</t>
  </si>
  <si>
    <t>(주)에이에스케이블</t>
  </si>
  <si>
    <t>이유미</t>
  </si>
  <si>
    <t>남부전력(주)</t>
  </si>
  <si>
    <t>주식회사 한국차폐시스템</t>
  </si>
  <si>
    <t>용호전설</t>
  </si>
  <si>
    <t>주식회사 한신</t>
  </si>
  <si>
    <t>토목기타</t>
  </si>
  <si>
    <t>영일기계</t>
  </si>
  <si>
    <t>평화전력(주)</t>
  </si>
  <si>
    <t>YB정보통신</t>
  </si>
  <si>
    <t>신화ENG</t>
  </si>
  <si>
    <t>유진네트웍스</t>
  </si>
  <si>
    <t>태원전기(주)</t>
  </si>
  <si>
    <t>대기전기건설공사</t>
  </si>
  <si>
    <t>(주)재광전기</t>
  </si>
  <si>
    <t>삼진전기주식회사</t>
  </si>
  <si>
    <t>박병환</t>
  </si>
  <si>
    <t>대건전기</t>
  </si>
  <si>
    <t>아이호수</t>
  </si>
  <si>
    <t>파운더스</t>
  </si>
  <si>
    <t>한국마린</t>
  </si>
  <si>
    <t>이성우</t>
  </si>
  <si>
    <t>케이피(K.P)통신</t>
  </si>
  <si>
    <t>(주)동신</t>
  </si>
  <si>
    <t>(주)아이씨티</t>
  </si>
  <si>
    <t>진성</t>
  </si>
  <si>
    <t>이춘성</t>
  </si>
  <si>
    <t>수흥산업</t>
  </si>
  <si>
    <t>한선전자통신(주)</t>
  </si>
  <si>
    <t>자올통신솔루션</t>
  </si>
  <si>
    <t>하루정보통신</t>
  </si>
  <si>
    <t>동영건설</t>
  </si>
  <si>
    <t>(주)제이웰</t>
  </si>
  <si>
    <t>동부기업</t>
  </si>
  <si>
    <t>TRI-GLOBE TRANSPORT SERVICES AND TRADING INC</t>
  </si>
  <si>
    <t>(주)신성이엔지</t>
  </si>
  <si>
    <t>하나로 일렉콤</t>
  </si>
  <si>
    <t>지음</t>
  </si>
  <si>
    <t>양양군농업기술센터</t>
  </si>
  <si>
    <t>주식회사 삼성하이텍</t>
  </si>
  <si>
    <t>주식회사 지지케이산업개발</t>
  </si>
  <si>
    <t>주식회사 형제</t>
  </si>
  <si>
    <t>박열</t>
  </si>
  <si>
    <t>SHANGHAI HENGXUN</t>
  </si>
  <si>
    <t>신진유지건설(주)</t>
  </si>
  <si>
    <t>해광건설주식회사</t>
  </si>
  <si>
    <t>태양이엔지</t>
  </si>
  <si>
    <t>한국전기</t>
  </si>
  <si>
    <t>이터널(주)</t>
  </si>
  <si>
    <t>(주)티플러스네트워크</t>
  </si>
  <si>
    <t>엘제이(LJ)통신</t>
  </si>
  <si>
    <t>와이제이통신</t>
  </si>
  <si>
    <t>(주)티에스씨</t>
  </si>
  <si>
    <t>주식회사 기산이앤씨</t>
  </si>
  <si>
    <t>(주)티아이정보통신</t>
  </si>
  <si>
    <t>남양전업사</t>
  </si>
  <si>
    <t>진보</t>
  </si>
  <si>
    <t>동호중기</t>
  </si>
  <si>
    <t>(주)도봉케이블서비스</t>
  </si>
  <si>
    <t>안승영</t>
  </si>
  <si>
    <t>팔구전기공사</t>
  </si>
  <si>
    <t>금남전기전력공사</t>
  </si>
  <si>
    <t>주식회사 동일</t>
  </si>
  <si>
    <t>승아기전</t>
  </si>
  <si>
    <t>금산정보통신</t>
  </si>
  <si>
    <t>(주)이명전기</t>
  </si>
  <si>
    <t>주식회사 윤성전력</t>
  </si>
  <si>
    <t>상지통신</t>
  </si>
  <si>
    <t>다원아이티(주)</t>
  </si>
  <si>
    <t>BAK-12 설치공사 기성청구-오산비행장</t>
  </si>
  <si>
    <t>호암엔지니어링(주)</t>
  </si>
  <si>
    <t>심부섭</t>
  </si>
  <si>
    <t>충주활선</t>
  </si>
  <si>
    <t>HJ통신</t>
  </si>
  <si>
    <t>한성전기</t>
  </si>
  <si>
    <t>현대선외기</t>
  </si>
  <si>
    <t>신온마린</t>
  </si>
  <si>
    <t>YK네트워크</t>
  </si>
  <si>
    <t>(주)KCTV제주방송</t>
  </si>
  <si>
    <t>주식회사케이블웍스</t>
  </si>
  <si>
    <t>주식회사 싸이토피아</t>
  </si>
  <si>
    <t>(자)미광계전</t>
  </si>
  <si>
    <t>선진통신</t>
  </si>
  <si>
    <t>김은곤</t>
  </si>
  <si>
    <t>주안전력(주)</t>
  </si>
  <si>
    <t>에이치케이네트웍스</t>
  </si>
  <si>
    <t>최희근</t>
  </si>
  <si>
    <t>(주)대진전기소방</t>
  </si>
  <si>
    <t>승주화물</t>
  </si>
  <si>
    <t>주식회사 신한이엔씨</t>
  </si>
  <si>
    <t>아이콘네트웍</t>
  </si>
  <si>
    <t>디와이통신</t>
  </si>
  <si>
    <t>애은</t>
  </si>
  <si>
    <t>주식회사 다온인테크</t>
  </si>
  <si>
    <t>성원전기공사</t>
  </si>
  <si>
    <t>피씨통신</t>
  </si>
  <si>
    <t>조아전자(주)</t>
  </si>
  <si>
    <t>재영네트웍스</t>
  </si>
  <si>
    <t>창기네트웍스</t>
  </si>
  <si>
    <t>유앤아이네트웍</t>
  </si>
  <si>
    <t>유빈통신</t>
  </si>
  <si>
    <t>강인주</t>
  </si>
  <si>
    <t>동해활선</t>
  </si>
  <si>
    <t>목포청용마린</t>
  </si>
  <si>
    <t>주식회사 메카넷</t>
  </si>
  <si>
    <t>트윈이엔씨</t>
  </si>
  <si>
    <t>JH통신</t>
  </si>
  <si>
    <t>윤종태</t>
  </si>
  <si>
    <t>주식회사 진성</t>
  </si>
  <si>
    <t>(주)신호</t>
  </si>
  <si>
    <t>구미활선(개별화물)</t>
  </si>
  <si>
    <t>태양전력(유)</t>
  </si>
  <si>
    <t>명진전력</t>
  </si>
  <si>
    <t>(주)씨큐넷</t>
  </si>
  <si>
    <t>제이 정보통신</t>
  </si>
  <si>
    <t>보고정보통신(주)</t>
  </si>
  <si>
    <t>(유)세광전기신호공사</t>
  </si>
  <si>
    <t>지수건설</t>
  </si>
  <si>
    <t>(유)은혜전기</t>
  </si>
  <si>
    <t>삼성마린레져</t>
  </si>
  <si>
    <t>김포도시공사</t>
  </si>
  <si>
    <t>(주)예성이앤씨</t>
  </si>
  <si>
    <t>지도통신</t>
  </si>
  <si>
    <t>EVE MAQUINARIA SA DE CV</t>
  </si>
  <si>
    <t>팔영통신</t>
  </si>
  <si>
    <t>앰에스(MS)네트워크</t>
  </si>
  <si>
    <t>연수네트워크</t>
  </si>
  <si>
    <t>창신정보통신(주)</t>
  </si>
  <si>
    <t>스마트인포 주식회사</t>
  </si>
  <si>
    <t>천호정보통신</t>
  </si>
  <si>
    <t>한우리정보통신</t>
  </si>
  <si>
    <t>주식회사 나노정보통신</t>
  </si>
  <si>
    <t>일호수중개발</t>
  </si>
  <si>
    <t>BAK-14 장비실 개선공사</t>
  </si>
  <si>
    <t>제3훈련비행단</t>
  </si>
  <si>
    <t>(주)한국호이스트</t>
  </si>
  <si>
    <t>진형준</t>
  </si>
  <si>
    <t>(주)E1</t>
  </si>
  <si>
    <t>창성통신</t>
  </si>
  <si>
    <t>제일네트웍스</t>
  </si>
  <si>
    <t>주식회사 일신전기</t>
  </si>
  <si>
    <t>일광전설(주)</t>
  </si>
  <si>
    <t>두원건설(주)</t>
  </si>
  <si>
    <t>주식회사 가나</t>
  </si>
  <si>
    <t>주식회사 무창전력</t>
  </si>
  <si>
    <t>현대모터</t>
  </si>
  <si>
    <t>주식회사 우정넷</t>
  </si>
  <si>
    <t>이철용</t>
  </si>
  <si>
    <t>경안정보기술(주)</t>
  </si>
  <si>
    <t>정동정보통신</t>
  </si>
  <si>
    <t>엘피제이(LPJ)정보통신</t>
  </si>
  <si>
    <t>주식회사 하이패스텔</t>
  </si>
  <si>
    <t>티앤피</t>
  </si>
  <si>
    <t>엄지타이어</t>
  </si>
  <si>
    <t>KT DHS 950L 이전설치건</t>
  </si>
  <si>
    <t>(주)대영네트웍</t>
  </si>
  <si>
    <t>주식회사 대명전력</t>
  </si>
  <si>
    <t>기업양승호</t>
  </si>
  <si>
    <t>대종통신건설(주)</t>
  </si>
  <si>
    <t>중부네트웍스(주)</t>
  </si>
  <si>
    <t>골드텔레콤</t>
  </si>
  <si>
    <t>(주)서흥전설</t>
  </si>
  <si>
    <t>에스제이 네트워크</t>
  </si>
  <si>
    <t>제이케이 네트워크(JK network)</t>
  </si>
  <si>
    <t>주식회사 화영전설</t>
  </si>
  <si>
    <t>(주)세진</t>
  </si>
  <si>
    <t>(주)원전건설</t>
  </si>
  <si>
    <t>주식회사 엠제이전력</t>
  </si>
  <si>
    <t>주식회사에쓰앤씨</t>
  </si>
  <si>
    <t>대산호이스트</t>
  </si>
  <si>
    <t>광성통신</t>
  </si>
  <si>
    <t>늘솜정보통신</t>
  </si>
  <si>
    <t>효성이엔지</t>
  </si>
  <si>
    <t>(주)다인정보통신</t>
  </si>
  <si>
    <t>(주)한백통신</t>
  </si>
  <si>
    <t>수정중기</t>
  </si>
  <si>
    <t>진 텔콤</t>
  </si>
  <si>
    <t>형제엔지니어링</t>
  </si>
  <si>
    <t>(주)신성글로벌네트워크</t>
  </si>
  <si>
    <t>온리원네트웍스</t>
  </si>
  <si>
    <t>주식회사 삼주전자</t>
  </si>
  <si>
    <t>유병용</t>
  </si>
  <si>
    <t>한국전기산업주식회사</t>
  </si>
  <si>
    <t>(주)지앤에스기술</t>
  </si>
  <si>
    <t>부국전력공사</t>
  </si>
  <si>
    <t>스피드통신</t>
  </si>
  <si>
    <t>(주)에이치케이전력</t>
  </si>
  <si>
    <t>(주)한성</t>
  </si>
  <si>
    <t>성진케이블</t>
  </si>
  <si>
    <t>동숙통신</t>
  </si>
  <si>
    <t>우영활선</t>
  </si>
  <si>
    <t>주식회사 성실전기</t>
  </si>
  <si>
    <t>최순희</t>
  </si>
  <si>
    <t>유일전기(주)</t>
  </si>
  <si>
    <t>(주)한성이앤씨</t>
  </si>
  <si>
    <t>비더블류</t>
  </si>
  <si>
    <t>(주)씨앤앰노원케이블티브이</t>
  </si>
  <si>
    <t>(주)씨앤앰 서서울케이블티브이</t>
  </si>
  <si>
    <t>(주)에스오에이텔레콤</t>
  </si>
  <si>
    <t>(주)한일공업</t>
  </si>
  <si>
    <t>주식회사 대명파워텍</t>
  </si>
  <si>
    <t>일동종합전기</t>
  </si>
  <si>
    <t>주식회사 기가아이앤티</t>
  </si>
  <si>
    <t>충청통신(자)</t>
  </si>
  <si>
    <t>크린애드</t>
  </si>
  <si>
    <t>성진전기</t>
  </si>
  <si>
    <t>(주)대명전기</t>
  </si>
  <si>
    <t>태웅전기</t>
  </si>
  <si>
    <t>김원현</t>
  </si>
  <si>
    <t>(자)장안전기</t>
  </si>
  <si>
    <t>주식회사 녹양전력</t>
  </si>
  <si>
    <t>(주)국제광엔지니어링</t>
  </si>
  <si>
    <t>(주)기가네트워크</t>
  </si>
  <si>
    <t>글로벌활선</t>
  </si>
  <si>
    <t>영성활선</t>
  </si>
  <si>
    <t>윈스로드(주)</t>
  </si>
  <si>
    <t>주식회사 와이케이정보통신</t>
  </si>
  <si>
    <t>금천전기</t>
  </si>
  <si>
    <t>(주)우주텔레콤</t>
  </si>
  <si>
    <t>대양엔바이오(주)</t>
  </si>
  <si>
    <t>(주)에스엠케이정보통신</t>
  </si>
  <si>
    <t>에이전시중기</t>
  </si>
  <si>
    <t>에스제이(서주)정보통신</t>
  </si>
  <si>
    <t>주식회사 호덕아이앤씨</t>
  </si>
  <si>
    <t>주식회사 부강</t>
  </si>
  <si>
    <t>성진선외기</t>
  </si>
  <si>
    <t>정성전기</t>
  </si>
  <si>
    <t>명진ENG</t>
  </si>
  <si>
    <t>대우라지에타</t>
  </si>
  <si>
    <t>원진넷</t>
  </si>
  <si>
    <t>민승</t>
  </si>
  <si>
    <t>(주)국제산업개발</t>
  </si>
  <si>
    <t>울산종합건설기계정비(주)</t>
  </si>
  <si>
    <t>원광정보통신</t>
  </si>
  <si>
    <t>유한회사 다다이엔지</t>
  </si>
  <si>
    <t>주식회사 미래이파워</t>
  </si>
  <si>
    <t>영남특장</t>
  </si>
  <si>
    <t>HM통신</t>
  </si>
  <si>
    <t>천우건설</t>
  </si>
  <si>
    <t>조용설</t>
  </si>
  <si>
    <t>(주)씨아이피</t>
  </si>
  <si>
    <t>J광통신</t>
  </si>
  <si>
    <t>부산환경공단 강변사업소</t>
  </si>
  <si>
    <t>엠지제이(MGJ)통신</t>
  </si>
  <si>
    <t>SH광통신</t>
  </si>
  <si>
    <t>수정보통신</t>
  </si>
  <si>
    <t>(주)광진</t>
  </si>
  <si>
    <t>대신네트웍스 주식회사</t>
  </si>
  <si>
    <t>AL CHAM INDUSTRIAL ＆ TRADING CO</t>
  </si>
  <si>
    <t>창흥상사</t>
  </si>
  <si>
    <t>제이에스</t>
  </si>
  <si>
    <t>우리넷</t>
  </si>
  <si>
    <t>(주)파워텔레콤</t>
  </si>
  <si>
    <t>(유)대원운수</t>
  </si>
  <si>
    <t>혜성활선</t>
  </si>
  <si>
    <t>해양레저마린</t>
  </si>
  <si>
    <t>현성활선</t>
  </si>
  <si>
    <t>동부활선</t>
  </si>
  <si>
    <t>에이원산업</t>
  </si>
  <si>
    <t>주식회사 에스제이네트웍스</t>
  </si>
  <si>
    <t>SYKT</t>
  </si>
  <si>
    <t>유현통신</t>
  </si>
  <si>
    <t>포마린</t>
  </si>
  <si>
    <t>성인전업사</t>
  </si>
  <si>
    <t>천둥 ENG</t>
  </si>
  <si>
    <t>(주)신아전설</t>
  </si>
  <si>
    <t>(주)수화텔</t>
  </si>
  <si>
    <t>현대파워텍(주)</t>
  </si>
  <si>
    <t>광성전력</t>
  </si>
  <si>
    <t>민준통신</t>
  </si>
  <si>
    <t>매직파워종합광고</t>
  </si>
  <si>
    <t>보타리에너지(주)</t>
  </si>
  <si>
    <t>매직스카이</t>
  </si>
  <si>
    <t>거스토</t>
  </si>
  <si>
    <t>(주)컴피아</t>
  </si>
  <si>
    <t>진우통신</t>
  </si>
  <si>
    <t>소율정보통신</t>
  </si>
  <si>
    <t>희망전기조명</t>
  </si>
  <si>
    <t>한서전기(주)</t>
  </si>
  <si>
    <t>(주)코어넷</t>
  </si>
  <si>
    <t>홍진통신</t>
  </si>
  <si>
    <t>수도권서부고속도로(주)</t>
  </si>
  <si>
    <t>(주)동호선박</t>
  </si>
  <si>
    <t>정선종합상사</t>
  </si>
  <si>
    <t>거성전력 주식회사</t>
  </si>
  <si>
    <t>남양이앤씨</t>
  </si>
  <si>
    <t>(주)월드이엔씨</t>
  </si>
  <si>
    <t>(주)에스앤비라이팅</t>
  </si>
  <si>
    <t>신호정보통신</t>
  </si>
  <si>
    <t>제일타이어</t>
  </si>
  <si>
    <t>인천광역시 부평구 시설관리공단</t>
  </si>
  <si>
    <t>주식회사 창조전기</t>
  </si>
  <si>
    <t>성운ENG</t>
  </si>
  <si>
    <t>세계로 일렉트릭</t>
  </si>
  <si>
    <t>(주)영남전기소방</t>
  </si>
  <si>
    <t>서빈전기(주)</t>
  </si>
  <si>
    <t>(주)신우테크</t>
  </si>
  <si>
    <t>국제스카이</t>
  </si>
  <si>
    <t>란 정보통신</t>
  </si>
  <si>
    <t>(주)대동계전</t>
  </si>
  <si>
    <t>부영전업사</t>
  </si>
  <si>
    <t>(주)세화전자</t>
  </si>
  <si>
    <t>은혜축산기기</t>
  </si>
  <si>
    <t>성민전력</t>
  </si>
  <si>
    <t>김종식</t>
  </si>
  <si>
    <t>도영정보통신</t>
  </si>
  <si>
    <t>대동활선</t>
  </si>
  <si>
    <t>창원시 성산구청</t>
  </si>
  <si>
    <t>홍익운수</t>
  </si>
  <si>
    <t>YOUNG 네트워크</t>
  </si>
  <si>
    <t>대성전력</t>
  </si>
  <si>
    <t>주식회사 세명전력</t>
  </si>
  <si>
    <t>남도운수</t>
  </si>
  <si>
    <t>아성전기주식회사</t>
  </si>
  <si>
    <t>무지개전력</t>
  </si>
  <si>
    <t>경수고속도로(주)</t>
  </si>
  <si>
    <t>주식회사 재광전력</t>
  </si>
  <si>
    <t>A-Sung infocom</t>
  </si>
  <si>
    <t>성휘통신</t>
  </si>
  <si>
    <t>반도호이스트</t>
  </si>
  <si>
    <t>(주)아이온이엔지</t>
  </si>
  <si>
    <t>JT ENC</t>
  </si>
  <si>
    <t>태성텔레콤주식회사</t>
  </si>
  <si>
    <t>재건정보통신</t>
  </si>
  <si>
    <t>경부통신</t>
  </si>
  <si>
    <t>미성엔지니어링</t>
  </si>
  <si>
    <t>(주)성신</t>
  </si>
  <si>
    <t>제이엠통신</t>
  </si>
  <si>
    <t>영인활선</t>
  </si>
  <si>
    <t>부안선외기상사</t>
  </si>
  <si>
    <t>창원시 진해구청</t>
  </si>
  <si>
    <t>(주)남경운수</t>
  </si>
  <si>
    <t>우양이엔지(주)</t>
  </si>
  <si>
    <t>금영활선</t>
  </si>
  <si>
    <t>주식회사 성진마린</t>
  </si>
  <si>
    <t>강릉시청</t>
  </si>
  <si>
    <t>(주)이산텔레콤</t>
  </si>
  <si>
    <t>신길정보통신</t>
  </si>
  <si>
    <t>우리미래</t>
  </si>
  <si>
    <t>한성마린선외기</t>
  </si>
  <si>
    <t>완주군청</t>
  </si>
  <si>
    <t>한울전기통신(주)</t>
  </si>
  <si>
    <t>클린로드피아</t>
  </si>
  <si>
    <t>사천시청</t>
  </si>
  <si>
    <t>호복통신</t>
  </si>
  <si>
    <t>주식회사국일</t>
  </si>
  <si>
    <t>(주)대경산전</t>
  </si>
  <si>
    <t>에스씨(SC)중공업</t>
  </si>
  <si>
    <t>동아전기</t>
  </si>
  <si>
    <t>영덕군 상하수도사업소</t>
  </si>
  <si>
    <t>파워콤</t>
  </si>
  <si>
    <t>제이에스통신건설 주식회사</t>
  </si>
  <si>
    <t>일렉타임</t>
  </si>
  <si>
    <t>(주)성일기업</t>
  </si>
  <si>
    <t>안산시상록구청</t>
  </si>
  <si>
    <t>무주군청</t>
  </si>
  <si>
    <t>제이앤씨</t>
  </si>
  <si>
    <t>주식회사 디오디</t>
  </si>
  <si>
    <t>주식회사 에스이티</t>
  </si>
  <si>
    <t>주식회사 태영정보</t>
  </si>
  <si>
    <t>(주)광영이엠씨</t>
  </si>
  <si>
    <t>(주) 우성테크</t>
  </si>
  <si>
    <t>주식회사 충일전력</t>
  </si>
  <si>
    <t>(주)영현전기</t>
  </si>
  <si>
    <t>wear pad외-해미비행장</t>
  </si>
  <si>
    <t>(주)태산씨엠건설</t>
  </si>
  <si>
    <t>금천구청</t>
  </si>
  <si>
    <t>(유)대승네트웍스</t>
  </si>
  <si>
    <t>진흥전력</t>
  </si>
  <si>
    <t>광명전업사</t>
  </si>
  <si>
    <t>새한전자</t>
  </si>
  <si>
    <t>건길통신주식회사</t>
  </si>
  <si>
    <t>주식회사 혜성정보통신</t>
  </si>
  <si>
    <t>에이치씨텔레콤(HCTELECOM)</t>
  </si>
  <si>
    <t>은비통신공사</t>
  </si>
  <si>
    <t>아이정보통신</t>
  </si>
  <si>
    <t>(자)신기이엔씨</t>
  </si>
  <si>
    <t>광명통신</t>
  </si>
  <si>
    <t>윤이콤</t>
  </si>
  <si>
    <t>보배활선</t>
  </si>
  <si>
    <t>대명오피콤</t>
  </si>
  <si>
    <t>칠갑전기</t>
  </si>
  <si>
    <t>명성통신</t>
  </si>
  <si>
    <t>은하수</t>
  </si>
  <si>
    <t>원진선외기</t>
  </si>
  <si>
    <t>북부활선</t>
  </si>
  <si>
    <t>가나시스템</t>
  </si>
  <si>
    <t>성창활선</t>
  </si>
  <si>
    <t>(주)지오텍코리아</t>
  </si>
  <si>
    <t>(주)에이치에스정보통신</t>
  </si>
  <si>
    <t>신안군청</t>
  </si>
  <si>
    <t>인천광역시시설관리공단</t>
  </si>
  <si>
    <t>신흥통상</t>
  </si>
  <si>
    <t>현이통신</t>
  </si>
  <si>
    <t>주식회사 와이케이엠</t>
  </si>
  <si>
    <t>강호통신</t>
  </si>
  <si>
    <t>성일활선</t>
  </si>
  <si>
    <t>우수정보통신</t>
  </si>
  <si>
    <t>양재카</t>
  </si>
  <si>
    <t>이철진</t>
  </si>
  <si>
    <t>신혜정보통신</t>
  </si>
  <si>
    <t>세진ENC</t>
  </si>
  <si>
    <t>신용활선</t>
  </si>
  <si>
    <t>주식회사 푸른정보기술</t>
  </si>
  <si>
    <t>주식회사 디앤씨씨</t>
  </si>
  <si>
    <t>주식회사 블루오앤엠</t>
  </si>
  <si>
    <t>부산광역시 중구청</t>
  </si>
  <si>
    <t>세븐마린</t>
  </si>
  <si>
    <t>마린웍스코리아</t>
  </si>
  <si>
    <t>예천군청</t>
  </si>
  <si>
    <t>임실군청</t>
  </si>
  <si>
    <t>(주)세종통신</t>
  </si>
  <si>
    <t>남원활선</t>
  </si>
  <si>
    <t>경원상사</t>
  </si>
  <si>
    <t>(주)아이에스앤로드테크</t>
  </si>
  <si>
    <t>심우계전</t>
  </si>
  <si>
    <t>서진코리아</t>
  </si>
  <si>
    <t>아세아펌프제어</t>
  </si>
  <si>
    <t>(주)신성정보통신</t>
  </si>
  <si>
    <t>제이엔에스(JNS)</t>
  </si>
  <si>
    <t>재연전기</t>
  </si>
  <si>
    <t>주식회사 영도정보통신</t>
  </si>
  <si>
    <t>(주)가인전력</t>
  </si>
  <si>
    <t>전병존</t>
  </si>
  <si>
    <t>성용호</t>
  </si>
  <si>
    <t>타이어프로동두천지행역점</t>
  </si>
  <si>
    <t>성동구청</t>
  </si>
  <si>
    <t>경남전기</t>
  </si>
  <si>
    <t>한주통신</t>
  </si>
  <si>
    <t>인스산업개발주식회사</t>
  </si>
  <si>
    <t>선진안전(주)</t>
  </si>
  <si>
    <t>(유)대성전력</t>
  </si>
  <si>
    <t>정우통신</t>
  </si>
  <si>
    <t>한별통신</t>
  </si>
  <si>
    <t>동성통신</t>
  </si>
  <si>
    <t>임강정보통신</t>
  </si>
  <si>
    <t>경동활선</t>
  </si>
  <si>
    <t>경안종합중장비공업사</t>
  </si>
  <si>
    <t>(주)호남통신</t>
  </si>
  <si>
    <t>윤학원</t>
  </si>
  <si>
    <t>우진전업(주)</t>
  </si>
  <si>
    <t>(주)태영이엔씨</t>
  </si>
  <si>
    <t>미르텍 주식회사</t>
  </si>
  <si>
    <t>신아</t>
  </si>
  <si>
    <t>(유)강남전기</t>
  </si>
  <si>
    <t>풀빛네트웍</t>
  </si>
  <si>
    <t>(주)시티컴</t>
  </si>
  <si>
    <t>태풍타이어</t>
  </si>
  <si>
    <t>한국호이스트</t>
  </si>
  <si>
    <t>해성파워텍</t>
  </si>
  <si>
    <t>제일전기공사</t>
  </si>
  <si>
    <t>에이스건설기계매매상사</t>
  </si>
  <si>
    <t>대성통운(주)</t>
  </si>
  <si>
    <t>영림활선</t>
  </si>
  <si>
    <t>KJ해양마린</t>
  </si>
  <si>
    <t>세종하이텍주식회사</t>
  </si>
  <si>
    <t>호남중기</t>
  </si>
  <si>
    <t>주식회사 비츠로</t>
  </si>
  <si>
    <t>서울특별시중구청</t>
  </si>
  <si>
    <t>LG펌프상사</t>
  </si>
  <si>
    <t>주식회사 서광종합건설</t>
  </si>
  <si>
    <t>주식회사 남해이엔지</t>
  </si>
  <si>
    <t>(주)세명전기</t>
  </si>
  <si>
    <t>(주)복음전기</t>
  </si>
  <si>
    <t>부산광역시서구청</t>
  </si>
  <si>
    <t>정명철</t>
  </si>
  <si>
    <t>해성</t>
  </si>
  <si>
    <t>광원통신</t>
  </si>
  <si>
    <t>정(JOUNG)</t>
  </si>
  <si>
    <t>JS정보통신</t>
  </si>
  <si>
    <t>(주)동해정보통신</t>
  </si>
  <si>
    <t>대진정보통신 주식회사</t>
  </si>
  <si>
    <t>강북구청</t>
  </si>
  <si>
    <t>안동시청</t>
  </si>
  <si>
    <t>(주)삼흥일렉트릭</t>
  </si>
  <si>
    <t>보광통신</t>
  </si>
  <si>
    <t>로아정보통신</t>
  </si>
  <si>
    <t>재재통신</t>
  </si>
  <si>
    <t>(주)에스제이네트웍스</t>
  </si>
  <si>
    <t>진성종합건설 주식회사</t>
  </si>
  <si>
    <t>두산인프라코어-봉고Ⅲ 정비특장차 AVM 등 안전사양 14대</t>
  </si>
  <si>
    <t>두산인프라코어-봉고Ⅲ 4WD 크레인차 AVM, 전방센서, 측후방센서 등 2대</t>
  </si>
  <si>
    <t>대월정보통신</t>
  </si>
  <si>
    <t>성남시푸른도시사업소</t>
  </si>
  <si>
    <t>조일전기이엔지</t>
  </si>
  <si>
    <t>제이케이정보통신</t>
  </si>
  <si>
    <t>봉덕활선</t>
  </si>
  <si>
    <t>주식회사 해성조선소</t>
  </si>
  <si>
    <t>주식회사 본</t>
  </si>
  <si>
    <t>주식회사 비젼</t>
  </si>
  <si>
    <t>삼호전기</t>
  </si>
  <si>
    <t>주식회사 창조전력</t>
  </si>
  <si>
    <t>풍일호이스트</t>
  </si>
  <si>
    <t>엘통신</t>
  </si>
  <si>
    <t>(유)신아전력</t>
  </si>
  <si>
    <t>해동호이스트</t>
  </si>
  <si>
    <t>명성이엔지</t>
  </si>
  <si>
    <t>(자)하양전기</t>
  </si>
  <si>
    <t>이재호</t>
  </si>
  <si>
    <t>굳 스카이</t>
  </si>
  <si>
    <t>(주)바른이엔씨</t>
  </si>
  <si>
    <t>주식회사 드림</t>
  </si>
  <si>
    <t>서부네트워크주식회사</t>
  </si>
  <si>
    <t>동신전기</t>
  </si>
  <si>
    <t>(주)우도전기</t>
  </si>
  <si>
    <t>우진산업개발(주)</t>
  </si>
  <si>
    <t>동성전력 주식회사</t>
  </si>
  <si>
    <t>원주시청</t>
  </si>
  <si>
    <t>화인 전기조명</t>
  </si>
  <si>
    <t>화산</t>
  </si>
  <si>
    <t>덕수J,Y통신</t>
  </si>
  <si>
    <t>제이씨통신(J.C)</t>
  </si>
  <si>
    <t>동작구립장애인보호작업장</t>
  </si>
  <si>
    <t>금일종합마린</t>
  </si>
  <si>
    <t>서울특별시성동도로사업소</t>
  </si>
  <si>
    <t>서울시서부도로사업소</t>
  </si>
  <si>
    <t>서울특별시남부도로사업소</t>
  </si>
  <si>
    <t>북부도로사업소</t>
  </si>
  <si>
    <t>서울특별시동부도로사업소</t>
  </si>
  <si>
    <t>SHIANG PAI HYDRAULIC CRANE CO., LTD</t>
  </si>
  <si>
    <t>서울특별시강서도로사업소</t>
  </si>
  <si>
    <t>(주)대륭시스템즈</t>
  </si>
  <si>
    <t>다성통신</t>
  </si>
  <si>
    <t>영산벽돌석재</t>
  </si>
  <si>
    <t>캡틴통신</t>
  </si>
  <si>
    <t>세빌주식회사</t>
  </si>
  <si>
    <t>영진테크</t>
  </si>
  <si>
    <t>이즈</t>
  </si>
  <si>
    <t>서병교</t>
  </si>
  <si>
    <t>영성통신</t>
  </si>
  <si>
    <t>디에이치</t>
  </si>
  <si>
    <t>조은석유. 설비</t>
  </si>
  <si>
    <t>BAK14철거 및 BAK12 설치공사 기성청구분-김해국제공항</t>
  </si>
  <si>
    <t>경동건설(주)</t>
  </si>
  <si>
    <t>대림산업(주)여수LHDPE공장</t>
  </si>
  <si>
    <t>김포건업</t>
  </si>
  <si>
    <t>동하수중펌프</t>
  </si>
  <si>
    <t>주식회사국제산업</t>
  </si>
  <si>
    <t>본기둥실린더등 16종</t>
  </si>
  <si>
    <t>주안전기</t>
  </si>
  <si>
    <t>압해마린</t>
  </si>
  <si>
    <t>대한계량공사</t>
  </si>
  <si>
    <t>남경전력공사</t>
  </si>
  <si>
    <t>H＆Y네트워크</t>
  </si>
  <si>
    <t>부민석재</t>
  </si>
  <si>
    <t>한전케이디엔(주)</t>
  </si>
  <si>
    <t>미래레저마린</t>
  </si>
  <si>
    <t>아이지테크</t>
  </si>
  <si>
    <t>피앤씨텔레콤</t>
  </si>
  <si>
    <t>HK정보시스템</t>
  </si>
  <si>
    <t>창조전기</t>
  </si>
  <si>
    <t>장무통신</t>
  </si>
  <si>
    <t>(유)신안산업개발</t>
  </si>
  <si>
    <t>피에이치피네트워크</t>
  </si>
  <si>
    <t>BAK-14 에어시스템 개선</t>
  </si>
  <si>
    <t>공군제20전투비행단</t>
  </si>
  <si>
    <t>주식회사 신정</t>
  </si>
  <si>
    <t>오광전기</t>
  </si>
  <si>
    <t>두산건기 강원판매(주)</t>
  </si>
  <si>
    <t>대구전업사</t>
  </si>
  <si>
    <t>15-76-BAK12 신축공사 중 설비공사-해미비행장</t>
  </si>
  <si>
    <t>서경석</t>
  </si>
  <si>
    <t>부자전기</t>
  </si>
  <si>
    <t>주식회사 태경전기</t>
  </si>
  <si>
    <t>수성통신</t>
  </si>
  <si>
    <t>(주)신한이에스</t>
  </si>
  <si>
    <t>(주)성원전기</t>
  </si>
  <si>
    <t>펌프테크샵</t>
  </si>
  <si>
    <t>이천시상하수도사업소</t>
  </si>
  <si>
    <t>조도영석마린선외기</t>
  </si>
  <si>
    <t>통영프로카</t>
  </si>
  <si>
    <t>태호통신</t>
  </si>
  <si>
    <t>엘젠테크(주)</t>
  </si>
  <si>
    <t>(주)에스엠넷</t>
  </si>
  <si>
    <t>(주)미래전기</t>
  </si>
  <si>
    <t>WIRE TRANSMITTER</t>
  </si>
  <si>
    <t>주식회사 성진전력</t>
  </si>
  <si>
    <t>삼백통신</t>
  </si>
  <si>
    <t>유영통신</t>
  </si>
  <si>
    <t>주식회사 누리아이티</t>
  </si>
  <si>
    <t>동아신호(주)</t>
  </si>
  <si>
    <t>주식회사 선양정보통신</t>
  </si>
  <si>
    <t>문화천막공사</t>
  </si>
  <si>
    <t>주식회사 태은</t>
  </si>
  <si>
    <t>동양전기</t>
  </si>
  <si>
    <t>주식회사 광명전력</t>
  </si>
  <si>
    <t>남인천방송(주)</t>
  </si>
  <si>
    <t>명송테크 주식회사</t>
  </si>
  <si>
    <t>주식회사 링크로드</t>
  </si>
  <si>
    <t>인용정밀</t>
  </si>
  <si>
    <t>주식회사 태일전력기술</t>
  </si>
  <si>
    <t>삼인통신</t>
  </si>
  <si>
    <t>(주)준하기업</t>
  </si>
  <si>
    <t>대화네트웍스</t>
  </si>
  <si>
    <t>중앙해양특수구조단</t>
  </si>
  <si>
    <t>배테랑 스카이</t>
  </si>
  <si>
    <t>송만건설기업</t>
  </si>
  <si>
    <t>(주)달인</t>
  </si>
  <si>
    <t>명동전기공사</t>
  </si>
  <si>
    <t>(주)대우전력</t>
  </si>
  <si>
    <t>누리정보통신 주식회사</t>
  </si>
  <si>
    <t>세범통신(K2-optical)</t>
  </si>
  <si>
    <t>주식회사 아이씨피</t>
  </si>
  <si>
    <t>백두현</t>
  </si>
  <si>
    <t>이음네트웍스</t>
  </si>
  <si>
    <t>신광천</t>
  </si>
  <si>
    <t>주식회사호은</t>
  </si>
  <si>
    <t>반포정보통신</t>
  </si>
  <si>
    <t>이미경</t>
  </si>
  <si>
    <t>다올산전 주식회사</t>
  </si>
  <si>
    <t>미루마루</t>
  </si>
  <si>
    <t>풀임통신</t>
  </si>
  <si>
    <t>양구군농업기술센터</t>
  </si>
  <si>
    <t>두리활선</t>
  </si>
  <si>
    <t>한국환경공단본사</t>
  </si>
  <si>
    <t>16년 작전지원시설 개선공사-대구비행장</t>
  </si>
  <si>
    <t>인터엠옥정</t>
  </si>
  <si>
    <t>이레이엔씨 주식회사</t>
  </si>
  <si>
    <t>K9 METAL CO.,LTD</t>
  </si>
  <si>
    <t>유승정보통신</t>
  </si>
  <si>
    <t>신흥정보통신(주)</t>
  </si>
  <si>
    <t>주식회사 일진펌프</t>
  </si>
  <si>
    <t>엠엔와이(M＆Y)</t>
  </si>
  <si>
    <t>태성통신</t>
  </si>
  <si>
    <t>주식회사 중부보안</t>
  </si>
  <si>
    <t>주식회사 지엠티</t>
  </si>
  <si>
    <t>동신전기사(주)</t>
  </si>
  <si>
    <t>하지공업(주)</t>
  </si>
  <si>
    <t>HUYNH THY TRADING SERVICES CO., LTD</t>
  </si>
  <si>
    <t>태성이엔씨주식회사</t>
  </si>
  <si>
    <t>명일전기개별화물</t>
  </si>
  <si>
    <t>준상정보통신 주식회사</t>
  </si>
  <si>
    <t>종합마린</t>
  </si>
  <si>
    <t>승민활선</t>
  </si>
  <si>
    <t>팔공특수종합물류(주)</t>
  </si>
  <si>
    <t>제이에이치일렉트릭(J.H electric)</t>
  </si>
  <si>
    <t>연안종합중기</t>
  </si>
  <si>
    <t>대한선외기</t>
  </si>
  <si>
    <t>GN Networks(지엔 네트웍스)</t>
  </si>
  <si>
    <t>유림정보통신</t>
  </si>
  <si>
    <t>한스정보통신</t>
  </si>
  <si>
    <t>윌로펌프서비스</t>
  </si>
  <si>
    <t>국제모터공업</t>
  </si>
  <si>
    <t>육군제1266부대</t>
  </si>
  <si>
    <t>제이비(JB)네트웍스</t>
  </si>
  <si>
    <t>선우전기공사</t>
  </si>
  <si>
    <t>주식회사 원전기</t>
  </si>
  <si>
    <t>태양마린</t>
  </si>
  <si>
    <t>(주)동아이앤씨</t>
  </si>
  <si>
    <t>정진기계</t>
  </si>
  <si>
    <t>엘림중기</t>
  </si>
  <si>
    <t>(주)눈소프트</t>
  </si>
  <si>
    <t>최고공구</t>
  </si>
  <si>
    <t>대왕활선</t>
  </si>
  <si>
    <t>고흥전력(주)</t>
  </si>
  <si>
    <t>삼창</t>
  </si>
  <si>
    <t>트인정보통신</t>
  </si>
  <si>
    <t>주식회사 파로스넷</t>
  </si>
  <si>
    <t>TRI HONG DUC INDUSTRIES CO., LTD</t>
  </si>
  <si>
    <t>국가보훈처88골프장</t>
  </si>
  <si>
    <t>에이빗코리아주식회사</t>
  </si>
  <si>
    <t>정덕화</t>
  </si>
  <si>
    <t>신아전기</t>
  </si>
  <si>
    <t>(주)신우일렉트릭</t>
  </si>
  <si>
    <t>WUHAN HANFU SPECIAL VEHICLE</t>
  </si>
  <si>
    <t>주식회사 한울운수</t>
  </si>
  <si>
    <t>(주)욱일정보통신</t>
  </si>
  <si>
    <t>건재통신</t>
  </si>
  <si>
    <t>고려통신</t>
  </si>
  <si>
    <t>(주)케이씨</t>
  </si>
  <si>
    <t>영동군청</t>
  </si>
  <si>
    <t>환경관리 주식회사</t>
  </si>
  <si>
    <t>호성통신</t>
  </si>
  <si>
    <t>코스정보통신</t>
  </si>
  <si>
    <t>신대근</t>
  </si>
  <si>
    <t>우성정보통신</t>
  </si>
  <si>
    <t>(주)설성전기공사</t>
  </si>
  <si>
    <t>주식회사 국민통신</t>
  </si>
  <si>
    <t>성운통신</t>
  </si>
  <si>
    <t>공군제15특수임무비행단</t>
  </si>
  <si>
    <t>(유)웅진기계</t>
  </si>
  <si>
    <t>(주)성보</t>
  </si>
  <si>
    <t>(주)성산정보시스템</t>
  </si>
  <si>
    <t>김낙준</t>
  </si>
  <si>
    <t>JS통신</t>
  </si>
  <si>
    <t>도현정보통신</t>
  </si>
  <si>
    <t>원테크</t>
  </si>
  <si>
    <t>도경통신</t>
  </si>
  <si>
    <t>(주)코원</t>
  </si>
  <si>
    <t>주식회사 유아이테크</t>
  </si>
  <si>
    <t>창조 ENG</t>
  </si>
  <si>
    <t>대진전력(주)</t>
  </si>
  <si>
    <t>주식회사 미래공사</t>
  </si>
  <si>
    <t>다대통신</t>
  </si>
  <si>
    <t>주식회사비전정보통신</t>
  </si>
  <si>
    <t>유한회사 본테크</t>
  </si>
  <si>
    <t>더원</t>
  </si>
  <si>
    <t>제주특별자치도 상하수도본부</t>
  </si>
  <si>
    <t>(유)원창건설</t>
  </si>
  <si>
    <t>영광전업사</t>
  </si>
  <si>
    <t>주식회사 태근이엔씨</t>
  </si>
  <si>
    <t>유니넷텍(주)</t>
  </si>
  <si>
    <t>에스엠기술단</t>
  </si>
  <si>
    <t>서한산업(주)</t>
  </si>
  <si>
    <t>(주)대경하이텍</t>
  </si>
  <si>
    <t>(주)성지정보통신</t>
  </si>
  <si>
    <t>(주)한남전설</t>
  </si>
  <si>
    <t>신풍네트웍스</t>
  </si>
  <si>
    <t>(주)원동전력</t>
  </si>
  <si>
    <t>풍경주식회사</t>
  </si>
  <si>
    <t>(주)분성전기</t>
  </si>
  <si>
    <t>(주)씨아이건설</t>
  </si>
  <si>
    <t>푸른파주주식회사</t>
  </si>
  <si>
    <t>씨앤에이</t>
  </si>
  <si>
    <t>장수활선</t>
  </si>
  <si>
    <t>주식회사 대승</t>
  </si>
  <si>
    <t>신화통신</t>
  </si>
  <si>
    <t>유한회사 한양전력</t>
  </si>
  <si>
    <t>(주)대웅정보통신</t>
  </si>
  <si>
    <t>선후</t>
  </si>
  <si>
    <t>선우통신</t>
  </si>
  <si>
    <t>(주)동명산전</t>
  </si>
  <si>
    <t>성진정보통신</t>
  </si>
  <si>
    <t>(주)태산전기</t>
  </si>
  <si>
    <t>기대전기주식회사</t>
  </si>
  <si>
    <t>(합)삼부전력</t>
  </si>
  <si>
    <t>광통신</t>
  </si>
  <si>
    <t>주식회사 이엔씨파워</t>
  </si>
  <si>
    <t>일공일통신</t>
  </si>
  <si>
    <t>주식회사 청평엔지니어링</t>
  </si>
  <si>
    <t>도은전력</t>
  </si>
  <si>
    <t>DI net</t>
  </si>
  <si>
    <t>금성모타펌프(의령청소나라)</t>
  </si>
  <si>
    <t>오장균</t>
  </si>
  <si>
    <t>(주)호윤전기</t>
  </si>
  <si>
    <t>(주)미남전설</t>
  </si>
  <si>
    <t>S조명전기</t>
  </si>
  <si>
    <t>한진</t>
  </si>
  <si>
    <t>연합활선</t>
  </si>
  <si>
    <t>YK정보통신</t>
  </si>
  <si>
    <t>일진이앤씨주식회사</t>
  </si>
  <si>
    <t>대성이엔씨</t>
  </si>
  <si>
    <t>우리운수</t>
  </si>
  <si>
    <t>유일산업 유한회사</t>
  </si>
  <si>
    <t>NK BUILDER AND CONSTRUCTION INC.</t>
  </si>
  <si>
    <t>현대전기(주)</t>
  </si>
  <si>
    <t>(유)비츠</t>
  </si>
  <si>
    <t>NS정보통신</t>
  </si>
  <si>
    <t>오성전력(주)</t>
  </si>
  <si>
    <t>형제전기통신</t>
  </si>
  <si>
    <t>대흥활선</t>
  </si>
  <si>
    <t>전북마린</t>
  </si>
  <si>
    <t>지백전기</t>
  </si>
  <si>
    <t>첨단건설기계</t>
  </si>
  <si>
    <t>부광활선</t>
  </si>
  <si>
    <t>데이타솔루션주식회사</t>
  </si>
  <si>
    <t>(주)광산전기</t>
  </si>
  <si>
    <t>고구려산업개발(주)</t>
  </si>
  <si>
    <t>(주)태양전력</t>
  </si>
  <si>
    <t>주식회사 삼성전기</t>
  </si>
  <si>
    <t>느루정보통신</t>
  </si>
  <si>
    <t>대성전력 주식회사</t>
  </si>
  <si>
    <t>해동전기</t>
  </si>
  <si>
    <t>지니네트웍</t>
  </si>
  <si>
    <t>엔씨에스(N.C.S)</t>
  </si>
  <si>
    <t>(주)신성에이치씨</t>
  </si>
  <si>
    <t>성배통신</t>
  </si>
  <si>
    <t>(주)대성이엔지(ENG)</t>
  </si>
  <si>
    <t>경기로링</t>
  </si>
  <si>
    <t>도매전기조명</t>
  </si>
  <si>
    <t>(주)화양</t>
  </si>
  <si>
    <t>(주)하나이엔디</t>
  </si>
  <si>
    <t>SI텔레콤</t>
  </si>
  <si>
    <t>달재통신</t>
  </si>
  <si>
    <t>(주)한빛네트웍스</t>
  </si>
  <si>
    <t>아세아상사</t>
  </si>
  <si>
    <t>주식회사 에이원전력</t>
  </si>
  <si>
    <t>가온미디어</t>
  </si>
  <si>
    <t>본기둥실린더등16종</t>
  </si>
  <si>
    <t>유한회사화성전력</t>
  </si>
  <si>
    <t>(주)덕산전력</t>
  </si>
  <si>
    <t>(주)선주건설</t>
  </si>
  <si>
    <t>신기건설</t>
  </si>
  <si>
    <t>서령전기주식회사</t>
  </si>
  <si>
    <t>주식회사 울트라전기</t>
  </si>
  <si>
    <t>(주)자유전기공사</t>
  </si>
  <si>
    <t>주식회사 오성정보통신</t>
  </si>
  <si>
    <t>(유)한화전력공사</t>
  </si>
  <si>
    <t>화룡전력 주식회사</t>
  </si>
  <si>
    <t>주식회사 창대전력</t>
  </si>
  <si>
    <t>주식회사 신영전기</t>
  </si>
  <si>
    <t>(주)도영전설</t>
  </si>
  <si>
    <t>주식회사 첨단엔지니어링</t>
  </si>
  <si>
    <t>(유)경영전기</t>
  </si>
  <si>
    <t>주식회사 윈드파워</t>
  </si>
  <si>
    <t>김경민</t>
  </si>
  <si>
    <t>(주)세호전기</t>
  </si>
  <si>
    <t>은유통신</t>
  </si>
  <si>
    <t>(주)한성전기</t>
  </si>
  <si>
    <t>주식회사 태형정보통신</t>
  </si>
  <si>
    <t>강동중량</t>
  </si>
  <si>
    <t>(주)세하통신</t>
  </si>
  <si>
    <t>(주)서경산업</t>
  </si>
  <si>
    <t>(주) 온브랜딩</t>
  </si>
  <si>
    <t>(주)이지정보기술</t>
  </si>
  <si>
    <t>금부파워텍(주)</t>
  </si>
  <si>
    <t>경덕전력(주)</t>
  </si>
  <si>
    <t>(주)상현엔지니어링</t>
  </si>
  <si>
    <t>우진전기공사</t>
  </si>
  <si>
    <t>다산정보통신 주식회사</t>
  </si>
  <si>
    <t>주식회사 창성에스지</t>
  </si>
  <si>
    <t>다희</t>
  </si>
  <si>
    <t>유비네트웍스(주)</t>
  </si>
  <si>
    <t>창대기업</t>
  </si>
  <si>
    <t>주식회사 삼성기업</t>
  </si>
  <si>
    <t>주식회사 유광정보기술</t>
  </si>
  <si>
    <t>(주)동아전기공사</t>
  </si>
  <si>
    <t>해담정보통신</t>
  </si>
  <si>
    <t>청산</t>
  </si>
  <si>
    <t>(주)신화이앤씨</t>
  </si>
  <si>
    <t>주식회사 대건전기</t>
  </si>
  <si>
    <t>(주)대하정보통신</t>
  </si>
  <si>
    <t>휴먼통신</t>
  </si>
  <si>
    <t>(주)두양이앤지</t>
  </si>
  <si>
    <t>보광활선</t>
  </si>
  <si>
    <t>주식회사 경국전력</t>
  </si>
  <si>
    <t>(주)은광전기</t>
  </si>
  <si>
    <t>(주)승전사</t>
  </si>
  <si>
    <t>경북전력</t>
  </si>
  <si>
    <t>태양광통신</t>
  </si>
  <si>
    <t>(주)중원</t>
  </si>
  <si>
    <t>삼광통신</t>
  </si>
  <si>
    <t>승진전기공사</t>
  </si>
  <si>
    <t>(자)경도산업</t>
  </si>
  <si>
    <t>김태현</t>
  </si>
  <si>
    <t>글로벌테크 주식회사</t>
  </si>
  <si>
    <t>(주)한양전설</t>
  </si>
  <si>
    <t>주식회사세계로</t>
  </si>
  <si>
    <t>대진정보통신</t>
  </si>
  <si>
    <t>통영전기</t>
  </si>
  <si>
    <t>경인특장차</t>
  </si>
  <si>
    <t>주식회사두원</t>
  </si>
  <si>
    <t>(주)이화전력</t>
  </si>
  <si>
    <t>(주)대흥기업</t>
  </si>
  <si>
    <t>CH-7 HELICOPTERS HELI-SPORT SRL</t>
  </si>
  <si>
    <t>성호테크</t>
  </si>
  <si>
    <t>주식회사 민승전력</t>
  </si>
  <si>
    <t>영웅정보통신</t>
  </si>
  <si>
    <t>RURAL ELECTRIFICATION TRADING CORPORATION</t>
  </si>
  <si>
    <t>동현전력 주식회사</t>
  </si>
  <si>
    <t>XIAMEN C＆DCOMMUNICATION LTD</t>
  </si>
  <si>
    <t>다운통신</t>
  </si>
  <si>
    <t>오토기술</t>
  </si>
  <si>
    <t>부성전력</t>
  </si>
  <si>
    <t>(주)이노네트웍스</t>
  </si>
  <si>
    <t>새움에너지</t>
  </si>
  <si>
    <t>일성중장비정비공업사</t>
  </si>
  <si>
    <t>신흥상사</t>
  </si>
  <si>
    <t>(주)하나정보통신</t>
  </si>
  <si>
    <t>주식회사 임창</t>
  </si>
  <si>
    <t>대일전기주식회사</t>
  </si>
  <si>
    <t>주식회사 씨엔네트웍스</t>
  </si>
  <si>
    <t>대신전기</t>
  </si>
  <si>
    <t>신우중공업(주)</t>
  </si>
  <si>
    <t>(주)반도통신</t>
  </si>
  <si>
    <t>주식회사 신보산업개발</t>
  </si>
  <si>
    <t>주식회사 서울전기</t>
  </si>
  <si>
    <t>남도마린</t>
  </si>
  <si>
    <t>두영테크(주)</t>
  </si>
  <si>
    <t>(주)두원이엔씨</t>
  </si>
  <si>
    <t>(주)한국정보기술</t>
  </si>
  <si>
    <t>이성구</t>
  </si>
  <si>
    <t>J:NK</t>
  </si>
  <si>
    <t>세영정보통신</t>
  </si>
  <si>
    <t>월드통신</t>
  </si>
  <si>
    <t>비와이에프(BYF)</t>
  </si>
  <si>
    <t>성원이엔씨 주식회사</t>
  </si>
  <si>
    <t>신영전기</t>
  </si>
  <si>
    <t>(주)금윤이앤씨</t>
  </si>
  <si>
    <t>다인정보통신주식회사</t>
  </si>
  <si>
    <t>USED DH SUPER3000A-10대</t>
  </si>
  <si>
    <t>주식회사 우라노</t>
  </si>
  <si>
    <t>(주)효영전설</t>
  </si>
  <si>
    <t>주식회사 동해삼테크</t>
  </si>
  <si>
    <t>동연</t>
  </si>
  <si>
    <t>거맥전설(주)</t>
  </si>
  <si>
    <t>주식회사 와이에이치전력</t>
  </si>
  <si>
    <t>주식회사 통일전기</t>
  </si>
  <si>
    <t>LU＆SONS ENGINEERING SDN BHD</t>
  </si>
  <si>
    <t>(주)아라엠에스</t>
  </si>
  <si>
    <t>부강엔지니어링(주)</t>
  </si>
  <si>
    <t>금아전설(주)</t>
  </si>
  <si>
    <t>다인전력(주)</t>
  </si>
  <si>
    <t>정현민</t>
  </si>
  <si>
    <t>강승희</t>
  </si>
  <si>
    <t>(주)포스코아이씨티</t>
  </si>
  <si>
    <t>유성운수</t>
  </si>
  <si>
    <t>대한유압</t>
  </si>
  <si>
    <t>TS전기</t>
  </si>
  <si>
    <t>효원화물</t>
  </si>
  <si>
    <t>정상탁</t>
  </si>
  <si>
    <t>진성통신</t>
  </si>
  <si>
    <t>해길통신</t>
  </si>
  <si>
    <t>국제전기</t>
  </si>
  <si>
    <t>주식회사 효원전력</t>
  </si>
  <si>
    <t>수미디어</t>
  </si>
  <si>
    <t>동광기업(주)</t>
  </si>
  <si>
    <t>강원활선</t>
  </si>
  <si>
    <t>김진화</t>
  </si>
  <si>
    <t>(주)동은전기</t>
  </si>
  <si>
    <t>나로테크</t>
  </si>
  <si>
    <t>주식회사 진성테크</t>
  </si>
  <si>
    <t>인천새론</t>
  </si>
  <si>
    <t>이관엽</t>
  </si>
  <si>
    <t>닥치는대로 클린</t>
  </si>
  <si>
    <t>한빛중기</t>
  </si>
  <si>
    <t>(주)도성이앤씨</t>
  </si>
  <si>
    <t>청풍</t>
  </si>
  <si>
    <t>제이에스(JS)</t>
  </si>
  <si>
    <t>PRECISION MACHINERY LLC</t>
  </si>
  <si>
    <t>에코이앤오(주)</t>
  </si>
  <si>
    <t>승민넷</t>
  </si>
  <si>
    <t>와이제이중장비</t>
  </si>
  <si>
    <t>수연통신</t>
  </si>
  <si>
    <t>(주)대로</t>
  </si>
  <si>
    <t>전기박사</t>
  </si>
  <si>
    <t>(주)진영전력</t>
  </si>
  <si>
    <t>차영걸</t>
  </si>
  <si>
    <t>수네트워크</t>
  </si>
  <si>
    <t>중문농업협동조합</t>
  </si>
  <si>
    <t>재성전기(주)</t>
  </si>
  <si>
    <t>(주) 제일전력공사</t>
  </si>
  <si>
    <t>정우정보통신</t>
  </si>
  <si>
    <t>계룡통신</t>
  </si>
  <si>
    <t>신성중기유압</t>
  </si>
  <si>
    <t>추레라 커플러의 모든것</t>
  </si>
  <si>
    <t>현대전기</t>
  </si>
  <si>
    <t>부광정보통신</t>
  </si>
  <si>
    <t>아라정보통신(주)</t>
  </si>
  <si>
    <t>주식회사 이엠맵정보</t>
  </si>
  <si>
    <t>(주)지성하이텍</t>
  </si>
  <si>
    <t>(주)씨앤티</t>
  </si>
  <si>
    <t>대교전설(주)</t>
  </si>
  <si>
    <t>동진전력(주)</t>
  </si>
  <si>
    <t>태기통신</t>
  </si>
  <si>
    <t>동해기계 해상크레인</t>
  </si>
  <si>
    <t>바른시스템</t>
  </si>
  <si>
    <t>덕암</t>
  </si>
  <si>
    <t>지호정보통신</t>
  </si>
  <si>
    <t>삼성로또복권방슈퍼</t>
  </si>
  <si>
    <t>효경</t>
  </si>
  <si>
    <t>김유용</t>
  </si>
  <si>
    <t>경화EnC</t>
  </si>
  <si>
    <t>동보(주)</t>
  </si>
  <si>
    <t>최수암</t>
  </si>
  <si>
    <t>화정중기</t>
  </si>
  <si>
    <t>NINOX S.A.S</t>
  </si>
  <si>
    <t>호승전력 주식회사</t>
  </si>
  <si>
    <t>(주)강원</t>
  </si>
  <si>
    <t>주식회사 제일이엔씨</t>
  </si>
  <si>
    <t>(주)대해전기통신</t>
  </si>
  <si>
    <t>(주)동원전력</t>
  </si>
  <si>
    <t>이강활선</t>
  </si>
  <si>
    <t>주식회사 쁘띠프랑스</t>
  </si>
  <si>
    <t>김연섭</t>
  </si>
  <si>
    <t>(주)더반씨앤씨</t>
  </si>
  <si>
    <t>(주)훈민아이티</t>
  </si>
  <si>
    <t>(주)조흥전력공사</t>
  </si>
  <si>
    <t>(주)태성전력</t>
  </si>
  <si>
    <t>김기석</t>
  </si>
  <si>
    <t>혁진건설</t>
  </si>
  <si>
    <t>최성대</t>
  </si>
  <si>
    <t>신흥유압</t>
  </si>
  <si>
    <t>승리전기공사</t>
  </si>
  <si>
    <t>광산전기공사조명</t>
  </si>
  <si>
    <t>스카이레저 주식회사</t>
  </si>
  <si>
    <t>(주)도원</t>
  </si>
  <si>
    <t>그린정보통신</t>
  </si>
  <si>
    <t>(주)기영건설</t>
  </si>
  <si>
    <t>형제중장비공업사</t>
  </si>
  <si>
    <t>승덕전력</t>
  </si>
  <si>
    <t>태광활선</t>
  </si>
  <si>
    <t>주식회사 반도통신기술</t>
  </si>
  <si>
    <t>해성텔레콤</t>
  </si>
  <si>
    <t>아주전기</t>
  </si>
  <si>
    <t>(주)명한전기</t>
  </si>
  <si>
    <t>와이에이치 텔레콤</t>
  </si>
  <si>
    <t>주식회사 태광</t>
  </si>
  <si>
    <t>야베스정보통신(주)</t>
  </si>
  <si>
    <t>구평전력(주)</t>
  </si>
  <si>
    <t>(주)바른기업</t>
  </si>
  <si>
    <t>(주)거도산업</t>
  </si>
  <si>
    <t>스마트활선</t>
  </si>
  <si>
    <t>쌍용활선</t>
  </si>
  <si>
    <t>주식회사 해주전력</t>
  </si>
  <si>
    <t>(주)진은전기소방</t>
  </si>
  <si>
    <t>(주)은진전력</t>
  </si>
  <si>
    <t>주식회사 둥근</t>
  </si>
  <si>
    <t>에이맥정보통신</t>
  </si>
  <si>
    <t>웅진활선</t>
  </si>
  <si>
    <t>ATTN MR STEPHEN</t>
  </si>
  <si>
    <t>부원전설 주식회사</t>
  </si>
  <si>
    <t>진우</t>
  </si>
  <si>
    <t>대한마린</t>
  </si>
  <si>
    <t>신광전기</t>
  </si>
  <si>
    <t>성진특장출장수리</t>
  </si>
  <si>
    <t>제이 전기통신 건축</t>
  </si>
  <si>
    <t>덕성전기</t>
  </si>
  <si>
    <t>LS전기건설공사</t>
  </si>
  <si>
    <t>성현전기(주)</t>
  </si>
  <si>
    <t>하성전기</t>
  </si>
  <si>
    <t>유한회사 한국케이비에프</t>
  </si>
  <si>
    <t>(주)동진전력ENG</t>
  </si>
  <si>
    <t>국제전력공사</t>
  </si>
  <si>
    <t>오티씨테크놀로지(주)</t>
  </si>
  <si>
    <t>(주)엠제이정보통신</t>
  </si>
  <si>
    <t>현통신</t>
  </si>
  <si>
    <t>유정특장</t>
  </si>
  <si>
    <t>안병용</t>
  </si>
  <si>
    <t>대원전기</t>
  </si>
  <si>
    <t>(주)디엠전력</t>
  </si>
  <si>
    <t>한국정보네트웍스(주)</t>
  </si>
  <si>
    <t>은혜활선</t>
  </si>
  <si>
    <t>주식회사 삼영전기</t>
  </si>
  <si>
    <t>기명이아이티</t>
  </si>
  <si>
    <t>고미경</t>
  </si>
  <si>
    <t>(유)우림전설</t>
  </si>
  <si>
    <t>유한회사 성진전력</t>
  </si>
  <si>
    <t>주식회사 지성전설</t>
  </si>
  <si>
    <t>주식회사 경기전력</t>
  </si>
  <si>
    <t>(주)라이팅폴</t>
  </si>
  <si>
    <t>수창정보통신(주)</t>
  </si>
  <si>
    <t>주식회사 스카이</t>
  </si>
  <si>
    <t>오복</t>
  </si>
  <si>
    <t>(주)효광전력</t>
  </si>
  <si>
    <t>주식회사네트워크아이</t>
  </si>
  <si>
    <t>주식회사 동강이엔씨</t>
  </si>
  <si>
    <t>(주) 선광전력</t>
  </si>
  <si>
    <t>신유로전력(주)</t>
  </si>
  <si>
    <t>성경전기주식회사</t>
  </si>
  <si>
    <t>미화전기</t>
  </si>
  <si>
    <t>커뮤넷</t>
  </si>
  <si>
    <t>팔팔일렉트릭</t>
  </si>
  <si>
    <t>캠뷰</t>
  </si>
  <si>
    <t>삼영통신</t>
  </si>
  <si>
    <t>주식회사 광동전력</t>
  </si>
  <si>
    <t>주식회사 경도</t>
  </si>
  <si>
    <t>(주)신화전력</t>
  </si>
  <si>
    <t>대한통신</t>
  </si>
  <si>
    <t>태백활선</t>
  </si>
  <si>
    <t>오구활선</t>
  </si>
  <si>
    <t>부성전력(주)</t>
  </si>
  <si>
    <t>(주)푸른자리</t>
  </si>
  <si>
    <t>오오건설기계장비</t>
  </si>
  <si>
    <t>(주)선민전설</t>
  </si>
  <si>
    <t>진우활선</t>
  </si>
  <si>
    <t>우연통신</t>
  </si>
  <si>
    <t>제이케이앤티텔레콤(주)</t>
  </si>
  <si>
    <t>유한회사 씨알건설</t>
  </si>
  <si>
    <t>(주)엘지전기</t>
  </si>
  <si>
    <t>휴먼아이티에스(주)</t>
  </si>
  <si>
    <t>영신네트웍</t>
  </si>
  <si>
    <t>을지건업</t>
  </si>
  <si>
    <t>(주)천안교차로</t>
  </si>
  <si>
    <t>렌트타임</t>
  </si>
  <si>
    <t>주식회사 서남전기이엔지</t>
  </si>
  <si>
    <t>(주)석보전력</t>
  </si>
  <si>
    <t>(합자)나라전기</t>
  </si>
  <si>
    <t>나무농원</t>
  </si>
  <si>
    <t>진보건설 주식회사</t>
  </si>
  <si>
    <t>광명운수</t>
  </si>
  <si>
    <t>송광전력(주)</t>
  </si>
  <si>
    <t>(주)으뜸전기</t>
  </si>
  <si>
    <t>주)제일이앤에이</t>
  </si>
  <si>
    <t>주식회사 썬즈</t>
  </si>
  <si>
    <t>옵티컬씨앤씨</t>
  </si>
  <si>
    <t>예도건설조경</t>
  </si>
  <si>
    <t>그린라인</t>
  </si>
  <si>
    <t>티씨엔네트웍스(주)</t>
  </si>
  <si>
    <t>이진관</t>
  </si>
  <si>
    <t>자가정보통신</t>
  </si>
  <si>
    <t>(주)신호전력</t>
  </si>
  <si>
    <t>훈텔레콤</t>
  </si>
  <si>
    <t>진원개발(주)</t>
  </si>
  <si>
    <t>(주)화신전력</t>
  </si>
  <si>
    <t>주식회사 천진</t>
  </si>
  <si>
    <t>주식회사 광원전력</t>
  </si>
  <si>
    <t>삼성라디에터</t>
  </si>
  <si>
    <t>이승영</t>
  </si>
  <si>
    <t>주미기전</t>
  </si>
  <si>
    <t>한라전력(주)</t>
  </si>
  <si>
    <t>무지개광고기획</t>
  </si>
  <si>
    <t>주식회사 동해전력</t>
  </si>
  <si>
    <t>소정통신</t>
  </si>
  <si>
    <t>서부활선</t>
  </si>
  <si>
    <t>메스코(주)</t>
  </si>
  <si>
    <t>녹성전기</t>
  </si>
  <si>
    <t>주식회사유원이씨에스</t>
  </si>
  <si>
    <t>다온</t>
  </si>
  <si>
    <t>세희종합건설(주)</t>
  </si>
  <si>
    <t>(주)한화보은사업장</t>
  </si>
  <si>
    <t>승우산업개발(주)</t>
  </si>
  <si>
    <t>주식회사 장흥전력</t>
  </si>
  <si>
    <t>이캠정보통신</t>
  </si>
  <si>
    <t>백승옥</t>
  </si>
  <si>
    <t>드림정보통신주식회사</t>
  </si>
  <si>
    <t>주식회사 우신</t>
  </si>
  <si>
    <t>주식회사 쌍용건설전기</t>
  </si>
  <si>
    <t>VIET TRUNG EQUIPMENT JOINT STOCK COMPANY</t>
  </si>
  <si>
    <t>대신크린</t>
  </si>
  <si>
    <t>공군제1전투비행단</t>
  </si>
  <si>
    <t>위너통신</t>
  </si>
  <si>
    <t>현엽통신</t>
  </si>
  <si>
    <t>(주)푸른이엔지</t>
  </si>
  <si>
    <t>준통신</t>
  </si>
  <si>
    <t>(주)광성이엔지</t>
  </si>
  <si>
    <t>(주)삼정건설기계</t>
  </si>
  <si>
    <t>주식회사 태경전력</t>
  </si>
  <si>
    <t>케이에스</t>
  </si>
  <si>
    <t>블룸통신</t>
  </si>
  <si>
    <t>CLEAMCO INDUSTRIAL CORPORATION</t>
  </si>
  <si>
    <t>동성전기</t>
  </si>
  <si>
    <t>주식회사 제이에스티앤씨</t>
  </si>
  <si>
    <t>주식회사 두나우</t>
  </si>
  <si>
    <t>제이에이치통신</t>
  </si>
  <si>
    <t>디에스텔레콤</t>
  </si>
  <si>
    <t>경남</t>
  </si>
  <si>
    <t>명진천막</t>
  </si>
  <si>
    <t>부민통신(주)</t>
  </si>
  <si>
    <t>일원정보통신</t>
  </si>
  <si>
    <t>주식회사엔탑엔지니어링</t>
  </si>
  <si>
    <t>(주) 케이정보</t>
  </si>
  <si>
    <t>도영전기</t>
  </si>
  <si>
    <t>대광활선</t>
  </si>
  <si>
    <t>미진통신</t>
  </si>
  <si>
    <t>무열농장</t>
  </si>
  <si>
    <t>너구리통신</t>
  </si>
  <si>
    <t>보광안전</t>
  </si>
  <si>
    <t>대한전기,조명판매장</t>
  </si>
  <si>
    <t>제이엠제이정보</t>
  </si>
  <si>
    <t>효은기업</t>
  </si>
  <si>
    <t>송인보</t>
  </si>
  <si>
    <t>JM통신</t>
  </si>
  <si>
    <t>경덕전력</t>
  </si>
  <si>
    <t>두산건기경기동판매(주)</t>
  </si>
  <si>
    <t>에덴조경</t>
  </si>
  <si>
    <t>(주)한백전기</t>
  </si>
  <si>
    <t>서해마린</t>
  </si>
  <si>
    <t>(주)서경네트웍스</t>
  </si>
  <si>
    <t>주식회사 일우</t>
  </si>
  <si>
    <t>(주)아시아전기</t>
  </si>
  <si>
    <t>누리정보기술</t>
  </si>
  <si>
    <t>상주영천고속도로(주)</t>
  </si>
  <si>
    <t>유진전력 주식회사</t>
  </si>
  <si>
    <t>제이제이(J.J)정보통신</t>
  </si>
  <si>
    <t>성일건설</t>
  </si>
  <si>
    <t>(주)제니스네트웍</t>
  </si>
  <si>
    <t>주식회사유진정보통신</t>
  </si>
  <si>
    <t>성일통신(주)</t>
  </si>
  <si>
    <t>(주)일신앤아이에스</t>
  </si>
  <si>
    <t>(주)테스콤엔지니어링</t>
  </si>
  <si>
    <t>조원</t>
  </si>
  <si>
    <t>(주)세종전력</t>
  </si>
  <si>
    <t>(주)혜광전기감리</t>
  </si>
  <si>
    <t>주식회사이레전기</t>
  </si>
  <si>
    <t>(주)한솔전기통신</t>
  </si>
  <si>
    <t>(주)기공전설</t>
  </si>
  <si>
    <t>태경활선</t>
  </si>
  <si>
    <t>부광기업(주)</t>
  </si>
  <si>
    <t>신백건설기계부품</t>
  </si>
  <si>
    <t>아이에스(주)</t>
  </si>
  <si>
    <t>재원산업(주)</t>
  </si>
  <si>
    <t>한빛전기</t>
  </si>
  <si>
    <t>주식회사 파워전력플랜트</t>
  </si>
  <si>
    <t>단미테크</t>
  </si>
  <si>
    <t>김명식</t>
  </si>
  <si>
    <t>주식회사 동경그린전력</t>
  </si>
  <si>
    <t>(주)태림</t>
  </si>
  <si>
    <t>우진이엔씨</t>
  </si>
  <si>
    <t>주식회사에스케이보성</t>
  </si>
  <si>
    <t>(주)로그인</t>
  </si>
  <si>
    <t>남양이엔이(주)</t>
  </si>
  <si>
    <t>태백특장</t>
  </si>
  <si>
    <t>SK(주)</t>
  </si>
  <si>
    <t>주식회사 블루케이</t>
  </si>
  <si>
    <t>동아전기건설(주)</t>
  </si>
  <si>
    <t>태현텔레콤</t>
  </si>
  <si>
    <t>성우전기</t>
  </si>
  <si>
    <t>화인네트웍</t>
  </si>
  <si>
    <t>SKY정보통신</t>
  </si>
  <si>
    <t>제우</t>
  </si>
  <si>
    <t>박회진</t>
  </si>
  <si>
    <t>(주)포스코켐텍</t>
  </si>
  <si>
    <t>형제석재</t>
  </si>
  <si>
    <t>동진세이프</t>
  </si>
  <si>
    <t>(주)녹양</t>
  </si>
  <si>
    <t>(주)우호건설</t>
  </si>
  <si>
    <t>온누리통신</t>
  </si>
  <si>
    <t>영동마린</t>
  </si>
  <si>
    <t>대정통신(주)</t>
  </si>
  <si>
    <t>휴먼테크(주)</t>
  </si>
  <si>
    <t>한울통신</t>
  </si>
  <si>
    <t>유비텔레콤(주)</t>
  </si>
  <si>
    <t>한남전기</t>
  </si>
  <si>
    <t>(주)대오정공</t>
  </si>
  <si>
    <t>주식회사동남무선통신</t>
  </si>
  <si>
    <t>재흥통신</t>
  </si>
  <si>
    <t>(주)신성하이텍</t>
  </si>
  <si>
    <t>(주)케이아이앤티티</t>
  </si>
  <si>
    <t>HD통신</t>
  </si>
  <si>
    <t>주식회사 한진트래픽</t>
  </si>
  <si>
    <t>두산건기서울판매(주)</t>
  </si>
  <si>
    <t>주식회사 리치이엔씨</t>
  </si>
  <si>
    <t>(주)국제전기</t>
  </si>
  <si>
    <t>(주)대하정보기술</t>
  </si>
  <si>
    <t>광명정보통신(주)</t>
  </si>
  <si>
    <t>부산광역시남구청</t>
  </si>
  <si>
    <t>정선군수질환경사업소</t>
  </si>
  <si>
    <t>태영이엔지</t>
  </si>
  <si>
    <t>광도전력(주)</t>
  </si>
  <si>
    <t>아산활선</t>
  </si>
  <si>
    <t>대원정보통신 주식회사</t>
  </si>
  <si>
    <t>대신정보기술(주)</t>
  </si>
  <si>
    <t>(주)경성텔레콤</t>
  </si>
  <si>
    <t>스마일통신</t>
  </si>
  <si>
    <t>주식회사 금탑전기통신</t>
  </si>
  <si>
    <t>(주)중앙전자통신</t>
  </si>
  <si>
    <t>태화광고</t>
  </si>
  <si>
    <t>(주)태호전력</t>
  </si>
  <si>
    <t>하모니씨앤씨(주)</t>
  </si>
  <si>
    <t>(자)삼우전자통신</t>
  </si>
  <si>
    <t>창원시마산합포구청</t>
  </si>
  <si>
    <t>대전서구청</t>
  </si>
  <si>
    <t>한국전기안전공사</t>
  </si>
  <si>
    <t>한영근</t>
  </si>
  <si>
    <t>엠케이정보통신</t>
  </si>
  <si>
    <t>(주)성원정보통신</t>
  </si>
  <si>
    <t>옥룡스카이</t>
  </si>
  <si>
    <t>포항시 건설교통사업본부</t>
  </si>
  <si>
    <t>양구군청</t>
  </si>
  <si>
    <t>마포구청</t>
  </si>
  <si>
    <t>주식회사 태승정보통신</t>
  </si>
  <si>
    <t>성우정보통신(주)</t>
  </si>
  <si>
    <t>(주)동성전기통신</t>
  </si>
  <si>
    <t>반도산전(주)</t>
  </si>
  <si>
    <t>신라전기공사</t>
  </si>
  <si>
    <t>금강통신(주)</t>
  </si>
  <si>
    <t>화천군청</t>
  </si>
  <si>
    <t>의령군청</t>
  </si>
  <si>
    <t>파주시청</t>
  </si>
  <si>
    <t>(주)에스티씨네트웍스</t>
  </si>
  <si>
    <t>ABC스카이</t>
  </si>
  <si>
    <t>페스콤</t>
  </si>
  <si>
    <t>뉴젠통신</t>
  </si>
  <si>
    <t>강서구청</t>
  </si>
  <si>
    <t>윤정보통신</t>
  </si>
  <si>
    <t>(주)가네트</t>
  </si>
  <si>
    <t>주식회사 케이탑시스템</t>
  </si>
  <si>
    <t>대신네트웍스주식회사</t>
  </si>
  <si>
    <t>이진상</t>
  </si>
  <si>
    <t>청송특수화물(주)</t>
  </si>
  <si>
    <t>두민전기</t>
  </si>
  <si>
    <t>동아통신</t>
  </si>
  <si>
    <t>정용인</t>
  </si>
  <si>
    <t>정미농협</t>
  </si>
  <si>
    <t>한신전자(주)</t>
  </si>
  <si>
    <t>(주)유경전기</t>
  </si>
  <si>
    <t>아이코리아주식회사</t>
  </si>
  <si>
    <t>재원전력</t>
  </si>
  <si>
    <t>동국음향통신</t>
  </si>
  <si>
    <t>(주)일광통신</t>
  </si>
  <si>
    <t>(주)웅진통신</t>
  </si>
  <si>
    <t>김용태</t>
  </si>
  <si>
    <t>한국활선</t>
  </si>
  <si>
    <t>(주)건호정보통신</t>
  </si>
  <si>
    <t>접속나라</t>
  </si>
  <si>
    <t>(주)금강</t>
  </si>
  <si>
    <t>사랑 주식회사</t>
  </si>
  <si>
    <t>주식회사 선우개발</t>
  </si>
  <si>
    <t>지아이엘(통신)</t>
  </si>
  <si>
    <t>은빛 통신</t>
  </si>
  <si>
    <t>주식회사 탑정보통신</t>
  </si>
  <si>
    <t>육일정보통신 주식회사</t>
  </si>
  <si>
    <t>에스엠이엔지(주)</t>
  </si>
  <si>
    <t>해성고속</t>
  </si>
  <si>
    <t>인남정보통신주식회사</t>
  </si>
  <si>
    <t>주식회사 미강전력</t>
  </si>
  <si>
    <t>(주)한빛엔지니어링</t>
  </si>
  <si>
    <t>마린팩토리</t>
  </si>
  <si>
    <t>주식회사 삼도통신</t>
  </si>
  <si>
    <t>(자)삼화전기</t>
  </si>
  <si>
    <t>에코아이넷 주식회사</t>
  </si>
  <si>
    <t>동신통신(주)</t>
  </si>
  <si>
    <t>주식회사형제파워텔</t>
  </si>
  <si>
    <t>중앙하이텔(주)</t>
  </si>
  <si>
    <t>공무원연금공단 천안상록리조트</t>
  </si>
  <si>
    <t>인천광역시남부교육지원청</t>
  </si>
  <si>
    <t>아랑통신</t>
  </si>
  <si>
    <t>일성네트웍</t>
  </si>
  <si>
    <t>H정보통신</t>
  </si>
  <si>
    <t>주식회사 디티</t>
  </si>
  <si>
    <t>인포스텔 주식회사</t>
  </si>
  <si>
    <t>(합자회사)조광</t>
  </si>
  <si>
    <t>대원통신</t>
  </si>
  <si>
    <t>지영정보통신(주)</t>
  </si>
  <si>
    <t>주식회사 우일씨앤아이</t>
  </si>
  <si>
    <t>세광정보통신</t>
  </si>
  <si>
    <t>청음통신(주)</t>
  </si>
  <si>
    <t>지에스네트웍스(주)</t>
  </si>
  <si>
    <t>(주)보림프러스</t>
  </si>
  <si>
    <t>(주)하이스트네트워크</t>
  </si>
  <si>
    <t>유성전기통신</t>
  </si>
  <si>
    <t>수민ENC</t>
  </si>
  <si>
    <t>삼흥산업(주)</t>
  </si>
  <si>
    <t>정인</t>
  </si>
  <si>
    <t>제이에스(Js)</t>
  </si>
  <si>
    <t>주식회사 에이치이앤씨</t>
  </si>
  <si>
    <t>(유)제이씨기술정보통신</t>
  </si>
  <si>
    <t>한성통신</t>
  </si>
  <si>
    <t>대양통신</t>
  </si>
  <si>
    <t>SI네트웍스</t>
  </si>
  <si>
    <t>제이에스에이치 통신</t>
  </si>
  <si>
    <t>H.D정보통신</t>
  </si>
  <si>
    <t>창공정보통신(주)</t>
  </si>
  <si>
    <t>(주)이지텔레콤</t>
  </si>
  <si>
    <t>세광에너텍(주)</t>
  </si>
  <si>
    <t>하나기기</t>
  </si>
  <si>
    <t>(주)세진전기공사</t>
  </si>
  <si>
    <t>엄동현</t>
  </si>
  <si>
    <t>백마텔레콤(주)</t>
  </si>
  <si>
    <t>주식회사 명은</t>
  </si>
  <si>
    <t>중앙ENG</t>
  </si>
  <si>
    <t>(주)광진정보통신</t>
  </si>
  <si>
    <t>재재텔레콤</t>
  </si>
  <si>
    <t>주식회사 구례전기</t>
  </si>
  <si>
    <t>(주)경성전기공사</t>
  </si>
  <si>
    <t>뉴월드</t>
  </si>
  <si>
    <t>김점덕</t>
  </si>
  <si>
    <t>제주시청</t>
  </si>
  <si>
    <t>차상억</t>
  </si>
  <si>
    <t>(주)수민텔레콤</t>
  </si>
  <si>
    <t>주식회사 신성전자통신</t>
  </si>
  <si>
    <t>태현정보통신(주)</t>
  </si>
  <si>
    <t>(주)미르전력</t>
  </si>
  <si>
    <t>동민호이스트</t>
  </si>
  <si>
    <t>(주)경일</t>
  </si>
  <si>
    <t>광능민속품</t>
  </si>
  <si>
    <t>지광</t>
  </si>
  <si>
    <t>(주)민테크</t>
  </si>
  <si>
    <t>(주)이행네트웍</t>
  </si>
  <si>
    <t>(주)메가텔</t>
  </si>
  <si>
    <t>신양통신(주)</t>
  </si>
  <si>
    <t>대덕건기</t>
  </si>
  <si>
    <t>벨코리아(주)</t>
  </si>
  <si>
    <t>(주)정화전기통신공사</t>
  </si>
  <si>
    <t>수원통신</t>
  </si>
  <si>
    <t>케이폴CCTV</t>
  </si>
  <si>
    <t>주식회사 성오전력</t>
  </si>
  <si>
    <t>명진기계</t>
  </si>
  <si>
    <t>흥부활선</t>
  </si>
  <si>
    <t>대한산업</t>
  </si>
  <si>
    <t>YT정보통신</t>
  </si>
  <si>
    <t>다온통신</t>
  </si>
  <si>
    <t>세명전기(주)</t>
  </si>
  <si>
    <t>유진정보통신(주)</t>
  </si>
  <si>
    <t>(유)일도엔지니어링</t>
  </si>
  <si>
    <t>수윤통신</t>
  </si>
  <si>
    <t>(주)대경기전</t>
  </si>
  <si>
    <t>세훈통신</t>
  </si>
  <si>
    <t>주식회사라인이엔지</t>
  </si>
  <si>
    <t>주식회사 화승전력</t>
  </si>
  <si>
    <t>청평전력공사</t>
  </si>
  <si>
    <t>주식회사 인아전기</t>
  </si>
  <si>
    <t>임재영</t>
  </si>
  <si>
    <t>세진산업 주식회사</t>
  </si>
  <si>
    <t>하이정보통신</t>
  </si>
  <si>
    <t>스마트통신</t>
  </si>
  <si>
    <t>태승(통신)</t>
  </si>
  <si>
    <t>창성</t>
  </si>
  <si>
    <t>태성엘이디(태성LED)</t>
  </si>
  <si>
    <t>(주)엠스틸랜드</t>
  </si>
  <si>
    <t>주식회사 거성</t>
  </si>
  <si>
    <t>동우전기공사</t>
  </si>
  <si>
    <t>지인</t>
  </si>
  <si>
    <t>중앙전력</t>
  </si>
  <si>
    <t>청호주식회사</t>
  </si>
  <si>
    <t>(주)정도기술</t>
  </si>
  <si>
    <t>서진전력 주식회사</t>
  </si>
  <si>
    <t>선원건설(주)</t>
  </si>
  <si>
    <t>서대문구청</t>
  </si>
  <si>
    <t>(주)신화유디텍</t>
  </si>
  <si>
    <t>태성전기통신(주)</t>
  </si>
  <si>
    <t>경동운수(주)</t>
  </si>
  <si>
    <t>주식회사 케이엠씨앤아이</t>
  </si>
  <si>
    <t>문화통신</t>
  </si>
  <si>
    <t>삼우</t>
  </si>
  <si>
    <t>한성 TEX</t>
  </si>
  <si>
    <t>서울특별시 동부도로사업소</t>
  </si>
  <si>
    <t>기두석</t>
  </si>
  <si>
    <t>주식회사 남양이앤씨</t>
  </si>
  <si>
    <t>성준통신</t>
  </si>
  <si>
    <t>(주)라이노전력</t>
  </si>
  <si>
    <t>이엔트컴(주)</t>
  </si>
  <si>
    <t>에스오에스미디어(주)</t>
  </si>
  <si>
    <t>다나통신</t>
  </si>
  <si>
    <t>주식회사 좋은통신</t>
  </si>
  <si>
    <t>동부전력공사</t>
  </si>
  <si>
    <t>울창전력공사</t>
  </si>
  <si>
    <t>대전광역시 동구청</t>
  </si>
  <si>
    <t>(주)세한</t>
  </si>
  <si>
    <t>원용연</t>
  </si>
  <si>
    <t>MR정보통신</t>
  </si>
  <si>
    <t>DF정보통신</t>
  </si>
  <si>
    <t>셀컴아트</t>
  </si>
  <si>
    <t>(주)시온네트워크</t>
  </si>
  <si>
    <t>(주)금우전기</t>
  </si>
  <si>
    <t>MS정보통신(권정희)</t>
  </si>
  <si>
    <t>주식회사 오션인더스트리</t>
  </si>
  <si>
    <t>보경이앤씨</t>
  </si>
  <si>
    <t>신일전기상사</t>
  </si>
  <si>
    <t>(주)금호전력</t>
  </si>
  <si>
    <t>하나텍플러스 주식회사</t>
  </si>
  <si>
    <t>영광군청</t>
  </si>
  <si>
    <t>설종우</t>
  </si>
  <si>
    <t>엠케이정보</t>
  </si>
  <si>
    <t>세희정보통신</t>
  </si>
  <si>
    <t>아윤네트워크</t>
  </si>
  <si>
    <t>주식회사 명승미디어넷</t>
  </si>
  <si>
    <t>(주)미르정보통신</t>
  </si>
  <si>
    <t>(주)베스트탑 정보통신</t>
  </si>
  <si>
    <t>썬ENC</t>
  </si>
  <si>
    <t>주식회사 대원</t>
  </si>
  <si>
    <t>신월</t>
  </si>
  <si>
    <t>(주)대산전기건설공사</t>
  </si>
  <si>
    <t>주식회사 태강</t>
  </si>
  <si>
    <t>성심중장비</t>
  </si>
  <si>
    <t>김영배</t>
  </si>
  <si>
    <t>(유)광명중전기</t>
  </si>
  <si>
    <t>라우통신</t>
  </si>
  <si>
    <t>(주)강원네트웍스</t>
  </si>
  <si>
    <t>(주)에스엠이엔에프</t>
  </si>
  <si>
    <t>우영전기</t>
  </si>
  <si>
    <t>경성전기</t>
  </si>
  <si>
    <t>길네트웍스</t>
  </si>
  <si>
    <t>양평공사</t>
  </si>
  <si>
    <t>주식회사에디슨전기</t>
  </si>
  <si>
    <t>한국기전</t>
  </si>
  <si>
    <t>설화전기</t>
  </si>
  <si>
    <t>(주)글로벌이엔지</t>
  </si>
  <si>
    <t>주식회사 셀콤</t>
  </si>
  <si>
    <t>석보통신</t>
  </si>
  <si>
    <t>이에스네트워크</t>
  </si>
  <si>
    <t>대지전력</t>
  </si>
  <si>
    <t>은비정보통신</t>
  </si>
  <si>
    <t>김종덕</t>
  </si>
  <si>
    <t>삼정전력</t>
  </si>
  <si>
    <t>(주)경북정보통신</t>
  </si>
  <si>
    <t>전국분재</t>
  </si>
  <si>
    <t>주식회사 더지원네트웍스</t>
  </si>
  <si>
    <t>수일렉트릭</t>
  </si>
  <si>
    <t>정경건설</t>
  </si>
  <si>
    <t>태경통신</t>
  </si>
  <si>
    <t>(주)경남개발</t>
  </si>
  <si>
    <t>권영오</t>
  </si>
  <si>
    <t>LG에어컨간판망원소금구이</t>
  </si>
  <si>
    <t>유림이엔지(ENG)</t>
  </si>
  <si>
    <t>영덕군맑은물사업소</t>
  </si>
  <si>
    <t>수정건기</t>
  </si>
  <si>
    <t>(주)두산건기서울중부판매</t>
  </si>
  <si>
    <t>해본조선소</t>
  </si>
  <si>
    <t>성도통신</t>
  </si>
  <si>
    <t>윈정보통신</t>
  </si>
  <si>
    <t>이디엠</t>
  </si>
  <si>
    <t>구만2리어촌계</t>
  </si>
  <si>
    <t>PT CIPTA TAPAK SEJAHTERA</t>
  </si>
  <si>
    <t>유성텔레컴</t>
  </si>
  <si>
    <t>02네트워크</t>
  </si>
  <si>
    <t>나눔통신</t>
  </si>
  <si>
    <t>(주)중옥</t>
  </si>
  <si>
    <t>백호통신</t>
  </si>
  <si>
    <t>주식회사 조이앤바투</t>
  </si>
  <si>
    <t>홍익인간정보통신</t>
  </si>
  <si>
    <t>대경정보통신 주식회사</t>
  </si>
  <si>
    <t>수현정보통신</t>
  </si>
  <si>
    <t>(유)삼부전력</t>
  </si>
  <si>
    <t>(주)금라전력</t>
  </si>
  <si>
    <t>JC통신</t>
  </si>
  <si>
    <t>영남통신건설</t>
  </si>
  <si>
    <t>국제통신</t>
  </si>
  <si>
    <t>양남웅</t>
  </si>
  <si>
    <t>비엔디정보통신주식회사</t>
  </si>
  <si>
    <t>(주)상도정보통신</t>
  </si>
  <si>
    <t>미광안전시설</t>
  </si>
  <si>
    <t>(주)다누리전기기술공사</t>
  </si>
  <si>
    <t>거방통신</t>
  </si>
  <si>
    <t>마리네트웍</t>
  </si>
  <si>
    <t>제일 통신</t>
  </si>
  <si>
    <t>주식회사 서전이엔씨</t>
  </si>
  <si>
    <t>(주)유온전력</t>
  </si>
  <si>
    <t>(주)세양전기</t>
  </si>
  <si>
    <t>금우정보통신</t>
  </si>
  <si>
    <t>미주통신</t>
  </si>
  <si>
    <t>(주)신용전기</t>
  </si>
  <si>
    <t>혁진</t>
  </si>
  <si>
    <t>신흥전기</t>
  </si>
  <si>
    <t>재민통신</t>
  </si>
  <si>
    <t>진광파워넷</t>
  </si>
  <si>
    <t>수남정보통신</t>
  </si>
  <si>
    <t>주식회사 우진전기</t>
  </si>
  <si>
    <t>세광정보통신 주식회사</t>
  </si>
  <si>
    <t>에스디전력 주식회사</t>
  </si>
  <si>
    <t>다이브알앤디(Dive R＆D)</t>
  </si>
  <si>
    <t>남강주유기</t>
  </si>
  <si>
    <t>유신전기건설(주)</t>
  </si>
  <si>
    <t>충청전력이엔지 주식회사</t>
  </si>
  <si>
    <t>이레전기(주)</t>
  </si>
  <si>
    <t>성욱정보통신</t>
  </si>
  <si>
    <t>주식회사 대한이엔씨</t>
  </si>
  <si>
    <t>스피드넷고</t>
  </si>
  <si>
    <t>(주)명전사</t>
  </si>
  <si>
    <t>황간미디어텔레콤</t>
  </si>
  <si>
    <t>권유근</t>
  </si>
  <si>
    <t>케이투정보통신</t>
  </si>
  <si>
    <t>경성산업</t>
  </si>
  <si>
    <t>경정보통신</t>
  </si>
  <si>
    <t>한결미디어</t>
  </si>
  <si>
    <t>명성전기통신</t>
  </si>
  <si>
    <t>장원화물</t>
  </si>
  <si>
    <t>(주)정진건설</t>
  </si>
  <si>
    <t>심철현</t>
  </si>
  <si>
    <t>주식회사 에스디에스테크놀로지</t>
  </si>
  <si>
    <t>진우산전주식회사</t>
  </si>
  <si>
    <t>금강전력</t>
  </si>
  <si>
    <t>현민써비스</t>
  </si>
  <si>
    <t>최석원</t>
  </si>
  <si>
    <t>주식회사 가온이엠씨</t>
  </si>
  <si>
    <t>주식회사 신성기전</t>
  </si>
  <si>
    <t>제일유압</t>
  </si>
  <si>
    <t>이윤칠</t>
  </si>
  <si>
    <t>해피태크(HAPPY TECH)</t>
  </si>
  <si>
    <t>더원전기</t>
  </si>
  <si>
    <t>거성전기</t>
  </si>
  <si>
    <t>주식회사 신성전기</t>
  </si>
  <si>
    <t>(주)씨엠비대구방송</t>
  </si>
  <si>
    <t>박용근</t>
  </si>
  <si>
    <t>(주)한국전기하이테크</t>
  </si>
  <si>
    <t>동호레져(주)</t>
  </si>
  <si>
    <t>대호지농협</t>
  </si>
  <si>
    <t>단비통신</t>
  </si>
  <si>
    <t>GONGLI COMPOSITES(SHANGHAI)CO.,LTD</t>
  </si>
  <si>
    <t>서영정보통신</t>
  </si>
  <si>
    <t>우미정보통신</t>
  </si>
  <si>
    <t>내포활선</t>
  </si>
  <si>
    <t>주식회사 대청정보통신</t>
  </si>
  <si>
    <t>보광정보통신</t>
  </si>
  <si>
    <t>씨엔아이(CNI)</t>
  </si>
  <si>
    <t>천일정보통신</t>
  </si>
  <si>
    <t>신한전공</t>
  </si>
  <si>
    <t>신안선외기</t>
  </si>
  <si>
    <t>한라정보통신</t>
  </si>
  <si>
    <t>동광통신</t>
  </si>
  <si>
    <t>부흥통신</t>
  </si>
  <si>
    <t>티엔에스아이(주)</t>
  </si>
  <si>
    <t>주식회사 옥당이엔지</t>
  </si>
  <si>
    <t>대창텔레콤(주)</t>
  </si>
  <si>
    <t>제일전기조명</t>
  </si>
  <si>
    <t>(주)전일통신공사</t>
  </si>
  <si>
    <t>(주)태양전기건설</t>
  </si>
  <si>
    <t>태창건설</t>
  </si>
  <si>
    <t>통일건기</t>
  </si>
  <si>
    <t>대진통신</t>
  </si>
  <si>
    <t>김시연</t>
  </si>
  <si>
    <t>(주)하이템</t>
  </si>
  <si>
    <t>(주)한티움</t>
  </si>
  <si>
    <t>주식회사 제이디이앤씨</t>
  </si>
  <si>
    <t>라인테크</t>
  </si>
  <si>
    <t>(주)성한전기건설공사</t>
  </si>
  <si>
    <t>(주)거산</t>
  </si>
  <si>
    <t>주식회사 반디전력공사</t>
  </si>
  <si>
    <t>한길이엔씨</t>
  </si>
  <si>
    <t>주식회사 서광전기통신</t>
  </si>
  <si>
    <t>동아전력</t>
  </si>
  <si>
    <t>(주)노하우정보통신</t>
  </si>
  <si>
    <t>제이비정보통신</t>
  </si>
  <si>
    <t>원광통신</t>
  </si>
  <si>
    <t>태연통신</t>
  </si>
  <si>
    <t>연우 네트워크</t>
  </si>
  <si>
    <t>태극전기(주)</t>
  </si>
  <si>
    <t>세븐정보통신 주식회사</t>
  </si>
  <si>
    <t>JCN정보통신</t>
  </si>
  <si>
    <t>배선자</t>
  </si>
  <si>
    <t>주식회사 티아이</t>
  </si>
  <si>
    <t>갑진통신</t>
  </si>
  <si>
    <t>모든통신</t>
  </si>
  <si>
    <t>김용철</t>
  </si>
  <si>
    <t>중시스템</t>
  </si>
  <si>
    <t>파란정보통신 주식회사</t>
  </si>
  <si>
    <t>원정보통신</t>
  </si>
  <si>
    <t>삼일유압</t>
  </si>
  <si>
    <t>주식회사 휴먼이엔씨</t>
  </si>
  <si>
    <t>(주)한결통신</t>
  </si>
  <si>
    <t>태영라지에타</t>
  </si>
  <si>
    <t>주식회사한국엘이디</t>
  </si>
  <si>
    <t>합자회사신호산업</t>
  </si>
  <si>
    <t>파워텍</t>
  </si>
  <si>
    <t>(주)파워</t>
  </si>
  <si>
    <t>주식회사 새눈</t>
  </si>
  <si>
    <t>주식회사 한울전설</t>
  </si>
  <si>
    <t>플러스 정보통신</t>
  </si>
  <si>
    <t>주식회사포스원이엔씨</t>
  </si>
  <si>
    <t>우리기술정보</t>
  </si>
  <si>
    <t>제이에이치산업주식회사</t>
  </si>
  <si>
    <t>휴먼라이트</t>
  </si>
  <si>
    <t>주식회사 두잇(Do it)</t>
  </si>
  <si>
    <t>제이케이엘(JKL) 통신</t>
  </si>
  <si>
    <t>(주)대신전력공사</t>
  </si>
  <si>
    <t>천혜이앤씨 주식회사</t>
  </si>
  <si>
    <t>주식회사 부성전기</t>
  </si>
  <si>
    <t>멀티스퀘어</t>
  </si>
  <si>
    <t>현종호</t>
  </si>
  <si>
    <t>주식회사 제일전기</t>
  </si>
  <si>
    <t>두리넷</t>
  </si>
  <si>
    <t>가온아이티에스(주)</t>
  </si>
  <si>
    <t>대림중기</t>
  </si>
  <si>
    <t>조은광고기획</t>
  </si>
  <si>
    <t>이현통신</t>
  </si>
  <si>
    <t>포스트</t>
  </si>
  <si>
    <t>주식회사새빛넷</t>
  </si>
  <si>
    <t>주식회사 바른네트워크</t>
  </si>
  <si>
    <t>인천광역시연수구청</t>
  </si>
  <si>
    <t>신승전기주식회사</t>
  </si>
  <si>
    <t>IK(아이케이)</t>
  </si>
  <si>
    <t>안정심</t>
  </si>
  <si>
    <t>신우정보통신(주)</t>
  </si>
  <si>
    <t>한빛통신주식회사</t>
  </si>
  <si>
    <t>코어넷</t>
  </si>
  <si>
    <t>(주)덕산전기</t>
  </si>
  <si>
    <t>AMERICAN MEBASSY ANTANANARIVO</t>
  </si>
  <si>
    <t>태림산업</t>
  </si>
  <si>
    <t>(주)케이엔에스</t>
  </si>
  <si>
    <t>안풍전업사 주식회사</t>
  </si>
  <si>
    <t>군산선외기</t>
  </si>
  <si>
    <t>(주)비엔씨테크</t>
  </si>
  <si>
    <t>중앙전설</t>
  </si>
  <si>
    <t>이레활선</t>
  </si>
  <si>
    <t>주식회사 나우테크</t>
  </si>
  <si>
    <t>대림전기주식회사</t>
  </si>
  <si>
    <t>박명순</t>
  </si>
  <si>
    <t>초과저지장비실 에어시스템 개선 공사</t>
  </si>
  <si>
    <t>목포탑마린</t>
  </si>
  <si>
    <t>승현건설</t>
  </si>
  <si>
    <t>박진우</t>
  </si>
  <si>
    <t>가나테크</t>
  </si>
  <si>
    <t>베스트 테크</t>
  </si>
  <si>
    <t>주식회사 화성전력</t>
  </si>
  <si>
    <t>베스트통신</t>
  </si>
  <si>
    <t>(주)갑산전기</t>
  </si>
  <si>
    <t>태흥</t>
  </si>
  <si>
    <t>(주)원전력</t>
  </si>
  <si>
    <t>대정환경자원</t>
  </si>
  <si>
    <t>동성기계</t>
  </si>
  <si>
    <t>신아엔지니어링</t>
  </si>
  <si>
    <t>주식회사 창진전력</t>
  </si>
  <si>
    <t>주식회사 행복의 날개</t>
  </si>
  <si>
    <t>멀티정보통신</t>
  </si>
  <si>
    <t>아이에스토탈서비스(주)</t>
  </si>
  <si>
    <t>(주)삼열전력</t>
  </si>
  <si>
    <t>하늘 텔레콤</t>
  </si>
  <si>
    <t>코라인이엔티(주)</t>
  </si>
  <si>
    <t>제CI통신</t>
  </si>
  <si>
    <t>(주)건보전기</t>
  </si>
  <si>
    <t>대운산전</t>
  </si>
  <si>
    <t>완도군청</t>
  </si>
  <si>
    <t>(자)돈흥전기</t>
  </si>
  <si>
    <t>(주)일신엔지니어링</t>
  </si>
  <si>
    <t>대운활선</t>
  </si>
  <si>
    <t>(주)코아이엔지전력</t>
  </si>
  <si>
    <t>광명전기</t>
  </si>
  <si>
    <t>(주)대주통신</t>
  </si>
  <si>
    <t>이방훈</t>
  </si>
  <si>
    <t>유한회사 시민전기</t>
  </si>
  <si>
    <t>대성선외기</t>
  </si>
  <si>
    <t>세광통신</t>
  </si>
  <si>
    <t>주식회사 한빛엔지니어링</t>
  </si>
  <si>
    <t>농림축산검역본부</t>
  </si>
  <si>
    <t>(주)한양전력</t>
  </si>
  <si>
    <t>태양정보통신</t>
  </si>
  <si>
    <t>(주)컴플러스</t>
  </si>
  <si>
    <t>태양정보통신(주)</t>
  </si>
  <si>
    <t>주식회사 용이케이블</t>
  </si>
  <si>
    <t>주식회사 중부케이블</t>
  </si>
  <si>
    <t>방무혁</t>
  </si>
  <si>
    <t>주식회사 남양렉카</t>
  </si>
  <si>
    <t>조은마린</t>
  </si>
  <si>
    <t>반석시스템</t>
  </si>
  <si>
    <t>(주)글로벌넷</t>
  </si>
  <si>
    <t>(주)수인전력</t>
  </si>
  <si>
    <t>함안군상하수도사업소</t>
  </si>
  <si>
    <t>(주)한화건설</t>
  </si>
  <si>
    <t>강화정보통신(주)</t>
  </si>
  <si>
    <t>(유)쎈스</t>
  </si>
  <si>
    <t>주식회사 다진</t>
  </si>
  <si>
    <t>대소정보통신</t>
  </si>
  <si>
    <t>튼튼지붕(주)</t>
  </si>
  <si>
    <t>반도전기</t>
  </si>
  <si>
    <t>지성텔레콤</t>
  </si>
  <si>
    <t>탑 에이치 정보통신</t>
  </si>
  <si>
    <t>신림전기</t>
  </si>
  <si>
    <t>선우기업</t>
  </si>
  <si>
    <t>(주)연성</t>
  </si>
  <si>
    <t>2018/02/06  오후 5:48:18</t>
  </si>
  <si>
    <t>동해고소작업차</t>
  </si>
  <si>
    <t xml:space="preserve">DHS 280AP </t>
  </si>
  <si>
    <t xml:space="preserve">DHS 15AP </t>
  </si>
  <si>
    <t xml:space="preserve">DHS 1800 </t>
  </si>
  <si>
    <t xml:space="preserve">DHS 433L </t>
  </si>
  <si>
    <t xml:space="preserve">DHS870 </t>
  </si>
  <si>
    <t xml:space="preserve">DHS 250AP </t>
  </si>
  <si>
    <t xml:space="preserve">유압 휠 드라이브 </t>
  </si>
  <si>
    <t xml:space="preserve">DHS 19AP </t>
  </si>
  <si>
    <t xml:space="preserve">DHS 433M </t>
  </si>
  <si>
    <t xml:space="preserve">DHS 1800외 </t>
  </si>
  <si>
    <t xml:space="preserve">DHS 433L외 </t>
  </si>
  <si>
    <t xml:space="preserve">DHS 1800-7EA </t>
  </si>
  <si>
    <t>동해고소작업차-1312</t>
  </si>
  <si>
    <t xml:space="preserve">DHS 7526+ </t>
  </si>
  <si>
    <t>DHX 100</t>
  </si>
  <si>
    <t xml:space="preserve">SOLENOID VALVE외 </t>
  </si>
  <si>
    <t xml:space="preserve">DHS 17AP외 </t>
  </si>
  <si>
    <t xml:space="preserve">DHT 160AS </t>
  </si>
  <si>
    <t>크레인대감</t>
  </si>
  <si>
    <t xml:space="preserve">DHS 1200L-2EA </t>
  </si>
  <si>
    <t xml:space="preserve">DHT-160AS </t>
  </si>
  <si>
    <t xml:space="preserve">BUCKET </t>
  </si>
  <si>
    <t xml:space="preserve">DHS 1200L외 </t>
  </si>
  <si>
    <t xml:space="preserve">DHS 1200L </t>
  </si>
  <si>
    <t xml:space="preserve">DHS16AP외 </t>
  </si>
  <si>
    <t xml:space="preserve">DHS 21AP </t>
  </si>
  <si>
    <t>활주로 초과저지 자재</t>
  </si>
  <si>
    <t>활주로방해시설</t>
  </si>
  <si>
    <t xml:space="preserve">크레인대금 </t>
  </si>
  <si>
    <t>특장차대금</t>
  </si>
  <si>
    <t>성남비행장 MA-1A 이전설치건</t>
  </si>
  <si>
    <t>DHS 21AP</t>
  </si>
  <si>
    <t>DHS 1800,DHS 15AP</t>
  </si>
  <si>
    <t xml:space="preserve">DHS 17AP </t>
  </si>
  <si>
    <t xml:space="preserve">DHT 160AS외 </t>
  </si>
  <si>
    <t>DHS 160S</t>
  </si>
  <si>
    <t xml:space="preserve">CORE BACKING PLATE외 </t>
  </si>
  <si>
    <t>크레인부품대금</t>
  </si>
  <si>
    <t>DHS7526+외</t>
  </si>
  <si>
    <t xml:space="preserve">BRAKE REPAIR KIT </t>
  </si>
  <si>
    <t>임대장비 탁송료</t>
  </si>
  <si>
    <t>DHS 280AP-4EA</t>
  </si>
  <si>
    <t>DHT 1800</t>
  </si>
  <si>
    <t>DHS 7526+</t>
  </si>
  <si>
    <t xml:space="preserve">DHT 145AS </t>
  </si>
  <si>
    <t>초과저지장비</t>
  </si>
  <si>
    <t xml:space="preserve">HYDRAULIC PUMP외 </t>
  </si>
  <si>
    <t xml:space="preserve">DHS 280AP외 </t>
  </si>
  <si>
    <t xml:space="preserve">DHS 988외 </t>
  </si>
  <si>
    <t>적재함 보강 및 공구함 설치</t>
  </si>
  <si>
    <t xml:space="preserve">DHS 950L </t>
  </si>
  <si>
    <t>김제시청 추가부품대금</t>
  </si>
  <si>
    <t>크레인 구성품 외</t>
  </si>
  <si>
    <t>실린더판매</t>
  </si>
  <si>
    <t>9월 적재함 보강 및 공구함 설치 24대</t>
  </si>
  <si>
    <t xml:space="preserve">DHS 250AP외 </t>
  </si>
  <si>
    <t xml:space="preserve">ALPHA 5000외 </t>
  </si>
  <si>
    <t>유압휠드라이브</t>
  </si>
  <si>
    <t xml:space="preserve">TELES COPIC CYLINDER외 </t>
  </si>
  <si>
    <t>JACK CYLINDER ASSY외 2건</t>
  </si>
  <si>
    <t xml:space="preserve">DHS 870 </t>
  </si>
  <si>
    <t xml:space="preserve">DHS 15AP외 </t>
  </si>
  <si>
    <t>10월 적재함 보강 및 공구함 설치 2대</t>
  </si>
  <si>
    <t xml:space="preserve">FILTER외 </t>
  </si>
  <si>
    <t>P6000 주탑 실린더 외</t>
  </si>
  <si>
    <t>11월 상반기 적재함 보강 및 공구함 설치 2대</t>
  </si>
  <si>
    <t>P3000 잭실린더-전시용</t>
  </si>
  <si>
    <t>휠드라이브</t>
  </si>
  <si>
    <t>11월 하반기 적재함 보강 및 공구함 설치 49대</t>
  </si>
  <si>
    <t>D&amp;B-250 OG 틸팅실린더 외 9종</t>
  </si>
  <si>
    <t xml:space="preserve">리모컨외 3종 추가계약건 </t>
  </si>
  <si>
    <t>활주로초과저지장비</t>
  </si>
  <si>
    <t xml:space="preserve">순천시청 추가 물품구입 및 설치 </t>
  </si>
  <si>
    <t xml:space="preserve">ROPE WINDING DRUM외 </t>
  </si>
  <si>
    <t>계약금</t>
  </si>
  <si>
    <t>12월 적재함 보강 및 공구함 설치 15대</t>
  </si>
  <si>
    <t>350W 틸팅 실린더 외 6건</t>
  </si>
  <si>
    <t>1월 상반기 적재함 보강 및 공구함 설치 35대</t>
  </si>
  <si>
    <t xml:space="preserve">부품반환 </t>
  </si>
  <si>
    <t>1월 하반기 적재함 보강 및 공구함 설치 35대</t>
  </si>
  <si>
    <t>P4000 주탑 실린더 외 14건</t>
  </si>
  <si>
    <t>고소작업차량 장착용 유압원거리 전기가위 구입</t>
  </si>
  <si>
    <t xml:space="preserve">동해이동정비탑차-담당저 전대희 </t>
  </si>
  <si>
    <t xml:space="preserve">동해이동정비차 DHS 433L／담당자 전대희 </t>
  </si>
  <si>
    <t xml:space="preserve">P3000 슬라이딩 실린더 외 7건 </t>
  </si>
  <si>
    <t xml:space="preserve">DHS433 집게크레인 </t>
  </si>
  <si>
    <t xml:space="preserve">DHS 15AP-4UNIT </t>
  </si>
  <si>
    <t xml:space="preserve">DHS 21AP-W </t>
  </si>
  <si>
    <t xml:space="preserve">P3000 주탑실린더 외 4건 </t>
  </si>
  <si>
    <t>DHS433 집게크레인</t>
  </si>
  <si>
    <t xml:space="preserve">크레인계약금 </t>
  </si>
  <si>
    <t>크레인계약금</t>
  </si>
  <si>
    <t xml:space="preserve">DHS 105AP </t>
  </si>
  <si>
    <t xml:space="preserve">ALPHA 5000 </t>
  </si>
  <si>
    <t xml:space="preserve">DHS 125AP </t>
  </si>
  <si>
    <t xml:space="preserve">DHM 750S </t>
  </si>
  <si>
    <t xml:space="preserve">DHS 433LM </t>
  </si>
  <si>
    <t xml:space="preserve">DHS 544L </t>
  </si>
  <si>
    <t xml:space="preserve">DHS 930 </t>
  </si>
  <si>
    <t xml:space="preserve">DHS 190SKY </t>
  </si>
  <si>
    <t xml:space="preserve">DHM 1100S2 </t>
  </si>
  <si>
    <t xml:space="preserve">DHX 100 </t>
  </si>
  <si>
    <t xml:space="preserve">DHS 950L-2014 </t>
  </si>
  <si>
    <t xml:space="preserve">남원시청 추가물품 장착 </t>
  </si>
  <si>
    <t xml:space="preserve">DHS 433 </t>
  </si>
  <si>
    <t xml:space="preserve">SUB FRONT OUTRIGGER AND PARTS </t>
  </si>
  <si>
    <t xml:space="preserve">BOOM 조립체 외 </t>
  </si>
  <si>
    <t xml:space="preserve">칼럼 조립체 외 </t>
  </si>
  <si>
    <t xml:space="preserve">DHT 150S </t>
  </si>
  <si>
    <t xml:space="preserve">밀양시청 추가계약건 </t>
  </si>
  <si>
    <t xml:space="preserve">보령시청 추가계약건 </t>
  </si>
  <si>
    <t>울산광역시시설관리공단 추가계약건</t>
  </si>
  <si>
    <t>부산북구청 선금급-샤시구매</t>
  </si>
  <si>
    <t xml:space="preserve">HWD-200 </t>
  </si>
  <si>
    <t xml:space="preserve">DHS 102AP </t>
  </si>
  <si>
    <t xml:space="preserve">인제군청 추가계약건 </t>
  </si>
  <si>
    <t>크레인선급금</t>
  </si>
  <si>
    <t xml:space="preserve">부산동래구청 추가계약건 </t>
  </si>
  <si>
    <t xml:space="preserve">DH WONDER 21 </t>
  </si>
  <si>
    <t xml:space="preserve">크레인 선금급 </t>
  </si>
  <si>
    <t xml:space="preserve">DHT 150AS </t>
  </si>
  <si>
    <t xml:space="preserve">DHS 203 </t>
  </si>
  <si>
    <t>추가계약건</t>
  </si>
  <si>
    <t xml:space="preserve">DHM 1300S2 </t>
  </si>
  <si>
    <t xml:space="preserve">DSH 1200L </t>
  </si>
  <si>
    <t xml:space="preserve">DHS 920 </t>
  </si>
  <si>
    <t xml:space="preserve">옵션추가계약건 </t>
  </si>
  <si>
    <t xml:space="preserve">DHS 950L-18대 </t>
  </si>
  <si>
    <t xml:space="preserve">DHS 15PA </t>
  </si>
  <si>
    <t xml:space="preserve">DHT 160S </t>
  </si>
  <si>
    <t xml:space="preserve">DHM 1500S2 </t>
  </si>
  <si>
    <t xml:space="preserve">추가계약건 </t>
  </si>
  <si>
    <t xml:space="preserve">ALPHA 12000 </t>
  </si>
  <si>
    <t xml:space="preserve">DHS 905L </t>
  </si>
  <si>
    <t>H-BEAM외</t>
  </si>
  <si>
    <t xml:space="preserve">DERRICK CYLINDER외 </t>
  </si>
  <si>
    <t>유압인출장치</t>
  </si>
  <si>
    <t xml:space="preserve">DHS 930-중고장비 </t>
  </si>
  <si>
    <t xml:space="preserve">DHS 706STD </t>
  </si>
  <si>
    <t xml:space="preserve">본기둥실린더등14종 </t>
  </si>
  <si>
    <t xml:space="preserve">DHT 150ASB </t>
  </si>
  <si>
    <t>중고장비</t>
  </si>
  <si>
    <t xml:space="preserve">코란도 적재함개조 외 </t>
  </si>
  <si>
    <t xml:space="preserve">DSH 950L </t>
  </si>
  <si>
    <t xml:space="preserve">DHS17AP </t>
  </si>
  <si>
    <t xml:space="preserve">DHS 150S </t>
  </si>
  <si>
    <t xml:space="preserve">Pit Sleeve 제작 </t>
  </si>
  <si>
    <t xml:space="preserve">하이브리드시스템 환입 </t>
  </si>
  <si>
    <t xml:space="preserve">부품대금 </t>
  </si>
  <si>
    <t>차량옵션</t>
  </si>
  <si>
    <t xml:space="preserve">DHT 105S </t>
  </si>
  <si>
    <t xml:space="preserve">DHS 606STD </t>
  </si>
  <si>
    <t>DHT 160A S</t>
  </si>
  <si>
    <t xml:space="preserve">spare parts of DH WONDER21외 </t>
  </si>
  <si>
    <t xml:space="preserve">DH S3000A </t>
  </si>
  <si>
    <t xml:space="preserve">FRP BUCKET외 </t>
  </si>
  <si>
    <t xml:space="preserve">JOYSTICK외 </t>
  </si>
  <si>
    <t xml:space="preserve">DH SUPER 3000A </t>
  </si>
  <si>
    <t xml:space="preserve">DHAS 120AP </t>
  </si>
  <si>
    <t xml:space="preserve">DHS 14 </t>
  </si>
  <si>
    <t>선급금 70%</t>
  </si>
  <si>
    <t xml:space="preserve">DHS 160AS </t>
  </si>
  <si>
    <t xml:space="preserve">DHS1200 5Q＇ty </t>
  </si>
  <si>
    <t xml:space="preserve">이동정비탑차 </t>
  </si>
  <si>
    <t>마산회원구청 추가계약</t>
  </si>
  <si>
    <t>김해도시개발 추가계약</t>
  </si>
  <si>
    <t xml:space="preserve">DHS433L </t>
  </si>
  <si>
    <t xml:space="preserve">동해이동정비탑차 </t>
  </si>
  <si>
    <t xml:space="preserve">코란도이동정비차 </t>
  </si>
  <si>
    <t xml:space="preserve">DHS 19AP외 </t>
  </si>
  <si>
    <t>KIA BONGO 3 1TON</t>
  </si>
  <si>
    <t xml:space="preserve">KIA BONGO3 1TON </t>
  </si>
  <si>
    <t xml:space="preserve">DHA 102AP </t>
  </si>
  <si>
    <t xml:space="preserve">DHS 1200HC-3대 </t>
  </si>
  <si>
    <t xml:space="preserve">DHS 7526 </t>
  </si>
  <si>
    <t xml:space="preserve">차체지지대 </t>
  </si>
  <si>
    <t xml:space="preserve">추가품목 </t>
  </si>
  <si>
    <t xml:space="preserve">DHS 108SKY </t>
  </si>
  <si>
    <t xml:space="preserve">DHS 130SKY </t>
  </si>
  <si>
    <t xml:space="preserve">동해이동정비차 </t>
  </si>
  <si>
    <t xml:space="preserve">동해이동장비탑차 </t>
  </si>
  <si>
    <t xml:space="preserve">DHS-14외 </t>
  </si>
  <si>
    <t xml:space="preserve">DHAS 140SS </t>
  </si>
  <si>
    <t xml:space="preserve">WOODEN BOX </t>
  </si>
  <si>
    <t xml:space="preserve">PART FOR CONTROL BOX </t>
  </si>
  <si>
    <t>MA-1A보호커버</t>
  </si>
  <si>
    <t xml:space="preserve">DHT 160S-6 Q'ty </t>
  </si>
  <si>
    <t xml:space="preserve">Limit sensor for boom rest bracket외 </t>
  </si>
  <si>
    <t xml:space="preserve">DHT 150AS-2Q'ty </t>
  </si>
  <si>
    <t xml:space="preserve">DH TKA-442C </t>
  </si>
  <si>
    <t xml:space="preserve">DHS 534MAP </t>
  </si>
  <si>
    <t xml:space="preserve">DHT 170AS </t>
  </si>
  <si>
    <t xml:space="preserve">USED SUPER 3000-9Q'ty </t>
  </si>
  <si>
    <t xml:space="preserve">USED DHS 870외 </t>
  </si>
  <si>
    <t xml:space="preserve">UPPER CONTROL BOX ASS'Y FOR DHS1800 </t>
  </si>
  <si>
    <t xml:space="preserve">HYDRAULIC HOSE REEL외 </t>
  </si>
  <si>
    <t xml:space="preserve">DYNALI-H3 HELICOPERS </t>
  </si>
  <si>
    <t xml:space="preserve">GOVERNOR CARD </t>
  </si>
  <si>
    <t xml:space="preserve">DHS 43L </t>
  </si>
  <si>
    <t xml:space="preserve">DAH 102AP </t>
  </si>
  <si>
    <t xml:space="preserve">VALVE ASS'Y외 </t>
  </si>
  <si>
    <t xml:space="preserve">DHS 433MAP </t>
  </si>
  <si>
    <t>Outrigger rubber pad외</t>
  </si>
  <si>
    <t xml:space="preserve">WIRED COMPUTER CONTROL SYSTEM외 </t>
  </si>
  <si>
    <t>DHS 1800AF</t>
  </si>
  <si>
    <t>DHS 950</t>
  </si>
  <si>
    <t xml:space="preserve">OUTRIGGER EXTENSION STEEL TUBE KIT </t>
  </si>
  <si>
    <t>동해이동정비탑차</t>
  </si>
  <si>
    <t xml:space="preserve">DHS 1200HC-10대 </t>
  </si>
  <si>
    <t>DHMN-04</t>
  </si>
  <si>
    <t>DHMN-03</t>
  </si>
  <si>
    <t xml:space="preserve">DHT 160S-7Q'ty </t>
  </si>
  <si>
    <t>DHS 433MAP</t>
  </si>
  <si>
    <t>재활용품 수거 및 온천천쓰레기 상차 차량 밀폐형 덮개 설치</t>
  </si>
  <si>
    <t>DH SUPUER 3000A</t>
  </si>
  <si>
    <t xml:space="preserve">DHT 180AS </t>
  </si>
  <si>
    <t xml:space="preserve">DHT 160S-2Q'TY </t>
  </si>
  <si>
    <t>자동덮개장착</t>
  </si>
  <si>
    <t>DHS 105S</t>
  </si>
  <si>
    <t xml:space="preserve">DHT 150AS-3unit </t>
  </si>
  <si>
    <t xml:space="preserve">FRP BOOM </t>
  </si>
  <si>
    <t xml:space="preserve">DHT 180S-5대 </t>
  </si>
  <si>
    <t xml:space="preserve">DHS 17AP-5대 </t>
  </si>
  <si>
    <t>DHAS 105AP</t>
  </si>
  <si>
    <t>DHS 240SKY</t>
  </si>
  <si>
    <t>BARRIER SYSTEM</t>
  </si>
  <si>
    <t>4500201168:투르크 내무부</t>
  </si>
  <si>
    <t>DHS 433L</t>
    <phoneticPr fontId="1" type="noConversion"/>
  </si>
  <si>
    <t>DHT 180AS</t>
  </si>
  <si>
    <t>DHT 180AS</t>
    <phoneticPr fontId="1" type="noConversion"/>
  </si>
  <si>
    <t>DHS 160AS</t>
  </si>
  <si>
    <t>DHS 160AS</t>
    <phoneticPr fontId="1" type="noConversion"/>
  </si>
  <si>
    <t>대수</t>
  </si>
  <si>
    <t>대수</t>
    <phoneticPr fontId="1" type="noConversion"/>
  </si>
  <si>
    <t>2017년기준</t>
  </si>
  <si>
    <t>2017년기준</t>
    <phoneticPr fontId="1" type="noConversion"/>
  </si>
  <si>
    <t>2018년</t>
  </si>
  <si>
    <t>2018년</t>
    <phoneticPr fontId="1" type="noConversion"/>
  </si>
  <si>
    <t>오거크레인 확인</t>
    <phoneticPr fontId="1" type="noConversion"/>
  </si>
  <si>
    <t>DHS 320SKY</t>
  </si>
  <si>
    <t>DHT 170S</t>
  </si>
  <si>
    <t>DHS 950L</t>
    <phoneticPr fontId="1" type="noConversion"/>
  </si>
  <si>
    <t>DHT 160S-7Q'ty</t>
  </si>
  <si>
    <t>DHT 160S-7Q'ty</t>
    <phoneticPr fontId="1" type="noConversion"/>
  </si>
  <si>
    <t>DHT 160AS</t>
    <phoneticPr fontId="1" type="noConversion"/>
  </si>
  <si>
    <t>DHT 150AS</t>
    <phoneticPr fontId="1" type="noConversion"/>
  </si>
  <si>
    <t>DHS 15AP</t>
    <phoneticPr fontId="1" type="noConversion"/>
  </si>
  <si>
    <t>DHS 17AP</t>
    <phoneticPr fontId="1" type="noConversion"/>
  </si>
  <si>
    <t>DHT 150S</t>
    <phoneticPr fontId="1" type="noConversion"/>
  </si>
  <si>
    <t>DHT 180S-5대</t>
  </si>
  <si>
    <t>DHT 180S-5대</t>
    <phoneticPr fontId="1" type="noConversion"/>
  </si>
  <si>
    <t>BARRIER SYSTEM</t>
    <phoneticPr fontId="1" type="noConversion"/>
  </si>
  <si>
    <t>DHT 150AS</t>
    <phoneticPr fontId="1" type="noConversion"/>
  </si>
  <si>
    <t>DHS 190SKY</t>
    <phoneticPr fontId="1" type="noConversion"/>
  </si>
  <si>
    <t>DHT 105S</t>
    <phoneticPr fontId="1" type="noConversion"/>
  </si>
  <si>
    <t>크레인대금</t>
    <phoneticPr fontId="1" type="noConversion"/>
  </si>
  <si>
    <t>DH SUPER 3000A</t>
    <phoneticPr fontId="1" type="noConversion"/>
  </si>
  <si>
    <t>DHS 1200LS2</t>
    <phoneticPr fontId="1" type="noConversion"/>
  </si>
  <si>
    <t>DHAS 120AP</t>
    <phoneticPr fontId="1" type="noConversion"/>
  </si>
  <si>
    <t>DHS 920</t>
    <phoneticPr fontId="1" type="noConversion"/>
  </si>
  <si>
    <t>DHS 1200HC-10대</t>
  </si>
  <si>
    <t>DHS 1200HC-10대</t>
    <phoneticPr fontId="1" type="noConversion"/>
  </si>
  <si>
    <t>DHT 160S-2Q'TY</t>
  </si>
  <si>
    <t>DHT 160S-2Q'TY</t>
    <phoneticPr fontId="1" type="noConversion"/>
  </si>
  <si>
    <t>DHS 17AP-5대</t>
  </si>
  <si>
    <t>DHS 17AP-5대</t>
    <phoneticPr fontId="1" type="noConversion"/>
  </si>
  <si>
    <t>ALPHA 12000</t>
    <phoneticPr fontId="1" type="noConversion"/>
  </si>
  <si>
    <t>DHT 150AS-3unit</t>
  </si>
  <si>
    <t>DHT 150AS-3unit</t>
    <phoneticPr fontId="1" type="noConversion"/>
  </si>
  <si>
    <t>DHS 534</t>
    <phoneticPr fontId="1" type="noConversion"/>
  </si>
  <si>
    <t>DHS 930</t>
    <phoneticPr fontId="1" type="noConversion"/>
  </si>
  <si>
    <t>DHS 108SKY</t>
    <phoneticPr fontId="1" type="noConversion"/>
  </si>
  <si>
    <t>DHS 125AP</t>
    <phoneticPr fontId="1" type="noConversion"/>
  </si>
  <si>
    <t>세폭띠형 끈 등 11종 제조</t>
    <phoneticPr fontId="1" type="noConversion"/>
  </si>
  <si>
    <t>DHS 150S</t>
  </si>
  <si>
    <t>DHS 150S</t>
    <phoneticPr fontId="1" type="noConversion"/>
  </si>
  <si>
    <t>DHS 105S</t>
    <phoneticPr fontId="1" type="noConversion"/>
  </si>
  <si>
    <t>DHS 1800</t>
    <phoneticPr fontId="1" type="noConversion"/>
  </si>
  <si>
    <t>DHAS 130AP</t>
    <phoneticPr fontId="1" type="noConversion"/>
  </si>
  <si>
    <t>DHT 180AS</t>
    <phoneticPr fontId="1" type="noConversion"/>
  </si>
  <si>
    <t>DHS 160AS</t>
    <phoneticPr fontId="1" type="noConversion"/>
  </si>
  <si>
    <t>DYNALI-H3 HELICOPERS</t>
  </si>
  <si>
    <t>DYNALI-H3 HELICOPERS</t>
    <phoneticPr fontId="1" type="noConversion"/>
  </si>
  <si>
    <t>DH TKA-442C</t>
  </si>
  <si>
    <t>DH TKA-442C</t>
    <phoneticPr fontId="1" type="noConversion"/>
  </si>
  <si>
    <t>DAH 102AP</t>
  </si>
  <si>
    <t>DAH 102AP</t>
    <phoneticPr fontId="1" type="noConversion"/>
  </si>
  <si>
    <t>DHAS 140SS</t>
    <phoneticPr fontId="1" type="noConversion"/>
  </si>
  <si>
    <t>DHS 433MAP</t>
    <phoneticPr fontId="1" type="noConversion"/>
  </si>
  <si>
    <t>DHS 950</t>
    <phoneticPr fontId="1" type="noConversion"/>
  </si>
  <si>
    <t>DHS 1800AF</t>
    <phoneticPr fontId="1" type="noConversion"/>
  </si>
  <si>
    <t>세폭띠형끈등11종제조</t>
    <phoneticPr fontId="1" type="noConversion"/>
  </si>
  <si>
    <t>DH SUPUER 3000A</t>
    <phoneticPr fontId="1" type="noConversion"/>
  </si>
  <si>
    <t>DHS 1800</t>
    <phoneticPr fontId="1" type="noConversion"/>
  </si>
  <si>
    <t>ALPHA 5000</t>
    <phoneticPr fontId="1" type="noConversion"/>
  </si>
  <si>
    <t>DHM 1500S2</t>
    <phoneticPr fontId="1" type="noConversion"/>
  </si>
  <si>
    <t>DHS 14</t>
    <phoneticPr fontId="1" type="noConversion"/>
  </si>
  <si>
    <t>USED DHS 870외</t>
  </si>
  <si>
    <t>USED DHS 870외</t>
    <phoneticPr fontId="1" type="noConversion"/>
  </si>
  <si>
    <t>DHAS 105AP</t>
    <phoneticPr fontId="1" type="noConversion"/>
  </si>
  <si>
    <t>DHS 108SKY</t>
    <phoneticPr fontId="1" type="noConversion"/>
  </si>
  <si>
    <t>USED SUPER 3000-9Q'ty</t>
  </si>
  <si>
    <t>USED SUPER 3000-9Q'ty</t>
    <phoneticPr fontId="1" type="noConversion"/>
  </si>
  <si>
    <t>USED DH SUPER3000A-10대</t>
    <phoneticPr fontId="1" type="noConversion"/>
  </si>
  <si>
    <t>DHS 606S</t>
    <phoneticPr fontId="1" type="noConversion"/>
  </si>
  <si>
    <t>DHMN-03</t>
    <phoneticPr fontId="1" type="noConversion"/>
  </si>
  <si>
    <t>동해이동정비탑차</t>
    <phoneticPr fontId="1" type="noConversion"/>
  </si>
  <si>
    <t>DHMN-04</t>
    <phoneticPr fontId="1" type="noConversion"/>
  </si>
  <si>
    <t>DHS 870</t>
    <phoneticPr fontId="1" type="noConversion"/>
  </si>
  <si>
    <t>DHS 433MAP</t>
    <phoneticPr fontId="1" type="noConversion"/>
  </si>
  <si>
    <t>DHS 303</t>
    <phoneticPr fontId="1" type="noConversion"/>
  </si>
  <si>
    <t>4500201168:투르크 내무부</t>
    <phoneticPr fontId="1" type="noConversion"/>
  </si>
  <si>
    <t>DHS 433HC</t>
    <phoneticPr fontId="1" type="noConversion"/>
  </si>
  <si>
    <t>DHAS 120AP</t>
    <phoneticPr fontId="1" type="noConversion"/>
  </si>
  <si>
    <t>FRP BOOM</t>
  </si>
  <si>
    <t>FRP BOOM</t>
    <phoneticPr fontId="1" type="noConversion"/>
  </si>
  <si>
    <t>DHS 43L</t>
  </si>
  <si>
    <t>DHS 43L</t>
    <phoneticPr fontId="1" type="noConversion"/>
  </si>
  <si>
    <t>17-BAK-14 장비실 개선 공사</t>
    <phoneticPr fontId="1" type="noConversion"/>
  </si>
  <si>
    <t>초과저지장비실 에어시스템 개선 공사</t>
    <phoneticPr fontId="1" type="noConversion"/>
  </si>
  <si>
    <t>DHS 240SKY</t>
    <phoneticPr fontId="1" type="noConversion"/>
  </si>
  <si>
    <t>BKA-14,MA-1A 감시시스템 구축작업</t>
    <phoneticPr fontId="1" type="noConversion"/>
  </si>
  <si>
    <t>DHS 433</t>
    <phoneticPr fontId="1" type="noConversion"/>
  </si>
  <si>
    <t>Outrigger rubber pad외</t>
    <phoneticPr fontId="1" type="noConversion"/>
  </si>
  <si>
    <t>방향지시등</t>
    <phoneticPr fontId="1" type="noConversion"/>
  </si>
  <si>
    <t>본기둥실린더등16종</t>
    <phoneticPr fontId="1" type="noConversion"/>
  </si>
  <si>
    <t>VALVE ASS'Y외</t>
  </si>
  <si>
    <t>VALVE ASS'Y외</t>
    <phoneticPr fontId="1" type="noConversion"/>
  </si>
  <si>
    <t>HYDRAULIC HOSE REEL외</t>
  </si>
  <si>
    <t>HYDRAULIC HOSE REEL외</t>
    <phoneticPr fontId="1" type="noConversion"/>
  </si>
  <si>
    <t>재활용품 수거 및 온천천쓰레기 상차 차량 밀폐형 덮개 설치</t>
    <phoneticPr fontId="1" type="noConversion"/>
  </si>
  <si>
    <t>WIRED COMPUTER CONTROL SYSTEM외</t>
  </si>
  <si>
    <t>WIRED COMPUTER CONTROL SYSTEM외</t>
    <phoneticPr fontId="1" type="noConversion"/>
  </si>
  <si>
    <t>자동덮개장착</t>
    <phoneticPr fontId="1" type="noConversion"/>
  </si>
  <si>
    <t>OUTRIGGER EXTENSION STEEL TUBE KIT</t>
  </si>
  <si>
    <t>OUTRIGGER EXTENSION STEEL TUBE KIT</t>
    <phoneticPr fontId="1" type="noConversion"/>
  </si>
  <si>
    <t>차량옵션</t>
    <phoneticPr fontId="1" type="noConversion"/>
  </si>
  <si>
    <t>GOVERNOR CARD</t>
  </si>
  <si>
    <t>GOVERNOR CARD</t>
    <phoneticPr fontId="1" type="noConversion"/>
  </si>
  <si>
    <t>가로등주거치대</t>
    <phoneticPr fontId="1" type="noConversion"/>
  </si>
  <si>
    <t>UPPER CONTROL BOX ASS'Y FOR DHS1800</t>
  </si>
  <si>
    <t>UPPER CONTROL BOX ASS'Y FOR DHS1800</t>
    <phoneticPr fontId="1" type="noConversion"/>
  </si>
  <si>
    <t>AUGER CRANE(5TON)</t>
    <phoneticPr fontId="1" type="noConversion"/>
  </si>
  <si>
    <t>DHT 170S</t>
    <phoneticPr fontId="1" type="noConversion"/>
  </si>
  <si>
    <t>DHT 145S</t>
    <phoneticPr fontId="1" type="noConversion"/>
  </si>
  <si>
    <t>DHS 185SKY</t>
    <phoneticPr fontId="1" type="noConversion"/>
  </si>
  <si>
    <t>대수(전체)</t>
    <phoneticPr fontId="1" type="noConversion"/>
  </si>
  <si>
    <t>대수(국내)</t>
    <phoneticPr fontId="1" type="noConversion"/>
  </si>
  <si>
    <t>해외</t>
    <phoneticPr fontId="1" type="noConversion"/>
  </si>
  <si>
    <t>증감사유</t>
    <phoneticPr fontId="1" type="noConversion"/>
  </si>
  <si>
    <t>90대에서 100대</t>
    <phoneticPr fontId="1" type="noConversion"/>
  </si>
  <si>
    <t>16개성중에서 8개 정도 협력업체가 선점. 한개성에서 매년 20여대 발주. 2월까지 22대 예정.</t>
    <phoneticPr fontId="1" type="noConversion"/>
  </si>
  <si>
    <t xml:space="preserve">MOU 체결완료(결제조건 등) 특장차 업체, </t>
    <phoneticPr fontId="1" type="noConversion"/>
  </si>
  <si>
    <t>국내 상사와 협력하여 진행. 신품 납품 진행. 필리핀 1월에 이미 5대 판매 완료. 1,200여개 유인섬에 보급. 매년 30여대 이상</t>
    <phoneticPr fontId="1" type="noConversion"/>
  </si>
  <si>
    <t>매년 100여대 계획. 베트남 통신망 구축은 현재 30% 수준임. 고소작업차는 경쟁사가 없음. 현재 사다리를 타고 작업하고 있는 것으로 파악하고 있으며, 안전에 대한 의식이 제고되고, 통신사업이 고도화 될수록 수요가 급증할 것으로 판단함.</t>
    <phoneticPr fontId="1" type="noConversion"/>
  </si>
  <si>
    <t>말레이시아, 뉴질랜드(특장차 제조사), 인도네시아 등 각국의 특장차 매매업체와 협력</t>
    <phoneticPr fontId="1" type="noConversion"/>
  </si>
  <si>
    <t>* 파트너사 선정이 되는 경우 엔지니어 3~5명을 한국으로 파견. 3~5명이 A/S 기술을 약 1~2달 교육. 전자장치는 원격으로 시행.</t>
    <phoneticPr fontId="1" type="noConversion"/>
  </si>
  <si>
    <t>국내 모델과 동일.</t>
    <phoneticPr fontId="1" type="noConversion"/>
  </si>
  <si>
    <t>코란도차량에 적재함을 제거하고, 고소작업대를 올리는 것</t>
    <phoneticPr fontId="1" type="noConversion"/>
  </si>
  <si>
    <t>R&amp;D 인원</t>
    <phoneticPr fontId="1" type="noConversion"/>
  </si>
  <si>
    <t>매년 1명씩은 임원 증가</t>
    <phoneticPr fontId="1" type="noConversion"/>
  </si>
  <si>
    <t>영업파트 5명씩 증가/ 관리 파트 2~3명 증가</t>
    <phoneticPr fontId="1" type="noConversion"/>
  </si>
  <si>
    <t>인증업무에 5~6명 추가/ R&amp;D 1명씩 추가</t>
    <phoneticPr fontId="1" type="noConversion"/>
  </si>
  <si>
    <t xml:space="preserve">       예         치        금</t>
  </si>
  <si>
    <t xml:space="preserve">       당기 : 15,500,798,761 원</t>
  </si>
  <si>
    <t xml:space="preserve">       대  손  충  당  금 환 입</t>
  </si>
  <si>
    <t xml:space="preserve">       자   산   수  증  이  익</t>
  </si>
  <si>
    <t>R&amp;D인원</t>
    <phoneticPr fontId="105" type="noConversion"/>
  </si>
  <si>
    <t>신규 공장 건립- 토지</t>
    <phoneticPr fontId="1" type="noConversion"/>
  </si>
  <si>
    <t>신규 공장 건립- 건물</t>
    <phoneticPr fontId="1" type="noConversion"/>
  </si>
  <si>
    <t>신규 공장 건립- 기계</t>
    <phoneticPr fontId="1" type="noConversion"/>
  </si>
  <si>
    <t xml:space="preserve">  18년 19년 외주비 증가</t>
    <phoneticPr fontId="1" type="noConversion"/>
  </si>
  <si>
    <t xml:space="preserve"> 급여</t>
    <phoneticPr fontId="1" type="noConversion"/>
  </si>
  <si>
    <t xml:space="preserve"> 기타비용</t>
    <phoneticPr fontId="1" type="noConversion"/>
  </si>
  <si>
    <t>2017년</t>
    <phoneticPr fontId="105" type="noConversion"/>
  </si>
  <si>
    <t>2019년</t>
  </si>
  <si>
    <t>2020년</t>
  </si>
  <si>
    <t>2021년</t>
  </si>
  <si>
    <t>2022년</t>
  </si>
  <si>
    <t xml:space="preserve">고소작업차 </t>
    <phoneticPr fontId="1" type="noConversion"/>
  </si>
  <si>
    <t>% of Sales</t>
    <phoneticPr fontId="1" type="noConversion"/>
  </si>
  <si>
    <t>수출 원재료비율</t>
    <phoneticPr fontId="1" type="noConversion"/>
  </si>
  <si>
    <t>국내 원재료비율</t>
    <phoneticPr fontId="1" type="noConversion"/>
  </si>
  <si>
    <t xml:space="preserve">       해  외  시  장  개 척 비</t>
    <phoneticPr fontId="1" type="noConversion"/>
  </si>
  <si>
    <t>1억5천 수준/임대료</t>
    <phoneticPr fontId="1" type="noConversion"/>
  </si>
  <si>
    <t>베트남쪽 장비가격외에 들어가는</t>
    <phoneticPr fontId="1" type="noConversion"/>
  </si>
  <si>
    <t xml:space="preserve">대당 4천~5천 수수료(활선차)/ 고소작업차는 정상가격이고. 민수쪽이다 보니 수수료를 별도로 안줌. </t>
    <phoneticPr fontId="1" type="noConversion"/>
  </si>
  <si>
    <t>지속적인 파트너 선정. 출장비로</t>
    <phoneticPr fontId="1" type="noConversion"/>
  </si>
  <si>
    <t>수출하면서 발생하는 비용들 운임. 수출에 따른 변동비</t>
    <phoneticPr fontId="1" type="noConversion"/>
  </si>
  <si>
    <t>국내매출액</t>
    <phoneticPr fontId="1" type="noConversion"/>
  </si>
  <si>
    <t>수출매출액</t>
    <phoneticPr fontId="1" type="noConversion"/>
  </si>
  <si>
    <t>신제품</t>
    <phoneticPr fontId="1" type="noConversion"/>
  </si>
  <si>
    <t>수출</t>
    <phoneticPr fontId="1" type="noConversion"/>
  </si>
  <si>
    <t>서비스</t>
    <phoneticPr fontId="1" type="noConversion"/>
  </si>
  <si>
    <t>기타</t>
    <phoneticPr fontId="1" type="noConversion"/>
  </si>
  <si>
    <t>항공</t>
    <phoneticPr fontId="1" type="noConversion"/>
  </si>
  <si>
    <t>베트남 활선차 판매수수료</t>
    <phoneticPr fontId="1" type="noConversion"/>
  </si>
  <si>
    <t>판매수수료 단가</t>
    <phoneticPr fontId="1" type="noConversion"/>
  </si>
  <si>
    <t>판매수수료는 Vietnam에 지급되는 수수료가 대부분임. 해당 금액은 매출액에 포함하여 받음. 추정시에는 매출액을 순액으로 추정하고, 해당부분은 수수료에서 제외함.</t>
    <phoneticPr fontId="1" type="noConversion"/>
  </si>
  <si>
    <t xml:space="preserve"> Vietnam</t>
    <phoneticPr fontId="1" type="noConversion"/>
  </si>
  <si>
    <t>국가</t>
    <phoneticPr fontId="1" type="noConversion"/>
  </si>
  <si>
    <t>종류구분</t>
    <phoneticPr fontId="1" type="noConversion"/>
  </si>
  <si>
    <t>소형 고소작업차</t>
  </si>
  <si>
    <t>베트남</t>
    <phoneticPr fontId="1" type="noConversion"/>
  </si>
  <si>
    <t>중국</t>
    <phoneticPr fontId="1" type="noConversion"/>
  </si>
  <si>
    <t>중국</t>
    <phoneticPr fontId="1" type="noConversion"/>
  </si>
  <si>
    <t>태국</t>
    <phoneticPr fontId="1" type="noConversion"/>
  </si>
  <si>
    <t>중국</t>
    <phoneticPr fontId="1" type="noConversion"/>
  </si>
  <si>
    <t>베트남</t>
    <phoneticPr fontId="1" type="noConversion"/>
  </si>
  <si>
    <t>중국</t>
    <phoneticPr fontId="1" type="noConversion"/>
  </si>
  <si>
    <t>말레이시아</t>
  </si>
  <si>
    <t>아랍에미리타</t>
  </si>
  <si>
    <t>콜롬비아</t>
  </si>
  <si>
    <t>미얀마</t>
  </si>
  <si>
    <t>LANDSKY ENGINEERS PVT.LTD</t>
    <phoneticPr fontId="1" type="noConversion"/>
  </si>
  <si>
    <t>인도</t>
    <phoneticPr fontId="1" type="noConversion"/>
  </si>
  <si>
    <t>VICTOR BALATA BELTING COMPANY</t>
    <phoneticPr fontId="1" type="noConversion"/>
  </si>
  <si>
    <t>미국</t>
    <phoneticPr fontId="1" type="noConversion"/>
  </si>
  <si>
    <t>미국</t>
    <phoneticPr fontId="1" type="noConversion"/>
  </si>
  <si>
    <t>몽골</t>
    <phoneticPr fontId="1" type="noConversion"/>
  </si>
  <si>
    <t>PT. QUANTUM MARKETING</t>
    <phoneticPr fontId="1" type="noConversion"/>
  </si>
  <si>
    <t>인도네시아</t>
    <phoneticPr fontId="1" type="noConversion"/>
  </si>
  <si>
    <t>인도네시아</t>
    <phoneticPr fontId="1" type="noConversion"/>
  </si>
  <si>
    <t>중국</t>
    <phoneticPr fontId="1" type="noConversion"/>
  </si>
  <si>
    <t>DONG TAN HUNG CO.,LTD</t>
    <phoneticPr fontId="1" type="noConversion"/>
  </si>
  <si>
    <t>베트남</t>
    <phoneticPr fontId="1" type="noConversion"/>
  </si>
  <si>
    <t>JORDAN REFRIGERATION CO.LLC</t>
    <phoneticPr fontId="1" type="noConversion"/>
  </si>
  <si>
    <t>GENERAL AUTOMOBILES</t>
    <phoneticPr fontId="1" type="noConversion"/>
  </si>
  <si>
    <t>기타</t>
    <phoneticPr fontId="1" type="noConversion"/>
  </si>
  <si>
    <t>기타</t>
    <phoneticPr fontId="1" type="noConversion"/>
  </si>
  <si>
    <t>기타</t>
    <phoneticPr fontId="1" type="noConversion"/>
  </si>
  <si>
    <t>기타</t>
    <phoneticPr fontId="1" type="noConversion"/>
  </si>
  <si>
    <t>아랍에미리타</t>
    <phoneticPr fontId="1" type="noConversion"/>
  </si>
  <si>
    <t>미국</t>
    <phoneticPr fontId="1" type="noConversion"/>
  </si>
  <si>
    <t>HIAB MIDDLE EAST L.L.C</t>
    <phoneticPr fontId="1" type="noConversion"/>
  </si>
  <si>
    <t>인도</t>
    <phoneticPr fontId="1" type="noConversion"/>
  </si>
  <si>
    <r>
      <t>J</t>
    </r>
    <r>
      <rPr>
        <sz val="10"/>
        <rFont val="돋움"/>
        <family val="3"/>
        <charset val="129"/>
      </rPr>
      <t>＆</t>
    </r>
    <r>
      <rPr>
        <sz val="10"/>
        <rFont val="Arial"/>
        <family val="2"/>
      </rPr>
      <t>J</t>
    </r>
    <phoneticPr fontId="1" type="noConversion"/>
  </si>
  <si>
    <t>FAXMATEL IMPORTACIONES S.A.</t>
    <phoneticPr fontId="1" type="noConversion"/>
  </si>
  <si>
    <t>필리핀</t>
    <phoneticPr fontId="1" type="noConversion"/>
  </si>
  <si>
    <t>국내</t>
    <phoneticPr fontId="1" type="noConversion"/>
  </si>
  <si>
    <t>수량</t>
    <phoneticPr fontId="1" type="noConversion"/>
  </si>
  <si>
    <t>5개전력청에서 수시로 입찰이 열림. Dealer 3개사(특장차 제조사)와 협력하여 입찰계획 파악.(한회사당 1~2개담당) 5개 전력청에서 60여대 입찰 실시. 그 중에 50% 계획.</t>
    <phoneticPr fontId="1" type="noConversion"/>
  </si>
  <si>
    <t>[제품 매출]</t>
    <phoneticPr fontId="1" type="noConversion"/>
  </si>
  <si>
    <t>구분</t>
    <phoneticPr fontId="1" type="noConversion"/>
  </si>
  <si>
    <t>전기,통신,항공,건설,관공서,기타</t>
    <phoneticPr fontId="1" type="noConversion"/>
  </si>
  <si>
    <t>국내, 해외, 특정전용</t>
    <phoneticPr fontId="1" type="noConversion"/>
  </si>
  <si>
    <t>2015년</t>
    <phoneticPr fontId="1" type="noConversion"/>
  </si>
  <si>
    <t>2016년</t>
    <phoneticPr fontId="1" type="noConversion"/>
  </si>
  <si>
    <t>2017년</t>
    <phoneticPr fontId="1" type="noConversion"/>
  </si>
  <si>
    <t>2018년</t>
    <phoneticPr fontId="1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</si>
  <si>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</si>
  <si>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</si>
  <si>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</si>
  <si>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원재료비 추정</t>
    <phoneticPr fontId="1" type="noConversion"/>
  </si>
  <si>
    <t>모델명</t>
    <phoneticPr fontId="1" type="noConversion"/>
  </si>
  <si>
    <t>제품군</t>
    <phoneticPr fontId="1" type="noConversion"/>
  </si>
  <si>
    <t>전방산업</t>
    <phoneticPr fontId="1" type="noConversion"/>
  </si>
  <si>
    <t>판매국가</t>
    <phoneticPr fontId="1" type="noConversion"/>
  </si>
  <si>
    <t>경쟁사유무</t>
    <phoneticPr fontId="1" type="noConversion"/>
  </si>
  <si>
    <t>수량</t>
    <phoneticPr fontId="1" type="noConversion"/>
  </si>
  <si>
    <t>금액</t>
    <phoneticPr fontId="1" type="noConversion"/>
  </si>
  <si>
    <t>단가</t>
    <phoneticPr fontId="1" type="noConversion"/>
  </si>
  <si>
    <t>금액</t>
    <phoneticPr fontId="1" type="noConversion"/>
  </si>
  <si>
    <t>17-BAK-14장비실개선공사</t>
  </si>
  <si>
    <t>ALPHA 12000</t>
    <phoneticPr fontId="1" type="noConversion"/>
  </si>
  <si>
    <t>ALPHA 5000</t>
    <phoneticPr fontId="1" type="noConversion"/>
  </si>
  <si>
    <t>AUGER CRANE(5TON)</t>
    <phoneticPr fontId="1" type="noConversion"/>
  </si>
  <si>
    <t>외주생산-수출</t>
    <phoneticPr fontId="1" type="noConversion"/>
  </si>
  <si>
    <t>BARRIERSYSTEM(MA1A) 1차기성청구</t>
    <phoneticPr fontId="1" type="noConversion"/>
  </si>
  <si>
    <t>BKA-14,MA-1A감시시스템구축작업</t>
  </si>
  <si>
    <t>DHA 102AP</t>
    <phoneticPr fontId="1" type="noConversion"/>
  </si>
  <si>
    <t>고소작업차</t>
    <phoneticPr fontId="1" type="noConversion"/>
  </si>
  <si>
    <t>전기, 통신</t>
    <phoneticPr fontId="1" type="noConversion"/>
  </si>
  <si>
    <t>단종</t>
    <phoneticPr fontId="1" type="noConversion"/>
  </si>
  <si>
    <t>DHAS 120AP</t>
    <phoneticPr fontId="1" type="noConversion"/>
  </si>
  <si>
    <t>전기, 통신</t>
    <phoneticPr fontId="1" type="noConversion"/>
  </si>
  <si>
    <t>DHAS 130AP</t>
    <phoneticPr fontId="1" type="noConversion"/>
  </si>
  <si>
    <t>DHAS 140SS</t>
    <phoneticPr fontId="1" type="noConversion"/>
  </si>
  <si>
    <t>기타장치</t>
    <phoneticPr fontId="1" type="noConversion"/>
  </si>
  <si>
    <t>DHM 1300S2</t>
    <phoneticPr fontId="1" type="noConversion"/>
  </si>
  <si>
    <t>양식장관리기</t>
    <phoneticPr fontId="1" type="noConversion"/>
  </si>
  <si>
    <t>DHM 1500S2</t>
    <phoneticPr fontId="1" type="noConversion"/>
  </si>
  <si>
    <t>양식장관리기</t>
    <phoneticPr fontId="1" type="noConversion"/>
  </si>
  <si>
    <t>DHS 105AP</t>
    <phoneticPr fontId="1" type="noConversion"/>
  </si>
  <si>
    <t>DHS 108SKY</t>
    <phoneticPr fontId="1" type="noConversion"/>
  </si>
  <si>
    <t>DHS 1200HC</t>
    <phoneticPr fontId="1" type="noConversion"/>
  </si>
  <si>
    <t>수출전용</t>
    <phoneticPr fontId="1" type="noConversion"/>
  </si>
  <si>
    <t>DHS 1200L</t>
    <phoneticPr fontId="1" type="noConversion"/>
  </si>
  <si>
    <t>전기, 통신</t>
    <phoneticPr fontId="1" type="noConversion"/>
  </si>
  <si>
    <t>DHS 1200L(R)</t>
    <phoneticPr fontId="1" type="noConversion"/>
  </si>
  <si>
    <t>DHS 1200LS2</t>
    <phoneticPr fontId="1" type="noConversion"/>
  </si>
  <si>
    <t>국내</t>
    <phoneticPr fontId="1" type="noConversion"/>
  </si>
  <si>
    <t>DHS 125AP</t>
    <phoneticPr fontId="1" type="noConversion"/>
  </si>
  <si>
    <t>DHS 130SKY</t>
    <phoneticPr fontId="1" type="noConversion"/>
  </si>
  <si>
    <t>DHS 14</t>
    <phoneticPr fontId="1" type="noConversion"/>
  </si>
  <si>
    <t>DHS 15AP</t>
    <phoneticPr fontId="1" type="noConversion"/>
  </si>
  <si>
    <t>전기, 통신-불법</t>
    <phoneticPr fontId="1" type="noConversion"/>
  </si>
  <si>
    <t>V</t>
    <phoneticPr fontId="1" type="noConversion"/>
  </si>
  <si>
    <t>DHS 17AP</t>
    <phoneticPr fontId="1" type="noConversion"/>
  </si>
  <si>
    <t>DHS 1800</t>
    <phoneticPr fontId="1" type="noConversion"/>
  </si>
  <si>
    <t>DHS 185SKY</t>
    <phoneticPr fontId="1" type="noConversion"/>
  </si>
  <si>
    <t>DHS 190SKY</t>
    <phoneticPr fontId="1" type="noConversion"/>
  </si>
  <si>
    <t>SKY</t>
    <phoneticPr fontId="1" type="noConversion"/>
  </si>
  <si>
    <t>건설</t>
    <phoneticPr fontId="1" type="noConversion"/>
  </si>
  <si>
    <t>DHS 19AP</t>
    <phoneticPr fontId="1" type="noConversion"/>
  </si>
  <si>
    <t>DHS 240SKY</t>
    <phoneticPr fontId="1" type="noConversion"/>
  </si>
  <si>
    <t>간판/ 광고업 전방산업 영향으로 인하여 증가 예상</t>
    <phoneticPr fontId="1" type="noConversion"/>
  </si>
  <si>
    <t>DHS 250AP</t>
    <phoneticPr fontId="1" type="noConversion"/>
  </si>
  <si>
    <t>수출</t>
    <phoneticPr fontId="1" type="noConversion"/>
  </si>
  <si>
    <t>DHS 280AP</t>
    <phoneticPr fontId="1" type="noConversion"/>
  </si>
  <si>
    <t>국내 매출은 없는 것으로 조정</t>
    <phoneticPr fontId="1" type="noConversion"/>
  </si>
  <si>
    <t>DHS 303</t>
    <phoneticPr fontId="1" type="noConversion"/>
  </si>
  <si>
    <t>크레인</t>
    <phoneticPr fontId="1" type="noConversion"/>
  </si>
  <si>
    <t>기타</t>
    <phoneticPr fontId="1" type="noConversion"/>
  </si>
  <si>
    <t>DHS 320SKY</t>
    <phoneticPr fontId="1" type="noConversion"/>
  </si>
  <si>
    <t>DHS 203</t>
    <phoneticPr fontId="1" type="noConversion"/>
  </si>
  <si>
    <t>기타</t>
    <phoneticPr fontId="1" type="noConversion"/>
  </si>
  <si>
    <t>DHS 433</t>
    <phoneticPr fontId="1" type="noConversion"/>
  </si>
  <si>
    <t>DHS 433HC</t>
    <phoneticPr fontId="1" type="noConversion"/>
  </si>
  <si>
    <t>DHS 433L</t>
    <phoneticPr fontId="1" type="noConversion"/>
  </si>
  <si>
    <t>DHS 433M</t>
    <phoneticPr fontId="1" type="noConversion"/>
  </si>
  <si>
    <t>DHS 433LM</t>
    <phoneticPr fontId="1" type="noConversion"/>
  </si>
  <si>
    <t>DHS 433MAP(R)</t>
    <phoneticPr fontId="1" type="noConversion"/>
  </si>
  <si>
    <t>DHS 534</t>
    <phoneticPr fontId="1" type="noConversion"/>
  </si>
  <si>
    <t>DHS 534MAP</t>
    <phoneticPr fontId="1" type="noConversion"/>
  </si>
  <si>
    <t>DHS 606S</t>
    <phoneticPr fontId="1" type="noConversion"/>
  </si>
  <si>
    <t>전기</t>
    <phoneticPr fontId="1" type="noConversion"/>
  </si>
  <si>
    <t>활선차 연계 모델</t>
    <phoneticPr fontId="1" type="noConversion"/>
  </si>
  <si>
    <t>DHS 706</t>
    <phoneticPr fontId="1" type="noConversion"/>
  </si>
  <si>
    <t>DHS 7526</t>
    <phoneticPr fontId="1" type="noConversion"/>
  </si>
  <si>
    <t>DHS 870</t>
    <phoneticPr fontId="1" type="noConversion"/>
  </si>
  <si>
    <t>DHS 920</t>
    <phoneticPr fontId="1" type="noConversion"/>
  </si>
  <si>
    <t>DHS 930</t>
    <phoneticPr fontId="1" type="noConversion"/>
  </si>
  <si>
    <t>전기, 통신-LG</t>
    <phoneticPr fontId="1" type="noConversion"/>
  </si>
  <si>
    <t>LG전용</t>
    <phoneticPr fontId="1" type="noConversion"/>
  </si>
  <si>
    <t>LG 100여대 추가 발주 예정(과거 15년도에 실시한 리스 계약 종료 신계약 체결 예정)</t>
    <phoneticPr fontId="1" type="noConversion"/>
  </si>
  <si>
    <t>DHS 930(R)</t>
    <phoneticPr fontId="1" type="noConversion"/>
  </si>
  <si>
    <t>DHS 950L</t>
    <phoneticPr fontId="1" type="noConversion"/>
  </si>
  <si>
    <t>DHS 950L(R)</t>
    <phoneticPr fontId="1" type="noConversion"/>
  </si>
  <si>
    <t>DH SUPER 3000A</t>
    <phoneticPr fontId="1" type="noConversion"/>
  </si>
  <si>
    <t>KT전용</t>
    <phoneticPr fontId="1" type="noConversion"/>
  </si>
  <si>
    <t xml:space="preserve">매년 60대 발주(KT 전용) </t>
    <phoneticPr fontId="1" type="noConversion"/>
  </si>
  <si>
    <t>DH SUPER 3000A(R)</t>
    <phoneticPr fontId="1" type="noConversion"/>
  </si>
  <si>
    <t>17년도 일시적인 수요 감소(KT 내부 이슈)</t>
    <phoneticPr fontId="1" type="noConversion"/>
  </si>
  <si>
    <t>DHT 105S</t>
    <phoneticPr fontId="1" type="noConversion"/>
  </si>
  <si>
    <t>향후: 민수용</t>
    <phoneticPr fontId="1" type="noConversion"/>
  </si>
  <si>
    <t>DHT 110</t>
    <phoneticPr fontId="1" type="noConversion"/>
  </si>
  <si>
    <t>한전납품사양</t>
  </si>
  <si>
    <t>DHT 145S</t>
    <phoneticPr fontId="1" type="noConversion"/>
  </si>
  <si>
    <t>DHT 145AS</t>
    <phoneticPr fontId="1" type="noConversion"/>
  </si>
  <si>
    <t>DHT 150AS</t>
    <phoneticPr fontId="1" type="noConversion"/>
  </si>
  <si>
    <t>한전+국내</t>
    <phoneticPr fontId="1" type="noConversion"/>
  </si>
  <si>
    <t>DHT 150ASB</t>
    <phoneticPr fontId="1" type="noConversion"/>
  </si>
  <si>
    <t>DHT 150S</t>
    <phoneticPr fontId="1" type="noConversion"/>
  </si>
  <si>
    <t>DHT 153</t>
    <phoneticPr fontId="1" type="noConversion"/>
  </si>
  <si>
    <t>DHT 160AS</t>
    <phoneticPr fontId="1" type="noConversion"/>
  </si>
  <si>
    <t>DHT 160S</t>
    <phoneticPr fontId="1" type="noConversion"/>
  </si>
  <si>
    <t>DHT 170AS</t>
    <phoneticPr fontId="1" type="noConversion"/>
  </si>
  <si>
    <t>활선차</t>
    <phoneticPr fontId="1" type="noConversion"/>
  </si>
  <si>
    <t>DHT 180S</t>
    <phoneticPr fontId="1" type="noConversion"/>
  </si>
  <si>
    <t>HWD 400</t>
    <phoneticPr fontId="1" type="noConversion"/>
  </si>
  <si>
    <t>기타장비</t>
    <phoneticPr fontId="1" type="noConversion"/>
  </si>
  <si>
    <t>공군군수사수리부속</t>
  </si>
  <si>
    <t>김해비행장공사</t>
  </si>
  <si>
    <t>대구비행장공사</t>
  </si>
  <si>
    <t>사천비행장공사</t>
  </si>
  <si>
    <t>성남비행장공사</t>
  </si>
  <si>
    <t>동해이동정비탑차</t>
    <phoneticPr fontId="1" type="noConversion"/>
  </si>
  <si>
    <t>코란도이동정비차</t>
    <phoneticPr fontId="1" type="noConversion"/>
  </si>
  <si>
    <t>해미비행장공사</t>
  </si>
  <si>
    <t>올인원포트홀</t>
  </si>
  <si>
    <t>합계</t>
    <phoneticPr fontId="1" type="noConversion"/>
  </si>
  <si>
    <t>구분</t>
    <phoneticPr fontId="1" type="noConversion"/>
  </si>
  <si>
    <t>국내, 해외, 특정전용</t>
    <phoneticPr fontId="1" type="noConversion"/>
  </si>
  <si>
    <t>2020년</t>
    <phoneticPr fontId="1" type="noConversion"/>
  </si>
  <si>
    <t>2022년</t>
    <phoneticPr fontId="1" type="noConversion"/>
  </si>
  <si>
    <t>원재료비 추정</t>
    <phoneticPr fontId="1" type="noConversion"/>
  </si>
  <si>
    <t>단가</t>
    <phoneticPr fontId="1" type="noConversion"/>
  </si>
  <si>
    <t>단가</t>
    <phoneticPr fontId="1" type="noConversion"/>
  </si>
  <si>
    <t>뉴질랜드</t>
    <phoneticPr fontId="1" type="noConversion"/>
  </si>
  <si>
    <t xml:space="preserve">뉴질랜드 </t>
    <phoneticPr fontId="1" type="noConversion"/>
  </si>
  <si>
    <t>기타지역</t>
    <phoneticPr fontId="1" type="noConversion"/>
  </si>
  <si>
    <t xml:space="preserve">베트남 </t>
    <phoneticPr fontId="1" type="noConversion"/>
  </si>
  <si>
    <t>베트남</t>
    <phoneticPr fontId="1" type="noConversion"/>
  </si>
  <si>
    <t>베트남</t>
    <phoneticPr fontId="1" type="noConversion"/>
  </si>
  <si>
    <t>DH WONDER 21</t>
  </si>
  <si>
    <t>중국</t>
    <phoneticPr fontId="1" type="noConversion"/>
  </si>
  <si>
    <t>DHS 20AP</t>
  </si>
  <si>
    <t>인도네시아</t>
    <phoneticPr fontId="1" type="noConversion"/>
  </si>
  <si>
    <t xml:space="preserve">필리핀 </t>
    <phoneticPr fontId="1" type="noConversion"/>
  </si>
  <si>
    <t>필리핀</t>
    <phoneticPr fontId="1" type="noConversion"/>
  </si>
  <si>
    <t>필리핀</t>
    <phoneticPr fontId="1" type="noConversion"/>
  </si>
  <si>
    <t xml:space="preserve">러시아 </t>
    <phoneticPr fontId="1" type="noConversion"/>
  </si>
  <si>
    <t xml:space="preserve">러시아 </t>
    <phoneticPr fontId="1" type="noConversion"/>
  </si>
  <si>
    <t>러시아</t>
    <phoneticPr fontId="1" type="noConversion"/>
  </si>
  <si>
    <t xml:space="preserve">말레이시아 </t>
    <phoneticPr fontId="1" type="noConversion"/>
  </si>
  <si>
    <t xml:space="preserve">말레이시아 </t>
    <phoneticPr fontId="1" type="noConversion"/>
  </si>
  <si>
    <t>말레이시아</t>
    <phoneticPr fontId="1" type="noConversion"/>
  </si>
  <si>
    <t xml:space="preserve">멕시코 </t>
    <phoneticPr fontId="1" type="noConversion"/>
  </si>
  <si>
    <t xml:space="preserve">시리아 </t>
    <phoneticPr fontId="1" type="noConversion"/>
  </si>
  <si>
    <t xml:space="preserve">태국 </t>
    <phoneticPr fontId="1" type="noConversion"/>
  </si>
  <si>
    <t xml:space="preserve">태국 </t>
    <phoneticPr fontId="1" type="noConversion"/>
  </si>
  <si>
    <t>태국</t>
    <phoneticPr fontId="1" type="noConversion"/>
  </si>
  <si>
    <t xml:space="preserve">쓰리랑카 </t>
    <phoneticPr fontId="1" type="noConversion"/>
  </si>
  <si>
    <t xml:space="preserve">인도네시아 </t>
    <phoneticPr fontId="1" type="noConversion"/>
  </si>
  <si>
    <t>합계</t>
    <phoneticPr fontId="1" type="noConversion"/>
  </si>
  <si>
    <t>합계 매출</t>
    <phoneticPr fontId="1" type="noConversion"/>
  </si>
  <si>
    <t>[기타 매출]</t>
    <phoneticPr fontId="1" type="noConversion"/>
  </si>
  <si>
    <t>전기,통신,항공,건설,관공서,기타</t>
    <phoneticPr fontId="1" type="noConversion"/>
  </si>
  <si>
    <t>2021년</t>
    <phoneticPr fontId="1" type="noConversion"/>
  </si>
  <si>
    <t>2022년</t>
    <phoneticPr fontId="1" type="noConversion"/>
  </si>
  <si>
    <t>원재료비 추정</t>
    <phoneticPr fontId="1" type="noConversion"/>
  </si>
  <si>
    <t>단가</t>
    <phoneticPr fontId="1" type="noConversion"/>
  </si>
  <si>
    <t>부품매출</t>
    <phoneticPr fontId="1" type="noConversion"/>
  </si>
  <si>
    <t>항공매출</t>
    <phoneticPr fontId="1" type="noConversion"/>
  </si>
  <si>
    <t>기타매출 합계</t>
    <phoneticPr fontId="1" type="noConversion"/>
  </si>
  <si>
    <t>제품 매출</t>
    <phoneticPr fontId="1" type="noConversion"/>
  </si>
  <si>
    <t>[A/S 매출]</t>
    <phoneticPr fontId="1" type="noConversion"/>
  </si>
  <si>
    <t>원재료비 추정</t>
    <phoneticPr fontId="1" type="noConversion"/>
  </si>
  <si>
    <t>금액</t>
    <phoneticPr fontId="1" type="noConversion"/>
  </si>
  <si>
    <t>A/S 매출</t>
    <phoneticPr fontId="1" type="noConversion"/>
  </si>
  <si>
    <t>전체 매출</t>
    <phoneticPr fontId="1" type="noConversion"/>
  </si>
  <si>
    <t>외주비 발생 모델</t>
    <phoneticPr fontId="1" type="noConversion"/>
  </si>
  <si>
    <t>베트남/필리핀 판매수수료</t>
    <phoneticPr fontId="1" type="noConversion"/>
  </si>
  <si>
    <t>고소작업차</t>
    <phoneticPr fontId="1" type="noConversion"/>
  </si>
  <si>
    <t>기타지역</t>
    <phoneticPr fontId="1" type="noConversion"/>
  </si>
  <si>
    <t>DHT 170AS</t>
    <phoneticPr fontId="1" type="noConversion"/>
  </si>
  <si>
    <t>베트남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</si>
</sst>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#,##0_ "/>
    <numFmt numFmtId="180" formatCode="_-* #,##0.000_-;\-* #,##0.000_-;_-* &quot;-&quot;_-;_-@_-"/>
    <numFmt numFmtId="181" formatCode="#\F"/>
    <numFmt numFmtId="182" formatCode="_-* #,##0.0_-;\-* #,##0.0_-;_-* &quot;-&quot;_-;_-@_-"/>
    <numFmt numFmtId="183" formatCode="0.0%"/>
    <numFmt numFmtId="184" formatCode="_-* #,##0.00_-;\-* #,##0.00_-;_-* &quot;-&quot;_-;_-@_-"/>
    <numFmt numFmtId="185" formatCode="#,##0_);[Red]\(#,##0\)"/>
    <numFmt numFmtId="186" formatCode="0.000_ "/>
    <numFmt numFmtId="187" formatCode="#\A"/>
    <numFmt numFmtId="188" formatCode="#\E"/>
    <numFmt numFmtId="189" formatCode="#,##0.00_ "/>
    <numFmt numFmtId="190" formatCode="#,##0.000_ "/>
    <numFmt numFmtId="191" formatCode="#,##0.0&quot;x&quot;\ "/>
    <numFmt numFmtId="192" formatCode="#,##0_);[Red]\(#,##0\);\-_)"/>
    <numFmt numFmtId="193" formatCode="#,##0,,;\(#,##0,,\);\-"/>
    <numFmt numFmtId="194" formatCode="#,##0_ ;[Red]\-#,##0\ "/>
    <numFmt numFmtId="195" formatCode="#,###.##"/>
    <numFmt numFmtId="196" formatCode="##,##0"/>
    <numFmt numFmtId="197" formatCode="#,###_-;[Red]\(#,###\)_-"/>
    <numFmt numFmtId="198" formatCode="###,###,###"/>
    <numFmt numFmtId="199" formatCode="#,##0.0"/>
    <numFmt numFmtId="200" formatCode="#,##0.0;\-#,##0.0;\-;@"/>
    <numFmt numFmtId="201" formatCode="#&quot;년&quot;"/>
    <numFmt numFmtId="202" formatCode="#,##0&quot;일&quot;"/>
    <numFmt numFmtId="203" formatCode="###,###"/>
    <numFmt numFmtId="204" formatCode="###,##0.###"/>
    <numFmt numFmtId="205" formatCode="#,##0_);[Red]\(#,##0\);\-"/>
    <numFmt numFmtId="206" formatCode="#,##0.000;[Red]\-#,##0.000"/>
    <numFmt numFmtId="207" formatCode="0.000%"/>
    <numFmt numFmtId="208" formatCode="#,##0.0000"/>
    <numFmt numFmtId="209" formatCode="_-* #,##0_-;\-* #,##0_-;_-* &quot;-&quot;??_-;_-@_-"/>
    <numFmt numFmtId="210" formatCode="_-* #,##0.0000_-;\-* #,##0.0000_-;_-* &quot;-&quot;_-;_-@_-"/>
    <numFmt numFmtId="211" formatCode="_-* #,##0.0_-;\-* #,##0.0_-;_-* &quot;-&quot;?_-;_-@_-"/>
  </numFmts>
  <fonts count="23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  <font>
      <sz val="18"/>
      <name val="Arial"/>
      <family val="2"/>
    </font>
    <font>
      <sz val="10"/>
      <color theme="1"/>
      <name val="맑은 고딕"/>
      <family val="3"/>
      <charset val="129"/>
      <scheme val="major"/>
    </font>
    <font>
      <b/>
      <sz val="20"/>
      <color theme="0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8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22"/>
      <name val="Arial"/>
      <family val="2"/>
    </font>
    <font>
      <sz val="16"/>
      <color indexed="22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20"/>
      <color rgb="FFFFFFFF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338D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i/>
      <sz val="9"/>
      <color theme="3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4"/>
      <name val="Arial"/>
      <family val="2"/>
    </font>
    <font>
      <b/>
      <sz val="20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11"/>
      <color theme="0"/>
      <name val="Arial"/>
      <family val="2"/>
    </font>
    <font>
      <sz val="7"/>
      <color theme="0" tint="-0.1499984740745262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ajor"/>
    </font>
    <font>
      <sz val="9"/>
      <color theme="4" tint="0.39997558519241921"/>
      <name val="맑은 고딕"/>
      <family val="3"/>
      <charset val="129"/>
      <scheme val="major"/>
    </font>
    <font>
      <i/>
      <sz val="9"/>
      <color rgb="FFFF000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9"/>
      <color theme="0" tint="-0.14999847407452621"/>
      <name val="맑은 고딕"/>
      <family val="3"/>
      <charset val="129"/>
      <scheme val="major"/>
    </font>
    <font>
      <i/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8"/>
      <color theme="1"/>
      <name val="Verdana"/>
      <family val="2"/>
    </font>
    <font>
      <sz val="8"/>
      <color theme="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i/>
      <sz val="9"/>
      <color rgb="FF00B050"/>
      <name val="맑은 고딕"/>
      <family val="3"/>
      <charset val="129"/>
      <scheme val="major"/>
    </font>
    <font>
      <i/>
      <sz val="9"/>
      <color theme="0" tint="-0.249977111117893"/>
      <name val="맑은 고딕"/>
      <family val="3"/>
      <charset val="129"/>
      <scheme val="major"/>
    </font>
    <font>
      <i/>
      <sz val="7"/>
      <color theme="0" tint="-0.34998626667073579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i/>
      <sz val="9"/>
      <color theme="0"/>
      <name val="맑은 고딕"/>
      <family val="3"/>
      <charset val="129"/>
      <scheme val="major"/>
    </font>
    <font>
      <i/>
      <sz val="8"/>
      <color theme="0" tint="-0.249977111117893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i/>
      <sz val="8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338D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b/>
      <sz val="10"/>
      <name val="돋움체"/>
      <family val="3"/>
      <charset val="129"/>
    </font>
    <font>
      <sz val="10"/>
      <color rgb="FFFF0000"/>
      <name val="Arial"/>
      <family val="2"/>
    </font>
    <font>
      <sz val="10"/>
      <name val="돋움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Arial"/>
      <family val="2"/>
    </font>
    <font>
      <b/>
      <sz val="9"/>
      <name val="Arial"/>
      <family val="2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b/>
      <sz val="12"/>
      <name val="Arial"/>
      <family val="2"/>
    </font>
    <font>
      <b/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b/>
      <sz val="9"/>
      <color indexed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0"/>
      <color rgb="FFE46D0A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rgb="FFC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FF000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8"/>
      <name val="Verdana"/>
      <family val="2"/>
    </font>
    <font>
      <sz val="8"/>
      <color rgb="FF008000"/>
      <name val="Verdana"/>
      <family val="2"/>
    </font>
    <font>
      <b/>
      <sz val="8"/>
      <color rgb="FF008000"/>
      <name val="Verdana"/>
      <family val="2"/>
    </font>
    <font>
      <sz val="8"/>
      <color rgb="FF0000FF"/>
      <name val="Verdana"/>
      <family val="2"/>
    </font>
    <font>
      <b/>
      <sz val="8"/>
      <color rgb="FF0000FF"/>
      <name val="Verdana"/>
      <family val="2"/>
    </font>
    <font>
      <b/>
      <sz val="8"/>
      <name val="Verdana"/>
      <family val="2"/>
    </font>
    <font>
      <sz val="6"/>
      <name val="Arial"/>
      <family val="2"/>
    </font>
    <font>
      <b/>
      <sz val="14"/>
      <color rgb="FF808080"/>
      <name val="Arial"/>
      <family val="2"/>
    </font>
    <font>
      <sz val="11"/>
      <name val="돋움"/>
      <family val="3"/>
      <charset val="129"/>
    </font>
    <font>
      <b/>
      <sz val="9"/>
      <color rgb="FFC0C0C0"/>
      <name val="맑은 고딕"/>
      <family val="3"/>
      <charset val="129"/>
      <scheme val="major"/>
    </font>
    <font>
      <b/>
      <sz val="9"/>
      <color theme="0" tint="-0.34998626667073579"/>
      <name val="맑은 고딕"/>
      <family val="3"/>
      <charset val="129"/>
      <scheme val="major"/>
    </font>
    <font>
      <sz val="9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rgb="FFC00000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b/>
      <sz val="8"/>
      <name val="맑은 고딕"/>
      <family val="3"/>
      <charset val="129"/>
      <scheme val="major"/>
    </font>
    <font>
      <sz val="8"/>
      <color rgb="FFC00000"/>
      <name val="맑은 고딕"/>
      <family val="2"/>
      <charset val="129"/>
      <scheme val="major"/>
    </font>
    <font>
      <sz val="8"/>
      <name val="맑은 고딕"/>
      <family val="2"/>
      <charset val="129"/>
      <scheme val="major"/>
    </font>
    <font>
      <sz val="8"/>
      <color theme="0" tint="-0.249977111117893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7"/>
      <color theme="0" tint="-0.499984740745262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ajor"/>
    </font>
    <font>
      <sz val="11"/>
      <color rgb="FF00338D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0"/>
      <color theme="4" tint="-0.49998474074526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color rgb="FFFFFFFF"/>
      <name val="맑은 고딕"/>
      <family val="2"/>
      <charset val="129"/>
      <scheme val="major"/>
    </font>
    <font>
      <sz val="10"/>
      <color rgb="FFFFFFFF"/>
      <name val="맑은 고딕"/>
      <family val="2"/>
      <charset val="129"/>
      <scheme val="major"/>
    </font>
    <font>
      <b/>
      <sz val="10"/>
      <color theme="0"/>
      <name val="맑은 고딕"/>
      <family val="2"/>
      <charset val="129"/>
      <scheme val="major"/>
    </font>
    <font>
      <i/>
      <sz val="10"/>
      <color theme="0" tint="-0.249977111117893"/>
      <name val="맑은 고딕"/>
      <family val="3"/>
      <charset val="129"/>
      <scheme val="minor"/>
    </font>
    <font>
      <sz val="10"/>
      <color theme="4" tint="0.39997558519241921"/>
      <name val="맑은 고딕"/>
      <family val="3"/>
      <charset val="129"/>
      <scheme val="major"/>
    </font>
    <font>
      <i/>
      <sz val="10"/>
      <color rgb="FFFF0000"/>
      <name val="맑은 고딕"/>
      <family val="3"/>
      <charset val="129"/>
      <scheme val="major"/>
    </font>
    <font>
      <i/>
      <sz val="10"/>
      <color theme="3"/>
      <name val="맑은 고딕"/>
      <family val="3"/>
      <charset val="129"/>
      <scheme val="major"/>
    </font>
    <font>
      <i/>
      <sz val="9"/>
      <color rgb="FF00338D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b/>
      <i/>
      <sz val="10"/>
      <name val="Arial"/>
      <family val="2"/>
    </font>
    <font>
      <sz val="7"/>
      <color theme="0" tint="-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돋움체"/>
      <family val="3"/>
      <charset val="129"/>
    </font>
    <font>
      <b/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b/>
      <sz val="8"/>
      <color indexed="8"/>
      <name val="바탕체"/>
      <family val="1"/>
      <charset val="129"/>
    </font>
    <font>
      <b/>
      <sz val="10"/>
      <name val="Arial"/>
      <family val="2"/>
    </font>
    <font>
      <sz val="8"/>
      <color indexed="8"/>
      <name val="돋움체"/>
      <family val="3"/>
      <charset val="129"/>
    </font>
    <font>
      <sz val="11"/>
      <color rgb="FF000000"/>
      <name val="굴림"/>
      <family val="3"/>
      <charset val="129"/>
    </font>
    <font>
      <i/>
      <sz val="10"/>
      <color rgb="FF00338D"/>
      <name val="맑은 고딕"/>
      <family val="3"/>
      <charset val="129"/>
      <scheme val="major"/>
    </font>
    <font>
      <sz val="12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0"/>
      <color indexed="8"/>
      <name val="돋움체"/>
      <family val="3"/>
      <charset val="129"/>
    </font>
    <font>
      <b/>
      <sz val="19"/>
      <color indexed="8"/>
      <name val="돋움체"/>
      <family val="3"/>
      <charset val="129"/>
    </font>
    <font>
      <b/>
      <sz val="10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sz val="10"/>
      <color indexed="8"/>
      <name val="바탕체"/>
      <family val="1"/>
      <charset val="129"/>
    </font>
    <font>
      <b/>
      <sz val="10"/>
      <color indexed="8"/>
      <name val="바탕체"/>
      <family val="1"/>
      <charset val="129"/>
    </font>
    <font>
      <b/>
      <u/>
      <sz val="10"/>
      <color theme="1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0"/>
      <color theme="1"/>
      <name val="맑은 고딕"/>
      <family val="2"/>
      <scheme val="minor"/>
    </font>
    <font>
      <b/>
      <i/>
      <sz val="16"/>
      <color theme="0"/>
      <name val="맑은 고딕"/>
      <family val="3"/>
      <charset val="129"/>
      <scheme val="major"/>
    </font>
    <font>
      <b/>
      <sz val="16"/>
      <color rgb="FFFFFFFF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9"/>
      <color indexed="9"/>
      <name val="맑은 고딕"/>
      <family val="3"/>
      <charset val="129"/>
      <scheme val="major"/>
    </font>
    <font>
      <sz val="7"/>
      <color theme="0" tint="-0.249977111117893"/>
      <name val="맑은 고딕"/>
      <family val="3"/>
      <charset val="129"/>
      <scheme val="major"/>
    </font>
    <font>
      <b/>
      <i/>
      <sz val="9"/>
      <color theme="0" tint="-0.249977111117893"/>
      <name val="맑은 고딕"/>
      <family val="3"/>
      <charset val="129"/>
      <scheme val="major"/>
    </font>
    <font>
      <b/>
      <sz val="9"/>
      <color theme="0" tint="-0.249977111117893"/>
      <name val="맑은 고딕"/>
      <family val="3"/>
      <charset val="129"/>
      <scheme val="major"/>
    </font>
    <font>
      <sz val="9"/>
      <color indexed="12"/>
      <name val="맑은 고딕"/>
      <family val="3"/>
      <charset val="129"/>
      <scheme val="major"/>
    </font>
    <font>
      <sz val="9"/>
      <color theme="0" tint="-0.34998626667073579"/>
      <name val="맑은 고딕"/>
      <family val="3"/>
      <charset val="129"/>
      <scheme val="major"/>
    </font>
    <font>
      <b/>
      <u/>
      <sz val="9"/>
      <name val="맑은 고딕"/>
      <family val="3"/>
      <charset val="129"/>
      <scheme val="major"/>
    </font>
    <font>
      <b/>
      <u/>
      <vertAlign val="subscript"/>
      <sz val="9"/>
      <name val="맑은 고딕"/>
      <family val="3"/>
      <charset val="129"/>
    </font>
    <font>
      <b/>
      <u/>
      <sz val="9"/>
      <name val="맑은 고딕"/>
      <family val="3"/>
      <charset val="129"/>
    </font>
    <font>
      <b/>
      <vertAlign val="superscript"/>
      <sz val="9"/>
      <color indexed="9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9"/>
      <color theme="0" tint="-0.34998626667073579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b/>
      <sz val="18"/>
      <color indexed="8"/>
      <name val="돋움체"/>
      <family val="3"/>
      <charset val="129"/>
    </font>
    <font>
      <b/>
      <sz val="11"/>
      <name val="Arial"/>
      <family val="2"/>
    </font>
    <font>
      <b/>
      <sz val="11"/>
      <name val="돋움"/>
      <family val="3"/>
      <charset val="129"/>
    </font>
    <font>
      <sz val="9"/>
      <color rgb="FF333333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u/>
      <sz val="11"/>
      <color theme="11"/>
      <name val="맑은 고딕"/>
      <family val="2"/>
      <charset val="129"/>
      <scheme val="minor"/>
    </font>
    <font>
      <b/>
      <u/>
      <sz val="9"/>
      <color theme="1"/>
      <name val="맑은 고딕"/>
      <family val="3"/>
      <charset val="129"/>
      <scheme val="major"/>
    </font>
    <font>
      <b/>
      <sz val="11"/>
      <color theme="1"/>
      <name val="돋움"/>
      <family val="3"/>
      <charset val="129"/>
    </font>
    <font>
      <sz val="11"/>
      <color theme="1"/>
      <name val="굴림체"/>
      <family val="2"/>
      <charset val="129"/>
    </font>
  </fonts>
  <fills count="7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005EB8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rgb="FF483698"/>
        <bgColor indexed="64"/>
      </patternFill>
    </fill>
    <fill>
      <patternFill patternType="solid">
        <fgColor rgb="FF470A68"/>
        <bgColor indexed="64"/>
      </patternFill>
    </fill>
    <fill>
      <patternFill patternType="solid">
        <fgColor rgb="FF6D2077"/>
        <bgColor indexed="64"/>
      </patternFill>
    </fill>
    <fill>
      <patternFill patternType="solid">
        <fgColor rgb="FF00A3A1"/>
        <bgColor indexed="64"/>
      </patternFill>
    </fill>
    <fill>
      <patternFill patternType="solid">
        <fgColor rgb="FF009A44"/>
        <bgColor indexed="64"/>
      </patternFill>
    </fill>
    <fill>
      <patternFill patternType="solid">
        <fgColor rgb="FF43B02A"/>
        <bgColor indexed="64"/>
      </patternFill>
    </fill>
    <fill>
      <patternFill patternType="solid">
        <fgColor rgb="FFEAAA00"/>
        <bgColor indexed="64"/>
      </patternFill>
    </fill>
    <fill>
      <patternFill patternType="solid">
        <fgColor rgb="FFF68D2E"/>
        <bgColor indexed="64"/>
      </patternFill>
    </fill>
    <fill>
      <patternFill patternType="solid">
        <fgColor rgb="FFBC204B"/>
        <bgColor indexed="64"/>
      </patternFill>
    </fill>
    <fill>
      <patternFill patternType="solid">
        <fgColor rgb="FFC6007E"/>
        <bgColor indexed="64"/>
      </patternFill>
    </fill>
    <fill>
      <patternFill patternType="solid">
        <fgColor rgb="FF00338D"/>
        <bgColor rgb="FF000000"/>
      </patternFill>
    </fill>
    <fill>
      <patternFill patternType="solid">
        <fgColor rgb="FF005EB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338D"/>
      </patternFill>
    </fill>
    <fill>
      <patternFill patternType="solid">
        <fgColor rgb="FF96363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CCE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099C6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046A38"/>
        <bgColor indexed="64"/>
      </patternFill>
    </fill>
  </fills>
  <borders count="284">
    <border>
      <left/>
      <right/>
      <top/>
      <bottom/>
      <diagonal/>
    </border>
    <border>
      <left style="thick">
        <color indexed="32"/>
      </left>
      <right/>
      <top style="thick">
        <color indexed="32"/>
      </top>
      <bottom/>
      <diagonal/>
    </border>
    <border>
      <left/>
      <right/>
      <top style="thick">
        <color indexed="32"/>
      </top>
      <bottom/>
      <diagonal/>
    </border>
    <border>
      <left/>
      <right style="thick">
        <color indexed="32"/>
      </right>
      <top style="thick">
        <color indexed="32"/>
      </top>
      <bottom/>
      <diagonal/>
    </border>
    <border>
      <left style="thick">
        <color indexed="32"/>
      </left>
      <right/>
      <top/>
      <bottom/>
      <diagonal/>
    </border>
    <border>
      <left/>
      <right style="thick">
        <color indexed="32"/>
      </right>
      <top/>
      <bottom/>
      <diagonal/>
    </border>
    <border>
      <left style="thick">
        <color indexed="32"/>
      </left>
      <right/>
      <top/>
      <bottom style="thick">
        <color indexed="32"/>
      </bottom>
      <diagonal/>
    </border>
    <border>
      <left/>
      <right/>
      <top/>
      <bottom style="thick">
        <color indexed="32"/>
      </bottom>
      <diagonal/>
    </border>
    <border>
      <left/>
      <right style="thick">
        <color indexed="32"/>
      </right>
      <top/>
      <bottom style="thick">
        <color indexed="3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0"/>
      </left>
      <right style="thin">
        <color theme="0"/>
      </right>
      <top style="thin">
        <color theme="8" tint="-0.24994659260841701"/>
      </top>
      <bottom style="thin">
        <color theme="0"/>
      </bottom>
      <diagonal/>
    </border>
    <border>
      <left style="thin">
        <color theme="0"/>
      </left>
      <right style="thin">
        <color theme="8" tint="-0.24994659260841701"/>
      </right>
      <top style="thin">
        <color theme="8" tint="-0.24994659260841701"/>
      </top>
      <bottom style="thin">
        <color theme="0"/>
      </bottom>
      <diagonal/>
    </border>
    <border>
      <left style="thin">
        <color theme="8" tint="-0.24994659260841701"/>
      </left>
      <right style="thin">
        <color theme="0"/>
      </right>
      <top style="thin">
        <color theme="0"/>
      </top>
      <bottom style="thin">
        <color theme="8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0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8" tint="-0.24994659260841701"/>
      </bottom>
      <diagonal/>
    </border>
    <border>
      <left style="thin">
        <color theme="0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/>
      <bottom/>
      <diagonal/>
    </border>
    <border>
      <left/>
      <right style="thin">
        <color rgb="FF00338D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/>
      <top style="thin">
        <color rgb="FF00338D"/>
      </top>
      <bottom/>
      <diagonal/>
    </border>
    <border>
      <left style="thin">
        <color rgb="FF00338D"/>
      </left>
      <right/>
      <top/>
      <bottom style="thin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theme="0"/>
      </right>
      <top style="thin">
        <color rgb="FF00338D"/>
      </top>
      <bottom style="thin">
        <color rgb="FF00338D"/>
      </bottom>
      <diagonal/>
    </border>
    <border>
      <left style="thin">
        <color theme="0"/>
      </left>
      <right/>
      <top style="thin">
        <color rgb="FF00338D"/>
      </top>
      <bottom/>
      <diagonal/>
    </border>
    <border>
      <left style="thin">
        <color theme="0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dashed">
        <color rgb="FF00338D"/>
      </bottom>
      <diagonal/>
    </border>
    <border>
      <left/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/>
      <top/>
      <bottom style="medium">
        <color rgb="FF00338D"/>
      </bottom>
      <diagonal/>
    </border>
    <border>
      <left/>
      <right style="thin">
        <color theme="0"/>
      </right>
      <top style="thin">
        <color rgb="FF00338D"/>
      </top>
      <bottom/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4" tint="0.39994506668294322"/>
      </bottom>
      <diagonal/>
    </border>
    <border>
      <left/>
      <right style="thin">
        <color theme="5"/>
      </right>
      <top style="thin">
        <color theme="5"/>
      </top>
      <bottom style="thin">
        <color theme="4" tint="0.39991454817346722"/>
      </bottom>
      <diagonal/>
    </border>
    <border>
      <left style="thin">
        <color rgb="FF009A44"/>
      </left>
      <right/>
      <top style="thin">
        <color rgb="FF009A44"/>
      </top>
      <bottom/>
      <diagonal/>
    </border>
    <border>
      <left/>
      <right/>
      <top style="thin">
        <color rgb="FF009A44"/>
      </top>
      <bottom/>
      <diagonal/>
    </border>
    <border>
      <left/>
      <right style="thin">
        <color rgb="FF009A44"/>
      </right>
      <top style="thin">
        <color rgb="FF009A44"/>
      </top>
      <bottom/>
      <diagonal/>
    </border>
    <border>
      <left style="thin">
        <color rgb="FF009A44"/>
      </left>
      <right/>
      <top/>
      <bottom style="thin">
        <color rgb="FF009A44"/>
      </bottom>
      <diagonal/>
    </border>
    <border>
      <left/>
      <right/>
      <top/>
      <bottom style="thin">
        <color rgb="FF009A44"/>
      </bottom>
      <diagonal/>
    </border>
    <border>
      <left/>
      <right style="thin">
        <color rgb="FF009A44"/>
      </right>
      <top/>
      <bottom style="thin">
        <color rgb="FF009A44"/>
      </bottom>
      <diagonal/>
    </border>
    <border>
      <left style="thin">
        <color rgb="FF009A44"/>
      </left>
      <right/>
      <top/>
      <bottom/>
      <diagonal/>
    </border>
    <border>
      <left/>
      <right style="thin">
        <color rgb="FF009A44"/>
      </right>
      <top/>
      <bottom/>
      <diagonal/>
    </border>
    <border>
      <left style="thin">
        <color rgb="FF009A44"/>
      </left>
      <right/>
      <top/>
      <bottom style="medium">
        <color rgb="FF009A44"/>
      </bottom>
      <diagonal/>
    </border>
    <border>
      <left/>
      <right/>
      <top/>
      <bottom style="medium">
        <color rgb="FF009A44"/>
      </bottom>
      <diagonal/>
    </border>
    <border>
      <left/>
      <right style="thin">
        <color rgb="FF009A44"/>
      </right>
      <top/>
      <bottom style="medium">
        <color rgb="FF009A44"/>
      </bottom>
      <diagonal/>
    </border>
    <border>
      <left/>
      <right/>
      <top style="thin">
        <color theme="5"/>
      </top>
      <bottom style="thin">
        <color theme="4" tint="0.399914548173467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338D"/>
      </left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 style="thin">
        <color rgb="FF00338D"/>
      </right>
      <top/>
      <bottom/>
      <diagonal/>
    </border>
    <border>
      <left style="thin">
        <color rgb="FF00338D"/>
      </left>
      <right style="thin">
        <color rgb="FF00338D"/>
      </right>
      <top/>
      <bottom style="thin">
        <color rgb="FF00338D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rgb="FF00338D"/>
      </left>
      <right/>
      <top style="medium">
        <color rgb="FF00338D"/>
      </top>
      <bottom/>
      <diagonal/>
    </border>
    <border>
      <left/>
      <right/>
      <top style="medium">
        <color rgb="FF00338D"/>
      </top>
      <bottom/>
      <diagonal/>
    </border>
    <border>
      <left/>
      <right style="medium">
        <color rgb="FF00338D"/>
      </right>
      <top style="medium">
        <color rgb="FF00338D"/>
      </top>
      <bottom/>
      <diagonal/>
    </border>
    <border>
      <left style="medium">
        <color rgb="FF00338D"/>
      </left>
      <right style="thin">
        <color indexed="8"/>
      </right>
      <top/>
      <bottom/>
      <diagonal/>
    </border>
    <border>
      <left/>
      <right style="medium">
        <color rgb="FF00338D"/>
      </right>
      <top style="thin">
        <color rgb="FF00338D"/>
      </top>
      <bottom/>
      <diagonal/>
    </border>
    <border>
      <left/>
      <right style="medium">
        <color rgb="FF00338D"/>
      </right>
      <top/>
      <bottom/>
      <diagonal/>
    </border>
    <border>
      <left style="medium">
        <color rgb="FF00338D"/>
      </left>
      <right style="thin">
        <color indexed="8"/>
      </right>
      <top/>
      <bottom style="medium">
        <color rgb="FF00338D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rgb="FF00338D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00338D"/>
      </bottom>
      <diagonal/>
    </border>
    <border>
      <left/>
      <right style="medium">
        <color rgb="FF00338D"/>
      </right>
      <top/>
      <bottom style="medium">
        <color rgb="FF00338D"/>
      </bottom>
      <diagonal/>
    </border>
    <border>
      <left style="medium">
        <color rgb="FF00338D"/>
      </left>
      <right/>
      <top/>
      <bottom/>
      <diagonal/>
    </border>
    <border>
      <left style="thin">
        <color indexed="8"/>
      </left>
      <right/>
      <top/>
      <bottom style="medium">
        <color rgb="FF00338D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rgb="FF00338D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rgb="FF00338D"/>
      </left>
      <right style="thin">
        <color indexed="8"/>
      </right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rgb="FF009A44"/>
      </left>
      <right style="thin">
        <color rgb="FF009A44"/>
      </right>
      <top style="thin">
        <color rgb="FF009A44"/>
      </top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/>
      <top style="thin">
        <color indexed="9"/>
      </top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85351115451523"/>
      </left>
      <right/>
      <top style="thin">
        <color theme="4" tint="0.39985351115451523"/>
      </top>
      <bottom style="thin">
        <color theme="4" tint="0.39985351115451523"/>
      </bottom>
      <diagonal/>
    </border>
    <border>
      <left/>
      <right/>
      <top style="thin">
        <color theme="4" tint="0.39985351115451523"/>
      </top>
      <bottom style="thin">
        <color theme="4" tint="0.39985351115451523"/>
      </bottom>
      <diagonal/>
    </border>
    <border>
      <left/>
      <right style="thin">
        <color theme="4" tint="0.39985351115451523"/>
      </right>
      <top style="thin">
        <color theme="4" tint="0.39985351115451523"/>
      </top>
      <bottom style="thin">
        <color theme="4" tint="0.39985351115451523"/>
      </bottom>
      <diagonal/>
    </border>
    <border>
      <left style="thin">
        <color theme="4" tint="0.39988402966399123"/>
      </left>
      <right/>
      <top/>
      <bottom style="thin">
        <color theme="4" tint="0.39988402966399123"/>
      </bottom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2299264503923"/>
      </left>
      <right/>
      <top style="thin">
        <color theme="4" tint="0.39982299264503923"/>
      </top>
      <bottom style="thin">
        <color theme="4" tint="0.39982299264503923"/>
      </bottom>
      <diagonal/>
    </border>
    <border>
      <left/>
      <right/>
      <top style="thin">
        <color theme="4" tint="0.39982299264503923"/>
      </top>
      <bottom style="thin">
        <color theme="4" tint="0.39982299264503923"/>
      </bottom>
      <diagonal/>
    </border>
    <border>
      <left/>
      <right style="thin">
        <color theme="4" tint="0.39982299264503923"/>
      </right>
      <top style="thin">
        <color theme="4" tint="0.39982299264503923"/>
      </top>
      <bottom style="thin">
        <color theme="4" tint="0.39982299264503923"/>
      </bottom>
      <diagonal/>
    </border>
    <border>
      <left style="thin">
        <color theme="4" tint="0.39985351115451523"/>
      </left>
      <right/>
      <top style="thin">
        <color theme="4" tint="0.39985351115451523"/>
      </top>
      <bottom/>
      <diagonal/>
    </border>
    <border>
      <left/>
      <right/>
      <top style="thin">
        <color theme="4" tint="0.39985351115451523"/>
      </top>
      <bottom/>
      <diagonal/>
    </border>
    <border>
      <left/>
      <right style="thin">
        <color theme="4" tint="0.39985351115451523"/>
      </right>
      <top style="thin">
        <color theme="4" tint="0.39985351115451523"/>
      </top>
      <bottom/>
      <diagonal/>
    </border>
    <border>
      <left/>
      <right/>
      <top/>
      <bottom style="thin">
        <color theme="4" tint="0.39985351115451523"/>
      </bottom>
      <diagonal/>
    </border>
    <border>
      <left/>
      <right style="thin">
        <color theme="4" tint="0.39985351115451523"/>
      </right>
      <top/>
      <bottom style="thin">
        <color theme="4" tint="0.39985351115451523"/>
      </bottom>
      <diagonal/>
    </border>
    <border>
      <left style="thin">
        <color theme="4" tint="0.39985351115451523"/>
      </left>
      <right/>
      <top/>
      <bottom/>
      <diagonal/>
    </border>
    <border>
      <left/>
      <right style="thin">
        <color theme="4" tint="0.39985351115451523"/>
      </right>
      <top/>
      <bottom/>
      <diagonal/>
    </border>
    <border>
      <left style="thin">
        <color theme="4" tint="0.39985351115451523"/>
      </left>
      <right/>
      <top/>
      <bottom style="thin">
        <color theme="4" tint="0.39985351115451523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rgb="FF409DAD"/>
      </bottom>
      <diagonal/>
    </border>
    <border>
      <left/>
      <right/>
      <top style="thin">
        <color indexed="24"/>
      </top>
      <bottom style="thin">
        <color rgb="FF409DAD"/>
      </bottom>
      <diagonal/>
    </border>
    <border>
      <left/>
      <right style="thin">
        <color indexed="24"/>
      </right>
      <top style="thin">
        <color indexed="24"/>
      </top>
      <bottom style="thin">
        <color rgb="FF409DAD"/>
      </bottom>
      <diagonal/>
    </border>
    <border>
      <left style="thin">
        <color indexed="24"/>
      </left>
      <right/>
      <top/>
      <bottom style="medium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 style="thin">
        <color indexed="24"/>
      </right>
      <top/>
      <bottom style="medium">
        <color indexed="2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4" tint="-0.24994659260841701"/>
      </right>
      <top style="medium">
        <color indexed="64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indexed="64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indexed="64"/>
      </top>
      <bottom/>
      <diagonal/>
    </border>
    <border>
      <left style="thin">
        <color theme="4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indexed="64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/>
      <top style="thin">
        <color theme="4" tint="-0.24994659260841701"/>
      </top>
      <bottom style="medium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indexed="64"/>
      </bottom>
      <diagonal/>
    </border>
    <border>
      <left style="thin">
        <color theme="4" tint="-0.24994659260841701"/>
      </left>
      <right style="medium">
        <color indexed="64"/>
      </right>
      <top style="thin">
        <color theme="4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5">
    <xf numFmtId="0" fontId="0" fillId="0" borderId="0">
      <alignment vertical="center"/>
    </xf>
    <xf numFmtId="0" fontId="2" fillId="3" borderId="0" xfId="0" applyFont="1" applyFill="1" applyBorder="1" applyAlignment="1">
      <alignment horizontal="left"/>
    </xf>
    <xf numFmtId="0" fontId="228" fillId="0" borderId="0" applyNumberFormat="0" applyFill="0" applyBorder="0" applyAlignment="0" applyProtection="0">
      <alignment vertical="center"/>
    </xf>
    <xf numFmtId="0" fontId="5" fillId="3" borderId="0" xfId="0" applyFont="1" applyFill="1" applyBorder="1">
      <alignment vertical="center"/>
    </xf>
    <xf numFmtId="9" fontId="70" fillId="0" borderId="0" applyFont="0" applyFill="0" applyBorder="0" applyAlignment="0" applyProtection="0">
      <alignment vertical="center"/>
    </xf>
    <xf numFmtId="0" fontId="79" fillId="0" borderId="0"/>
    <xf numFmtId="177" fontId="79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84" fillId="0" borderId="0">
      <alignment vertical="center"/>
    </xf>
    <xf numFmtId="9" fontId="84" fillId="0" borderId="0" applyFont="0" applyFill="0" applyBorder="0" applyAlignment="0" applyProtection="0">
      <alignment vertical="center"/>
    </xf>
    <xf numFmtId="0" fontId="84" fillId="0" borderId="0">
      <alignment vertical="center"/>
    </xf>
    <xf numFmtId="177" fontId="84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" fillId="0" borderId="0"/>
    <xf numFmtId="0" fontId="104" fillId="0" borderId="0">
      <alignment vertical="center"/>
    </xf>
    <xf numFmtId="0" fontId="83" fillId="0" borderId="0">
      <alignment vertical="center"/>
    </xf>
    <xf numFmtId="0" fontId="124" fillId="0" borderId="0"/>
    <xf numFmtId="0" fontId="125" fillId="0" borderId="0">
      <alignment horizontal="left"/>
    </xf>
    <xf numFmtId="0" fontId="126" fillId="0" borderId="0">
      <alignment vertical="center"/>
    </xf>
    <xf numFmtId="0" fontId="4" fillId="0" borderId="0"/>
    <xf numFmtId="176" fontId="160" fillId="0" borderId="0" applyFont="0" applyFill="0" applyBorder="0" applyAlignment="0" applyProtection="0"/>
    <xf numFmtId="0" fontId="126" fillId="0" borderId="0">
      <alignment vertical="center"/>
    </xf>
    <xf numFmtId="0" fontId="171" fillId="0" borderId="0"/>
    <xf numFmtId="0" fontId="171" fillId="0" borderId="0"/>
    <xf numFmtId="0" fontId="171" fillId="0" borderId="0"/>
    <xf numFmtId="0" fontId="172" fillId="0" borderId="0"/>
    <xf numFmtId="0" fontId="172" fillId="0" borderId="0"/>
    <xf numFmtId="0" fontId="173" fillId="46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50" borderId="0" applyNumberFormat="0" applyBorder="0" applyAlignment="0" applyProtection="0">
      <alignment vertical="center"/>
    </xf>
    <xf numFmtId="0" fontId="173" fillId="51" borderId="0" applyNumberFormat="0" applyBorder="0" applyAlignment="0" applyProtection="0">
      <alignment vertical="center"/>
    </xf>
    <xf numFmtId="0" fontId="173" fillId="52" borderId="0" applyNumberFormat="0" applyBorder="0" applyAlignment="0" applyProtection="0">
      <alignment vertical="center"/>
    </xf>
    <xf numFmtId="0" fontId="173" fillId="53" borderId="0" applyNumberFormat="0" applyBorder="0" applyAlignment="0" applyProtection="0">
      <alignment vertical="center"/>
    </xf>
    <xf numFmtId="0" fontId="173" fillId="54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52" borderId="0" applyNumberFormat="0" applyBorder="0" applyAlignment="0" applyProtection="0">
      <alignment vertical="center"/>
    </xf>
    <xf numFmtId="0" fontId="173" fillId="55" borderId="0" applyNumberFormat="0" applyBorder="0" applyAlignment="0" applyProtection="0">
      <alignment vertical="center"/>
    </xf>
    <xf numFmtId="0" fontId="174" fillId="56" borderId="0" applyNumberFormat="0" applyBorder="0" applyAlignment="0" applyProtection="0">
      <alignment vertical="center"/>
    </xf>
    <xf numFmtId="0" fontId="174" fillId="53" borderId="0" applyNumberFormat="0" applyBorder="0" applyAlignment="0" applyProtection="0">
      <alignment vertical="center"/>
    </xf>
    <xf numFmtId="0" fontId="174" fillId="54" borderId="0" applyNumberFormat="0" applyBorder="0" applyAlignment="0" applyProtection="0">
      <alignment vertical="center"/>
    </xf>
    <xf numFmtId="0" fontId="174" fillId="57" borderId="0" applyNumberFormat="0" applyBorder="0" applyAlignment="0" applyProtection="0">
      <alignment vertical="center"/>
    </xf>
    <xf numFmtId="0" fontId="174" fillId="58" borderId="0" applyNumberFormat="0" applyBorder="0" applyAlignment="0" applyProtection="0">
      <alignment vertical="center"/>
    </xf>
    <xf numFmtId="0" fontId="174" fillId="59" borderId="0" applyNumberFormat="0" applyBorder="0" applyAlignment="0" applyProtection="0">
      <alignment vertical="center"/>
    </xf>
    <xf numFmtId="0" fontId="190" fillId="0" borderId="0" applyFont="0" applyFill="0" applyBorder="0" applyAlignment="0" applyProtection="0"/>
    <xf numFmtId="0" fontId="190" fillId="0" borderId="0" applyFont="0" applyFill="0" applyBorder="0" applyAlignment="0" applyProtection="0"/>
    <xf numFmtId="0" fontId="190" fillId="0" borderId="0" applyFont="0" applyFill="0" applyBorder="0" applyAlignment="0" applyProtection="0"/>
    <xf numFmtId="0" fontId="190" fillId="0" borderId="0" applyFont="0" applyFill="0" applyBorder="0" applyAlignment="0" applyProtection="0"/>
    <xf numFmtId="0" fontId="190" fillId="0" borderId="0"/>
    <xf numFmtId="0" fontId="174" fillId="60" borderId="0" applyNumberFormat="0" applyBorder="0" applyAlignment="0" applyProtection="0">
      <alignment vertical="center"/>
    </xf>
    <xf numFmtId="0" fontId="174" fillId="61" borderId="0" applyNumberFormat="0" applyBorder="0" applyAlignment="0" applyProtection="0">
      <alignment vertical="center"/>
    </xf>
    <xf numFmtId="0" fontId="174" fillId="62" borderId="0" applyNumberFormat="0" applyBorder="0" applyAlignment="0" applyProtection="0">
      <alignment vertical="center"/>
    </xf>
    <xf numFmtId="0" fontId="174" fillId="57" borderId="0" applyNumberFormat="0" applyBorder="0" applyAlignment="0" applyProtection="0">
      <alignment vertical="center"/>
    </xf>
    <xf numFmtId="0" fontId="174" fillId="58" borderId="0" applyNumberFormat="0" applyBorder="0" applyAlignment="0" applyProtection="0">
      <alignment vertical="center"/>
    </xf>
    <xf numFmtId="0" fontId="174" fillId="63" borderId="0" applyNumberFormat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64" borderId="160" applyNumberFormat="0" applyAlignment="0" applyProtection="0">
      <alignment vertical="center"/>
    </xf>
    <xf numFmtId="0" fontId="177" fillId="47" borderId="0" applyNumberFormat="0" applyBorder="0" applyAlignment="0" applyProtection="0">
      <alignment vertical="center"/>
    </xf>
    <xf numFmtId="0" fontId="126" fillId="65" borderId="161" applyNumberFormat="0" applyFont="0" applyAlignment="0" applyProtection="0">
      <alignment vertical="center"/>
    </xf>
    <xf numFmtId="9" fontId="126" fillId="0" borderId="0" applyFont="0" applyFill="0" applyBorder="0" applyAlignment="0" applyProtection="0"/>
    <xf numFmtId="0" fontId="178" fillId="66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67" borderId="162" applyNumberFormat="0" applyAlignment="0" applyProtection="0">
      <alignment vertical="center"/>
    </xf>
    <xf numFmtId="41" fontId="126" fillId="0" borderId="0" applyFont="0" applyFill="0" applyBorder="0" applyAlignment="0" applyProtection="0"/>
    <xf numFmtId="0" fontId="4" fillId="0" borderId="0"/>
    <xf numFmtId="0" fontId="181" fillId="0" borderId="163" applyNumberFormat="0" applyFill="0" applyAlignment="0" applyProtection="0">
      <alignment vertical="center"/>
    </xf>
    <xf numFmtId="0" fontId="182" fillId="0" borderId="164" applyNumberFormat="0" applyFill="0" applyAlignment="0" applyProtection="0">
      <alignment vertical="center"/>
    </xf>
    <xf numFmtId="0" fontId="183" fillId="51" borderId="160" applyNumberFormat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165" applyNumberFormat="0" applyFill="0" applyAlignment="0" applyProtection="0">
      <alignment vertical="center"/>
    </xf>
    <xf numFmtId="0" fontId="186" fillId="0" borderId="166" applyNumberFormat="0" applyFill="0" applyAlignment="0" applyProtection="0">
      <alignment vertical="center"/>
    </xf>
    <xf numFmtId="0" fontId="187" fillId="0" borderId="167" applyNumberFormat="0" applyFill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48" borderId="0" applyNumberFormat="0" applyBorder="0" applyAlignment="0" applyProtection="0">
      <alignment vertical="center"/>
    </xf>
    <xf numFmtId="0" fontId="189" fillId="64" borderId="168" applyNumberFormat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3" fontId="126" fillId="0" borderId="0" applyFont="0" applyFill="0" applyBorder="0" applyAlignment="0" applyProtection="0">
      <alignment vertical="center"/>
    </xf>
    <xf numFmtId="42" fontId="126" fillId="0" borderId="0" applyFont="0" applyFill="0" applyBorder="0" applyAlignment="0" applyProtection="0">
      <alignment vertical="center"/>
    </xf>
    <xf numFmtId="42" fontId="126" fillId="0" borderId="0" applyFont="0" applyFill="0" applyBorder="0" applyAlignment="0" applyProtection="0"/>
    <xf numFmtId="0" fontId="126" fillId="0" borderId="0"/>
    <xf numFmtId="0" fontId="126" fillId="0" borderId="0"/>
    <xf numFmtId="0" fontId="126" fillId="0" borderId="0">
      <alignment vertical="center"/>
    </xf>
    <xf numFmtId="0" fontId="126" fillId="0" borderId="0"/>
    <xf numFmtId="0" fontId="4" fillId="0" borderId="0"/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/>
    <xf numFmtId="42" fontId="126" fillId="0" borderId="0" applyFont="0" applyFill="0" applyBorder="0" applyAlignment="0" applyProtection="0">
      <alignment vertical="center"/>
    </xf>
    <xf numFmtId="42" fontId="126" fillId="0" borderId="0" applyFont="0" applyFill="0" applyBorder="0" applyAlignment="0" applyProtection="0"/>
    <xf numFmtId="0" fontId="70" fillId="0" borderId="0">
      <alignment vertical="center"/>
    </xf>
    <xf numFmtId="0" fontId="126" fillId="0" borderId="0">
      <alignment vertical="center"/>
    </xf>
    <xf numFmtId="0" fontId="231" fillId="0" borderId="0">
      <alignment vertical="center"/>
    </xf>
  </cellStyleXfs>
  <cellXfs count="1977">
    <xf numFmtId="0" fontId="0" fillId="0" borderId="0" xfId="0">
      <alignment vertical="center"/>
    </xf>
    <xf numFmtId="0" fontId="2" fillId="3" borderId="0" xfId="0" applyFont="1" applyFill="1" applyBorder="1" applyAlignment="1">
      <alignment horizontal="left"/>
    </xf>
    <xf numFmtId="0" fontId="4" fillId="3" borderId="5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5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 applyBorder="1">
      <alignment vertical="center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9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4" fillId="3" borderId="0" xfId="0" quotePrefix="1" applyFont="1" applyFill="1" applyBorder="1">
      <alignment vertical="center"/>
    </xf>
    <xf numFmtId="0" fontId="16" fillId="2" borderId="0" xfId="0" applyFont="1" applyFill="1" applyAlignment="1">
      <alignment horizontal="left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>
      <alignment vertical="center"/>
    </xf>
    <xf numFmtId="0" fontId="5" fillId="0" borderId="5" xfId="0" applyFont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8" fillId="7" borderId="0" xfId="0" applyFont="1" applyFill="1">
      <alignment vertical="center"/>
    </xf>
    <xf numFmtId="0" fontId="19" fillId="7" borderId="0" xfId="0" applyFont="1" applyFill="1">
      <alignment vertical="center"/>
    </xf>
    <xf numFmtId="0" fontId="20" fillId="7" borderId="0" xfId="0" applyFont="1" applyFill="1">
      <alignment vertical="center"/>
    </xf>
    <xf numFmtId="0" fontId="21" fillId="7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Border="1">
      <alignment vertical="center"/>
    </xf>
    <xf numFmtId="0" fontId="33" fillId="0" borderId="0" xfId="0" applyFont="1">
      <alignment vertical="center"/>
    </xf>
    <xf numFmtId="0" fontId="24" fillId="0" borderId="0" xfId="0" applyFont="1">
      <alignment vertical="center"/>
    </xf>
    <xf numFmtId="0" fontId="0" fillId="0" borderId="0" xfId="0">
      <alignment vertical="center"/>
    </xf>
    <xf numFmtId="0" fontId="15" fillId="0" borderId="0" xfId="0" applyFont="1">
      <alignment vertical="center"/>
    </xf>
    <xf numFmtId="0" fontId="38" fillId="3" borderId="0" xfId="0" quotePrefix="1" applyFont="1" applyFill="1" applyBorder="1">
      <alignment vertical="center"/>
    </xf>
    <xf numFmtId="183" fontId="30" fillId="5" borderId="0" xfId="0" applyNumberFormat="1" applyFont="1" applyFill="1" applyBorder="1" applyAlignment="1">
      <alignment horizontal="right" vertical="center"/>
    </xf>
    <xf numFmtId="0" fontId="15" fillId="0" borderId="0" xfId="0" applyFont="1" applyFill="1">
      <alignment vertical="center"/>
    </xf>
    <xf numFmtId="0" fontId="40" fillId="0" borderId="0" xfId="0" applyFont="1" applyFill="1">
      <alignment vertical="center"/>
    </xf>
    <xf numFmtId="0" fontId="41" fillId="0" borderId="0" xfId="0" applyFont="1" applyFill="1">
      <alignment vertical="center"/>
    </xf>
    <xf numFmtId="0" fontId="27" fillId="0" borderId="0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44" fillId="0" borderId="0" xfId="0" applyFont="1" applyAlignment="1">
      <alignment vertical="center"/>
    </xf>
    <xf numFmtId="0" fontId="31" fillId="0" borderId="0" xfId="0" applyFont="1">
      <alignment vertical="center"/>
    </xf>
    <xf numFmtId="183" fontId="30" fillId="0" borderId="0" xfId="0" applyNumberFormat="1" applyFont="1" applyFill="1" applyBorder="1" applyAlignment="1">
      <alignment horizontal="right" vertical="center"/>
    </xf>
    <xf numFmtId="185" fontId="45" fillId="0" borderId="0" xfId="0" applyNumberFormat="1" applyFont="1">
      <alignment vertical="center"/>
    </xf>
    <xf numFmtId="176" fontId="29" fillId="5" borderId="0" xfId="0" applyNumberFormat="1" applyFont="1" applyFill="1" applyBorder="1" applyAlignment="1">
      <alignment horizontal="right" vertical="center"/>
    </xf>
    <xf numFmtId="176" fontId="43" fillId="0" borderId="0" xfId="0" applyNumberFormat="1" applyFont="1" applyFill="1" applyBorder="1" applyAlignment="1">
      <alignment horizontal="right" vertical="center"/>
    </xf>
    <xf numFmtId="176" fontId="43" fillId="5" borderId="0" xfId="0" applyNumberFormat="1" applyFont="1" applyFill="1" applyBorder="1" applyAlignment="1">
      <alignment horizontal="right" vertical="center"/>
    </xf>
    <xf numFmtId="183" fontId="49" fillId="0" borderId="0" xfId="0" applyNumberFormat="1" applyFont="1" applyFill="1" applyBorder="1" applyAlignment="1">
      <alignment horizontal="right" vertical="center"/>
    </xf>
    <xf numFmtId="183" fontId="49" fillId="5" borderId="0" xfId="0" applyNumberFormat="1" applyFont="1" applyFill="1" applyBorder="1" applyAlignment="1">
      <alignment horizontal="right" vertical="center"/>
    </xf>
    <xf numFmtId="0" fontId="30" fillId="5" borderId="0" xfId="0" applyFont="1" applyFill="1" applyBorder="1" applyAlignment="1">
      <alignment horizontal="left" vertical="center" indent="1"/>
    </xf>
    <xf numFmtId="185" fontId="29" fillId="5" borderId="0" xfId="0" applyNumberFormat="1" applyFont="1" applyFill="1" applyBorder="1" applyAlignment="1">
      <alignment horizontal="right" vertical="center"/>
    </xf>
    <xf numFmtId="191" fontId="30" fillId="0" borderId="0" xfId="0" applyNumberFormat="1" applyFont="1" applyFill="1" applyBorder="1" applyAlignment="1">
      <alignment horizontal="right" vertical="center"/>
    </xf>
    <xf numFmtId="182" fontId="30" fillId="0" borderId="0" xfId="0" applyNumberFormat="1" applyFont="1" applyFill="1" applyBorder="1" applyAlignment="1">
      <alignment horizontal="right" vertical="center"/>
    </xf>
    <xf numFmtId="183" fontId="22" fillId="0" borderId="0" xfId="0" applyNumberFormat="1" applyFont="1" applyFill="1" applyBorder="1" applyAlignment="1">
      <alignment vertical="center"/>
    </xf>
    <xf numFmtId="179" fontId="29" fillId="0" borderId="0" xfId="0" applyNumberFormat="1" applyFont="1" applyBorder="1" applyAlignment="1">
      <alignment horizontal="right" vertical="center"/>
    </xf>
    <xf numFmtId="0" fontId="43" fillId="0" borderId="0" xfId="0" applyFont="1">
      <alignment vertical="center"/>
    </xf>
    <xf numFmtId="0" fontId="29" fillId="0" borderId="0" xfId="0" applyFont="1" applyFill="1" applyBorder="1">
      <alignment vertical="center"/>
    </xf>
    <xf numFmtId="0" fontId="43" fillId="0" borderId="0" xfId="0" applyFont="1" applyFill="1" applyBorder="1">
      <alignment vertical="center"/>
    </xf>
    <xf numFmtId="0" fontId="29" fillId="0" borderId="0" xfId="0" applyFont="1" applyFill="1" applyBorder="1" applyAlignment="1">
      <alignment horizontal="left" vertical="center" indent="1"/>
    </xf>
    <xf numFmtId="0" fontId="29" fillId="0" borderId="0" xfId="0" applyFont="1" applyBorder="1" applyAlignment="1">
      <alignment horizontal="left" vertical="center" indent="1"/>
    </xf>
    <xf numFmtId="190" fontId="29" fillId="0" borderId="0" xfId="0" applyNumberFormat="1" applyFont="1" applyBorder="1">
      <alignment vertical="center"/>
    </xf>
    <xf numFmtId="183" fontId="29" fillId="0" borderId="0" xfId="0" applyNumberFormat="1" applyFont="1" applyBorder="1">
      <alignment vertical="center"/>
    </xf>
    <xf numFmtId="0" fontId="29" fillId="0" borderId="0" xfId="0" applyFont="1" applyAlignment="1">
      <alignment horizontal="right" vertical="center"/>
    </xf>
    <xf numFmtId="183" fontId="50" fillId="0" borderId="0" xfId="0" applyNumberFormat="1" applyFont="1" applyAlignment="1">
      <alignment vertical="center"/>
    </xf>
    <xf numFmtId="183" fontId="29" fillId="0" borderId="0" xfId="0" applyNumberFormat="1" applyFont="1" applyAlignment="1">
      <alignment vertical="center"/>
    </xf>
    <xf numFmtId="183" fontId="43" fillId="0" borderId="0" xfId="0" applyNumberFormat="1" applyFont="1" applyAlignment="1">
      <alignment vertical="center"/>
    </xf>
    <xf numFmtId="185" fontId="29" fillId="0" borderId="0" xfId="0" applyNumberFormat="1" applyFont="1" applyAlignment="1">
      <alignment horizontal="right" vertical="center"/>
    </xf>
    <xf numFmtId="0" fontId="29" fillId="0" borderId="0" xfId="0" applyFont="1" applyBorder="1" applyAlignment="1">
      <alignment horizontal="right" vertical="center"/>
    </xf>
    <xf numFmtId="0" fontId="29" fillId="0" borderId="14" xfId="0" applyFont="1" applyBorder="1">
      <alignment vertical="center"/>
    </xf>
    <xf numFmtId="0" fontId="29" fillId="0" borderId="19" xfId="0" applyFont="1" applyBorder="1">
      <alignment vertical="center"/>
    </xf>
    <xf numFmtId="0" fontId="34" fillId="0" borderId="0" xfId="0" applyFont="1">
      <alignment vertical="center"/>
    </xf>
    <xf numFmtId="183" fontId="29" fillId="0" borderId="0" xfId="0" applyNumberFormat="1" applyFont="1" applyBorder="1" applyAlignment="1">
      <alignment vertical="center"/>
    </xf>
    <xf numFmtId="0" fontId="51" fillId="0" borderId="0" xfId="0" applyFont="1" applyAlignment="1">
      <alignment horizontal="right" vertical="center"/>
    </xf>
    <xf numFmtId="184" fontId="51" fillId="0" borderId="0" xfId="0" applyNumberFormat="1" applyFont="1">
      <alignment vertical="center"/>
    </xf>
    <xf numFmtId="0" fontId="50" fillId="0" borderId="0" xfId="0" applyFont="1">
      <alignment vertical="center"/>
    </xf>
    <xf numFmtId="183" fontId="34" fillId="0" borderId="0" xfId="0" applyNumberFormat="1" applyFont="1">
      <alignment vertical="center"/>
    </xf>
    <xf numFmtId="183" fontId="29" fillId="0" borderId="0" xfId="0" applyNumberFormat="1" applyFont="1">
      <alignment vertical="center"/>
    </xf>
    <xf numFmtId="3" fontId="29" fillId="0" borderId="0" xfId="0" applyNumberFormat="1" applyFont="1">
      <alignment vertical="center"/>
    </xf>
    <xf numFmtId="0" fontId="43" fillId="0" borderId="0" xfId="0" applyFont="1" applyAlignment="1">
      <alignment horizontal="right" vertical="center"/>
    </xf>
    <xf numFmtId="192" fontId="29" fillId="0" borderId="0" xfId="0" applyNumberFormat="1" applyFont="1" applyBorder="1" applyAlignment="1">
      <alignment horizontal="right" vertical="center"/>
    </xf>
    <xf numFmtId="192" fontId="29" fillId="5" borderId="0" xfId="0" applyNumberFormat="1" applyFont="1" applyFill="1" applyBorder="1" applyAlignment="1">
      <alignment horizontal="right" vertical="center"/>
    </xf>
    <xf numFmtId="192" fontId="43" fillId="0" borderId="0" xfId="0" applyNumberFormat="1" applyFont="1" applyBorder="1" applyAlignment="1">
      <alignment horizontal="right" vertical="center"/>
    </xf>
    <xf numFmtId="192" fontId="43" fillId="5" borderId="0" xfId="0" applyNumberFormat="1" applyFont="1" applyFill="1" applyBorder="1" applyAlignment="1">
      <alignment horizontal="right" vertical="center"/>
    </xf>
    <xf numFmtId="0" fontId="32" fillId="0" borderId="0" xfId="0" applyFont="1">
      <alignment vertical="center"/>
    </xf>
    <xf numFmtId="43" fontId="29" fillId="0" borderId="0" xfId="0" applyNumberFormat="1" applyFont="1">
      <alignment vertical="center"/>
    </xf>
    <xf numFmtId="0" fontId="52" fillId="0" borderId="0" xfId="0" applyFont="1">
      <alignment vertical="center"/>
    </xf>
    <xf numFmtId="183" fontId="52" fillId="0" borderId="0" xfId="3" applyNumberFormat="1" applyFont="1" applyFill="1" applyBorder="1" applyAlignme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41" fontId="29" fillId="0" borderId="0" xfId="2" applyNumberFormat="1" applyFont="1" applyFill="1" applyBorder="1" applyAlignment="1">
      <alignment vertical="center"/>
    </xf>
    <xf numFmtId="192" fontId="43" fillId="0" borderId="0" xfId="0" applyNumberFormat="1" applyFont="1" applyFill="1" applyBorder="1" applyAlignment="1">
      <alignment horizontal="right" vertical="center"/>
    </xf>
    <xf numFmtId="192" fontId="29" fillId="0" borderId="0" xfId="0" applyNumberFormat="1" applyFont="1" applyFill="1" applyBorder="1" applyAlignment="1">
      <alignment vertical="center"/>
    </xf>
    <xf numFmtId="192" fontId="29" fillId="0" borderId="0" xfId="0" applyNumberFormat="1" applyFont="1" applyFill="1" applyBorder="1" applyAlignment="1">
      <alignment horizontal="right" vertical="center"/>
    </xf>
    <xf numFmtId="192" fontId="43" fillId="0" borderId="0" xfId="0" applyNumberFormat="1" applyFont="1" applyFill="1" applyBorder="1" applyAlignment="1">
      <alignment vertical="center"/>
    </xf>
    <xf numFmtId="192" fontId="29" fillId="5" borderId="16" xfId="0" applyNumberFormat="1" applyFont="1" applyFill="1" applyBorder="1" applyAlignment="1">
      <alignment vertical="center"/>
    </xf>
    <xf numFmtId="192" fontId="29" fillId="0" borderId="17" xfId="0" applyNumberFormat="1" applyFont="1" applyBorder="1" applyAlignment="1">
      <alignment vertical="center"/>
    </xf>
    <xf numFmtId="192" fontId="29" fillId="5" borderId="18" xfId="0" applyNumberFormat="1" applyFont="1" applyFill="1" applyBorder="1" applyAlignment="1">
      <alignment vertical="center"/>
    </xf>
    <xf numFmtId="0" fontId="29" fillId="0" borderId="0" xfId="0" applyFont="1" applyBorder="1">
      <alignment vertical="center"/>
    </xf>
    <xf numFmtId="192" fontId="29" fillId="0" borderId="0" xfId="0" applyNumberFormat="1" applyFont="1" applyBorder="1">
      <alignment vertical="center"/>
    </xf>
    <xf numFmtId="0" fontId="29" fillId="0" borderId="0" xfId="0" applyFont="1">
      <alignment vertical="center"/>
    </xf>
    <xf numFmtId="0" fontId="29" fillId="0" borderId="0" xfId="0" applyFont="1" applyFill="1">
      <alignment vertical="center"/>
    </xf>
    <xf numFmtId="0" fontId="43" fillId="0" borderId="0" xfId="0" applyFont="1" applyFill="1">
      <alignment vertical="center"/>
    </xf>
    <xf numFmtId="192" fontId="29" fillId="0" borderId="0" xfId="0" applyNumberFormat="1" applyFont="1">
      <alignment vertical="center"/>
    </xf>
    <xf numFmtId="185" fontId="63" fillId="0" borderId="0" xfId="0" applyNumberFormat="1" applyFont="1">
      <alignment vertical="center"/>
    </xf>
    <xf numFmtId="192" fontId="29" fillId="0" borderId="0" xfId="0" applyNumberFormat="1" applyFont="1" applyFill="1" applyBorder="1">
      <alignment vertical="center"/>
    </xf>
    <xf numFmtId="192" fontId="61" fillId="0" borderId="0" xfId="0" applyNumberFormat="1" applyFont="1">
      <alignment vertical="center"/>
    </xf>
    <xf numFmtId="193" fontId="32" fillId="0" borderId="0" xfId="0" applyNumberFormat="1" applyFont="1">
      <alignment vertical="center"/>
    </xf>
    <xf numFmtId="41" fontId="50" fillId="0" borderId="0" xfId="2" applyNumberFormat="1" applyFont="1" applyFill="1" applyBorder="1" applyAlignment="1">
      <alignment vertical="center"/>
    </xf>
    <xf numFmtId="0" fontId="24" fillId="0" borderId="0" xfId="0" applyFont="1" applyBorder="1">
      <alignment vertical="center"/>
    </xf>
    <xf numFmtId="180" fontId="29" fillId="0" borderId="0" xfId="2" applyNumberFormat="1" applyFont="1" applyFill="1" applyBorder="1" applyAlignment="1">
      <alignment vertical="center"/>
    </xf>
    <xf numFmtId="183" fontId="66" fillId="0" borderId="0" xfId="3" applyNumberFormat="1" applyFont="1" applyFill="1" applyBorder="1" applyAlignment="1">
      <alignment vertical="center"/>
    </xf>
    <xf numFmtId="0" fontId="66" fillId="0" borderId="0" xfId="0" applyFont="1">
      <alignment vertical="center"/>
    </xf>
    <xf numFmtId="41" fontId="7" fillId="0" borderId="0" xfId="0" applyNumberFormat="1" applyFont="1" applyBorder="1">
      <alignment vertical="center"/>
    </xf>
    <xf numFmtId="0" fontId="37" fillId="0" borderId="0" xfId="0" applyNumberFormat="1" applyFont="1" applyFill="1" applyBorder="1" applyAlignment="1"/>
    <xf numFmtId="0" fontId="14" fillId="6" borderId="0" xfId="0" applyFont="1" applyFill="1" applyBorder="1" applyAlignment="1">
      <alignment horizontal="right" vertical="center"/>
    </xf>
    <xf numFmtId="0" fontId="14" fillId="6" borderId="0" xfId="0" applyFont="1" applyFill="1" applyBorder="1" applyAlignment="1">
      <alignment horizontal="left" vertical="center"/>
    </xf>
    <xf numFmtId="192" fontId="29" fillId="0" borderId="23" xfId="0" applyNumberFormat="1" applyFont="1" applyBorder="1" applyAlignment="1">
      <alignment horizontal="right" vertical="center"/>
    </xf>
    <xf numFmtId="0" fontId="29" fillId="0" borderId="25" xfId="0" applyFont="1" applyFill="1" applyBorder="1">
      <alignment vertical="center"/>
    </xf>
    <xf numFmtId="192" fontId="43" fillId="0" borderId="28" xfId="0" applyNumberFormat="1" applyFont="1" applyBorder="1" applyAlignment="1">
      <alignment horizontal="right" vertical="center"/>
    </xf>
    <xf numFmtId="192" fontId="43" fillId="0" borderId="29" xfId="0" applyNumberFormat="1" applyFont="1" applyBorder="1" applyAlignment="1">
      <alignment horizontal="right" vertical="center"/>
    </xf>
    <xf numFmtId="183" fontId="43" fillId="0" borderId="21" xfId="0" applyNumberFormat="1" applyFont="1" applyFill="1" applyBorder="1">
      <alignment vertical="center"/>
    </xf>
    <xf numFmtId="192" fontId="29" fillId="0" borderId="22" xfId="0" applyNumberFormat="1" applyFont="1" applyBorder="1" applyAlignment="1">
      <alignment horizontal="right" vertical="center"/>
    </xf>
    <xf numFmtId="192" fontId="29" fillId="0" borderId="24" xfId="0" applyNumberFormat="1" applyFont="1" applyBorder="1" applyAlignment="1">
      <alignment horizontal="right" vertical="center"/>
    </xf>
    <xf numFmtId="192" fontId="29" fillId="0" borderId="25" xfId="0" applyNumberFormat="1" applyFont="1" applyBorder="1" applyAlignment="1">
      <alignment horizontal="right" vertical="center"/>
    </xf>
    <xf numFmtId="192" fontId="29" fillId="0" borderId="26" xfId="0" applyNumberFormat="1" applyFont="1" applyBorder="1" applyAlignment="1">
      <alignment horizontal="right" vertical="center"/>
    </xf>
    <xf numFmtId="192" fontId="43" fillId="0" borderId="27" xfId="0" applyNumberFormat="1" applyFont="1" applyBorder="1" applyAlignment="1">
      <alignment horizontal="right" vertical="center"/>
    </xf>
    <xf numFmtId="0" fontId="29" fillId="0" borderId="22" xfId="0" applyFont="1" applyFill="1" applyBorder="1">
      <alignment vertical="center"/>
    </xf>
    <xf numFmtId="0" fontId="29" fillId="0" borderId="24" xfId="0" applyFont="1" applyFill="1" applyBorder="1">
      <alignment vertical="center"/>
    </xf>
    <xf numFmtId="0" fontId="29" fillId="0" borderId="26" xfId="0" applyFont="1" applyFill="1" applyBorder="1">
      <alignment vertical="center"/>
    </xf>
    <xf numFmtId="0" fontId="43" fillId="0" borderId="27" xfId="0" applyFont="1" applyFill="1" applyBorder="1">
      <alignment vertical="center"/>
    </xf>
    <xf numFmtId="0" fontId="43" fillId="0" borderId="29" xfId="0" applyFont="1" applyFill="1" applyBorder="1">
      <alignment vertical="center"/>
    </xf>
    <xf numFmtId="192" fontId="29" fillId="0" borderId="22" xfId="0" applyNumberFormat="1" applyFont="1" applyBorder="1" applyAlignment="1">
      <alignment vertical="center"/>
    </xf>
    <xf numFmtId="192" fontId="29" fillId="0" borderId="23" xfId="0" applyNumberFormat="1" applyFont="1" applyBorder="1" applyAlignment="1">
      <alignment vertical="center"/>
    </xf>
    <xf numFmtId="192" fontId="29" fillId="0" borderId="25" xfId="0" applyNumberFormat="1" applyFont="1" applyBorder="1" applyAlignment="1">
      <alignment vertical="center"/>
    </xf>
    <xf numFmtId="192" fontId="29" fillId="0" borderId="26" xfId="0" applyNumberFormat="1" applyFont="1" applyBorder="1" applyAlignment="1">
      <alignment vertical="center"/>
    </xf>
    <xf numFmtId="192" fontId="29" fillId="0" borderId="28" xfId="0" applyNumberFormat="1" applyFont="1" applyBorder="1" applyAlignment="1">
      <alignment vertical="center"/>
    </xf>
    <xf numFmtId="192" fontId="29" fillId="0" borderId="29" xfId="0" applyNumberFormat="1" applyFont="1" applyBorder="1" applyAlignment="1">
      <alignment vertical="center"/>
    </xf>
    <xf numFmtId="192" fontId="29" fillId="0" borderId="24" xfId="0" applyNumberFormat="1" applyFont="1" applyBorder="1" applyAlignment="1">
      <alignment vertical="center"/>
    </xf>
    <xf numFmtId="192" fontId="29" fillId="0" borderId="27" xfId="0" applyNumberFormat="1" applyFont="1" applyBorder="1" applyAlignment="1">
      <alignment vertical="center"/>
    </xf>
    <xf numFmtId="0" fontId="43" fillId="0" borderId="28" xfId="0" applyFont="1" applyBorder="1" applyAlignment="1">
      <alignment horizontal="centerContinuous" vertical="center"/>
    </xf>
    <xf numFmtId="10" fontId="62" fillId="0" borderId="9" xfId="0" applyNumberFormat="1" applyFont="1" applyBorder="1">
      <alignment vertical="center"/>
    </xf>
    <xf numFmtId="10" fontId="62" fillId="0" borderId="10" xfId="0" applyNumberFormat="1" applyFont="1" applyBorder="1">
      <alignment vertical="center"/>
    </xf>
    <xf numFmtId="0" fontId="0" fillId="0" borderId="0" xfId="0">
      <alignment vertical="center"/>
    </xf>
    <xf numFmtId="176" fontId="43" fillId="0" borderId="0" xfId="0" applyNumberFormat="1" applyFont="1" applyFill="1" applyBorder="1">
      <alignment vertical="center"/>
    </xf>
    <xf numFmtId="176" fontId="29" fillId="0" borderId="0" xfId="0" applyNumberFormat="1" applyFont="1" applyFill="1" applyBorder="1" applyAlignment="1" applyProtection="1">
      <alignment vertical="center"/>
    </xf>
    <xf numFmtId="176" fontId="29" fillId="0" borderId="0" xfId="0" applyNumberFormat="1" applyFont="1" applyFill="1" applyBorder="1">
      <alignment vertical="center"/>
    </xf>
    <xf numFmtId="192" fontId="29" fillId="0" borderId="0" xfId="2" applyNumberFormat="1" applyFont="1" applyFill="1" applyBorder="1" applyAlignment="1">
      <alignment vertical="center"/>
    </xf>
    <xf numFmtId="0" fontId="15" fillId="0" borderId="0" xfId="0" applyFont="1">
      <alignment vertical="center"/>
    </xf>
    <xf numFmtId="0" fontId="29" fillId="0" borderId="0" xfId="0" applyFont="1">
      <alignment vertical="center"/>
    </xf>
    <xf numFmtId="0" fontId="69" fillId="0" borderId="0" xfId="0" applyFont="1">
      <alignment vertical="center"/>
    </xf>
    <xf numFmtId="192" fontId="67" fillId="0" borderId="0" xfId="0" applyNumberFormat="1" applyFont="1">
      <alignment vertical="center"/>
    </xf>
    <xf numFmtId="193" fontId="69" fillId="0" borderId="0" xfId="0" applyNumberFormat="1" applyFont="1">
      <alignment vertical="center"/>
    </xf>
    <xf numFmtId="44" fontId="43" fillId="0" borderId="0" xfId="0" applyNumberFormat="1" applyFont="1">
      <alignment vertical="center"/>
    </xf>
    <xf numFmtId="0" fontId="27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>
      <alignment vertical="center"/>
    </xf>
    <xf numFmtId="0" fontId="60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41" fontId="12" fillId="0" borderId="0" xfId="0" applyNumberFormat="1" applyFont="1" applyFill="1" applyBorder="1" applyAlignment="1">
      <alignment horizontal="right" vertical="center"/>
    </xf>
    <xf numFmtId="41" fontId="27" fillId="0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34" fillId="0" borderId="0" xfId="0" applyFont="1" applyFill="1">
      <alignment vertical="center"/>
    </xf>
    <xf numFmtId="0" fontId="52" fillId="0" borderId="0" xfId="0" applyFont="1" applyFill="1">
      <alignment vertical="center"/>
    </xf>
    <xf numFmtId="41" fontId="22" fillId="0" borderId="0" xfId="2" applyNumberFormat="1" applyFont="1" applyFill="1" applyBorder="1" applyAlignment="1">
      <alignment vertical="center"/>
    </xf>
    <xf numFmtId="0" fontId="6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71" fillId="7" borderId="0" xfId="0" applyFont="1" applyFill="1" applyAlignment="1">
      <alignment horizontal="right" vertical="center"/>
    </xf>
    <xf numFmtId="0" fontId="10" fillId="8" borderId="0" xfId="0" applyFont="1" applyFill="1">
      <alignment vertical="center"/>
    </xf>
    <xf numFmtId="0" fontId="21" fillId="8" borderId="0" xfId="0" applyFont="1" applyFill="1" applyAlignment="1">
      <alignment horizontal="right" vertical="center"/>
    </xf>
    <xf numFmtId="0" fontId="13" fillId="7" borderId="38" xfId="0" applyFont="1" applyFill="1" applyBorder="1" applyAlignment="1">
      <alignment horizontal="left" vertical="center" indent="1"/>
    </xf>
    <xf numFmtId="0" fontId="7" fillId="0" borderId="39" xfId="0" applyFont="1" applyFill="1" applyBorder="1" applyAlignment="1">
      <alignment horizontal="left" vertical="center" indent="1"/>
    </xf>
    <xf numFmtId="0" fontId="13" fillId="7" borderId="40" xfId="0" applyFont="1" applyFill="1" applyBorder="1" applyAlignment="1">
      <alignment horizontal="left" vertical="center" indent="1"/>
    </xf>
    <xf numFmtId="0" fontId="7" fillId="0" borderId="41" xfId="0" applyFont="1" applyFill="1" applyBorder="1" applyAlignment="1">
      <alignment horizontal="left" vertical="center" indent="1"/>
    </xf>
    <xf numFmtId="14" fontId="7" fillId="0" borderId="41" xfId="0" applyNumberFormat="1" applyFont="1" applyFill="1" applyBorder="1" applyAlignment="1">
      <alignment horizontal="left" vertical="center" indent="1"/>
    </xf>
    <xf numFmtId="0" fontId="43" fillId="0" borderId="42" xfId="0" applyFont="1" applyBorder="1" applyAlignment="1">
      <alignment horizontal="center" vertical="center"/>
    </xf>
    <xf numFmtId="0" fontId="50" fillId="7" borderId="0" xfId="0" applyFont="1" applyFill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186" fontId="7" fillId="0" borderId="41" xfId="0" applyNumberFormat="1" applyFont="1" applyFill="1" applyBorder="1" applyAlignment="1">
      <alignment horizontal="left" vertical="center" indent="1"/>
    </xf>
    <xf numFmtId="0" fontId="50" fillId="9" borderId="0" xfId="0" applyFont="1" applyFill="1" applyAlignment="1">
      <alignment horizontal="center" vertical="center"/>
    </xf>
    <xf numFmtId="0" fontId="7" fillId="0" borderId="41" xfId="0" applyFont="1" applyBorder="1" applyAlignment="1">
      <alignment horizontal="left" vertical="center" indent="1"/>
    </xf>
    <xf numFmtId="0" fontId="50" fillId="10" borderId="0" xfId="0" applyFont="1" applyFill="1" applyAlignment="1">
      <alignment horizontal="center" vertical="center"/>
    </xf>
    <xf numFmtId="0" fontId="13" fillId="7" borderId="43" xfId="0" applyFont="1" applyFill="1" applyBorder="1" applyAlignment="1">
      <alignment horizontal="left" vertical="center" indent="1"/>
    </xf>
    <xf numFmtId="9" fontId="7" fillId="0" borderId="44" xfId="0" applyNumberFormat="1" applyFont="1" applyBorder="1" applyAlignment="1">
      <alignment horizontal="left" vertical="center" indent="1"/>
    </xf>
    <xf numFmtId="0" fontId="50" fillId="11" borderId="0" xfId="0" applyFont="1" applyFill="1" applyAlignment="1">
      <alignment horizontal="center" vertical="center"/>
    </xf>
    <xf numFmtId="0" fontId="50" fillId="12" borderId="0" xfId="0" applyFont="1" applyFill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57" fillId="14" borderId="0" xfId="0" applyFont="1" applyFill="1">
      <alignment vertical="center"/>
    </xf>
    <xf numFmtId="0" fontId="57" fillId="15" borderId="0" xfId="0" applyFont="1" applyFill="1">
      <alignment vertical="center"/>
    </xf>
    <xf numFmtId="0" fontId="57" fillId="16" borderId="0" xfId="0" applyFont="1" applyFill="1">
      <alignment vertical="center"/>
    </xf>
    <xf numFmtId="0" fontId="57" fillId="17" borderId="0" xfId="0" applyFont="1" applyFill="1">
      <alignment vertical="center"/>
    </xf>
    <xf numFmtId="0" fontId="57" fillId="18" borderId="0" xfId="0" applyFont="1" applyFill="1">
      <alignment vertical="center"/>
    </xf>
    <xf numFmtId="0" fontId="57" fillId="19" borderId="0" xfId="0" applyFont="1" applyFill="1">
      <alignment vertical="center"/>
    </xf>
    <xf numFmtId="0" fontId="72" fillId="20" borderId="0" xfId="0" applyFont="1" applyFill="1" applyBorder="1">
      <alignment vertical="center"/>
    </xf>
    <xf numFmtId="0" fontId="73" fillId="20" borderId="0" xfId="0" applyFont="1" applyFill="1" applyBorder="1" applyAlignment="1">
      <alignment horizontal="right" vertical="center"/>
    </xf>
    <xf numFmtId="0" fontId="74" fillId="21" borderId="0" xfId="0" applyFont="1" applyFill="1" applyBorder="1">
      <alignment vertical="center"/>
    </xf>
    <xf numFmtId="0" fontId="73" fillId="21" borderId="0" xfId="0" applyFont="1" applyFill="1" applyBorder="1" applyAlignment="1">
      <alignment horizontal="right" vertical="center"/>
    </xf>
    <xf numFmtId="0" fontId="75" fillId="20" borderId="45" xfId="0" applyFont="1" applyFill="1" applyBorder="1" applyAlignment="1">
      <alignment horizontal="center" vertical="center"/>
    </xf>
    <xf numFmtId="0" fontId="75" fillId="20" borderId="46" xfId="0" applyFont="1" applyFill="1" applyBorder="1" applyAlignment="1">
      <alignment horizontal="center" vertical="center"/>
    </xf>
    <xf numFmtId="0" fontId="75" fillId="20" borderId="47" xfId="0" applyFont="1" applyFill="1" applyBorder="1" applyAlignment="1">
      <alignment horizontal="center" vertical="center"/>
    </xf>
    <xf numFmtId="0" fontId="76" fillId="22" borderId="0" xfId="0" applyFont="1" applyFill="1" applyBorder="1" applyAlignment="1">
      <alignment horizontal="center" vertical="center"/>
    </xf>
    <xf numFmtId="0" fontId="76" fillId="22" borderId="41" xfId="0" quotePrefix="1" applyFont="1" applyFill="1" applyBorder="1" applyAlignment="1">
      <alignment horizontal="center" vertical="center"/>
    </xf>
    <xf numFmtId="0" fontId="76" fillId="0" borderId="0" xfId="0" quotePrefix="1" applyFont="1" applyFill="1" applyBorder="1" applyAlignment="1">
      <alignment horizontal="center" vertical="center"/>
    </xf>
    <xf numFmtId="0" fontId="76" fillId="22" borderId="38" xfId="0" applyFont="1" applyFill="1" applyBorder="1" applyAlignment="1">
      <alignment vertical="center"/>
    </xf>
    <xf numFmtId="0" fontId="76" fillId="22" borderId="48" xfId="0" applyFont="1" applyFill="1" applyBorder="1" applyAlignment="1">
      <alignment horizontal="center" vertical="center"/>
    </xf>
    <xf numFmtId="0" fontId="76" fillId="22" borderId="48" xfId="0" quotePrefix="1" applyFont="1" applyFill="1" applyBorder="1" applyAlignment="1">
      <alignment horizontal="center" vertical="center"/>
    </xf>
    <xf numFmtId="0" fontId="76" fillId="22" borderId="39" xfId="0" quotePrefix="1" applyFont="1" applyFill="1" applyBorder="1" applyAlignment="1">
      <alignment horizontal="center" vertical="center"/>
    </xf>
    <xf numFmtId="0" fontId="76" fillId="22" borderId="40" xfId="0" applyFont="1" applyFill="1" applyBorder="1" applyAlignment="1">
      <alignment vertical="center"/>
    </xf>
    <xf numFmtId="0" fontId="76" fillId="22" borderId="49" xfId="0" applyFont="1" applyFill="1" applyBorder="1" applyAlignment="1">
      <alignment vertical="center"/>
    </xf>
    <xf numFmtId="0" fontId="76" fillId="22" borderId="50" xfId="0" applyFont="1" applyFill="1" applyBorder="1" applyAlignment="1">
      <alignment horizontal="center" vertical="center"/>
    </xf>
    <xf numFmtId="0" fontId="76" fillId="22" borderId="50" xfId="0" applyFont="1" applyFill="1" applyBorder="1" applyAlignment="1">
      <alignment vertical="center"/>
    </xf>
    <xf numFmtId="0" fontId="76" fillId="0" borderId="50" xfId="0" quotePrefix="1" applyFont="1" applyFill="1" applyBorder="1" applyAlignment="1">
      <alignment horizontal="center" vertical="center"/>
    </xf>
    <xf numFmtId="0" fontId="76" fillId="22" borderId="51" xfId="0" quotePrefix="1" applyFont="1" applyFill="1" applyBorder="1" applyAlignment="1">
      <alignment horizontal="center" vertical="center"/>
    </xf>
    <xf numFmtId="0" fontId="39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41" fillId="8" borderId="0" xfId="0" applyFont="1" applyFill="1">
      <alignment vertical="center"/>
    </xf>
    <xf numFmtId="0" fontId="40" fillId="8" borderId="0" xfId="0" applyFont="1" applyFill="1">
      <alignment vertical="center"/>
    </xf>
    <xf numFmtId="0" fontId="68" fillId="7" borderId="45" xfId="0" applyFont="1" applyFill="1" applyBorder="1">
      <alignment vertical="center"/>
    </xf>
    <xf numFmtId="0" fontId="68" fillId="7" borderId="46" xfId="0" applyFont="1" applyFill="1" applyBorder="1" applyAlignment="1">
      <alignment horizontal="center" vertical="center"/>
    </xf>
    <xf numFmtId="0" fontId="68" fillId="7" borderId="52" xfId="0" applyFont="1" applyFill="1" applyBorder="1" applyAlignment="1">
      <alignment horizontal="center" vertical="center"/>
    </xf>
    <xf numFmtId="0" fontId="68" fillId="7" borderId="47" xfId="0" applyFont="1" applyFill="1" applyBorder="1" applyAlignment="1">
      <alignment horizontal="center" vertical="center"/>
    </xf>
    <xf numFmtId="0" fontId="7" fillId="0" borderId="38" xfId="0" applyFont="1" applyBorder="1">
      <alignment vertical="center"/>
    </xf>
    <xf numFmtId="41" fontId="7" fillId="0" borderId="48" xfId="0" applyNumberFormat="1" applyFont="1" applyBorder="1">
      <alignment vertical="center"/>
    </xf>
    <xf numFmtId="41" fontId="7" fillId="0" borderId="39" xfId="0" applyNumberFormat="1" applyFont="1" applyBorder="1">
      <alignment vertical="center"/>
    </xf>
    <xf numFmtId="41" fontId="7" fillId="0" borderId="41" xfId="0" applyNumberFormat="1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41" fontId="7" fillId="0" borderId="41" xfId="0" applyNumberFormat="1" applyFont="1" applyBorder="1">
      <alignment vertical="center"/>
    </xf>
    <xf numFmtId="0" fontId="7" fillId="0" borderId="49" xfId="0" applyFont="1" applyBorder="1">
      <alignment vertical="center"/>
    </xf>
    <xf numFmtId="41" fontId="7" fillId="0" borderId="50" xfId="0" applyNumberFormat="1" applyFont="1" applyFill="1" applyBorder="1">
      <alignment vertical="center"/>
    </xf>
    <xf numFmtId="41" fontId="7" fillId="0" borderId="51" xfId="0" applyNumberFormat="1" applyFont="1" applyFill="1" applyBorder="1">
      <alignment vertical="center"/>
    </xf>
    <xf numFmtId="41" fontId="26" fillId="0" borderId="0" xfId="1" applyNumberFormat="1" applyFont="1" applyFill="1" applyBorder="1" applyAlignment="1">
      <alignment horizontal="right" vertical="center"/>
    </xf>
    <xf numFmtId="41" fontId="12" fillId="0" borderId="0" xfId="1" applyNumberFormat="1" applyFont="1" applyFill="1" applyBorder="1" applyAlignment="1">
      <alignment horizontal="right" vertical="center"/>
    </xf>
    <xf numFmtId="183" fontId="12" fillId="0" borderId="0" xfId="2" applyNumberFormat="1" applyFont="1" applyFill="1" applyBorder="1" applyAlignment="1">
      <alignment horizontal="right" vertical="center"/>
    </xf>
    <xf numFmtId="183" fontId="26" fillId="0" borderId="0" xfId="2" applyNumberFormat="1" applyFont="1" applyFill="1" applyBorder="1" applyAlignment="1">
      <alignment horizontal="right" vertical="center"/>
    </xf>
    <xf numFmtId="0" fontId="64" fillId="0" borderId="0" xfId="0" applyNumberFormat="1" applyFont="1" applyFill="1" applyBorder="1">
      <alignment vertical="center"/>
    </xf>
    <xf numFmtId="0" fontId="53" fillId="0" borderId="0" xfId="0" applyFont="1" applyFill="1" applyBorder="1" applyAlignment="1">
      <alignment horizontal="left" vertical="center" indent="1"/>
    </xf>
    <xf numFmtId="0" fontId="53" fillId="0" borderId="0" xfId="0" applyFont="1" applyFill="1" applyBorder="1" applyAlignment="1">
      <alignment horizontal="center" vertical="center"/>
    </xf>
    <xf numFmtId="183" fontId="53" fillId="0" borderId="0" xfId="0" applyNumberFormat="1" applyFont="1" applyFill="1" applyBorder="1">
      <alignment vertical="center"/>
    </xf>
    <xf numFmtId="41" fontId="47" fillId="0" borderId="0" xfId="1" applyNumberFormat="1" applyFont="1" applyFill="1" applyBorder="1" applyAlignment="1">
      <alignment horizontal="center" vertical="center"/>
    </xf>
    <xf numFmtId="41" fontId="47" fillId="0" borderId="0" xfId="1" applyNumberFormat="1" applyFont="1" applyFill="1" applyBorder="1" applyAlignment="1">
      <alignment vertical="center"/>
    </xf>
    <xf numFmtId="0" fontId="65" fillId="0" borderId="0" xfId="0" applyFont="1" applyFill="1" applyBorder="1" applyAlignment="1">
      <alignment horizontal="left" vertical="center" indent="1"/>
    </xf>
    <xf numFmtId="41" fontId="58" fillId="0" borderId="0" xfId="1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41" fontId="58" fillId="0" borderId="0" xfId="1" applyNumberFormat="1" applyFont="1" applyFill="1" applyBorder="1" applyAlignment="1">
      <alignment vertical="center"/>
    </xf>
    <xf numFmtId="0" fontId="19" fillId="20" borderId="0" xfId="0" applyFont="1" applyFill="1">
      <alignment vertical="center"/>
    </xf>
    <xf numFmtId="0" fontId="20" fillId="20" borderId="0" xfId="0" applyFont="1" applyFill="1">
      <alignment vertical="center"/>
    </xf>
    <xf numFmtId="0" fontId="21" fillId="20" borderId="0" xfId="0" applyFont="1" applyFill="1" applyAlignment="1">
      <alignment horizontal="right" vertical="center"/>
    </xf>
    <xf numFmtId="0" fontId="10" fillId="21" borderId="0" xfId="0" applyFont="1" applyFill="1" applyAlignment="1">
      <alignment vertical="center"/>
    </xf>
    <xf numFmtId="0" fontId="11" fillId="20" borderId="38" xfId="0" applyFont="1" applyFill="1" applyBorder="1">
      <alignment vertical="center"/>
    </xf>
    <xf numFmtId="0" fontId="11" fillId="20" borderId="48" xfId="0" applyFont="1" applyFill="1" applyBorder="1">
      <alignment vertical="center"/>
    </xf>
    <xf numFmtId="0" fontId="29" fillId="0" borderId="38" xfId="0" applyFont="1" applyBorder="1">
      <alignment vertical="center"/>
    </xf>
    <xf numFmtId="0" fontId="29" fillId="0" borderId="48" xfId="0" applyFont="1" applyBorder="1">
      <alignment vertical="center"/>
    </xf>
    <xf numFmtId="192" fontId="29" fillId="0" borderId="48" xfId="0" applyNumberFormat="1" applyFont="1" applyBorder="1" applyAlignment="1">
      <alignment horizontal="right" vertical="center"/>
    </xf>
    <xf numFmtId="192" fontId="29" fillId="0" borderId="39" xfId="0" applyNumberFormat="1" applyFont="1" applyBorder="1" applyAlignment="1">
      <alignment horizontal="right" vertical="center"/>
    </xf>
    <xf numFmtId="192" fontId="29" fillId="5" borderId="39" xfId="0" applyNumberFormat="1" applyFont="1" applyFill="1" applyBorder="1" applyAlignment="1">
      <alignment horizontal="right" vertical="center"/>
    </xf>
    <xf numFmtId="0" fontId="29" fillId="0" borderId="40" xfId="0" applyFont="1" applyFill="1" applyBorder="1">
      <alignment vertical="center"/>
    </xf>
    <xf numFmtId="192" fontId="29" fillId="0" borderId="41" xfId="0" applyNumberFormat="1" applyFont="1" applyBorder="1" applyAlignment="1">
      <alignment horizontal="right" vertical="center"/>
    </xf>
    <xf numFmtId="192" fontId="29" fillId="5" borderId="41" xfId="0" applyNumberFormat="1" applyFont="1" applyFill="1" applyBorder="1" applyAlignment="1">
      <alignment horizontal="right" vertical="center"/>
    </xf>
    <xf numFmtId="0" fontId="43" fillId="0" borderId="40" xfId="0" applyFont="1" applyFill="1" applyBorder="1">
      <alignment vertical="center"/>
    </xf>
    <xf numFmtId="192" fontId="43" fillId="0" borderId="41" xfId="0" applyNumberFormat="1" applyFont="1" applyBorder="1" applyAlignment="1">
      <alignment horizontal="right" vertical="center"/>
    </xf>
    <xf numFmtId="192" fontId="43" fillId="5" borderId="41" xfId="0" applyNumberFormat="1" applyFont="1" applyFill="1" applyBorder="1" applyAlignment="1">
      <alignment horizontal="right" vertical="center"/>
    </xf>
    <xf numFmtId="0" fontId="29" fillId="0" borderId="40" xfId="0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43" fillId="0" borderId="49" xfId="0" applyFont="1" applyBorder="1">
      <alignment vertical="center"/>
    </xf>
    <xf numFmtId="0" fontId="43" fillId="0" borderId="50" xfId="0" applyFont="1" applyBorder="1">
      <alignment vertical="center"/>
    </xf>
    <xf numFmtId="192" fontId="43" fillId="5" borderId="50" xfId="0" applyNumberFormat="1" applyFont="1" applyFill="1" applyBorder="1" applyAlignment="1">
      <alignment horizontal="right" vertical="center"/>
    </xf>
    <xf numFmtId="192" fontId="43" fillId="5" borderId="51" xfId="0" applyNumberFormat="1" applyFont="1" applyFill="1" applyBorder="1" applyAlignment="1">
      <alignment horizontal="right" vertical="center"/>
    </xf>
    <xf numFmtId="192" fontId="43" fillId="0" borderId="50" xfId="0" applyNumberFormat="1" applyFont="1" applyBorder="1" applyAlignment="1">
      <alignment horizontal="right" vertical="center"/>
    </xf>
    <xf numFmtId="192" fontId="43" fillId="0" borderId="51" xfId="0" applyNumberFormat="1" applyFont="1" applyBorder="1" applyAlignment="1">
      <alignment horizontal="right" vertical="center"/>
    </xf>
    <xf numFmtId="189" fontId="29" fillId="0" borderId="39" xfId="0" applyNumberFormat="1" applyFont="1" applyFill="1" applyBorder="1">
      <alignment vertical="center"/>
    </xf>
    <xf numFmtId="0" fontId="29" fillId="0" borderId="40" xfId="0" applyFont="1" applyBorder="1">
      <alignment vertical="center"/>
    </xf>
    <xf numFmtId="190" fontId="29" fillId="0" borderId="41" xfId="0" applyNumberFormat="1" applyFont="1" applyFill="1" applyBorder="1">
      <alignment vertical="center"/>
    </xf>
    <xf numFmtId="0" fontId="29" fillId="0" borderId="55" xfId="0" applyFont="1" applyBorder="1">
      <alignment vertical="center"/>
    </xf>
    <xf numFmtId="0" fontId="29" fillId="0" borderId="56" xfId="0" applyFont="1" applyBorder="1">
      <alignment vertical="center"/>
    </xf>
    <xf numFmtId="179" fontId="29" fillId="0" borderId="56" xfId="0" applyNumberFormat="1" applyFont="1" applyBorder="1" applyAlignment="1">
      <alignment horizontal="right" vertical="center"/>
    </xf>
    <xf numFmtId="179" fontId="29" fillId="5" borderId="57" xfId="0" applyNumberFormat="1" applyFont="1" applyFill="1" applyBorder="1" applyAlignment="1">
      <alignment horizontal="right" vertical="center"/>
    </xf>
    <xf numFmtId="192" fontId="29" fillId="5" borderId="56" xfId="0" applyNumberFormat="1" applyFont="1" applyFill="1" applyBorder="1" applyAlignment="1">
      <alignment horizontal="right" vertical="center"/>
    </xf>
    <xf numFmtId="192" fontId="29" fillId="5" borderId="57" xfId="0" applyNumberFormat="1" applyFont="1" applyFill="1" applyBorder="1" applyAlignment="1">
      <alignment horizontal="right" vertical="center"/>
    </xf>
    <xf numFmtId="179" fontId="29" fillId="5" borderId="41" xfId="0" applyNumberFormat="1" applyFont="1" applyFill="1" applyBorder="1" applyAlignment="1">
      <alignment horizontal="right" vertical="center"/>
    </xf>
    <xf numFmtId="0" fontId="29" fillId="0" borderId="49" xfId="0" applyFont="1" applyBorder="1">
      <alignment vertical="center"/>
    </xf>
    <xf numFmtId="0" fontId="29" fillId="0" borderId="50" xfId="0" applyFont="1" applyBorder="1">
      <alignment vertical="center"/>
    </xf>
    <xf numFmtId="179" fontId="29" fillId="0" borderId="50" xfId="0" applyNumberFormat="1" applyFont="1" applyBorder="1" applyAlignment="1">
      <alignment horizontal="right" vertical="center"/>
    </xf>
    <xf numFmtId="179" fontId="29" fillId="0" borderId="51" xfId="0" applyNumberFormat="1" applyFont="1" applyBorder="1" applyAlignment="1">
      <alignment horizontal="right" vertical="center"/>
    </xf>
    <xf numFmtId="192" fontId="29" fillId="0" borderId="50" xfId="0" applyNumberFormat="1" applyFont="1" applyBorder="1" applyAlignment="1">
      <alignment horizontal="right" vertical="center"/>
    </xf>
    <xf numFmtId="0" fontId="43" fillId="0" borderId="49" xfId="0" applyFont="1" applyFill="1" applyBorder="1">
      <alignment vertical="center"/>
    </xf>
    <xf numFmtId="0" fontId="48" fillId="20" borderId="48" xfId="0" applyFont="1" applyFill="1" applyBorder="1" applyAlignment="1">
      <alignment horizontal="center" vertical="center"/>
    </xf>
    <xf numFmtId="0" fontId="48" fillId="20" borderId="59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11" fillId="21" borderId="49" xfId="0" applyFont="1" applyFill="1" applyBorder="1">
      <alignment vertical="center"/>
    </xf>
    <xf numFmtId="187" fontId="11" fillId="21" borderId="50" xfId="0" applyNumberFormat="1" applyFont="1" applyFill="1" applyBorder="1" applyAlignment="1">
      <alignment horizontal="center" vertical="center"/>
    </xf>
    <xf numFmtId="187" fontId="11" fillId="21" borderId="60" xfId="0" applyNumberFormat="1" applyFont="1" applyFill="1" applyBorder="1" applyAlignment="1">
      <alignment horizontal="center" vertical="center"/>
    </xf>
    <xf numFmtId="181" fontId="11" fillId="21" borderId="0" xfId="0" applyNumberFormat="1" applyFont="1" applyFill="1" applyBorder="1" applyAlignment="1">
      <alignment horizontal="center" vertical="center"/>
    </xf>
    <xf numFmtId="181" fontId="11" fillId="21" borderId="41" xfId="0" applyNumberFormat="1" applyFont="1" applyFill="1" applyBorder="1" applyAlignment="1">
      <alignment horizontal="center" vertical="center"/>
    </xf>
    <xf numFmtId="0" fontId="43" fillId="5" borderId="38" xfId="0" applyFont="1" applyFill="1" applyBorder="1">
      <alignment vertical="center"/>
    </xf>
    <xf numFmtId="176" fontId="43" fillId="5" borderId="48" xfId="0" applyNumberFormat="1" applyFont="1" applyFill="1" applyBorder="1" applyAlignment="1">
      <alignment horizontal="right" vertical="center"/>
    </xf>
    <xf numFmtId="192" fontId="43" fillId="5" borderId="48" xfId="0" applyNumberFormat="1" applyFont="1" applyFill="1" applyBorder="1" applyAlignment="1">
      <alignment horizontal="right" vertical="center"/>
    </xf>
    <xf numFmtId="192" fontId="43" fillId="0" borderId="48" xfId="0" applyNumberFormat="1" applyFont="1" applyFill="1" applyBorder="1" applyAlignment="1">
      <alignment horizontal="right" vertical="center"/>
    </xf>
    <xf numFmtId="192" fontId="43" fillId="5" borderId="39" xfId="0" applyNumberFormat="1" applyFont="1" applyFill="1" applyBorder="1" applyAlignment="1">
      <alignment horizontal="right" vertical="center"/>
    </xf>
    <xf numFmtId="183" fontId="49" fillId="5" borderId="40" xfId="0" applyNumberFormat="1" applyFont="1" applyFill="1" applyBorder="1" applyAlignment="1">
      <alignment horizontal="left" vertical="center" indent="1"/>
    </xf>
    <xf numFmtId="183" fontId="49" fillId="5" borderId="41" xfId="0" applyNumberFormat="1" applyFont="1" applyFill="1" applyBorder="1" applyAlignment="1">
      <alignment horizontal="right" vertical="center"/>
    </xf>
    <xf numFmtId="0" fontId="29" fillId="5" borderId="40" xfId="0" applyFont="1" applyFill="1" applyBorder="1">
      <alignment vertical="center"/>
    </xf>
    <xf numFmtId="183" fontId="49" fillId="0" borderId="41" xfId="0" applyNumberFormat="1" applyFont="1" applyFill="1" applyBorder="1" applyAlignment="1">
      <alignment horizontal="right" vertical="center"/>
    </xf>
    <xf numFmtId="183" fontId="30" fillId="5" borderId="40" xfId="0" applyNumberFormat="1" applyFont="1" applyFill="1" applyBorder="1" applyAlignment="1">
      <alignment horizontal="left" vertical="center" indent="1"/>
    </xf>
    <xf numFmtId="183" fontId="30" fillId="0" borderId="41" xfId="0" applyNumberFormat="1" applyFont="1" applyFill="1" applyBorder="1" applyAlignment="1">
      <alignment horizontal="right" vertical="center"/>
    </xf>
    <xf numFmtId="183" fontId="30" fillId="5" borderId="41" xfId="0" applyNumberFormat="1" applyFont="1" applyFill="1" applyBorder="1" applyAlignment="1">
      <alignment horizontal="right" vertical="center"/>
    </xf>
    <xf numFmtId="0" fontId="43" fillId="5" borderId="40" xfId="0" applyFont="1" applyFill="1" applyBorder="1">
      <alignment vertical="center"/>
    </xf>
    <xf numFmtId="192" fontId="43" fillId="0" borderId="41" xfId="0" applyNumberFormat="1" applyFont="1" applyFill="1" applyBorder="1" applyAlignment="1">
      <alignment horizontal="right" vertical="center"/>
    </xf>
    <xf numFmtId="0" fontId="29" fillId="0" borderId="43" xfId="0" applyFont="1" applyBorder="1">
      <alignment vertical="center"/>
    </xf>
    <xf numFmtId="0" fontId="29" fillId="0" borderId="58" xfId="0" applyFont="1" applyBorder="1">
      <alignment vertical="center"/>
    </xf>
    <xf numFmtId="0" fontId="29" fillId="0" borderId="44" xfId="0" applyFont="1" applyBorder="1">
      <alignment vertical="center"/>
    </xf>
    <xf numFmtId="0" fontId="21" fillId="20" borderId="0" xfId="0" applyFont="1" applyFill="1" applyBorder="1" applyAlignment="1">
      <alignment horizontal="right" vertical="center"/>
    </xf>
    <xf numFmtId="0" fontId="10" fillId="21" borderId="0" xfId="0" applyFont="1" applyFill="1" applyBorder="1" applyAlignment="1">
      <alignment vertical="center"/>
    </xf>
    <xf numFmtId="3" fontId="29" fillId="0" borderId="0" xfId="0" applyNumberFormat="1" applyFont="1" applyBorder="1">
      <alignment vertical="center"/>
    </xf>
    <xf numFmtId="0" fontId="11" fillId="7" borderId="34" xfId="0" applyFont="1" applyFill="1" applyBorder="1" applyAlignment="1">
      <alignment horizontal="left" vertical="center"/>
    </xf>
    <xf numFmtId="0" fontId="11" fillId="7" borderId="35" xfId="0" applyFont="1" applyFill="1" applyBorder="1" applyAlignment="1">
      <alignment horizontal="left" vertical="center"/>
    </xf>
    <xf numFmtId="0" fontId="11" fillId="7" borderId="0" xfId="0" applyNumberFormat="1" applyFont="1" applyFill="1" applyBorder="1">
      <alignment vertical="center"/>
    </xf>
    <xf numFmtId="0" fontId="11" fillId="7" borderId="0" xfId="0" applyNumberFormat="1" applyFont="1" applyFill="1" applyBorder="1" applyAlignment="1">
      <alignment horizontal="left" vertical="center"/>
    </xf>
    <xf numFmtId="0" fontId="50" fillId="7" borderId="0" xfId="0" applyFont="1" applyFill="1">
      <alignment vertical="center"/>
    </xf>
    <xf numFmtId="0" fontId="11" fillId="7" borderId="30" xfId="0" applyFont="1" applyFill="1" applyBorder="1" applyAlignment="1">
      <alignment horizontal="centerContinuous" vertical="center"/>
    </xf>
    <xf numFmtId="0" fontId="11" fillId="7" borderId="31" xfId="0" applyFont="1" applyFill="1" applyBorder="1" applyAlignment="1">
      <alignment horizontal="centerContinuous" vertical="center"/>
    </xf>
    <xf numFmtId="0" fontId="11" fillId="8" borderId="36" xfId="0" applyFont="1" applyFill="1" applyBorder="1" applyAlignment="1">
      <alignment horizontal="center" vertical="center"/>
    </xf>
    <xf numFmtId="0" fontId="11" fillId="8" borderId="37" xfId="0" applyFont="1" applyFill="1" applyBorder="1" applyAlignment="1">
      <alignment horizontal="center" vertical="center"/>
    </xf>
    <xf numFmtId="192" fontId="11" fillId="7" borderId="24" xfId="0" applyNumberFormat="1" applyFont="1" applyFill="1" applyBorder="1" applyAlignment="1">
      <alignment vertical="center"/>
    </xf>
    <xf numFmtId="192" fontId="11" fillId="7" borderId="27" xfId="0" applyNumberFormat="1" applyFont="1" applyFill="1" applyBorder="1" applyAlignment="1">
      <alignment vertical="center"/>
    </xf>
    <xf numFmtId="192" fontId="11" fillId="7" borderId="0" xfId="0" applyNumberFormat="1" applyFont="1" applyFill="1" applyBorder="1" applyAlignment="1">
      <alignment vertical="center"/>
    </xf>
    <xf numFmtId="0" fontId="11" fillId="7" borderId="38" xfId="0" applyFont="1" applyFill="1" applyBorder="1">
      <alignment vertical="center"/>
    </xf>
    <xf numFmtId="0" fontId="11" fillId="7" borderId="48" xfId="0" applyFont="1" applyFill="1" applyBorder="1">
      <alignment vertical="center"/>
    </xf>
    <xf numFmtId="0" fontId="11" fillId="7" borderId="48" xfId="0" applyFont="1" applyFill="1" applyBorder="1" applyAlignment="1">
      <alignment horizontal="centerContinuous" vertical="center"/>
    </xf>
    <xf numFmtId="0" fontId="11" fillId="7" borderId="53" xfId="0" applyFont="1" applyFill="1" applyBorder="1" applyAlignment="1">
      <alignment horizontal="centerContinuous" vertical="center"/>
    </xf>
    <xf numFmtId="0" fontId="29" fillId="7" borderId="48" xfId="0" applyFont="1" applyFill="1" applyBorder="1" applyAlignment="1">
      <alignment horizontal="centerContinuous" vertical="center"/>
    </xf>
    <xf numFmtId="0" fontId="29" fillId="7" borderId="39" xfId="0" applyFont="1" applyFill="1" applyBorder="1" applyAlignment="1">
      <alignment horizontal="centerContinuous" vertical="center"/>
    </xf>
    <xf numFmtId="180" fontId="29" fillId="0" borderId="41" xfId="2" applyNumberFormat="1" applyFont="1" applyFill="1" applyBorder="1" applyAlignment="1">
      <alignment vertical="center"/>
    </xf>
    <xf numFmtId="185" fontId="29" fillId="0" borderId="41" xfId="0" applyNumberFormat="1" applyFont="1" applyBorder="1" applyAlignment="1">
      <alignment horizontal="right" vertical="center"/>
    </xf>
    <xf numFmtId="0" fontId="60" fillId="8" borderId="49" xfId="0" applyFont="1" applyFill="1" applyBorder="1">
      <alignment vertical="center"/>
    </xf>
    <xf numFmtId="0" fontId="60" fillId="8" borderId="50" xfId="0" applyFont="1" applyFill="1" applyBorder="1">
      <alignment vertical="center"/>
    </xf>
    <xf numFmtId="187" fontId="60" fillId="8" borderId="50" xfId="0" applyNumberFormat="1" applyFont="1" applyFill="1" applyBorder="1" applyAlignment="1">
      <alignment horizontal="center" vertical="center"/>
    </xf>
    <xf numFmtId="188" fontId="60" fillId="8" borderId="54" xfId="0" applyNumberFormat="1" applyFont="1" applyFill="1" applyBorder="1" applyAlignment="1">
      <alignment horizontal="center" vertical="center"/>
    </xf>
    <xf numFmtId="181" fontId="60" fillId="8" borderId="50" xfId="0" applyNumberFormat="1" applyFont="1" applyFill="1" applyBorder="1" applyAlignment="1">
      <alignment horizontal="center" vertical="center"/>
    </xf>
    <xf numFmtId="181" fontId="60" fillId="8" borderId="51" xfId="0" applyNumberFormat="1" applyFont="1" applyFill="1" applyBorder="1" applyAlignment="1">
      <alignment horizontal="center" vertical="center"/>
    </xf>
    <xf numFmtId="179" fontId="43" fillId="0" borderId="50" xfId="0" applyNumberFormat="1" applyFont="1" applyBorder="1" applyAlignment="1">
      <alignment horizontal="right" vertical="center"/>
    </xf>
    <xf numFmtId="183" fontId="50" fillId="0" borderId="50" xfId="0" applyNumberFormat="1" applyFont="1" applyBorder="1" applyAlignment="1">
      <alignment horizontal="right" vertical="center"/>
    </xf>
    <xf numFmtId="185" fontId="43" fillId="0" borderId="50" xfId="0" applyNumberFormat="1" applyFont="1" applyBorder="1" applyAlignment="1">
      <alignment horizontal="right" vertical="center"/>
    </xf>
    <xf numFmtId="185" fontId="43" fillId="0" borderId="51" xfId="0" applyNumberFormat="1" applyFont="1" applyBorder="1" applyAlignment="1">
      <alignment horizontal="right" vertical="center"/>
    </xf>
    <xf numFmtId="41" fontId="29" fillId="0" borderId="48" xfId="2" applyNumberFormat="1" applyFont="1" applyFill="1" applyBorder="1" applyAlignment="1">
      <alignment vertical="center"/>
    </xf>
    <xf numFmtId="180" fontId="29" fillId="0" borderId="48" xfId="2" applyNumberFormat="1" applyFont="1" applyFill="1" applyBorder="1" applyAlignment="1">
      <alignment vertical="center"/>
    </xf>
    <xf numFmtId="180" fontId="29" fillId="0" borderId="39" xfId="2" applyNumberFormat="1" applyFont="1" applyFill="1" applyBorder="1" applyAlignment="1">
      <alignment vertical="center"/>
    </xf>
    <xf numFmtId="185" fontId="29" fillId="0" borderId="50" xfId="0" applyNumberFormat="1" applyFont="1" applyBorder="1" applyAlignment="1">
      <alignment horizontal="right" vertical="center"/>
    </xf>
    <xf numFmtId="185" fontId="29" fillId="0" borderId="51" xfId="0" applyNumberFormat="1" applyFont="1" applyBorder="1" applyAlignment="1">
      <alignment horizontal="right" vertical="center"/>
    </xf>
    <xf numFmtId="188" fontId="60" fillId="8" borderId="50" xfId="0" applyNumberFormat="1" applyFont="1" applyFill="1" applyBorder="1" applyAlignment="1">
      <alignment horizontal="center" vertical="center"/>
    </xf>
    <xf numFmtId="0" fontId="29" fillId="7" borderId="0" xfId="0" applyFont="1" applyFill="1">
      <alignment vertical="center"/>
    </xf>
    <xf numFmtId="0" fontId="49" fillId="5" borderId="40" xfId="0" applyFont="1" applyFill="1" applyBorder="1" applyAlignment="1">
      <alignment horizontal="left" vertical="center" indent="1"/>
    </xf>
    <xf numFmtId="0" fontId="29" fillId="5" borderId="40" xfId="0" applyFont="1" applyFill="1" applyBorder="1" applyAlignment="1">
      <alignment horizontal="left" vertical="center" indent="1"/>
    </xf>
    <xf numFmtId="0" fontId="29" fillId="0" borderId="61" xfId="0" applyFont="1" applyBorder="1">
      <alignment vertical="center"/>
    </xf>
    <xf numFmtId="0" fontId="29" fillId="0" borderId="15" xfId="0" applyFont="1" applyBorder="1" applyAlignment="1">
      <alignment vertical="center"/>
    </xf>
    <xf numFmtId="183" fontId="29" fillId="0" borderId="15" xfId="4" applyNumberFormat="1" applyFont="1" applyBorder="1" applyAlignment="1">
      <alignment vertical="center"/>
    </xf>
    <xf numFmtId="0" fontId="28" fillId="0" borderId="0" xfId="1" applyNumberFormat="1" applyFont="1" applyFill="1" applyBorder="1" applyAlignment="1">
      <alignment vertical="center"/>
    </xf>
    <xf numFmtId="0" fontId="29" fillId="0" borderId="0" xfId="0" applyFont="1" applyBorder="1" applyAlignment="1">
      <alignment vertical="center"/>
    </xf>
    <xf numFmtId="183" fontId="29" fillId="0" borderId="0" xfId="4" applyNumberFormat="1" applyFont="1" applyBorder="1" applyAlignment="1">
      <alignment vertical="center"/>
    </xf>
    <xf numFmtId="183" fontId="29" fillId="0" borderId="16" xfId="4" applyNumberFormat="1" applyFont="1" applyBorder="1" applyAlignment="1">
      <alignment vertical="center"/>
    </xf>
    <xf numFmtId="0" fontId="29" fillId="0" borderId="17" xfId="0" applyFont="1" applyBorder="1" applyAlignment="1">
      <alignment vertical="center"/>
    </xf>
    <xf numFmtId="183" fontId="29" fillId="0" borderId="17" xfId="4" applyNumberFormat="1" applyFont="1" applyBorder="1" applyAlignment="1">
      <alignment vertical="center"/>
    </xf>
    <xf numFmtId="0" fontId="29" fillId="0" borderId="63" xfId="0" applyFont="1" applyBorder="1">
      <alignment vertical="center"/>
    </xf>
    <xf numFmtId="183" fontId="29" fillId="0" borderId="64" xfId="0" applyNumberFormat="1" applyFont="1" applyBorder="1" applyAlignment="1">
      <alignment vertical="center"/>
    </xf>
    <xf numFmtId="0" fontId="19" fillId="20" borderId="0" xfId="0" applyFont="1" applyFill="1" applyBorder="1">
      <alignment vertical="center"/>
    </xf>
    <xf numFmtId="0" fontId="20" fillId="20" borderId="0" xfId="0" applyFont="1" applyFill="1" applyBorder="1">
      <alignment vertical="center"/>
    </xf>
    <xf numFmtId="181" fontId="11" fillId="21" borderId="50" xfId="0" applyNumberFormat="1" applyFont="1" applyFill="1" applyBorder="1" applyAlignment="1">
      <alignment horizontal="center" vertical="center"/>
    </xf>
    <xf numFmtId="181" fontId="11" fillId="21" borderId="51" xfId="0" applyNumberFormat="1" applyFont="1" applyFill="1" applyBorder="1" applyAlignment="1">
      <alignment horizontal="center" vertical="center"/>
    </xf>
    <xf numFmtId="41" fontId="45" fillId="23" borderId="48" xfId="1" applyNumberFormat="1" applyFont="1" applyFill="1" applyBorder="1" applyAlignment="1">
      <alignment horizontal="center" vertical="center"/>
    </xf>
    <xf numFmtId="0" fontId="11" fillId="25" borderId="11" xfId="0" applyFont="1" applyFill="1" applyBorder="1">
      <alignment vertical="center"/>
    </xf>
    <xf numFmtId="187" fontId="11" fillId="25" borderId="12" xfId="0" applyNumberFormat="1" applyFont="1" applyFill="1" applyBorder="1" applyAlignment="1">
      <alignment horizontal="center" vertical="center"/>
    </xf>
    <xf numFmtId="188" fontId="11" fillId="25" borderId="12" xfId="0" applyNumberFormat="1" applyFont="1" applyFill="1" applyBorder="1" applyAlignment="1">
      <alignment horizontal="center" vertical="center"/>
    </xf>
    <xf numFmtId="181" fontId="11" fillId="25" borderId="13" xfId="0" applyNumberFormat="1" applyFont="1" applyFill="1" applyBorder="1" applyAlignment="1">
      <alignment horizontal="center" vertical="center"/>
    </xf>
    <xf numFmtId="0" fontId="11" fillId="24" borderId="66" xfId="1" applyNumberFormat="1" applyFont="1" applyFill="1" applyBorder="1" applyAlignment="1">
      <alignment vertical="center"/>
    </xf>
    <xf numFmtId="41" fontId="28" fillId="24" borderId="15" xfId="1" applyNumberFormat="1" applyFont="1" applyFill="1" applyBorder="1" applyAlignment="1">
      <alignment vertical="center"/>
    </xf>
    <xf numFmtId="41" fontId="28" fillId="24" borderId="67" xfId="1" applyNumberFormat="1" applyFont="1" applyFill="1" applyBorder="1" applyAlignment="1">
      <alignment vertical="center"/>
    </xf>
    <xf numFmtId="0" fontId="20" fillId="0" borderId="0" xfId="0" applyFont="1" applyFill="1">
      <alignment vertical="center"/>
    </xf>
    <xf numFmtId="0" fontId="21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30" fillId="5" borderId="40" xfId="0" applyFont="1" applyFill="1" applyBorder="1" applyAlignment="1">
      <alignment horizontal="left" vertical="center" indent="1"/>
    </xf>
    <xf numFmtId="0" fontId="30" fillId="5" borderId="49" xfId="0" applyFont="1" applyFill="1" applyBorder="1" applyAlignment="1">
      <alignment horizontal="left" vertical="center" indent="1"/>
    </xf>
    <xf numFmtId="183" fontId="30" fillId="5" borderId="50" xfId="0" applyNumberFormat="1" applyFont="1" applyFill="1" applyBorder="1" applyAlignment="1">
      <alignment horizontal="right" vertical="center"/>
    </xf>
    <xf numFmtId="183" fontId="30" fillId="5" borderId="51" xfId="0" applyNumberFormat="1" applyFont="1" applyFill="1" applyBorder="1" applyAlignment="1">
      <alignment horizontal="right" vertical="center"/>
    </xf>
    <xf numFmtId="0" fontId="11" fillId="14" borderId="68" xfId="0" applyFont="1" applyFill="1" applyBorder="1">
      <alignment vertical="center"/>
    </xf>
    <xf numFmtId="0" fontId="50" fillId="14" borderId="69" xfId="0" applyFont="1" applyFill="1" applyBorder="1" applyAlignment="1">
      <alignment horizontal="center" vertical="center"/>
    </xf>
    <xf numFmtId="0" fontId="50" fillId="14" borderId="70" xfId="0" applyFont="1" applyFill="1" applyBorder="1" applyAlignment="1">
      <alignment horizontal="center" vertical="center"/>
    </xf>
    <xf numFmtId="0" fontId="11" fillId="15" borderId="71" xfId="0" applyFont="1" applyFill="1" applyBorder="1">
      <alignment vertical="center"/>
    </xf>
    <xf numFmtId="187" fontId="11" fillId="15" borderId="72" xfId="0" applyNumberFormat="1" applyFont="1" applyFill="1" applyBorder="1" applyAlignment="1">
      <alignment horizontal="center" vertical="center"/>
    </xf>
    <xf numFmtId="188" fontId="11" fillId="15" borderId="72" xfId="0" applyNumberFormat="1" applyFont="1" applyFill="1" applyBorder="1" applyAlignment="1">
      <alignment horizontal="center" vertical="center"/>
    </xf>
    <xf numFmtId="181" fontId="11" fillId="15" borderId="72" xfId="0" applyNumberFormat="1" applyFont="1" applyFill="1" applyBorder="1" applyAlignment="1">
      <alignment horizontal="center" vertical="center"/>
    </xf>
    <xf numFmtId="181" fontId="11" fillId="15" borderId="73" xfId="0" applyNumberFormat="1" applyFont="1" applyFill="1" applyBorder="1" applyAlignment="1">
      <alignment horizontal="center" vertical="center"/>
    </xf>
    <xf numFmtId="0" fontId="43" fillId="5" borderId="74" xfId="0" applyFont="1" applyFill="1" applyBorder="1">
      <alignment vertical="center"/>
    </xf>
    <xf numFmtId="192" fontId="43" fillId="5" borderId="75" xfId="0" applyNumberFormat="1" applyFont="1" applyFill="1" applyBorder="1" applyAlignment="1">
      <alignment horizontal="right" vertical="center"/>
    </xf>
    <xf numFmtId="0" fontId="49" fillId="5" borderId="74" xfId="0" applyFont="1" applyFill="1" applyBorder="1" applyAlignment="1">
      <alignment horizontal="left" vertical="center" indent="1"/>
    </xf>
    <xf numFmtId="0" fontId="30" fillId="5" borderId="74" xfId="0" applyFont="1" applyFill="1" applyBorder="1" applyAlignment="1">
      <alignment horizontal="left" vertical="center" indent="1"/>
    </xf>
    <xf numFmtId="183" fontId="30" fillId="5" borderId="75" xfId="0" applyNumberFormat="1" applyFont="1" applyFill="1" applyBorder="1" applyAlignment="1">
      <alignment horizontal="right" vertical="center"/>
    </xf>
    <xf numFmtId="0" fontId="30" fillId="5" borderId="76" xfId="0" applyFont="1" applyFill="1" applyBorder="1" applyAlignment="1">
      <alignment horizontal="left" vertical="center" indent="1"/>
    </xf>
    <xf numFmtId="183" fontId="30" fillId="5" borderId="77" xfId="0" applyNumberFormat="1" applyFont="1" applyFill="1" applyBorder="1" applyAlignment="1">
      <alignment horizontal="right" vertical="center"/>
    </xf>
    <xf numFmtId="183" fontId="30" fillId="5" borderId="78" xfId="0" applyNumberFormat="1" applyFont="1" applyFill="1" applyBorder="1" applyAlignment="1">
      <alignment horizontal="right" vertical="center"/>
    </xf>
    <xf numFmtId="0" fontId="43" fillId="5" borderId="68" xfId="0" applyFont="1" applyFill="1" applyBorder="1">
      <alignment vertical="center"/>
    </xf>
    <xf numFmtId="176" fontId="43" fillId="5" borderId="69" xfId="0" applyNumberFormat="1" applyFont="1" applyFill="1" applyBorder="1" applyAlignment="1">
      <alignment horizontal="right" vertical="center"/>
    </xf>
    <xf numFmtId="192" fontId="43" fillId="5" borderId="69" xfId="0" applyNumberFormat="1" applyFont="1" applyFill="1" applyBorder="1" applyAlignment="1">
      <alignment horizontal="right" vertical="center"/>
    </xf>
    <xf numFmtId="192" fontId="43" fillId="5" borderId="70" xfId="0" applyNumberFormat="1" applyFont="1" applyFill="1" applyBorder="1" applyAlignment="1">
      <alignment horizontal="right" vertical="center"/>
    </xf>
    <xf numFmtId="192" fontId="43" fillId="0" borderId="69" xfId="0" applyNumberFormat="1" applyFont="1" applyFill="1" applyBorder="1" applyAlignment="1">
      <alignment horizontal="right" vertical="center"/>
    </xf>
    <xf numFmtId="192" fontId="43" fillId="0" borderId="70" xfId="0" applyNumberFormat="1" applyFont="1" applyFill="1" applyBorder="1" applyAlignment="1">
      <alignment horizontal="right" vertical="center"/>
    </xf>
    <xf numFmtId="183" fontId="30" fillId="0" borderId="75" xfId="0" applyNumberFormat="1" applyFont="1" applyFill="1" applyBorder="1" applyAlignment="1">
      <alignment horizontal="right" vertical="center"/>
    </xf>
    <xf numFmtId="0" fontId="29" fillId="0" borderId="76" xfId="0" applyFont="1" applyBorder="1">
      <alignment vertical="center"/>
    </xf>
    <xf numFmtId="0" fontId="29" fillId="0" borderId="77" xfId="0" applyFont="1" applyBorder="1">
      <alignment vertical="center"/>
    </xf>
    <xf numFmtId="0" fontId="29" fillId="0" borderId="78" xfId="0" applyFont="1" applyBorder="1">
      <alignment vertical="center"/>
    </xf>
    <xf numFmtId="188" fontId="11" fillId="21" borderId="0" xfId="0" applyNumberFormat="1" applyFont="1" applyFill="1" applyBorder="1" applyAlignment="1">
      <alignment horizontal="center" vertical="center"/>
    </xf>
    <xf numFmtId="188" fontId="11" fillId="21" borderId="50" xfId="0" applyNumberFormat="1" applyFont="1" applyFill="1" applyBorder="1" applyAlignment="1">
      <alignment horizontal="center" vertical="center"/>
    </xf>
    <xf numFmtId="188" fontId="50" fillId="14" borderId="69" xfId="0" applyNumberFormat="1" applyFont="1" applyFill="1" applyBorder="1" applyAlignment="1">
      <alignment horizontal="center" vertical="center"/>
    </xf>
    <xf numFmtId="3" fontId="11" fillId="20" borderId="38" xfId="0" applyNumberFormat="1" applyFont="1" applyFill="1" applyBorder="1">
      <alignment vertical="center"/>
    </xf>
    <xf numFmtId="3" fontId="48" fillId="20" borderId="48" xfId="0" applyNumberFormat="1" applyFont="1" applyFill="1" applyBorder="1" applyAlignment="1">
      <alignment horizontal="center" vertical="center"/>
    </xf>
    <xf numFmtId="3" fontId="45" fillId="23" borderId="48" xfId="1" applyNumberFormat="1" applyFont="1" applyFill="1" applyBorder="1" applyAlignment="1">
      <alignment horizontal="center" vertical="center"/>
    </xf>
    <xf numFmtId="3" fontId="48" fillId="20" borderId="39" xfId="0" applyNumberFormat="1" applyFont="1" applyFill="1" applyBorder="1" applyAlignment="1">
      <alignment horizontal="center" vertical="center"/>
    </xf>
    <xf numFmtId="3" fontId="11" fillId="21" borderId="49" xfId="0" applyNumberFormat="1" applyFont="1" applyFill="1" applyBorder="1">
      <alignment vertical="center"/>
    </xf>
    <xf numFmtId="3" fontId="11" fillId="21" borderId="50" xfId="0" applyNumberFormat="1" applyFont="1" applyFill="1" applyBorder="1" applyAlignment="1">
      <alignment horizontal="center" vertical="center"/>
    </xf>
    <xf numFmtId="3" fontId="43" fillId="5" borderId="38" xfId="0" applyNumberFormat="1" applyFont="1" applyFill="1" applyBorder="1">
      <alignment vertical="center"/>
    </xf>
    <xf numFmtId="3" fontId="43" fillId="5" borderId="48" xfId="0" applyNumberFormat="1" applyFont="1" applyFill="1" applyBorder="1" applyAlignment="1">
      <alignment horizontal="right" vertical="center"/>
    </xf>
    <xf numFmtId="3" fontId="49" fillId="5" borderId="40" xfId="0" applyNumberFormat="1" applyFont="1" applyFill="1" applyBorder="1" applyAlignment="1">
      <alignment horizontal="left" vertical="center" indent="1"/>
    </xf>
    <xf numFmtId="3" fontId="49" fillId="5" borderId="0" xfId="0" applyNumberFormat="1" applyFont="1" applyFill="1" applyBorder="1" applyAlignment="1">
      <alignment horizontal="right" vertical="center"/>
    </xf>
    <xf numFmtId="3" fontId="30" fillId="5" borderId="40" xfId="0" applyNumberFormat="1" applyFont="1" applyFill="1" applyBorder="1" applyAlignment="1">
      <alignment horizontal="left" vertical="center" indent="1"/>
    </xf>
    <xf numFmtId="3" fontId="30" fillId="5" borderId="0" xfId="0" applyNumberFormat="1" applyFont="1" applyFill="1" applyBorder="1" applyAlignment="1">
      <alignment horizontal="right" vertical="center"/>
    </xf>
    <xf numFmtId="3" fontId="30" fillId="5" borderId="41" xfId="0" applyNumberFormat="1" applyFont="1" applyFill="1" applyBorder="1" applyAlignment="1">
      <alignment horizontal="right" vertical="center"/>
    </xf>
    <xf numFmtId="3" fontId="29" fillId="5" borderId="0" xfId="0" applyNumberFormat="1" applyFont="1" applyFill="1" applyBorder="1" applyAlignment="1">
      <alignment horizontal="right" vertical="center"/>
    </xf>
    <xf numFmtId="3" fontId="30" fillId="5" borderId="0" xfId="2" applyNumberFormat="1" applyFont="1" applyFill="1" applyBorder="1" applyAlignment="1">
      <alignment horizontal="right" vertical="center"/>
    </xf>
    <xf numFmtId="3" fontId="29" fillId="5" borderId="40" xfId="0" applyNumberFormat="1" applyFont="1" applyFill="1" applyBorder="1" applyAlignment="1">
      <alignment horizontal="left" vertical="center" indent="1"/>
    </xf>
    <xf numFmtId="3" fontId="49" fillId="5" borderId="40" xfId="0" applyNumberFormat="1" applyFont="1" applyFill="1" applyBorder="1" applyAlignment="1">
      <alignment horizontal="left" vertical="center" indent="2"/>
    </xf>
    <xf numFmtId="3" fontId="30" fillId="5" borderId="40" xfId="0" applyNumberFormat="1" applyFont="1" applyFill="1" applyBorder="1" applyAlignment="1">
      <alignment horizontal="left" vertical="center" indent="2"/>
    </xf>
    <xf numFmtId="3" fontId="30" fillId="0" borderId="41" xfId="0" applyNumberFormat="1" applyFont="1" applyFill="1" applyBorder="1" applyAlignment="1">
      <alignment horizontal="right" vertical="center"/>
    </xf>
    <xf numFmtId="3" fontId="30" fillId="5" borderId="49" xfId="0" applyNumberFormat="1" applyFont="1" applyFill="1" applyBorder="1" applyAlignment="1">
      <alignment horizontal="left" vertical="center" indent="2"/>
    </xf>
    <xf numFmtId="3" fontId="30" fillId="5" borderId="50" xfId="0" applyNumberFormat="1" applyFont="1" applyFill="1" applyBorder="1" applyAlignment="1">
      <alignment horizontal="right" vertical="center"/>
    </xf>
    <xf numFmtId="3" fontId="30" fillId="5" borderId="51" xfId="0" applyNumberFormat="1" applyFont="1" applyFill="1" applyBorder="1" applyAlignment="1">
      <alignment horizontal="right" vertical="center"/>
    </xf>
    <xf numFmtId="0" fontId="29" fillId="0" borderId="11" xfId="0" applyFont="1" applyBorder="1">
      <alignment vertical="center"/>
    </xf>
    <xf numFmtId="176" fontId="29" fillId="0" borderId="12" xfId="0" applyNumberFormat="1" applyFont="1" applyBorder="1" applyAlignment="1">
      <alignment vertical="center"/>
    </xf>
    <xf numFmtId="38" fontId="12" fillId="3" borderId="49" xfId="0" applyNumberFormat="1" applyFont="1" applyFill="1" applyBorder="1" applyAlignment="1">
      <alignment horizontal="left" vertical="center"/>
    </xf>
    <xf numFmtId="38" fontId="12" fillId="3" borderId="38" xfId="0" applyNumberFormat="1" applyFont="1" applyFill="1" applyBorder="1" applyAlignment="1">
      <alignment horizontal="left" vertical="center"/>
    </xf>
    <xf numFmtId="185" fontId="29" fillId="0" borderId="48" xfId="0" applyNumberFormat="1" applyFont="1" applyFill="1" applyBorder="1" applyAlignment="1">
      <alignment horizontal="right" vertical="center"/>
    </xf>
    <xf numFmtId="192" fontId="29" fillId="0" borderId="50" xfId="0" applyNumberFormat="1" applyFont="1" applyBorder="1">
      <alignment vertical="center"/>
    </xf>
    <xf numFmtId="38" fontId="27" fillId="3" borderId="38" xfId="0" applyNumberFormat="1" applyFont="1" applyFill="1" applyBorder="1" applyAlignment="1">
      <alignment horizontal="left" vertical="center"/>
    </xf>
    <xf numFmtId="41" fontId="48" fillId="20" borderId="48" xfId="2" applyNumberFormat="1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left" vertical="center" indent="1"/>
    </xf>
    <xf numFmtId="192" fontId="29" fillId="0" borderId="41" xfId="0" applyNumberFormat="1" applyFont="1" applyFill="1" applyBorder="1" applyAlignment="1">
      <alignment horizontal="right" vertical="center"/>
    </xf>
    <xf numFmtId="0" fontId="30" fillId="0" borderId="40" xfId="0" applyFont="1" applyFill="1" applyBorder="1" applyAlignment="1">
      <alignment horizontal="left" vertical="center" indent="2"/>
    </xf>
    <xf numFmtId="191" fontId="30" fillId="0" borderId="41" xfId="0" applyNumberFormat="1" applyFont="1" applyFill="1" applyBorder="1" applyAlignment="1">
      <alignment horizontal="right" vertical="center"/>
    </xf>
    <xf numFmtId="182" fontId="30" fillId="0" borderId="41" xfId="0" applyNumberFormat="1" applyFont="1" applyFill="1" applyBorder="1" applyAlignment="1">
      <alignment horizontal="right" vertical="center"/>
    </xf>
    <xf numFmtId="192" fontId="43" fillId="0" borderId="50" xfId="0" applyNumberFormat="1" applyFont="1" applyFill="1" applyBorder="1" applyAlignment="1">
      <alignment horizontal="right" vertical="center"/>
    </xf>
    <xf numFmtId="192" fontId="43" fillId="0" borderId="51" xfId="0" applyNumberFormat="1" applyFont="1" applyFill="1" applyBorder="1" applyAlignment="1">
      <alignment horizontal="right" vertical="center"/>
    </xf>
    <xf numFmtId="0" fontId="43" fillId="0" borderId="38" xfId="0" applyFont="1" applyFill="1" applyBorder="1">
      <alignment vertical="center"/>
    </xf>
    <xf numFmtId="41" fontId="28" fillId="24" borderId="79" xfId="1" applyNumberFormat="1" applyFont="1" applyFill="1" applyBorder="1" applyAlignment="1">
      <alignment vertical="center"/>
    </xf>
    <xf numFmtId="181" fontId="11" fillId="25" borderId="12" xfId="0" applyNumberFormat="1" applyFont="1" applyFill="1" applyBorder="1" applyAlignment="1">
      <alignment horizontal="center" vertical="center"/>
    </xf>
    <xf numFmtId="192" fontId="29" fillId="0" borderId="15" xfId="0" applyNumberFormat="1" applyFont="1" applyBorder="1" applyAlignment="1">
      <alignment vertical="center"/>
    </xf>
    <xf numFmtId="0" fontId="11" fillId="20" borderId="48" xfId="0" applyFont="1" applyFill="1" applyBorder="1" applyAlignment="1">
      <alignment horizontal="right" vertical="center"/>
    </xf>
    <xf numFmtId="0" fontId="11" fillId="20" borderId="39" xfId="0" applyFont="1" applyFill="1" applyBorder="1" applyAlignment="1">
      <alignment horizontal="right" vertical="center"/>
    </xf>
    <xf numFmtId="0" fontId="12" fillId="0" borderId="41" xfId="0" applyFont="1" applyFill="1" applyBorder="1" applyAlignment="1">
      <alignment vertical="center"/>
    </xf>
    <xf numFmtId="0" fontId="43" fillId="0" borderId="40" xfId="0" applyFont="1" applyFill="1" applyBorder="1" applyAlignment="1">
      <alignment horizontal="left" vertical="center"/>
    </xf>
    <xf numFmtId="192" fontId="43" fillId="0" borderId="0" xfId="0" applyNumberFormat="1" applyFont="1" applyFill="1" applyBorder="1">
      <alignment vertical="center"/>
    </xf>
    <xf numFmtId="176" fontId="43" fillId="0" borderId="41" xfId="0" applyNumberFormat="1" applyFont="1" applyFill="1" applyBorder="1">
      <alignment vertical="center"/>
    </xf>
    <xf numFmtId="0" fontId="11" fillId="21" borderId="49" xfId="0" applyFont="1" applyFill="1" applyBorder="1" applyAlignment="1">
      <alignment horizontal="center" vertical="center"/>
    </xf>
    <xf numFmtId="176" fontId="11" fillId="21" borderId="50" xfId="0" applyNumberFormat="1" applyFont="1" applyFill="1" applyBorder="1" applyAlignment="1">
      <alignment horizontal="center" vertical="center" wrapText="1"/>
    </xf>
    <xf numFmtId="0" fontId="11" fillId="21" borderId="50" xfId="0" applyFont="1" applyFill="1" applyBorder="1" applyAlignment="1">
      <alignment horizontal="center" vertical="center"/>
    </xf>
    <xf numFmtId="0" fontId="43" fillId="0" borderId="45" xfId="0" applyFont="1" applyFill="1" applyBorder="1" applyAlignment="1">
      <alignment horizontal="left" vertical="center"/>
    </xf>
    <xf numFmtId="192" fontId="43" fillId="0" borderId="46" xfId="0" applyNumberFormat="1" applyFont="1" applyFill="1" applyBorder="1">
      <alignment vertical="center"/>
    </xf>
    <xf numFmtId="176" fontId="43" fillId="0" borderId="46" xfId="0" applyNumberFormat="1" applyFont="1" applyFill="1" applyBorder="1">
      <alignment vertical="center"/>
    </xf>
    <xf numFmtId="176" fontId="43" fillId="0" borderId="47" xfId="0" applyNumberFormat="1" applyFont="1" applyFill="1" applyBorder="1">
      <alignment vertical="center"/>
    </xf>
    <xf numFmtId="192" fontId="29" fillId="0" borderId="46" xfId="0" applyNumberFormat="1" applyFont="1" applyFill="1" applyBorder="1">
      <alignment vertical="center"/>
    </xf>
    <xf numFmtId="192" fontId="29" fillId="5" borderId="41" xfId="2" applyNumberFormat="1" applyFont="1" applyFill="1" applyBorder="1" applyAlignment="1">
      <alignment horizontal="right" vertical="center"/>
    </xf>
    <xf numFmtId="192" fontId="29" fillId="0" borderId="48" xfId="0" applyNumberFormat="1" applyFont="1" applyFill="1" applyBorder="1" applyAlignment="1">
      <alignment horizontal="right" vertical="center"/>
    </xf>
    <xf numFmtId="192" fontId="43" fillId="0" borderId="46" xfId="0" applyNumberFormat="1" applyFont="1" applyFill="1" applyBorder="1" applyAlignment="1">
      <alignment horizontal="right" vertical="center"/>
    </xf>
    <xf numFmtId="0" fontId="46" fillId="7" borderId="38" xfId="0" applyFont="1" applyFill="1" applyBorder="1">
      <alignment vertical="center"/>
    </xf>
    <xf numFmtId="0" fontId="46" fillId="7" borderId="48" xfId="0" applyFont="1" applyFill="1" applyBorder="1" applyAlignment="1">
      <alignment horizontal="center" vertical="center"/>
    </xf>
    <xf numFmtId="187" fontId="46" fillId="7" borderId="48" xfId="0" applyNumberFormat="1" applyFont="1" applyFill="1" applyBorder="1" applyAlignment="1">
      <alignment horizontal="center" vertical="center"/>
    </xf>
    <xf numFmtId="188" fontId="46" fillId="7" borderId="48" xfId="0" applyNumberFormat="1" applyFont="1" applyFill="1" applyBorder="1" applyAlignment="1">
      <alignment horizontal="center" vertical="center"/>
    </xf>
    <xf numFmtId="181" fontId="46" fillId="7" borderId="48" xfId="0" applyNumberFormat="1" applyFont="1" applyFill="1" applyBorder="1" applyAlignment="1">
      <alignment horizontal="center" vertical="center"/>
    </xf>
    <xf numFmtId="181" fontId="46" fillId="7" borderId="39" xfId="0" applyNumberFormat="1" applyFont="1" applyFill="1" applyBorder="1" applyAlignment="1">
      <alignment horizontal="center" vertical="center"/>
    </xf>
    <xf numFmtId="183" fontId="22" fillId="0" borderId="50" xfId="0" applyNumberFormat="1" applyFont="1" applyFill="1" applyBorder="1" applyAlignment="1">
      <alignment vertical="center"/>
    </xf>
    <xf numFmtId="0" fontId="77" fillId="8" borderId="49" xfId="0" applyFont="1" applyFill="1" applyBorder="1">
      <alignment vertical="center"/>
    </xf>
    <xf numFmtId="0" fontId="78" fillId="8" borderId="50" xfId="0" applyFont="1" applyFill="1" applyBorder="1">
      <alignment vertical="center"/>
    </xf>
    <xf numFmtId="192" fontId="29" fillId="26" borderId="0" xfId="0" applyNumberFormat="1" applyFont="1" applyFill="1" applyBorder="1" applyAlignment="1">
      <alignment horizontal="right" vertical="center"/>
    </xf>
    <xf numFmtId="41" fontId="29" fillId="0" borderId="0" xfId="7" applyFont="1">
      <alignment vertical="center"/>
    </xf>
    <xf numFmtId="183" fontId="30" fillId="26" borderId="0" xfId="0" applyNumberFormat="1" applyFont="1" applyFill="1" applyBorder="1" applyAlignment="1">
      <alignment horizontal="right" vertical="center"/>
    </xf>
    <xf numFmtId="183" fontId="30" fillId="26" borderId="41" xfId="0" applyNumberFormat="1" applyFont="1" applyFill="1" applyBorder="1" applyAlignment="1">
      <alignment horizontal="right" vertical="center"/>
    </xf>
    <xf numFmtId="0" fontId="94" fillId="0" borderId="48" xfId="15" applyFont="1" applyBorder="1">
      <alignment vertical="center"/>
    </xf>
    <xf numFmtId="0" fontId="94" fillId="0" borderId="0" xfId="15" applyFont="1" applyBorder="1">
      <alignment vertical="center"/>
    </xf>
    <xf numFmtId="0" fontId="4" fillId="0" borderId="0" xfId="16"/>
    <xf numFmtId="0" fontId="86" fillId="0" borderId="0" xfId="16" applyNumberFormat="1" applyFont="1" applyFill="1" applyBorder="1" applyAlignment="1" applyProtection="1">
      <alignment horizontal="right"/>
    </xf>
    <xf numFmtId="0" fontId="95" fillId="0" borderId="0" xfId="16" applyNumberFormat="1" applyFont="1" applyFill="1" applyBorder="1" applyAlignment="1" applyProtection="1"/>
    <xf numFmtId="0" fontId="87" fillId="0" borderId="0" xfId="16" applyNumberFormat="1" applyFont="1" applyFill="1" applyBorder="1" applyAlignment="1" applyProtection="1">
      <alignment horizontal="center"/>
    </xf>
    <xf numFmtId="0" fontId="87" fillId="0" borderId="86" xfId="16" applyNumberFormat="1" applyFont="1" applyFill="1" applyBorder="1" applyAlignment="1" applyProtection="1">
      <alignment horizontal="center"/>
    </xf>
    <xf numFmtId="0" fontId="86" fillId="0" borderId="0" xfId="16" applyNumberFormat="1" applyFont="1" applyFill="1" applyBorder="1" applyAlignment="1" applyProtection="1">
      <alignment horizontal="center"/>
    </xf>
    <xf numFmtId="0" fontId="86" fillId="0" borderId="0" xfId="16" applyNumberFormat="1" applyFont="1" applyFill="1" applyBorder="1" applyAlignment="1" applyProtection="1">
      <alignment horizontal="left"/>
    </xf>
    <xf numFmtId="195" fontId="86" fillId="0" borderId="0" xfId="16" applyNumberFormat="1" applyFont="1" applyFill="1" applyBorder="1" applyAlignment="1" applyProtection="1">
      <alignment horizontal="right"/>
    </xf>
    <xf numFmtId="196" fontId="96" fillId="3" borderId="87" xfId="0" applyNumberFormat="1" applyFont="1" applyFill="1" applyBorder="1" applyAlignment="1">
      <alignment horizontal="right" vertical="center"/>
    </xf>
    <xf numFmtId="196" fontId="96" fillId="3" borderId="88" xfId="0" applyNumberFormat="1" applyFont="1" applyFill="1" applyBorder="1" applyAlignment="1">
      <alignment horizontal="right" vertical="center"/>
    </xf>
    <xf numFmtId="196" fontId="97" fillId="3" borderId="87" xfId="0" applyNumberFormat="1" applyFont="1" applyFill="1" applyBorder="1" applyAlignment="1">
      <alignment horizontal="right" vertical="center"/>
    </xf>
    <xf numFmtId="3" fontId="45" fillId="30" borderId="0" xfId="1" applyNumberFormat="1" applyFont="1" applyFill="1" applyBorder="1" applyAlignment="1">
      <alignment horizontal="center" vertical="center"/>
    </xf>
    <xf numFmtId="3" fontId="48" fillId="29" borderId="0" xfId="0" applyNumberFormat="1" applyFont="1" applyFill="1" applyBorder="1" applyAlignment="1">
      <alignment horizontal="center" vertical="center"/>
    </xf>
    <xf numFmtId="192" fontId="12" fillId="5" borderId="0" xfId="0" applyNumberFormat="1" applyFont="1" applyFill="1" applyBorder="1" applyAlignment="1">
      <alignment horizontal="right" vertical="center"/>
    </xf>
    <xf numFmtId="196" fontId="98" fillId="3" borderId="88" xfId="0" applyNumberFormat="1" applyFont="1" applyFill="1" applyBorder="1" applyAlignment="1">
      <alignment horizontal="right" vertical="center"/>
    </xf>
    <xf numFmtId="196" fontId="98" fillId="3" borderId="87" xfId="0" applyNumberFormat="1" applyFont="1" applyFill="1" applyBorder="1" applyAlignment="1">
      <alignment horizontal="right" vertical="center"/>
    </xf>
    <xf numFmtId="196" fontId="98" fillId="3" borderId="87" xfId="10" applyNumberFormat="1" applyFont="1" applyFill="1" applyBorder="1" applyAlignment="1">
      <alignment horizontal="right" vertical="center"/>
    </xf>
    <xf numFmtId="196" fontId="89" fillId="3" borderId="87" xfId="0" applyNumberFormat="1" applyFont="1" applyFill="1" applyBorder="1" applyAlignment="1">
      <alignment horizontal="right" vertical="center"/>
    </xf>
    <xf numFmtId="196" fontId="89" fillId="3" borderId="87" xfId="10" applyNumberFormat="1" applyFont="1" applyFill="1" applyBorder="1" applyAlignment="1">
      <alignment horizontal="right" vertical="center"/>
    </xf>
    <xf numFmtId="196" fontId="98" fillId="3" borderId="90" xfId="0" applyNumberFormat="1" applyFont="1" applyFill="1" applyBorder="1" applyAlignment="1">
      <alignment horizontal="right" vertical="center"/>
    </xf>
    <xf numFmtId="196" fontId="98" fillId="3" borderId="89" xfId="0" applyNumberFormat="1" applyFont="1" applyFill="1" applyBorder="1" applyAlignment="1">
      <alignment horizontal="right" vertical="center"/>
    </xf>
    <xf numFmtId="196" fontId="98" fillId="3" borderId="89" xfId="10" applyNumberFormat="1" applyFont="1" applyFill="1" applyBorder="1" applyAlignment="1">
      <alignment horizontal="right" vertical="center"/>
    </xf>
    <xf numFmtId="196" fontId="89" fillId="3" borderId="91" xfId="0" applyNumberFormat="1" applyFont="1" applyFill="1" applyBorder="1" applyAlignment="1">
      <alignment horizontal="right" vertical="center"/>
    </xf>
    <xf numFmtId="196" fontId="89" fillId="3" borderId="0" xfId="0" applyNumberFormat="1" applyFont="1" applyFill="1" applyBorder="1" applyAlignment="1">
      <alignment horizontal="right" vertical="center"/>
    </xf>
    <xf numFmtId="196" fontId="89" fillId="3" borderId="92" xfId="10" applyNumberFormat="1" applyFont="1" applyFill="1" applyBorder="1" applyAlignment="1">
      <alignment horizontal="right" vertical="center"/>
    </xf>
    <xf numFmtId="196" fontId="98" fillId="3" borderId="92" xfId="0" applyNumberFormat="1" applyFont="1" applyFill="1" applyBorder="1" applyAlignment="1">
      <alignment horizontal="right" vertical="center"/>
    </xf>
    <xf numFmtId="196" fontId="98" fillId="3" borderId="92" xfId="10" applyNumberFormat="1" applyFont="1" applyFill="1" applyBorder="1" applyAlignment="1">
      <alignment horizontal="right" vertical="center"/>
    </xf>
    <xf numFmtId="196" fontId="96" fillId="3" borderId="87" xfId="10" applyNumberFormat="1" applyFont="1" applyFill="1" applyBorder="1" applyAlignment="1">
      <alignment horizontal="right" vertical="center"/>
    </xf>
    <xf numFmtId="196" fontId="97" fillId="3" borderId="87" xfId="10" applyNumberFormat="1" applyFont="1" applyFill="1" applyBorder="1" applyAlignment="1">
      <alignment horizontal="right" vertical="center"/>
    </xf>
    <xf numFmtId="3" fontId="11" fillId="20" borderId="93" xfId="0" applyNumberFormat="1" applyFont="1" applyFill="1" applyBorder="1">
      <alignment vertical="center"/>
    </xf>
    <xf numFmtId="3" fontId="11" fillId="20" borderId="94" xfId="0" applyNumberFormat="1" applyFont="1" applyFill="1" applyBorder="1" applyAlignment="1">
      <alignment horizontal="center" vertical="center"/>
    </xf>
    <xf numFmtId="3" fontId="11" fillId="20" borderId="95" xfId="0" applyNumberFormat="1" applyFont="1" applyFill="1" applyBorder="1" applyAlignment="1">
      <alignment horizontal="center" vertical="center"/>
    </xf>
    <xf numFmtId="0" fontId="98" fillId="3" borderId="96" xfId="0" applyFont="1" applyFill="1" applyBorder="1" applyAlignment="1">
      <alignment horizontal="center" vertical="center"/>
    </xf>
    <xf numFmtId="0" fontId="89" fillId="3" borderId="96" xfId="0" applyFont="1" applyFill="1" applyBorder="1" applyAlignment="1">
      <alignment horizontal="center" vertical="center"/>
    </xf>
    <xf numFmtId="192" fontId="29" fillId="0" borderId="98" xfId="0" applyNumberFormat="1" applyFont="1" applyFill="1" applyBorder="1" applyAlignment="1">
      <alignment horizontal="right" vertical="center"/>
    </xf>
    <xf numFmtId="192" fontId="29" fillId="0" borderId="98" xfId="0" applyNumberFormat="1" applyFont="1" applyBorder="1">
      <alignment vertical="center"/>
    </xf>
    <xf numFmtId="0" fontId="98" fillId="3" borderId="99" xfId="0" applyFont="1" applyFill="1" applyBorder="1" applyAlignment="1">
      <alignment horizontal="center" vertical="center"/>
    </xf>
    <xf numFmtId="196" fontId="96" fillId="3" borderId="100" xfId="0" applyNumberFormat="1" applyFont="1" applyFill="1" applyBorder="1" applyAlignment="1">
      <alignment horizontal="right" vertical="center"/>
    </xf>
    <xf numFmtId="196" fontId="96" fillId="3" borderId="101" xfId="0" applyNumberFormat="1" applyFont="1" applyFill="1" applyBorder="1" applyAlignment="1">
      <alignment horizontal="right" vertical="center"/>
    </xf>
    <xf numFmtId="196" fontId="96" fillId="3" borderId="101" xfId="10" applyNumberFormat="1" applyFont="1" applyFill="1" applyBorder="1" applyAlignment="1">
      <alignment horizontal="right" vertical="center"/>
    </xf>
    <xf numFmtId="192" fontId="29" fillId="0" borderId="102" xfId="0" applyNumberFormat="1" applyFont="1" applyBorder="1">
      <alignment vertical="center"/>
    </xf>
    <xf numFmtId="3" fontId="48" fillId="29" borderId="10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99" fillId="0" borderId="0" xfId="0" applyFont="1" applyAlignment="1">
      <alignment horizontal="center" vertical="center"/>
    </xf>
    <xf numFmtId="192" fontId="22" fillId="0" borderId="97" xfId="0" applyNumberFormat="1" applyFont="1" applyFill="1" applyBorder="1" applyAlignment="1">
      <alignment horizontal="right" vertical="center"/>
    </xf>
    <xf numFmtId="192" fontId="35" fillId="5" borderId="98" xfId="0" applyNumberFormat="1" applyFont="1" applyFill="1" applyBorder="1" applyAlignment="1">
      <alignment horizontal="right" vertical="center"/>
    </xf>
    <xf numFmtId="192" fontId="22" fillId="0" borderId="98" xfId="0" applyNumberFormat="1" applyFont="1" applyBorder="1">
      <alignment vertical="center"/>
    </xf>
    <xf numFmtId="192" fontId="22" fillId="0" borderId="102" xfId="0" applyNumberFormat="1" applyFont="1" applyBorder="1">
      <alignment vertical="center"/>
    </xf>
    <xf numFmtId="196" fontId="98" fillId="3" borderId="91" xfId="0" applyNumberFormat="1" applyFont="1" applyFill="1" applyBorder="1" applyAlignment="1">
      <alignment horizontal="right" vertical="center"/>
    </xf>
    <xf numFmtId="196" fontId="98" fillId="3" borderId="0" xfId="0" applyNumberFormat="1" applyFont="1" applyFill="1" applyBorder="1" applyAlignment="1">
      <alignment horizontal="right" vertical="center"/>
    </xf>
    <xf numFmtId="196" fontId="98" fillId="3" borderId="91" xfId="10" applyNumberFormat="1" applyFont="1" applyFill="1" applyBorder="1" applyAlignment="1">
      <alignment horizontal="right" vertical="center"/>
    </xf>
    <xf numFmtId="196" fontId="98" fillId="3" borderId="104" xfId="0" applyNumberFormat="1" applyFont="1" applyFill="1" applyBorder="1" applyAlignment="1">
      <alignment horizontal="right" vertical="center"/>
    </xf>
    <xf numFmtId="196" fontId="98" fillId="3" borderId="58" xfId="0" applyNumberFormat="1" applyFont="1" applyFill="1" applyBorder="1" applyAlignment="1">
      <alignment horizontal="right" vertical="center"/>
    </xf>
    <xf numFmtId="0" fontId="99" fillId="0" borderId="0" xfId="0" applyFont="1" applyAlignment="1">
      <alignment horizontal="right" vertical="center"/>
    </xf>
    <xf numFmtId="0" fontId="101" fillId="0" borderId="0" xfId="0" applyFont="1" applyAlignment="1">
      <alignment horizontal="right" vertical="center"/>
    </xf>
    <xf numFmtId="0" fontId="102" fillId="0" borderId="0" xfId="0" applyFont="1">
      <alignment vertical="center"/>
    </xf>
    <xf numFmtId="0" fontId="103" fillId="0" borderId="0" xfId="0" applyFont="1" applyAlignment="1">
      <alignment horizontal="right" vertical="center"/>
    </xf>
    <xf numFmtId="0" fontId="29" fillId="5" borderId="74" xfId="0" applyFont="1" applyFill="1" applyBorder="1" applyAlignment="1">
      <alignment horizontal="left" vertical="center" indent="1"/>
    </xf>
    <xf numFmtId="0" fontId="29" fillId="0" borderId="14" xfId="0" applyFont="1" applyBorder="1" applyAlignment="1">
      <alignment horizontal="left" vertical="center" indent="1"/>
    </xf>
    <xf numFmtId="9" fontId="49" fillId="5" borderId="0" xfId="4" applyFont="1" applyFill="1" applyBorder="1" applyAlignment="1">
      <alignment horizontal="right" vertical="center"/>
    </xf>
    <xf numFmtId="9" fontId="49" fillId="5" borderId="75" xfId="4" applyFont="1" applyFill="1" applyBorder="1" applyAlignment="1">
      <alignment horizontal="right" vertical="center"/>
    </xf>
    <xf numFmtId="192" fontId="12" fillId="5" borderId="75" xfId="0" applyNumberFormat="1" applyFont="1" applyFill="1" applyBorder="1" applyAlignment="1">
      <alignment horizontal="right" vertical="center"/>
    </xf>
    <xf numFmtId="183" fontId="30" fillId="28" borderId="0" xfId="0" applyNumberFormat="1" applyFont="1" applyFill="1" applyBorder="1" applyAlignment="1">
      <alignment horizontal="right" vertical="center"/>
    </xf>
    <xf numFmtId="0" fontId="29" fillId="5" borderId="74" xfId="0" applyFont="1" applyFill="1" applyBorder="1" applyAlignment="1">
      <alignment horizontal="left" vertical="center" indent="2"/>
    </xf>
    <xf numFmtId="0" fontId="29" fillId="5" borderId="74" xfId="0" applyFont="1" applyFill="1" applyBorder="1" applyAlignment="1">
      <alignment horizontal="left" vertical="center" indent="3"/>
    </xf>
    <xf numFmtId="176" fontId="12" fillId="5" borderId="0" xfId="0" applyNumberFormat="1" applyFont="1" applyFill="1" applyBorder="1" applyAlignment="1">
      <alignment horizontal="right" vertical="center"/>
    </xf>
    <xf numFmtId="182" fontId="30" fillId="28" borderId="0" xfId="0" applyNumberFormat="1" applyFont="1" applyFill="1" applyBorder="1" applyAlignment="1">
      <alignment horizontal="right" vertical="center"/>
    </xf>
    <xf numFmtId="9" fontId="49" fillId="5" borderId="41" xfId="4" applyFont="1" applyFill="1" applyBorder="1" applyAlignment="1">
      <alignment horizontal="right" vertical="center"/>
    </xf>
    <xf numFmtId="176" fontId="12" fillId="5" borderId="75" xfId="0" applyNumberFormat="1" applyFont="1" applyFill="1" applyBorder="1" applyAlignment="1">
      <alignment horizontal="right" vertical="center"/>
    </xf>
    <xf numFmtId="0" fontId="106" fillId="0" borderId="0" xfId="17" applyFont="1">
      <alignment vertical="center"/>
    </xf>
    <xf numFmtId="0" fontId="104" fillId="0" borderId="0" xfId="17">
      <alignment vertical="center"/>
    </xf>
    <xf numFmtId="0" fontId="46" fillId="4" borderId="105" xfId="17" applyFont="1" applyFill="1" applyBorder="1" applyAlignment="1">
      <alignment horizontal="center" vertical="center"/>
    </xf>
    <xf numFmtId="0" fontId="104" fillId="0" borderId="105" xfId="17" applyBorder="1">
      <alignment vertical="center"/>
    </xf>
    <xf numFmtId="197" fontId="22" fillId="0" borderId="105" xfId="18" applyNumberFormat="1" applyFont="1" applyBorder="1" applyAlignment="1" applyProtection="1">
      <alignment horizontal="right" vertical="center"/>
    </xf>
    <xf numFmtId="0" fontId="108" fillId="0" borderId="0" xfId="17" applyFont="1">
      <alignment vertical="center"/>
    </xf>
    <xf numFmtId="197" fontId="109" fillId="31" borderId="105" xfId="17" applyNumberFormat="1" applyFont="1" applyFill="1" applyBorder="1">
      <alignment vertical="center"/>
    </xf>
    <xf numFmtId="0" fontId="102" fillId="0" borderId="0" xfId="17" applyFont="1" applyFill="1">
      <alignment vertical="center"/>
    </xf>
    <xf numFmtId="197" fontId="111" fillId="0" borderId="105" xfId="18" applyNumberFormat="1" applyFont="1" applyBorder="1" applyAlignment="1" applyProtection="1">
      <alignment horizontal="right" vertical="center"/>
    </xf>
    <xf numFmtId="0" fontId="107" fillId="0" borderId="0" xfId="0" applyFont="1">
      <alignment vertical="center"/>
    </xf>
    <xf numFmtId="197" fontId="113" fillId="0" borderId="105" xfId="18" applyNumberFormat="1" applyFont="1" applyBorder="1" applyAlignment="1" applyProtection="1">
      <alignment horizontal="right" vertical="center"/>
    </xf>
    <xf numFmtId="0" fontId="115" fillId="0" borderId="0" xfId="0" applyFont="1">
      <alignment vertical="center"/>
    </xf>
    <xf numFmtId="197" fontId="113" fillId="32" borderId="105" xfId="18" applyNumberFormat="1" applyFont="1" applyFill="1" applyBorder="1" applyAlignment="1" applyProtection="1">
      <alignment horizontal="right" vertical="center"/>
    </xf>
    <xf numFmtId="197" fontId="111" fillId="32" borderId="105" xfId="18" applyNumberFormat="1" applyFont="1" applyFill="1" applyBorder="1" applyAlignment="1" applyProtection="1">
      <alignment horizontal="right" vertical="center"/>
    </xf>
    <xf numFmtId="0" fontId="104" fillId="5" borderId="0" xfId="17" applyFill="1">
      <alignment vertical="center"/>
    </xf>
    <xf numFmtId="0" fontId="104" fillId="26" borderId="0" xfId="17" applyFill="1">
      <alignment vertical="center"/>
    </xf>
    <xf numFmtId="0" fontId="109" fillId="31" borderId="105" xfId="17" applyFont="1" applyFill="1" applyBorder="1" applyAlignment="1">
      <alignment horizontal="center" vertical="center"/>
    </xf>
    <xf numFmtId="0" fontId="104" fillId="0" borderId="0" xfId="17" applyAlignment="1">
      <alignment horizontal="right" vertical="center"/>
    </xf>
    <xf numFmtId="3" fontId="104" fillId="0" borderId="105" xfId="17" applyNumberFormat="1" applyBorder="1">
      <alignment vertical="center"/>
    </xf>
    <xf numFmtId="0" fontId="116" fillId="0" borderId="0" xfId="0" applyFont="1" applyFill="1" applyBorder="1" applyAlignment="1">
      <alignment vertical="center"/>
    </xf>
    <xf numFmtId="0" fontId="116" fillId="0" borderId="0" xfId="0" applyFont="1" applyFill="1" applyAlignment="1">
      <alignment vertical="center"/>
    </xf>
    <xf numFmtId="0" fontId="116" fillId="0" borderId="110" xfId="0" applyFont="1" applyFill="1" applyBorder="1" applyAlignment="1">
      <alignment horizontal="center" vertical="center"/>
    </xf>
    <xf numFmtId="41" fontId="116" fillId="0" borderId="110" xfId="7" applyFont="1" applyFill="1" applyBorder="1" applyAlignment="1">
      <alignment horizontal="right" vertical="center"/>
    </xf>
    <xf numFmtId="41" fontId="116" fillId="33" borderId="111" xfId="7" applyFont="1" applyFill="1" applyBorder="1" applyAlignment="1">
      <alignment vertical="center"/>
    </xf>
    <xf numFmtId="41" fontId="116" fillId="0" borderId="110" xfId="7" applyFont="1" applyFill="1" applyBorder="1" applyAlignment="1">
      <alignment vertical="center"/>
    </xf>
    <xf numFmtId="0" fontId="116" fillId="0" borderId="110" xfId="0" applyFont="1" applyFill="1" applyBorder="1" applyAlignment="1">
      <alignment vertical="center"/>
    </xf>
    <xf numFmtId="0" fontId="116" fillId="0" borderId="0" xfId="0" applyFont="1" applyFill="1" applyAlignment="1">
      <alignment horizontal="right" vertical="center"/>
    </xf>
    <xf numFmtId="198" fontId="117" fillId="0" borderId="0" xfId="0" applyNumberFormat="1" applyFont="1" applyAlignment="1">
      <alignment horizontal="right" vertical="center"/>
    </xf>
    <xf numFmtId="41" fontId="116" fillId="5" borderId="110" xfId="7" applyFont="1" applyFill="1" applyBorder="1" applyAlignment="1">
      <alignment horizontal="right" vertical="center"/>
    </xf>
    <xf numFmtId="41" fontId="116" fillId="5" borderId="110" xfId="7" applyFont="1" applyFill="1" applyBorder="1" applyAlignment="1">
      <alignment vertical="center"/>
    </xf>
    <xf numFmtId="0" fontId="109" fillId="0" borderId="0" xfId="17" applyFont="1" applyBorder="1">
      <alignment vertical="center"/>
    </xf>
    <xf numFmtId="197" fontId="113" fillId="0" borderId="0" xfId="18" applyNumberFormat="1" applyFont="1" applyBorder="1" applyAlignment="1" applyProtection="1">
      <alignment horizontal="right" vertical="center"/>
    </xf>
    <xf numFmtId="197" fontId="113" fillId="5" borderId="0" xfId="18" applyNumberFormat="1" applyFont="1" applyFill="1" applyBorder="1" applyAlignment="1" applyProtection="1">
      <alignment horizontal="right" vertical="center"/>
    </xf>
    <xf numFmtId="0" fontId="110" fillId="0" borderId="105" xfId="17" applyFont="1" applyBorder="1">
      <alignment vertical="center"/>
    </xf>
    <xf numFmtId="0" fontId="112" fillId="0" borderId="105" xfId="17" applyFont="1" applyBorder="1">
      <alignment vertical="center"/>
    </xf>
    <xf numFmtId="197" fontId="113" fillId="5" borderId="105" xfId="18" applyNumberFormat="1" applyFont="1" applyFill="1" applyBorder="1" applyAlignment="1" applyProtection="1">
      <alignment horizontal="center" vertical="center"/>
    </xf>
    <xf numFmtId="197" fontId="113" fillId="5" borderId="105" xfId="18" applyNumberFormat="1" applyFont="1" applyFill="1" applyBorder="1" applyAlignment="1" applyProtection="1">
      <alignment horizontal="right" vertical="center"/>
    </xf>
    <xf numFmtId="3" fontId="12" fillId="0" borderId="105" xfId="0" applyNumberFormat="1" applyFont="1" applyBorder="1" applyAlignment="1">
      <alignment horizontal="right" vertical="center"/>
    </xf>
    <xf numFmtId="197" fontId="104" fillId="5" borderId="0" xfId="17" applyNumberFormat="1" applyFill="1">
      <alignment vertical="center"/>
    </xf>
    <xf numFmtId="197" fontId="109" fillId="5" borderId="0" xfId="17" applyNumberFormat="1" applyFont="1" applyFill="1">
      <alignment vertical="center"/>
    </xf>
    <xf numFmtId="0" fontId="109" fillId="5" borderId="0" xfId="17" applyFont="1" applyFill="1">
      <alignment vertical="center"/>
    </xf>
    <xf numFmtId="0" fontId="114" fillId="5" borderId="0" xfId="17" applyFont="1" applyFill="1" applyBorder="1" applyAlignment="1">
      <alignment horizontal="center" vertical="center"/>
    </xf>
    <xf numFmtId="0" fontId="118" fillId="34" borderId="40" xfId="0" applyFont="1" applyFill="1" applyBorder="1" applyAlignment="1" applyProtection="1">
      <alignment horizontal="left"/>
    </xf>
    <xf numFmtId="199" fontId="118" fillId="34" borderId="0" xfId="0" applyNumberFormat="1" applyFont="1" applyFill="1" applyBorder="1" applyAlignment="1" applyProtection="1">
      <alignment horizontal="right"/>
    </xf>
    <xf numFmtId="199" fontId="119" fillId="34" borderId="0" xfId="0" applyNumberFormat="1" applyFont="1" applyFill="1" applyBorder="1" applyAlignment="1" applyProtection="1">
      <alignment horizontal="right"/>
    </xf>
    <xf numFmtId="199" fontId="120" fillId="34" borderId="0" xfId="0" applyNumberFormat="1" applyFont="1" applyFill="1" applyBorder="1" applyAlignment="1" applyProtection="1">
      <alignment horizontal="right"/>
    </xf>
    <xf numFmtId="199" fontId="120" fillId="34" borderId="41" xfId="0" applyNumberFormat="1" applyFont="1" applyFill="1" applyBorder="1" applyAlignment="1" applyProtection="1">
      <alignment horizontal="right"/>
    </xf>
    <xf numFmtId="199" fontId="119" fillId="34" borderId="41" xfId="0" applyNumberFormat="1" applyFont="1" applyFill="1" applyBorder="1" applyAlignment="1" applyProtection="1">
      <alignment horizontal="right"/>
    </xf>
    <xf numFmtId="199" fontId="121" fillId="34" borderId="0" xfId="0" applyNumberFormat="1" applyFont="1" applyFill="1" applyBorder="1" applyAlignment="1" applyProtection="1">
      <alignment horizontal="right"/>
    </xf>
    <xf numFmtId="199" fontId="122" fillId="34" borderId="0" xfId="0" applyNumberFormat="1" applyFont="1" applyFill="1" applyBorder="1" applyAlignment="1" applyProtection="1">
      <alignment horizontal="right"/>
    </xf>
    <xf numFmtId="199" fontId="123" fillId="34" borderId="0" xfId="0" applyNumberFormat="1" applyFont="1" applyFill="1" applyBorder="1" applyAlignment="1" applyProtection="1">
      <alignment horizontal="right"/>
    </xf>
    <xf numFmtId="199" fontId="118" fillId="34" borderId="41" xfId="0" applyNumberFormat="1" applyFont="1" applyFill="1" applyBorder="1" applyAlignment="1" applyProtection="1">
      <alignment horizontal="right"/>
    </xf>
    <xf numFmtId="0" fontId="118" fillId="34" borderId="49" xfId="0" applyFont="1" applyFill="1" applyBorder="1" applyAlignment="1" applyProtection="1">
      <alignment horizontal="left"/>
    </xf>
    <xf numFmtId="199" fontId="118" fillId="34" borderId="50" xfId="0" applyNumberFormat="1" applyFont="1" applyFill="1" applyBorder="1" applyAlignment="1" applyProtection="1">
      <alignment horizontal="right"/>
    </xf>
    <xf numFmtId="199" fontId="119" fillId="34" borderId="50" xfId="0" applyNumberFormat="1" applyFont="1" applyFill="1" applyBorder="1" applyAlignment="1" applyProtection="1">
      <alignment horizontal="right"/>
    </xf>
    <xf numFmtId="199" fontId="119" fillId="34" borderId="51" xfId="0" applyNumberFormat="1" applyFont="1" applyFill="1" applyBorder="1" applyAlignment="1" applyProtection="1">
      <alignment horizontal="right"/>
    </xf>
    <xf numFmtId="0" fontId="118" fillId="26" borderId="40" xfId="0" applyFont="1" applyFill="1" applyBorder="1" applyAlignment="1" applyProtection="1">
      <alignment horizontal="left"/>
    </xf>
    <xf numFmtId="183" fontId="22" fillId="26" borderId="0" xfId="0" applyNumberFormat="1" applyFont="1" applyFill="1" applyBorder="1" applyAlignment="1">
      <alignment vertical="center"/>
    </xf>
    <xf numFmtId="183" fontId="22" fillId="5" borderId="0" xfId="0" applyNumberFormat="1" applyFont="1" applyFill="1" applyBorder="1" applyAlignment="1">
      <alignment vertical="center"/>
    </xf>
    <xf numFmtId="199" fontId="118" fillId="34" borderId="0" xfId="19" applyNumberFormat="1" applyFont="1" applyFill="1" applyBorder="1" applyAlignment="1" applyProtection="1">
      <alignment horizontal="right"/>
    </xf>
    <xf numFmtId="199" fontId="121" fillId="34" borderId="0" xfId="19" applyNumberFormat="1" applyFont="1" applyFill="1" applyBorder="1" applyAlignment="1" applyProtection="1">
      <alignment horizontal="right"/>
    </xf>
    <xf numFmtId="199" fontId="119" fillId="34" borderId="0" xfId="19" applyNumberFormat="1" applyFont="1" applyFill="1" applyBorder="1" applyAlignment="1" applyProtection="1">
      <alignment horizontal="right"/>
    </xf>
    <xf numFmtId="199" fontId="122" fillId="34" borderId="0" xfId="19" applyNumberFormat="1" applyFont="1" applyFill="1" applyBorder="1" applyAlignment="1" applyProtection="1">
      <alignment horizontal="right"/>
    </xf>
    <xf numFmtId="199" fontId="120" fillId="34" borderId="0" xfId="19" applyNumberFormat="1" applyFont="1" applyFill="1" applyBorder="1" applyAlignment="1" applyProtection="1">
      <alignment horizontal="right"/>
    </xf>
    <xf numFmtId="0" fontId="118" fillId="34" borderId="40" xfId="19" applyFont="1" applyFill="1" applyBorder="1" applyAlignment="1" applyProtection="1">
      <alignment horizontal="left"/>
    </xf>
    <xf numFmtId="0" fontId="15" fillId="0" borderId="49" xfId="0" applyFont="1" applyBorder="1">
      <alignment vertical="center"/>
    </xf>
    <xf numFmtId="0" fontId="0" fillId="0" borderId="50" xfId="0" applyBorder="1">
      <alignment vertical="center"/>
    </xf>
    <xf numFmtId="0" fontId="15" fillId="0" borderId="51" xfId="0" applyFont="1" applyBorder="1">
      <alignment vertical="center"/>
    </xf>
    <xf numFmtId="199" fontId="118" fillId="26" borderId="0" xfId="19" applyNumberFormat="1" applyFont="1" applyFill="1" applyBorder="1" applyAlignment="1" applyProtection="1">
      <alignment horizontal="right"/>
    </xf>
    <xf numFmtId="199" fontId="121" fillId="26" borderId="0" xfId="19" applyNumberFormat="1" applyFont="1" applyFill="1" applyBorder="1" applyAlignment="1" applyProtection="1">
      <alignment horizontal="right"/>
    </xf>
    <xf numFmtId="199" fontId="119" fillId="26" borderId="0" xfId="19" applyNumberFormat="1" applyFont="1" applyFill="1" applyBorder="1" applyAlignment="1" applyProtection="1">
      <alignment horizontal="right"/>
    </xf>
    <xf numFmtId="199" fontId="122" fillId="26" borderId="0" xfId="19" applyNumberFormat="1" applyFont="1" applyFill="1" applyBorder="1" applyAlignment="1" applyProtection="1">
      <alignment horizontal="right"/>
    </xf>
    <xf numFmtId="199" fontId="120" fillId="26" borderId="0" xfId="19" applyNumberFormat="1" applyFont="1" applyFill="1" applyBorder="1" applyAlignment="1" applyProtection="1">
      <alignment horizontal="right"/>
    </xf>
    <xf numFmtId="199" fontId="118" fillId="26" borderId="0" xfId="19" applyNumberFormat="1" applyFont="1" applyFill="1" applyAlignment="1" applyProtection="1">
      <alignment horizontal="right"/>
    </xf>
    <xf numFmtId="199" fontId="122" fillId="26" borderId="0" xfId="19" applyNumberFormat="1" applyFont="1" applyFill="1" applyAlignment="1" applyProtection="1">
      <alignment horizontal="right"/>
    </xf>
    <xf numFmtId="199" fontId="120" fillId="26" borderId="0" xfId="19" applyNumberFormat="1" applyFont="1" applyFill="1" applyAlignment="1" applyProtection="1">
      <alignment horizontal="right"/>
    </xf>
    <xf numFmtId="199" fontId="119" fillId="26" borderId="0" xfId="19" applyNumberFormat="1" applyFont="1" applyFill="1" applyAlignment="1" applyProtection="1">
      <alignment horizontal="right"/>
    </xf>
    <xf numFmtId="199" fontId="121" fillId="26" borderId="0" xfId="19" applyNumberFormat="1" applyFont="1" applyFill="1" applyAlignment="1" applyProtection="1">
      <alignment horizontal="right"/>
    </xf>
    <xf numFmtId="0" fontId="78" fillId="8" borderId="112" xfId="0" applyFont="1" applyFill="1" applyBorder="1">
      <alignment vertical="center"/>
    </xf>
    <xf numFmtId="199" fontId="120" fillId="26" borderId="82" xfId="19" applyNumberFormat="1" applyFont="1" applyFill="1" applyBorder="1" applyAlignment="1" applyProtection="1">
      <alignment horizontal="right"/>
    </xf>
    <xf numFmtId="199" fontId="119" fillId="26" borderId="82" xfId="19" applyNumberFormat="1" applyFont="1" applyFill="1" applyBorder="1" applyAlignment="1" applyProtection="1">
      <alignment horizontal="right"/>
    </xf>
    <xf numFmtId="199" fontId="119" fillId="34" borderId="82" xfId="19" applyNumberFormat="1" applyFont="1" applyFill="1" applyBorder="1" applyAlignment="1" applyProtection="1">
      <alignment horizontal="right"/>
    </xf>
    <xf numFmtId="199" fontId="119" fillId="34" borderId="82" xfId="0" applyNumberFormat="1" applyFont="1" applyFill="1" applyBorder="1" applyAlignment="1" applyProtection="1">
      <alignment horizontal="right"/>
    </xf>
    <xf numFmtId="199" fontId="120" fillId="34" borderId="82" xfId="0" applyNumberFormat="1" applyFont="1" applyFill="1" applyBorder="1" applyAlignment="1" applyProtection="1">
      <alignment horizontal="right"/>
    </xf>
    <xf numFmtId="0" fontId="118" fillId="5" borderId="61" xfId="0" applyFont="1" applyFill="1" applyBorder="1" applyAlignment="1" applyProtection="1">
      <alignment horizontal="left"/>
    </xf>
    <xf numFmtId="0" fontId="118" fillId="5" borderId="14" xfId="0" applyFont="1" applyFill="1" applyBorder="1" applyAlignment="1" applyProtection="1">
      <alignment horizontal="left"/>
    </xf>
    <xf numFmtId="0" fontId="118" fillId="5" borderId="19" xfId="0" applyFont="1" applyFill="1" applyBorder="1" applyAlignment="1" applyProtection="1">
      <alignment horizontal="left"/>
    </xf>
    <xf numFmtId="0" fontId="29" fillId="5" borderId="0" xfId="0" applyFont="1" applyFill="1">
      <alignment vertical="center"/>
    </xf>
    <xf numFmtId="196" fontId="98" fillId="3" borderId="0" xfId="10" applyNumberFormat="1" applyFont="1" applyFill="1" applyBorder="1" applyAlignment="1">
      <alignment horizontal="right" vertical="center"/>
    </xf>
    <xf numFmtId="196" fontId="89" fillId="3" borderId="0" xfId="10" applyNumberFormat="1" applyFont="1" applyFill="1" applyBorder="1" applyAlignment="1">
      <alignment horizontal="right" vertical="center"/>
    </xf>
    <xf numFmtId="0" fontId="28" fillId="0" borderId="0" xfId="1" applyNumberFormat="1" applyFont="1" applyFill="1" applyBorder="1" applyAlignment="1">
      <alignment vertical="center"/>
    </xf>
    <xf numFmtId="0" fontId="29" fillId="5" borderId="0" xfId="0" applyFont="1" applyFill="1" applyBorder="1" applyAlignment="1">
      <alignment horizontal="left" vertical="center" indent="1"/>
    </xf>
    <xf numFmtId="0" fontId="104" fillId="0" borderId="0" xfId="17" applyBorder="1">
      <alignment vertical="center"/>
    </xf>
    <xf numFmtId="3" fontId="54" fillId="20" borderId="93" xfId="0" applyNumberFormat="1" applyFont="1" applyFill="1" applyBorder="1">
      <alignment vertical="center"/>
    </xf>
    <xf numFmtId="3" fontId="54" fillId="20" borderId="94" xfId="0" applyNumberFormat="1" applyFont="1" applyFill="1" applyBorder="1" applyAlignment="1">
      <alignment horizontal="center" vertical="center"/>
    </xf>
    <xf numFmtId="3" fontId="54" fillId="20" borderId="95" xfId="0" applyNumberFormat="1" applyFont="1" applyFill="1" applyBorder="1" applyAlignment="1">
      <alignment horizontal="center" vertical="center"/>
    </xf>
    <xf numFmtId="196" fontId="98" fillId="3" borderId="113" xfId="0" applyNumberFormat="1" applyFont="1" applyFill="1" applyBorder="1" applyAlignment="1">
      <alignment horizontal="right" vertical="center"/>
    </xf>
    <xf numFmtId="196" fontId="98" fillId="3" borderId="113" xfId="10" applyNumberFormat="1" applyFont="1" applyFill="1" applyBorder="1" applyAlignment="1">
      <alignment horizontal="right" vertical="center"/>
    </xf>
    <xf numFmtId="0" fontId="89" fillId="3" borderId="96" xfId="10" applyFont="1" applyFill="1" applyBorder="1" applyAlignment="1">
      <alignment horizontal="center" vertical="center"/>
    </xf>
    <xf numFmtId="0" fontId="127" fillId="0" borderId="0" xfId="0" quotePrefix="1" applyFont="1">
      <alignment vertical="center"/>
    </xf>
    <xf numFmtId="0" fontId="98" fillId="3" borderId="96" xfId="10" applyFont="1" applyFill="1" applyBorder="1" applyAlignment="1">
      <alignment horizontal="right" vertical="center"/>
    </xf>
    <xf numFmtId="0" fontId="89" fillId="3" borderId="96" xfId="10" applyFont="1" applyFill="1" applyBorder="1" applyAlignment="1">
      <alignment horizontal="right" vertical="center"/>
    </xf>
    <xf numFmtId="0" fontId="89" fillId="28" borderId="96" xfId="10" applyFont="1" applyFill="1" applyBorder="1" applyAlignment="1">
      <alignment horizontal="right" vertical="center"/>
    </xf>
    <xf numFmtId="0" fontId="98" fillId="3" borderId="99" xfId="10" applyFont="1" applyFill="1" applyBorder="1" applyAlignment="1">
      <alignment horizontal="right" vertical="center"/>
    </xf>
    <xf numFmtId="196" fontId="89" fillId="28" borderId="91" xfId="0" applyNumberFormat="1" applyFont="1" applyFill="1" applyBorder="1" applyAlignment="1">
      <alignment horizontal="right" vertical="center"/>
    </xf>
    <xf numFmtId="196" fontId="89" fillId="28" borderId="0" xfId="0" applyNumberFormat="1" applyFont="1" applyFill="1" applyBorder="1" applyAlignment="1">
      <alignment horizontal="right" vertical="center"/>
    </xf>
    <xf numFmtId="196" fontId="98" fillId="28" borderId="0" xfId="10" applyNumberFormat="1" applyFont="1" applyFill="1" applyBorder="1" applyAlignment="1">
      <alignment horizontal="right" vertical="center"/>
    </xf>
    <xf numFmtId="192" fontId="43" fillId="0" borderId="41" xfId="0" applyNumberFormat="1" applyFont="1" applyFill="1" applyBorder="1" applyAlignment="1">
      <alignment vertical="center"/>
    </xf>
    <xf numFmtId="0" fontId="128" fillId="0" borderId="0" xfId="0" applyFont="1">
      <alignment vertical="center"/>
    </xf>
    <xf numFmtId="182" fontId="30" fillId="5" borderId="0" xfId="0" applyNumberFormat="1" applyFont="1" applyFill="1" applyBorder="1" applyAlignment="1">
      <alignment horizontal="right" vertical="center"/>
    </xf>
    <xf numFmtId="0" fontId="89" fillId="28" borderId="114" xfId="10" applyFont="1" applyFill="1" applyBorder="1" applyAlignment="1">
      <alignment horizontal="center" vertical="center"/>
    </xf>
    <xf numFmtId="0" fontId="89" fillId="28" borderId="96" xfId="10" applyFont="1" applyFill="1" applyBorder="1" applyAlignment="1">
      <alignment horizontal="center" vertical="center"/>
    </xf>
    <xf numFmtId="0" fontId="129" fillId="0" borderId="0" xfId="0" applyFont="1">
      <alignment vertical="center"/>
    </xf>
    <xf numFmtId="0" fontId="130" fillId="0" borderId="0" xfId="0" applyFont="1">
      <alignment vertical="center"/>
    </xf>
    <xf numFmtId="0" fontId="65" fillId="0" borderId="0" xfId="0" applyFont="1">
      <alignment vertical="center"/>
    </xf>
    <xf numFmtId="0" fontId="131" fillId="0" borderId="0" xfId="0" applyFont="1">
      <alignment vertical="center"/>
    </xf>
    <xf numFmtId="0" fontId="53" fillId="0" borderId="0" xfId="0" applyFont="1">
      <alignment vertical="center"/>
    </xf>
    <xf numFmtId="0" fontId="53" fillId="0" borderId="0" xfId="0" quotePrefix="1" applyFont="1">
      <alignment vertical="center"/>
    </xf>
    <xf numFmtId="0" fontId="59" fillId="0" borderId="0" xfId="0" applyFont="1" applyAlignment="1"/>
    <xf numFmtId="0" fontId="133" fillId="0" borderId="86" xfId="0" applyNumberFormat="1" applyFont="1" applyFill="1" applyBorder="1" applyAlignment="1" applyProtection="1">
      <alignment horizontal="center"/>
    </xf>
    <xf numFmtId="0" fontId="133" fillId="0" borderId="115" xfId="0" applyNumberFormat="1" applyFont="1" applyFill="1" applyBorder="1" applyAlignment="1" applyProtection="1">
      <alignment horizontal="center"/>
    </xf>
    <xf numFmtId="0" fontId="133" fillId="0" borderId="0" xfId="0" applyNumberFormat="1" applyFont="1" applyFill="1" applyBorder="1" applyAlignment="1" applyProtection="1"/>
    <xf numFmtId="0" fontId="134" fillId="0" borderId="0" xfId="0" applyFont="1" applyAlignment="1"/>
    <xf numFmtId="200" fontId="37" fillId="6" borderId="0" xfId="0" applyNumberFormat="1" applyFont="1" applyFill="1" applyAlignment="1">
      <alignment horizontal="center"/>
    </xf>
    <xf numFmtId="14" fontId="37" fillId="6" borderId="0" xfId="0" applyNumberFormat="1" applyFont="1" applyFill="1" applyAlignment="1">
      <alignment horizontal="center"/>
    </xf>
    <xf numFmtId="0" fontId="135" fillId="5" borderId="0" xfId="0" applyFont="1" applyFill="1" applyBorder="1" applyAlignment="1">
      <alignment horizontal="left"/>
    </xf>
    <xf numFmtId="0" fontId="59" fillId="5" borderId="0" xfId="0" applyFont="1" applyFill="1" applyBorder="1" applyAlignment="1"/>
    <xf numFmtId="0" fontId="134" fillId="0" borderId="0" xfId="0" applyFont="1" applyFill="1" applyAlignment="1"/>
    <xf numFmtId="0" fontId="59" fillId="0" borderId="0" xfId="0" applyFont="1" applyFill="1" applyAlignment="1"/>
    <xf numFmtId="0" fontId="134" fillId="0" borderId="0" xfId="0" quotePrefix="1" applyFont="1" applyFill="1" applyAlignment="1"/>
    <xf numFmtId="200" fontId="37" fillId="6" borderId="115" xfId="0" applyNumberFormat="1" applyFont="1" applyFill="1" applyBorder="1" applyAlignment="1">
      <alignment horizontal="center"/>
    </xf>
    <xf numFmtId="14" fontId="37" fillId="6" borderId="115" xfId="0" applyNumberFormat="1" applyFont="1" applyFill="1" applyBorder="1" applyAlignment="1">
      <alignment horizontal="center"/>
    </xf>
    <xf numFmtId="0" fontId="135" fillId="5" borderId="115" xfId="0" applyFont="1" applyFill="1" applyBorder="1" applyAlignment="1">
      <alignment horizontal="left"/>
    </xf>
    <xf numFmtId="0" fontId="59" fillId="0" borderId="0" xfId="0" applyFont="1" applyBorder="1" applyAlignment="1"/>
    <xf numFmtId="0" fontId="134" fillId="0" borderId="0" xfId="0" applyFont="1" applyBorder="1" applyAlignment="1"/>
    <xf numFmtId="0" fontId="59" fillId="0" borderId="110" xfId="0" applyFont="1" applyBorder="1" applyAlignment="1">
      <alignment horizontal="center"/>
    </xf>
    <xf numFmtId="0" fontId="59" fillId="0" borderId="0" xfId="0" applyFont="1" applyBorder="1" applyAlignment="1">
      <alignment horizontal="center"/>
    </xf>
    <xf numFmtId="0" fontId="65" fillId="0" borderId="0" xfId="0" quotePrefix="1" applyFont="1" applyAlignment="1">
      <alignment horizontal="center" vertical="center"/>
    </xf>
    <xf numFmtId="0" fontId="136" fillId="0" borderId="0" xfId="0" applyFont="1">
      <alignment vertical="center"/>
    </xf>
    <xf numFmtId="0" fontId="33" fillId="0" borderId="0" xfId="0" quotePrefix="1" applyFont="1" applyAlignment="1">
      <alignment horizontal="right" vertical="center"/>
    </xf>
    <xf numFmtId="0" fontId="33" fillId="35" borderId="110" xfId="0" quotePrefix="1" applyFont="1" applyFill="1" applyBorder="1" applyAlignment="1">
      <alignment horizontal="right" vertical="center"/>
    </xf>
    <xf numFmtId="0" fontId="33" fillId="0" borderId="110" xfId="0" quotePrefix="1" applyFont="1" applyBorder="1" applyAlignment="1">
      <alignment horizontal="right" vertical="center"/>
    </xf>
    <xf numFmtId="0" fontId="65" fillId="0" borderId="0" xfId="0" applyFont="1" applyAlignment="1">
      <alignment horizontal="center" vertical="center"/>
    </xf>
    <xf numFmtId="0" fontId="137" fillId="6" borderId="0" xfId="0" applyNumberFormat="1" applyFont="1" applyFill="1" applyBorder="1" applyAlignment="1" applyProtection="1">
      <alignment horizontal="center"/>
    </xf>
    <xf numFmtId="200" fontId="37" fillId="6" borderId="116" xfId="0" applyNumberFormat="1" applyFont="1" applyFill="1" applyBorder="1" applyAlignment="1">
      <alignment horizontal="center"/>
    </xf>
    <xf numFmtId="200" fontId="37" fillId="35" borderId="116" xfId="0" applyNumberFormat="1" applyFont="1" applyFill="1" applyBorder="1" applyAlignment="1">
      <alignment horizontal="center"/>
    </xf>
    <xf numFmtId="200" fontId="37" fillId="5" borderId="116" xfId="0" applyNumberFormat="1" applyFont="1" applyFill="1" applyBorder="1" applyAlignment="1">
      <alignment horizontal="center"/>
    </xf>
    <xf numFmtId="200" fontId="37" fillId="5" borderId="0" xfId="0" applyNumberFormat="1" applyFont="1" applyFill="1" applyBorder="1" applyAlignment="1">
      <alignment horizontal="right"/>
    </xf>
    <xf numFmtId="200" fontId="134" fillId="5" borderId="0" xfId="0" applyNumberFormat="1" applyFont="1" applyFill="1" applyBorder="1" applyAlignment="1">
      <alignment horizontal="right"/>
    </xf>
    <xf numFmtId="200" fontId="37" fillId="35" borderId="0" xfId="0" applyNumberFormat="1" applyFont="1" applyFill="1" applyAlignment="1">
      <alignment horizontal="center"/>
    </xf>
    <xf numFmtId="200" fontId="37" fillId="5" borderId="0" xfId="0" applyNumberFormat="1" applyFont="1" applyFill="1" applyAlignment="1">
      <alignment horizontal="center"/>
    </xf>
    <xf numFmtId="200" fontId="37" fillId="6" borderId="0" xfId="0" applyNumberFormat="1" applyFont="1" applyFill="1" applyBorder="1" applyAlignment="1">
      <alignment horizontal="center"/>
    </xf>
    <xf numFmtId="200" fontId="37" fillId="5" borderId="0" xfId="0" applyNumberFormat="1" applyFont="1" applyFill="1" applyBorder="1" applyAlignment="1">
      <alignment horizontal="center"/>
    </xf>
    <xf numFmtId="200" fontId="37" fillId="35" borderId="115" xfId="0" applyNumberFormat="1" applyFont="1" applyFill="1" applyBorder="1" applyAlignment="1">
      <alignment horizontal="center"/>
    </xf>
    <xf numFmtId="0" fontId="33" fillId="0" borderId="0" xfId="0" quotePrefix="1" applyFont="1" applyAlignment="1">
      <alignment horizontal="left" vertical="center"/>
    </xf>
    <xf numFmtId="0" fontId="0" fillId="0" borderId="117" xfId="0" applyBorder="1">
      <alignment vertical="center"/>
    </xf>
    <xf numFmtId="3" fontId="0" fillId="0" borderId="118" xfId="0" applyNumberFormat="1" applyBorder="1">
      <alignment vertical="center"/>
    </xf>
    <xf numFmtId="0" fontId="0" fillId="0" borderId="119" xfId="0" applyBorder="1">
      <alignment vertical="center"/>
    </xf>
    <xf numFmtId="3" fontId="0" fillId="0" borderId="120" xfId="0" applyNumberFormat="1" applyBorder="1">
      <alignment vertical="center"/>
    </xf>
    <xf numFmtId="0" fontId="0" fillId="0" borderId="119" xfId="0" applyFill="1" applyBorder="1">
      <alignment vertical="center"/>
    </xf>
    <xf numFmtId="0" fontId="0" fillId="0" borderId="121" xfId="0" applyBorder="1">
      <alignment vertical="center"/>
    </xf>
    <xf numFmtId="3" fontId="0" fillId="0" borderId="122" xfId="0" applyNumberFormat="1" applyBorder="1">
      <alignment vertical="center"/>
    </xf>
    <xf numFmtId="0" fontId="139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40" fillId="0" borderId="0" xfId="0" applyFont="1" applyAlignment="1">
      <alignment horizontal="left" vertical="center"/>
    </xf>
    <xf numFmtId="0" fontId="140" fillId="0" borderId="0" xfId="0" applyFont="1" applyAlignment="1">
      <alignment horizontal="right" vertical="center"/>
    </xf>
    <xf numFmtId="0" fontId="140" fillId="36" borderId="123" xfId="0" applyFont="1" applyFill="1" applyBorder="1" applyAlignment="1">
      <alignment horizontal="center" vertical="center"/>
    </xf>
    <xf numFmtId="0" fontId="140" fillId="36" borderId="124" xfId="0" applyFont="1" applyFill="1" applyBorder="1" applyAlignment="1">
      <alignment horizontal="center" vertical="center"/>
    </xf>
    <xf numFmtId="0" fontId="140" fillId="36" borderId="125" xfId="0" applyFont="1" applyFill="1" applyBorder="1" applyAlignment="1">
      <alignment horizontal="center" vertical="center"/>
    </xf>
    <xf numFmtId="0" fontId="140" fillId="0" borderId="126" xfId="0" applyFont="1" applyBorder="1" applyAlignment="1">
      <alignment vertical="center"/>
    </xf>
    <xf numFmtId="0" fontId="140" fillId="0" borderId="127" xfId="0" applyFont="1" applyBorder="1" applyAlignment="1">
      <alignment horizontal="right" vertical="center"/>
    </xf>
    <xf numFmtId="0" fontId="140" fillId="0" borderId="128" xfId="0" applyFont="1" applyBorder="1" applyAlignment="1">
      <alignment horizontal="right" vertical="center"/>
    </xf>
    <xf numFmtId="3" fontId="140" fillId="0" borderId="127" xfId="0" applyNumberFormat="1" applyFont="1" applyBorder="1" applyAlignment="1">
      <alignment horizontal="right" vertical="center"/>
    </xf>
    <xf numFmtId="3" fontId="140" fillId="0" borderId="128" xfId="0" applyNumberFormat="1" applyFont="1" applyBorder="1" applyAlignment="1">
      <alignment horizontal="right" vertical="center"/>
    </xf>
    <xf numFmtId="0" fontId="140" fillId="0" borderId="129" xfId="0" applyFont="1" applyBorder="1" applyAlignment="1">
      <alignment vertical="center"/>
    </xf>
    <xf numFmtId="3" fontId="140" fillId="0" borderId="130" xfId="0" applyNumberFormat="1" applyFont="1" applyBorder="1" applyAlignment="1">
      <alignment horizontal="right" vertical="center"/>
    </xf>
    <xf numFmtId="3" fontId="140" fillId="0" borderId="131" xfId="0" applyNumberFormat="1" applyFont="1" applyBorder="1" applyAlignment="1">
      <alignment horizontal="right" vertical="center"/>
    </xf>
    <xf numFmtId="0" fontId="139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0" fillId="36" borderId="127" xfId="0" applyFont="1" applyFill="1" applyBorder="1" applyAlignment="1">
      <alignment horizontal="center" vertical="center"/>
    </xf>
    <xf numFmtId="0" fontId="140" fillId="36" borderId="128" xfId="0" applyFont="1" applyFill="1" applyBorder="1" applyAlignment="1">
      <alignment horizontal="center" vertical="center"/>
    </xf>
    <xf numFmtId="0" fontId="140" fillId="0" borderId="130" xfId="0" applyFont="1" applyBorder="1" applyAlignment="1">
      <alignment horizontal="right" vertical="center"/>
    </xf>
    <xf numFmtId="0" fontId="140" fillId="0" borderId="131" xfId="0" applyFont="1" applyBorder="1" applyAlignment="1">
      <alignment horizontal="right" vertical="center"/>
    </xf>
    <xf numFmtId="0" fontId="140" fillId="0" borderId="0" xfId="0" applyFont="1" applyAlignment="1">
      <alignment horizontal="justify" vertical="center" wrapText="1"/>
    </xf>
    <xf numFmtId="0" fontId="15" fillId="0" borderId="0" xfId="0" applyFont="1" applyAlignment="1">
      <alignment horizontal="justify" vertical="center" wrapText="1"/>
    </xf>
    <xf numFmtId="0" fontId="140" fillId="0" borderId="0" xfId="0" applyFont="1" applyAlignment="1">
      <alignment horizontal="right" vertical="top" wrapText="1"/>
    </xf>
    <xf numFmtId="0" fontId="140" fillId="36" borderId="123" xfId="0" applyFont="1" applyFill="1" applyBorder="1" applyAlignment="1">
      <alignment horizontal="center" vertical="center" wrapText="1"/>
    </xf>
    <xf numFmtId="0" fontId="140" fillId="36" borderId="124" xfId="0" applyFont="1" applyFill="1" applyBorder="1" applyAlignment="1">
      <alignment horizontal="center" vertical="center" wrapText="1"/>
    </xf>
    <xf numFmtId="0" fontId="140" fillId="36" borderId="125" xfId="0" applyFont="1" applyFill="1" applyBorder="1" applyAlignment="1">
      <alignment horizontal="center" vertical="center" wrapText="1"/>
    </xf>
    <xf numFmtId="0" fontId="140" fillId="36" borderId="127" xfId="0" applyFont="1" applyFill="1" applyBorder="1" applyAlignment="1">
      <alignment horizontal="center" vertical="center" wrapText="1"/>
    </xf>
    <xf numFmtId="0" fontId="140" fillId="36" borderId="128" xfId="0" applyFont="1" applyFill="1" applyBorder="1" applyAlignment="1">
      <alignment horizontal="center" vertical="center" wrapText="1"/>
    </xf>
    <xf numFmtId="0" fontId="140" fillId="0" borderId="126" xfId="0" applyFont="1" applyBorder="1" applyAlignment="1">
      <alignment vertical="center" wrapText="1"/>
    </xf>
    <xf numFmtId="3" fontId="140" fillId="0" borderId="127" xfId="0" applyNumberFormat="1" applyFont="1" applyBorder="1" applyAlignment="1">
      <alignment horizontal="right" vertical="center" wrapText="1"/>
    </xf>
    <xf numFmtId="3" fontId="140" fillId="0" borderId="128" xfId="0" applyNumberFormat="1" applyFont="1" applyBorder="1" applyAlignment="1">
      <alignment horizontal="right" vertical="center" wrapText="1"/>
    </xf>
    <xf numFmtId="0" fontId="140" fillId="0" borderId="127" xfId="0" applyFont="1" applyBorder="1" applyAlignment="1">
      <alignment horizontal="right" vertical="center" wrapText="1"/>
    </xf>
    <xf numFmtId="0" fontId="140" fillId="0" borderId="128" xfId="0" applyFont="1" applyBorder="1" applyAlignment="1">
      <alignment horizontal="right" vertical="center" wrapText="1"/>
    </xf>
    <xf numFmtId="0" fontId="140" fillId="0" borderId="139" xfId="0" applyFont="1" applyBorder="1" applyAlignment="1">
      <alignment vertical="center" wrapText="1"/>
    </xf>
    <xf numFmtId="0" fontId="140" fillId="0" borderId="136" xfId="0" applyFont="1" applyBorder="1" applyAlignment="1">
      <alignment vertical="center" wrapText="1"/>
    </xf>
    <xf numFmtId="3" fontId="140" fillId="37" borderId="127" xfId="0" applyNumberFormat="1" applyFont="1" applyFill="1" applyBorder="1" applyAlignment="1">
      <alignment horizontal="right" vertical="center" wrapText="1"/>
    </xf>
    <xf numFmtId="3" fontId="140" fillId="37" borderId="128" xfId="0" applyNumberFormat="1" applyFont="1" applyFill="1" applyBorder="1" applyAlignment="1">
      <alignment horizontal="right" vertical="center" wrapText="1"/>
    </xf>
    <xf numFmtId="0" fontId="140" fillId="0" borderId="129" xfId="0" applyFont="1" applyBorder="1" applyAlignment="1">
      <alignment vertical="center" wrapText="1"/>
    </xf>
    <xf numFmtId="3" fontId="140" fillId="0" borderId="130" xfId="0" applyNumberFormat="1" applyFont="1" applyBorder="1" applyAlignment="1">
      <alignment horizontal="right" vertical="center" wrapText="1"/>
    </xf>
    <xf numFmtId="3" fontId="140" fillId="0" borderId="131" xfId="0" applyNumberFormat="1" applyFont="1" applyBorder="1" applyAlignment="1">
      <alignment horizontal="right" vertical="center" wrapText="1"/>
    </xf>
    <xf numFmtId="0" fontId="14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42" fillId="0" borderId="0" xfId="0" applyFont="1" applyAlignment="1">
      <alignment horizontal="center" vertical="center"/>
    </xf>
    <xf numFmtId="0" fontId="142" fillId="0" borderId="0" xfId="0" applyFont="1" applyAlignment="1">
      <alignment horizontal="right" vertical="center"/>
    </xf>
    <xf numFmtId="0" fontId="142" fillId="36" borderId="123" xfId="0" applyFont="1" applyFill="1" applyBorder="1" applyAlignment="1">
      <alignment horizontal="center" vertical="center"/>
    </xf>
    <xf numFmtId="0" fontId="142" fillId="36" borderId="124" xfId="0" applyFont="1" applyFill="1" applyBorder="1" applyAlignment="1">
      <alignment horizontal="center" vertical="center"/>
    </xf>
    <xf numFmtId="0" fontId="142" fillId="36" borderId="125" xfId="0" applyFont="1" applyFill="1" applyBorder="1" applyAlignment="1">
      <alignment horizontal="center" vertical="center"/>
    </xf>
    <xf numFmtId="0" fontId="142" fillId="0" borderId="126" xfId="0" applyFont="1" applyBorder="1" applyAlignment="1">
      <alignment vertical="center"/>
    </xf>
    <xf numFmtId="3" fontId="142" fillId="0" borderId="127" xfId="0" applyNumberFormat="1" applyFont="1" applyBorder="1" applyAlignment="1">
      <alignment horizontal="right" vertical="center"/>
    </xf>
    <xf numFmtId="3" fontId="142" fillId="0" borderId="128" xfId="0" applyNumberFormat="1" applyFont="1" applyBorder="1" applyAlignment="1">
      <alignment horizontal="right" vertical="center"/>
    </xf>
    <xf numFmtId="0" fontId="142" fillId="0" borderId="127" xfId="0" applyFont="1" applyBorder="1" applyAlignment="1">
      <alignment horizontal="right" vertical="center"/>
    </xf>
    <xf numFmtId="0" fontId="142" fillId="0" borderId="128" xfId="0" applyFont="1" applyBorder="1" applyAlignment="1">
      <alignment horizontal="right" vertical="center"/>
    </xf>
    <xf numFmtId="0" fontId="142" fillId="0" borderId="129" xfId="0" applyFont="1" applyBorder="1" applyAlignment="1">
      <alignment vertical="center"/>
    </xf>
    <xf numFmtId="3" fontId="142" fillId="0" borderId="130" xfId="0" applyNumberFormat="1" applyFont="1" applyBorder="1" applyAlignment="1">
      <alignment horizontal="right" vertical="center"/>
    </xf>
    <xf numFmtId="3" fontId="142" fillId="0" borderId="131" xfId="0" applyNumberFormat="1" applyFont="1" applyBorder="1" applyAlignment="1">
      <alignment horizontal="right" vertical="center"/>
    </xf>
    <xf numFmtId="0" fontId="139" fillId="0" borderId="0" xfId="0" applyFont="1" applyAlignment="1">
      <alignment horizontal="center" vertical="center" wrapText="1"/>
    </xf>
    <xf numFmtId="0" fontId="140" fillId="0" borderId="0" xfId="0" applyFont="1" applyAlignment="1">
      <alignment horizontal="center" vertical="center" wrapText="1"/>
    </xf>
    <xf numFmtId="0" fontId="140" fillId="0" borderId="0" xfId="0" applyFont="1" applyAlignment="1">
      <alignment horizontal="right" vertical="center" wrapText="1"/>
    </xf>
    <xf numFmtId="0" fontId="140" fillId="0" borderId="0" xfId="0" applyFont="1" applyAlignment="1">
      <alignment vertical="center" wrapText="1"/>
    </xf>
    <xf numFmtId="0" fontId="140" fillId="38" borderId="147" xfId="0" applyFont="1" applyFill="1" applyBorder="1" applyAlignment="1">
      <alignment horizontal="center" vertical="center" wrapText="1"/>
    </xf>
    <xf numFmtId="0" fontId="140" fillId="38" borderId="145" xfId="0" applyFont="1" applyFill="1" applyBorder="1" applyAlignment="1">
      <alignment horizontal="center" vertical="center" wrapText="1"/>
    </xf>
    <xf numFmtId="0" fontId="140" fillId="0" borderId="126" xfId="0" applyFont="1" applyBorder="1" applyAlignment="1">
      <alignment vertical="top" wrapText="1"/>
    </xf>
    <xf numFmtId="3" fontId="140" fillId="0" borderId="127" xfId="0" applyNumberFormat="1" applyFont="1" applyBorder="1" applyAlignment="1">
      <alignment horizontal="right" vertical="top" wrapText="1"/>
    </xf>
    <xf numFmtId="3" fontId="140" fillId="0" borderId="128" xfId="0" applyNumberFormat="1" applyFont="1" applyBorder="1" applyAlignment="1">
      <alignment horizontal="right" vertical="top" wrapText="1"/>
    </xf>
    <xf numFmtId="0" fontId="140" fillId="0" borderId="127" xfId="0" applyFont="1" applyBorder="1" applyAlignment="1">
      <alignment horizontal="right" vertical="top" wrapText="1"/>
    </xf>
    <xf numFmtId="0" fontId="140" fillId="0" borderId="128" xfId="0" applyFont="1" applyBorder="1" applyAlignment="1">
      <alignment horizontal="right" vertical="top" wrapText="1"/>
    </xf>
    <xf numFmtId="0" fontId="140" fillId="0" borderId="129" xfId="0" applyFont="1" applyBorder="1" applyAlignment="1">
      <alignment vertical="top" wrapText="1"/>
    </xf>
    <xf numFmtId="0" fontId="140" fillId="0" borderId="130" xfId="0" applyFont="1" applyBorder="1" applyAlignment="1">
      <alignment horizontal="right" vertical="top" wrapText="1"/>
    </xf>
    <xf numFmtId="3" fontId="140" fillId="0" borderId="130" xfId="0" applyNumberFormat="1" applyFont="1" applyBorder="1" applyAlignment="1">
      <alignment horizontal="right" vertical="top" wrapText="1"/>
    </xf>
    <xf numFmtId="0" fontId="140" fillId="0" borderId="131" xfId="0" applyFont="1" applyBorder="1" applyAlignment="1">
      <alignment horizontal="right" vertical="top" wrapText="1"/>
    </xf>
    <xf numFmtId="3" fontId="140" fillId="37" borderId="128" xfId="0" applyNumberFormat="1" applyFont="1" applyFill="1" applyBorder="1" applyAlignment="1">
      <alignment horizontal="right" vertical="top" wrapText="1"/>
    </xf>
    <xf numFmtId="3" fontId="140" fillId="0" borderId="131" xfId="0" applyNumberFormat="1" applyFont="1" applyBorder="1" applyAlignment="1">
      <alignment horizontal="right" vertical="top" wrapText="1"/>
    </xf>
    <xf numFmtId="38" fontId="12" fillId="3" borderId="40" xfId="0" applyNumberFormat="1" applyFont="1" applyFill="1" applyBorder="1" applyAlignment="1">
      <alignment horizontal="left" vertical="center"/>
    </xf>
    <xf numFmtId="185" fontId="29" fillId="0" borderId="0" xfId="0" applyNumberFormat="1" applyFont="1" applyFill="1" applyBorder="1" applyAlignment="1">
      <alignment horizontal="right" vertical="center"/>
    </xf>
    <xf numFmtId="3" fontId="30" fillId="5" borderId="49" xfId="0" applyNumberFormat="1" applyFont="1" applyFill="1" applyBorder="1" applyAlignment="1">
      <alignment horizontal="left" vertical="center" indent="1"/>
    </xf>
    <xf numFmtId="9" fontId="30" fillId="5" borderId="0" xfId="4" applyFont="1" applyFill="1" applyBorder="1" applyAlignment="1">
      <alignment horizontal="right" vertical="center"/>
    </xf>
    <xf numFmtId="9" fontId="30" fillId="5" borderId="41" xfId="4" applyFont="1" applyFill="1" applyBorder="1" applyAlignment="1">
      <alignment horizontal="right" vertical="center"/>
    </xf>
    <xf numFmtId="185" fontId="12" fillId="5" borderId="46" xfId="0" applyNumberFormat="1" applyFont="1" applyFill="1" applyBorder="1" applyAlignment="1">
      <alignment horizontal="right" vertical="center"/>
    </xf>
    <xf numFmtId="192" fontId="12" fillId="5" borderId="46" xfId="0" applyNumberFormat="1" applyFont="1" applyFill="1" applyBorder="1" applyAlignment="1">
      <alignment horizontal="right" vertical="center"/>
    </xf>
    <xf numFmtId="192" fontId="12" fillId="5" borderId="47" xfId="0" applyNumberFormat="1" applyFont="1" applyFill="1" applyBorder="1" applyAlignment="1">
      <alignment horizontal="right" vertical="center"/>
    </xf>
    <xf numFmtId="0" fontId="29" fillId="0" borderId="74" xfId="0" applyFont="1" applyBorder="1">
      <alignment vertical="center"/>
    </xf>
    <xf numFmtId="192" fontId="29" fillId="5" borderId="75" xfId="0" applyNumberFormat="1" applyFont="1" applyFill="1" applyBorder="1" applyAlignment="1">
      <alignment horizontal="right" vertical="center"/>
    </xf>
    <xf numFmtId="0" fontId="89" fillId="3" borderId="0" xfId="10" applyFont="1" applyFill="1" applyBorder="1" applyAlignment="1">
      <alignment horizontal="center" vertical="center"/>
    </xf>
    <xf numFmtId="0" fontId="43" fillId="0" borderId="0" xfId="0" applyFont="1" applyBorder="1">
      <alignment vertical="center"/>
    </xf>
    <xf numFmtId="185" fontId="143" fillId="0" borderId="0" xfId="0" applyNumberFormat="1" applyFont="1">
      <alignment vertical="center"/>
    </xf>
    <xf numFmtId="0" fontId="30" fillId="5" borderId="17" xfId="0" applyFont="1" applyFill="1" applyBorder="1" applyAlignment="1">
      <alignment horizontal="left" vertical="center" indent="1"/>
    </xf>
    <xf numFmtId="0" fontId="0" fillId="0" borderId="0" xfId="0" applyAlignment="1"/>
    <xf numFmtId="0" fontId="144" fillId="0" borderId="0" xfId="0" applyFont="1">
      <alignment vertical="center"/>
    </xf>
    <xf numFmtId="0" fontId="145" fillId="26" borderId="0" xfId="0" applyFont="1" applyFill="1">
      <alignment vertical="center"/>
    </xf>
    <xf numFmtId="41" fontId="0" fillId="0" borderId="110" xfId="7" applyFont="1" applyBorder="1" applyAlignment="1">
      <alignment vertical="center"/>
    </xf>
    <xf numFmtId="41" fontId="0" fillId="0" borderId="110" xfId="7" applyFont="1" applyBorder="1" applyAlignment="1">
      <alignment horizontal="center" vertical="center"/>
    </xf>
    <xf numFmtId="41" fontId="0" fillId="0" borderId="0" xfId="7" applyFont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5" borderId="0" xfId="7" applyFont="1" applyFill="1" applyBorder="1" applyAlignment="1">
      <alignment horizontal="center" vertical="center"/>
    </xf>
    <xf numFmtId="41" fontId="0" fillId="5" borderId="110" xfId="7" applyFont="1" applyFill="1" applyBorder="1" applyAlignment="1">
      <alignment horizontal="center" vertical="center"/>
    </xf>
    <xf numFmtId="41" fontId="0" fillId="26" borderId="110" xfId="7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39" borderId="0" xfId="0" applyFill="1">
      <alignment vertical="center"/>
    </xf>
    <xf numFmtId="0" fontId="0" fillId="0" borderId="150" xfId="0" applyBorder="1" applyAlignment="1">
      <alignment horizontal="center" vertical="center"/>
    </xf>
    <xf numFmtId="3" fontId="0" fillId="0" borderId="150" xfId="0" applyNumberFormat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41" fontId="0" fillId="0" borderId="119" xfId="7" applyFont="1" applyBorder="1" applyAlignment="1">
      <alignment horizontal="center" vertical="center"/>
    </xf>
    <xf numFmtId="3" fontId="0" fillId="0" borderId="150" xfId="0" applyNumberFormat="1" applyBorder="1">
      <alignment vertical="center"/>
    </xf>
    <xf numFmtId="41" fontId="0" fillId="5" borderId="119" xfId="7" applyFont="1" applyFill="1" applyBorder="1" applyAlignment="1">
      <alignment horizontal="center" vertical="center"/>
    </xf>
    <xf numFmtId="41" fontId="0" fillId="26" borderId="121" xfId="7" applyFont="1" applyFill="1" applyBorder="1" applyAlignment="1">
      <alignment horizontal="center" vertical="center"/>
    </xf>
    <xf numFmtId="3" fontId="0" fillId="0" borderId="151" xfId="0" applyNumberFormat="1" applyBorder="1">
      <alignment vertical="center"/>
    </xf>
    <xf numFmtId="0" fontId="146" fillId="0" borderId="0" xfId="0" applyFont="1">
      <alignment vertical="center"/>
    </xf>
    <xf numFmtId="0" fontId="29" fillId="5" borderId="40" xfId="0" applyFont="1" applyFill="1" applyBorder="1" applyAlignment="1">
      <alignment horizontal="left" vertical="center" indent="2"/>
    </xf>
    <xf numFmtId="0" fontId="49" fillId="5" borderId="40" xfId="0" applyFont="1" applyFill="1" applyBorder="1" applyAlignment="1">
      <alignment horizontal="left" vertical="center" indent="2"/>
    </xf>
    <xf numFmtId="0" fontId="30" fillId="5" borderId="40" xfId="0" applyFont="1" applyFill="1" applyBorder="1" applyAlignment="1">
      <alignment horizontal="left" vertical="center" indent="2"/>
    </xf>
    <xf numFmtId="0" fontId="30" fillId="5" borderId="74" xfId="0" applyFont="1" applyFill="1" applyBorder="1" applyAlignment="1">
      <alignment horizontal="left" vertical="center" indent="2"/>
    </xf>
    <xf numFmtId="0" fontId="29" fillId="0" borderId="75" xfId="0" applyFont="1" applyBorder="1">
      <alignment vertical="center"/>
    </xf>
    <xf numFmtId="0" fontId="0" fillId="0" borderId="119" xfId="0" applyBorder="1" applyAlignment="1">
      <alignment horizontal="center" vertical="center"/>
    </xf>
    <xf numFmtId="41" fontId="24" fillId="40" borderId="0" xfId="0" applyNumberFormat="1" applyFont="1" applyFill="1" applyBorder="1">
      <alignment vertical="center"/>
    </xf>
    <xf numFmtId="43" fontId="24" fillId="40" borderId="0" xfId="0" applyNumberFormat="1" applyFont="1" applyFill="1" applyBorder="1">
      <alignment vertical="center"/>
    </xf>
    <xf numFmtId="0" fontId="24" fillId="40" borderId="40" xfId="0" applyFont="1" applyFill="1" applyBorder="1">
      <alignment vertical="center"/>
    </xf>
    <xf numFmtId="41" fontId="24" fillId="40" borderId="41" xfId="0" applyNumberFormat="1" applyFont="1" applyFill="1" applyBorder="1">
      <alignment vertical="center"/>
    </xf>
    <xf numFmtId="0" fontId="15" fillId="0" borderId="40" xfId="0" applyFont="1" applyBorder="1">
      <alignment vertical="center"/>
    </xf>
    <xf numFmtId="0" fontId="147" fillId="0" borderId="40" xfId="0" applyFont="1" applyBorder="1" applyAlignment="1">
      <alignment horizontal="left" vertical="center" indent="1"/>
    </xf>
    <xf numFmtId="0" fontId="148" fillId="5" borderId="38" xfId="0" applyFont="1" applyFill="1" applyBorder="1">
      <alignment vertical="center"/>
    </xf>
    <xf numFmtId="0" fontId="7" fillId="0" borderId="0" xfId="0" applyFont="1" applyBorder="1">
      <alignment vertical="center"/>
    </xf>
    <xf numFmtId="192" fontId="148" fillId="5" borderId="48" xfId="0" applyNumberFormat="1" applyFont="1" applyFill="1" applyBorder="1" applyAlignment="1">
      <alignment horizontal="right" vertical="center"/>
    </xf>
    <xf numFmtId="0" fontId="15" fillId="0" borderId="40" xfId="0" applyFont="1" applyBorder="1" applyAlignment="1">
      <alignment horizontal="left" vertical="center" indent="1"/>
    </xf>
    <xf numFmtId="0" fontId="147" fillId="0" borderId="40" xfId="0" applyFont="1" applyBorder="1" applyAlignment="1">
      <alignment horizontal="left" vertical="center" indent="2"/>
    </xf>
    <xf numFmtId="0" fontId="147" fillId="0" borderId="0" xfId="0" applyFont="1" applyBorder="1" applyAlignment="1">
      <alignment horizontal="left" vertical="center" indent="2"/>
    </xf>
    <xf numFmtId="0" fontId="149" fillId="20" borderId="0" xfId="0" applyFont="1" applyFill="1" applyBorder="1">
      <alignment vertical="center"/>
    </xf>
    <xf numFmtId="0" fontId="150" fillId="20" borderId="0" xfId="0" applyFont="1" applyFill="1" applyBorder="1">
      <alignment vertical="center"/>
    </xf>
    <xf numFmtId="0" fontId="150" fillId="20" borderId="0" xfId="0" applyFont="1" applyFill="1">
      <alignment vertical="center"/>
    </xf>
    <xf numFmtId="0" fontId="151" fillId="20" borderId="0" xfId="0" applyFont="1" applyFill="1" applyAlignment="1">
      <alignment horizontal="right" vertical="center"/>
    </xf>
    <xf numFmtId="0" fontId="18" fillId="0" borderId="0" xfId="0" applyFont="1">
      <alignment vertical="center"/>
    </xf>
    <xf numFmtId="0" fontId="151" fillId="21" borderId="0" xfId="0" applyFont="1" applyFill="1" applyBorder="1" applyAlignment="1">
      <alignment vertical="center"/>
    </xf>
    <xf numFmtId="0" fontId="13" fillId="21" borderId="0" xfId="0" applyFont="1" applyFill="1" applyAlignment="1">
      <alignment vertical="center"/>
    </xf>
    <xf numFmtId="0" fontId="15" fillId="0" borderId="0" xfId="0" applyFont="1" applyBorder="1">
      <alignment vertical="center"/>
    </xf>
    <xf numFmtId="0" fontId="152" fillId="0" borderId="0" xfId="0" applyFont="1" applyBorder="1">
      <alignment vertical="center"/>
    </xf>
    <xf numFmtId="0" fontId="152" fillId="0" borderId="0" xfId="0" applyFont="1">
      <alignment vertical="center"/>
    </xf>
    <xf numFmtId="0" fontId="13" fillId="20" borderId="38" xfId="0" applyFont="1" applyFill="1" applyBorder="1">
      <alignment vertical="center"/>
    </xf>
    <xf numFmtId="0" fontId="153" fillId="20" borderId="48" xfId="0" applyFont="1" applyFill="1" applyBorder="1" applyAlignment="1">
      <alignment horizontal="center" vertical="center"/>
    </xf>
    <xf numFmtId="0" fontId="13" fillId="21" borderId="49" xfId="0" applyFont="1" applyFill="1" applyBorder="1">
      <alignment vertical="center"/>
    </xf>
    <xf numFmtId="187" fontId="13" fillId="21" borderId="50" xfId="0" applyNumberFormat="1" applyFont="1" applyFill="1" applyBorder="1" applyAlignment="1">
      <alignment horizontal="center" vertical="center"/>
    </xf>
    <xf numFmtId="188" fontId="13" fillId="21" borderId="0" xfId="0" applyNumberFormat="1" applyFont="1" applyFill="1" applyBorder="1" applyAlignment="1">
      <alignment horizontal="center" vertical="center"/>
    </xf>
    <xf numFmtId="181" fontId="13" fillId="21" borderId="50" xfId="0" applyNumberFormat="1" applyFont="1" applyFill="1" applyBorder="1" applyAlignment="1">
      <alignment horizontal="center" vertical="center"/>
    </xf>
    <xf numFmtId="181" fontId="13" fillId="21" borderId="51" xfId="0" applyNumberFormat="1" applyFont="1" applyFill="1" applyBorder="1" applyAlignment="1">
      <alignment horizontal="center" vertical="center"/>
    </xf>
    <xf numFmtId="0" fontId="154" fillId="5" borderId="40" xfId="0" applyFont="1" applyFill="1" applyBorder="1" applyAlignment="1">
      <alignment horizontal="left" vertical="center" indent="1"/>
    </xf>
    <xf numFmtId="9" fontId="154" fillId="5" borderId="0" xfId="4" applyFont="1" applyFill="1" applyBorder="1" applyAlignment="1">
      <alignment horizontal="right" vertical="center"/>
    </xf>
    <xf numFmtId="9" fontId="154" fillId="5" borderId="41" xfId="4" applyFont="1" applyFill="1" applyBorder="1" applyAlignment="1">
      <alignment horizontal="right" vertical="center"/>
    </xf>
    <xf numFmtId="0" fontId="7" fillId="0" borderId="41" xfId="0" applyFont="1" applyBorder="1">
      <alignment vertical="center"/>
    </xf>
    <xf numFmtId="0" fontId="154" fillId="5" borderId="40" xfId="0" applyFont="1" applyFill="1" applyBorder="1" applyAlignment="1">
      <alignment horizontal="left" vertical="center" indent="2"/>
    </xf>
    <xf numFmtId="0" fontId="155" fillId="5" borderId="40" xfId="0" applyFont="1" applyFill="1" applyBorder="1" applyAlignment="1">
      <alignment horizontal="left" vertical="center" indent="2"/>
    </xf>
    <xf numFmtId="9" fontId="155" fillId="5" borderId="0" xfId="4" applyFont="1" applyFill="1" applyBorder="1" applyAlignment="1">
      <alignment horizontal="right" vertical="center"/>
    </xf>
    <xf numFmtId="3" fontId="7" fillId="0" borderId="0" xfId="0" applyNumberFormat="1" applyFont="1" applyBorder="1">
      <alignment vertical="center"/>
    </xf>
    <xf numFmtId="0" fontId="155" fillId="5" borderId="0" xfId="0" applyNumberFormat="1" applyFont="1" applyFill="1" applyBorder="1" applyAlignment="1">
      <alignment horizontal="right" vertical="center"/>
    </xf>
    <xf numFmtId="0" fontId="7" fillId="0" borderId="50" xfId="0" applyFont="1" applyBorder="1">
      <alignment vertical="center"/>
    </xf>
    <xf numFmtId="41" fontId="7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0" fontId="148" fillId="41" borderId="38" xfId="0" applyFont="1" applyFill="1" applyBorder="1">
      <alignment vertical="center"/>
    </xf>
    <xf numFmtId="0" fontId="7" fillId="41" borderId="0" xfId="0" applyFont="1" applyFill="1" applyBorder="1">
      <alignment vertical="center"/>
    </xf>
    <xf numFmtId="192" fontId="148" fillId="41" borderId="48" xfId="0" applyNumberFormat="1" applyFont="1" applyFill="1" applyBorder="1" applyAlignment="1">
      <alignment horizontal="right" vertical="center"/>
    </xf>
    <xf numFmtId="3" fontId="7" fillId="0" borderId="41" xfId="0" applyNumberFormat="1" applyFont="1" applyBorder="1">
      <alignment vertical="center"/>
    </xf>
    <xf numFmtId="192" fontId="43" fillId="5" borderId="16" xfId="0" applyNumberFormat="1" applyFont="1" applyFill="1" applyBorder="1" applyAlignment="1">
      <alignment horizontal="right" vertical="center"/>
    </xf>
    <xf numFmtId="0" fontId="29" fillId="5" borderId="0" xfId="0" applyFont="1" applyFill="1" applyBorder="1" applyAlignment="1">
      <alignment horizontal="left" vertical="center" indent="2"/>
    </xf>
    <xf numFmtId="3" fontId="0" fillId="0" borderId="0" xfId="0" applyNumberFormat="1" applyFill="1" applyBorder="1">
      <alignment vertical="center"/>
    </xf>
    <xf numFmtId="0" fontId="157" fillId="0" borderId="0" xfId="0" applyFont="1">
      <alignment vertical="center"/>
    </xf>
    <xf numFmtId="0" fontId="0" fillId="0" borderId="0" xfId="0" applyAlignment="1">
      <alignment horizontal="center" vertical="center"/>
    </xf>
    <xf numFmtId="3" fontId="158" fillId="0" borderId="0" xfId="0" applyNumberFormat="1" applyFont="1">
      <alignment vertical="center"/>
    </xf>
    <xf numFmtId="0" fontId="159" fillId="0" borderId="0" xfId="0" applyFont="1">
      <alignment vertical="center"/>
    </xf>
    <xf numFmtId="43" fontId="24" fillId="40" borderId="41" xfId="0" applyNumberFormat="1" applyFont="1" applyFill="1" applyBorder="1">
      <alignment vertical="center"/>
    </xf>
    <xf numFmtId="0" fontId="22" fillId="0" borderId="0" xfId="0" applyFont="1">
      <alignment vertical="center"/>
    </xf>
    <xf numFmtId="14" fontId="22" fillId="0" borderId="0" xfId="0" applyNumberFormat="1" applyFont="1">
      <alignment vertical="center"/>
    </xf>
    <xf numFmtId="41" fontId="35" fillId="0" borderId="0" xfId="7" applyFont="1">
      <alignment vertical="center"/>
    </xf>
    <xf numFmtId="0" fontId="97" fillId="3" borderId="155" xfId="0" applyFont="1" applyFill="1" applyBorder="1" applyAlignment="1">
      <alignment horizontal="left" vertical="center"/>
    </xf>
    <xf numFmtId="0" fontId="163" fillId="3" borderId="0" xfId="0" applyFont="1" applyFill="1" applyAlignment="1">
      <alignment horizontal="center" vertical="center"/>
    </xf>
    <xf numFmtId="0" fontId="163" fillId="3" borderId="155" xfId="0" applyFont="1" applyFill="1" applyBorder="1" applyAlignment="1">
      <alignment horizontal="left" vertical="center"/>
    </xf>
    <xf numFmtId="0" fontId="164" fillId="44" borderId="156" xfId="0" applyFont="1" applyFill="1" applyBorder="1" applyAlignment="1">
      <alignment horizontal="center" vertical="center"/>
    </xf>
    <xf numFmtId="0" fontId="165" fillId="3" borderId="156" xfId="0" applyFont="1" applyFill="1" applyBorder="1" applyAlignment="1">
      <alignment horizontal="left" vertical="center"/>
    </xf>
    <xf numFmtId="0" fontId="165" fillId="3" borderId="156" xfId="0" applyFont="1" applyFill="1" applyBorder="1" applyAlignment="1">
      <alignment horizontal="center" vertical="center"/>
    </xf>
    <xf numFmtId="0" fontId="165" fillId="3" borderId="157" xfId="0" applyFont="1" applyFill="1" applyBorder="1" applyAlignment="1">
      <alignment horizontal="center" vertical="center"/>
    </xf>
    <xf numFmtId="0" fontId="165" fillId="3" borderId="158" xfId="0" applyFont="1" applyFill="1" applyBorder="1" applyAlignment="1">
      <alignment horizontal="left" vertical="center"/>
    </xf>
    <xf numFmtId="203" fontId="165" fillId="3" borderId="156" xfId="0" applyNumberFormat="1" applyFont="1" applyFill="1" applyBorder="1" applyAlignment="1">
      <alignment horizontal="right" vertical="center"/>
    </xf>
    <xf numFmtId="203" fontId="165" fillId="3" borderId="156" xfId="0" applyNumberFormat="1" applyFont="1" applyFill="1" applyBorder="1" applyAlignment="1">
      <alignment horizontal="center" vertical="center"/>
    </xf>
    <xf numFmtId="204" fontId="165" fillId="3" borderId="156" xfId="0" applyNumberFormat="1" applyFont="1" applyFill="1" applyBorder="1" applyAlignment="1">
      <alignment horizontal="right" vertical="center"/>
    </xf>
    <xf numFmtId="0" fontId="166" fillId="3" borderId="156" xfId="0" applyFont="1" applyFill="1" applyBorder="1" applyAlignment="1">
      <alignment horizontal="left" vertical="center"/>
    </xf>
    <xf numFmtId="0" fontId="166" fillId="3" borderId="156" xfId="0" applyFont="1" applyFill="1" applyBorder="1" applyAlignment="1">
      <alignment horizontal="center" vertical="center"/>
    </xf>
    <xf numFmtId="0" fontId="166" fillId="3" borderId="157" xfId="0" applyFont="1" applyFill="1" applyBorder="1" applyAlignment="1">
      <alignment horizontal="center" vertical="center"/>
    </xf>
    <xf numFmtId="0" fontId="166" fillId="3" borderId="158" xfId="0" applyFont="1" applyFill="1" applyBorder="1" applyAlignment="1">
      <alignment horizontal="left" vertical="center"/>
    </xf>
    <xf numFmtId="203" fontId="166" fillId="3" borderId="156" xfId="0" applyNumberFormat="1" applyFont="1" applyFill="1" applyBorder="1" applyAlignment="1">
      <alignment horizontal="right" vertical="center"/>
    </xf>
    <xf numFmtId="203" fontId="166" fillId="3" borderId="156" xfId="0" applyNumberFormat="1" applyFont="1" applyFill="1" applyBorder="1" applyAlignment="1">
      <alignment horizontal="center" vertical="center"/>
    </xf>
    <xf numFmtId="204" fontId="166" fillId="3" borderId="156" xfId="0" applyNumberFormat="1" applyFont="1" applyFill="1" applyBorder="1" applyAlignment="1">
      <alignment horizontal="right" vertical="center"/>
    </xf>
    <xf numFmtId="0" fontId="166" fillId="3" borderId="87" xfId="0" applyFont="1" applyFill="1" applyBorder="1" applyAlignment="1">
      <alignment horizontal="left" vertical="center"/>
    </xf>
    <xf numFmtId="0" fontId="167" fillId="0" borderId="0" xfId="0" applyFont="1" applyAlignment="1"/>
    <xf numFmtId="203" fontId="167" fillId="0" borderId="0" xfId="0" applyNumberFormat="1" applyFont="1" applyAlignment="1"/>
    <xf numFmtId="3" fontId="165" fillId="44" borderId="156" xfId="0" applyNumberFormat="1" applyFont="1" applyFill="1" applyBorder="1" applyAlignment="1">
      <alignment horizontal="right" vertical="center"/>
    </xf>
    <xf numFmtId="3" fontId="0" fillId="0" borderId="0" xfId="0" applyNumberFormat="1" applyAlignment="1"/>
    <xf numFmtId="3" fontId="166" fillId="44" borderId="156" xfId="0" applyNumberFormat="1" applyFont="1" applyFill="1" applyBorder="1" applyAlignment="1">
      <alignment horizontal="right" vertical="center"/>
    </xf>
    <xf numFmtId="0" fontId="165" fillId="44" borderId="156" xfId="0" applyFont="1" applyFill="1" applyBorder="1" applyAlignment="1">
      <alignment horizontal="left" vertical="center"/>
    </xf>
    <xf numFmtId="0" fontId="165" fillId="44" borderId="156" xfId="0" applyFont="1" applyFill="1" applyBorder="1" applyAlignment="1">
      <alignment horizontal="center" vertical="center"/>
    </xf>
    <xf numFmtId="0" fontId="165" fillId="44" borderId="157" xfId="0" applyFont="1" applyFill="1" applyBorder="1" applyAlignment="1">
      <alignment horizontal="center" vertical="center"/>
    </xf>
    <xf numFmtId="0" fontId="165" fillId="44" borderId="158" xfId="0" applyFont="1" applyFill="1" applyBorder="1" applyAlignment="1">
      <alignment horizontal="left" vertical="center"/>
    </xf>
    <xf numFmtId="203" fontId="165" fillId="44" borderId="156" xfId="0" applyNumberFormat="1" applyFont="1" applyFill="1" applyBorder="1" applyAlignment="1">
      <alignment horizontal="right" vertical="center"/>
    </xf>
    <xf numFmtId="0" fontId="165" fillId="44" borderId="156" xfId="0" applyFont="1" applyFill="1" applyBorder="1" applyAlignment="1">
      <alignment horizontal="right" vertical="center"/>
    </xf>
    <xf numFmtId="0" fontId="168" fillId="44" borderId="156" xfId="0" applyFont="1" applyFill="1" applyBorder="1" applyAlignment="1">
      <alignment horizontal="center" vertical="center"/>
    </xf>
    <xf numFmtId="0" fontId="168" fillId="44" borderId="156" xfId="0" applyFont="1" applyFill="1" applyBorder="1" applyAlignment="1">
      <alignment horizontal="right" vertical="center"/>
    </xf>
    <xf numFmtId="203" fontId="0" fillId="0" borderId="0" xfId="0" applyNumberFormat="1" applyAlignment="1"/>
    <xf numFmtId="0" fontId="43" fillId="5" borderId="40" xfId="0" applyFont="1" applyFill="1" applyBorder="1" applyAlignment="1">
      <alignment horizontal="left" vertical="center" indent="1"/>
    </xf>
    <xf numFmtId="0" fontId="29" fillId="0" borderId="41" xfId="0" applyFont="1" applyBorder="1">
      <alignment vertical="center"/>
    </xf>
    <xf numFmtId="176" fontId="29" fillId="0" borderId="0" xfId="0" applyNumberFormat="1" applyFont="1" applyBorder="1" applyAlignment="1">
      <alignment vertical="center"/>
    </xf>
    <xf numFmtId="176" fontId="29" fillId="0" borderId="13" xfId="0" applyNumberFormat="1" applyFont="1" applyBorder="1" applyAlignment="1">
      <alignment vertical="center"/>
    </xf>
    <xf numFmtId="0" fontId="169" fillId="36" borderId="127" xfId="0" applyFont="1" applyFill="1" applyBorder="1" applyAlignment="1">
      <alignment horizontal="center" vertical="center" wrapText="1"/>
    </xf>
    <xf numFmtId="0" fontId="169" fillId="36" borderId="128" xfId="0" applyFont="1" applyFill="1" applyBorder="1" applyAlignment="1">
      <alignment horizontal="center" vertical="center" wrapText="1"/>
    </xf>
    <xf numFmtId="0" fontId="169" fillId="0" borderId="126" xfId="0" applyFont="1" applyBorder="1" applyAlignment="1">
      <alignment horizontal="center" vertical="top" wrapText="1"/>
    </xf>
    <xf numFmtId="0" fontId="169" fillId="0" borderId="129" xfId="0" applyFont="1" applyBorder="1" applyAlignment="1">
      <alignment horizontal="center" vertical="top" wrapText="1"/>
    </xf>
    <xf numFmtId="0" fontId="84" fillId="0" borderId="0" xfId="0" applyFont="1">
      <alignment vertical="center"/>
    </xf>
    <xf numFmtId="0" fontId="162" fillId="45" borderId="0" xfId="0" applyFont="1" applyFill="1">
      <alignment vertical="center"/>
    </xf>
    <xf numFmtId="0" fontId="84" fillId="45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20" xfId="0" applyFont="1" applyBorder="1">
      <alignment vertical="center"/>
    </xf>
    <xf numFmtId="0" fontId="57" fillId="5" borderId="0" xfId="0" applyFont="1" applyFill="1" applyBorder="1" applyAlignment="1">
      <alignment horizontal="left" vertical="center" indent="2"/>
    </xf>
    <xf numFmtId="0" fontId="0" fillId="0" borderId="20" xfId="0" applyFont="1" applyBorder="1" applyAlignment="1">
      <alignment horizontal="center" vertical="center"/>
    </xf>
    <xf numFmtId="0" fontId="169" fillId="36" borderId="123" xfId="0" applyFont="1" applyFill="1" applyBorder="1" applyAlignment="1">
      <alignment horizontal="center" vertical="center" wrapText="1"/>
    </xf>
    <xf numFmtId="0" fontId="169" fillId="36" borderId="124" xfId="0" applyFont="1" applyFill="1" applyBorder="1" applyAlignment="1">
      <alignment horizontal="center" vertical="center" wrapText="1"/>
    </xf>
    <xf numFmtId="0" fontId="169" fillId="36" borderId="125" xfId="0" applyFont="1" applyFill="1" applyBorder="1" applyAlignment="1">
      <alignment horizontal="center" vertical="center" wrapText="1"/>
    </xf>
    <xf numFmtId="0" fontId="169" fillId="0" borderId="129" xfId="0" applyFont="1" applyBorder="1" applyAlignment="1">
      <alignment horizontal="center" vertical="center" wrapText="1"/>
    </xf>
    <xf numFmtId="0" fontId="169" fillId="36" borderId="126" xfId="0" applyFont="1" applyFill="1" applyBorder="1" applyAlignment="1">
      <alignment horizontal="center" vertical="center" wrapText="1"/>
    </xf>
    <xf numFmtId="0" fontId="169" fillId="0" borderId="0" xfId="0" applyFont="1" applyBorder="1" applyAlignment="1">
      <alignment horizontal="center" vertical="top" wrapText="1"/>
    </xf>
    <xf numFmtId="3" fontId="169" fillId="0" borderId="0" xfId="0" applyNumberFormat="1" applyFont="1" applyBorder="1" applyAlignment="1">
      <alignment horizontal="right" vertical="center" wrapText="1"/>
    </xf>
    <xf numFmtId="0" fontId="169" fillId="0" borderId="0" xfId="0" applyFont="1" applyBorder="1" applyAlignment="1">
      <alignment horizontal="right" vertical="center" wrapText="1"/>
    </xf>
    <xf numFmtId="0" fontId="169" fillId="0" borderId="129" xfId="0" applyFont="1" applyBorder="1" applyAlignment="1">
      <alignment vertical="top" wrapText="1"/>
    </xf>
    <xf numFmtId="0" fontId="0" fillId="0" borderId="0" xfId="0" applyFont="1" applyBorder="1">
      <alignment vertical="center"/>
    </xf>
    <xf numFmtId="0" fontId="169" fillId="36" borderId="0" xfId="0" applyFont="1" applyFill="1" applyBorder="1" applyAlignment="1">
      <alignment horizontal="center" vertical="center" wrapText="1"/>
    </xf>
    <xf numFmtId="205" fontId="169" fillId="0" borderId="127" xfId="0" applyNumberFormat="1" applyFont="1" applyBorder="1" applyAlignment="1">
      <alignment horizontal="right" vertical="center" wrapText="1"/>
    </xf>
    <xf numFmtId="205" fontId="169" fillId="0" borderId="127" xfId="0" applyNumberFormat="1" applyFont="1" applyBorder="1" applyAlignment="1">
      <alignment horizontal="right" vertical="top" wrapText="1"/>
    </xf>
    <xf numFmtId="205" fontId="169" fillId="0" borderId="130" xfId="0" applyNumberFormat="1" applyFont="1" applyBorder="1" applyAlignment="1">
      <alignment horizontal="right" vertical="center" wrapText="1"/>
    </xf>
    <xf numFmtId="205" fontId="169" fillId="0" borderId="131" xfId="0" applyNumberFormat="1" applyFont="1" applyBorder="1" applyAlignment="1">
      <alignment horizontal="right" vertical="center" wrapText="1"/>
    </xf>
    <xf numFmtId="205" fontId="169" fillId="0" borderId="128" xfId="0" applyNumberFormat="1" applyFont="1" applyBorder="1" applyAlignment="1">
      <alignment horizontal="right" vertical="center" wrapText="1"/>
    </xf>
    <xf numFmtId="0" fontId="30" fillId="5" borderId="25" xfId="0" applyFont="1" applyFill="1" applyBorder="1" applyAlignment="1">
      <alignment horizontal="left" vertical="center" indent="2"/>
    </xf>
    <xf numFmtId="192" fontId="43" fillId="0" borderId="39" xfId="0" applyNumberFormat="1" applyFont="1" applyFill="1" applyBorder="1" applyAlignment="1">
      <alignment horizontal="right" vertical="center"/>
    </xf>
    <xf numFmtId="43" fontId="7" fillId="0" borderId="0" xfId="0" applyNumberFormat="1" applyFont="1" applyBorder="1">
      <alignment vertical="center"/>
    </xf>
    <xf numFmtId="41" fontId="155" fillId="5" borderId="0" xfId="4" applyNumberFormat="1" applyFont="1" applyFill="1" applyBorder="1" applyAlignment="1">
      <alignment horizontal="right" vertical="center"/>
    </xf>
    <xf numFmtId="0" fontId="164" fillId="44" borderId="156" xfId="0" applyFont="1" applyFill="1" applyBorder="1" applyAlignment="1">
      <alignment horizontal="center" vertical="center"/>
    </xf>
    <xf numFmtId="0" fontId="168" fillId="44" borderId="156" xfId="0" applyFont="1" applyFill="1" applyBorder="1" applyAlignment="1">
      <alignment horizontal="center" vertical="center"/>
    </xf>
    <xf numFmtId="0" fontId="7" fillId="0" borderId="0" xfId="0" quotePrefix="1" applyFont="1">
      <alignment vertical="center"/>
    </xf>
    <xf numFmtId="0" fontId="0" fillId="0" borderId="0" xfId="0" quotePrefix="1">
      <alignment vertical="center"/>
    </xf>
    <xf numFmtId="0" fontId="0" fillId="0" borderId="110" xfId="0" applyBorder="1">
      <alignment vertical="center"/>
    </xf>
    <xf numFmtId="0" fontId="0" fillId="0" borderId="110" xfId="0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3" fontId="31" fillId="26" borderId="0" xfId="0" applyNumberFormat="1" applyFont="1" applyFill="1">
      <alignment vertical="center"/>
    </xf>
    <xf numFmtId="0" fontId="0" fillId="41" borderId="110" xfId="0" applyFill="1" applyBorder="1">
      <alignment vertical="center"/>
    </xf>
    <xf numFmtId="41" fontId="0" fillId="41" borderId="110" xfId="7" applyFont="1" applyFill="1" applyBorder="1">
      <alignment vertical="center"/>
    </xf>
    <xf numFmtId="3" fontId="0" fillId="0" borderId="0" xfId="0" applyNumberFormat="1" applyBorder="1">
      <alignment vertical="center"/>
    </xf>
    <xf numFmtId="0" fontId="0" fillId="0" borderId="170" xfId="0" applyFill="1" applyBorder="1" applyAlignment="1">
      <alignment horizontal="center"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0" fillId="41" borderId="110" xfId="0" applyNumberFormat="1" applyFill="1" applyBorder="1">
      <alignment vertical="center"/>
    </xf>
    <xf numFmtId="41" fontId="0" fillId="41" borderId="0" xfId="7" applyFont="1" applyFill="1" applyBorder="1">
      <alignment vertical="center"/>
    </xf>
    <xf numFmtId="41" fontId="31" fillId="26" borderId="0" xfId="0" applyNumberFormat="1" applyFont="1" applyFill="1">
      <alignment vertical="center"/>
    </xf>
    <xf numFmtId="0" fontId="0" fillId="26" borderId="110" xfId="0" applyFill="1" applyBorder="1">
      <alignment vertical="center"/>
    </xf>
    <xf numFmtId="0" fontId="0" fillId="26" borderId="110" xfId="0" applyFill="1" applyBorder="1" applyAlignment="1">
      <alignment horizontal="center" vertical="center"/>
    </xf>
    <xf numFmtId="41" fontId="0" fillId="26" borderId="110" xfId="7" applyFont="1" applyFill="1" applyBorder="1">
      <alignment vertical="center"/>
    </xf>
    <xf numFmtId="0" fontId="0" fillId="26" borderId="0" xfId="0" applyFill="1" applyBorder="1">
      <alignment vertical="center"/>
    </xf>
    <xf numFmtId="0" fontId="0" fillId="0" borderId="0" xfId="0" applyAlignment="1">
      <alignment horizontal="center" vertical="center"/>
    </xf>
    <xf numFmtId="41" fontId="0" fillId="41" borderId="0" xfId="0" applyNumberFormat="1" applyFill="1">
      <alignment vertical="center"/>
    </xf>
    <xf numFmtId="0" fontId="0" fillId="0" borderId="0" xfId="0" applyFill="1" applyBorder="1">
      <alignment vertical="center"/>
    </xf>
    <xf numFmtId="0" fontId="0" fillId="41" borderId="0" xfId="0" applyFill="1">
      <alignment vertical="center"/>
    </xf>
    <xf numFmtId="41" fontId="31" fillId="0" borderId="0" xfId="0" applyNumberFormat="1" applyFont="1">
      <alignment vertical="center"/>
    </xf>
    <xf numFmtId="3" fontId="0" fillId="5" borderId="0" xfId="0" applyNumberFormat="1" applyFill="1">
      <alignment vertical="center"/>
    </xf>
    <xf numFmtId="41" fontId="0" fillId="26" borderId="0" xfId="0" applyNumberFormat="1" applyFill="1">
      <alignment vertical="center"/>
    </xf>
    <xf numFmtId="3" fontId="0" fillId="26" borderId="0" xfId="0" applyNumberFormat="1" applyFill="1">
      <alignment vertical="center"/>
    </xf>
    <xf numFmtId="0" fontId="191" fillId="26" borderId="0" xfId="0" applyFont="1" applyFill="1">
      <alignment vertical="center"/>
    </xf>
    <xf numFmtId="0" fontId="192" fillId="26" borderId="0" xfId="0" applyFont="1" applyFill="1">
      <alignment vertical="center"/>
    </xf>
    <xf numFmtId="41" fontId="192" fillId="26" borderId="0" xfId="0" applyNumberFormat="1" applyFont="1" applyFill="1">
      <alignment vertical="center"/>
    </xf>
    <xf numFmtId="41" fontId="148" fillId="0" borderId="0" xfId="0" applyNumberFormat="1" applyFont="1" applyBorder="1">
      <alignment vertical="center"/>
    </xf>
    <xf numFmtId="0" fontId="153" fillId="20" borderId="39" xfId="0" applyFont="1" applyFill="1" applyBorder="1" applyAlignment="1">
      <alignment horizontal="center" vertical="center"/>
    </xf>
    <xf numFmtId="192" fontId="148" fillId="5" borderId="39" xfId="0" applyNumberFormat="1" applyFont="1" applyFill="1" applyBorder="1" applyAlignment="1">
      <alignment horizontal="right" vertical="center"/>
    </xf>
    <xf numFmtId="41" fontId="148" fillId="0" borderId="41" xfId="0" applyNumberFormat="1" applyFont="1" applyBorder="1">
      <alignment vertical="center"/>
    </xf>
    <xf numFmtId="41" fontId="155" fillId="5" borderId="41" xfId="4" applyNumberFormat="1" applyFont="1" applyFill="1" applyBorder="1" applyAlignment="1">
      <alignment horizontal="right" vertical="center"/>
    </xf>
    <xf numFmtId="0" fontId="148" fillId="0" borderId="40" xfId="0" applyFont="1" applyBorder="1">
      <alignment vertical="center"/>
    </xf>
    <xf numFmtId="3" fontId="35" fillId="0" borderId="0" xfId="24" applyNumberFormat="1" applyFont="1" applyBorder="1" applyAlignment="1">
      <alignment horizontal="center" vertical="center"/>
    </xf>
    <xf numFmtId="0" fontId="148" fillId="0" borderId="0" xfId="0" applyFont="1">
      <alignment vertical="center"/>
    </xf>
    <xf numFmtId="3" fontId="148" fillId="0" borderId="0" xfId="0" applyNumberFormat="1" applyFont="1" applyBorder="1">
      <alignment vertical="center"/>
    </xf>
    <xf numFmtId="3" fontId="148" fillId="0" borderId="41" xfId="0" applyNumberFormat="1" applyFont="1" applyBorder="1">
      <alignment vertical="center"/>
    </xf>
    <xf numFmtId="196" fontId="96" fillId="3" borderId="87" xfId="22" applyNumberFormat="1" applyFont="1" applyFill="1" applyBorder="1" applyAlignment="1">
      <alignment horizontal="right" vertical="center"/>
    </xf>
    <xf numFmtId="0" fontId="4" fillId="0" borderId="0" xfId="22"/>
    <xf numFmtId="0" fontId="193" fillId="3" borderId="0" xfId="22" applyFont="1" applyFill="1" applyAlignment="1">
      <alignment horizontal="center" vertical="center"/>
    </xf>
    <xf numFmtId="0" fontId="194" fillId="3" borderId="0" xfId="22" applyFont="1" applyFill="1" applyAlignment="1">
      <alignment horizontal="center" vertical="top"/>
    </xf>
    <xf numFmtId="0" fontId="193" fillId="3" borderId="0" xfId="22" applyFont="1" applyFill="1" applyAlignment="1">
      <alignment horizontal="left" vertical="center"/>
    </xf>
    <xf numFmtId="0" fontId="193" fillId="3" borderId="0" xfId="22" applyFont="1" applyFill="1" applyAlignment="1">
      <alignment horizontal="right" vertical="center"/>
    </xf>
    <xf numFmtId="0" fontId="163" fillId="3" borderId="171" xfId="22" applyFont="1" applyFill="1" applyBorder="1" applyAlignment="1">
      <alignment horizontal="center" vertical="center"/>
    </xf>
    <xf numFmtId="192" fontId="43" fillId="0" borderId="98" xfId="0" applyNumberFormat="1" applyFont="1" applyBorder="1">
      <alignment vertical="center"/>
    </xf>
    <xf numFmtId="196" fontId="97" fillId="3" borderId="91" xfId="0" applyNumberFormat="1" applyFont="1" applyFill="1" applyBorder="1" applyAlignment="1">
      <alignment horizontal="right" vertical="center"/>
    </xf>
    <xf numFmtId="0" fontId="194" fillId="3" borderId="0" xfId="0" applyFont="1" applyFill="1" applyAlignment="1">
      <alignment horizontal="center" vertical="top"/>
    </xf>
    <xf numFmtId="0" fontId="193" fillId="3" borderId="0" xfId="0" applyFont="1" applyFill="1" applyAlignment="1">
      <alignment horizontal="center" vertical="center"/>
    </xf>
    <xf numFmtId="0" fontId="193" fillId="3" borderId="0" xfId="0" applyFont="1" applyFill="1" applyAlignment="1">
      <alignment horizontal="left" vertical="center"/>
    </xf>
    <xf numFmtId="0" fontId="193" fillId="3" borderId="0" xfId="0" applyFont="1" applyFill="1" applyAlignment="1">
      <alignment horizontal="right" vertical="center"/>
    </xf>
    <xf numFmtId="3" fontId="29" fillId="5" borderId="0" xfId="0" applyNumberFormat="1" applyFont="1" applyFill="1">
      <alignment vertical="center"/>
    </xf>
    <xf numFmtId="0" fontId="29" fillId="5" borderId="77" xfId="0" applyFont="1" applyFill="1" applyBorder="1">
      <alignment vertical="center"/>
    </xf>
    <xf numFmtId="0" fontId="199" fillId="0" borderId="0" xfId="0" applyFont="1">
      <alignment vertical="center"/>
    </xf>
    <xf numFmtId="14" fontId="80" fillId="26" borderId="110" xfId="8" applyNumberFormat="1" applyFont="1" applyFill="1" applyBorder="1" applyAlignment="1">
      <alignment horizontal="center" vertical="center"/>
    </xf>
    <xf numFmtId="0" fontId="201" fillId="0" borderId="110" xfId="10" applyFont="1" applyBorder="1" applyAlignment="1"/>
    <xf numFmtId="176" fontId="18" fillId="0" borderId="110" xfId="8" applyFont="1" applyBorder="1"/>
    <xf numFmtId="176" fontId="18" fillId="0" borderId="169" xfId="8" applyFont="1" applyBorder="1"/>
    <xf numFmtId="176" fontId="81" fillId="0" borderId="169" xfId="8" applyFont="1" applyBorder="1"/>
    <xf numFmtId="0" fontId="18" fillId="0" borderId="0" xfId="0" applyFont="1" applyAlignment="1">
      <alignment horizontal="center" vertical="center"/>
    </xf>
    <xf numFmtId="176" fontId="18" fillId="0" borderId="0" xfId="0" applyNumberFormat="1" applyFont="1">
      <alignment vertical="center"/>
    </xf>
    <xf numFmtId="3" fontId="18" fillId="0" borderId="0" xfId="0" applyNumberFormat="1" applyFont="1" applyAlignment="1">
      <alignment horizontal="center" vertical="center"/>
    </xf>
    <xf numFmtId="0" fontId="82" fillId="0" borderId="0" xfId="10" applyFont="1" applyBorder="1" applyAlignment="1">
      <alignment horizontal="center" vertical="center" wrapText="1"/>
    </xf>
    <xf numFmtId="192" fontId="29" fillId="0" borderId="39" xfId="0" applyNumberFormat="1" applyFont="1" applyFill="1" applyBorder="1" applyAlignment="1">
      <alignment horizontal="right" vertical="center"/>
    </xf>
    <xf numFmtId="192" fontId="29" fillId="0" borderId="41" xfId="0" applyNumberFormat="1" applyFont="1" applyBorder="1">
      <alignment vertical="center"/>
    </xf>
    <xf numFmtId="3" fontId="18" fillId="0" borderId="0" xfId="0" applyNumberFormat="1" applyFont="1">
      <alignment vertical="center"/>
    </xf>
    <xf numFmtId="3" fontId="48" fillId="20" borderId="83" xfId="0" applyNumberFormat="1" applyFont="1" applyFill="1" applyBorder="1" applyAlignment="1">
      <alignment horizontal="center" vertical="center"/>
    </xf>
    <xf numFmtId="192" fontId="29" fillId="39" borderId="0" xfId="0" applyNumberFormat="1" applyFont="1" applyFill="1" applyBorder="1" applyAlignment="1">
      <alignment horizontal="right" vertical="center"/>
    </xf>
    <xf numFmtId="192" fontId="29" fillId="39" borderId="48" xfId="0" applyNumberFormat="1" applyFont="1" applyFill="1" applyBorder="1" applyAlignment="1">
      <alignment horizontal="right" vertical="center"/>
    </xf>
    <xf numFmtId="9" fontId="156" fillId="5" borderId="0" xfId="4" applyFont="1" applyFill="1">
      <alignment vertical="center"/>
    </xf>
    <xf numFmtId="9" fontId="29" fillId="0" borderId="0" xfId="0" applyNumberFormat="1" applyFont="1">
      <alignment vertical="center"/>
    </xf>
    <xf numFmtId="9" fontId="156" fillId="5" borderId="75" xfId="4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41" fontId="0" fillId="0" borderId="0" xfId="7" applyFont="1">
      <alignment vertical="center"/>
    </xf>
    <xf numFmtId="0" fontId="0" fillId="0" borderId="110" xfId="7" applyNumberFormat="1" applyFont="1" applyBorder="1" applyAlignment="1">
      <alignment horizontal="center" vertical="center"/>
    </xf>
    <xf numFmtId="187" fontId="11" fillId="5" borderId="0" xfId="0" applyNumberFormat="1" applyFont="1" applyFill="1" applyBorder="1" applyAlignment="1">
      <alignment horizontal="center" vertical="center"/>
    </xf>
    <xf numFmtId="0" fontId="27" fillId="5" borderId="74" xfId="0" applyFont="1" applyFill="1" applyBorder="1">
      <alignment vertical="center"/>
    </xf>
    <xf numFmtId="0" fontId="0" fillId="37" borderId="0" xfId="0" applyFill="1">
      <alignment vertical="center"/>
    </xf>
    <xf numFmtId="9" fontId="29" fillId="37" borderId="0" xfId="0" applyNumberFormat="1" applyFont="1" applyFill="1">
      <alignment vertical="center"/>
    </xf>
    <xf numFmtId="0" fontId="0" fillId="41" borderId="0" xfId="0" applyFill="1" applyBorder="1">
      <alignment vertical="center"/>
    </xf>
    <xf numFmtId="0" fontId="0" fillId="0" borderId="111" xfId="0" applyBorder="1">
      <alignment vertical="center"/>
    </xf>
    <xf numFmtId="3" fontId="0" fillId="0" borderId="110" xfId="0" applyNumberFormat="1" applyBorder="1" applyAlignment="1">
      <alignment horizontal="center" vertical="center"/>
    </xf>
    <xf numFmtId="0" fontId="0" fillId="37" borderId="110" xfId="0" applyFill="1" applyBorder="1">
      <alignment vertical="center"/>
    </xf>
    <xf numFmtId="0" fontId="0" fillId="0" borderId="111" xfId="0" applyBorder="1" applyAlignment="1">
      <alignment vertical="center"/>
    </xf>
    <xf numFmtId="0" fontId="0" fillId="0" borderId="169" xfId="0" applyBorder="1" applyAlignment="1">
      <alignment vertical="center"/>
    </xf>
    <xf numFmtId="3" fontId="0" fillId="26" borderId="110" xfId="0" applyNumberFormat="1" applyFill="1" applyBorder="1" applyAlignment="1">
      <alignment horizontal="center" vertical="center"/>
    </xf>
    <xf numFmtId="0" fontId="0" fillId="27" borderId="110" xfId="0" applyFill="1" applyBorder="1">
      <alignment vertical="center"/>
    </xf>
    <xf numFmtId="0" fontId="0" fillId="27" borderId="110" xfId="0" applyFill="1" applyBorder="1" applyAlignment="1">
      <alignment horizontal="center" vertical="center"/>
    </xf>
    <xf numFmtId="9" fontId="0" fillId="0" borderId="0" xfId="4" applyFont="1">
      <alignment vertical="center"/>
    </xf>
    <xf numFmtId="187" fontId="11" fillId="15" borderId="73" xfId="0" applyNumberFormat="1" applyFont="1" applyFill="1" applyBorder="1" applyAlignment="1">
      <alignment horizontal="center" vertical="center"/>
    </xf>
    <xf numFmtId="0" fontId="34" fillId="0" borderId="75" xfId="0" applyFont="1" applyBorder="1">
      <alignment vertical="center"/>
    </xf>
    <xf numFmtId="183" fontId="29" fillId="0" borderId="75" xfId="0" applyNumberFormat="1" applyFont="1" applyBorder="1">
      <alignment vertical="center"/>
    </xf>
    <xf numFmtId="0" fontId="34" fillId="0" borderId="75" xfId="0" applyFont="1" applyFill="1" applyBorder="1">
      <alignment vertical="center"/>
    </xf>
    <xf numFmtId="0" fontId="52" fillId="0" borderId="75" xfId="0" applyFont="1" applyFill="1" applyBorder="1">
      <alignment vertical="center"/>
    </xf>
    <xf numFmtId="0" fontId="29" fillId="0" borderId="78" xfId="0" applyFont="1" applyFill="1" applyBorder="1">
      <alignment vertical="center"/>
    </xf>
    <xf numFmtId="0" fontId="50" fillId="14" borderId="182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39" fillId="69" borderId="0" xfId="0" applyFont="1" applyFill="1" applyAlignment="1">
      <alignment horizontal="left" vertical="center"/>
    </xf>
    <xf numFmtId="0" fontId="7" fillId="7" borderId="0" xfId="0" applyFont="1" applyFill="1" applyAlignment="1">
      <alignment vertical="center"/>
    </xf>
    <xf numFmtId="0" fontId="202" fillId="7" borderId="0" xfId="0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4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36" fillId="71" borderId="0" xfId="0" applyFont="1" applyFill="1" applyAlignment="1">
      <alignment vertical="center"/>
    </xf>
    <xf numFmtId="0" fontId="203" fillId="71" borderId="0" xfId="0" applyFont="1" applyFill="1" applyAlignment="1">
      <alignment vertical="center"/>
    </xf>
    <xf numFmtId="0" fontId="7" fillId="5" borderId="111" xfId="0" applyFont="1" applyFill="1" applyBorder="1" applyAlignment="1">
      <alignment horizontal="left" vertical="center"/>
    </xf>
    <xf numFmtId="0" fontId="7" fillId="5" borderId="169" xfId="0" applyFont="1" applyFill="1" applyBorder="1" applyAlignment="1">
      <alignment horizontal="left" vertical="center"/>
    </xf>
    <xf numFmtId="10" fontId="7" fillId="5" borderId="110" xfId="0" applyNumberFormat="1" applyFont="1" applyFill="1" applyBorder="1" applyAlignment="1">
      <alignment horizontal="center" vertical="center"/>
    </xf>
    <xf numFmtId="0" fontId="117" fillId="0" borderId="0" xfId="0" applyFont="1" applyAlignment="1">
      <alignment vertical="center"/>
    </xf>
    <xf numFmtId="0" fontId="204" fillId="0" borderId="0" xfId="0" applyFont="1" applyAlignment="1">
      <alignment vertical="center"/>
    </xf>
    <xf numFmtId="0" fontId="117" fillId="0" borderId="0" xfId="0" applyFont="1" applyAlignment="1">
      <alignment horizontal="center" vertical="center"/>
    </xf>
    <xf numFmtId="0" fontId="205" fillId="0" borderId="0" xfId="0" applyFont="1" applyAlignment="1">
      <alignment vertical="center"/>
    </xf>
    <xf numFmtId="0" fontId="204" fillId="0" borderId="0" xfId="0" applyFont="1" applyAlignment="1">
      <alignment horizontal="left" vertical="center"/>
    </xf>
    <xf numFmtId="0" fontId="117" fillId="5" borderId="111" xfId="0" applyFont="1" applyFill="1" applyBorder="1" applyAlignment="1">
      <alignment horizontal="left" vertical="center"/>
    </xf>
    <xf numFmtId="0" fontId="117" fillId="5" borderId="169" xfId="0" applyFont="1" applyFill="1" applyBorder="1" applyAlignment="1">
      <alignment horizontal="left" vertical="center"/>
    </xf>
    <xf numFmtId="10" fontId="117" fillId="26" borderId="110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06" fillId="72" borderId="184" xfId="0" applyNumberFormat="1" applyFont="1" applyFill="1" applyBorder="1" applyAlignment="1">
      <alignment horizontal="center" vertical="center"/>
    </xf>
    <xf numFmtId="178" fontId="206" fillId="72" borderId="18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78" fontId="206" fillId="72" borderId="187" xfId="0" applyNumberFormat="1" applyFont="1" applyFill="1" applyBorder="1" applyAlignment="1">
      <alignment horizontal="center" vertical="center"/>
    </xf>
    <xf numFmtId="178" fontId="206" fillId="72" borderId="188" xfId="0" applyNumberFormat="1" applyFont="1" applyFill="1" applyBorder="1" applyAlignment="1">
      <alignment horizontal="center" vertical="center"/>
    </xf>
    <xf numFmtId="178" fontId="206" fillId="72" borderId="187" xfId="0" applyNumberFormat="1" applyFont="1" applyFill="1" applyBorder="1" applyAlignment="1">
      <alignment horizontal="left" vertical="center"/>
    </xf>
    <xf numFmtId="0" fontId="207" fillId="0" borderId="0" xfId="0" applyFont="1" applyAlignment="1">
      <alignment horizontal="center" vertical="center"/>
    </xf>
    <xf numFmtId="0" fontId="12" fillId="0" borderId="190" xfId="0" applyFont="1" applyFill="1" applyBorder="1" applyAlignment="1">
      <alignment vertical="center"/>
    </xf>
    <xf numFmtId="178" fontId="12" fillId="0" borderId="0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NumberFormat="1" applyFont="1" applyFill="1" applyBorder="1" applyAlignment="1">
      <alignment horizontal="center" vertical="center"/>
    </xf>
    <xf numFmtId="184" fontId="12" fillId="0" borderId="0" xfId="0" applyNumberFormat="1" applyFont="1" applyFill="1" applyBorder="1" applyAlignment="1">
      <alignment horizontal="center" vertical="center"/>
    </xf>
    <xf numFmtId="179" fontId="12" fillId="0" borderId="0" xfId="0" applyNumberFormat="1" applyFont="1" applyFill="1" applyBorder="1" applyAlignment="1">
      <alignment vertical="center"/>
    </xf>
    <xf numFmtId="179" fontId="12" fillId="0" borderId="0" xfId="0" applyNumberFormat="1" applyFont="1" applyFill="1" applyBorder="1" applyAlignment="1">
      <alignment horizontal="right" vertical="center"/>
    </xf>
    <xf numFmtId="183" fontId="12" fillId="0" borderId="0" xfId="0" applyNumberFormat="1" applyFont="1" applyFill="1" applyBorder="1" applyAlignment="1">
      <alignment horizontal="right" vertical="center"/>
    </xf>
    <xf numFmtId="183" fontId="26" fillId="0" borderId="0" xfId="0" applyNumberFormat="1" applyFont="1" applyFill="1" applyBorder="1" applyAlignment="1">
      <alignment horizontal="center" vertical="center"/>
    </xf>
    <xf numFmtId="184" fontId="12" fillId="0" borderId="0" xfId="0" applyNumberFormat="1" applyFont="1" applyFill="1" applyBorder="1" applyAlignment="1">
      <alignment horizontal="right" vertical="center"/>
    </xf>
    <xf numFmtId="184" fontId="12" fillId="0" borderId="191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 applyProtection="1">
      <alignment horizontal="left"/>
    </xf>
    <xf numFmtId="0" fontId="12" fillId="0" borderId="0" xfId="0" applyFont="1" applyFill="1" applyAlignment="1">
      <alignment vertical="center"/>
    </xf>
    <xf numFmtId="0" fontId="12" fillId="32" borderId="190" xfId="0" applyFont="1" applyFill="1" applyBorder="1" applyAlignment="1">
      <alignment vertical="center"/>
    </xf>
    <xf numFmtId="0" fontId="12" fillId="32" borderId="0" xfId="0" applyFont="1" applyFill="1" applyBorder="1" applyAlignment="1">
      <alignment vertical="center"/>
    </xf>
    <xf numFmtId="0" fontId="12" fillId="32" borderId="0" xfId="0" applyFont="1" applyFill="1" applyBorder="1" applyAlignment="1">
      <alignment horizontal="center" vertical="center"/>
    </xf>
    <xf numFmtId="0" fontId="12" fillId="32" borderId="0" xfId="0" applyNumberFormat="1" applyFont="1" applyFill="1" applyBorder="1" applyAlignment="1">
      <alignment vertical="center"/>
    </xf>
    <xf numFmtId="184" fontId="12" fillId="32" borderId="0" xfId="0" applyNumberFormat="1" applyFont="1" applyFill="1" applyBorder="1" applyAlignment="1">
      <alignment horizontal="center" vertical="center"/>
    </xf>
    <xf numFmtId="179" fontId="12" fillId="32" borderId="0" xfId="0" applyNumberFormat="1" applyFont="1" applyFill="1" applyBorder="1" applyAlignment="1">
      <alignment vertical="center"/>
    </xf>
    <xf numFmtId="183" fontId="12" fillId="32" borderId="0" xfId="0" applyNumberFormat="1" applyFont="1" applyFill="1" applyBorder="1" applyAlignment="1">
      <alignment horizontal="right" vertical="center"/>
    </xf>
    <xf numFmtId="184" fontId="12" fillId="32" borderId="0" xfId="0" applyNumberFormat="1" applyFont="1" applyFill="1" applyBorder="1" applyAlignment="1">
      <alignment horizontal="right" vertical="center"/>
    </xf>
    <xf numFmtId="184" fontId="12" fillId="32" borderId="191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08" fillId="0" borderId="0" xfId="0" applyFont="1" applyAlignment="1">
      <alignment horizontal="right" vertical="center"/>
    </xf>
    <xf numFmtId="0" fontId="12" fillId="0" borderId="0" xfId="0" applyFont="1" applyFill="1" applyAlignment="1">
      <alignment horizontal="left" vertical="center"/>
    </xf>
    <xf numFmtId="0" fontId="12" fillId="32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209" fillId="0" borderId="0" xfId="0" applyFont="1" applyFill="1" applyAlignment="1">
      <alignment horizontal="right" vertical="center"/>
    </xf>
    <xf numFmtId="0" fontId="27" fillId="0" borderId="0" xfId="0" applyFont="1" applyFill="1" applyAlignment="1">
      <alignment horizontal="left" vertical="center"/>
    </xf>
    <xf numFmtId="0" fontId="208" fillId="5" borderId="0" xfId="0" applyFont="1" applyFill="1" applyAlignment="1">
      <alignment horizontal="right" vertical="center"/>
    </xf>
    <xf numFmtId="14" fontId="12" fillId="0" borderId="0" xfId="0" applyNumberFormat="1" applyFont="1" applyFill="1" applyAlignment="1">
      <alignment horizontal="left" vertical="center"/>
    </xf>
    <xf numFmtId="0" fontId="12" fillId="32" borderId="186" xfId="0" applyFont="1" applyFill="1" applyBorder="1" applyAlignment="1">
      <alignment vertical="center"/>
    </xf>
    <xf numFmtId="0" fontId="12" fillId="32" borderId="187" xfId="0" applyFont="1" applyFill="1" applyBorder="1" applyAlignment="1">
      <alignment horizontal="left" vertical="center"/>
    </xf>
    <xf numFmtId="0" fontId="12" fillId="32" borderId="187" xfId="0" applyFont="1" applyFill="1" applyBorder="1" applyAlignment="1">
      <alignment horizontal="center" vertical="center"/>
    </xf>
    <xf numFmtId="0" fontId="12" fillId="32" borderId="187" xfId="0" applyNumberFormat="1" applyFont="1" applyFill="1" applyBorder="1" applyAlignment="1">
      <alignment vertical="center"/>
    </xf>
    <xf numFmtId="184" fontId="12" fillId="32" borderId="187" xfId="0" applyNumberFormat="1" applyFont="1" applyFill="1" applyBorder="1" applyAlignment="1">
      <alignment horizontal="center" vertical="center"/>
    </xf>
    <xf numFmtId="179" fontId="12" fillId="32" borderId="187" xfId="0" applyNumberFormat="1" applyFont="1" applyFill="1" applyBorder="1" applyAlignment="1">
      <alignment vertical="center"/>
    </xf>
    <xf numFmtId="183" fontId="12" fillId="32" borderId="187" xfId="0" applyNumberFormat="1" applyFont="1" applyFill="1" applyBorder="1" applyAlignment="1">
      <alignment horizontal="right" vertical="center"/>
    </xf>
    <xf numFmtId="184" fontId="12" fillId="32" borderId="187" xfId="0" applyNumberFormat="1" applyFont="1" applyFill="1" applyBorder="1" applyAlignment="1">
      <alignment horizontal="right" vertical="center"/>
    </xf>
    <xf numFmtId="184" fontId="12" fillId="32" borderId="189" xfId="0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 applyProtection="1">
      <alignment horizontal="left"/>
    </xf>
    <xf numFmtId="0" fontId="128" fillId="0" borderId="0" xfId="0" applyFont="1" applyFill="1" applyAlignment="1">
      <alignment horizontal="left" vertical="center"/>
    </xf>
    <xf numFmtId="0" fontId="27" fillId="0" borderId="192" xfId="0" applyFont="1" applyFill="1" applyBorder="1" applyAlignment="1">
      <alignment horizontal="left" vertical="center"/>
    </xf>
    <xf numFmtId="0" fontId="27" fillId="0" borderId="193" xfId="0" applyFont="1" applyFill="1" applyBorder="1" applyAlignment="1">
      <alignment horizontal="left" vertical="center"/>
    </xf>
    <xf numFmtId="0" fontId="27" fillId="0" borderId="193" xfId="0" applyFont="1" applyFill="1" applyBorder="1" applyAlignment="1">
      <alignment vertical="center"/>
    </xf>
    <xf numFmtId="0" fontId="27" fillId="0" borderId="193" xfId="0" applyFont="1" applyFill="1" applyBorder="1" applyAlignment="1">
      <alignment horizontal="center" vertical="center"/>
    </xf>
    <xf numFmtId="0" fontId="27" fillId="0" borderId="193" xfId="0" applyNumberFormat="1" applyFont="1" applyFill="1" applyBorder="1" applyAlignment="1">
      <alignment vertical="center"/>
    </xf>
    <xf numFmtId="0" fontId="26" fillId="0" borderId="193" xfId="0" applyFont="1" applyFill="1" applyBorder="1" applyAlignment="1">
      <alignment horizontal="right" vertical="center"/>
    </xf>
    <xf numFmtId="183" fontId="26" fillId="0" borderId="193" xfId="0" applyNumberFormat="1" applyFont="1" applyFill="1" applyBorder="1" applyAlignment="1">
      <alignment horizontal="right" vertical="center"/>
    </xf>
    <xf numFmtId="0" fontId="210" fillId="0" borderId="193" xfId="0" applyFont="1" applyFill="1" applyBorder="1" applyAlignment="1">
      <alignment vertical="center"/>
    </xf>
    <xf numFmtId="0" fontId="26" fillId="0" borderId="193" xfId="0" applyFont="1" applyFill="1" applyBorder="1" applyAlignment="1">
      <alignment horizontal="center" vertical="center"/>
    </xf>
    <xf numFmtId="184" fontId="26" fillId="0" borderId="193" xfId="0" applyNumberFormat="1" applyFont="1" applyFill="1" applyBorder="1" applyAlignment="1">
      <alignment horizontal="right" vertical="center"/>
    </xf>
    <xf numFmtId="43" fontId="27" fillId="0" borderId="194" xfId="0" applyNumberFormat="1" applyFont="1" applyFill="1" applyBorder="1" applyAlignment="1">
      <alignment horizontal="center" vertical="center"/>
    </xf>
    <xf numFmtId="0" fontId="211" fillId="0" borderId="0" xfId="0" applyFont="1" applyAlignment="1">
      <alignment vertical="center"/>
    </xf>
    <xf numFmtId="0" fontId="212" fillId="0" borderId="0" xfId="0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2" fillId="0" borderId="0" xfId="0" applyFont="1" applyBorder="1" applyAlignment="1">
      <alignment vertical="center"/>
    </xf>
    <xf numFmtId="43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0" fontId="12" fillId="0" borderId="0" xfId="0" applyNumberFormat="1" applyFont="1" applyAlignment="1">
      <alignment horizontal="center" vertical="center"/>
    </xf>
    <xf numFmtId="0" fontId="206" fillId="72" borderId="196" xfId="0" applyNumberFormat="1" applyFont="1" applyFill="1" applyBorder="1" applyAlignment="1">
      <alignment horizontal="center" vertical="center"/>
    </xf>
    <xf numFmtId="0" fontId="206" fillId="72" borderId="196" xfId="0" applyFont="1" applyFill="1" applyBorder="1" applyAlignment="1">
      <alignment horizontal="center" vertical="center" wrapText="1"/>
    </xf>
    <xf numFmtId="183" fontId="206" fillId="72" borderId="196" xfId="0" applyNumberFormat="1" applyFont="1" applyFill="1" applyBorder="1" applyAlignment="1">
      <alignment horizontal="center" vertical="center" wrapText="1"/>
    </xf>
    <xf numFmtId="0" fontId="206" fillId="72" borderId="196" xfId="0" applyFont="1" applyFill="1" applyBorder="1" applyAlignment="1">
      <alignment horizontal="center" vertical="center"/>
    </xf>
    <xf numFmtId="0" fontId="206" fillId="72" borderId="197" xfId="0" applyFont="1" applyFill="1" applyBorder="1" applyAlignment="1">
      <alignment horizontal="center" vertical="center" wrapText="1"/>
    </xf>
    <xf numFmtId="0" fontId="12" fillId="0" borderId="199" xfId="0" applyFont="1" applyBorder="1" applyAlignment="1">
      <alignment vertical="center"/>
    </xf>
    <xf numFmtId="189" fontId="12" fillId="0" borderId="199" xfId="0" applyNumberFormat="1" applyFont="1" applyBorder="1" applyAlignment="1">
      <alignment horizontal="center" vertical="center"/>
    </xf>
    <xf numFmtId="0" fontId="12" fillId="0" borderId="199" xfId="0" applyNumberFormat="1" applyFont="1" applyBorder="1" applyAlignment="1">
      <alignment vertical="center"/>
    </xf>
    <xf numFmtId="183" fontId="26" fillId="5" borderId="199" xfId="0" applyNumberFormat="1" applyFont="1" applyFill="1" applyBorder="1" applyAlignment="1">
      <alignment horizontal="center" vertical="center"/>
    </xf>
    <xf numFmtId="0" fontId="26" fillId="0" borderId="199" xfId="0" applyNumberFormat="1" applyFont="1" applyBorder="1" applyAlignment="1">
      <alignment vertical="center"/>
    </xf>
    <xf numFmtId="183" fontId="26" fillId="0" borderId="199" xfId="0" applyNumberFormat="1" applyFont="1" applyBorder="1" applyAlignment="1">
      <alignment horizontal="center" vertical="center"/>
    </xf>
    <xf numFmtId="0" fontId="26" fillId="0" borderId="199" xfId="0" applyFont="1" applyBorder="1" applyAlignment="1">
      <alignment vertical="center"/>
    </xf>
    <xf numFmtId="183" fontId="27" fillId="0" borderId="20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vertical="center"/>
    </xf>
    <xf numFmtId="0" fontId="212" fillId="0" borderId="0" xfId="0" applyFont="1" applyBorder="1" applyAlignment="1">
      <alignment vertical="center"/>
    </xf>
    <xf numFmtId="0" fontId="206" fillId="72" borderId="202" xfId="0" applyFont="1" applyFill="1" applyBorder="1" applyAlignment="1">
      <alignment horizontal="center" vertical="center" wrapText="1"/>
    </xf>
    <xf numFmtId="0" fontId="206" fillId="72" borderId="203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vertical="center"/>
    </xf>
    <xf numFmtId="0" fontId="206" fillId="72" borderId="204" xfId="0" applyFont="1" applyFill="1" applyBorder="1" applyAlignment="1">
      <alignment horizontal="center" vertical="center" wrapText="1"/>
    </xf>
    <xf numFmtId="0" fontId="206" fillId="72" borderId="205" xfId="0" applyNumberFormat="1" applyFont="1" applyFill="1" applyBorder="1" applyAlignment="1">
      <alignment horizontal="center" vertical="center"/>
    </xf>
    <xf numFmtId="0" fontId="206" fillId="72" borderId="205" xfId="0" applyFont="1" applyFill="1" applyBorder="1" applyAlignment="1">
      <alignment horizontal="center" vertical="center" wrapText="1"/>
    </xf>
    <xf numFmtId="0" fontId="206" fillId="72" borderId="205" xfId="0" applyFont="1" applyFill="1" applyBorder="1" applyAlignment="1">
      <alignment horizontal="center" vertical="center"/>
    </xf>
    <xf numFmtId="0" fontId="206" fillId="72" borderId="206" xfId="0" applyFont="1" applyFill="1" applyBorder="1" applyAlignment="1">
      <alignment horizontal="center" vertical="center" wrapText="1"/>
    </xf>
    <xf numFmtId="0" fontId="12" fillId="0" borderId="207" xfId="0" applyFont="1" applyFill="1" applyBorder="1" applyAlignment="1">
      <alignment vertical="center"/>
    </xf>
    <xf numFmtId="183" fontId="12" fillId="0" borderId="207" xfId="0" applyNumberFormat="1" applyFont="1" applyFill="1" applyBorder="1" applyAlignment="1">
      <alignment horizontal="center" vertical="center"/>
    </xf>
    <xf numFmtId="0" fontId="27" fillId="0" borderId="207" xfId="0" applyFont="1" applyBorder="1" applyAlignment="1">
      <alignment vertical="center"/>
    </xf>
    <xf numFmtId="183" fontId="27" fillId="0" borderId="208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right" vertical="center"/>
    </xf>
    <xf numFmtId="183" fontId="12" fillId="0" borderId="209" xfId="0" applyNumberFormat="1" applyFont="1" applyBorder="1" applyAlignment="1">
      <alignment horizontal="center" vertical="center"/>
    </xf>
    <xf numFmtId="183" fontId="12" fillId="0" borderId="0" xfId="0" applyNumberFormat="1" applyFont="1" applyBorder="1" applyAlignment="1">
      <alignment horizontal="center" vertical="center"/>
    </xf>
    <xf numFmtId="183" fontId="12" fillId="0" borderId="210" xfId="0" applyNumberFormat="1" applyFont="1" applyBorder="1" applyAlignment="1">
      <alignment horizontal="center" vertical="center"/>
    </xf>
    <xf numFmtId="0" fontId="3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27" fillId="0" borderId="0" xfId="0" applyFont="1" applyAlignment="1">
      <alignment horizontal="right" vertical="center"/>
    </xf>
    <xf numFmtId="183" fontId="12" fillId="0" borderId="211" xfId="0" applyNumberFormat="1" applyFont="1" applyBorder="1" applyAlignment="1">
      <alignment horizontal="center" vertical="center"/>
    </xf>
    <xf numFmtId="0" fontId="12" fillId="0" borderId="207" xfId="0" applyFont="1" applyBorder="1" applyAlignment="1">
      <alignment vertical="center"/>
    </xf>
    <xf numFmtId="183" fontId="12" fillId="0" borderId="207" xfId="0" applyNumberFormat="1" applyFont="1" applyBorder="1" applyAlignment="1">
      <alignment horizontal="center" vertical="center"/>
    </xf>
    <xf numFmtId="183" fontId="12" fillId="0" borderId="208" xfId="0" applyNumberFormat="1" applyFont="1" applyBorder="1" applyAlignment="1">
      <alignment horizontal="center" vertical="center"/>
    </xf>
    <xf numFmtId="0" fontId="27" fillId="0" borderId="192" xfId="0" applyFont="1" applyBorder="1" applyAlignment="1">
      <alignment horizontal="center" vertical="center"/>
    </xf>
    <xf numFmtId="0" fontId="27" fillId="0" borderId="193" xfId="0" applyFont="1" applyBorder="1" applyAlignment="1">
      <alignment horizontal="center" vertical="center"/>
    </xf>
    <xf numFmtId="183" fontId="27" fillId="0" borderId="194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49" fontId="12" fillId="0" borderId="212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vertical="center" wrapText="1"/>
    </xf>
    <xf numFmtId="49" fontId="12" fillId="0" borderId="0" xfId="0" applyNumberFormat="1" applyFont="1" applyFill="1" applyBorder="1" applyAlignment="1">
      <alignment horizontal="center" vertical="center"/>
    </xf>
    <xf numFmtId="49" fontId="12" fillId="0" borderId="213" xfId="0" applyNumberFormat="1" applyFont="1" applyFill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216" fillId="0" borderId="0" xfId="0" applyFont="1" applyAlignment="1">
      <alignment vertical="center"/>
    </xf>
    <xf numFmtId="0" fontId="216" fillId="0" borderId="0" xfId="0" applyFont="1" applyAlignment="1">
      <alignment horizontal="center" vertical="center"/>
    </xf>
    <xf numFmtId="0" fontId="217" fillId="0" borderId="0" xfId="0" applyFont="1">
      <alignment vertical="center"/>
    </xf>
    <xf numFmtId="0" fontId="15" fillId="0" borderId="0" xfId="0" quotePrefix="1" applyFont="1">
      <alignment vertical="center"/>
    </xf>
    <xf numFmtId="0" fontId="216" fillId="0" borderId="0" xfId="0" applyFont="1" applyFill="1" applyBorder="1" applyAlignment="1">
      <alignment vertical="center"/>
    </xf>
    <xf numFmtId="0" fontId="216" fillId="0" borderId="0" xfId="0" applyFont="1" applyFill="1" applyBorder="1" applyAlignment="1">
      <alignment horizontal="center" vertical="center"/>
    </xf>
    <xf numFmtId="49" fontId="28" fillId="0" borderId="0" xfId="0" applyNumberFormat="1" applyFont="1" applyBorder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43" fillId="68" borderId="183" xfId="0" applyNumberFormat="1" applyFont="1" applyFill="1" applyBorder="1" applyAlignment="1">
      <alignment horizontal="right"/>
    </xf>
    <xf numFmtId="0" fontId="43" fillId="68" borderId="184" xfId="0" applyNumberFormat="1" applyFont="1" applyFill="1" applyBorder="1" applyAlignment="1">
      <alignment horizontal="right"/>
    </xf>
    <xf numFmtId="0" fontId="43" fillId="68" borderId="185" xfId="0" applyNumberFormat="1" applyFont="1" applyFill="1" applyBorder="1" applyAlignment="1">
      <alignment horizontal="right"/>
    </xf>
    <xf numFmtId="0" fontId="43" fillId="68" borderId="184" xfId="0" applyNumberFormat="1" applyFont="1" applyFill="1" applyBorder="1" applyAlignment="1">
      <alignment horizontal="right" wrapText="1"/>
    </xf>
    <xf numFmtId="0" fontId="23" fillId="68" borderId="214" xfId="0" applyFont="1" applyFill="1" applyBorder="1" applyAlignment="1">
      <alignment horizontal="center" vertical="center"/>
    </xf>
    <xf numFmtId="0" fontId="218" fillId="0" borderId="183" xfId="0" applyNumberFormat="1" applyFont="1" applyFill="1" applyBorder="1" applyAlignment="1">
      <alignment horizontal="left"/>
    </xf>
    <xf numFmtId="0" fontId="219" fillId="0" borderId="184" xfId="0" applyNumberFormat="1" applyFont="1" applyFill="1" applyBorder="1" applyAlignment="1">
      <alignment horizontal="right"/>
    </xf>
    <xf numFmtId="206" fontId="12" fillId="0" borderId="184" xfId="0" applyNumberFormat="1" applyFont="1" applyFill="1" applyBorder="1" applyAlignment="1">
      <alignment horizontal="right" vertical="center"/>
    </xf>
    <xf numFmtId="206" fontId="12" fillId="0" borderId="185" xfId="0" applyNumberFormat="1" applyFont="1" applyFill="1" applyBorder="1" applyAlignment="1">
      <alignment horizontal="right" vertical="center"/>
    </xf>
    <xf numFmtId="206" fontId="12" fillId="0" borderId="183" xfId="0" applyNumberFormat="1" applyFont="1" applyFill="1" applyBorder="1" applyAlignment="1">
      <alignment horizontal="right" vertical="center"/>
    </xf>
    <xf numFmtId="0" fontId="22" fillId="0" borderId="214" xfId="0" applyFont="1" applyFill="1" applyBorder="1" applyAlignment="1">
      <alignment horizontal="left" vertical="center"/>
    </xf>
    <xf numFmtId="0" fontId="218" fillId="0" borderId="190" xfId="0" applyNumberFormat="1" applyFont="1" applyFill="1" applyBorder="1" applyAlignment="1">
      <alignment horizontal="left"/>
    </xf>
    <xf numFmtId="0" fontId="219" fillId="0" borderId="0" xfId="0" applyNumberFormat="1" applyFont="1" applyFill="1" applyBorder="1" applyAlignment="1">
      <alignment horizontal="right"/>
    </xf>
    <xf numFmtId="206" fontId="12" fillId="0" borderId="0" xfId="0" applyNumberFormat="1" applyFont="1" applyFill="1" applyBorder="1" applyAlignment="1">
      <alignment horizontal="right" vertical="center"/>
    </xf>
    <xf numFmtId="206" fontId="12" fillId="0" borderId="191" xfId="0" applyNumberFormat="1" applyFont="1" applyFill="1" applyBorder="1" applyAlignment="1">
      <alignment horizontal="right" vertical="center"/>
    </xf>
    <xf numFmtId="206" fontId="12" fillId="0" borderId="190" xfId="0" applyNumberFormat="1" applyFont="1" applyFill="1" applyBorder="1" applyAlignment="1">
      <alignment horizontal="right" vertical="center"/>
    </xf>
    <xf numFmtId="0" fontId="22" fillId="0" borderId="215" xfId="0" applyFont="1" applyFill="1" applyBorder="1" applyAlignment="1">
      <alignment horizontal="left" vertical="center"/>
    </xf>
    <xf numFmtId="0" fontId="218" fillId="0" borderId="186" xfId="0" applyNumberFormat="1" applyFont="1" applyFill="1" applyBorder="1" applyAlignment="1">
      <alignment horizontal="left"/>
    </xf>
    <xf numFmtId="0" fontId="219" fillId="0" borderId="187" xfId="0" applyNumberFormat="1" applyFont="1" applyFill="1" applyBorder="1" applyAlignment="1">
      <alignment horizontal="right"/>
    </xf>
    <xf numFmtId="206" fontId="12" fillId="0" borderId="187" xfId="0" applyNumberFormat="1" applyFont="1" applyFill="1" applyBorder="1" applyAlignment="1">
      <alignment horizontal="right" vertical="center"/>
    </xf>
    <xf numFmtId="206" fontId="12" fillId="0" borderId="189" xfId="0" applyNumberFormat="1" applyFont="1" applyFill="1" applyBorder="1" applyAlignment="1">
      <alignment horizontal="right" vertical="center"/>
    </xf>
    <xf numFmtId="206" fontId="12" fillId="0" borderId="186" xfId="0" applyNumberFormat="1" applyFont="1" applyFill="1" applyBorder="1" applyAlignment="1">
      <alignment horizontal="right" vertical="center"/>
    </xf>
    <xf numFmtId="0" fontId="22" fillId="0" borderId="216" xfId="0" applyFont="1" applyFill="1" applyBorder="1" applyAlignment="1">
      <alignment horizontal="left" vertical="center"/>
    </xf>
    <xf numFmtId="0" fontId="12" fillId="6" borderId="0" xfId="0" applyFont="1" applyFill="1" applyBorder="1" applyAlignment="1">
      <alignment horizontal="left" vertical="center"/>
    </xf>
    <xf numFmtId="0" fontId="12" fillId="6" borderId="0" xfId="0" applyFont="1" applyFill="1" applyBorder="1" applyAlignment="1">
      <alignment horizontal="right" vertical="center"/>
    </xf>
    <xf numFmtId="0" fontId="12" fillId="0" borderId="0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219" fillId="68" borderId="183" xfId="0" applyNumberFormat="1" applyFont="1" applyFill="1" applyBorder="1" applyAlignment="1">
      <alignment horizontal="left"/>
    </xf>
    <xf numFmtId="0" fontId="219" fillId="68" borderId="184" xfId="0" applyNumberFormat="1" applyFont="1" applyFill="1" applyBorder="1" applyAlignment="1">
      <alignment horizontal="right"/>
    </xf>
    <xf numFmtId="14" fontId="219" fillId="68" borderId="184" xfId="0" quotePrefix="1" applyNumberFormat="1" applyFont="1" applyFill="1" applyBorder="1" applyAlignment="1">
      <alignment horizontal="right"/>
    </xf>
    <xf numFmtId="0" fontId="219" fillId="68" borderId="185" xfId="0" applyNumberFormat="1" applyFont="1" applyFill="1" applyBorder="1" applyAlignment="1">
      <alignment horizontal="right"/>
    </xf>
    <xf numFmtId="14" fontId="219" fillId="6" borderId="0" xfId="0" quotePrefix="1" applyNumberFormat="1" applyFont="1" applyFill="1" applyBorder="1" applyAlignment="1">
      <alignment horizontal="right"/>
    </xf>
    <xf numFmtId="14" fontId="27" fillId="6" borderId="0" xfId="0" applyNumberFormat="1" applyFont="1" applyFill="1" applyBorder="1" applyAlignment="1">
      <alignment horizontal="left" vertical="center"/>
    </xf>
    <xf numFmtId="41" fontId="218" fillId="0" borderId="184" xfId="0" quotePrefix="1" applyNumberFormat="1" applyFont="1" applyFill="1" applyBorder="1" applyAlignment="1">
      <alignment horizontal="right"/>
    </xf>
    <xf numFmtId="179" fontId="218" fillId="0" borderId="184" xfId="0" quotePrefix="1" applyNumberFormat="1" applyFont="1" applyFill="1" applyBorder="1" applyAlignment="1">
      <alignment horizontal="right"/>
    </xf>
    <xf numFmtId="0" fontId="12" fillId="0" borderId="184" xfId="0" applyFont="1" applyFill="1" applyBorder="1" applyAlignment="1">
      <alignment vertical="center"/>
    </xf>
    <xf numFmtId="179" fontId="218" fillId="0" borderId="185" xfId="0" quotePrefix="1" applyNumberFormat="1" applyFont="1" applyFill="1" applyBorder="1" applyAlignment="1">
      <alignment horizontal="right"/>
    </xf>
    <xf numFmtId="41" fontId="218" fillId="0" borderId="0" xfId="0" quotePrefix="1" applyNumberFormat="1" applyFont="1" applyFill="1" applyBorder="1" applyAlignment="1">
      <alignment horizontal="right"/>
    </xf>
    <xf numFmtId="41" fontId="12" fillId="0" borderId="0" xfId="0" applyNumberFormat="1" applyFont="1" applyFill="1" applyBorder="1" applyAlignment="1">
      <alignment vertical="center"/>
    </xf>
    <xf numFmtId="179" fontId="218" fillId="0" borderId="0" xfId="0" applyNumberFormat="1" applyFont="1" applyFill="1" applyBorder="1" applyAlignment="1">
      <alignment horizontal="right"/>
    </xf>
    <xf numFmtId="179" fontId="12" fillId="0" borderId="191" xfId="0" applyNumberFormat="1" applyFont="1" applyFill="1" applyBorder="1" applyAlignment="1">
      <alignment vertical="center"/>
    </xf>
    <xf numFmtId="41" fontId="12" fillId="5" borderId="0" xfId="0" applyNumberFormat="1" applyFont="1" applyFill="1" applyBorder="1" applyAlignment="1">
      <alignment vertical="center"/>
    </xf>
    <xf numFmtId="14" fontId="27" fillId="5" borderId="0" xfId="0" applyNumberFormat="1" applyFont="1" applyFill="1" applyBorder="1" applyAlignment="1">
      <alignment horizontal="left" vertical="center"/>
    </xf>
    <xf numFmtId="14" fontId="12" fillId="5" borderId="0" xfId="0" applyNumberFormat="1" applyFont="1" applyFill="1" applyBorder="1" applyAlignment="1">
      <alignment horizontal="right" vertical="center"/>
    </xf>
    <xf numFmtId="41" fontId="12" fillId="0" borderId="187" xfId="0" applyNumberFormat="1" applyFont="1" applyFill="1" applyBorder="1" applyAlignment="1">
      <alignment vertical="center"/>
    </xf>
    <xf numFmtId="179" fontId="12" fillId="0" borderId="187" xfId="0" applyNumberFormat="1" applyFont="1" applyFill="1" applyBorder="1" applyAlignment="1">
      <alignment vertical="center"/>
    </xf>
    <xf numFmtId="179" fontId="218" fillId="0" borderId="187" xfId="0" applyNumberFormat="1" applyFont="1" applyFill="1" applyBorder="1" applyAlignment="1">
      <alignment horizontal="right"/>
    </xf>
    <xf numFmtId="0" fontId="12" fillId="0" borderId="187" xfId="0" applyFont="1" applyFill="1" applyBorder="1" applyAlignment="1">
      <alignment vertical="center"/>
    </xf>
    <xf numFmtId="179" fontId="12" fillId="0" borderId="189" xfId="0" applyNumberFormat="1" applyFont="1" applyFill="1" applyBorder="1" applyAlignment="1">
      <alignment vertical="center"/>
    </xf>
    <xf numFmtId="0" fontId="219" fillId="68" borderId="190" xfId="0" applyNumberFormat="1" applyFont="1" applyFill="1" applyBorder="1" applyAlignment="1">
      <alignment horizontal="left"/>
    </xf>
    <xf numFmtId="0" fontId="219" fillId="68" borderId="0" xfId="0" applyNumberFormat="1" applyFont="1" applyFill="1" applyBorder="1" applyAlignment="1">
      <alignment horizontal="right"/>
    </xf>
    <xf numFmtId="14" fontId="219" fillId="68" borderId="0" xfId="0" quotePrefix="1" applyNumberFormat="1" applyFont="1" applyFill="1" applyBorder="1" applyAlignment="1">
      <alignment horizontal="right"/>
    </xf>
    <xf numFmtId="14" fontId="219" fillId="68" borderId="191" xfId="0" quotePrefix="1" applyNumberFormat="1" applyFont="1" applyFill="1" applyBorder="1" applyAlignment="1">
      <alignment horizontal="right"/>
    </xf>
    <xf numFmtId="179" fontId="219" fillId="0" borderId="214" xfId="0" quotePrefix="1" applyNumberFormat="1" applyFont="1" applyFill="1" applyBorder="1" applyAlignment="1">
      <alignment horizontal="right"/>
    </xf>
    <xf numFmtId="14" fontId="37" fillId="0" borderId="214" xfId="0" applyNumberFormat="1" applyFont="1" applyFill="1" applyBorder="1" applyAlignment="1">
      <alignment horizontal="right"/>
    </xf>
    <xf numFmtId="179" fontId="219" fillId="0" borderId="215" xfId="0" quotePrefix="1" applyNumberFormat="1" applyFont="1" applyFill="1" applyBorder="1" applyAlignment="1">
      <alignment horizontal="right"/>
    </xf>
    <xf numFmtId="14" fontId="37" fillId="0" borderId="215" xfId="0" applyNumberFormat="1" applyFont="1" applyFill="1" applyBorder="1" applyAlignment="1">
      <alignment horizontal="right"/>
    </xf>
    <xf numFmtId="179" fontId="219" fillId="0" borderId="216" xfId="0" quotePrefix="1" applyNumberFormat="1" applyFont="1" applyFill="1" applyBorder="1" applyAlignment="1">
      <alignment horizontal="right"/>
    </xf>
    <xf numFmtId="14" fontId="37" fillId="0" borderId="216" xfId="0" applyNumberFormat="1" applyFont="1" applyFill="1" applyBorder="1" applyAlignment="1">
      <alignment horizontal="right"/>
    </xf>
    <xf numFmtId="3" fontId="12" fillId="0" borderId="0" xfId="0" applyNumberFormat="1" applyFont="1" applyAlignment="1">
      <alignment horizontal="right" vertical="center"/>
    </xf>
    <xf numFmtId="14" fontId="220" fillId="0" borderId="0" xfId="0" applyNumberFormat="1" applyFont="1" applyAlignment="1">
      <alignment horizontal="center" vertical="center"/>
    </xf>
    <xf numFmtId="14" fontId="220" fillId="0" borderId="0" xfId="0" applyNumberFormat="1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0" fontId="219" fillId="68" borderId="217" xfId="0" applyNumberFormat="1" applyFont="1" applyFill="1" applyBorder="1" applyAlignment="1">
      <alignment horizontal="left"/>
    </xf>
    <xf numFmtId="0" fontId="219" fillId="68" borderId="218" xfId="0" applyNumberFormat="1" applyFont="1" applyFill="1" applyBorder="1" applyAlignment="1">
      <alignment horizontal="right"/>
    </xf>
    <xf numFmtId="14" fontId="219" fillId="68" borderId="218" xfId="0" quotePrefix="1" applyNumberFormat="1" applyFont="1" applyFill="1" applyBorder="1" applyAlignment="1">
      <alignment horizontal="right"/>
    </xf>
    <xf numFmtId="14" fontId="219" fillId="68" borderId="219" xfId="0" quotePrefix="1" applyNumberFormat="1" applyFont="1" applyFill="1" applyBorder="1" applyAlignment="1">
      <alignment horizontal="right"/>
    </xf>
    <xf numFmtId="14" fontId="219" fillId="68" borderId="217" xfId="0" quotePrefix="1" applyNumberFormat="1" applyFont="1" applyFill="1" applyBorder="1" applyAlignment="1">
      <alignment horizontal="right"/>
    </xf>
    <xf numFmtId="14" fontId="218" fillId="5" borderId="190" xfId="0" applyNumberFormat="1" applyFont="1" applyFill="1" applyBorder="1" applyAlignment="1">
      <alignment horizontal="left"/>
    </xf>
    <xf numFmtId="0" fontId="219" fillId="5" borderId="0" xfId="0" applyNumberFormat="1" applyFont="1" applyFill="1" applyBorder="1" applyAlignment="1">
      <alignment horizontal="right"/>
    </xf>
    <xf numFmtId="10" fontId="12" fillId="5" borderId="191" xfId="0" applyNumberFormat="1" applyFont="1" applyFill="1" applyBorder="1" applyAlignment="1">
      <alignment vertical="center"/>
    </xf>
    <xf numFmtId="10" fontId="12" fillId="5" borderId="190" xfId="0" applyNumberFormat="1" applyFont="1" applyFill="1" applyBorder="1" applyAlignment="1">
      <alignment vertical="center"/>
    </xf>
    <xf numFmtId="10" fontId="12" fillId="0" borderId="191" xfId="0" applyNumberFormat="1" applyFont="1" applyFill="1" applyBorder="1" applyAlignment="1">
      <alignment vertical="center"/>
    </xf>
    <xf numFmtId="10" fontId="12" fillId="0" borderId="190" xfId="0" applyNumberFormat="1" applyFont="1" applyFill="1" applyBorder="1" applyAlignment="1">
      <alignment vertical="center"/>
    </xf>
    <xf numFmtId="10" fontId="218" fillId="0" borderId="191" xfId="0" quotePrefix="1" applyNumberFormat="1" applyFont="1" applyFill="1" applyBorder="1" applyAlignment="1">
      <alignment horizontal="right"/>
    </xf>
    <xf numFmtId="10" fontId="218" fillId="0" borderId="190" xfId="0" quotePrefix="1" applyNumberFormat="1" applyFont="1" applyFill="1" applyBorder="1" applyAlignment="1">
      <alignment horizontal="right"/>
    </xf>
    <xf numFmtId="0" fontId="12" fillId="6" borderId="220" xfId="0" applyFont="1" applyFill="1" applyBorder="1" applyAlignment="1">
      <alignment horizontal="left" vertical="center"/>
    </xf>
    <xf numFmtId="0" fontId="12" fillId="6" borderId="221" xfId="0" applyFont="1" applyFill="1" applyBorder="1" applyAlignment="1">
      <alignment horizontal="right" vertical="center"/>
    </xf>
    <xf numFmtId="10" fontId="12" fillId="6" borderId="222" xfId="0" applyNumberFormat="1" applyFont="1" applyFill="1" applyBorder="1" applyAlignment="1">
      <alignment horizontal="right" vertical="center"/>
    </xf>
    <xf numFmtId="10" fontId="12" fillId="6" borderId="220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11" fillId="7" borderId="39" xfId="0" applyFont="1" applyFill="1" applyBorder="1" applyAlignment="1">
      <alignment horizontal="centerContinuous" vertical="center"/>
    </xf>
    <xf numFmtId="187" fontId="60" fillId="8" borderId="51" xfId="0" applyNumberFormat="1" applyFont="1" applyFill="1" applyBorder="1" applyAlignment="1">
      <alignment horizontal="center" vertical="center"/>
    </xf>
    <xf numFmtId="9" fontId="29" fillId="0" borderId="0" xfId="4" applyFont="1">
      <alignment vertical="center"/>
    </xf>
    <xf numFmtId="0" fontId="29" fillId="0" borderId="51" xfId="0" applyFont="1" applyBorder="1">
      <alignment vertical="center"/>
    </xf>
    <xf numFmtId="0" fontId="165" fillId="3" borderId="0" xfId="0" applyFont="1" applyFill="1" applyBorder="1" applyAlignment="1">
      <alignment horizontal="center" vertical="center"/>
    </xf>
    <xf numFmtId="41" fontId="0" fillId="0" borderId="0" xfId="7" applyFont="1" applyAlignment="1"/>
    <xf numFmtId="176" fontId="24" fillId="0" borderId="110" xfId="8" applyFont="1" applyBorder="1"/>
    <xf numFmtId="192" fontId="29" fillId="26" borderId="41" xfId="0" applyNumberFormat="1" applyFont="1" applyFill="1" applyBorder="1" applyAlignment="1">
      <alignment horizontal="right" vertical="center"/>
    </xf>
    <xf numFmtId="0" fontId="29" fillId="26" borderId="41" xfId="0" applyFont="1" applyFill="1" applyBorder="1">
      <alignment vertical="center"/>
    </xf>
    <xf numFmtId="192" fontId="29" fillId="26" borderId="41" xfId="0" applyNumberFormat="1" applyFont="1" applyFill="1" applyBorder="1">
      <alignment vertical="center"/>
    </xf>
    <xf numFmtId="0" fontId="29" fillId="5" borderId="40" xfId="0" applyFont="1" applyFill="1" applyBorder="1" applyAlignment="1">
      <alignment horizontal="left" vertical="center" indent="3"/>
    </xf>
    <xf numFmtId="41" fontId="30" fillId="5" borderId="0" xfId="7" applyFont="1" applyFill="1" applyBorder="1" applyAlignment="1">
      <alignment horizontal="right" vertical="center"/>
    </xf>
    <xf numFmtId="183" fontId="29" fillId="0" borderId="16" xfId="0" applyNumberFormat="1" applyFont="1" applyBorder="1">
      <alignment vertical="center"/>
    </xf>
    <xf numFmtId="0" fontId="29" fillId="0" borderId="16" xfId="0" applyFont="1" applyBorder="1">
      <alignment vertical="center"/>
    </xf>
    <xf numFmtId="183" fontId="29" fillId="0" borderId="18" xfId="0" applyNumberFormat="1" applyFont="1" applyBorder="1">
      <alignment vertical="center"/>
    </xf>
    <xf numFmtId="0" fontId="29" fillId="0" borderId="65" xfId="0" applyFont="1" applyBorder="1">
      <alignment vertical="center"/>
    </xf>
    <xf numFmtId="0" fontId="221" fillId="0" borderId="0" xfId="83" applyFont="1" applyFill="1" applyAlignment="1">
      <alignment vertical="center"/>
    </xf>
    <xf numFmtId="0" fontId="22" fillId="0" borderId="0" xfId="83" applyFont="1" applyAlignment="1">
      <alignment vertical="center"/>
    </xf>
    <xf numFmtId="0" fontId="42" fillId="0" borderId="0" xfId="7" applyNumberFormat="1" applyFont="1" applyAlignment="1">
      <alignment horizontal="center" vertical="center"/>
    </xf>
    <xf numFmtId="0" fontId="42" fillId="0" borderId="81" xfId="7" applyNumberFormat="1" applyFont="1" applyBorder="1" applyAlignment="1">
      <alignment horizontal="center" vertical="center"/>
    </xf>
    <xf numFmtId="0" fontId="42" fillId="0" borderId="0" xfId="7" applyNumberFormat="1" applyFont="1" applyBorder="1" applyAlignment="1">
      <alignment horizontal="center" vertical="center"/>
    </xf>
    <xf numFmtId="0" fontId="221" fillId="0" borderId="0" xfId="83" applyFont="1" applyFill="1" applyBorder="1" applyAlignment="1">
      <alignment vertical="center"/>
    </xf>
    <xf numFmtId="0" fontId="22" fillId="0" borderId="0" xfId="83" applyFont="1" applyFill="1" applyBorder="1" applyAlignment="1">
      <alignment vertical="center"/>
    </xf>
    <xf numFmtId="0" fontId="22" fillId="0" borderId="0" xfId="83" applyFont="1" applyFill="1" applyBorder="1" applyAlignment="1">
      <alignment horizontal="center" vertical="center"/>
    </xf>
    <xf numFmtId="14" fontId="22" fillId="0" borderId="0" xfId="83" applyNumberFormat="1" applyFont="1" applyFill="1" applyBorder="1" applyAlignment="1">
      <alignment vertical="center"/>
    </xf>
    <xf numFmtId="179" fontId="22" fillId="0" borderId="0" xfId="83" applyNumberFormat="1" applyFont="1" applyFill="1" applyAlignment="1">
      <alignment vertical="center"/>
    </xf>
    <xf numFmtId="14" fontId="22" fillId="0" borderId="0" xfId="83" applyNumberFormat="1" applyFont="1" applyFill="1" applyAlignment="1">
      <alignment vertical="center"/>
    </xf>
    <xf numFmtId="14" fontId="22" fillId="0" borderId="0" xfId="83" applyNumberFormat="1" applyFont="1" applyAlignment="1">
      <alignment vertical="center"/>
    </xf>
    <xf numFmtId="0" fontId="23" fillId="0" borderId="0" xfId="83" applyFont="1" applyAlignment="1">
      <alignment horizontal="right" vertical="center" indent="1"/>
    </xf>
    <xf numFmtId="41" fontId="35" fillId="0" borderId="81" xfId="7" applyFont="1" applyBorder="1">
      <alignment vertical="center"/>
    </xf>
    <xf numFmtId="41" fontId="35" fillId="0" borderId="0" xfId="7" applyFont="1" applyBorder="1">
      <alignment vertical="center"/>
    </xf>
    <xf numFmtId="201" fontId="22" fillId="42" borderId="223" xfId="83" applyNumberFormat="1" applyFont="1" applyFill="1" applyBorder="1" applyAlignment="1">
      <alignment vertical="center"/>
    </xf>
    <xf numFmtId="179" fontId="22" fillId="42" borderId="224" xfId="83" applyNumberFormat="1" applyFont="1" applyFill="1" applyBorder="1" applyAlignment="1">
      <alignment vertical="center"/>
    </xf>
    <xf numFmtId="179" fontId="22" fillId="0" borderId="0" xfId="83" applyNumberFormat="1" applyFont="1" applyFill="1" applyBorder="1" applyAlignment="1">
      <alignment vertical="center"/>
    </xf>
    <xf numFmtId="201" fontId="22" fillId="42" borderId="225" xfId="83" applyNumberFormat="1" applyFont="1" applyFill="1" applyBorder="1" applyAlignment="1">
      <alignment vertical="center"/>
    </xf>
    <xf numFmtId="14" fontId="22" fillId="42" borderId="226" xfId="83" applyNumberFormat="1" applyFont="1" applyFill="1" applyBorder="1" applyAlignment="1">
      <alignment vertical="center"/>
    </xf>
    <xf numFmtId="201" fontId="22" fillId="0" borderId="0" xfId="83" applyNumberFormat="1" applyFont="1" applyFill="1" applyBorder="1" applyAlignment="1">
      <alignment vertical="center"/>
    </xf>
    <xf numFmtId="201" fontId="22" fillId="0" borderId="0" xfId="83" applyNumberFormat="1" applyFont="1" applyAlignment="1">
      <alignment vertical="center"/>
    </xf>
    <xf numFmtId="0" fontId="22" fillId="0" borderId="0" xfId="83" applyFont="1" applyAlignment="1">
      <alignment horizontal="right" vertical="center" indent="1"/>
    </xf>
    <xf numFmtId="41" fontId="35" fillId="0" borderId="0" xfId="7" applyFont="1" applyAlignment="1">
      <alignment horizontal="center" vertical="center"/>
    </xf>
    <xf numFmtId="41" fontId="35" fillId="0" borderId="0" xfId="7" applyFont="1" applyBorder="1" applyAlignment="1">
      <alignment horizontal="center" vertical="center"/>
    </xf>
    <xf numFmtId="41" fontId="88" fillId="0" borderId="81" xfId="7" applyFont="1" applyBorder="1">
      <alignment vertical="center"/>
    </xf>
    <xf numFmtId="41" fontId="88" fillId="0" borderId="0" xfId="7" applyFont="1" applyBorder="1">
      <alignment vertical="center"/>
    </xf>
    <xf numFmtId="3" fontId="22" fillId="0" borderId="0" xfId="83" applyNumberFormat="1" applyFont="1" applyAlignment="1">
      <alignment vertical="center"/>
    </xf>
    <xf numFmtId="43" fontId="35" fillId="0" borderId="81" xfId="7" applyNumberFormat="1" applyFont="1" applyBorder="1">
      <alignment vertical="center"/>
    </xf>
    <xf numFmtId="0" fontId="222" fillId="0" borderId="0" xfId="83" applyFont="1" applyAlignment="1">
      <alignment vertical="center"/>
    </xf>
    <xf numFmtId="14" fontId="222" fillId="0" borderId="0" xfId="83" applyNumberFormat="1" applyFont="1" applyAlignment="1">
      <alignment vertical="center"/>
    </xf>
    <xf numFmtId="201" fontId="222" fillId="0" borderId="0" xfId="83" applyNumberFormat="1" applyFont="1" applyAlignment="1">
      <alignment vertical="center"/>
    </xf>
    <xf numFmtId="0" fontId="161" fillId="0" borderId="81" xfId="83" applyFont="1" applyBorder="1" applyAlignment="1">
      <alignment horizontal="center" vertical="center"/>
    </xf>
    <xf numFmtId="0" fontId="161" fillId="0" borderId="0" xfId="83" applyFont="1" applyAlignment="1">
      <alignment horizontal="center" vertical="center"/>
    </xf>
    <xf numFmtId="0" fontId="161" fillId="0" borderId="0" xfId="83" applyFont="1" applyBorder="1" applyAlignment="1">
      <alignment horizontal="center" vertical="center"/>
    </xf>
    <xf numFmtId="0" fontId="222" fillId="0" borderId="0" xfId="83" applyFont="1" applyFill="1" applyBorder="1" applyAlignment="1">
      <alignment vertical="center"/>
    </xf>
    <xf numFmtId="0" fontId="222" fillId="0" borderId="0" xfId="83" applyFont="1" applyFill="1" applyBorder="1" applyAlignment="1">
      <alignment horizontal="center" vertical="center"/>
    </xf>
    <xf numFmtId="0" fontId="23" fillId="0" borderId="0" xfId="83" applyFont="1" applyFill="1" applyBorder="1" applyAlignment="1">
      <alignment vertical="center"/>
    </xf>
    <xf numFmtId="0" fontId="221" fillId="0" borderId="0" xfId="83" applyFont="1" applyFill="1" applyAlignment="1">
      <alignment horizontal="center" vertical="center"/>
    </xf>
    <xf numFmtId="0" fontId="22" fillId="41" borderId="228" xfId="83" applyFont="1" applyFill="1" applyBorder="1" applyAlignment="1">
      <alignment horizontal="center" vertical="center"/>
    </xf>
    <xf numFmtId="0" fontId="22" fillId="41" borderId="229" xfId="83" applyFont="1" applyFill="1" applyBorder="1" applyAlignment="1">
      <alignment horizontal="center" vertical="center"/>
    </xf>
    <xf numFmtId="0" fontId="221" fillId="0" borderId="0" xfId="83" applyFont="1" applyFill="1" applyBorder="1" applyAlignment="1">
      <alignment horizontal="center" vertical="center"/>
    </xf>
    <xf numFmtId="185" fontId="22" fillId="0" borderId="230" xfId="83" applyNumberFormat="1" applyFont="1" applyFill="1" applyBorder="1" applyAlignment="1">
      <alignment horizontal="center" vertical="center"/>
    </xf>
    <xf numFmtId="185" fontId="22" fillId="0" borderId="231" xfId="83" applyNumberFormat="1" applyFont="1" applyFill="1" applyBorder="1" applyAlignment="1">
      <alignment horizontal="center" vertical="center"/>
    </xf>
    <xf numFmtId="0" fontId="22" fillId="0" borderId="0" xfId="83" applyFont="1" applyFill="1" applyAlignment="1">
      <alignment vertical="center"/>
    </xf>
    <xf numFmtId="201" fontId="22" fillId="0" borderId="0" xfId="83" applyNumberFormat="1" applyFont="1" applyFill="1" applyAlignment="1">
      <alignment vertical="center"/>
    </xf>
    <xf numFmtId="202" fontId="22" fillId="0" borderId="0" xfId="83" applyNumberFormat="1" applyFont="1" applyAlignment="1">
      <alignment vertical="center"/>
    </xf>
    <xf numFmtId="183" fontId="22" fillId="0" borderId="0" xfId="83" applyNumberFormat="1" applyFont="1" applyAlignment="1">
      <alignment vertical="center"/>
    </xf>
    <xf numFmtId="180" fontId="22" fillId="0" borderId="0" xfId="7" applyNumberFormat="1" applyFont="1">
      <alignment vertical="center"/>
    </xf>
    <xf numFmtId="3" fontId="22" fillId="0" borderId="0" xfId="83" applyNumberFormat="1" applyFont="1" applyFill="1" applyBorder="1" applyAlignment="1">
      <alignment vertical="center"/>
    </xf>
    <xf numFmtId="41" fontId="22" fillId="0" borderId="0" xfId="83" applyNumberFormat="1" applyFont="1" applyFill="1" applyAlignment="1">
      <alignment vertical="center"/>
    </xf>
    <xf numFmtId="3" fontId="22" fillId="0" borderId="0" xfId="83" applyNumberFormat="1" applyFont="1" applyFill="1" applyAlignment="1">
      <alignment vertical="center"/>
    </xf>
    <xf numFmtId="192" fontId="22" fillId="0" borderId="0" xfId="83" applyNumberFormat="1" applyFont="1" applyFill="1" applyBorder="1" applyAlignment="1">
      <alignment vertical="center"/>
    </xf>
    <xf numFmtId="41" fontId="22" fillId="73" borderId="0" xfId="83" applyNumberFormat="1" applyFont="1" applyFill="1" applyAlignment="1">
      <alignment vertical="center"/>
    </xf>
    <xf numFmtId="185" fontId="22" fillId="0" borderId="81" xfId="83" applyNumberFormat="1" applyFont="1" applyFill="1" applyBorder="1" applyAlignment="1">
      <alignment vertical="center"/>
    </xf>
    <xf numFmtId="185" fontId="22" fillId="0" borderId="0" xfId="83" applyNumberFormat="1" applyFont="1" applyFill="1" applyBorder="1" applyAlignment="1">
      <alignment vertical="center"/>
    </xf>
    <xf numFmtId="0" fontId="221" fillId="32" borderId="0" xfId="83" applyFont="1" applyFill="1" applyAlignment="1">
      <alignment vertical="center"/>
    </xf>
    <xf numFmtId="0" fontId="22" fillId="32" borderId="0" xfId="83" applyFont="1" applyFill="1" applyAlignment="1">
      <alignment vertical="center"/>
    </xf>
    <xf numFmtId="14" fontId="22" fillId="32" borderId="0" xfId="83" applyNumberFormat="1" applyFont="1" applyFill="1" applyAlignment="1">
      <alignment vertical="center"/>
    </xf>
    <xf numFmtId="201" fontId="22" fillId="32" borderId="0" xfId="83" applyNumberFormat="1" applyFont="1" applyFill="1" applyAlignment="1">
      <alignment vertical="center"/>
    </xf>
    <xf numFmtId="202" fontId="22" fillId="32" borderId="0" xfId="83" applyNumberFormat="1" applyFont="1" applyFill="1" applyAlignment="1">
      <alignment vertical="center"/>
    </xf>
    <xf numFmtId="183" fontId="22" fillId="32" borderId="0" xfId="83" applyNumberFormat="1" applyFont="1" applyFill="1" applyAlignment="1">
      <alignment vertical="center"/>
    </xf>
    <xf numFmtId="180" fontId="22" fillId="32" borderId="0" xfId="7" applyNumberFormat="1" applyFont="1" applyFill="1">
      <alignment vertical="center"/>
    </xf>
    <xf numFmtId="3" fontId="22" fillId="32" borderId="0" xfId="83" applyNumberFormat="1" applyFont="1" applyFill="1" applyBorder="1" applyAlignment="1">
      <alignment vertical="center"/>
    </xf>
    <xf numFmtId="41" fontId="22" fillId="32" borderId="0" xfId="83" applyNumberFormat="1" applyFont="1" applyFill="1" applyAlignment="1">
      <alignment vertical="center"/>
    </xf>
    <xf numFmtId="3" fontId="22" fillId="32" borderId="0" xfId="83" applyNumberFormat="1" applyFont="1" applyFill="1" applyAlignment="1">
      <alignment vertical="center"/>
    </xf>
    <xf numFmtId="192" fontId="22" fillId="32" borderId="0" xfId="83" applyNumberFormat="1" applyFont="1" applyFill="1" applyBorder="1" applyAlignment="1">
      <alignment vertical="center"/>
    </xf>
    <xf numFmtId="185" fontId="22" fillId="32" borderId="81" xfId="83" applyNumberFormat="1" applyFont="1" applyFill="1" applyBorder="1" applyAlignment="1">
      <alignment vertical="center"/>
    </xf>
    <xf numFmtId="185" fontId="22" fillId="32" borderId="0" xfId="83" applyNumberFormat="1" applyFont="1" applyFill="1" applyBorder="1" applyAlignment="1">
      <alignment vertical="center"/>
    </xf>
    <xf numFmtId="0" fontId="221" fillId="32" borderId="0" xfId="83" applyFont="1" applyFill="1" applyBorder="1" applyAlignment="1">
      <alignment vertical="center"/>
    </xf>
    <xf numFmtId="0" fontId="22" fillId="32" borderId="0" xfId="83" applyFont="1" applyFill="1" applyBorder="1" applyAlignment="1">
      <alignment horizontal="center" vertical="center"/>
    </xf>
    <xf numFmtId="0" fontId="22" fillId="32" borderId="0" xfId="83" applyFont="1" applyFill="1" applyBorder="1" applyAlignment="1">
      <alignment vertical="center"/>
    </xf>
    <xf numFmtId="0" fontId="221" fillId="27" borderId="0" xfId="83" applyFont="1" applyFill="1" applyAlignment="1">
      <alignment vertical="center"/>
    </xf>
    <xf numFmtId="0" fontId="22" fillId="27" borderId="0" xfId="83" applyFont="1" applyFill="1" applyAlignment="1">
      <alignment vertical="center"/>
    </xf>
    <xf numFmtId="14" fontId="22" fillId="27" borderId="0" xfId="83" applyNumberFormat="1" applyFont="1" applyFill="1" applyAlignment="1">
      <alignment vertical="center"/>
    </xf>
    <xf numFmtId="201" fontId="22" fillId="27" borderId="0" xfId="83" applyNumberFormat="1" applyFont="1" applyFill="1" applyAlignment="1">
      <alignment vertical="center"/>
    </xf>
    <xf numFmtId="202" fontId="22" fillId="27" borderId="0" xfId="83" applyNumberFormat="1" applyFont="1" applyFill="1" applyAlignment="1">
      <alignment vertical="center"/>
    </xf>
    <xf numFmtId="183" fontId="22" fillId="27" borderId="0" xfId="83" applyNumberFormat="1" applyFont="1" applyFill="1" applyAlignment="1">
      <alignment vertical="center"/>
    </xf>
    <xf numFmtId="180" fontId="22" fillId="27" borderId="0" xfId="7" applyNumberFormat="1" applyFont="1" applyFill="1">
      <alignment vertical="center"/>
    </xf>
    <xf numFmtId="3" fontId="22" fillId="27" borderId="0" xfId="83" applyNumberFormat="1" applyFont="1" applyFill="1" applyBorder="1" applyAlignment="1">
      <alignment vertical="center"/>
    </xf>
    <xf numFmtId="41" fontId="22" fillId="27" borderId="0" xfId="83" applyNumberFormat="1" applyFont="1" applyFill="1" applyAlignment="1">
      <alignment vertical="center"/>
    </xf>
    <xf numFmtId="3" fontId="22" fillId="27" borderId="0" xfId="83" applyNumberFormat="1" applyFont="1" applyFill="1" applyAlignment="1">
      <alignment vertical="center"/>
    </xf>
    <xf numFmtId="192" fontId="22" fillId="27" borderId="0" xfId="83" applyNumberFormat="1" applyFont="1" applyFill="1" applyBorder="1" applyAlignment="1">
      <alignment vertical="center"/>
    </xf>
    <xf numFmtId="185" fontId="22" fillId="27" borderId="81" xfId="83" applyNumberFormat="1" applyFont="1" applyFill="1" applyBorder="1" applyAlignment="1">
      <alignment vertical="center"/>
    </xf>
    <xf numFmtId="185" fontId="22" fillId="27" borderId="0" xfId="83" applyNumberFormat="1" applyFont="1" applyFill="1" applyBorder="1" applyAlignment="1">
      <alignment vertical="center"/>
    </xf>
    <xf numFmtId="0" fontId="221" fillId="27" borderId="0" xfId="83" applyFont="1" applyFill="1" applyBorder="1" applyAlignment="1">
      <alignment vertical="center"/>
    </xf>
    <xf numFmtId="0" fontId="22" fillId="27" borderId="0" xfId="83" applyFont="1" applyFill="1" applyBorder="1" applyAlignment="1">
      <alignment horizontal="center" vertical="center"/>
    </xf>
    <xf numFmtId="0" fontId="22" fillId="27" borderId="0" xfId="83" applyFont="1" applyFill="1" applyBorder="1" applyAlignment="1">
      <alignment vertical="center"/>
    </xf>
    <xf numFmtId="0" fontId="221" fillId="74" borderId="0" xfId="83" applyFont="1" applyFill="1" applyAlignment="1">
      <alignment vertical="center"/>
    </xf>
    <xf numFmtId="0" fontId="22" fillId="74" borderId="0" xfId="83" applyFont="1" applyFill="1" applyAlignment="1">
      <alignment vertical="center"/>
    </xf>
    <xf numFmtId="14" fontId="22" fillId="74" borderId="0" xfId="83" applyNumberFormat="1" applyFont="1" applyFill="1" applyAlignment="1">
      <alignment vertical="center"/>
    </xf>
    <xf numFmtId="201" fontId="22" fillId="74" borderId="0" xfId="83" applyNumberFormat="1" applyFont="1" applyFill="1" applyAlignment="1">
      <alignment vertical="center"/>
    </xf>
    <xf numFmtId="202" fontId="22" fillId="74" borderId="0" xfId="83" applyNumberFormat="1" applyFont="1" applyFill="1" applyAlignment="1">
      <alignment vertical="center"/>
    </xf>
    <xf numFmtId="183" fontId="22" fillId="74" borderId="0" xfId="83" applyNumberFormat="1" applyFont="1" applyFill="1" applyAlignment="1">
      <alignment vertical="center"/>
    </xf>
    <xf numFmtId="180" fontId="22" fillId="74" borderId="0" xfId="7" applyNumberFormat="1" applyFont="1" applyFill="1">
      <alignment vertical="center"/>
    </xf>
    <xf numFmtId="3" fontId="22" fillId="74" borderId="0" xfId="83" applyNumberFormat="1" applyFont="1" applyFill="1" applyBorder="1" applyAlignment="1">
      <alignment vertical="center"/>
    </xf>
    <xf numFmtId="41" fontId="22" fillId="74" borderId="0" xfId="83" applyNumberFormat="1" applyFont="1" applyFill="1" applyAlignment="1">
      <alignment vertical="center"/>
    </xf>
    <xf numFmtId="3" fontId="22" fillId="74" borderId="0" xfId="83" applyNumberFormat="1" applyFont="1" applyFill="1" applyAlignment="1">
      <alignment vertical="center"/>
    </xf>
    <xf numFmtId="192" fontId="22" fillId="74" borderId="0" xfId="83" applyNumberFormat="1" applyFont="1" applyFill="1" applyBorder="1" applyAlignment="1">
      <alignment vertical="center"/>
    </xf>
    <xf numFmtId="185" fontId="22" fillId="74" borderId="81" xfId="83" applyNumberFormat="1" applyFont="1" applyFill="1" applyBorder="1" applyAlignment="1">
      <alignment vertical="center"/>
    </xf>
    <xf numFmtId="185" fontId="22" fillId="74" borderId="0" xfId="83" applyNumberFormat="1" applyFont="1" applyFill="1" applyBorder="1" applyAlignment="1">
      <alignment vertical="center"/>
    </xf>
    <xf numFmtId="0" fontId="221" fillId="74" borderId="0" xfId="83" applyFont="1" applyFill="1" applyBorder="1" applyAlignment="1">
      <alignment vertical="center"/>
    </xf>
    <xf numFmtId="0" fontId="22" fillId="74" borderId="0" xfId="83" applyFont="1" applyFill="1" applyBorder="1" applyAlignment="1">
      <alignment horizontal="center" vertical="center"/>
    </xf>
    <xf numFmtId="0" fontId="22" fillId="74" borderId="0" xfId="83" applyFont="1" applyFill="1" applyBorder="1" applyAlignment="1">
      <alignment vertical="center"/>
    </xf>
    <xf numFmtId="41" fontId="22" fillId="0" borderId="0" xfId="83" applyNumberFormat="1" applyFont="1" applyAlignment="1">
      <alignment vertical="center"/>
    </xf>
    <xf numFmtId="41" fontId="22" fillId="0" borderId="0" xfId="83" applyNumberFormat="1" applyFont="1" applyAlignment="1">
      <alignment horizontal="right" vertical="center"/>
    </xf>
    <xf numFmtId="0" fontId="221" fillId="31" borderId="0" xfId="83" applyFont="1" applyFill="1" applyAlignment="1">
      <alignment vertical="center"/>
    </xf>
    <xf numFmtId="0" fontId="22" fillId="31" borderId="0" xfId="83" applyFont="1" applyFill="1" applyAlignment="1">
      <alignment vertical="center"/>
    </xf>
    <xf numFmtId="14" fontId="22" fillId="31" borderId="0" xfId="83" applyNumberFormat="1" applyFont="1" applyFill="1" applyAlignment="1">
      <alignment vertical="center"/>
    </xf>
    <xf numFmtId="201" fontId="22" fillId="31" borderId="0" xfId="83" applyNumberFormat="1" applyFont="1" applyFill="1" applyAlignment="1">
      <alignment vertical="center"/>
    </xf>
    <xf numFmtId="202" fontId="22" fillId="31" borderId="0" xfId="83" applyNumberFormat="1" applyFont="1" applyFill="1" applyAlignment="1">
      <alignment vertical="center"/>
    </xf>
    <xf numFmtId="183" fontId="22" fillId="31" borderId="0" xfId="83" applyNumberFormat="1" applyFont="1" applyFill="1" applyAlignment="1">
      <alignment vertical="center"/>
    </xf>
    <xf numFmtId="180" fontId="22" fillId="31" borderId="0" xfId="7" applyNumberFormat="1" applyFont="1" applyFill="1">
      <alignment vertical="center"/>
    </xf>
    <xf numFmtId="41" fontId="22" fillId="31" borderId="0" xfId="83" applyNumberFormat="1" applyFont="1" applyFill="1" applyAlignment="1">
      <alignment vertical="center"/>
    </xf>
    <xf numFmtId="41" fontId="22" fillId="31" borderId="0" xfId="83" applyNumberFormat="1" applyFont="1" applyFill="1" applyAlignment="1">
      <alignment horizontal="right" vertical="center"/>
    </xf>
    <xf numFmtId="185" fontId="22" fillId="31" borderId="81" xfId="83" applyNumberFormat="1" applyFont="1" applyFill="1" applyBorder="1" applyAlignment="1">
      <alignment vertical="center"/>
    </xf>
    <xf numFmtId="185" fontId="22" fillId="31" borderId="0" xfId="83" applyNumberFormat="1" applyFont="1" applyFill="1" applyBorder="1" applyAlignment="1">
      <alignment vertical="center"/>
    </xf>
    <xf numFmtId="0" fontId="221" fillId="31" borderId="0" xfId="83" applyFont="1" applyFill="1" applyBorder="1" applyAlignment="1">
      <alignment vertical="center"/>
    </xf>
    <xf numFmtId="0" fontId="22" fillId="31" borderId="0" xfId="83" applyFont="1" applyFill="1" applyBorder="1" applyAlignment="1">
      <alignment horizontal="center" vertical="center"/>
    </xf>
    <xf numFmtId="0" fontId="22" fillId="31" borderId="0" xfId="83" applyFont="1" applyFill="1" applyBorder="1" applyAlignment="1">
      <alignment vertical="center"/>
    </xf>
    <xf numFmtId="0" fontId="221" fillId="41" borderId="0" xfId="83" applyFont="1" applyFill="1" applyAlignment="1">
      <alignment vertical="center"/>
    </xf>
    <xf numFmtId="0" fontId="22" fillId="41" borderId="0" xfId="83" applyFont="1" applyFill="1" applyAlignment="1">
      <alignment vertical="center"/>
    </xf>
    <xf numFmtId="14" fontId="22" fillId="41" borderId="0" xfId="83" applyNumberFormat="1" applyFont="1" applyFill="1" applyAlignment="1">
      <alignment vertical="center"/>
    </xf>
    <xf numFmtId="201" fontId="22" fillId="41" borderId="0" xfId="83" applyNumberFormat="1" applyFont="1" applyFill="1" applyAlignment="1">
      <alignment vertical="center"/>
    </xf>
    <xf numFmtId="202" fontId="22" fillId="41" borderId="0" xfId="83" applyNumberFormat="1" applyFont="1" applyFill="1" applyAlignment="1">
      <alignment vertical="center"/>
    </xf>
    <xf numFmtId="183" fontId="22" fillId="41" borderId="0" xfId="83" applyNumberFormat="1" applyFont="1" applyFill="1" applyAlignment="1">
      <alignment vertical="center"/>
    </xf>
    <xf numFmtId="180" fontId="22" fillId="41" borderId="0" xfId="7" applyNumberFormat="1" applyFont="1" applyFill="1">
      <alignment vertical="center"/>
    </xf>
    <xf numFmtId="41" fontId="22" fillId="41" borderId="0" xfId="83" applyNumberFormat="1" applyFont="1" applyFill="1" applyAlignment="1">
      <alignment vertical="center"/>
    </xf>
    <xf numFmtId="41" fontId="22" fillId="41" borderId="0" xfId="83" applyNumberFormat="1" applyFont="1" applyFill="1" applyAlignment="1">
      <alignment horizontal="right" vertical="center"/>
    </xf>
    <xf numFmtId="185" fontId="22" fillId="41" borderId="81" xfId="83" applyNumberFormat="1" applyFont="1" applyFill="1" applyBorder="1" applyAlignment="1">
      <alignment vertical="center"/>
    </xf>
    <xf numFmtId="185" fontId="22" fillId="41" borderId="0" xfId="83" applyNumberFormat="1" applyFont="1" applyFill="1" applyBorder="1" applyAlignment="1">
      <alignment vertical="center"/>
    </xf>
    <xf numFmtId="0" fontId="221" fillId="41" borderId="0" xfId="83" applyFont="1" applyFill="1" applyBorder="1" applyAlignment="1">
      <alignment vertical="center"/>
    </xf>
    <xf numFmtId="0" fontId="22" fillId="41" borderId="0" xfId="83" applyFont="1" applyFill="1" applyBorder="1" applyAlignment="1">
      <alignment horizontal="center" vertical="center"/>
    </xf>
    <xf numFmtId="0" fontId="22" fillId="41" borderId="0" xfId="83" applyFont="1" applyFill="1" applyBorder="1" applyAlignment="1">
      <alignment vertical="center"/>
    </xf>
    <xf numFmtId="0" fontId="22" fillId="0" borderId="81" xfId="83" applyFont="1" applyBorder="1" applyAlignment="1">
      <alignment vertical="center"/>
    </xf>
    <xf numFmtId="0" fontId="22" fillId="0" borderId="0" xfId="83" applyFont="1" applyBorder="1" applyAlignment="1">
      <alignment vertical="center"/>
    </xf>
    <xf numFmtId="201" fontId="22" fillId="42" borderId="232" xfId="83" applyNumberFormat="1" applyFont="1" applyFill="1" applyBorder="1" applyAlignment="1">
      <alignment vertical="center"/>
    </xf>
    <xf numFmtId="14" fontId="22" fillId="42" borderId="233" xfId="83" applyNumberFormat="1" applyFont="1" applyFill="1" applyBorder="1" applyAlignment="1">
      <alignment vertical="center"/>
    </xf>
    <xf numFmtId="0" fontId="23" fillId="0" borderId="231" xfId="83" applyFont="1" applyFill="1" applyBorder="1" applyAlignment="1">
      <alignment horizontal="left" vertical="center"/>
    </xf>
    <xf numFmtId="0" fontId="22" fillId="0" borderId="231" xfId="83" applyFont="1" applyFill="1" applyBorder="1" applyAlignment="1">
      <alignment horizontal="center" vertical="center"/>
    </xf>
    <xf numFmtId="14" fontId="22" fillId="0" borderId="231" xfId="83" applyNumberFormat="1" applyFont="1" applyFill="1" applyBorder="1" applyAlignment="1">
      <alignment horizontal="center" vertical="center"/>
    </xf>
    <xf numFmtId="201" fontId="22" fillId="0" borderId="231" xfId="83" applyNumberFormat="1" applyFont="1" applyFill="1" applyBorder="1" applyAlignment="1">
      <alignment horizontal="right" vertical="center"/>
    </xf>
    <xf numFmtId="201" fontId="22" fillId="0" borderId="231" xfId="83" applyNumberFormat="1" applyFont="1" applyFill="1" applyBorder="1" applyAlignment="1">
      <alignment horizontal="center" vertical="center"/>
    </xf>
    <xf numFmtId="41" fontId="30" fillId="27" borderId="0" xfId="7" applyFont="1" applyFill="1" applyBorder="1" applyAlignment="1">
      <alignment horizontal="right" vertical="center"/>
    </xf>
    <xf numFmtId="9" fontId="0" fillId="0" borderId="0" xfId="0" applyNumberFormat="1">
      <alignment vertical="center"/>
    </xf>
    <xf numFmtId="9" fontId="0" fillId="41" borderId="152" xfId="4" applyFont="1" applyFill="1" applyBorder="1">
      <alignment vertical="center"/>
    </xf>
    <xf numFmtId="9" fontId="0" fillId="32" borderId="0" xfId="4" applyFont="1" applyFill="1">
      <alignment vertical="center"/>
    </xf>
    <xf numFmtId="0" fontId="0" fillId="5" borderId="0" xfId="0" applyFill="1">
      <alignment vertical="center"/>
    </xf>
    <xf numFmtId="9" fontId="0" fillId="27" borderId="152" xfId="4" applyFont="1" applyFill="1" applyBorder="1">
      <alignment vertical="center"/>
    </xf>
    <xf numFmtId="9" fontId="0" fillId="68" borderId="0" xfId="0" applyNumberFormat="1" applyFill="1">
      <alignment vertical="center"/>
    </xf>
    <xf numFmtId="183" fontId="0" fillId="27" borderId="0" xfId="4" applyNumberFormat="1" applyFont="1" applyFill="1">
      <alignment vertical="center"/>
    </xf>
    <xf numFmtId="9" fontId="0" fillId="27" borderId="0" xfId="4" applyFont="1" applyFill="1">
      <alignment vertical="center"/>
    </xf>
    <xf numFmtId="9" fontId="0" fillId="35" borderId="0" xfId="4" applyFont="1" applyFill="1" applyBorder="1">
      <alignment vertical="center"/>
    </xf>
    <xf numFmtId="9" fontId="0" fillId="35" borderId="0" xfId="4" applyFont="1" applyFill="1">
      <alignment vertical="center"/>
    </xf>
    <xf numFmtId="3" fontId="0" fillId="35" borderId="0" xfId="0" applyNumberFormat="1" applyFill="1">
      <alignment vertical="center"/>
    </xf>
    <xf numFmtId="9" fontId="0" fillId="35" borderId="0" xfId="0" applyNumberFormat="1" applyFill="1">
      <alignment vertical="center"/>
    </xf>
    <xf numFmtId="3" fontId="43" fillId="5" borderId="0" xfId="0" applyNumberFormat="1" applyFont="1" applyFill="1" applyBorder="1" applyAlignment="1">
      <alignment horizontal="right" vertical="center"/>
    </xf>
    <xf numFmtId="3" fontId="29" fillId="5" borderId="75" xfId="0" applyNumberFormat="1" applyFont="1" applyFill="1" applyBorder="1" applyAlignment="1">
      <alignment horizontal="right" vertical="center"/>
    </xf>
    <xf numFmtId="0" fontId="102" fillId="0" borderId="75" xfId="0" applyFont="1" applyBorder="1">
      <alignment vertical="center"/>
    </xf>
    <xf numFmtId="3" fontId="43" fillId="5" borderId="75" xfId="0" applyNumberFormat="1" applyFont="1" applyFill="1" applyBorder="1" applyAlignment="1">
      <alignment horizontal="right" vertical="center"/>
    </xf>
    <xf numFmtId="183" fontId="29" fillId="0" borderId="75" xfId="0" applyNumberFormat="1" applyFont="1" applyFill="1" applyBorder="1">
      <alignment vertical="center"/>
    </xf>
    <xf numFmtId="183" fontId="52" fillId="0" borderId="75" xfId="0" applyNumberFormat="1" applyFont="1" applyFill="1" applyBorder="1">
      <alignment vertical="center"/>
    </xf>
    <xf numFmtId="0" fontId="7" fillId="0" borderId="44" xfId="0" applyFont="1" applyBorder="1">
      <alignment vertical="center"/>
    </xf>
    <xf numFmtId="0" fontId="154" fillId="26" borderId="40" xfId="0" applyFont="1" applyFill="1" applyBorder="1" applyAlignment="1">
      <alignment horizontal="left" vertical="center" indent="2"/>
    </xf>
    <xf numFmtId="0" fontId="7" fillId="26" borderId="0" xfId="0" applyFont="1" applyFill="1" applyBorder="1">
      <alignment vertical="center"/>
    </xf>
    <xf numFmtId="43" fontId="154" fillId="26" borderId="0" xfId="4" applyNumberFormat="1" applyFont="1" applyFill="1" applyBorder="1" applyAlignment="1">
      <alignment horizontal="right" vertical="center"/>
    </xf>
    <xf numFmtId="43" fontId="154" fillId="26" borderId="41" xfId="4" applyNumberFormat="1" applyFont="1" applyFill="1" applyBorder="1" applyAlignment="1">
      <alignment horizontal="right" vertical="center"/>
    </xf>
    <xf numFmtId="0" fontId="7" fillId="0" borderId="43" xfId="0" applyFont="1" applyBorder="1">
      <alignment vertical="center"/>
    </xf>
    <xf numFmtId="0" fontId="7" fillId="0" borderId="58" xfId="0" applyFont="1" applyBorder="1">
      <alignment vertical="center"/>
    </xf>
    <xf numFmtId="0" fontId="155" fillId="5" borderId="43" xfId="0" applyFont="1" applyFill="1" applyBorder="1" applyAlignment="1">
      <alignment horizontal="left" vertical="center" indent="2"/>
    </xf>
    <xf numFmtId="9" fontId="155" fillId="5" borderId="58" xfId="4" applyFont="1" applyFill="1" applyBorder="1" applyAlignment="1">
      <alignment horizontal="right" vertical="center"/>
    </xf>
    <xf numFmtId="9" fontId="170" fillId="0" borderId="0" xfId="4" applyFont="1" applyBorder="1">
      <alignment vertical="center"/>
    </xf>
    <xf numFmtId="9" fontId="170" fillId="0" borderId="41" xfId="4" applyFont="1" applyBorder="1">
      <alignment vertical="center"/>
    </xf>
    <xf numFmtId="41" fontId="152" fillId="0" borderId="0" xfId="0" applyNumberFormat="1" applyFont="1">
      <alignment vertical="center"/>
    </xf>
    <xf numFmtId="3" fontId="31" fillId="5" borderId="0" xfId="0" applyNumberFormat="1" applyFont="1" applyFill="1">
      <alignment vertical="center"/>
    </xf>
    <xf numFmtId="181" fontId="11" fillId="25" borderId="62" xfId="0" applyNumberFormat="1" applyFont="1" applyFill="1" applyBorder="1" applyAlignment="1">
      <alignment horizontal="center" vertical="center"/>
    </xf>
    <xf numFmtId="41" fontId="29" fillId="26" borderId="41" xfId="7" applyFont="1" applyFill="1" applyBorder="1">
      <alignment vertical="center"/>
    </xf>
    <xf numFmtId="0" fontId="4" fillId="0" borderId="0" xfId="22"/>
    <xf numFmtId="0" fontId="223" fillId="0" borderId="0" xfId="22" applyFont="1" applyFill="1" applyAlignment="1">
      <alignment horizontal="center" vertical="center"/>
    </xf>
    <xf numFmtId="0" fontId="163" fillId="0" borderId="0" xfId="22" applyFont="1" applyFill="1" applyAlignment="1">
      <alignment horizontal="center" vertical="center"/>
    </xf>
    <xf numFmtId="0" fontId="163" fillId="0" borderId="0" xfId="22" applyFont="1" applyFill="1" applyAlignment="1">
      <alignment horizontal="left" vertical="center"/>
    </xf>
    <xf numFmtId="196" fontId="96" fillId="0" borderId="87" xfId="22" applyNumberFormat="1" applyFont="1" applyFill="1" applyBorder="1" applyAlignment="1">
      <alignment horizontal="right" vertical="center"/>
    </xf>
    <xf numFmtId="196" fontId="97" fillId="0" borderId="87" xfId="22" applyNumberFormat="1" applyFont="1" applyFill="1" applyBorder="1" applyAlignment="1">
      <alignment horizontal="right" vertical="center"/>
    </xf>
    <xf numFmtId="0" fontId="163" fillId="0" borderId="0" xfId="22" applyFont="1" applyFill="1" applyAlignment="1">
      <alignment horizontal="right" vertical="center"/>
    </xf>
    <xf numFmtId="192" fontId="29" fillId="5" borderId="0" xfId="0" applyNumberFormat="1" applyFont="1" applyFill="1" applyBorder="1" applyAlignment="1">
      <alignment vertical="center"/>
    </xf>
    <xf numFmtId="191" fontId="30" fillId="5" borderId="0" xfId="0" applyNumberFormat="1" applyFont="1" applyFill="1" applyBorder="1" applyAlignment="1">
      <alignment horizontal="right" vertical="center"/>
    </xf>
    <xf numFmtId="192" fontId="43" fillId="5" borderId="0" xfId="0" applyNumberFormat="1" applyFont="1" applyFill="1" applyBorder="1" applyAlignment="1">
      <alignment vertical="center"/>
    </xf>
    <xf numFmtId="0" fontId="27" fillId="5" borderId="0" xfId="0" applyFont="1" applyFill="1" applyBorder="1">
      <alignment vertical="center"/>
    </xf>
    <xf numFmtId="0" fontId="51" fillId="0" borderId="0" xfId="0" applyFont="1" applyBorder="1" applyAlignment="1">
      <alignment horizontal="right" vertical="center"/>
    </xf>
    <xf numFmtId="184" fontId="51" fillId="0" borderId="0" xfId="0" applyNumberFormat="1" applyFont="1" applyBorder="1">
      <alignment vertical="center"/>
    </xf>
    <xf numFmtId="183" fontId="29" fillId="5" borderId="0" xfId="4" applyNumberFormat="1" applyFont="1" applyFill="1" applyBorder="1" applyAlignment="1">
      <alignment horizontal="right" vertical="center"/>
    </xf>
    <xf numFmtId="183" fontId="52" fillId="5" borderId="0" xfId="4" applyNumberFormat="1" applyFont="1" applyFill="1" applyBorder="1" applyAlignment="1">
      <alignment horizontal="right" vertical="center"/>
    </xf>
    <xf numFmtId="183" fontId="29" fillId="5" borderId="75" xfId="4" applyNumberFormat="1" applyFont="1" applyFill="1" applyBorder="1" applyAlignment="1">
      <alignment horizontal="right" vertical="center"/>
    </xf>
    <xf numFmtId="192" fontId="29" fillId="27" borderId="0" xfId="0" applyNumberFormat="1" applyFont="1" applyFill="1" applyBorder="1" applyAlignment="1">
      <alignment horizontal="right" vertical="center"/>
    </xf>
    <xf numFmtId="9" fontId="49" fillId="27" borderId="0" xfId="4" applyFont="1" applyFill="1" applyBorder="1" applyAlignment="1">
      <alignment horizontal="right" vertical="center"/>
    </xf>
    <xf numFmtId="181" fontId="11" fillId="21" borderId="85" xfId="0" applyNumberFormat="1" applyFont="1" applyFill="1" applyBorder="1" applyAlignment="1">
      <alignment horizontal="center" vertical="center"/>
    </xf>
    <xf numFmtId="192" fontId="29" fillId="0" borderId="83" xfId="0" applyNumberFormat="1" applyFont="1" applyFill="1" applyBorder="1" applyAlignment="1">
      <alignment horizontal="right" vertical="center"/>
    </xf>
    <xf numFmtId="9" fontId="30" fillId="5" borderId="84" xfId="4" applyFont="1" applyFill="1" applyBorder="1" applyAlignment="1">
      <alignment horizontal="right" vertical="center"/>
    </xf>
    <xf numFmtId="192" fontId="29" fillId="0" borderId="84" xfId="0" applyNumberFormat="1" applyFont="1" applyFill="1" applyBorder="1" applyAlignment="1">
      <alignment horizontal="right" vertical="center"/>
    </xf>
    <xf numFmtId="0" fontId="29" fillId="0" borderId="45" xfId="0" applyFont="1" applyBorder="1">
      <alignment vertical="center"/>
    </xf>
    <xf numFmtId="0" fontId="29" fillId="5" borderId="25" xfId="0" applyFont="1" applyFill="1" applyBorder="1">
      <alignment vertical="center"/>
    </xf>
    <xf numFmtId="0" fontId="29" fillId="5" borderId="26" xfId="0" applyFont="1" applyFill="1" applyBorder="1">
      <alignment vertical="center"/>
    </xf>
    <xf numFmtId="192" fontId="29" fillId="5" borderId="25" xfId="0" applyNumberFormat="1" applyFont="1" applyFill="1" applyBorder="1" applyAlignment="1">
      <alignment horizontal="right" vertical="center"/>
    </xf>
    <xf numFmtId="192" fontId="29" fillId="5" borderId="26" xfId="0" applyNumberFormat="1" applyFont="1" applyFill="1" applyBorder="1" applyAlignment="1">
      <alignment horizontal="right" vertical="center"/>
    </xf>
    <xf numFmtId="183" fontId="15" fillId="0" borderId="235" xfId="0" applyNumberFormat="1" applyFont="1" applyBorder="1" applyAlignment="1">
      <alignment horizontal="center" vertical="center" wrapText="1"/>
    </xf>
    <xf numFmtId="183" fontId="15" fillId="0" borderId="235" xfId="0" applyNumberFormat="1" applyFont="1" applyBorder="1" applyAlignment="1">
      <alignment horizontal="right" vertical="center" wrapText="1" indent="1"/>
    </xf>
    <xf numFmtId="0" fontId="15" fillId="0" borderId="235" xfId="0" quotePrefix="1" applyFont="1" applyBorder="1" applyAlignment="1">
      <alignment horizontal="right" vertical="center" wrapText="1" indent="1"/>
    </xf>
    <xf numFmtId="192" fontId="29" fillId="27" borderId="41" xfId="0" applyNumberFormat="1" applyFont="1" applyFill="1" applyBorder="1" applyAlignment="1">
      <alignment horizontal="right" vertical="center"/>
    </xf>
    <xf numFmtId="192" fontId="29" fillId="0" borderId="0" xfId="0" applyNumberFormat="1" applyFont="1" applyBorder="1" applyAlignment="1">
      <alignment vertical="center"/>
    </xf>
    <xf numFmtId="3" fontId="43" fillId="0" borderId="98" xfId="0" applyNumberFormat="1" applyFont="1" applyBorder="1">
      <alignment vertical="center"/>
    </xf>
    <xf numFmtId="0" fontId="147" fillId="0" borderId="74" xfId="0" applyFont="1" applyBorder="1" applyAlignment="1">
      <alignment horizontal="left" vertical="center" indent="2"/>
    </xf>
    <xf numFmtId="0" fontId="15" fillId="0" borderId="74" xfId="0" applyFont="1" applyBorder="1" applyAlignment="1">
      <alignment horizontal="left" vertical="center" indent="1"/>
    </xf>
    <xf numFmtId="183" fontId="29" fillId="0" borderId="0" xfId="4" applyNumberFormat="1" applyFont="1">
      <alignment vertical="center"/>
    </xf>
    <xf numFmtId="192" fontId="43" fillId="0" borderId="0" xfId="0" applyNumberFormat="1" applyFont="1">
      <alignment vertical="center"/>
    </xf>
    <xf numFmtId="0" fontId="29" fillId="0" borderId="0" xfId="0" applyFont="1" applyAlignment="1">
      <alignment horizontal="left" vertical="center" indent="1"/>
    </xf>
    <xf numFmtId="0" fontId="156" fillId="0" borderId="0" xfId="0" applyFont="1" applyAlignment="1">
      <alignment horizontal="left" vertical="center" indent="1"/>
    </xf>
    <xf numFmtId="196" fontId="29" fillId="0" borderId="0" xfId="0" applyNumberFormat="1" applyFont="1">
      <alignment vertical="center"/>
    </xf>
    <xf numFmtId="0" fontId="0" fillId="26" borderId="0" xfId="0" applyFill="1">
      <alignment vertical="center"/>
    </xf>
    <xf numFmtId="183" fontId="30" fillId="32" borderId="0" xfId="0" applyNumberFormat="1" applyFont="1" applyFill="1" applyBorder="1" applyAlignment="1">
      <alignment horizontal="right" vertical="center"/>
    </xf>
    <xf numFmtId="207" fontId="30" fillId="5" borderId="0" xfId="0" applyNumberFormat="1" applyFont="1" applyFill="1" applyBorder="1" applyAlignment="1">
      <alignment horizontal="right" vertical="center"/>
    </xf>
    <xf numFmtId="1" fontId="0" fillId="27" borderId="0" xfId="0" applyNumberFormat="1" applyFill="1">
      <alignment vertical="center"/>
    </xf>
    <xf numFmtId="181" fontId="43" fillId="0" borderId="0" xfId="0" applyNumberFormat="1" applyFont="1">
      <alignment vertical="center"/>
    </xf>
    <xf numFmtId="183" fontId="43" fillId="0" borderId="0" xfId="0" applyNumberFormat="1" applyFont="1">
      <alignment vertical="center"/>
    </xf>
    <xf numFmtId="0" fontId="154" fillId="5" borderId="40" xfId="0" applyFont="1" applyFill="1" applyBorder="1" applyAlignment="1">
      <alignment horizontal="left" vertical="center" indent="3"/>
    </xf>
    <xf numFmtId="0" fontId="155" fillId="5" borderId="40" xfId="0" applyFont="1" applyFill="1" applyBorder="1" applyAlignment="1">
      <alignment horizontal="left" vertical="center" indent="3"/>
    </xf>
    <xf numFmtId="3" fontId="15" fillId="0" borderId="0" xfId="0" applyNumberFormat="1" applyFont="1" applyBorder="1">
      <alignment vertical="center"/>
    </xf>
    <xf numFmtId="9" fontId="155" fillId="5" borderId="41" xfId="4" applyFont="1" applyFill="1" applyBorder="1" applyAlignment="1">
      <alignment horizontal="right" vertical="center"/>
    </xf>
    <xf numFmtId="43" fontId="7" fillId="0" borderId="41" xfId="0" applyNumberFormat="1" applyFont="1" applyBorder="1">
      <alignment vertical="center"/>
    </xf>
    <xf numFmtId="0" fontId="24" fillId="5" borderId="40" xfId="0" applyFont="1" applyFill="1" applyBorder="1" applyAlignment="1">
      <alignment horizontal="left" vertical="center" indent="1"/>
    </xf>
    <xf numFmtId="41" fontId="24" fillId="5" borderId="0" xfId="0" applyNumberFormat="1" applyFont="1" applyFill="1" applyBorder="1">
      <alignment vertical="center"/>
    </xf>
    <xf numFmtId="41" fontId="24" fillId="5" borderId="41" xfId="0" applyNumberFormat="1" applyFont="1" applyFill="1" applyBorder="1">
      <alignment vertical="center"/>
    </xf>
    <xf numFmtId="43" fontId="24" fillId="5" borderId="0" xfId="0" applyNumberFormat="1" applyFont="1" applyFill="1" applyBorder="1">
      <alignment vertical="center"/>
    </xf>
    <xf numFmtId="43" fontId="24" fillId="5" borderId="41" xfId="0" applyNumberFormat="1" applyFont="1" applyFill="1" applyBorder="1">
      <alignment vertical="center"/>
    </xf>
    <xf numFmtId="3" fontId="24" fillId="5" borderId="0" xfId="0" applyNumberFormat="1" applyFont="1" applyFill="1" applyBorder="1">
      <alignment vertical="center"/>
    </xf>
    <xf numFmtId="3" fontId="24" fillId="5" borderId="41" xfId="0" applyNumberFormat="1" applyFont="1" applyFill="1" applyBorder="1">
      <alignment vertical="center"/>
    </xf>
    <xf numFmtId="0" fontId="15" fillId="0" borderId="40" xfId="0" applyFont="1" applyBorder="1" applyAlignment="1">
      <alignment horizontal="left" vertical="center" indent="2"/>
    </xf>
    <xf numFmtId="0" fontId="147" fillId="0" borderId="40" xfId="0" applyFont="1" applyBorder="1" applyAlignment="1">
      <alignment horizontal="left" vertical="center" indent="3"/>
    </xf>
    <xf numFmtId="0" fontId="24" fillId="0" borderId="40" xfId="0" applyFont="1" applyBorder="1" applyAlignment="1">
      <alignment horizontal="left" vertical="center" indent="1"/>
    </xf>
    <xf numFmtId="0" fontId="7" fillId="5" borderId="0" xfId="0" applyFont="1" applyFill="1" applyBorder="1">
      <alignment vertical="center"/>
    </xf>
    <xf numFmtId="9" fontId="7" fillId="0" borderId="0" xfId="0" applyNumberFormat="1" applyFont="1">
      <alignment vertical="center"/>
    </xf>
    <xf numFmtId="208" fontId="0" fillId="0" borderId="0" xfId="0" applyNumberFormat="1" applyFill="1" applyBorder="1">
      <alignment vertical="center"/>
    </xf>
    <xf numFmtId="10" fontId="0" fillId="26" borderId="170" xfId="4" applyNumberFormat="1" applyFont="1" applyFill="1" applyBorder="1">
      <alignment vertical="center"/>
    </xf>
    <xf numFmtId="3" fontId="34" fillId="0" borderId="0" xfId="0" applyNumberFormat="1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3" fontId="0" fillId="0" borderId="0" xfId="0" applyNumberFormat="1" applyAlignment="1">
      <alignment horizontal="left" vertical="center" indent="1"/>
    </xf>
    <xf numFmtId="0" fontId="12" fillId="41" borderId="190" xfId="0" applyFont="1" applyFill="1" applyBorder="1" applyAlignment="1">
      <alignment vertical="center"/>
    </xf>
    <xf numFmtId="41" fontId="7" fillId="41" borderId="0" xfId="0" applyNumberFormat="1" applyFont="1" applyFill="1" applyBorder="1">
      <alignment vertical="center"/>
    </xf>
    <xf numFmtId="41" fontId="7" fillId="26" borderId="0" xfId="0" applyNumberFormat="1" applyFont="1" applyFill="1" applyBorder="1">
      <alignment vertical="center"/>
    </xf>
    <xf numFmtId="0" fontId="0" fillId="41" borderId="110" xfId="0" applyFill="1" applyBorder="1" applyAlignment="1">
      <alignment horizontal="center" vertical="center"/>
    </xf>
    <xf numFmtId="3" fontId="104" fillId="0" borderId="0" xfId="17" applyNumberFormat="1">
      <alignment vertical="center"/>
    </xf>
    <xf numFmtId="0" fontId="224" fillId="0" borderId="0" xfId="0" applyFont="1" applyAlignment="1">
      <alignment horizontal="left" vertical="center"/>
    </xf>
    <xf numFmtId="0" fontId="224" fillId="0" borderId="156" xfId="0" applyFont="1" applyBorder="1" applyAlignment="1">
      <alignment horizontal="left" vertical="center"/>
    </xf>
    <xf numFmtId="0" fontId="4" fillId="0" borderId="156" xfId="0" applyFont="1" applyBorder="1" applyAlignment="1">
      <alignment horizontal="left" vertical="center"/>
    </xf>
    <xf numFmtId="0" fontId="4" fillId="0" borderId="156" xfId="0" applyFont="1" applyBorder="1" applyAlignment="1">
      <alignment horizontal="right" vertical="center"/>
    </xf>
    <xf numFmtId="3" fontId="4" fillId="0" borderId="156" xfId="0" applyNumberFormat="1" applyFont="1" applyBorder="1" applyAlignment="1">
      <alignment horizontal="right" vertical="center"/>
    </xf>
    <xf numFmtId="0" fontId="4" fillId="0" borderId="156" xfId="0" applyFont="1" applyBorder="1" applyAlignment="1">
      <alignment horizontal="center" vertical="center"/>
    </xf>
    <xf numFmtId="0" fontId="4" fillId="0" borderId="156" xfId="0" applyFont="1" applyBorder="1" applyAlignment="1">
      <alignment horizontal="right" vertical="center" wrapText="1"/>
    </xf>
    <xf numFmtId="0" fontId="82" fillId="0" borderId="156" xfId="0" applyFont="1" applyBorder="1" applyAlignment="1">
      <alignment horizontal="left" vertical="center"/>
    </xf>
    <xf numFmtId="0" fontId="225" fillId="0" borderId="156" xfId="0" applyFont="1" applyBorder="1" applyAlignment="1">
      <alignment horizontal="left" vertical="center"/>
    </xf>
    <xf numFmtId="0" fontId="0" fillId="0" borderId="156" xfId="0" applyBorder="1" applyAlignment="1"/>
    <xf numFmtId="0" fontId="111" fillId="0" borderId="236" xfId="0" applyFont="1" applyBorder="1" applyAlignment="1">
      <alignment horizontal="center" vertical="center" wrapText="1"/>
    </xf>
    <xf numFmtId="0" fontId="111" fillId="0" borderId="237" xfId="0" applyFont="1" applyBorder="1" applyAlignment="1">
      <alignment horizontal="center" vertical="center" wrapText="1"/>
    </xf>
    <xf numFmtId="0" fontId="111" fillId="0" borderId="0" xfId="0" applyFont="1" applyFill="1" applyBorder="1" applyAlignment="1">
      <alignment horizontal="center" vertical="center" wrapText="1"/>
    </xf>
    <xf numFmtId="0" fontId="111" fillId="0" borderId="238" xfId="0" applyFont="1" applyBorder="1" applyAlignment="1">
      <alignment horizontal="center" vertical="center" wrapText="1"/>
    </xf>
    <xf numFmtId="0" fontId="111" fillId="0" borderId="239" xfId="0" applyFont="1" applyBorder="1" applyAlignment="1">
      <alignment horizontal="center" vertical="center" wrapText="1"/>
    </xf>
    <xf numFmtId="24" fontId="111" fillId="0" borderId="239" xfId="0" applyNumberFormat="1" applyFont="1" applyBorder="1" applyAlignment="1">
      <alignment horizontal="center" vertical="center" wrapText="1"/>
    </xf>
    <xf numFmtId="24" fontId="32" fillId="0" borderId="0" xfId="0" applyNumberFormat="1" applyFont="1">
      <alignment vertical="center"/>
    </xf>
    <xf numFmtId="3" fontId="32" fillId="0" borderId="0" xfId="0" applyNumberFormat="1" applyFont="1">
      <alignment vertical="center"/>
    </xf>
    <xf numFmtId="0" fontId="226" fillId="0" borderId="0" xfId="0" applyFont="1" applyAlignment="1">
      <alignment horizontal="justify" vertical="center"/>
    </xf>
    <xf numFmtId="0" fontId="226" fillId="0" borderId="0" xfId="0" applyFont="1">
      <alignment vertical="center"/>
    </xf>
    <xf numFmtId="0" fontId="154" fillId="0" borderId="0" xfId="0" applyFont="1">
      <alignment vertical="center"/>
    </xf>
    <xf numFmtId="0" fontId="227" fillId="0" borderId="0" xfId="0" applyFont="1">
      <alignment vertical="center"/>
    </xf>
    <xf numFmtId="41" fontId="7" fillId="75" borderId="0" xfId="0" applyNumberFormat="1" applyFont="1" applyFill="1" applyBorder="1">
      <alignment vertical="center"/>
    </xf>
    <xf numFmtId="9" fontId="29" fillId="5" borderId="0" xfId="4" applyFont="1" applyFill="1">
      <alignment vertical="center"/>
    </xf>
    <xf numFmtId="43" fontId="0" fillId="0" borderId="0" xfId="0" applyNumberFormat="1">
      <alignment vertical="center"/>
    </xf>
    <xf numFmtId="209" fontId="0" fillId="0" borderId="0" xfId="0" applyNumberFormat="1">
      <alignment vertical="center"/>
    </xf>
    <xf numFmtId="3" fontId="0" fillId="41" borderId="110" xfId="7" applyNumberFormat="1" applyFont="1" applyFill="1" applyBorder="1">
      <alignment vertical="center"/>
    </xf>
    <xf numFmtId="3" fontId="0" fillId="0" borderId="110" xfId="0" applyNumberFormat="1" applyBorder="1" applyAlignment="1">
      <alignment horizontal="right" vertical="center"/>
    </xf>
    <xf numFmtId="43" fontId="0" fillId="41" borderId="0" xfId="0" applyNumberFormat="1" applyFill="1">
      <alignment vertical="center"/>
    </xf>
    <xf numFmtId="0" fontId="15" fillId="0" borderId="0" xfId="0" applyFont="1" applyBorder="1" applyAlignment="1">
      <alignment horizontal="left" vertical="center" indent="1"/>
    </xf>
    <xf numFmtId="0" fontId="24" fillId="0" borderId="0" xfId="0" applyFont="1" applyBorder="1" applyAlignment="1">
      <alignment horizontal="left" vertical="center" indent="1"/>
    </xf>
    <xf numFmtId="0" fontId="43" fillId="5" borderId="0" xfId="0" applyFont="1" applyFill="1" applyBorder="1">
      <alignment vertical="center"/>
    </xf>
    <xf numFmtId="41" fontId="0" fillId="26" borderId="0" xfId="7" applyFont="1" applyFill="1" applyBorder="1">
      <alignment vertical="center"/>
    </xf>
    <xf numFmtId="192" fontId="23" fillId="0" borderId="48" xfId="0" applyNumberFormat="1" applyFont="1" applyFill="1" applyBorder="1" applyAlignment="1">
      <alignment horizontal="right" vertical="center"/>
    </xf>
    <xf numFmtId="192" fontId="22" fillId="0" borderId="0" xfId="0" applyNumberFormat="1" applyFont="1" applyFill="1" applyBorder="1" applyAlignment="1">
      <alignment horizontal="right" vertical="center"/>
    </xf>
    <xf numFmtId="192" fontId="23" fillId="0" borderId="0" xfId="0" applyNumberFormat="1" applyFont="1" applyBorder="1">
      <alignment vertical="center"/>
    </xf>
    <xf numFmtId="192" fontId="22" fillId="0" borderId="0" xfId="0" applyNumberFormat="1" applyFont="1" applyBorder="1">
      <alignment vertical="center"/>
    </xf>
    <xf numFmtId="3" fontId="54" fillId="20" borderId="240" xfId="0" applyNumberFormat="1" applyFont="1" applyFill="1" applyBorder="1" applyAlignment="1">
      <alignment horizontal="center" vertical="center"/>
    </xf>
    <xf numFmtId="3" fontId="54" fillId="20" borderId="241" xfId="0" applyNumberFormat="1" applyFont="1" applyFill="1" applyBorder="1" applyAlignment="1">
      <alignment horizontal="center" vertical="center"/>
    </xf>
    <xf numFmtId="3" fontId="54" fillId="20" borderId="242" xfId="0" applyNumberFormat="1" applyFont="1" applyFill="1" applyBorder="1" applyAlignment="1">
      <alignment horizontal="center" vertical="center"/>
    </xf>
    <xf numFmtId="192" fontId="29" fillId="0" borderId="152" xfId="0" applyNumberFormat="1" applyFont="1" applyBorder="1">
      <alignment vertical="center"/>
    </xf>
    <xf numFmtId="192" fontId="29" fillId="0" borderId="243" xfId="0" applyNumberFormat="1" applyFont="1" applyBorder="1">
      <alignment vertical="center"/>
    </xf>
    <xf numFmtId="192" fontId="29" fillId="0" borderId="244" xfId="0" applyNumberFormat="1" applyFont="1" applyBorder="1">
      <alignment vertical="center"/>
    </xf>
    <xf numFmtId="192" fontId="29" fillId="0" borderId="115" xfId="0" applyNumberFormat="1" applyFont="1" applyBorder="1">
      <alignment vertical="center"/>
    </xf>
    <xf numFmtId="192" fontId="29" fillId="0" borderId="245" xfId="0" applyNumberFormat="1" applyFont="1" applyBorder="1">
      <alignment vertical="center"/>
    </xf>
    <xf numFmtId="0" fontId="224" fillId="0" borderId="0" xfId="22" applyFont="1" applyAlignment="1">
      <alignment horizontal="left" vertical="center"/>
    </xf>
    <xf numFmtId="0" fontId="224" fillId="0" borderId="246" xfId="22" applyFont="1" applyBorder="1" applyAlignment="1">
      <alignment horizontal="center" vertical="center"/>
    </xf>
    <xf numFmtId="0" fontId="4" fillId="0" borderId="0" xfId="22" applyAlignment="1">
      <alignment horizontal="center"/>
    </xf>
    <xf numFmtId="0" fontId="4" fillId="0" borderId="246" xfId="22" applyFont="1" applyBorder="1" applyAlignment="1">
      <alignment horizontal="left" vertical="center"/>
    </xf>
    <xf numFmtId="0" fontId="4" fillId="0" borderId="246" xfId="22" applyFont="1" applyBorder="1" applyAlignment="1">
      <alignment horizontal="right" vertical="center"/>
    </xf>
    <xf numFmtId="3" fontId="4" fillId="0" borderId="246" xfId="22" applyNumberFormat="1" applyFont="1" applyBorder="1" applyAlignment="1">
      <alignment horizontal="right" vertical="center"/>
    </xf>
    <xf numFmtId="0" fontId="4" fillId="0" borderId="246" xfId="22" applyFont="1" applyBorder="1" applyAlignment="1">
      <alignment horizontal="right" vertical="center" wrapText="1"/>
    </xf>
    <xf numFmtId="0" fontId="0" fillId="0" borderId="247" xfId="0" applyBorder="1" applyAlignment="1">
      <alignment vertical="center"/>
    </xf>
    <xf numFmtId="41" fontId="0" fillId="0" borderId="110" xfId="7" applyFont="1" applyBorder="1">
      <alignment vertical="center"/>
    </xf>
    <xf numFmtId="43" fontId="0" fillId="0" borderId="110" xfId="0" applyNumberFormat="1" applyBorder="1">
      <alignment vertical="center"/>
    </xf>
    <xf numFmtId="0" fontId="0" fillId="0" borderId="0" xfId="0" applyAlignment="1">
      <alignment vertical="center"/>
    </xf>
    <xf numFmtId="41" fontId="0" fillId="26" borderId="0" xfId="7" applyFont="1" applyFill="1">
      <alignment vertical="center"/>
    </xf>
    <xf numFmtId="210" fontId="0" fillId="41" borderId="0" xfId="7" applyNumberFormat="1" applyFont="1" applyFill="1" applyBorder="1">
      <alignment vertical="center"/>
    </xf>
    <xf numFmtId="183" fontId="0" fillId="41" borderId="0" xfId="4" applyNumberFormat="1" applyFont="1" applyFill="1" applyBorder="1">
      <alignment vertical="center"/>
    </xf>
    <xf numFmtId="0" fontId="196" fillId="3" borderId="171" xfId="22" applyFont="1" applyFill="1" applyBorder="1" applyAlignment="1">
      <alignment horizontal="right" vertical="center"/>
    </xf>
    <xf numFmtId="196" fontId="96" fillId="3" borderId="87" xfId="22" applyNumberFormat="1" applyFont="1" applyFill="1" applyBorder="1" applyAlignment="1">
      <alignment horizontal="right" vertical="center"/>
    </xf>
    <xf numFmtId="0" fontId="96" fillId="3" borderId="87" xfId="22" applyFont="1" applyFill="1" applyBorder="1" applyAlignment="1">
      <alignment horizontal="right" vertical="center"/>
    </xf>
    <xf numFmtId="196" fontId="96" fillId="3" borderId="88" xfId="22" applyNumberFormat="1" applyFont="1" applyFill="1" applyBorder="1" applyAlignment="1">
      <alignment horizontal="right" vertical="center"/>
    </xf>
    <xf numFmtId="0" fontId="163" fillId="3" borderId="171" xfId="22" applyFont="1" applyFill="1" applyBorder="1" applyAlignment="1">
      <alignment horizontal="right" vertical="center"/>
    </xf>
    <xf numFmtId="196" fontId="97" fillId="3" borderId="87" xfId="22" applyNumberFormat="1" applyFont="1" applyFill="1" applyBorder="1" applyAlignment="1">
      <alignment horizontal="right" vertical="center"/>
    </xf>
    <xf numFmtId="196" fontId="97" fillId="3" borderId="88" xfId="22" applyNumberFormat="1" applyFont="1" applyFill="1" applyBorder="1" applyAlignment="1">
      <alignment horizontal="right" vertical="center"/>
    </xf>
    <xf numFmtId="196" fontId="97" fillId="3" borderId="172" xfId="22" applyNumberFormat="1" applyFont="1" applyFill="1" applyBorder="1" applyAlignment="1">
      <alignment horizontal="right" vertical="center"/>
    </xf>
    <xf numFmtId="0" fontId="168" fillId="3" borderId="171" xfId="22" applyFont="1" applyFill="1" applyBorder="1" applyAlignment="1">
      <alignment horizontal="right" vertical="center"/>
    </xf>
    <xf numFmtId="0" fontId="196" fillId="3" borderId="173" xfId="22" applyFont="1" applyFill="1" applyBorder="1" applyAlignment="1">
      <alignment horizontal="right" vertical="center"/>
    </xf>
    <xf numFmtId="196" fontId="96" fillId="3" borderId="180" xfId="22" applyNumberFormat="1" applyFont="1" applyFill="1" applyBorder="1" applyAlignment="1">
      <alignment horizontal="right" vertical="center"/>
    </xf>
    <xf numFmtId="0" fontId="96" fillId="3" borderId="180" xfId="22" applyFont="1" applyFill="1" applyBorder="1" applyAlignment="1">
      <alignment horizontal="right" vertical="center"/>
    </xf>
    <xf numFmtId="196" fontId="96" fillId="3" borderId="234" xfId="22" applyNumberFormat="1" applyFont="1" applyFill="1" applyBorder="1" applyAlignment="1">
      <alignment horizontal="right" vertical="center"/>
    </xf>
    <xf numFmtId="0" fontId="193" fillId="3" borderId="177" xfId="22" applyFont="1" applyFill="1" applyBorder="1" applyAlignment="1">
      <alignment horizontal="right" vertical="center"/>
    </xf>
    <xf numFmtId="0" fontId="197" fillId="3" borderId="113" xfId="22" applyFont="1" applyFill="1" applyBorder="1" applyAlignment="1">
      <alignment horizontal="right" vertical="center"/>
    </xf>
    <xf numFmtId="196" fontId="198" fillId="3" borderId="113" xfId="22" applyNumberFormat="1" applyFont="1" applyFill="1" applyBorder="1" applyAlignment="1">
      <alignment horizontal="right" vertical="center"/>
    </xf>
    <xf numFmtId="0" fontId="197" fillId="3" borderId="178" xfId="22" applyFont="1" applyFill="1" applyBorder="1" applyAlignment="1">
      <alignment horizontal="right" vertical="center"/>
    </xf>
    <xf numFmtId="196" fontId="198" fillId="3" borderId="179" xfId="22" applyNumberFormat="1" applyFont="1" applyFill="1" applyBorder="1" applyAlignment="1">
      <alignment horizontal="right" vertical="center"/>
    </xf>
    <xf numFmtId="0" fontId="193" fillId="3" borderId="171" xfId="22" applyFont="1" applyFill="1" applyBorder="1" applyAlignment="1">
      <alignment horizontal="right" vertical="center"/>
    </xf>
    <xf numFmtId="196" fontId="197" fillId="3" borderId="87" xfId="22" applyNumberFormat="1" applyFont="1" applyFill="1" applyBorder="1" applyAlignment="1">
      <alignment horizontal="right" vertical="center"/>
    </xf>
    <xf numFmtId="196" fontId="198" fillId="3" borderId="87" xfId="22" applyNumberFormat="1" applyFont="1" applyFill="1" applyBorder="1" applyAlignment="1">
      <alignment horizontal="right" vertical="center"/>
    </xf>
    <xf numFmtId="196" fontId="197" fillId="3" borderId="91" xfId="22" applyNumberFormat="1" applyFont="1" applyFill="1" applyBorder="1" applyAlignment="1">
      <alignment horizontal="right" vertical="center"/>
    </xf>
    <xf numFmtId="196" fontId="198" fillId="3" borderId="88" xfId="22" applyNumberFormat="1" applyFont="1" applyFill="1" applyBorder="1" applyAlignment="1">
      <alignment horizontal="right" vertical="center"/>
    </xf>
    <xf numFmtId="0" fontId="197" fillId="3" borderId="250" xfId="22" applyFont="1" applyFill="1" applyBorder="1" applyAlignment="1">
      <alignment horizontal="right" vertical="center"/>
    </xf>
    <xf numFmtId="0" fontId="197" fillId="3" borderId="251" xfId="22" applyFont="1" applyFill="1" applyBorder="1" applyAlignment="1">
      <alignment horizontal="right" vertical="center"/>
    </xf>
    <xf numFmtId="196" fontId="198" fillId="3" borderId="250" xfId="22" applyNumberFormat="1" applyFont="1" applyFill="1" applyBorder="1" applyAlignment="1">
      <alignment horizontal="right" vertical="center"/>
    </xf>
    <xf numFmtId="196" fontId="198" fillId="3" borderId="252" xfId="22" applyNumberFormat="1" applyFont="1" applyFill="1" applyBorder="1" applyAlignment="1">
      <alignment horizontal="right" vertical="center"/>
    </xf>
    <xf numFmtId="0" fontId="193" fillId="3" borderId="173" xfId="22" applyFont="1" applyFill="1" applyBorder="1" applyAlignment="1">
      <alignment horizontal="right" vertical="center"/>
    </xf>
    <xf numFmtId="0" fontId="197" fillId="3" borderId="180" xfId="22" applyFont="1" applyFill="1" applyBorder="1" applyAlignment="1">
      <alignment horizontal="right" vertical="center"/>
    </xf>
    <xf numFmtId="196" fontId="198" fillId="3" borderId="248" xfId="22" applyNumberFormat="1" applyFont="1" applyFill="1" applyBorder="1" applyAlignment="1">
      <alignment horizontal="right" vertical="center"/>
    </xf>
    <xf numFmtId="0" fontId="197" fillId="3" borderId="181" xfId="22" applyFont="1" applyFill="1" applyBorder="1" applyAlignment="1">
      <alignment horizontal="right" vertical="center"/>
    </xf>
    <xf numFmtId="196" fontId="198" fillId="3" borderId="249" xfId="22" applyNumberFormat="1" applyFont="1" applyFill="1" applyBorder="1" applyAlignment="1">
      <alignment horizontal="right" vertical="center"/>
    </xf>
    <xf numFmtId="0" fontId="4" fillId="0" borderId="0" xfId="22"/>
    <xf numFmtId="0" fontId="196" fillId="3" borderId="171" xfId="22" applyFont="1" applyFill="1" applyBorder="1" applyAlignment="1">
      <alignment horizontal="center" vertical="center"/>
    </xf>
    <xf numFmtId="196" fontId="96" fillId="3" borderId="87" xfId="22" applyNumberFormat="1" applyFont="1" applyFill="1" applyBorder="1" applyAlignment="1">
      <alignment horizontal="right" vertical="center"/>
    </xf>
    <xf numFmtId="196" fontId="96" fillId="3" borderId="88" xfId="22" applyNumberFormat="1" applyFont="1" applyFill="1" applyBorder="1" applyAlignment="1">
      <alignment horizontal="right" vertical="center"/>
    </xf>
    <xf numFmtId="0" fontId="163" fillId="3" borderId="171" xfId="22" applyFont="1" applyFill="1" applyBorder="1" applyAlignment="1">
      <alignment horizontal="center" vertical="center"/>
    </xf>
    <xf numFmtId="196" fontId="97" fillId="3" borderId="87" xfId="22" applyNumberFormat="1" applyFont="1" applyFill="1" applyBorder="1" applyAlignment="1">
      <alignment horizontal="right" vertical="center"/>
    </xf>
    <xf numFmtId="196" fontId="96" fillId="3" borderId="250" xfId="22" applyNumberFormat="1" applyFont="1" applyFill="1" applyBorder="1" applyAlignment="1">
      <alignment horizontal="right" vertical="center"/>
    </xf>
    <xf numFmtId="196" fontId="97" fillId="3" borderId="172" xfId="22" applyNumberFormat="1" applyFont="1" applyFill="1" applyBorder="1" applyAlignment="1">
      <alignment horizontal="right" vertical="center"/>
    </xf>
    <xf numFmtId="196" fontId="96" fillId="3" borderId="252" xfId="22" applyNumberFormat="1" applyFont="1" applyFill="1" applyBorder="1" applyAlignment="1">
      <alignment horizontal="right" vertical="center"/>
    </xf>
    <xf numFmtId="0" fontId="196" fillId="3" borderId="173" xfId="22" applyFont="1" applyFill="1" applyBorder="1" applyAlignment="1">
      <alignment horizontal="center" vertical="center"/>
    </xf>
    <xf numFmtId="196" fontId="96" fillId="3" borderId="248" xfId="22" applyNumberFormat="1" applyFont="1" applyFill="1" applyBorder="1" applyAlignment="1">
      <alignment horizontal="right" vertical="center"/>
    </xf>
    <xf numFmtId="196" fontId="96" fillId="3" borderId="249" xfId="22" applyNumberFormat="1" applyFont="1" applyFill="1" applyBorder="1" applyAlignment="1">
      <alignment horizontal="right" vertical="center"/>
    </xf>
    <xf numFmtId="197" fontId="113" fillId="32" borderId="109" xfId="18" applyNumberFormat="1" applyFont="1" applyFill="1" applyBorder="1" applyAlignment="1" applyProtection="1">
      <alignment horizontal="right" vertical="center"/>
    </xf>
    <xf numFmtId="197" fontId="111" fillId="32" borderId="109" xfId="18" applyNumberFormat="1" applyFont="1" applyFill="1" applyBorder="1" applyAlignment="1" applyProtection="1">
      <alignment horizontal="right" vertical="center"/>
    </xf>
    <xf numFmtId="197" fontId="113" fillId="0" borderId="109" xfId="18" applyNumberFormat="1" applyFont="1" applyBorder="1" applyAlignment="1" applyProtection="1">
      <alignment horizontal="right" vertical="center"/>
    </xf>
    <xf numFmtId="197" fontId="111" fillId="0" borderId="109" xfId="18" applyNumberFormat="1" applyFont="1" applyBorder="1" applyAlignment="1" applyProtection="1">
      <alignment horizontal="right" vertical="center"/>
    </xf>
    <xf numFmtId="0" fontId="104" fillId="5" borderId="110" xfId="17" applyFill="1" applyBorder="1">
      <alignment vertical="center"/>
    </xf>
    <xf numFmtId="0" fontId="104" fillId="0" borderId="110" xfId="17" applyBorder="1">
      <alignment vertical="center"/>
    </xf>
    <xf numFmtId="197" fontId="111" fillId="0" borderId="110" xfId="18" applyNumberFormat="1" applyFont="1" applyBorder="1" applyAlignment="1" applyProtection="1">
      <alignment horizontal="right" vertical="center"/>
    </xf>
    <xf numFmtId="0" fontId="46" fillId="4" borderId="256" xfId="17" applyFont="1" applyFill="1" applyBorder="1" applyAlignment="1">
      <alignment horizontal="center" vertical="center"/>
    </xf>
    <xf numFmtId="0" fontId="46" fillId="4" borderId="257" xfId="17" applyFont="1" applyFill="1" applyBorder="1" applyAlignment="1">
      <alignment horizontal="center" vertical="center"/>
    </xf>
    <xf numFmtId="0" fontId="46" fillId="4" borderId="258" xfId="17" applyFont="1" applyFill="1" applyBorder="1" applyAlignment="1">
      <alignment horizontal="center" vertical="center"/>
    </xf>
    <xf numFmtId="0" fontId="46" fillId="4" borderId="259" xfId="17" applyFont="1" applyFill="1" applyBorder="1" applyAlignment="1">
      <alignment horizontal="center" vertical="center"/>
    </xf>
    <xf numFmtId="0" fontId="109" fillId="32" borderId="260" xfId="17" applyFont="1" applyFill="1" applyBorder="1">
      <alignment vertical="center"/>
    </xf>
    <xf numFmtId="0" fontId="107" fillId="32" borderId="260" xfId="17" applyFont="1" applyFill="1" applyBorder="1" applyAlignment="1">
      <alignment horizontal="left" vertical="center" indent="1"/>
    </xf>
    <xf numFmtId="0" fontId="104" fillId="5" borderId="253" xfId="17" applyFill="1" applyBorder="1">
      <alignment vertical="center"/>
    </xf>
    <xf numFmtId="0" fontId="109" fillId="0" borderId="260" xfId="17" applyFont="1" applyBorder="1">
      <alignment vertical="center"/>
    </xf>
    <xf numFmtId="197" fontId="113" fillId="0" borderId="261" xfId="18" applyNumberFormat="1" applyFont="1" applyBorder="1" applyAlignment="1" applyProtection="1">
      <alignment horizontal="right" vertical="center"/>
    </xf>
    <xf numFmtId="0" fontId="107" fillId="0" borderId="260" xfId="17" applyFont="1" applyBorder="1" applyAlignment="1">
      <alignment horizontal="left" vertical="center" indent="1"/>
    </xf>
    <xf numFmtId="0" fontId="104" fillId="0" borderId="253" xfId="17" applyBorder="1">
      <alignment vertical="center"/>
    </xf>
    <xf numFmtId="197" fontId="111" fillId="0" borderId="253" xfId="18" applyNumberFormat="1" applyFont="1" applyBorder="1" applyAlignment="1" applyProtection="1">
      <alignment horizontal="right" vertical="center"/>
    </xf>
    <xf numFmtId="197" fontId="111" fillId="0" borderId="261" xfId="18" applyNumberFormat="1" applyFont="1" applyBorder="1" applyAlignment="1" applyProtection="1">
      <alignment horizontal="right" vertical="center"/>
    </xf>
    <xf numFmtId="0" fontId="109" fillId="0" borderId="262" xfId="17" applyFont="1" applyBorder="1">
      <alignment vertical="center"/>
    </xf>
    <xf numFmtId="197" fontId="113" fillId="0" borderId="263" xfId="18" applyNumberFormat="1" applyFont="1" applyBorder="1" applyAlignment="1" applyProtection="1">
      <alignment horizontal="right" vertical="center"/>
    </xf>
    <xf numFmtId="197" fontId="113" fillId="0" borderId="264" xfId="18" applyNumberFormat="1" applyFont="1" applyBorder="1" applyAlignment="1" applyProtection="1">
      <alignment horizontal="right" vertical="center"/>
    </xf>
    <xf numFmtId="183" fontId="0" fillId="0" borderId="254" xfId="4" applyNumberFormat="1" applyFont="1" applyBorder="1">
      <alignment vertical="center"/>
    </xf>
    <xf numFmtId="183" fontId="0" fillId="0" borderId="231" xfId="4" applyNumberFormat="1" applyFont="1" applyBorder="1">
      <alignment vertical="center"/>
    </xf>
    <xf numFmtId="183" fontId="0" fillId="0" borderId="255" xfId="4" applyNumberFormat="1" applyFont="1" applyBorder="1">
      <alignment vertical="center"/>
    </xf>
    <xf numFmtId="192" fontId="29" fillId="26" borderId="98" xfId="0" applyNumberFormat="1" applyFont="1" applyFill="1" applyBorder="1">
      <alignment vertical="center"/>
    </xf>
    <xf numFmtId="192" fontId="43" fillId="0" borderId="16" xfId="0" applyNumberFormat="1" applyFont="1" applyBorder="1">
      <alignment vertical="center"/>
    </xf>
    <xf numFmtId="0" fontId="29" fillId="0" borderId="265" xfId="0" applyFont="1" applyBorder="1">
      <alignment vertical="center"/>
    </xf>
    <xf numFmtId="183" fontId="29" fillId="0" borderId="266" xfId="0" applyNumberFormat="1" applyFont="1" applyBorder="1" applyAlignment="1">
      <alignment vertical="center"/>
    </xf>
    <xf numFmtId="192" fontId="29" fillId="0" borderId="266" xfId="0" applyNumberFormat="1" applyFont="1" applyBorder="1" applyAlignment="1">
      <alignment vertical="center"/>
    </xf>
    <xf numFmtId="192" fontId="29" fillId="0" borderId="267" xfId="0" applyNumberFormat="1" applyFont="1" applyBorder="1" applyAlignment="1">
      <alignment vertical="center"/>
    </xf>
    <xf numFmtId="192" fontId="29" fillId="0" borderId="169" xfId="0" applyNumberFormat="1" applyFont="1" applyBorder="1" applyAlignment="1">
      <alignment vertical="center"/>
    </xf>
    <xf numFmtId="0" fontId="29" fillId="0" borderId="152" xfId="0" applyFont="1" applyBorder="1">
      <alignment vertical="center"/>
    </xf>
    <xf numFmtId="192" fontId="29" fillId="0" borderId="243" xfId="0" applyNumberFormat="1" applyFont="1" applyBorder="1" applyAlignment="1">
      <alignment vertical="center"/>
    </xf>
    <xf numFmtId="0" fontId="29" fillId="0" borderId="244" xfId="0" applyFont="1" applyBorder="1">
      <alignment vertical="center"/>
    </xf>
    <xf numFmtId="183" fontId="29" fillId="0" borderId="115" xfId="0" applyNumberFormat="1" applyFont="1" applyBorder="1" applyAlignment="1">
      <alignment vertical="center"/>
    </xf>
    <xf numFmtId="192" fontId="29" fillId="0" borderId="115" xfId="0" applyNumberFormat="1" applyFont="1" applyBorder="1" applyAlignment="1">
      <alignment vertical="center"/>
    </xf>
    <xf numFmtId="192" fontId="29" fillId="0" borderId="245" xfId="0" applyNumberFormat="1" applyFont="1" applyBorder="1" applyAlignment="1">
      <alignment vertical="center"/>
    </xf>
    <xf numFmtId="0" fontId="225" fillId="0" borderId="246" xfId="22" applyFont="1" applyBorder="1" applyAlignment="1">
      <alignment horizontal="center" vertical="center"/>
    </xf>
    <xf numFmtId="0" fontId="82" fillId="0" borderId="246" xfId="22" applyFont="1" applyBorder="1" applyAlignment="1">
      <alignment horizontal="right" vertical="center"/>
    </xf>
    <xf numFmtId="0" fontId="82" fillId="0" borderId="0" xfId="22" applyFont="1" applyAlignment="1">
      <alignment horizontal="center"/>
    </xf>
    <xf numFmtId="41" fontId="30" fillId="5" borderId="0" xfId="0" applyNumberFormat="1" applyFont="1" applyFill="1" applyBorder="1" applyAlignment="1">
      <alignment horizontal="right" vertical="center"/>
    </xf>
    <xf numFmtId="41" fontId="30" fillId="5" borderId="75" xfId="0" applyNumberFormat="1" applyFont="1" applyFill="1" applyBorder="1" applyAlignment="1">
      <alignment horizontal="right" vertical="center"/>
    </xf>
    <xf numFmtId="209" fontId="30" fillId="5" borderId="0" xfId="7" applyNumberFormat="1" applyFont="1" applyFill="1" applyBorder="1" applyAlignment="1">
      <alignment horizontal="right" vertical="center"/>
    </xf>
    <xf numFmtId="209" fontId="30" fillId="5" borderId="0" xfId="0" applyNumberFormat="1" applyFont="1" applyFill="1" applyBorder="1" applyAlignment="1">
      <alignment horizontal="right" vertical="center"/>
    </xf>
    <xf numFmtId="209" fontId="30" fillId="5" borderId="75" xfId="0" applyNumberFormat="1" applyFont="1" applyFill="1" applyBorder="1" applyAlignment="1">
      <alignment horizontal="right" vertical="center"/>
    </xf>
    <xf numFmtId="209" fontId="0" fillId="26" borderId="0" xfId="0" applyNumberFormat="1" applyFill="1">
      <alignment vertical="center"/>
    </xf>
    <xf numFmtId="10" fontId="29" fillId="0" borderId="0" xfId="4" applyNumberFormat="1" applyFont="1">
      <alignment vertical="center"/>
    </xf>
    <xf numFmtId="0" fontId="229" fillId="0" borderId="0" xfId="92" applyFont="1">
      <alignment vertical="center"/>
    </xf>
    <xf numFmtId="0" fontId="29" fillId="0" borderId="0" xfId="92" applyFont="1">
      <alignment vertical="center"/>
    </xf>
    <xf numFmtId="0" fontId="43" fillId="76" borderId="268" xfId="92" applyFont="1" applyFill="1" applyBorder="1" applyAlignment="1">
      <alignment horizontal="center" vertical="center"/>
    </xf>
    <xf numFmtId="0" fontId="43" fillId="76" borderId="269" xfId="92" applyFont="1" applyFill="1" applyBorder="1" applyAlignment="1">
      <alignment horizontal="center" vertical="center"/>
    </xf>
    <xf numFmtId="0" fontId="43" fillId="76" borderId="270" xfId="92" applyFont="1" applyFill="1" applyBorder="1" applyAlignment="1">
      <alignment horizontal="center" vertical="center"/>
    </xf>
    <xf numFmtId="0" fontId="43" fillId="76" borderId="271" xfId="92" applyFont="1" applyFill="1" applyBorder="1">
      <alignment vertical="center"/>
    </xf>
    <xf numFmtId="0" fontId="29" fillId="0" borderId="0" xfId="92" applyFont="1" applyBorder="1" applyAlignment="1">
      <alignment horizontal="center" vertical="center"/>
    </xf>
    <xf numFmtId="0" fontId="11" fillId="77" borderId="273" xfId="92" applyFont="1" applyFill="1" applyBorder="1" applyAlignment="1">
      <alignment horizontal="center" vertical="center"/>
    </xf>
    <xf numFmtId="0" fontId="11" fillId="77" borderId="20" xfId="92" applyFont="1" applyFill="1" applyBorder="1" applyAlignment="1">
      <alignment horizontal="center" vertical="center"/>
    </xf>
    <xf numFmtId="0" fontId="11" fillId="77" borderId="253" xfId="92" applyFont="1" applyFill="1" applyBorder="1" applyAlignment="1">
      <alignment horizontal="center" vertical="center"/>
    </xf>
    <xf numFmtId="0" fontId="11" fillId="77" borderId="271" xfId="92" applyFont="1" applyFill="1" applyBorder="1" applyAlignment="1">
      <alignment horizontal="center" vertical="center"/>
    </xf>
    <xf numFmtId="0" fontId="29" fillId="0" borderId="273" xfId="92" applyFont="1" applyBorder="1" applyAlignment="1">
      <alignment horizontal="center" vertical="center"/>
    </xf>
    <xf numFmtId="41" fontId="29" fillId="0" borderId="20" xfId="7" applyFont="1" applyBorder="1" applyAlignment="1">
      <alignment horizontal="center" vertical="center"/>
    </xf>
    <xf numFmtId="41" fontId="29" fillId="0" borderId="253" xfId="7" applyFont="1" applyBorder="1" applyAlignment="1">
      <alignment horizontal="center" vertical="center"/>
    </xf>
    <xf numFmtId="0" fontId="29" fillId="0" borderId="20" xfId="92" applyFont="1" applyBorder="1" applyAlignment="1">
      <alignment horizontal="center" vertical="center"/>
    </xf>
    <xf numFmtId="0" fontId="29" fillId="0" borderId="253" xfId="92" applyFont="1" applyBorder="1" applyAlignment="1">
      <alignment horizontal="center" vertical="center"/>
    </xf>
    <xf numFmtId="0" fontId="29" fillId="0" borderId="274" xfId="92" applyFont="1" applyBorder="1" applyAlignment="1">
      <alignment horizontal="center" vertical="center"/>
    </xf>
    <xf numFmtId="0" fontId="29" fillId="0" borderId="273" xfId="92" applyFont="1" applyBorder="1" applyAlignment="1">
      <alignment vertical="center"/>
    </xf>
    <xf numFmtId="0" fontId="29" fillId="0" borderId="20" xfId="92" applyFont="1" applyBorder="1" applyAlignment="1">
      <alignment vertical="center"/>
    </xf>
    <xf numFmtId="0" fontId="29" fillId="0" borderId="253" xfId="92" applyFont="1" applyBorder="1" applyAlignment="1">
      <alignment vertical="center"/>
    </xf>
    <xf numFmtId="0" fontId="29" fillId="0" borderId="271" xfId="92" applyFont="1" applyBorder="1" applyAlignment="1">
      <alignment horizontal="center" vertical="center"/>
    </xf>
    <xf numFmtId="41" fontId="29" fillId="0" borderId="273" xfId="7" applyFont="1" applyBorder="1" applyAlignment="1">
      <alignment horizontal="center" vertical="center"/>
    </xf>
    <xf numFmtId="0" fontId="29" fillId="0" borderId="273" xfId="92" applyFont="1" applyBorder="1">
      <alignment vertical="center"/>
    </xf>
    <xf numFmtId="41" fontId="29" fillId="0" borderId="20" xfId="7" applyFont="1" applyBorder="1">
      <alignment vertical="center"/>
    </xf>
    <xf numFmtId="41" fontId="29" fillId="0" borderId="253" xfId="7" applyFont="1" applyBorder="1">
      <alignment vertical="center"/>
    </xf>
    <xf numFmtId="41" fontId="29" fillId="0" borderId="273" xfId="7" applyFont="1" applyBorder="1">
      <alignment vertical="center"/>
    </xf>
    <xf numFmtId="41" fontId="29" fillId="0" borderId="274" xfId="7" applyFont="1" applyBorder="1">
      <alignment vertical="center"/>
    </xf>
    <xf numFmtId="41" fontId="29" fillId="0" borderId="0" xfId="7" applyFont="1" applyBorder="1">
      <alignment vertical="center"/>
    </xf>
    <xf numFmtId="9" fontId="29" fillId="0" borderId="0" xfId="4" applyFont="1" applyBorder="1">
      <alignment vertical="center"/>
    </xf>
    <xf numFmtId="0" fontId="29" fillId="0" borderId="273" xfId="92" applyFont="1" applyFill="1" applyBorder="1" applyAlignment="1">
      <alignment vertical="center"/>
    </xf>
    <xf numFmtId="0" fontId="29" fillId="26" borderId="273" xfId="92" applyFont="1" applyFill="1" applyBorder="1" applyAlignment="1">
      <alignment vertical="center"/>
    </xf>
    <xf numFmtId="0" fontId="29" fillId="26" borderId="20" xfId="92" applyFont="1" applyFill="1" applyBorder="1" applyAlignment="1">
      <alignment vertical="center"/>
    </xf>
    <xf numFmtId="0" fontId="29" fillId="26" borderId="253" xfId="92" applyFont="1" applyFill="1" applyBorder="1" applyAlignment="1">
      <alignment vertical="center"/>
    </xf>
    <xf numFmtId="0" fontId="29" fillId="26" borderId="271" xfId="92" applyFont="1" applyFill="1" applyBorder="1" applyAlignment="1">
      <alignment horizontal="center" vertical="center"/>
    </xf>
    <xf numFmtId="41" fontId="29" fillId="26" borderId="273" xfId="7" applyFont="1" applyFill="1" applyBorder="1" applyAlignment="1">
      <alignment horizontal="center" vertical="center"/>
    </xf>
    <xf numFmtId="41" fontId="29" fillId="26" borderId="20" xfId="7" applyFont="1" applyFill="1" applyBorder="1" applyAlignment="1">
      <alignment horizontal="center" vertical="center"/>
    </xf>
    <xf numFmtId="41" fontId="29" fillId="26" borderId="253" xfId="7" applyFont="1" applyFill="1" applyBorder="1" applyAlignment="1">
      <alignment horizontal="center" vertical="center"/>
    </xf>
    <xf numFmtId="0" fontId="29" fillId="26" borderId="273" xfId="92" applyFont="1" applyFill="1" applyBorder="1">
      <alignment vertical="center"/>
    </xf>
    <xf numFmtId="41" fontId="29" fillId="26" borderId="20" xfId="7" applyFont="1" applyFill="1" applyBorder="1">
      <alignment vertical="center"/>
    </xf>
    <xf numFmtId="41" fontId="29" fillId="26" borderId="253" xfId="7" applyFont="1" applyFill="1" applyBorder="1">
      <alignment vertical="center"/>
    </xf>
    <xf numFmtId="41" fontId="29" fillId="26" borderId="273" xfId="7" applyFont="1" applyFill="1" applyBorder="1">
      <alignment vertical="center"/>
    </xf>
    <xf numFmtId="41" fontId="29" fillId="26" borderId="274" xfId="7" applyFont="1" applyFill="1" applyBorder="1">
      <alignment vertical="center"/>
    </xf>
    <xf numFmtId="9" fontId="29" fillId="26" borderId="0" xfId="4" applyFont="1" applyFill="1" applyBorder="1">
      <alignment vertical="center"/>
    </xf>
    <xf numFmtId="41" fontId="29" fillId="26" borderId="0" xfId="7" applyFont="1" applyFill="1" applyBorder="1">
      <alignment vertical="center"/>
    </xf>
    <xf numFmtId="0" fontId="29" fillId="26" borderId="0" xfId="92" applyFont="1" applyFill="1">
      <alignment vertical="center"/>
    </xf>
    <xf numFmtId="0" fontId="29" fillId="0" borderId="20" xfId="92" applyFont="1" applyFill="1" applyBorder="1" applyAlignment="1">
      <alignment vertical="center"/>
    </xf>
    <xf numFmtId="0" fontId="29" fillId="0" borderId="253" xfId="92" applyFont="1" applyFill="1" applyBorder="1" applyAlignment="1">
      <alignment vertical="center"/>
    </xf>
    <xf numFmtId="0" fontId="29" fillId="0" borderId="271" xfId="92" applyFont="1" applyFill="1" applyBorder="1" applyAlignment="1">
      <alignment horizontal="center" vertical="center"/>
    </xf>
    <xf numFmtId="41" fontId="29" fillId="0" borderId="273" xfId="7" applyFont="1" applyFill="1" applyBorder="1" applyAlignment="1">
      <alignment horizontal="center" vertical="center"/>
    </xf>
    <xf numFmtId="41" fontId="29" fillId="0" borderId="20" xfId="7" applyFont="1" applyFill="1" applyBorder="1" applyAlignment="1">
      <alignment horizontal="center" vertical="center"/>
    </xf>
    <xf numFmtId="41" fontId="29" fillId="0" borderId="253" xfId="7" applyFont="1" applyFill="1" applyBorder="1" applyAlignment="1">
      <alignment horizontal="center" vertical="center"/>
    </xf>
    <xf numFmtId="0" fontId="29" fillId="0" borderId="273" xfId="92" applyFont="1" applyFill="1" applyBorder="1">
      <alignment vertical="center"/>
    </xf>
    <xf numFmtId="41" fontId="29" fillId="0" borderId="20" xfId="7" applyFont="1" applyFill="1" applyBorder="1">
      <alignment vertical="center"/>
    </xf>
    <xf numFmtId="41" fontId="29" fillId="0" borderId="253" xfId="7" applyFont="1" applyFill="1" applyBorder="1">
      <alignment vertical="center"/>
    </xf>
    <xf numFmtId="41" fontId="29" fillId="0" borderId="273" xfId="7" applyFont="1" applyFill="1" applyBorder="1">
      <alignment vertical="center"/>
    </xf>
    <xf numFmtId="41" fontId="29" fillId="0" borderId="274" xfId="7" applyFont="1" applyFill="1" applyBorder="1">
      <alignment vertical="center"/>
    </xf>
    <xf numFmtId="41" fontId="29" fillId="0" borderId="0" xfId="7" applyFont="1" applyFill="1" applyBorder="1">
      <alignment vertical="center"/>
    </xf>
    <xf numFmtId="0" fontId="29" fillId="0" borderId="0" xfId="92" applyFont="1" applyFill="1">
      <alignment vertical="center"/>
    </xf>
    <xf numFmtId="0" fontId="29" fillId="0" borderId="275" xfId="92" applyFont="1" applyBorder="1">
      <alignment vertical="center"/>
    </xf>
    <xf numFmtId="0" fontId="29" fillId="0" borderId="228" xfId="92" applyFont="1" applyBorder="1">
      <alignment vertical="center"/>
    </xf>
    <xf numFmtId="0" fontId="29" fillId="0" borderId="276" xfId="92" applyFont="1" applyBorder="1">
      <alignment vertical="center"/>
    </xf>
    <xf numFmtId="0" fontId="29" fillId="0" borderId="271" xfId="92" applyFont="1" applyBorder="1">
      <alignment vertical="center"/>
    </xf>
    <xf numFmtId="41" fontId="29" fillId="0" borderId="275" xfId="7" applyFont="1" applyBorder="1">
      <alignment vertical="center"/>
    </xf>
    <xf numFmtId="41" fontId="29" fillId="0" borderId="228" xfId="7" applyFont="1" applyBorder="1">
      <alignment vertical="center"/>
    </xf>
    <xf numFmtId="41" fontId="29" fillId="0" borderId="276" xfId="7" applyFont="1" applyBorder="1">
      <alignment vertical="center"/>
    </xf>
    <xf numFmtId="41" fontId="29" fillId="0" borderId="229" xfId="7" applyFont="1" applyBorder="1">
      <alignment vertical="center"/>
    </xf>
    <xf numFmtId="183" fontId="29" fillId="0" borderId="0" xfId="4" applyNumberFormat="1" applyFont="1" applyBorder="1">
      <alignment vertical="center"/>
    </xf>
    <xf numFmtId="183" fontId="29" fillId="0" borderId="0" xfId="7" applyNumberFormat="1" applyFont="1" applyBorder="1">
      <alignment vertical="center"/>
    </xf>
    <xf numFmtId="0" fontId="29" fillId="0" borderId="154" xfId="92" applyFont="1" applyBorder="1">
      <alignment vertical="center"/>
    </xf>
    <xf numFmtId="0" fontId="29" fillId="0" borderId="20" xfId="92" applyFont="1" applyBorder="1">
      <alignment vertical="center"/>
    </xf>
    <xf numFmtId="0" fontId="29" fillId="0" borderId="0" xfId="92" applyFont="1" applyBorder="1">
      <alignment vertical="center"/>
    </xf>
    <xf numFmtId="10" fontId="29" fillId="0" borderId="20" xfId="4" applyNumberFormat="1" applyFont="1" applyBorder="1">
      <alignment vertical="center"/>
    </xf>
    <xf numFmtId="41" fontId="29" fillId="0" borderId="0" xfId="92" applyNumberFormat="1" applyFont="1" applyBorder="1">
      <alignment vertical="center"/>
    </xf>
    <xf numFmtId="0" fontId="230" fillId="0" borderId="0" xfId="0" applyNumberFormat="1" applyFont="1" applyBorder="1">
      <alignment vertical="center"/>
    </xf>
    <xf numFmtId="10" fontId="29" fillId="0" borderId="0" xfId="4" applyNumberFormat="1" applyFont="1" applyBorder="1">
      <alignment vertical="center"/>
    </xf>
    <xf numFmtId="0" fontId="29" fillId="0" borderId="275" xfId="92" applyFont="1" applyBorder="1" applyAlignment="1">
      <alignment horizontal="center" vertical="center"/>
    </xf>
    <xf numFmtId="0" fontId="29" fillId="0" borderId="228" xfId="92" applyFont="1" applyBorder="1" applyAlignment="1">
      <alignment horizontal="center" vertical="center"/>
    </xf>
    <xf numFmtId="0" fontId="29" fillId="0" borderId="276" xfId="92" applyFont="1" applyBorder="1" applyAlignment="1">
      <alignment horizontal="center" vertical="center"/>
    </xf>
    <xf numFmtId="0" fontId="29" fillId="0" borderId="268" xfId="0" applyFont="1" applyBorder="1" applyAlignment="1">
      <alignment horizontal="left" vertical="center" indent="1"/>
    </xf>
    <xf numFmtId="0" fontId="29" fillId="0" borderId="269" xfId="92" applyFont="1" applyBorder="1">
      <alignment vertical="center"/>
    </xf>
    <xf numFmtId="0" fontId="29" fillId="0" borderId="270" xfId="0" applyFont="1" applyBorder="1" applyAlignment="1">
      <alignment horizontal="left" vertical="center"/>
    </xf>
    <xf numFmtId="0" fontId="29" fillId="0" borderId="268" xfId="92" applyFont="1" applyBorder="1">
      <alignment vertical="center"/>
    </xf>
    <xf numFmtId="41" fontId="29" fillId="0" borderId="270" xfId="7" applyFont="1" applyBorder="1">
      <alignment vertical="center"/>
    </xf>
    <xf numFmtId="41" fontId="29" fillId="0" borderId="269" xfId="7" applyFont="1" applyBorder="1">
      <alignment vertical="center"/>
    </xf>
    <xf numFmtId="0" fontId="29" fillId="0" borderId="268" xfId="0" applyNumberFormat="1" applyFont="1" applyBorder="1">
      <alignment vertical="center"/>
    </xf>
    <xf numFmtId="41" fontId="29" fillId="0" borderId="272" xfId="7" applyFont="1" applyBorder="1">
      <alignment vertical="center"/>
    </xf>
    <xf numFmtId="41" fontId="29" fillId="0" borderId="277" xfId="7" applyFont="1" applyBorder="1">
      <alignment vertical="center"/>
    </xf>
    <xf numFmtId="41" fontId="29" fillId="0" borderId="154" xfId="7" applyFont="1" applyBorder="1">
      <alignment vertical="center"/>
    </xf>
    <xf numFmtId="41" fontId="29" fillId="0" borderId="278" xfId="7" applyFont="1" applyBorder="1">
      <alignment vertical="center"/>
    </xf>
    <xf numFmtId="0" fontId="29" fillId="0" borderId="273" xfId="0" applyFont="1" applyBorder="1" applyAlignment="1">
      <alignment horizontal="left" vertical="center" indent="1"/>
    </xf>
    <xf numFmtId="0" fontId="35" fillId="0" borderId="253" xfId="93" applyFont="1" applyBorder="1" applyAlignment="1">
      <alignment horizontal="left" vertical="center"/>
    </xf>
    <xf numFmtId="0" fontId="29" fillId="0" borderId="273" xfId="0" applyNumberFormat="1" applyFont="1" applyBorder="1">
      <alignment vertical="center"/>
    </xf>
    <xf numFmtId="0" fontId="35" fillId="0" borderId="273" xfId="93" applyFont="1" applyBorder="1" applyAlignment="1">
      <alignment horizontal="center" vertical="center"/>
    </xf>
    <xf numFmtId="41" fontId="35" fillId="0" borderId="20" xfId="7" applyFont="1" applyBorder="1" applyAlignment="1">
      <alignment horizontal="center" vertical="center"/>
    </xf>
    <xf numFmtId="0" fontId="29" fillId="0" borderId="253" xfId="92" applyFont="1" applyBorder="1">
      <alignment vertical="center"/>
    </xf>
    <xf numFmtId="0" fontId="29" fillId="0" borderId="274" xfId="92" applyFont="1" applyBorder="1">
      <alignment vertical="center"/>
    </xf>
    <xf numFmtId="0" fontId="29" fillId="0" borderId="253" xfId="0" applyFont="1" applyBorder="1" applyAlignment="1">
      <alignment horizontal="left" vertical="center"/>
    </xf>
    <xf numFmtId="41" fontId="29" fillId="0" borderId="275" xfId="7" applyFont="1" applyBorder="1" applyAlignment="1">
      <alignment horizontal="center" vertical="center"/>
    </xf>
    <xf numFmtId="0" fontId="29" fillId="0" borderId="279" xfId="92" applyFont="1" applyBorder="1">
      <alignment vertical="center"/>
    </xf>
    <xf numFmtId="0" fontId="29" fillId="0" borderId="254" xfId="92" applyFont="1" applyBorder="1">
      <alignment vertical="center"/>
    </xf>
    <xf numFmtId="0" fontId="29" fillId="0" borderId="231" xfId="92" applyFont="1" applyBorder="1">
      <alignment vertical="center"/>
    </xf>
    <xf numFmtId="41" fontId="29" fillId="0" borderId="231" xfId="7" applyFont="1" applyBorder="1">
      <alignment vertical="center"/>
    </xf>
    <xf numFmtId="41" fontId="29" fillId="0" borderId="255" xfId="7" applyFont="1" applyBorder="1">
      <alignment vertical="center"/>
    </xf>
    <xf numFmtId="41" fontId="29" fillId="0" borderId="254" xfId="7" applyFont="1" applyBorder="1">
      <alignment vertical="center"/>
    </xf>
    <xf numFmtId="0" fontId="35" fillId="0" borderId="0" xfId="93" applyFont="1" applyAlignment="1">
      <alignment horizontal="center" vertical="center"/>
    </xf>
    <xf numFmtId="0" fontId="11" fillId="77" borderId="280" xfId="92" applyFont="1" applyFill="1" applyBorder="1" applyAlignment="1">
      <alignment horizontal="center" vertical="center"/>
    </xf>
    <xf numFmtId="0" fontId="11" fillId="77" borderId="80" xfId="92" applyFont="1" applyFill="1" applyBorder="1" applyAlignment="1">
      <alignment horizontal="center" vertical="center"/>
    </xf>
    <xf numFmtId="0" fontId="11" fillId="77" borderId="281" xfId="92" applyFont="1" applyFill="1" applyBorder="1" applyAlignment="1">
      <alignment horizontal="center" vertical="center"/>
    </xf>
    <xf numFmtId="0" fontId="11" fillId="77" borderId="282" xfId="92" applyFont="1" applyFill="1" applyBorder="1" applyAlignment="1">
      <alignment horizontal="center" vertical="center"/>
    </xf>
    <xf numFmtId="0" fontId="29" fillId="0" borderId="280" xfId="92" applyFont="1" applyBorder="1" applyAlignment="1">
      <alignment horizontal="center" vertical="center"/>
    </xf>
    <xf numFmtId="41" fontId="29" fillId="0" borderId="80" xfId="7" applyFont="1" applyBorder="1" applyAlignment="1">
      <alignment horizontal="center" vertical="center"/>
    </xf>
    <xf numFmtId="41" fontId="29" fillId="0" borderId="281" xfId="7" applyFont="1" applyBorder="1" applyAlignment="1">
      <alignment horizontal="center" vertical="center"/>
    </xf>
    <xf numFmtId="0" fontId="29" fillId="0" borderId="80" xfId="92" applyFont="1" applyBorder="1" applyAlignment="1">
      <alignment horizontal="center" vertical="center"/>
    </xf>
    <xf numFmtId="0" fontId="29" fillId="0" borderId="281" xfId="92" applyFont="1" applyBorder="1" applyAlignment="1">
      <alignment horizontal="center" vertical="center"/>
    </xf>
    <xf numFmtId="10" fontId="29" fillId="0" borderId="253" xfId="4" applyNumberFormat="1" applyFont="1" applyBorder="1">
      <alignment vertical="center"/>
    </xf>
    <xf numFmtId="41" fontId="29" fillId="0" borderId="20" xfId="92" applyNumberFormat="1" applyFont="1" applyBorder="1">
      <alignment vertical="center"/>
    </xf>
    <xf numFmtId="10" fontId="29" fillId="0" borderId="253" xfId="92" applyNumberFormat="1" applyFont="1" applyBorder="1">
      <alignment vertical="center"/>
    </xf>
    <xf numFmtId="41" fontId="29" fillId="0" borderId="253" xfId="92" applyNumberFormat="1" applyFont="1" applyBorder="1">
      <alignment vertical="center"/>
    </xf>
    <xf numFmtId="41" fontId="29" fillId="0" borderId="228" xfId="92" applyNumberFormat="1" applyFont="1" applyBorder="1">
      <alignment vertical="center"/>
    </xf>
    <xf numFmtId="41" fontId="89" fillId="3" borderId="228" xfId="7" applyFont="1" applyFill="1" applyBorder="1" applyAlignment="1">
      <alignment horizontal="right" vertical="center"/>
    </xf>
    <xf numFmtId="41" fontId="29" fillId="0" borderId="276" xfId="92" applyNumberFormat="1" applyFont="1" applyBorder="1">
      <alignment vertical="center"/>
    </xf>
    <xf numFmtId="41" fontId="89" fillId="3" borderId="231" xfId="7" applyFont="1" applyFill="1" applyBorder="1" applyAlignment="1">
      <alignment horizontal="right" vertical="center"/>
    </xf>
    <xf numFmtId="41" fontId="89" fillId="3" borderId="255" xfId="7" applyFont="1" applyFill="1" applyBorder="1" applyAlignment="1">
      <alignment horizontal="right" vertical="center"/>
    </xf>
    <xf numFmtId="0" fontId="29" fillId="0" borderId="283" xfId="92" applyFont="1" applyBorder="1" applyAlignment="1">
      <alignment horizontal="center" vertical="center"/>
    </xf>
    <xf numFmtId="196" fontId="89" fillId="3" borderId="20" xfId="0" applyNumberFormat="1" applyFont="1" applyFill="1" applyBorder="1" applyAlignment="1">
      <alignment horizontal="right" vertical="center"/>
    </xf>
    <xf numFmtId="196" fontId="89" fillId="3" borderId="20" xfId="94" applyNumberFormat="1" applyFont="1" applyFill="1" applyBorder="1" applyAlignment="1">
      <alignment horizontal="right" vertical="center"/>
    </xf>
    <xf numFmtId="10" fontId="29" fillId="0" borderId="20" xfId="92" applyNumberFormat="1" applyFont="1" applyBorder="1">
      <alignment vertical="center"/>
    </xf>
    <xf numFmtId="41" fontId="29" fillId="0" borderId="231" xfId="92" applyNumberFormat="1" applyFont="1" applyBorder="1">
      <alignment vertical="center"/>
    </xf>
    <xf numFmtId="183" fontId="30" fillId="5" borderId="0" xfId="4" applyNumberFormat="1" applyFont="1" applyFill="1" applyBorder="1" applyAlignment="1">
      <alignment horizontal="right" vertical="center"/>
    </xf>
    <xf numFmtId="183" fontId="30" fillId="5" borderId="41" xfId="4" applyNumberFormat="1" applyFont="1" applyFill="1" applyBorder="1" applyAlignment="1">
      <alignment horizontal="right" vertical="center"/>
    </xf>
    <xf numFmtId="0" fontId="29" fillId="0" borderId="280" xfId="0" applyFont="1" applyBorder="1" applyAlignment="1">
      <alignment horizontal="left" vertical="center" indent="1"/>
    </xf>
    <xf numFmtId="0" fontId="29" fillId="0" borderId="153" xfId="92" applyFont="1" applyBorder="1">
      <alignment vertical="center"/>
    </xf>
    <xf numFmtId="0" fontId="35" fillId="0" borderId="281" xfId="93" applyFont="1" applyBorder="1" applyAlignment="1">
      <alignment horizontal="left" vertical="center"/>
    </xf>
    <xf numFmtId="0" fontId="35" fillId="0" borderId="280" xfId="93" applyFont="1" applyBorder="1" applyAlignment="1">
      <alignment horizontal="center" vertical="center"/>
    </xf>
    <xf numFmtId="41" fontId="35" fillId="0" borderId="153" xfId="7" applyFont="1" applyBorder="1" applyAlignment="1">
      <alignment horizontal="center" vertical="center"/>
    </xf>
    <xf numFmtId="41" fontId="29" fillId="0" borderId="281" xfId="7" applyFont="1" applyBorder="1">
      <alignment vertical="center"/>
    </xf>
    <xf numFmtId="0" fontId="29" fillId="0" borderId="280" xfId="92" applyFont="1" applyBorder="1">
      <alignment vertical="center"/>
    </xf>
    <xf numFmtId="0" fontId="29" fillId="0" borderId="281" xfId="92" applyFont="1" applyBorder="1">
      <alignment vertical="center"/>
    </xf>
    <xf numFmtId="0" fontId="29" fillId="0" borderId="283" xfId="92" applyFont="1" applyBorder="1">
      <alignment vertical="center"/>
    </xf>
    <xf numFmtId="211" fontId="29" fillId="0" borderId="153" xfId="92" applyNumberFormat="1" applyFont="1" applyBorder="1">
      <alignment vertical="center"/>
    </xf>
    <xf numFmtId="41" fontId="29" fillId="0" borderId="0" xfId="0" applyNumberFormat="1" applyFont="1">
      <alignment vertical="center"/>
    </xf>
    <xf numFmtId="0" fontId="29" fillId="0" borderId="110" xfId="92" applyFont="1" applyBorder="1">
      <alignment vertical="center"/>
    </xf>
    <xf numFmtId="41" fontId="29" fillId="0" borderId="110" xfId="7" applyFont="1" applyBorder="1">
      <alignment vertical="center"/>
    </xf>
    <xf numFmtId="0" fontId="21" fillId="71" borderId="0" xfId="0" applyFont="1" applyFill="1" applyBorder="1" applyAlignment="1">
      <alignment horizontal="right" vertical="center"/>
    </xf>
    <xf numFmtId="179" fontId="12" fillId="32" borderId="0" xfId="0" applyNumberFormat="1" applyFont="1" applyFill="1" applyBorder="1" applyAlignment="1">
      <alignment vertical="center"/>
    </xf>
    <xf numFmtId="183" fontId="26" fillId="0" borderId="198" xfId="0" applyNumberFormat="1" applyFont="1" applyFill="1" applyBorder="1" applyAlignment="1">
      <alignment horizontal="center" vertical="center" wrapText="1"/>
    </xf>
    <xf numFmtId="183" fontId="26" fillId="0" borderId="199" xfId="0" applyNumberFormat="1" applyFont="1" applyFill="1" applyBorder="1" applyAlignment="1">
      <alignment horizontal="center" vertical="center" wrapText="1"/>
    </xf>
    <xf numFmtId="178" fontId="206" fillId="72" borderId="183" xfId="0" applyNumberFormat="1" applyFont="1" applyFill="1" applyBorder="1" applyAlignment="1">
      <alignment horizontal="center" vertical="center" wrapText="1"/>
    </xf>
    <xf numFmtId="178" fontId="206" fillId="72" borderId="184" xfId="0" applyNumberFormat="1" applyFont="1" applyFill="1" applyBorder="1" applyAlignment="1">
      <alignment horizontal="center" vertical="center" wrapText="1"/>
    </xf>
    <xf numFmtId="178" fontId="206" fillId="72" borderId="186" xfId="0" applyNumberFormat="1" applyFont="1" applyFill="1" applyBorder="1" applyAlignment="1">
      <alignment horizontal="center" vertical="center" wrapText="1"/>
    </xf>
    <xf numFmtId="178" fontId="206" fillId="72" borderId="187" xfId="0" applyNumberFormat="1" applyFont="1" applyFill="1" applyBorder="1" applyAlignment="1">
      <alignment horizontal="center" vertical="center" wrapText="1"/>
    </xf>
    <xf numFmtId="178" fontId="206" fillId="72" borderId="184" xfId="0" applyNumberFormat="1" applyFont="1" applyFill="1" applyBorder="1" applyAlignment="1">
      <alignment horizontal="center" vertical="center"/>
    </xf>
    <xf numFmtId="178" fontId="206" fillId="72" borderId="187" xfId="0" applyNumberFormat="1" applyFont="1" applyFill="1" applyBorder="1" applyAlignment="1">
      <alignment horizontal="center" vertical="center"/>
    </xf>
    <xf numFmtId="178" fontId="206" fillId="72" borderId="185" xfId="0" applyNumberFormat="1" applyFont="1" applyFill="1" applyBorder="1" applyAlignment="1">
      <alignment horizontal="center" vertical="center" wrapText="1"/>
    </xf>
    <xf numFmtId="178" fontId="206" fillId="72" borderId="189" xfId="0" applyNumberFormat="1" applyFont="1" applyFill="1" applyBorder="1" applyAlignment="1">
      <alignment horizontal="center" vertical="center" wrapText="1"/>
    </xf>
    <xf numFmtId="0" fontId="206" fillId="72" borderId="195" xfId="0" applyFont="1" applyFill="1" applyBorder="1" applyAlignment="1">
      <alignment horizontal="center" vertical="center" wrapText="1"/>
    </xf>
    <xf numFmtId="0" fontId="27" fillId="72" borderId="196" xfId="0" applyFont="1" applyFill="1" applyBorder="1" applyAlignment="1">
      <alignment horizontal="center" vertical="center" wrapText="1"/>
    </xf>
    <xf numFmtId="0" fontId="219" fillId="68" borderId="214" xfId="0" applyNumberFormat="1" applyFont="1" applyFill="1" applyBorder="1" applyAlignment="1">
      <alignment horizontal="center" vertical="center"/>
    </xf>
    <xf numFmtId="0" fontId="27" fillId="0" borderId="215" xfId="0" applyFont="1" applyBorder="1" applyAlignment="1">
      <alignment horizontal="center" vertical="center"/>
    </xf>
    <xf numFmtId="0" fontId="0" fillId="0" borderId="215" xfId="0" applyBorder="1" applyAlignment="1">
      <alignment horizontal="center" vertical="center"/>
    </xf>
    <xf numFmtId="0" fontId="206" fillId="72" borderId="201" xfId="0" applyFont="1" applyFill="1" applyBorder="1" applyAlignment="1">
      <alignment horizontal="center" vertical="center" wrapText="1"/>
    </xf>
    <xf numFmtId="0" fontId="27" fillId="72" borderId="202" xfId="0" applyFont="1" applyFill="1" applyBorder="1" applyAlignment="1">
      <alignment horizontal="center" vertical="center" wrapText="1"/>
    </xf>
    <xf numFmtId="183" fontId="26" fillId="70" borderId="198" xfId="0" applyNumberFormat="1" applyFont="1" applyFill="1" applyBorder="1" applyAlignment="1">
      <alignment horizontal="center" vertical="center" wrapText="1"/>
    </xf>
    <xf numFmtId="183" fontId="26" fillId="70" borderId="199" xfId="0" applyNumberFormat="1" applyFont="1" applyFill="1" applyBorder="1" applyAlignment="1">
      <alignment horizontal="center" vertical="center" wrapText="1"/>
    </xf>
    <xf numFmtId="0" fontId="12" fillId="5" borderId="212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2" fillId="5" borderId="213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left" vertical="center"/>
    </xf>
    <xf numFmtId="0" fontId="29" fillId="0" borderId="268" xfId="92" applyFont="1" applyBorder="1" applyAlignment="1">
      <alignment horizontal="center" vertical="center"/>
    </xf>
    <xf numFmtId="0" fontId="29" fillId="0" borderId="269" xfId="92" applyFont="1" applyBorder="1" applyAlignment="1">
      <alignment horizontal="center" vertical="center"/>
    </xf>
    <xf numFmtId="0" fontId="29" fillId="0" borderId="270" xfId="92" applyFont="1" applyBorder="1" applyAlignment="1">
      <alignment horizontal="center" vertical="center"/>
    </xf>
    <xf numFmtId="0" fontId="29" fillId="0" borderId="272" xfId="9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41" xfId="0" applyFont="1" applyFill="1" applyBorder="1" applyAlignment="1">
      <alignment horizontal="left" vertical="center" wrapText="1"/>
    </xf>
    <xf numFmtId="0" fontId="11" fillId="21" borderId="50" xfId="0" applyFont="1" applyFill="1" applyBorder="1" applyAlignment="1">
      <alignment horizontal="center" vertical="center"/>
    </xf>
    <xf numFmtId="0" fontId="11" fillId="21" borderId="51" xfId="0" applyFont="1" applyFill="1" applyBorder="1" applyAlignment="1">
      <alignment horizontal="center" vertical="center"/>
    </xf>
    <xf numFmtId="0" fontId="104" fillId="0" borderId="106" xfId="17" applyBorder="1" applyAlignment="1">
      <alignment horizontal="center" vertical="center"/>
    </xf>
    <xf numFmtId="0" fontId="104" fillId="0" borderId="107" xfId="17" applyBorder="1" applyAlignment="1">
      <alignment horizontal="center" vertical="center"/>
    </xf>
    <xf numFmtId="0" fontId="104" fillId="0" borderId="108" xfId="17" applyBorder="1" applyAlignment="1">
      <alignment horizontal="center" vertical="center"/>
    </xf>
    <xf numFmtId="0" fontId="109" fillId="31" borderId="105" xfId="17" applyFont="1" applyFill="1" applyBorder="1" applyAlignment="1">
      <alignment horizontal="center" vertical="center"/>
    </xf>
    <xf numFmtId="0" fontId="114" fillId="4" borderId="105" xfId="17" applyFont="1" applyFill="1" applyBorder="1" applyAlignment="1">
      <alignment horizontal="center" vertical="center"/>
    </xf>
    <xf numFmtId="0" fontId="46" fillId="4" borderId="105" xfId="17" applyFont="1" applyFill="1" applyBorder="1" applyAlignment="1">
      <alignment horizontal="center" vertical="center"/>
    </xf>
    <xf numFmtId="176" fontId="116" fillId="0" borderId="110" xfId="0" applyNumberFormat="1" applyFont="1" applyFill="1" applyBorder="1" applyAlignment="1">
      <alignment horizontal="center" vertical="center"/>
    </xf>
    <xf numFmtId="0" fontId="116" fillId="0" borderId="110" xfId="0" applyFont="1" applyFill="1" applyBorder="1" applyAlignment="1">
      <alignment horizontal="center" vertical="center"/>
    </xf>
    <xf numFmtId="0" fontId="116" fillId="0" borderId="110" xfId="0" applyFont="1" applyFill="1" applyBorder="1" applyAlignment="1">
      <alignment vertical="center"/>
    </xf>
    <xf numFmtId="0" fontId="196" fillId="44" borderId="174" xfId="22" applyFont="1" applyFill="1" applyBorder="1" applyAlignment="1">
      <alignment horizontal="center" vertical="center"/>
    </xf>
    <xf numFmtId="0" fontId="196" fillId="44" borderId="175" xfId="22" applyFont="1" applyFill="1" applyBorder="1" applyAlignment="1">
      <alignment horizontal="center" vertical="center"/>
    </xf>
    <xf numFmtId="0" fontId="196" fillId="44" borderId="176" xfId="22" applyFont="1" applyFill="1" applyBorder="1" applyAlignment="1">
      <alignment horizontal="center" vertical="center"/>
    </xf>
    <xf numFmtId="0" fontId="196" fillId="44" borderId="248" xfId="22" applyFont="1" applyFill="1" applyBorder="1" applyAlignment="1">
      <alignment horizontal="center" vertical="center"/>
    </xf>
    <xf numFmtId="0" fontId="196" fillId="44" borderId="249" xfId="22" applyFont="1" applyFill="1" applyBorder="1" applyAlignment="1">
      <alignment horizontal="center" vertical="center"/>
    </xf>
    <xf numFmtId="0" fontId="195" fillId="44" borderId="174" xfId="22" applyFont="1" applyFill="1" applyBorder="1" applyAlignment="1">
      <alignment horizontal="center" vertical="center"/>
    </xf>
    <xf numFmtId="0" fontId="195" fillId="44" borderId="175" xfId="22" applyFont="1" applyFill="1" applyBorder="1" applyAlignment="1">
      <alignment horizontal="center" vertical="center"/>
    </xf>
    <xf numFmtId="0" fontId="195" fillId="44" borderId="176" xfId="22" applyFont="1" applyFill="1" applyBorder="1" applyAlignment="1">
      <alignment horizontal="center" vertical="center"/>
    </xf>
    <xf numFmtId="0" fontId="195" fillId="44" borderId="248" xfId="22" applyFont="1" applyFill="1" applyBorder="1" applyAlignment="1">
      <alignment horizontal="center" vertical="center"/>
    </xf>
    <xf numFmtId="0" fontId="195" fillId="44" borderId="249" xfId="22" applyFont="1" applyFill="1" applyBorder="1" applyAlignment="1">
      <alignment horizontal="center" vertical="center"/>
    </xf>
    <xf numFmtId="0" fontId="22" fillId="43" borderId="80" xfId="83" applyFont="1" applyFill="1" applyBorder="1" applyAlignment="1">
      <alignment horizontal="center" vertical="center"/>
    </xf>
    <xf numFmtId="0" fontId="22" fillId="43" borderId="227" xfId="83" applyFont="1" applyFill="1" applyBorder="1" applyAlignment="1">
      <alignment horizontal="center" vertical="center"/>
    </xf>
    <xf numFmtId="14" fontId="22" fillId="43" borderId="80" xfId="83" applyNumberFormat="1" applyFont="1" applyFill="1" applyBorder="1" applyAlignment="1">
      <alignment horizontal="center" vertical="center"/>
    </xf>
    <xf numFmtId="14" fontId="22" fillId="43" borderId="227" xfId="83" applyNumberFormat="1" applyFont="1" applyFill="1" applyBorder="1" applyAlignment="1">
      <alignment horizontal="center" vertical="center"/>
    </xf>
    <xf numFmtId="201" fontId="22" fillId="43" borderId="80" xfId="83" applyNumberFormat="1" applyFont="1" applyFill="1" applyBorder="1" applyAlignment="1">
      <alignment horizontal="center" vertical="center"/>
    </xf>
    <xf numFmtId="201" fontId="22" fillId="43" borderId="227" xfId="83" applyNumberFormat="1" applyFont="1" applyFill="1" applyBorder="1" applyAlignment="1">
      <alignment horizontal="center" vertical="center"/>
    </xf>
    <xf numFmtId="201" fontId="22" fillId="42" borderId="80" xfId="83" applyNumberFormat="1" applyFont="1" applyFill="1" applyBorder="1" applyAlignment="1">
      <alignment horizontal="center" vertical="center"/>
    </xf>
    <xf numFmtId="201" fontId="22" fillId="42" borderId="227" xfId="83" applyNumberFormat="1" applyFont="1" applyFill="1" applyBorder="1" applyAlignment="1">
      <alignment horizontal="center" vertical="center"/>
    </xf>
    <xf numFmtId="0" fontId="22" fillId="42" borderId="80" xfId="83" applyFont="1" applyFill="1" applyBorder="1" applyAlignment="1">
      <alignment horizontal="center" vertical="center"/>
    </xf>
    <xf numFmtId="0" fontId="22" fillId="42" borderId="227" xfId="83" applyFont="1" applyFill="1" applyBorder="1" applyAlignment="1">
      <alignment horizontal="center" vertical="center"/>
    </xf>
    <xf numFmtId="0" fontId="22" fillId="41" borderId="110" xfId="83" applyFont="1" applyFill="1" applyBorder="1" applyAlignment="1">
      <alignment horizontal="center" vertical="center"/>
    </xf>
    <xf numFmtId="0" fontId="169" fillId="36" borderId="132" xfId="0" applyFont="1" applyFill="1" applyBorder="1" applyAlignment="1">
      <alignment horizontal="center" vertical="center" wrapText="1"/>
    </xf>
    <xf numFmtId="0" fontId="169" fillId="36" borderId="136" xfId="0" applyFont="1" applyFill="1" applyBorder="1" applyAlignment="1">
      <alignment horizontal="center" vertical="center" wrapText="1"/>
    </xf>
    <xf numFmtId="0" fontId="169" fillId="36" borderId="133" xfId="0" applyFont="1" applyFill="1" applyBorder="1" applyAlignment="1">
      <alignment horizontal="center" vertical="center" wrapText="1"/>
    </xf>
    <xf numFmtId="0" fontId="169" fillId="36" borderId="138" xfId="0" applyFont="1" applyFill="1" applyBorder="1" applyAlignment="1">
      <alignment horizontal="center" vertical="center" wrapText="1"/>
    </xf>
    <xf numFmtId="0" fontId="169" fillId="36" borderId="134" xfId="0" applyFont="1" applyFill="1" applyBorder="1" applyAlignment="1">
      <alignment horizontal="center" vertical="center" wrapText="1"/>
    </xf>
    <xf numFmtId="0" fontId="169" fillId="36" borderId="135" xfId="0" applyFont="1" applyFill="1" applyBorder="1" applyAlignment="1">
      <alignment horizontal="center" vertical="center" wrapText="1"/>
    </xf>
    <xf numFmtId="0" fontId="169" fillId="36" borderId="137" xfId="0" applyFont="1" applyFill="1" applyBorder="1" applyAlignment="1">
      <alignment horizontal="right" vertical="center" wrapText="1"/>
    </xf>
    <xf numFmtId="0" fontId="169" fillId="36" borderId="138" xfId="0" applyFont="1" applyFill="1" applyBorder="1" applyAlignment="1">
      <alignment horizontal="right" vertical="center" wrapText="1"/>
    </xf>
    <xf numFmtId="0" fontId="169" fillId="36" borderId="135" xfId="0" applyFont="1" applyFill="1" applyBorder="1" applyAlignment="1">
      <alignment horizontal="right" vertical="center" wrapText="1"/>
    </xf>
    <xf numFmtId="0" fontId="169" fillId="36" borderId="139" xfId="0" applyFont="1" applyFill="1" applyBorder="1" applyAlignment="1">
      <alignment horizontal="center" vertical="center" wrapText="1"/>
    </xf>
    <xf numFmtId="0" fontId="169" fillId="36" borderId="140" xfId="0" applyFont="1" applyFill="1" applyBorder="1" applyAlignment="1">
      <alignment horizontal="center" vertical="center" wrapText="1"/>
    </xf>
    <xf numFmtId="0" fontId="169" fillId="36" borderId="159" xfId="0" applyFont="1" applyFill="1" applyBorder="1" applyAlignment="1">
      <alignment horizontal="center" vertical="center" wrapText="1"/>
    </xf>
    <xf numFmtId="0" fontId="169" fillId="36" borderId="141" xfId="0" applyFont="1" applyFill="1" applyBorder="1" applyAlignment="1">
      <alignment horizontal="center" vertical="center" wrapText="1"/>
    </xf>
    <xf numFmtId="0" fontId="169" fillId="36" borderId="142" xfId="0" applyFont="1" applyFill="1" applyBorder="1" applyAlignment="1">
      <alignment horizontal="center" vertical="center" wrapText="1"/>
    </xf>
    <xf numFmtId="0" fontId="164" fillId="44" borderId="156" xfId="0" applyFont="1" applyFill="1" applyBorder="1" applyAlignment="1">
      <alignment horizontal="center" vertical="center"/>
    </xf>
    <xf numFmtId="0" fontId="168" fillId="44" borderId="156" xfId="0" applyFont="1" applyFill="1" applyBorder="1" applyAlignment="1">
      <alignment horizontal="center" vertical="center"/>
    </xf>
    <xf numFmtId="0" fontId="82" fillId="0" borderId="111" xfId="10" applyFont="1" applyBorder="1" applyAlignment="1">
      <alignment horizontal="center" vertical="center" wrapText="1"/>
    </xf>
    <xf numFmtId="0" fontId="82" fillId="0" borderId="169" xfId="10" applyFont="1" applyBorder="1" applyAlignment="1">
      <alignment horizontal="center" vertical="center" wrapText="1"/>
    </xf>
    <xf numFmtId="0" fontId="82" fillId="0" borderId="111" xfId="10" applyFont="1" applyBorder="1" applyAlignment="1">
      <alignment horizontal="center"/>
    </xf>
    <xf numFmtId="0" fontId="82" fillId="0" borderId="169" xfId="10" applyFont="1" applyBorder="1" applyAlignment="1">
      <alignment horizontal="center"/>
    </xf>
    <xf numFmtId="0" fontId="82" fillId="0" borderId="153" xfId="10" applyFont="1" applyBorder="1" applyAlignment="1">
      <alignment horizontal="center" vertical="center" wrapText="1"/>
    </xf>
    <xf numFmtId="0" fontId="82" fillId="0" borderId="154" xfId="10" applyFont="1" applyBorder="1" applyAlignment="1">
      <alignment horizontal="center" vertical="center" wrapText="1"/>
    </xf>
    <xf numFmtId="194" fontId="200" fillId="26" borderId="153" xfId="8" applyNumberFormat="1" applyFont="1" applyFill="1" applyBorder="1" applyAlignment="1">
      <alignment horizontal="center" vertical="center"/>
    </xf>
    <xf numFmtId="0" fontId="0" fillId="0" borderId="149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37" fillId="6" borderId="0" xfId="0" applyNumberFormat="1" applyFont="1" applyFill="1" applyBorder="1" applyAlignment="1" applyProtection="1">
      <alignment horizontal="center"/>
    </xf>
    <xf numFmtId="0" fontId="140" fillId="36" borderId="132" xfId="0" applyFont="1" applyFill="1" applyBorder="1" applyAlignment="1">
      <alignment horizontal="center" vertical="center"/>
    </xf>
    <xf numFmtId="0" fontId="140" fillId="36" borderId="136" xfId="0" applyFont="1" applyFill="1" applyBorder="1" applyAlignment="1">
      <alignment horizontal="center" vertical="center"/>
    </xf>
    <xf numFmtId="0" fontId="140" fillId="36" borderId="133" xfId="0" applyFont="1" applyFill="1" applyBorder="1" applyAlignment="1">
      <alignment horizontal="center" vertical="center"/>
    </xf>
    <xf numFmtId="0" fontId="140" fillId="36" borderId="134" xfId="0" applyFont="1" applyFill="1" applyBorder="1" applyAlignment="1">
      <alignment horizontal="center" vertical="center"/>
    </xf>
    <xf numFmtId="0" fontId="140" fillId="36" borderId="135" xfId="0" applyFont="1" applyFill="1" applyBorder="1" applyAlignment="1">
      <alignment horizontal="center" vertical="center"/>
    </xf>
    <xf numFmtId="0" fontId="140" fillId="36" borderId="137" xfId="0" applyFont="1" applyFill="1" applyBorder="1" applyAlignment="1">
      <alignment horizontal="right" vertical="center" wrapText="1"/>
    </xf>
    <xf numFmtId="0" fontId="140" fillId="36" borderId="138" xfId="0" applyFont="1" applyFill="1" applyBorder="1" applyAlignment="1">
      <alignment horizontal="right" vertical="center" wrapText="1"/>
    </xf>
    <xf numFmtId="0" fontId="140" fillId="36" borderId="135" xfId="0" applyFont="1" applyFill="1" applyBorder="1" applyAlignment="1">
      <alignment horizontal="right" vertical="center" wrapText="1"/>
    </xf>
    <xf numFmtId="0" fontId="140" fillId="36" borderId="139" xfId="0" applyFont="1" applyFill="1" applyBorder="1" applyAlignment="1">
      <alignment horizontal="center" vertical="center" wrapText="1"/>
    </xf>
    <xf numFmtId="0" fontId="140" fillId="36" borderId="136" xfId="0" applyFont="1" applyFill="1" applyBorder="1" applyAlignment="1">
      <alignment horizontal="center" vertical="center" wrapText="1"/>
    </xf>
    <xf numFmtId="0" fontId="140" fillId="36" borderId="140" xfId="0" applyFont="1" applyFill="1" applyBorder="1" applyAlignment="1">
      <alignment horizontal="center" vertical="center" wrapText="1"/>
    </xf>
    <xf numFmtId="0" fontId="140" fillId="36" borderId="141" xfId="0" applyFont="1" applyFill="1" applyBorder="1" applyAlignment="1">
      <alignment horizontal="center" vertical="center" wrapText="1"/>
    </xf>
    <xf numFmtId="0" fontId="140" fillId="36" borderId="142" xfId="0" applyFont="1" applyFill="1" applyBorder="1" applyAlignment="1">
      <alignment horizontal="center" vertical="center" wrapText="1"/>
    </xf>
    <xf numFmtId="3" fontId="140" fillId="37" borderId="143" xfId="0" applyNumberFormat="1" applyFont="1" applyFill="1" applyBorder="1" applyAlignment="1">
      <alignment horizontal="right" vertical="center" wrapText="1"/>
    </xf>
    <xf numFmtId="3" fontId="140" fillId="37" borderId="145" xfId="0" applyNumberFormat="1" applyFont="1" applyFill="1" applyBorder="1" applyAlignment="1">
      <alignment horizontal="right" vertical="center" wrapText="1"/>
    </xf>
    <xf numFmtId="3" fontId="140" fillId="0" borderId="144" xfId="0" applyNumberFormat="1" applyFont="1" applyBorder="1" applyAlignment="1">
      <alignment horizontal="right" vertical="center" wrapText="1"/>
    </xf>
    <xf numFmtId="3" fontId="140" fillId="0" borderId="146" xfId="0" applyNumberFormat="1" applyFont="1" applyBorder="1" applyAlignment="1">
      <alignment horizontal="right" vertical="center" wrapText="1"/>
    </xf>
    <xf numFmtId="3" fontId="140" fillId="0" borderId="143" xfId="0" applyNumberFormat="1" applyFont="1" applyBorder="1" applyAlignment="1">
      <alignment horizontal="right" vertical="center" wrapText="1"/>
    </xf>
    <xf numFmtId="3" fontId="140" fillId="0" borderId="145" xfId="0" applyNumberFormat="1" applyFont="1" applyBorder="1" applyAlignment="1">
      <alignment horizontal="right" vertical="center" wrapText="1"/>
    </xf>
    <xf numFmtId="0" fontId="140" fillId="38" borderId="132" xfId="0" applyFont="1" applyFill="1" applyBorder="1" applyAlignment="1">
      <alignment horizontal="center" vertical="center" wrapText="1"/>
    </xf>
    <xf numFmtId="0" fontId="140" fillId="38" borderId="136" xfId="0" applyFont="1" applyFill="1" applyBorder="1" applyAlignment="1">
      <alignment horizontal="center" vertical="center" wrapText="1"/>
    </xf>
    <xf numFmtId="0" fontId="140" fillId="38" borderId="147" xfId="0" applyFont="1" applyFill="1" applyBorder="1" applyAlignment="1">
      <alignment horizontal="center" vertical="center" wrapText="1"/>
    </xf>
    <xf numFmtId="0" fontId="140" fillId="38" borderId="145" xfId="0" applyFont="1" applyFill="1" applyBorder="1" applyAlignment="1">
      <alignment horizontal="center" vertical="center" wrapText="1"/>
    </xf>
    <xf numFmtId="0" fontId="140" fillId="38" borderId="148" xfId="0" applyFont="1" applyFill="1" applyBorder="1" applyAlignment="1">
      <alignment horizontal="center" vertical="center" wrapText="1"/>
    </xf>
    <xf numFmtId="0" fontId="140" fillId="38" borderId="146" xfId="0" applyFont="1" applyFill="1" applyBorder="1" applyAlignment="1">
      <alignment horizontal="center" vertical="center" wrapText="1"/>
    </xf>
  </cellXfs>
  <cellStyles count="93">
    <cellStyle name="??&amp;O?&amp;H?_x0008__x000f__x0007_?_x0007__x0001__x0001_" xfId="25"/>
    <cellStyle name="??&amp;O?&amp;H?_x0008_??_x0007__x0001__x0001_" xfId="26"/>
    <cellStyle name="_cs본부-인력산출기준0511(1)" xfId="27"/>
    <cellStyle name="_KT입고차량(2006)" xfId="28"/>
    <cellStyle name="_추가보완자료" xfId="29"/>
    <cellStyle name="20% - 강조색1 2" xfId="30"/>
    <cellStyle name="20% - 강조색2 2" xfId="31"/>
    <cellStyle name="20% - 강조색3 2" xfId="32"/>
    <cellStyle name="20% - 강조색4 2" xfId="33"/>
    <cellStyle name="20% - 강조색5 2" xfId="34"/>
    <cellStyle name="20% - 강조색6 2" xfId="35"/>
    <cellStyle name="40% - 강조색1 2" xfId="36"/>
    <cellStyle name="40% - 강조색2 2" xfId="37"/>
    <cellStyle name="40% - 강조색3 2" xfId="38"/>
    <cellStyle name="40% - 강조색4 2" xfId="39"/>
    <cellStyle name="40% - 강조색5 2" xfId="40"/>
    <cellStyle name="40% - 강조색6 2" xfId="41"/>
    <cellStyle name="60% - 강조색1 2" xfId="42"/>
    <cellStyle name="60% - 강조색2 2" xfId="43"/>
    <cellStyle name="60% - 강조색3 2" xfId="44"/>
    <cellStyle name="60% - 강조색4 2" xfId="45"/>
    <cellStyle name="60% - 강조색5 2" xfId="46"/>
    <cellStyle name="60% - 강조색6 2" xfId="47"/>
    <cellStyle name="Comma [0]_제조1부1과 현황 " xfId="48"/>
    <cellStyle name="Comma_제조1부1과 현황 " xfId="49"/>
    <cellStyle name="Currency [0]_제조1부1과 현황 " xfId="50"/>
    <cellStyle name="Currency_제조1부1과 현황 " xfId="51"/>
    <cellStyle name="Normal 2" xfId="16"/>
    <cellStyle name="Normal 3" xfId="21"/>
    <cellStyle name="Normal_제조1부1과 현황 " xfId="52"/>
    <cellStyle name="top" xfId="20"/>
    <cellStyle name="강조색1 2" xfId="53"/>
    <cellStyle name="강조색2 2" xfId="54"/>
    <cellStyle name="강조색3 2" xfId="55"/>
    <cellStyle name="강조색4 2" xfId="56"/>
    <cellStyle name="강조색5 2" xfId="57"/>
    <cellStyle name="강조색6 2" xfId="58"/>
    <cellStyle name="경고문 2" xfId="59"/>
    <cellStyle name="계산 2" xfId="60"/>
    <cellStyle name="나쁨 2" xfId="61"/>
    <cellStyle name="메모 2" xfId="62"/>
    <cellStyle name="백분율" xfId="4" builtinId="5"/>
    <cellStyle name="백분율 2" xfId="9"/>
    <cellStyle name="백분율 2 2" xfId="63"/>
    <cellStyle name="백분율 3" xfId="12"/>
    <cellStyle name="보통 2" xfId="64"/>
    <cellStyle name="설명 텍스트 2" xfId="65"/>
    <cellStyle name="셀 확인 2" xfId="66"/>
    <cellStyle name="쉼표 [0]" xfId="7" builtinId="6"/>
    <cellStyle name="쉼표 [0] 19" xfId="23"/>
    <cellStyle name="쉼표 [0] 2" xfId="8"/>
    <cellStyle name="쉼표 [0] 2 2" xfId="89"/>
    <cellStyle name="쉼표 [0] 2 3" xfId="67"/>
    <cellStyle name="쉼표 [0] 3" xfId="88"/>
    <cellStyle name="쉼표 2" xfId="6"/>
    <cellStyle name="쉼표 3" xfId="14"/>
    <cellStyle name="스타일 1" xfId="68"/>
    <cellStyle name="연결된 셀 2" xfId="69"/>
    <cellStyle name="열어 본 하이퍼링크" xfId="2" builtinId="9"/>
    <cellStyle name="요약 2" xfId="70"/>
    <cellStyle name="입력 2" xfId="71"/>
    <cellStyle name="제목 1 2" xfId="73"/>
    <cellStyle name="제목 2 2" xfId="74"/>
    <cellStyle name="제목 3 2" xfId="75"/>
    <cellStyle name="제목 4 2" xfId="76"/>
    <cellStyle name="제목 5" xfId="72"/>
    <cellStyle name="좋음 2" xfId="77"/>
    <cellStyle name="출력 2" xfId="78"/>
    <cellStyle name="콤마 [0]_(첨부)배송인수처_상세내역(1)" xfId="79"/>
    <cellStyle name="콤마_(첨부)배송인수처_상세내역(1)" xfId="80"/>
    <cellStyle name="통화 [0] 2" xfId="82"/>
    <cellStyle name="통화 [0] 2 2" xfId="91"/>
    <cellStyle name="통화 [0] 3" xfId="90"/>
    <cellStyle name="통화 [0] 4" xfId="81"/>
    <cellStyle name="표준" xfId="0" builtinId="0"/>
    <cellStyle name="표준 13 3" xfId="13"/>
    <cellStyle name="표준 19" xfId="22"/>
    <cellStyle name="표준 2" xfId="5"/>
    <cellStyle name="표준 2 2" xfId="18"/>
    <cellStyle name="표준 2 3" xfId="17"/>
    <cellStyle name="표준 2 4" xfId="83"/>
    <cellStyle name="표준 2 5 2" xfId="92"/>
    <cellStyle name="표준 24" xfId="93"/>
    <cellStyle name="표준 3" xfId="10"/>
    <cellStyle name="표준 3 2" xfId="85"/>
    <cellStyle name="표준 3 3" xfId="84"/>
    <cellStyle name="표준 3 4" xfId="94"/>
    <cellStyle name="표준 4" xfId="11"/>
    <cellStyle name="표준 4 2" xfId="86"/>
    <cellStyle name="표준 5" xfId="19"/>
    <cellStyle name="표준 5 2" xfId="87"/>
    <cellStyle name="표준 6" xfId="24"/>
    <cellStyle name="하이퍼링크" xfId="15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numFmt numFmtId="33" formatCode="_-* #,##0_-;\-* #,##0_-;_-* &quot;-&quot;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00338D"/>
      <color rgb="FFC0C0C0"/>
      <color rgb="FF005EB8"/>
      <color rgb="FF963634"/>
      <color rgb="FFFF9933"/>
      <color rgb="FFFFCC66"/>
      <color rgb="FF99FF99"/>
      <color rgb="FF8099C6"/>
      <color rgb="FFE46D0A"/>
      <color rgb="FFFAC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5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84" Type="http://schemas.openxmlformats.org/officeDocument/2006/relationships/externalLink" Target="externalLinks/externalLink18.xml"/><Relationship Id="rId89" Type="http://schemas.openxmlformats.org/officeDocument/2006/relationships/externalLink" Target="externalLinks/externalLink23.xml"/><Relationship Id="rId112" Type="http://schemas.openxmlformats.org/officeDocument/2006/relationships/externalLink" Target="externalLinks/externalLink46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4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8.xml"/><Relationship Id="rId79" Type="http://schemas.openxmlformats.org/officeDocument/2006/relationships/externalLink" Target="externalLinks/externalLink13.xml"/><Relationship Id="rId102" Type="http://schemas.openxmlformats.org/officeDocument/2006/relationships/externalLink" Target="externalLinks/externalLink36.xml"/><Relationship Id="rId123" Type="http://schemas.openxmlformats.org/officeDocument/2006/relationships/pivotCacheDefinition" Target="pivotCache/pivotCacheDefinition3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4.xml"/><Relationship Id="rId95" Type="http://schemas.openxmlformats.org/officeDocument/2006/relationships/externalLink" Target="externalLinks/externalLink2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3.xml"/><Relationship Id="rId77" Type="http://schemas.openxmlformats.org/officeDocument/2006/relationships/externalLink" Target="externalLinks/externalLink11.xml"/><Relationship Id="rId100" Type="http://schemas.openxmlformats.org/officeDocument/2006/relationships/externalLink" Target="externalLinks/externalLink34.xml"/><Relationship Id="rId105" Type="http://schemas.openxmlformats.org/officeDocument/2006/relationships/externalLink" Target="externalLinks/externalLink39.xml"/><Relationship Id="rId113" Type="http://schemas.openxmlformats.org/officeDocument/2006/relationships/externalLink" Target="externalLinks/externalLink47.xml"/><Relationship Id="rId118" Type="http://schemas.openxmlformats.org/officeDocument/2006/relationships/externalLink" Target="externalLinks/externalLink52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6.xml"/><Relationship Id="rId80" Type="http://schemas.openxmlformats.org/officeDocument/2006/relationships/externalLink" Target="externalLinks/externalLink14.xml"/><Relationship Id="rId85" Type="http://schemas.openxmlformats.org/officeDocument/2006/relationships/externalLink" Target="externalLinks/externalLink19.xml"/><Relationship Id="rId93" Type="http://schemas.openxmlformats.org/officeDocument/2006/relationships/externalLink" Target="externalLinks/externalLink27.xml"/><Relationship Id="rId98" Type="http://schemas.openxmlformats.org/officeDocument/2006/relationships/externalLink" Target="externalLinks/externalLink32.xml"/><Relationship Id="rId121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103" Type="http://schemas.openxmlformats.org/officeDocument/2006/relationships/externalLink" Target="externalLinks/externalLink37.xml"/><Relationship Id="rId108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50.xml"/><Relationship Id="rId124" Type="http://schemas.openxmlformats.org/officeDocument/2006/relationships/pivotCacheDefinition" Target="pivotCache/pivotCacheDefinition4.xml"/><Relationship Id="rId12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4.xml"/><Relationship Id="rId75" Type="http://schemas.openxmlformats.org/officeDocument/2006/relationships/externalLink" Target="externalLinks/externalLink9.xml"/><Relationship Id="rId83" Type="http://schemas.openxmlformats.org/officeDocument/2006/relationships/externalLink" Target="externalLinks/externalLink17.xml"/><Relationship Id="rId88" Type="http://schemas.openxmlformats.org/officeDocument/2006/relationships/externalLink" Target="externalLinks/externalLink22.xml"/><Relationship Id="rId91" Type="http://schemas.openxmlformats.org/officeDocument/2006/relationships/externalLink" Target="externalLinks/externalLink25.xml"/><Relationship Id="rId96" Type="http://schemas.openxmlformats.org/officeDocument/2006/relationships/externalLink" Target="externalLinks/externalLink30.xml"/><Relationship Id="rId111" Type="http://schemas.openxmlformats.org/officeDocument/2006/relationships/externalLink" Target="externalLinks/externalLink45.xml"/><Relationship Id="rId13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0.xml"/><Relationship Id="rId114" Type="http://schemas.openxmlformats.org/officeDocument/2006/relationships/externalLink" Target="externalLinks/externalLink48.xml"/><Relationship Id="rId119" Type="http://schemas.openxmlformats.org/officeDocument/2006/relationships/externalLink" Target="externalLinks/externalLink53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7.xml"/><Relationship Id="rId78" Type="http://schemas.openxmlformats.org/officeDocument/2006/relationships/externalLink" Target="externalLinks/externalLink12.xml"/><Relationship Id="rId81" Type="http://schemas.openxmlformats.org/officeDocument/2006/relationships/externalLink" Target="externalLinks/externalLink15.xml"/><Relationship Id="rId86" Type="http://schemas.openxmlformats.org/officeDocument/2006/relationships/externalLink" Target="externalLinks/externalLink20.xml"/><Relationship Id="rId94" Type="http://schemas.openxmlformats.org/officeDocument/2006/relationships/externalLink" Target="externalLinks/externalLink28.xml"/><Relationship Id="rId99" Type="http://schemas.openxmlformats.org/officeDocument/2006/relationships/externalLink" Target="externalLinks/externalLink33.xml"/><Relationship Id="rId101" Type="http://schemas.openxmlformats.org/officeDocument/2006/relationships/externalLink" Target="externalLinks/externalLink35.xml"/><Relationship Id="rId122" Type="http://schemas.openxmlformats.org/officeDocument/2006/relationships/pivotCacheDefinition" Target="pivotCache/pivotCacheDefinition2.xml"/><Relationship Id="rId13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3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0.xml"/><Relationship Id="rId97" Type="http://schemas.openxmlformats.org/officeDocument/2006/relationships/externalLink" Target="externalLinks/externalLink31.xml"/><Relationship Id="rId104" Type="http://schemas.openxmlformats.org/officeDocument/2006/relationships/externalLink" Target="externalLinks/externalLink38.xml"/><Relationship Id="rId120" Type="http://schemas.openxmlformats.org/officeDocument/2006/relationships/externalLink" Target="externalLinks/externalLink54.xml"/><Relationship Id="rId125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.xml"/><Relationship Id="rId92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21.xml"/><Relationship Id="rId110" Type="http://schemas.openxmlformats.org/officeDocument/2006/relationships/externalLink" Target="externalLinks/externalLink44.xml"/><Relationship Id="rId115" Type="http://schemas.openxmlformats.org/officeDocument/2006/relationships/externalLink" Target="externalLinks/externalLink49.xml"/><Relationship Id="rId131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30073769473219"/>
          <c:y val="0.13181818181818197"/>
          <c:w val="0.72149085919543365"/>
          <c:h val="0.73000332082005848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 w="3175">
              <a:solidFill>
                <a:srgbClr val="FFFFFF"/>
              </a:solidFill>
              <a:prstDash val="solid"/>
            </a:ln>
          </c:spPr>
          <c:invertIfNegative val="0"/>
          <c:val>
            <c:numRef>
              <c:f>Result!$C$5:$C$7</c:f>
              <c:numCache>
                <c:formatCode>_(* #,##0_);_(* \(#,##0\);_(* "-"_);_(@_)</c:formatCode>
                <c:ptCount val="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0B-4BB9-8A33-AAD7D38B78CF}"/>
            </c:ext>
          </c:extLst>
        </c:ser>
        <c:ser>
          <c:idx val="1"/>
          <c:order val="1"/>
          <c:spPr>
            <a:solidFill>
              <a:srgbClr val="007C92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val>
            <c:numRef>
              <c:f>Result!$D$5:$D$7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0B-4BB9-8A33-AAD7D38B78CF}"/>
            </c:ext>
          </c:extLst>
        </c:ser>
        <c:ser>
          <c:idx val="2"/>
          <c:order val="2"/>
          <c:spPr>
            <a:noFill/>
            <a:ln w="3175">
              <a:solidFill>
                <a:srgbClr val="FFFFFF"/>
              </a:solidFill>
              <a:prstDash val="solid"/>
            </a:ln>
          </c:spPr>
          <c:invertIfNegative val="0"/>
          <c:val>
            <c:numRef>
              <c:f>Result!$E$5:$E$7</c:f>
              <c:numCache>
                <c:formatCode>_(* #,##0_);_(* \(#,##0\);_(* "-"_);_(@_)</c:formatCode>
                <c:ptCount val="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A0B-4BB9-8A33-AAD7D38B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68"/>
        <c:axId val="611153880"/>
        <c:axId val="611154272"/>
      </c:barChart>
      <c:catAx>
        <c:axId val="611153880"/>
        <c:scaling>
          <c:orientation val="minMax"/>
        </c:scaling>
        <c:delete val="0"/>
        <c:axPos val="l"/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1" i="0" baseline="0">
                <a:solidFill>
                  <a:schemeClr val="bg1"/>
                </a:solidFill>
                <a:latin typeface="+mj-ea"/>
                <a:ea typeface="+mj-ea"/>
              </a:defRPr>
            </a:pPr>
            <a:endParaRPr lang="ko-KR"/>
          </a:p>
        </c:txPr>
        <c:crossAx val="611154272"/>
        <c:crosses val="autoZero"/>
        <c:auto val="0"/>
        <c:lblAlgn val="ctr"/>
        <c:lblOffset val="100"/>
        <c:noMultiLvlLbl val="0"/>
      </c:catAx>
      <c:valAx>
        <c:axId val="611154272"/>
        <c:scaling>
          <c:orientation val="minMax"/>
          <c:max val="800000"/>
          <c:min val="400000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00" b="0">
                <a:latin typeface="+mj-ea"/>
                <a:ea typeface="+mj-ea"/>
              </a:defRPr>
            </a:pPr>
            <a:endParaRPr lang="ko-KR"/>
          </a:p>
        </c:txPr>
        <c:crossAx val="611153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baseline="0">
          <a:solidFill>
            <a:srgbClr val="000000"/>
          </a:solidFill>
          <a:latin typeface="Arial" pitchFamily="34" charset="0"/>
          <a:ea typeface="Univers 45 Light"/>
          <a:cs typeface="Univers 45 Light"/>
        </a:defRPr>
      </a:pPr>
      <a:endParaRPr lang="ko-KR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2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3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4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5.xml><?xml version="1.0" encoding="utf-8"?>
<formControlPr xmlns="http://schemas.microsoft.com/office/spreadsheetml/2009/9/main" objectType="Drop" dropLines="3" dropStyle="combo" dx="16" fmlaLink="$W$26" fmlaRange="$L$64:$L$66" sel="1" val="0"/>
</file>

<file path=xl/ctrlProps/ctrlProp6.xml><?xml version="1.0" encoding="utf-8"?>
<formControlPr xmlns="http://schemas.microsoft.com/office/spreadsheetml/2009/9/main" objectType="Drop" dropLines="5" dropStyle="combo" dx="16" fmlaLink="$W$28" fmlaRange="$N$81:$N$85" sel="1" val="0"/>
</file>

<file path=xl/ctrlProps/ctrlProp7.xml><?xml version="1.0" encoding="utf-8"?>
<formControlPr xmlns="http://schemas.microsoft.com/office/spreadsheetml/2009/9/main" objectType="Drop" dropLines="6" dropStyle="combo" dx="16" fmlaLink="$W$30" fmlaRange="$B$123:$B$128" sel="1" val="0"/>
</file>

<file path=xl/ctrlProps/ctrlProp8.xml><?xml version="1.0" encoding="utf-8"?>
<formControlPr xmlns="http://schemas.microsoft.com/office/spreadsheetml/2009/9/main" objectType="Drop" dropLines="6" dropStyle="combo" dx="16" fmlaLink="$W$32" fmlaRange="$B$123:$B$128" sel="1" val="0"/>
</file>

<file path=xl/ctrlProps/ctrlProp9.xml><?xml version="1.0" encoding="utf-8"?>
<formControlPr xmlns="http://schemas.microsoft.com/office/spreadsheetml/2009/9/main" objectType="Drop" dropLines="3" dropStyle="combo" dx="16" fmlaLink="$T$5" fmlaRange="$Q$5:$Q$7" sel="2" val="0"/>
</file>

<file path=xl/ctrlProps/ctrlProp10.xml><?xml version="1.0" encoding="utf-8"?>
<formControlPr xmlns="http://schemas.microsoft.com/office/spreadsheetml/2009/9/main" objectType="Drop" dropLines="3" dropStyle="combo" dx="16" fmlaLink="$V$165" fmlaRange="$S$165:$S$167" sel="2" val="0"/>
</file>

<file path=xl/ctrlProps/ctrlProp11.xml><?xml version="1.0" encoding="utf-8"?>
<formControlPr xmlns="http://schemas.microsoft.com/office/spreadsheetml/2009/9/main" objectType="Drop" dropLines="2" dropStyle="combo" dx="16" fmlaLink="$F$13" fmlaRange="#REF!" sel="0" val="0"/>
</file>

<file path=xl/ctrlProps/ctrlProp12.xml><?xml version="1.0" encoding="utf-8"?>
<formControlPr xmlns="http://schemas.microsoft.com/office/spreadsheetml/2009/9/main" objectType="Drop" dropLines="3" dropStyle="combo" dx="16" fmlaLink="$W$5" fmlaRange="$T$5:$T$7" sel="2" val="0"/>
</file>

<file path=xl/ctrlProps/ctrlProp13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14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15.xml><?xml version="1.0" encoding="utf-8"?>
<formControlPr xmlns="http://schemas.microsoft.com/office/spreadsheetml/2009/9/main" objectType="Drop" dropLines="2" dropStyle="combo" dx="16" fmlaLink="$Q$33" fmlaRange="$R$32:$R$33" sel="1" val="0"/>
</file>

<file path=xl/ctrlProps/ctrlProp16.xml><?xml version="1.0" encoding="utf-8"?>
<formControlPr xmlns="http://schemas.microsoft.com/office/spreadsheetml/2009/9/main" objectType="Drop" dropLines="2" dropStyle="combo" dx="16" fmlaLink="$Q$33" fmlaRange="$R$32:$R$33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16</xdr:row>
      <xdr:rowOff>95250</xdr:rowOff>
    </xdr:from>
    <xdr:to>
      <xdr:col>13</xdr:col>
      <xdr:colOff>628650</xdr:colOff>
      <xdr:row>19</xdr:row>
      <xdr:rowOff>38100</xdr:rowOff>
    </xdr:to>
    <xdr:pic>
      <xdr:nvPicPr>
        <xdr:cNvPr id="2" name="Picture 1" descr="Blue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48575" y="3848100"/>
          <a:ext cx="1333500" cy="4857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53417</xdr:colOff>
      <xdr:row>29</xdr:row>
      <xdr:rowOff>32373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11649" name="Drop Down 1" hidden="1">
              <a:extLst>
                <a:ext uri="{63B3BB69-23CF-44E3-9099-C40C66FF867C}">
                  <a14:compatExt spid="_x0000_s411649"/>
                </a:ext>
                <a:ext uri="{FF2B5EF4-FFF2-40B4-BE49-F238E27FC236}">
                  <a16:creationId xmlns:a16="http://schemas.microsoft.com/office/drawing/2014/main" xmlns="" id="{00000000-0008-0000-0700-000001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11650" name="Drop Down 2" hidden="1">
              <a:extLst>
                <a:ext uri="{63B3BB69-23CF-44E3-9099-C40C66FF867C}">
                  <a14:compatExt spid="_x0000_s411650"/>
                </a:ext>
                <a:ext uri="{FF2B5EF4-FFF2-40B4-BE49-F238E27FC236}">
                  <a16:creationId xmlns:a16="http://schemas.microsoft.com/office/drawing/2014/main" xmlns="" id="{00000000-0008-0000-0700-000002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11651" name="Drop Down 3" hidden="1">
              <a:extLst>
                <a:ext uri="{63B3BB69-23CF-44E3-9099-C40C66FF867C}">
                  <a14:compatExt spid="_x0000_s411651"/>
                </a:ext>
                <a:ext uri="{FF2B5EF4-FFF2-40B4-BE49-F238E27FC236}">
                  <a16:creationId xmlns:a16="http://schemas.microsoft.com/office/drawing/2014/main" xmlns="" id="{00000000-0008-0000-0700-000003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11652" name="Drop Down 4" hidden="1">
              <a:extLst>
                <a:ext uri="{63B3BB69-23CF-44E3-9099-C40C66FF867C}">
                  <a14:compatExt spid="_x0000_s411652"/>
                </a:ext>
                <a:ext uri="{FF2B5EF4-FFF2-40B4-BE49-F238E27FC236}">
                  <a16:creationId xmlns:a16="http://schemas.microsoft.com/office/drawing/2014/main" xmlns="" id="{00000000-0008-0000-0700-000004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25</xdr:row>
          <xdr:rowOff>0</xdr:rowOff>
        </xdr:from>
        <xdr:to>
          <xdr:col>19</xdr:col>
          <xdr:colOff>76200</xdr:colOff>
          <xdr:row>26</xdr:row>
          <xdr:rowOff>0</xdr:rowOff>
        </xdr:to>
        <xdr:sp macro="" textlink="">
          <xdr:nvSpPr>
            <xdr:cNvPr id="489473" name="Drop Down 1" hidden="1">
              <a:extLst>
                <a:ext uri="{63B3BB69-23CF-44E3-9099-C40C66FF867C}">
                  <a14:compatExt spid="_x0000_s489473"/>
                </a:ext>
                <a:ext uri="{FF2B5EF4-FFF2-40B4-BE49-F238E27FC236}">
                  <a16:creationId xmlns:a16="http://schemas.microsoft.com/office/drawing/2014/main" xmlns="" id="{00000000-0008-0000-0800-0000017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27</xdr:row>
          <xdr:rowOff>0</xdr:rowOff>
        </xdr:from>
        <xdr:to>
          <xdr:col>19</xdr:col>
          <xdr:colOff>76200</xdr:colOff>
          <xdr:row>28</xdr:row>
          <xdr:rowOff>0</xdr:rowOff>
        </xdr:to>
        <xdr:sp macro="" textlink="">
          <xdr:nvSpPr>
            <xdr:cNvPr id="489474" name="Drop Down 2" hidden="1">
              <a:extLst>
                <a:ext uri="{63B3BB69-23CF-44E3-9099-C40C66FF867C}">
                  <a14:compatExt spid="_x0000_s489474"/>
                </a:ext>
                <a:ext uri="{FF2B5EF4-FFF2-40B4-BE49-F238E27FC236}">
                  <a16:creationId xmlns:a16="http://schemas.microsoft.com/office/drawing/2014/main" xmlns="" id="{00000000-0008-0000-0800-0000027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29</xdr:row>
          <xdr:rowOff>0</xdr:rowOff>
        </xdr:from>
        <xdr:to>
          <xdr:col>19</xdr:col>
          <xdr:colOff>76200</xdr:colOff>
          <xdr:row>30</xdr:row>
          <xdr:rowOff>0</xdr:rowOff>
        </xdr:to>
        <xdr:sp macro="" textlink="">
          <xdr:nvSpPr>
            <xdr:cNvPr id="489475" name="Drop Down 3" hidden="1">
              <a:extLst>
                <a:ext uri="{63B3BB69-23CF-44E3-9099-C40C66FF867C}">
                  <a14:compatExt spid="_x0000_s489475"/>
                </a:ext>
                <a:ext uri="{FF2B5EF4-FFF2-40B4-BE49-F238E27FC236}">
                  <a16:creationId xmlns:a16="http://schemas.microsoft.com/office/drawing/2014/main" xmlns="" id="{00000000-0008-0000-0800-0000037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31</xdr:row>
          <xdr:rowOff>0</xdr:rowOff>
        </xdr:from>
        <xdr:to>
          <xdr:col>19</xdr:col>
          <xdr:colOff>76200</xdr:colOff>
          <xdr:row>32</xdr:row>
          <xdr:rowOff>0</xdr:rowOff>
        </xdr:to>
        <xdr:sp macro="" textlink="">
          <xdr:nvSpPr>
            <xdr:cNvPr id="489476" name="Drop Down 4" hidden="1">
              <a:extLst>
                <a:ext uri="{63B3BB69-23CF-44E3-9099-C40C66FF867C}">
                  <a14:compatExt spid="_x0000_s489476"/>
                </a:ext>
                <a:ext uri="{FF2B5EF4-FFF2-40B4-BE49-F238E27FC236}">
                  <a16:creationId xmlns:a16="http://schemas.microsoft.com/office/drawing/2014/main" xmlns="" id="{00000000-0008-0000-0800-0000047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3</xdr:row>
          <xdr:rowOff>152400</xdr:rowOff>
        </xdr:from>
        <xdr:to>
          <xdr:col>14</xdr:col>
          <xdr:colOff>676275</xdr:colOff>
          <xdr:row>5</xdr:row>
          <xdr:rowOff>9525</xdr:rowOff>
        </xdr:to>
        <xdr:sp macro="" textlink="">
          <xdr:nvSpPr>
            <xdr:cNvPr id="464897" name="Drop Down 1" hidden="1">
              <a:extLst>
                <a:ext uri="{63B3BB69-23CF-44E3-9099-C40C66FF867C}">
                  <a14:compatExt spid="_x0000_s464897"/>
                </a:ext>
                <a:ext uri="{FF2B5EF4-FFF2-40B4-BE49-F238E27FC236}">
                  <a16:creationId xmlns:a16="http://schemas.microsoft.com/office/drawing/2014/main" xmlns="" id="{00000000-0008-0000-1500-0000011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114300</xdr:colOff>
          <xdr:row>164</xdr:row>
          <xdr:rowOff>19050</xdr:rowOff>
        </xdr:from>
        <xdr:to>
          <xdr:col>15</xdr:col>
          <xdr:colOff>171450</xdr:colOff>
          <xdr:row>165</xdr:row>
          <xdr:rowOff>57150</xdr:rowOff>
        </xdr:to>
        <xdr:sp macro="" textlink="">
          <xdr:nvSpPr>
            <xdr:cNvPr id="479233" name="Drop Down 1" hidden="1">
              <a:extLst>
                <a:ext uri="{63B3BB69-23CF-44E3-9099-C40C66FF867C}">
                  <a14:compatExt spid="_x0000_s479233"/>
                </a:ext>
                <a:ext uri="{FF2B5EF4-FFF2-40B4-BE49-F238E27FC236}">
                  <a16:creationId xmlns:a16="http://schemas.microsoft.com/office/drawing/2014/main" xmlns="" id="{00000000-0008-0000-1400-0000015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257175</xdr:colOff>
          <xdr:row>130</xdr:row>
          <xdr:rowOff>28575</xdr:rowOff>
        </xdr:from>
        <xdr:to>
          <xdr:col>14</xdr:col>
          <xdr:colOff>133350</xdr:colOff>
          <xdr:row>131</xdr:row>
          <xdr:rowOff>38100</xdr:rowOff>
        </xdr:to>
        <xdr:sp macro="" textlink="">
          <xdr:nvSpPr>
            <xdr:cNvPr id="479240" name="Drop Down 8" hidden="1">
              <a:extLst>
                <a:ext uri="{63B3BB69-23CF-44E3-9099-C40C66FF867C}">
                  <a14:compatExt spid="_x0000_s479240"/>
                </a:ext>
                <a:ext uri="{FF2B5EF4-FFF2-40B4-BE49-F238E27FC236}">
                  <a16:creationId xmlns:a16="http://schemas.microsoft.com/office/drawing/2014/main" xmlns="" id="{00000000-0008-0000-1400-0000085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161925</xdr:colOff>
          <xdr:row>3</xdr:row>
          <xdr:rowOff>142875</xdr:rowOff>
        </xdr:from>
        <xdr:to>
          <xdr:col>16</xdr:col>
          <xdr:colOff>581025</xdr:colOff>
          <xdr:row>5</xdr:row>
          <xdr:rowOff>9525</xdr:rowOff>
        </xdr:to>
        <xdr:sp macro="" textlink="">
          <xdr:nvSpPr>
            <xdr:cNvPr id="466956" name="Drop Down 12" hidden="1">
              <a:extLst>
                <a:ext uri="{63B3BB69-23CF-44E3-9099-C40C66FF867C}">
                  <a14:compatExt spid="_x0000_s466956"/>
                </a:ext>
                <a:ext uri="{FF2B5EF4-FFF2-40B4-BE49-F238E27FC236}">
                  <a16:creationId xmlns:a16="http://schemas.microsoft.com/office/drawing/2014/main" xmlns="" id="{00000000-0008-0000-2200-00000C2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47489" name="Drop Down 1" hidden="1">
              <a:extLst>
                <a:ext uri="{63B3BB69-23CF-44E3-9099-C40C66FF867C}">
                  <a14:compatExt spid="_x0000_s447489"/>
                </a:ext>
                <a:ext uri="{FF2B5EF4-FFF2-40B4-BE49-F238E27FC236}">
                  <a16:creationId xmlns:a16="http://schemas.microsoft.com/office/drawing/2014/main" xmlns="" id="{00000000-0008-0000-3000-000001D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47490" name="Drop Down 2" hidden="1">
              <a:extLst>
                <a:ext uri="{63B3BB69-23CF-44E3-9099-C40C66FF867C}">
                  <a14:compatExt spid="_x0000_s447490"/>
                </a:ext>
                <a:ext uri="{FF2B5EF4-FFF2-40B4-BE49-F238E27FC236}">
                  <a16:creationId xmlns:a16="http://schemas.microsoft.com/office/drawing/2014/main" xmlns="" id="{00000000-0008-0000-3000-000002D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47491" name="Drop Down 3" hidden="1">
              <a:extLst>
                <a:ext uri="{63B3BB69-23CF-44E3-9099-C40C66FF867C}">
                  <a14:compatExt spid="_x0000_s447491"/>
                </a:ext>
                <a:ext uri="{FF2B5EF4-FFF2-40B4-BE49-F238E27FC236}">
                  <a16:creationId xmlns:a16="http://schemas.microsoft.com/office/drawing/2014/main" xmlns="" id="{00000000-0008-0000-3000-000003D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32</xdr:row>
          <xdr:rowOff>0</xdr:rowOff>
        </xdr:from>
        <xdr:to>
          <xdr:col>17</xdr:col>
          <xdr:colOff>361950</xdr:colOff>
          <xdr:row>32</xdr:row>
          <xdr:rowOff>152400</xdr:rowOff>
        </xdr:to>
        <xdr:sp macro="" textlink="">
          <xdr:nvSpPr>
            <xdr:cNvPr id="447492" name="Drop Down 4" hidden="1">
              <a:extLst>
                <a:ext uri="{63B3BB69-23CF-44E3-9099-C40C66FF867C}">
                  <a14:compatExt spid="_x0000_s447492"/>
                </a:ext>
                <a:ext uri="{FF2B5EF4-FFF2-40B4-BE49-F238E27FC236}">
                  <a16:creationId xmlns:a16="http://schemas.microsoft.com/office/drawing/2014/main" xmlns="" id="{00000000-0008-0000-3000-000004D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51116;&#54840;/&#48148;&#53461;%20&#54868;&#47732;/My%20Documents/My%20Documents/&#44221;&#46041;&#44508;/&#49352;%20&#54260;&#45908;/&#44208;&#49328;/&#51088;&#44552;/&#44208;&#49328;&#49436;/2000&#44208;&#49328;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_&#48149;&#51116;&#54805;\UTILITY\&#50896;&#44032;\UTILITY\UT_POOL\STEP1\1999&#45380;3&#50900;\OLD\LINK&#54980;\200003STEP1_&#50857;&#49688;_LINK&#5498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029\its%20mine\working%20paper\Provision\Documents%20and%20Settings\administrator.LGCDMA07\My%20Documents\Plan\2001\2001plan_Form_sub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03&#45380;&#49324;&#50629;&#44228;&#54925;\R1\2003&#45380;&#49324;&#44228;\&#49324;&#44228;%20R1\&#50896;&#44032;&#44228;&#49328;\2003-4-5&#47588;&#52636;&#44228;&#54925;(R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sol\Job%20Data\Job%20Data\&#44277;&#53685;\&#54924;&#51109;&#48512;&#51116;\&#48372;&#44256;&#49436;\03)9911&#51333;&#54633;(3&#45380;)_&#44592;&#4837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1_&#52572;&#50689;&#51008;\C\BHYUNDAI\COST\&#50896;&#44032;97\TAGT97_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ET\&#49340;&#54868;9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KUNE/COST/510/&#49373;&#49328;&#49892;&#51201;.5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3%20Jolly%20270%2004-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POWER7.XL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DL/ADLR1/1999/99&#49324;&#44228;COST%23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1064;&#44540;\MY%20DOCUMENTS\LYJ\SALE\Sale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_&#51228;&#51221;&#53441;\C\&#51228;&#54408;&#47588;&#52636;\1pn21y\&#52572;&#52488;&#50689;&#50629;&#50504;\2&#52380;1&#54032;&#44228;&#50689;&#50629;&#52488;&#505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A/&#51076;&#49884;/&#49352;%20&#54260;&#45908;%20(2)/COST706&#5122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8;&#51109;_&#50724;&#49345;&#44512;\C\My%20Documents\2002&#50696;&#49328;\2002&#45380;&#44277;&#47924;&#48512;&#47928;&#50696;&#49328;\B-1-37(update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1%20Jolly%20Model%20v%2021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28;&#54408;&#47588;&#52636;/1pn21y/&#52572;&#52488;&#50689;&#50629;&#50504;/2&#52380;1&#54032;&#44228;&#50689;&#50629;&#52488;&#505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oonkwon/Documents/kPMG/SIA/2017/01.%20On%20going/15.%20Project%20SVG1/13.Model/02.%20DCF/03.%20Draft%202/PJT%20SVG1_Valuation%20Model_v7.2_&#49324;&#50629;&#44228;&#54925;%20&#51456;&#50857;%20v_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72;&#51060;&#52768;\C\&#47691;&#51652;&#54260;&#45908;\&#50641;&#49472;\&#48393;&#54868;\&#49437;&#54252;(&#52572;&#51333;)\&#52769;&#44396;&#50672;&#51109;&#51312;&#494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4PKZKHQ5/&#50896;&#44592;&#51228;/&#52629;&#51228;&#44277;1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DL/ADLR1/2000/2000&#49324;&#44228;FULLCOST%23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LEE/COST/&#47588;&#52636;&#48516;&#49437;.JJJ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%20&#44288;&#47144;/service/1403%20SG&#44544;&#47196;&#48268;%20&#54217;&#44032;/&#51228;&#49884;/Galaxy%20S4_Cost%20Table(NFDL%20OCA_Pattern_Silk%20Screen)___Rev01_kkp___2014030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BID/&#49457;&#49328;&#54616;&#49688;/&#45236;&#50669;&#51077;&#52272;/&#49888;&#54788;&#54616;&#49688;/&#53664;&#44148;(&#49548;&#44032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NECT\xl\Phdmo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54984;&#44592;/str_lhk&#54868;&#51068;(~2000.12)/giant_project/ML_Modeling/Giant_Model3(990313)_fin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wi4711/Local%20Settings/Temporary%20Internet%20Files/Content.IE5/4L4NOV2N/val/DD%20files/JPM/04%20Jolly%20Model%20v%2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oonkwon/Documents/kPMG/SIA/2017/01.%20On%20going/15.%20Project%20SVG1/13.Model/01.%20GPCM/Project%20SVG1_GPCM%20WACC_20180122_v6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8;&#49457;_&#54861;&#49692;&#52268;\C\&#50900;&#44036;&#49892;&#51201;\&#52509;&#44292;01,02,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8;&#49457;_&#54861;&#49692;&#52268;\C\&#50900;&#44036;&#49892;&#51201;\4&#50900;&#49892;&#51201;%205,6&#50900;&#44228;&#5492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88;&#47532;&#54924;&#44228;\2003&#45380;&#49892;&#51201;&#50896;&#44032;&#44228;&#49328;\2003&#45380;&#49345;&#48152;&#44592;\&#47588;&#52636;&#49892;&#51201;&#48516;&#49437;(&#49345;&#48152;&#44592;%20rev.0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44592;_&#54616;&#51116;&#50689;\C\WINDOWS\TEMP\97&#54032;&#47588;&#49892;&#51201;\8&#50900;&#49892;&#51201;\8&#50900;&#49892;&#5120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ny\data\y-2001\REPORT-2001.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kyung1\shareddocs\&#44032;&#47549;\leadsheet%20sampl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1088;&#44552;&#44288;&#47532;&#45800;\2003&#45380;\2003&#45380;&#44036;&#44228;&#54925;\04&#49324;&#50629;&#44228;&#54925;\2003&#49324;&#44228;\20021024\SP2&#52380;3R1(20021031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277;&#44400;&#50896;&#44032;&#49328;&#52636;&#51088;&#47308;\61\&#53440;&#50892;&#53080;&#53944;&#47204;&#47084;&#52628;&#44032;&#50640;%20&#45824;&#54620;&#50896;&#44032;&#44228;&#49328;&#49436;(16&#48708;)\2&#50504;\L-10(MA-1A%20&#51228;&#51089;&#49444;&#52824;)&#50896;&#4837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&#48148;&#53461;%20&#54868;&#47732;\MA1A%20&#50896;&#44032;&#49328;&#52636;\L-10(MA-1A%20&#51228;&#51089;&#49444;&#52824;)\L-10(MA-1A%20&#51228;&#51089;&#49444;&#52824;)&#49688;&#51221;(01.04.03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1088;&#44552;&#44288;&#47532;&#45800;\2003&#45380;\2003&#45380;&#44036;&#44228;&#54925;\2001&#45380;&#54032;&#47588;&#49892;&#51201;\2&#50900;R02&#52380;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236;&#50672;\&#54620;&#50689;\AUDIT\2003&#44592;&#47568;&#44048;&#49324;\&#48120;&#44305;&#53080;&#53469;&#53944;&#47116;&#51592;\&#49340;&#51452;&#44148;&#49444;\MSOFFICE\EXCEL\KIM'DATA\EXCEL\&#51648;&#44553;&#50612;&#5102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UTCOP.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345;&#50868;\C\My%20Documents\JIN\JI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2&#44592;&#47568;&#44048;&#49324;\&#44544;&#47196;&#47532;&#50500;\&#44048;&#49324;%20program\&#52572;&#50672;&#49437;\MYDOCU~1\&#45824;&#54620;&#53945;~1\00&#44592;&#47568;\Audit\&#54620;&#44397;OSG\&#50724;&#50640;&#49828;&#51648;&#44048;&#44032;99(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&#44060;&#48156;&#48372;&#44256;&#49436;\windows\TEMP\&#45236;&#50669;\&#47560;&#49828;&#51089;&#50629;\&#47560;&#4982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51064;&#54952;\c\&#50641;&#49472;\&#49892;&#51221;&#48372;&#44256;\&#54788;&#54889;&#54032;\&#44397;&#46020;%233&#49440;&#54805;&#51312;&#51221;\&#44368;&#52264;&#47196;&#49440;&#54805;&#51312;&#51221;\&#54252;&#51109;&#44277;(&#48320;&#44221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52;&#50689;&#49688;\&#48277;&#51064;&#44208;&#49328;\2002&#45380;&#44480;&#49549;&#44208;&#49328;\2002&#45380;&#44208;&#49328;&#47749;&#49464;\MSOFFICE\EXCEL\KIM'DATA\EXCEL\&#51648;&#44553;&#50612;&#51020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4&#50900;&#54924;&#4719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88;&#47532;&#54924;&#44228;\2003&#45380;&#49892;&#51201;&#50896;&#44032;&#44228;&#49328;\2003&#45380;7&#50900;&#50896;&#44032;\7&#50900;%20&#47588;&#52636;&#49892;&#51201;&#48516;&#4943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1088;&#44552;&#44288;&#47532;&#45800;\2003&#45380;\2003&#45380;&#44036;&#44228;&#54925;\2001&#45380;&#54032;&#47588;&#49892;&#51201;\4&#50900;R02&#52380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44592;_&#54616;&#51116;&#50689;\C\WINDOWS\TEMP\97&#54032;&#47588;&#49892;&#51201;\7&#50900;&#49892;&#51201;\7&#50900;&#49892;&#51201;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REPORT97\&#54620;&#49888;\CONFR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FS11\SYS\work98\&#49552;&#51061;\&#49552;&#51061;98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89;&#45432;\C\&#50980;&#50689;&#45432;\&#50980;&#50689;&#45432;%20&#52572;&#44540;\Windows\&#48148;&#53461;%20&#54868;&#47732;\cr00R103(&#47928;&#44592;&#54788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wi4711/Local%20Settings/Temporary%20Internet%20Files/Content.IE5/4L4NOV2N/val/&#51088;&#44552;/&#52264;&#51077;&#44552;/&#44592;&#44036;&#48324;&#49345;&#5487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3\&#50500;&#49464;&#50500;&#51333;&#54633;&#44592;&#44228;&#51452;&#49885;&#54924;&#49324;\2002\(&#51452;)&#44148;&#54868;\&#48152;&#44592;&#44048;&#49324;\&#44048;&#49324;%20program\&#52572;&#50672;&#49437;\MYDOCU~1\&#45824;&#54620;&#53945;~1\00&#44592;&#47568;\Audit\&#54620;&#44397;OSG\&#50724;&#50640;&#49828;&#51648;&#44048;&#44032;99(&#49688;&#5122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VENDI단가산정"/>
      <sheetName val="금액계산및복합단가"/>
      <sheetName val="200003STEP1총괄표"/>
      <sheetName val="200003STEP1총괄표 (2)"/>
    </sheetNames>
    <sheetDataSet>
      <sheetData sheetId="0" refreshError="1">
        <row r="11">
          <cell r="S11">
            <v>26376360</v>
          </cell>
          <cell r="AH11">
            <v>21908760</v>
          </cell>
          <cell r="AW11">
            <v>4467600</v>
          </cell>
          <cell r="BL11">
            <v>20892600</v>
          </cell>
          <cell r="CA11">
            <v>9399480</v>
          </cell>
          <cell r="CP11">
            <v>4835520</v>
          </cell>
          <cell r="DE11">
            <v>4993200</v>
          </cell>
          <cell r="DT11">
            <v>727080</v>
          </cell>
          <cell r="EI11">
            <v>87600</v>
          </cell>
          <cell r="EX11">
            <v>385440000</v>
          </cell>
          <cell r="FM11">
            <v>236520000</v>
          </cell>
          <cell r="GB11">
            <v>1138800</v>
          </cell>
          <cell r="GQ11">
            <v>4861800</v>
          </cell>
          <cell r="HF11">
            <v>981120</v>
          </cell>
        </row>
        <row r="17">
          <cell r="G17">
            <v>1511970.6490252556</v>
          </cell>
        </row>
        <row r="28">
          <cell r="D28">
            <v>132199.76800000001</v>
          </cell>
        </row>
        <row r="29">
          <cell r="D29">
            <v>507468</v>
          </cell>
        </row>
        <row r="30">
          <cell r="D30">
            <v>4661</v>
          </cell>
        </row>
        <row r="31">
          <cell r="D31">
            <v>3530</v>
          </cell>
        </row>
        <row r="32">
          <cell r="D32">
            <v>2522</v>
          </cell>
        </row>
        <row r="33">
          <cell r="D33">
            <v>1523</v>
          </cell>
        </row>
        <row r="34">
          <cell r="D34">
            <v>3141922</v>
          </cell>
        </row>
        <row r="39">
          <cell r="G39">
            <v>1434017.5711742945</v>
          </cell>
        </row>
        <row r="41">
          <cell r="G41">
            <v>833915.8811286058</v>
          </cell>
        </row>
        <row r="42">
          <cell r="G42">
            <v>15087513.420989417</v>
          </cell>
        </row>
        <row r="44">
          <cell r="G44">
            <v>1677961.7944774295</v>
          </cell>
        </row>
        <row r="48">
          <cell r="G48">
            <v>-1537885.4500989616</v>
          </cell>
        </row>
        <row r="72">
          <cell r="G72">
            <v>150000000</v>
          </cell>
          <cell r="CS72">
            <v>18189760.036256313</v>
          </cell>
          <cell r="DH72">
            <v>22401091.366897501</v>
          </cell>
          <cell r="DW72">
            <v>2663854.7837730986</v>
          </cell>
          <cell r="EL72">
            <v>1469116.4386856118</v>
          </cell>
          <cell r="FA72">
            <v>48255876.085358813</v>
          </cell>
          <cell r="FP72">
            <v>33765955.227777109</v>
          </cell>
          <cell r="GE72">
            <v>3464113.8805485927</v>
          </cell>
          <cell r="GT72">
            <v>16368912.917800913</v>
          </cell>
          <cell r="HI72">
            <v>3421319.2629020503</v>
          </cell>
        </row>
        <row r="84">
          <cell r="G84">
            <v>30.5</v>
          </cell>
          <cell r="V84">
            <v>0</v>
          </cell>
          <cell r="AK84">
            <v>0</v>
          </cell>
          <cell r="AZ84">
            <v>0</v>
          </cell>
          <cell r="BO84">
            <v>0</v>
          </cell>
          <cell r="CS84">
            <v>5.1521256064900003</v>
          </cell>
          <cell r="DH84">
            <v>6.5625751344149998</v>
          </cell>
          <cell r="DW84">
            <v>0.68598964619999991</v>
          </cell>
          <cell r="EL84">
            <v>0.34647404073499999</v>
          </cell>
          <cell r="FA84">
            <v>6.46275645474</v>
          </cell>
          <cell r="FP84">
            <v>6.9389668192288241</v>
          </cell>
          <cell r="GE84">
            <v>0.61392318727500006</v>
          </cell>
          <cell r="GT84">
            <v>3.0911068933082002</v>
          </cell>
          <cell r="HI84">
            <v>0.64608221760797602</v>
          </cell>
        </row>
        <row r="96">
          <cell r="B96">
            <v>-1537885.4500989616</v>
          </cell>
        </row>
        <row r="104">
          <cell r="B104">
            <v>365</v>
          </cell>
        </row>
        <row r="115">
          <cell r="B115">
            <v>9246.0249211214104</v>
          </cell>
        </row>
      </sheetData>
      <sheetData sheetId="1" refreshError="1">
        <row r="22">
          <cell r="B22">
            <v>10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xt"/>
      <sheetName val="1.MS"/>
      <sheetName val="2.Orders"/>
      <sheetName val="3.Sales"/>
      <sheetName val="4.backlog"/>
      <sheetName val="5.PL"/>
      <sheetName val="6.Contribution"/>
      <sheetName val="7.Raw Material"/>
      <sheetName val="8-1.Expenses_Manufac"/>
      <sheetName val="8-2.Expenses_Install"/>
      <sheetName val="8-3.Expenses_SG&amp;A"/>
      <sheetName val="9.Non-operating"/>
      <sheetName val="10.BS"/>
      <sheetName val="10-1.BS(Summary)"/>
      <sheetName val="11.CashFlow"/>
      <sheetName val="12.CAPEX"/>
      <sheetName val="13.Working capital"/>
      <sheetName val="14.Portfolio"/>
      <sheetName val="15.Productive Hour"/>
      <sheetName val="16.Headcount"/>
      <sheetName val="2001plan_Form_subs"/>
      <sheetName val="#REF"/>
      <sheetName val="#REF!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1_MS"/>
      <sheetName val="2_Orders"/>
      <sheetName val="3_Sales"/>
      <sheetName val="4_backlog"/>
      <sheetName val="5_PL"/>
      <sheetName val="6_Contribution"/>
      <sheetName val="7_Raw_Material"/>
      <sheetName val="8-1_Expenses_Manufac"/>
      <sheetName val="8-2_Expenses_Install"/>
      <sheetName val="8-3_Expenses_SG&amp;A"/>
      <sheetName val="9_Non-operating"/>
      <sheetName val="10_BS"/>
      <sheetName val="10-1_BS(Summary)"/>
      <sheetName val="11_CashFlow"/>
      <sheetName val="12_CAPEX"/>
      <sheetName val="13_Working_capital"/>
      <sheetName val="14_Portfolio"/>
      <sheetName val="15_Productive_Hour"/>
      <sheetName val="16_Headcount"/>
      <sheetName val="公司间应收RMB香港"/>
      <sheetName val="未完工合同成本安装"/>
      <sheetName val="应付帐款安装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port(월별)"/>
      <sheetName val="2002추정"/>
      <sheetName val="2003RD"/>
      <sheetName val="2004RD"/>
      <sheetName val="2005RD"/>
      <sheetName val="2003MOU"/>
      <sheetName val="2004MOU"/>
      <sheetName val="단지구분(2003)"/>
      <sheetName val="단지구분(2004)"/>
      <sheetName val="단지구분(2005)"/>
      <sheetName val="Sheet1"/>
    </sheetNames>
    <sheetDataSet>
      <sheetData sheetId="0" refreshError="1">
        <row r="17">
          <cell r="B17">
            <v>1180</v>
          </cell>
        </row>
        <row r="18">
          <cell r="B18">
            <v>1180</v>
          </cell>
        </row>
        <row r="19">
          <cell r="B19">
            <v>1180</v>
          </cell>
        </row>
        <row r="59">
          <cell r="A59">
            <v>3</v>
          </cell>
          <cell r="E59">
            <v>1000</v>
          </cell>
        </row>
        <row r="68">
          <cell r="A68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뚜껑"/>
      <sheetName val="배점"/>
      <sheetName val="⑤항목별2"/>
      <sheetName val="①매출 (2)"/>
      <sheetName val="②이익 (2)"/>
      <sheetName val="③인력"/>
      <sheetName val="④재고등"/>
      <sheetName val="제"/>
      <sheetName val="칠"/>
      <sheetName val="삼"/>
      <sheetName val="햄"/>
      <sheetName val="리"/>
      <sheetName val="냉"/>
      <sheetName val="포"/>
      <sheetName val="식"/>
      <sheetName val="알"/>
      <sheetName val="전"/>
      <sheetName val="기"/>
      <sheetName val="후"/>
      <sheetName val="상"/>
      <sheetName val="캐"/>
      <sheetName val="호"/>
      <sheetName val="건"/>
      <sheetName val="텔"/>
      <sheetName val="면"/>
      <sheetName val="월"/>
      <sheetName val="부텔"/>
      <sheetName val="부면"/>
      <sheetName val="쇼"/>
      <sheetName val="역"/>
      <sheetName val="대"/>
      <sheetName val="조정내역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매출&amp;이익순위&amp;비율&amp;평균"/>
      <sheetName val="인력&amp;재고순위&amp;항목별&amp;96사별"/>
      <sheetName val="모조리인쇄"/>
      <sheetName val="⑤-1항목별매크로"/>
      <sheetName val="그래프매크로"/>
      <sheetName val="Module1"/>
      <sheetName val="Module2"/>
      <sheetName val="Module3"/>
      <sheetName val="Module4"/>
      <sheetName val="Module5"/>
      <sheetName val="Module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부서자료"/>
      <sheetName val="현금"/>
      <sheetName val="FRDS9805"/>
      <sheetName val="R&amp;D"/>
      <sheetName val="부서코드"/>
      <sheetName val="1공장 재공품생산현황"/>
      <sheetName val="CT 재공품생산현황"/>
      <sheetName val="완성차 미수금"/>
      <sheetName val="삼화95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출입자명단"/>
      <sheetName val="보정후BS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PAN"/>
      <sheetName val="1월"/>
      <sheetName val="법인구분"/>
      <sheetName val="기초코드"/>
      <sheetName val="IDONG"/>
      <sheetName val="99퇴직"/>
      <sheetName val="갑지(추정)"/>
      <sheetName val="경영혁신본부"/>
      <sheetName val="감가상각"/>
      <sheetName val="총물량"/>
      <sheetName val="코드"/>
      <sheetName val="외상매출금현황-수정분 A2"/>
      <sheetName val="원가율"/>
      <sheetName val="TSCLFEB"/>
      <sheetName val="계수원본(99.2.28)"/>
      <sheetName val="지점장"/>
      <sheetName val="YTD Sales(0411)"/>
      <sheetName val="213"/>
      <sheetName val="제조부문배부"/>
      <sheetName val="99선급비용"/>
      <sheetName val="회사정보"/>
      <sheetName val="사원명부"/>
      <sheetName val="10.31"/>
      <sheetName val="WorksheetSettings"/>
      <sheetName val="LIST"/>
      <sheetName val="회사전체"/>
      <sheetName val="보증금(전신전화가입권)"/>
      <sheetName val="계정과목"/>
      <sheetName val="환율시트"/>
      <sheetName val="세부pl"/>
      <sheetName val="Sheet11"/>
      <sheetName val="대차대조표"/>
      <sheetName val="WPL"/>
      <sheetName val="수익성분석"/>
      <sheetName val="손익계산서"/>
      <sheetName val="이익잉여금처분계산서"/>
      <sheetName val="제조원가명세서"/>
      <sheetName val="현금흐름표"/>
      <sheetName val="입력자료"/>
      <sheetName val="매출.물동명세"/>
      <sheetName val="Code"/>
      <sheetName val="Menu_Link"/>
      <sheetName val="basic_info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보정전BS(세분류)"/>
      <sheetName val="Net PL(세분류)"/>
      <sheetName val="지역개발"/>
      <sheetName val="Voucher"/>
      <sheetName val="5사남"/>
      <sheetName val="공통비(전체)"/>
      <sheetName val="서식시트"/>
      <sheetName val="원천세납부"/>
      <sheetName val="Cash Flow"/>
      <sheetName val="①매출"/>
      <sheetName val="99매출현"/>
      <sheetName val="은행"/>
      <sheetName val="XREF"/>
      <sheetName val="운반장소등록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부도어음"/>
      <sheetName val="6_3"/>
      <sheetName val="산출기준(파견전산실)"/>
      <sheetName val="발생집계"/>
      <sheetName val="95년간접비"/>
      <sheetName val="기본자료"/>
      <sheetName val="Details"/>
      <sheetName val="아파트 기성내역서"/>
      <sheetName val="받을어음할인및 융통어음"/>
      <sheetName val="3.판관비명세서"/>
      <sheetName val="9-1차이내역"/>
      <sheetName val="목표"/>
      <sheetName val="차수"/>
      <sheetName val="B"/>
      <sheetName val="공동"/>
      <sheetName val="단독"/>
      <sheetName val="Total"/>
      <sheetName val="ke24(0404)"/>
      <sheetName val="KE24(0403)"/>
      <sheetName val="계정code"/>
      <sheetName val="장할생활 (2)"/>
      <sheetName val="증감분석 및 연결조정"/>
      <sheetName val="외상매입금_Detail"/>
      <sheetName val="담보평가"/>
      <sheetName val="총괄표"/>
      <sheetName val="2.대외공문"/>
      <sheetName val="업무분장 "/>
      <sheetName val="입고단가기준"/>
      <sheetName val="요약BS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其他应收款明细及帐龄分析(表5)"/>
      <sheetName val="3-31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보빈규격"/>
      <sheetName val="2.상각보정명세"/>
      <sheetName val="일위대가"/>
      <sheetName val="가정"/>
      <sheetName val="현장관리비"/>
      <sheetName val="리츠"/>
      <sheetName val="달성율"/>
      <sheetName val="1월실적 (2)"/>
      <sheetName val="금융"/>
      <sheetName val="리스"/>
      <sheetName val="보험"/>
      <sheetName val="S&amp;R"/>
      <sheetName val="손익"/>
      <sheetName val="비교원가제출.고"/>
      <sheetName val="공사개요"/>
      <sheetName val="개인법인구분"/>
      <sheetName val="인별호봉표"/>
      <sheetName val="4-1. 매출원가 손익계획 집계표"/>
      <sheetName val="건축공사"/>
      <sheetName val="명세서"/>
      <sheetName val="2공구산출내역"/>
      <sheetName val="설계내역서"/>
      <sheetName val="해창정"/>
      <sheetName val="인원자료"/>
      <sheetName val="수h"/>
      <sheetName val="하수급견적대비"/>
      <sheetName val="항목"/>
      <sheetName val="사업자등록증"/>
      <sheetName val="공사기성"/>
      <sheetName val="매출채권 및 담보비율 변동"/>
      <sheetName val="미지급비용2"/>
      <sheetName val="미지급비용"/>
      <sheetName val="현금흐름Ⅰ"/>
      <sheetName val="공통"/>
      <sheetName val="RC"/>
      <sheetName val="cfanal"/>
      <sheetName val="profit"/>
      <sheetName val="주주명부&lt;끝&gt;"/>
      <sheetName val="노임이"/>
      <sheetName val="건설중인"/>
      <sheetName val="쌍용자료"/>
      <sheetName val="대우자료"/>
      <sheetName val="크라운"/>
      <sheetName val="화섬 MDP"/>
      <sheetName val="시산표"/>
      <sheetName val="이자율"/>
      <sheetName val="영업소실적"/>
      <sheetName val="만기"/>
      <sheetName val="Sheet6"/>
      <sheetName val="부산"/>
      <sheetName val="DATA"/>
      <sheetName val="금액집계(리포트)"/>
      <sheetName val="퇴직급여충당금12.31"/>
      <sheetName val="TCA"/>
      <sheetName val="미오"/>
      <sheetName val="자본금"/>
      <sheetName val="재고"/>
      <sheetName val="퇴충"/>
      <sheetName val="범한여행"/>
      <sheetName val="대차대조표12.01"/>
      <sheetName val="해외법인"/>
      <sheetName val="합계잔액시산표"/>
      <sheetName val="월별"/>
      <sheetName val="Rate"/>
      <sheetName val="작업불가"/>
      <sheetName val="유림골조"/>
      <sheetName val="Reference"/>
      <sheetName val="3250-41"/>
      <sheetName val="00'미수"/>
      <sheetName val="연체대출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불표"/>
      <sheetName val="입고12"/>
      <sheetName val="출고12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Reference (변경)"/>
      <sheetName val="부재료입고집계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Farmtrac(Long)"/>
      <sheetName val="Table"/>
      <sheetName val="공수"/>
      <sheetName val="수리결과"/>
      <sheetName val="각종data"/>
      <sheetName val="3-4현"/>
      <sheetName val="상세"/>
      <sheetName val="적용환율"/>
      <sheetName val="Class-Char"/>
      <sheetName val="비용 배부후"/>
      <sheetName val="RECIMAKE"/>
      <sheetName val="외상매입금점별현황"/>
      <sheetName val="0"/>
      <sheetName val="Dólar Observado"/>
      <sheetName val="4.2유효폭의 계산"/>
      <sheetName val="1.MDF1공장"/>
      <sheetName val="대구은행"/>
      <sheetName val="대비"/>
      <sheetName val="3-3현"/>
      <sheetName val="A1"/>
      <sheetName val="RES"/>
      <sheetName val="본부별매출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0701"/>
      <sheetName val="지급보증금74"/>
      <sheetName val="분개종합(01)"/>
      <sheetName val="LEASE4"/>
      <sheetName val="회사제시"/>
      <sheetName val="부서CODE"/>
      <sheetName val="호봉CODE"/>
      <sheetName val="TDTKP"/>
      <sheetName val="DK-KH"/>
      <sheetName val="송전기본"/>
      <sheetName val="유가증권미수"/>
      <sheetName val="연장수당"/>
      <sheetName val="듀레이션"/>
      <sheetName val="기준봉급표"/>
      <sheetName val="직급별인적"/>
      <sheetName val="VB "/>
      <sheetName val="118.세금과공과"/>
      <sheetName val="품의양"/>
      <sheetName val="종기실공문"/>
      <sheetName val="아울렛 농산벤더"/>
      <sheetName val="주차별리스트"/>
      <sheetName val="페이지전경"/>
      <sheetName val="1페이지보고"/>
      <sheetName val="을-ATYPE"/>
      <sheetName val="가격비"/>
      <sheetName val="단기차입금(200006)"/>
      <sheetName val="RV미수수익보정"/>
      <sheetName val="불균등-거치외(미수)"/>
      <sheetName val="불균등-TOP(선수)"/>
      <sheetName val="일위_파일"/>
      <sheetName val="법인별요약"/>
      <sheetName val="admin"/>
      <sheetName val="원가계산 (2)"/>
      <sheetName val="도근좌표"/>
      <sheetName val="선급비용"/>
      <sheetName val="충당금"/>
      <sheetName val="수율"/>
      <sheetName val="CAUDIT"/>
      <sheetName val="T6-6(7)"/>
      <sheetName val="Scoresheet"/>
      <sheetName val="지급이자와할인료(직매각)"/>
      <sheetName val="입력.판매"/>
      <sheetName val="입력.인원"/>
      <sheetName val="건설가계정"/>
      <sheetName val="기초작업"/>
      <sheetName val="comm"/>
      <sheetName val="대차정산"/>
      <sheetName val="주주명부-가나다"/>
      <sheetName val="민감도"/>
      <sheetName val="작성요령"/>
      <sheetName val="투자자본상계"/>
      <sheetName val="(실사조정)총괄"/>
      <sheetName val="위험보험료표"/>
      <sheetName val="BOM"/>
      <sheetName val="기초해지"/>
      <sheetName val="검산금액"/>
      <sheetName val="선수보증금"/>
      <sheetName val="연체일수"/>
      <sheetName val="잔가합계"/>
      <sheetName val="중도해지진행업체"/>
      <sheetName val="기초해지2"/>
      <sheetName val="Config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Asset98-CAK"/>
      <sheetName val="Asset9809CAK"/>
      <sheetName val="우리종금예상재무제표"/>
      <sheetName val="#REF"/>
      <sheetName val="누계매출"/>
      <sheetName val="회수율"/>
      <sheetName val="마스터"/>
      <sheetName val="BM_NEW2"/>
      <sheetName val="권리분석"/>
      <sheetName val="BACKDATA"/>
      <sheetName val="국민연금"/>
      <sheetName val="당월손익계산서★"/>
      <sheetName val="고객지원무상출하"/>
      <sheetName val="연구소예외출고"/>
      <sheetName val="2.Critical Component Estimation"/>
      <sheetName val="보증어음분류"/>
      <sheetName val="사모사채분류"/>
      <sheetName val="00.08계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실적"/>
    </sheetNames>
    <sheetDataSet>
      <sheetData sheetId="0" refreshError="1">
        <row r="5">
          <cell r="CJ5">
            <v>2</v>
          </cell>
        </row>
        <row r="12">
          <cell r="O12">
            <v>3</v>
          </cell>
          <cell r="Y12">
            <v>364796</v>
          </cell>
          <cell r="AJ12">
            <v>38465</v>
          </cell>
          <cell r="BH12">
            <v>340795.5</v>
          </cell>
          <cell r="BR12">
            <v>35940.199999999997</v>
          </cell>
          <cell r="BS12">
            <v>37925.300000000003</v>
          </cell>
          <cell r="BX12">
            <v>391590</v>
          </cell>
          <cell r="BY12">
            <v>396625</v>
          </cell>
          <cell r="BZ12">
            <v>396213</v>
          </cell>
          <cell r="CO12">
            <v>44082.388144999997</v>
          </cell>
          <cell r="CP12">
            <v>15240.333044999999</v>
          </cell>
          <cell r="CR12">
            <v>14254.781824999998</v>
          </cell>
          <cell r="CS12">
            <v>15026.496888900001</v>
          </cell>
          <cell r="CT12">
            <v>39967.327834099997</v>
          </cell>
        </row>
        <row r="13">
          <cell r="Y13">
            <v>191528</v>
          </cell>
          <cell r="AJ13">
            <v>20195</v>
          </cell>
          <cell r="BH13">
            <v>180640.1</v>
          </cell>
          <cell r="BR13">
            <v>18899.400000000001</v>
          </cell>
          <cell r="BS13">
            <v>19716.400000000001</v>
          </cell>
          <cell r="BX13">
            <v>453672</v>
          </cell>
          <cell r="BY13">
            <v>453700</v>
          </cell>
          <cell r="BZ13">
            <v>453370</v>
          </cell>
          <cell r="CO13">
            <v>26593.654890000002</v>
          </cell>
          <cell r="CP13">
            <v>9155.8071500000005</v>
          </cell>
          <cell r="CR13">
            <v>8574.6577800000014</v>
          </cell>
          <cell r="CS13">
            <v>8938.8242680000003</v>
          </cell>
          <cell r="CT13">
            <v>24371.904984200002</v>
          </cell>
        </row>
        <row r="14">
          <cell r="Y14">
            <v>132224</v>
          </cell>
          <cell r="AJ14">
            <v>13942</v>
          </cell>
          <cell r="BH14">
            <v>126752.5</v>
          </cell>
          <cell r="BR14">
            <v>13251.3</v>
          </cell>
          <cell r="BS14">
            <v>13998.9</v>
          </cell>
          <cell r="BX14">
            <v>149902</v>
          </cell>
          <cell r="BY14">
            <v>138723</v>
          </cell>
          <cell r="BZ14">
            <v>131924</v>
          </cell>
          <cell r="CO14">
            <v>5676.1568310000002</v>
          </cell>
          <cell r="CP14">
            <v>1839.284408</v>
          </cell>
          <cell r="CR14">
            <v>1838.2600898999999</v>
          </cell>
          <cell r="CS14">
            <v>1846.7908835999999</v>
          </cell>
          <cell r="CT14">
            <v>5142.7448282999994</v>
          </cell>
        </row>
        <row r="15">
          <cell r="Y15">
            <v>260542</v>
          </cell>
          <cell r="AJ15">
            <v>27472</v>
          </cell>
          <cell r="BH15">
            <v>253509.2</v>
          </cell>
          <cell r="BR15">
            <v>28682.400000000001</v>
          </cell>
          <cell r="BS15">
            <v>27957.3</v>
          </cell>
          <cell r="BX15">
            <v>137642</v>
          </cell>
          <cell r="BY15">
            <v>138514</v>
          </cell>
          <cell r="BZ15">
            <v>127498</v>
          </cell>
          <cell r="CO15">
            <v>10721.012476</v>
          </cell>
          <cell r="CP15">
            <v>3502.6250559999999</v>
          </cell>
          <cell r="CR15">
            <v>3972.9139536000002</v>
          </cell>
          <cell r="CS15">
            <v>3564.4998353999999</v>
          </cell>
          <cell r="CT15">
            <v>9770.0892817999993</v>
          </cell>
        </row>
        <row r="16">
          <cell r="BH16">
            <v>0</v>
          </cell>
          <cell r="CO16">
            <v>0</v>
          </cell>
          <cell r="CP16">
            <v>0</v>
          </cell>
          <cell r="CR16">
            <v>0</v>
          </cell>
          <cell r="CS16">
            <v>0</v>
          </cell>
          <cell r="CT16">
            <v>0</v>
          </cell>
        </row>
        <row r="17">
          <cell r="Y17">
            <v>949090</v>
          </cell>
          <cell r="AJ17">
            <v>100074</v>
          </cell>
          <cell r="BH17">
            <v>901697.29999999993</v>
          </cell>
          <cell r="BR17">
            <v>96773.299999999988</v>
          </cell>
          <cell r="BS17">
            <v>99597.900000000009</v>
          </cell>
          <cell r="CO17">
            <v>0</v>
          </cell>
          <cell r="CP17">
            <v>0</v>
          </cell>
          <cell r="CR17">
            <v>0</v>
          </cell>
          <cell r="CS17">
            <v>0</v>
          </cell>
          <cell r="CT17">
            <v>0</v>
          </cell>
        </row>
        <row r="18">
          <cell r="Y18">
            <v>122771</v>
          </cell>
          <cell r="AJ18">
            <v>12948</v>
          </cell>
          <cell r="BH18">
            <v>113642.1</v>
          </cell>
          <cell r="BR18">
            <v>11640.1</v>
          </cell>
          <cell r="BS18">
            <v>11978.2</v>
          </cell>
          <cell r="BX18">
            <v>254648</v>
          </cell>
          <cell r="BY18">
            <v>287632</v>
          </cell>
          <cell r="BZ18">
            <v>274830</v>
          </cell>
          <cell r="CO18">
            <v>10204.421734</v>
          </cell>
          <cell r="CP18">
            <v>3558.4988400000002</v>
          </cell>
          <cell r="CR18">
            <v>3348.0652432000002</v>
          </cell>
          <cell r="CS18">
            <v>3291.9687060000001</v>
          </cell>
          <cell r="CT18">
            <v>9723.2786243999999</v>
          </cell>
        </row>
        <row r="19">
          <cell r="Y19">
            <v>209130</v>
          </cell>
          <cell r="AJ19">
            <v>22051</v>
          </cell>
          <cell r="BH19">
            <v>203856.7</v>
          </cell>
          <cell r="BR19">
            <v>21757.199999999997</v>
          </cell>
          <cell r="BS19">
            <v>22429.7</v>
          </cell>
          <cell r="BX19">
            <v>187757</v>
          </cell>
          <cell r="BY19">
            <v>186000</v>
          </cell>
          <cell r="BZ19">
            <v>186000</v>
          </cell>
          <cell r="CO19">
            <v>11946.277607</v>
          </cell>
          <cell r="CP19">
            <v>4101.4859999999999</v>
          </cell>
          <cell r="CR19">
            <v>4046.8391999999994</v>
          </cell>
          <cell r="CS19">
            <v>4171.9242000000004</v>
          </cell>
          <cell r="CT19">
            <v>11548.177002100001</v>
          </cell>
        </row>
        <row r="20">
          <cell r="Y20">
            <v>82915</v>
          </cell>
          <cell r="AJ20">
            <v>8745</v>
          </cell>
          <cell r="BH20">
            <v>76995.5</v>
          </cell>
          <cell r="BR20">
            <v>8094.6</v>
          </cell>
          <cell r="BS20">
            <v>7963.4</v>
          </cell>
          <cell r="BX20">
            <v>148720</v>
          </cell>
          <cell r="BY20">
            <v>148720</v>
          </cell>
          <cell r="BZ20">
            <v>152485</v>
          </cell>
          <cell r="CO20">
            <v>3801.7664599999998</v>
          </cell>
          <cell r="CP20">
            <v>1333.481325</v>
          </cell>
          <cell r="CR20">
            <v>1203.8289119999999</v>
          </cell>
          <cell r="CS20">
            <v>1214.299049</v>
          </cell>
          <cell r="CT20">
            <v>3556.8972245</v>
          </cell>
        </row>
        <row r="21">
          <cell r="Y21">
            <v>46544</v>
          </cell>
          <cell r="AJ21">
            <v>4909</v>
          </cell>
          <cell r="BH21">
            <v>42671.81</v>
          </cell>
          <cell r="BR21">
            <v>4599.3999999999996</v>
          </cell>
          <cell r="BS21">
            <v>4862.5</v>
          </cell>
          <cell r="BX21">
            <v>187757</v>
          </cell>
          <cell r="BY21">
            <v>186000</v>
          </cell>
          <cell r="BZ21">
            <v>186000</v>
          </cell>
          <cell r="CO21">
            <v>2654.8471129999998</v>
          </cell>
          <cell r="CP21">
            <v>913.07399999999996</v>
          </cell>
          <cell r="CR21">
            <v>855.48839999999984</v>
          </cell>
          <cell r="CS21">
            <v>904.42499999999995</v>
          </cell>
          <cell r="CT21">
            <v>2302.2448613000001</v>
          </cell>
        </row>
        <row r="22">
          <cell r="Y22">
            <v>461360</v>
          </cell>
          <cell r="AJ22">
            <v>48653</v>
          </cell>
          <cell r="BH22">
            <v>0</v>
          </cell>
          <cell r="CO22">
            <v>0</v>
          </cell>
          <cell r="CP22">
            <v>9906.5401650000003</v>
          </cell>
          <cell r="CR22">
            <v>0</v>
          </cell>
          <cell r="CS22">
            <v>0</v>
          </cell>
          <cell r="CT22">
            <v>0</v>
          </cell>
        </row>
        <row r="23">
          <cell r="Y23">
            <v>0</v>
          </cell>
          <cell r="BH23">
            <v>437166.11</v>
          </cell>
          <cell r="BR23">
            <v>46091.299999999996</v>
          </cell>
          <cell r="BS23">
            <v>47233.8</v>
          </cell>
          <cell r="CO23">
            <v>0</v>
          </cell>
          <cell r="CP23">
            <v>0</v>
          </cell>
          <cell r="CR23">
            <v>0</v>
          </cell>
          <cell r="CS23">
            <v>0</v>
          </cell>
          <cell r="CT23">
            <v>27130.597712300001</v>
          </cell>
        </row>
        <row r="24">
          <cell r="Y24">
            <v>0</v>
          </cell>
          <cell r="BH24">
            <v>0</v>
          </cell>
          <cell r="BX24">
            <v>0</v>
          </cell>
          <cell r="CO24">
            <v>0</v>
          </cell>
          <cell r="CP24">
            <v>0</v>
          </cell>
          <cell r="CR24">
            <v>0</v>
          </cell>
          <cell r="CS24">
            <v>0</v>
          </cell>
          <cell r="CT24">
            <v>0</v>
          </cell>
        </row>
        <row r="25">
          <cell r="Y25">
            <v>70177</v>
          </cell>
          <cell r="AJ25">
            <v>7391</v>
          </cell>
          <cell r="BH25">
            <v>63068.5</v>
          </cell>
          <cell r="BR25">
            <v>7312.9</v>
          </cell>
          <cell r="BS25">
            <v>7861.3</v>
          </cell>
          <cell r="BX25">
            <v>190000</v>
          </cell>
          <cell r="BY25">
            <v>190000</v>
          </cell>
          <cell r="BZ25">
            <v>190000</v>
          </cell>
          <cell r="CO25">
            <v>4072.84</v>
          </cell>
          <cell r="CP25">
            <v>1404.29</v>
          </cell>
          <cell r="CR25">
            <v>1389.451</v>
          </cell>
          <cell r="CS25">
            <v>1493.6469999999999</v>
          </cell>
          <cell r="CT25">
            <v>3846.3409999999999</v>
          </cell>
        </row>
        <row r="26">
          <cell r="Y26">
            <v>70177</v>
          </cell>
          <cell r="AJ26">
            <v>7391</v>
          </cell>
          <cell r="BH26">
            <v>0</v>
          </cell>
          <cell r="CO26">
            <v>0</v>
          </cell>
          <cell r="CP26">
            <v>1404.29</v>
          </cell>
          <cell r="CR26">
            <v>0</v>
          </cell>
          <cell r="CS26">
            <v>0</v>
          </cell>
          <cell r="CT26">
            <v>0</v>
          </cell>
        </row>
        <row r="27">
          <cell r="Y27">
            <v>140354</v>
          </cell>
          <cell r="BH27">
            <v>63068.5</v>
          </cell>
          <cell r="BR27">
            <v>7312.9</v>
          </cell>
          <cell r="BS27">
            <v>7861.3</v>
          </cell>
          <cell r="CO27">
            <v>0</v>
          </cell>
          <cell r="CP27">
            <v>0</v>
          </cell>
          <cell r="CR27">
            <v>0</v>
          </cell>
          <cell r="CS27">
            <v>0</v>
          </cell>
          <cell r="CT27">
            <v>3846.3409999999999</v>
          </cell>
        </row>
        <row r="28">
          <cell r="Y28">
            <v>11922</v>
          </cell>
          <cell r="AJ28">
            <v>1258</v>
          </cell>
          <cell r="BH28">
            <v>1987</v>
          </cell>
          <cell r="BR28">
            <v>0</v>
          </cell>
          <cell r="BS28">
            <v>572.70000000000005</v>
          </cell>
          <cell r="BX28">
            <v>340000</v>
          </cell>
          <cell r="BY28">
            <v>347377</v>
          </cell>
          <cell r="BZ28">
            <v>300000</v>
          </cell>
          <cell r="CO28">
            <v>1197.040272</v>
          </cell>
          <cell r="CP28">
            <v>377.4</v>
          </cell>
          <cell r="CR28">
            <v>0</v>
          </cell>
          <cell r="CS28">
            <v>171.81</v>
          </cell>
          <cell r="CT28">
            <v>0</v>
          </cell>
        </row>
        <row r="29">
          <cell r="Y29">
            <v>1326</v>
          </cell>
          <cell r="AJ29">
            <v>140</v>
          </cell>
          <cell r="BH29">
            <v>688.6</v>
          </cell>
          <cell r="BR29">
            <v>0</v>
          </cell>
          <cell r="BS29">
            <v>216.8</v>
          </cell>
          <cell r="BX29">
            <v>340000</v>
          </cell>
          <cell r="BY29">
            <v>347377</v>
          </cell>
          <cell r="BZ29">
            <v>300000</v>
          </cell>
          <cell r="CO29">
            <v>133.069502</v>
          </cell>
          <cell r="CP29">
            <v>42</v>
          </cell>
          <cell r="CR29">
            <v>0</v>
          </cell>
          <cell r="CS29">
            <v>65.040000000000006</v>
          </cell>
          <cell r="CT29">
            <v>42.45</v>
          </cell>
        </row>
        <row r="30">
          <cell r="Y30">
            <v>12306</v>
          </cell>
          <cell r="AJ30">
            <v>1298</v>
          </cell>
          <cell r="BH30">
            <v>13160.8</v>
          </cell>
          <cell r="BR30">
            <v>0</v>
          </cell>
          <cell r="BS30">
            <v>1607.1</v>
          </cell>
          <cell r="BX30">
            <v>152593</v>
          </cell>
          <cell r="BY30">
            <v>150414</v>
          </cell>
          <cell r="BZ30">
            <v>146829</v>
          </cell>
          <cell r="CO30">
            <v>563.91651000000002</v>
          </cell>
          <cell r="CP30">
            <v>190.58404200000001</v>
          </cell>
          <cell r="CR30">
            <v>0</v>
          </cell>
          <cell r="CS30">
            <v>235.96888589999998</v>
          </cell>
          <cell r="CT30">
            <v>671.27738270000009</v>
          </cell>
        </row>
        <row r="31">
          <cell r="Y31">
            <v>42885.700000000004</v>
          </cell>
          <cell r="AJ31">
            <v>4525.3</v>
          </cell>
          <cell r="BH31">
            <v>24787</v>
          </cell>
          <cell r="BR31">
            <v>0</v>
          </cell>
          <cell r="BS31">
            <v>127.4</v>
          </cell>
          <cell r="BX31">
            <v>152593</v>
          </cell>
          <cell r="BY31">
            <v>150414</v>
          </cell>
          <cell r="BZ31">
            <v>146829</v>
          </cell>
          <cell r="CO31">
            <v>1964.9745349000002</v>
          </cell>
          <cell r="CP31">
            <v>664.44527370000003</v>
          </cell>
          <cell r="CR31">
            <v>0</v>
          </cell>
          <cell r="CS31">
            <v>18.706014600000003</v>
          </cell>
          <cell r="CT31">
            <v>1420.8635230999998</v>
          </cell>
        </row>
        <row r="32">
          <cell r="Y32">
            <v>68439.700000000012</v>
          </cell>
          <cell r="BH32">
            <v>0</v>
          </cell>
          <cell r="CO32">
            <v>0</v>
          </cell>
          <cell r="CP32">
            <v>0</v>
          </cell>
          <cell r="CR32">
            <v>0</v>
          </cell>
          <cell r="CS32">
            <v>0</v>
          </cell>
          <cell r="CT32">
            <v>0</v>
          </cell>
        </row>
        <row r="33">
          <cell r="Y33">
            <v>0</v>
          </cell>
          <cell r="BH33">
            <v>40623.399999999994</v>
          </cell>
          <cell r="BR33">
            <v>0</v>
          </cell>
          <cell r="BS33">
            <v>2524</v>
          </cell>
          <cell r="CO33">
            <v>0</v>
          </cell>
          <cell r="CP33">
            <v>0</v>
          </cell>
          <cell r="CR33">
            <v>0</v>
          </cell>
          <cell r="CS33">
            <v>0</v>
          </cell>
          <cell r="CT33">
            <v>2134.5909057999997</v>
          </cell>
        </row>
        <row r="34">
          <cell r="Y34">
            <v>0</v>
          </cell>
          <cell r="BH34">
            <v>0</v>
          </cell>
          <cell r="CO34">
            <v>0</v>
          </cell>
          <cell r="CP34">
            <v>0</v>
          </cell>
          <cell r="CR34">
            <v>0</v>
          </cell>
          <cell r="CS34">
            <v>0</v>
          </cell>
          <cell r="CT34">
            <v>0</v>
          </cell>
        </row>
        <row r="35">
          <cell r="Y35">
            <v>0</v>
          </cell>
          <cell r="BH35">
            <v>540858.01</v>
          </cell>
          <cell r="BR35">
            <v>53404.2</v>
          </cell>
          <cell r="BS35">
            <v>57619.100000000006</v>
          </cell>
          <cell r="CO35">
            <v>0</v>
          </cell>
          <cell r="CP35">
            <v>0</v>
          </cell>
          <cell r="CR35">
            <v>0</v>
          </cell>
          <cell r="CS35">
            <v>0</v>
          </cell>
          <cell r="CT35">
            <v>33111.529618100001</v>
          </cell>
        </row>
        <row r="36">
          <cell r="Y36">
            <v>0</v>
          </cell>
          <cell r="BH36">
            <v>0</v>
          </cell>
          <cell r="CO36">
            <v>0</v>
          </cell>
          <cell r="CP36">
            <v>0</v>
          </cell>
          <cell r="CR36">
            <v>0</v>
          </cell>
          <cell r="CS36">
            <v>0</v>
          </cell>
          <cell r="CT36">
            <v>0</v>
          </cell>
        </row>
        <row r="37">
          <cell r="Y37">
            <v>0</v>
          </cell>
          <cell r="BH37">
            <v>1442555.31</v>
          </cell>
          <cell r="BR37">
            <v>150177.5</v>
          </cell>
          <cell r="BS37">
            <v>157217</v>
          </cell>
          <cell r="CO37">
            <v>0</v>
          </cell>
          <cell r="CP37">
            <v>0</v>
          </cell>
          <cell r="CR37">
            <v>0</v>
          </cell>
          <cell r="CS37">
            <v>0</v>
          </cell>
          <cell r="CT37">
            <v>33111.529618100001</v>
          </cell>
        </row>
        <row r="38">
          <cell r="Y38">
            <v>0</v>
          </cell>
          <cell r="BH38">
            <v>0</v>
          </cell>
          <cell r="CO38">
            <v>0</v>
          </cell>
          <cell r="CP38">
            <v>0</v>
          </cell>
          <cell r="CR38">
            <v>0</v>
          </cell>
          <cell r="CS38">
            <v>0</v>
          </cell>
          <cell r="CT38">
            <v>0</v>
          </cell>
        </row>
        <row r="39">
          <cell r="Y39">
            <v>82201</v>
          </cell>
          <cell r="AJ39">
            <v>8460</v>
          </cell>
          <cell r="BH39">
            <v>84138.5</v>
          </cell>
          <cell r="BR39">
            <v>8656.6</v>
          </cell>
          <cell r="BS39">
            <v>7744.4</v>
          </cell>
          <cell r="BX39">
            <v>493193</v>
          </cell>
          <cell r="BY39">
            <v>497094</v>
          </cell>
          <cell r="BZ39">
            <v>490421</v>
          </cell>
          <cell r="CO39">
            <v>12562.127898000001</v>
          </cell>
          <cell r="CP39">
            <v>4148.9616599999999</v>
          </cell>
          <cell r="CR39">
            <v>4303.1439204000008</v>
          </cell>
          <cell r="CS39">
            <v>3798.0163923999994</v>
          </cell>
          <cell r="CT39">
            <v>12887.960638000002</v>
          </cell>
        </row>
        <row r="40">
          <cell r="Y40">
            <v>7869</v>
          </cell>
          <cell r="AJ40">
            <v>810</v>
          </cell>
          <cell r="BH40">
            <v>7744.4</v>
          </cell>
          <cell r="BR40">
            <v>803.6</v>
          </cell>
          <cell r="BS40">
            <v>712.2</v>
          </cell>
          <cell r="BX40">
            <v>493971</v>
          </cell>
          <cell r="BY40">
            <v>534247</v>
          </cell>
          <cell r="BZ40">
            <v>532680</v>
          </cell>
          <cell r="CO40">
            <v>1264.200613</v>
          </cell>
          <cell r="CP40">
            <v>431.4708</v>
          </cell>
          <cell r="CR40">
            <v>429.32088920000001</v>
          </cell>
          <cell r="CS40">
            <v>379.37469599999997</v>
          </cell>
          <cell r="CT40">
            <v>1264.7209992999999</v>
          </cell>
        </row>
        <row r="41">
          <cell r="Y41">
            <v>361</v>
          </cell>
          <cell r="AJ41">
            <v>37</v>
          </cell>
          <cell r="BH41">
            <v>393</v>
          </cell>
          <cell r="BR41">
            <v>34.6</v>
          </cell>
          <cell r="BS41">
            <v>43.2</v>
          </cell>
          <cell r="BX41">
            <v>700000</v>
          </cell>
          <cell r="BY41">
            <v>700000</v>
          </cell>
          <cell r="BZ41">
            <v>696165</v>
          </cell>
          <cell r="CO41">
            <v>78.258105</v>
          </cell>
          <cell r="CP41">
            <v>25.758105</v>
          </cell>
          <cell r="CR41">
            <v>24.22</v>
          </cell>
          <cell r="CS41">
            <v>30.074328000000005</v>
          </cell>
          <cell r="CT41">
            <v>91.710963500000005</v>
          </cell>
        </row>
        <row r="42">
          <cell r="Y42">
            <v>8200</v>
          </cell>
          <cell r="AJ42">
            <v>900</v>
          </cell>
          <cell r="BH42">
            <v>7266.7999999999993</v>
          </cell>
          <cell r="BR42">
            <v>728.4</v>
          </cell>
          <cell r="BS42">
            <v>903.8</v>
          </cell>
          <cell r="BX42">
            <v>650000</v>
          </cell>
          <cell r="BY42">
            <v>640852</v>
          </cell>
          <cell r="BZ42">
            <v>643444</v>
          </cell>
          <cell r="CO42">
            <v>1220.8664000000001</v>
          </cell>
          <cell r="CP42">
            <v>579.09960000000001</v>
          </cell>
          <cell r="CR42">
            <v>466.79659680000003</v>
          </cell>
          <cell r="CS42">
            <v>581.54468719999988</v>
          </cell>
          <cell r="CT42">
            <v>1018.34637</v>
          </cell>
        </row>
        <row r="43">
          <cell r="Y43">
            <v>33200</v>
          </cell>
          <cell r="AJ43">
            <v>3400</v>
          </cell>
          <cell r="BH43">
            <v>28843.7</v>
          </cell>
          <cell r="BR43">
            <v>3085.2</v>
          </cell>
          <cell r="BS43">
            <v>3062.5</v>
          </cell>
          <cell r="BX43">
            <v>24000</v>
          </cell>
          <cell r="BY43">
            <v>24000</v>
          </cell>
          <cell r="BZ43">
            <v>24000</v>
          </cell>
          <cell r="CO43">
            <v>242.4</v>
          </cell>
          <cell r="CP43">
            <v>81.599999999999994</v>
          </cell>
          <cell r="CR43">
            <v>74.044799999999995</v>
          </cell>
          <cell r="CS43">
            <v>73.5</v>
          </cell>
          <cell r="CT43">
            <v>173.24160000000001</v>
          </cell>
        </row>
        <row r="44">
          <cell r="Y44">
            <v>131831</v>
          </cell>
          <cell r="AJ44">
            <v>13607</v>
          </cell>
          <cell r="BH44">
            <v>0</v>
          </cell>
          <cell r="CO44">
            <v>0</v>
          </cell>
          <cell r="CP44">
            <v>5266.8901650000007</v>
          </cell>
          <cell r="CR44">
            <v>0</v>
          </cell>
          <cell r="CS44">
            <v>0</v>
          </cell>
          <cell r="CT44">
            <v>0</v>
          </cell>
        </row>
        <row r="45">
          <cell r="Y45">
            <v>0</v>
          </cell>
          <cell r="BH45">
            <v>128386.4</v>
          </cell>
          <cell r="BR45">
            <v>13308.400000000001</v>
          </cell>
          <cell r="BS45">
            <v>12466.1</v>
          </cell>
          <cell r="CO45">
            <v>0</v>
          </cell>
          <cell r="CP45">
            <v>0</v>
          </cell>
          <cell r="CR45">
            <v>0</v>
          </cell>
          <cell r="CS45">
            <v>0</v>
          </cell>
          <cell r="CT45">
            <v>0</v>
          </cell>
        </row>
        <row r="46">
          <cell r="Y46">
            <v>56298</v>
          </cell>
          <cell r="AJ46">
            <v>5936</v>
          </cell>
          <cell r="BH46">
            <v>53197.5</v>
          </cell>
          <cell r="BR46">
            <v>5723.2</v>
          </cell>
          <cell r="BS46">
            <v>5956.5</v>
          </cell>
          <cell r="BX46">
            <v>349679</v>
          </cell>
          <cell r="BY46">
            <v>333977</v>
          </cell>
          <cell r="BZ46">
            <v>323023</v>
          </cell>
          <cell r="CO46">
            <v>5783.9437459999999</v>
          </cell>
          <cell r="CP46">
            <v>1917.464528</v>
          </cell>
          <cell r="CR46">
            <v>1911.4171663999998</v>
          </cell>
          <cell r="CS46">
            <v>1924.0864994999999</v>
          </cell>
          <cell r="CT46">
            <v>5141.9017561000001</v>
          </cell>
        </row>
        <row r="47">
          <cell r="Y47">
            <v>72352</v>
          </cell>
          <cell r="AJ47">
            <v>7629</v>
          </cell>
          <cell r="BH47">
            <v>70006.899999999994</v>
          </cell>
          <cell r="BR47">
            <v>7006.7</v>
          </cell>
          <cell r="BS47">
            <v>7813.2</v>
          </cell>
          <cell r="BX47">
            <v>162769</v>
          </cell>
          <cell r="BY47">
            <v>146360</v>
          </cell>
          <cell r="BZ47">
            <v>146501</v>
          </cell>
          <cell r="CO47">
            <v>3367.84123</v>
          </cell>
          <cell r="CP47">
            <v>1117.656129</v>
          </cell>
          <cell r="CR47">
            <v>1025.500612</v>
          </cell>
          <cell r="CS47">
            <v>1144.6416131999999</v>
          </cell>
          <cell r="CT47">
            <v>2991.894378</v>
          </cell>
        </row>
        <row r="48">
          <cell r="Y48">
            <v>115085</v>
          </cell>
          <cell r="AJ48">
            <v>13565</v>
          </cell>
          <cell r="BH48">
            <v>0</v>
          </cell>
          <cell r="CO48">
            <v>0</v>
          </cell>
          <cell r="CP48">
            <v>3035.1206569999999</v>
          </cell>
          <cell r="CR48">
            <v>0</v>
          </cell>
          <cell r="CS48">
            <v>0</v>
          </cell>
          <cell r="CT48">
            <v>0</v>
          </cell>
        </row>
        <row r="49">
          <cell r="Y49">
            <v>0</v>
          </cell>
          <cell r="BH49">
            <v>123204.40000000001</v>
          </cell>
          <cell r="BR49">
            <v>12729.9</v>
          </cell>
          <cell r="BS49">
            <v>13769.7</v>
          </cell>
          <cell r="CO49">
            <v>0</v>
          </cell>
          <cell r="CP49">
            <v>0</v>
          </cell>
          <cell r="CR49">
            <v>0</v>
          </cell>
          <cell r="CS49">
            <v>0</v>
          </cell>
          <cell r="CT49">
            <v>8133.7961341</v>
          </cell>
        </row>
        <row r="50">
          <cell r="Y50">
            <v>97240</v>
          </cell>
          <cell r="AJ50">
            <v>11684</v>
          </cell>
          <cell r="BH50">
            <v>110584.5</v>
          </cell>
          <cell r="BR50">
            <v>11605.6</v>
          </cell>
          <cell r="BS50">
            <v>11979.3</v>
          </cell>
          <cell r="BX50">
            <v>701865</v>
          </cell>
          <cell r="BY50">
            <v>762562</v>
          </cell>
          <cell r="BZ50">
            <v>827570</v>
          </cell>
          <cell r="CO50">
            <v>22486.130106000001</v>
          </cell>
          <cell r="CP50">
            <v>9669.3278800000007</v>
          </cell>
          <cell r="CR50">
            <v>8849.9895472000007</v>
          </cell>
          <cell r="CS50">
            <v>9913.7093010000008</v>
          </cell>
          <cell r="CT50">
            <v>23144.071692199999</v>
          </cell>
        </row>
        <row r="51">
          <cell r="Y51">
            <v>97240</v>
          </cell>
          <cell r="AJ51">
            <v>11684</v>
          </cell>
          <cell r="BH51">
            <v>0</v>
          </cell>
          <cell r="CO51">
            <v>0</v>
          </cell>
          <cell r="CP51">
            <v>9669.3278800000007</v>
          </cell>
          <cell r="CR51">
            <v>0</v>
          </cell>
          <cell r="CS51">
            <v>0</v>
          </cell>
          <cell r="CT51">
            <v>0</v>
          </cell>
        </row>
        <row r="52">
          <cell r="Y52">
            <v>0</v>
          </cell>
          <cell r="BH52">
            <v>110584.5</v>
          </cell>
          <cell r="BR52">
            <v>11605.6</v>
          </cell>
          <cell r="BS52">
            <v>11979.3</v>
          </cell>
          <cell r="CO52">
            <v>0</v>
          </cell>
          <cell r="CP52">
            <v>0</v>
          </cell>
          <cell r="CR52">
            <v>0</v>
          </cell>
          <cell r="CS52">
            <v>0</v>
          </cell>
          <cell r="CT52">
            <v>0</v>
          </cell>
        </row>
        <row r="53">
          <cell r="Y53">
            <v>0</v>
          </cell>
          <cell r="BH53">
            <v>0</v>
          </cell>
          <cell r="CO53">
            <v>0</v>
          </cell>
          <cell r="CP53">
            <v>0</v>
          </cell>
          <cell r="CR53">
            <v>0</v>
          </cell>
          <cell r="CS53">
            <v>0</v>
          </cell>
          <cell r="CT53">
            <v>0</v>
          </cell>
        </row>
        <row r="54">
          <cell r="Y54">
            <v>0</v>
          </cell>
          <cell r="BH54">
            <v>362175.29999999993</v>
          </cell>
          <cell r="BR54">
            <v>37643.9</v>
          </cell>
          <cell r="BS54">
            <v>38215.100000000006</v>
          </cell>
          <cell r="CO54">
            <v>0</v>
          </cell>
          <cell r="CP54">
            <v>0</v>
          </cell>
          <cell r="CR54">
            <v>0</v>
          </cell>
          <cell r="CS54">
            <v>0</v>
          </cell>
          <cell r="CT54">
            <v>8133.7961341</v>
          </cell>
        </row>
        <row r="55">
          <cell r="Y55">
            <v>0</v>
          </cell>
          <cell r="BH55">
            <v>0</v>
          </cell>
          <cell r="CO55">
            <v>0</v>
          </cell>
          <cell r="CP55">
            <v>0</v>
          </cell>
          <cell r="CR55">
            <v>0</v>
          </cell>
          <cell r="CS55">
            <v>0</v>
          </cell>
          <cell r="CT55">
            <v>0</v>
          </cell>
        </row>
        <row r="56">
          <cell r="AJ56">
            <v>0</v>
          </cell>
          <cell r="BH56">
            <v>0</v>
          </cell>
          <cell r="BX56">
            <v>769927.55563384423</v>
          </cell>
          <cell r="BY56">
            <v>746555.27931856574</v>
          </cell>
          <cell r="BZ56">
            <v>798586</v>
          </cell>
          <cell r="CO56">
            <v>0</v>
          </cell>
          <cell r="CP56">
            <v>0</v>
          </cell>
          <cell r="CR56">
            <v>0</v>
          </cell>
          <cell r="CS56">
            <v>0</v>
          </cell>
          <cell r="CT56">
            <v>0</v>
          </cell>
        </row>
        <row r="57">
          <cell r="Y57">
            <v>104675</v>
          </cell>
          <cell r="AJ57">
            <v>10653</v>
          </cell>
          <cell r="AM57">
            <v>0.02</v>
          </cell>
          <cell r="BH57">
            <v>87819.91</v>
          </cell>
          <cell r="BR57">
            <v>9241.67</v>
          </cell>
          <cell r="BS57">
            <v>9989.5</v>
          </cell>
          <cell r="BX57">
            <v>769927.55563384423</v>
          </cell>
          <cell r="BY57">
            <v>746555.27931856574</v>
          </cell>
          <cell r="BZ57">
            <v>798586</v>
          </cell>
          <cell r="CO57">
            <v>23941.355270670341</v>
          </cell>
          <cell r="CP57">
            <v>8507.3366580000002</v>
          </cell>
          <cell r="CR57">
            <v>6899.4175282200094</v>
          </cell>
          <cell r="CS57">
            <v>7977.4748470000004</v>
          </cell>
          <cell r="CT57">
            <v>16794.643259443928</v>
          </cell>
        </row>
        <row r="58">
          <cell r="Y58">
            <v>104675</v>
          </cell>
          <cell r="AJ58">
            <v>10653</v>
          </cell>
          <cell r="BH58">
            <v>0</v>
          </cell>
          <cell r="CO58">
            <v>0</v>
          </cell>
          <cell r="CP58">
            <v>8507.3366580000002</v>
          </cell>
          <cell r="CR58">
            <v>0</v>
          </cell>
          <cell r="CS58">
            <v>0</v>
          </cell>
          <cell r="CT58">
            <v>0</v>
          </cell>
        </row>
        <row r="59">
          <cell r="Y59">
            <v>0</v>
          </cell>
          <cell r="BH59">
            <v>87819.91</v>
          </cell>
          <cell r="BR59">
            <v>9241.67</v>
          </cell>
          <cell r="BS59">
            <v>9989.5</v>
          </cell>
          <cell r="CO59">
            <v>0</v>
          </cell>
          <cell r="CP59">
            <v>0</v>
          </cell>
          <cell r="CR59">
            <v>0</v>
          </cell>
          <cell r="CS59">
            <v>0</v>
          </cell>
          <cell r="CT59">
            <v>16794.643259443928</v>
          </cell>
        </row>
        <row r="60">
          <cell r="AJ60">
            <v>0</v>
          </cell>
          <cell r="BH60">
            <v>0</v>
          </cell>
          <cell r="BX60">
            <v>749415.69201700517</v>
          </cell>
          <cell r="BY60">
            <v>764425.36953606689</v>
          </cell>
          <cell r="BZ60">
            <v>740953</v>
          </cell>
          <cell r="CO60">
            <v>0</v>
          </cell>
          <cell r="CP60">
            <v>0</v>
          </cell>
          <cell r="CR60">
            <v>0</v>
          </cell>
          <cell r="CS60">
            <v>0</v>
          </cell>
          <cell r="CT60">
            <v>0</v>
          </cell>
        </row>
        <row r="61">
          <cell r="Y61">
            <v>68718</v>
          </cell>
          <cell r="AJ61">
            <v>7069</v>
          </cell>
          <cell r="AM61">
            <v>0.02</v>
          </cell>
          <cell r="BH61">
            <v>68386.44</v>
          </cell>
          <cell r="BR61">
            <v>6880.08</v>
          </cell>
          <cell r="BS61">
            <v>6800.6</v>
          </cell>
          <cell r="BX61">
            <v>749415.69201700517</v>
          </cell>
          <cell r="BY61">
            <v>764425.36953606689</v>
          </cell>
          <cell r="BZ61">
            <v>740953</v>
          </cell>
          <cell r="CO61">
            <v>15068.298117742463</v>
          </cell>
          <cell r="CP61">
            <v>5237.7967570000001</v>
          </cell>
          <cell r="CR61">
            <v>5259.3076964377033</v>
          </cell>
          <cell r="CS61">
            <v>5038.9249718000001</v>
          </cell>
          <cell r="CT61">
            <v>14605.226842941407</v>
          </cell>
        </row>
        <row r="62">
          <cell r="Y62">
            <v>68718</v>
          </cell>
          <cell r="AJ62">
            <v>7069</v>
          </cell>
          <cell r="BH62">
            <v>0</v>
          </cell>
          <cell r="CO62">
            <v>0</v>
          </cell>
          <cell r="CP62">
            <v>5237.7967570000001</v>
          </cell>
          <cell r="CR62">
            <v>0</v>
          </cell>
          <cell r="CS62">
            <v>0</v>
          </cell>
          <cell r="CT62">
            <v>0</v>
          </cell>
        </row>
        <row r="63">
          <cell r="Y63">
            <v>0</v>
          </cell>
          <cell r="BH63">
            <v>68386.44</v>
          </cell>
          <cell r="BR63">
            <v>6880.08</v>
          </cell>
          <cell r="BS63">
            <v>6800.6</v>
          </cell>
          <cell r="CO63">
            <v>0</v>
          </cell>
          <cell r="CP63">
            <v>0</v>
          </cell>
          <cell r="CR63">
            <v>0</v>
          </cell>
          <cell r="CS63">
            <v>0</v>
          </cell>
          <cell r="CT63">
            <v>14605.226842941407</v>
          </cell>
        </row>
        <row r="64">
          <cell r="AJ64">
            <v>0</v>
          </cell>
          <cell r="BH64">
            <v>0</v>
          </cell>
          <cell r="BX64">
            <v>739947.0794933273</v>
          </cell>
          <cell r="BY64">
            <v>719277.74176643323</v>
          </cell>
          <cell r="BZ64">
            <v>741169</v>
          </cell>
          <cell r="CO64">
            <v>0</v>
          </cell>
          <cell r="CP64">
            <v>0</v>
          </cell>
          <cell r="CR64">
            <v>0</v>
          </cell>
          <cell r="CS64">
            <v>0</v>
          </cell>
          <cell r="CT64">
            <v>0</v>
          </cell>
        </row>
        <row r="65">
          <cell r="Y65">
            <v>121323</v>
          </cell>
          <cell r="AJ65">
            <v>12621</v>
          </cell>
          <cell r="AM65">
            <v>0.02</v>
          </cell>
          <cell r="BH65">
            <v>115058.465</v>
          </cell>
          <cell r="BR65">
            <v>13216.77</v>
          </cell>
          <cell r="BS65">
            <v>12079.1</v>
          </cell>
          <cell r="BX65">
            <v>739947.0794933273</v>
          </cell>
          <cell r="BY65">
            <v>719277.74176643323</v>
          </cell>
          <cell r="BZ65">
            <v>741169</v>
          </cell>
          <cell r="CO65">
            <v>26595.25043188563</v>
          </cell>
          <cell r="CP65">
            <v>9354.2939490000008</v>
          </cell>
          <cell r="CR65">
            <v>9506.5284790463429</v>
          </cell>
          <cell r="CS65">
            <v>8952.6544678999999</v>
          </cell>
          <cell r="CT65">
            <v>24969.408114961789</v>
          </cell>
        </row>
        <row r="66">
          <cell r="Y66">
            <v>121323</v>
          </cell>
          <cell r="AJ66">
            <v>12621</v>
          </cell>
          <cell r="BH66">
            <v>0</v>
          </cell>
          <cell r="CO66">
            <v>0</v>
          </cell>
          <cell r="CP66">
            <v>9354.2939490000008</v>
          </cell>
          <cell r="CR66">
            <v>0</v>
          </cell>
          <cell r="CS66">
            <v>0</v>
          </cell>
          <cell r="CT66">
            <v>0</v>
          </cell>
        </row>
        <row r="67">
          <cell r="Y67">
            <v>0</v>
          </cell>
          <cell r="BH67">
            <v>115058.465</v>
          </cell>
          <cell r="BR67">
            <v>13216.77</v>
          </cell>
          <cell r="BS67">
            <v>12079.1</v>
          </cell>
          <cell r="CO67">
            <v>0</v>
          </cell>
          <cell r="CP67">
            <v>0</v>
          </cell>
          <cell r="CR67">
            <v>0</v>
          </cell>
          <cell r="CS67">
            <v>0</v>
          </cell>
          <cell r="CT67">
            <v>24969.408114961789</v>
          </cell>
        </row>
        <row r="68">
          <cell r="AJ68">
            <v>0</v>
          </cell>
          <cell r="BH68">
            <v>0</v>
          </cell>
          <cell r="BX68">
            <v>809371.12136811193</v>
          </cell>
          <cell r="BY68">
            <v>812133.05257828394</v>
          </cell>
          <cell r="BZ68">
            <v>810055</v>
          </cell>
          <cell r="CO68">
            <v>0</v>
          </cell>
          <cell r="CP68">
            <v>0</v>
          </cell>
          <cell r="CR68">
            <v>0</v>
          </cell>
          <cell r="CS68">
            <v>0</v>
          </cell>
          <cell r="CT68">
            <v>0</v>
          </cell>
        </row>
        <row r="69">
          <cell r="Y69">
            <v>199308</v>
          </cell>
          <cell r="AJ69">
            <v>20334</v>
          </cell>
          <cell r="AM69">
            <v>0.01</v>
          </cell>
          <cell r="BH69">
            <v>199573.32399999996</v>
          </cell>
          <cell r="BR69">
            <v>19178.435000000001</v>
          </cell>
          <cell r="BS69">
            <v>21097.599999999999</v>
          </cell>
          <cell r="BX69">
            <v>809371.12136811193</v>
          </cell>
          <cell r="BY69">
            <v>812133.05257828394</v>
          </cell>
          <cell r="BZ69">
            <v>810055</v>
          </cell>
          <cell r="CO69">
            <v>47806.064009028189</v>
          </cell>
          <cell r="CP69">
            <v>16471.658370000001</v>
          </cell>
          <cell r="CR69">
            <v>15575.440960224201</v>
          </cell>
          <cell r="CS69">
            <v>17090.216367999998</v>
          </cell>
          <cell r="CT69">
            <v>48359.529991999545</v>
          </cell>
        </row>
        <row r="70">
          <cell r="AJ70">
            <v>20334</v>
          </cell>
          <cell r="CP70">
            <v>16471.658370000001</v>
          </cell>
          <cell r="CR70" t="e">
            <v>#VALUE!</v>
          </cell>
          <cell r="CS70" t="e">
            <v>#VALUE!</v>
          </cell>
        </row>
        <row r="71">
          <cell r="BR71">
            <v>19178.435000000001</v>
          </cell>
          <cell r="BS71">
            <v>21097.599999999999</v>
          </cell>
          <cell r="CP71" t="e">
            <v>#VALUE!</v>
          </cell>
          <cell r="CR71" t="e">
            <v>#VALUE!</v>
          </cell>
          <cell r="CS71" t="e">
            <v>#VALUE!</v>
          </cell>
        </row>
        <row r="72">
          <cell r="CP72" t="e">
            <v>#VALUE!</v>
          </cell>
          <cell r="CS72" t="e">
            <v>#VALUE!</v>
          </cell>
        </row>
        <row r="73">
          <cell r="BR73">
            <v>48516.955000000002</v>
          </cell>
          <cell r="BS73">
            <v>49966.799999999996</v>
          </cell>
          <cell r="CP73" t="e">
            <v>#VALUE!</v>
          </cell>
          <cell r="CS73" t="e">
            <v>#VALUE!</v>
          </cell>
        </row>
        <row r="74">
          <cell r="CP74" t="e">
            <v>#VALUE!</v>
          </cell>
          <cell r="CS74" t="e">
            <v>#VALUE!</v>
          </cell>
        </row>
        <row r="77">
          <cell r="BR77">
            <v>236338.35499999998</v>
          </cell>
          <cell r="BS77">
            <v>245398.9</v>
          </cell>
          <cell r="CP77" t="e">
            <v>#VALUE!</v>
          </cell>
          <cell r="CS77" t="e">
            <v>#VALUE!</v>
          </cell>
        </row>
        <row r="78">
          <cell r="BR78">
            <v>240968.05499999999</v>
          </cell>
          <cell r="CS78" t="e">
            <v>#VALUE!</v>
          </cell>
        </row>
        <row r="79">
          <cell r="BR79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 INC"/>
      <sheetName val="Hist"/>
      <sheetName val="IM"/>
      <sheetName val="Base"/>
      <sheetName val="MAIN"/>
      <sheetName val="output"/>
      <sheetName val="S&amp;P"/>
      <sheetName val="Developer Notes"/>
      <sheetName val="DCF 1"/>
      <sheetName val="DCF 2"/>
      <sheetName val="DCF 3"/>
      <sheetName val="WACC II"/>
      <sheetName val="LTM"/>
      <sheetName val="CREDIT STATS"/>
      <sheetName val="CREDIT STATS Exp"/>
      <sheetName val="Reconciliations"/>
      <sheetName val="EQ. IRR"/>
      <sheetName val="COVEN"/>
      <sheetName val="SUMMARY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Module2"/>
      <sheetName val="Module1"/>
      <sheetName val="Module3"/>
    </sheetNames>
    <sheetDataSet>
      <sheetData sheetId="0"/>
      <sheetData sheetId="1"/>
      <sheetData sheetId="2"/>
      <sheetData sheetId="3"/>
      <sheetData sheetId="4">
        <row r="16">
          <cell r="V16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7"/>
      <sheetName val="별첨.8 H.E Datasheet"/>
      <sheetName val=""/>
      <sheetName val="Menu"/>
      <sheetName val="부산4"/>
      <sheetName val="FAB별"/>
      <sheetName val="외화금융(97-03)"/>
      <sheetName val="dV&amp;Cl"/>
      <sheetName val="CAP"/>
      <sheetName val="변수"/>
      <sheetName val="전압하강"/>
      <sheetName val="F-T Voltage"/>
      <sheetName val="PRCPL.MCR"/>
      <sheetName val="DIAMOND"/>
      <sheetName val="노무비"/>
      <sheetName val="분석mast"/>
      <sheetName val="#REF"/>
      <sheetName val="차수"/>
      <sheetName val="이자율"/>
      <sheetName val="95TOTREV"/>
      <sheetName val="제조부문배부"/>
      <sheetName val="raw_CH"/>
      <sheetName val="raw_team"/>
      <sheetName val="lam-moi"/>
      <sheetName val="DONGIA"/>
      <sheetName val="thao-go"/>
      <sheetName val="TH XL"/>
      <sheetName val="FAB4생산"/>
      <sheetName val="송전기본"/>
      <sheetName val="01월TTL"/>
      <sheetName val="건강보험"/>
      <sheetName val="장기대여금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중요성"/>
      <sheetName val="대차총괄"/>
      <sheetName val="영업일보"/>
      <sheetName val="표지"/>
      <sheetName val="Controls"/>
      <sheetName val="AcqIS"/>
      <sheetName val="AcqBSCF"/>
      <sheetName val="Inputs"/>
      <sheetName val="bs"/>
      <sheetName val="Financials"/>
      <sheetName val="LS re sales"/>
      <sheetName val="^Control^"/>
      <sheetName val="DATA"/>
      <sheetName val="Configuration"/>
      <sheetName val="JournalSummary"/>
      <sheetName val="WorkFile"/>
      <sheetName val="시산"/>
      <sheetName val="R&amp;D"/>
      <sheetName val="연장집계 (2)"/>
      <sheetName val="960318-1"/>
      <sheetName val="품의"/>
      <sheetName val="월별예산"/>
      <sheetName val="FAB"/>
      <sheetName val="년도별개발"/>
      <sheetName val="02"/>
      <sheetName val="03"/>
      <sheetName val="01"/>
      <sheetName val="Sch7a (토요일)"/>
      <sheetName val="3ND 64M"/>
      <sheetName val="9-1차이내역"/>
      <sheetName val="특판현황(원화)"/>
      <sheetName val="명단"/>
      <sheetName val="2001.03"/>
      <sheetName val="환율021231"/>
      <sheetName val="ΔVp &amp; Ω"/>
      <sheetName val="★외출12"/>
      <sheetName val="6월인원"/>
      <sheetName val="완성차 미수금"/>
      <sheetName val="입력변수"/>
      <sheetName val="chart"/>
      <sheetName val="R"/>
      <sheetName val="F-T_Voltage"/>
      <sheetName val="잡손실"/>
      <sheetName val="협조전"/>
      <sheetName val="CF-DETAILED"/>
      <sheetName val="CALC data (3)"/>
      <sheetName val="MAIN"/>
      <sheetName val="95D"/>
      <sheetName val="94D"/>
      <sheetName val="Sheet2"/>
      <sheetName val="270"/>
      <sheetName val="별첨 4. No.3 PTA 작업 내용"/>
      <sheetName val="Summary Sheets"/>
      <sheetName val="예산M11A"/>
      <sheetName val="스낵물량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BPROD"/>
      <sheetName val="중간재재공"/>
      <sheetName val="NCC"/>
      <sheetName val="&quot;NFC&quot;"/>
      <sheetName val="BRU"/>
      <sheetName val="BD"/>
      <sheetName val="EG"/>
      <sheetName val="VCM"/>
      <sheetName val="EVA"/>
      <sheetName val="PE"/>
      <sheetName val="PP"/>
      <sheetName val="PVC"/>
      <sheetName val="UT"/>
      <sheetName val="UT단가 (2)"/>
      <sheetName val="TOT"/>
    </sheetNames>
    <sheetDataSet>
      <sheetData sheetId="0" refreshError="1"/>
      <sheetData sheetId="1" refreshError="1"/>
      <sheetData sheetId="2">
        <row r="132">
          <cell r="B132">
            <v>151500.01500000001</v>
          </cell>
        </row>
        <row r="144">
          <cell r="B144">
            <v>1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기사업"/>
      <sheetName val="수처리사업"/>
      <sheetName val="건설사업"/>
      <sheetName val="산기사업"/>
      <sheetName val="매출집계"/>
      <sheetName val="공사미수금"/>
      <sheetName val="원가분개"/>
    </sheetNames>
    <sheetDataSet>
      <sheetData sheetId="0"/>
      <sheetData sheetId="1" refreshError="1">
        <row r="1">
          <cell r="C1" t="str">
            <v xml:space="preserve"> 매 출 액  대  매 출 원 가  명 세 서</v>
          </cell>
        </row>
        <row r="2">
          <cell r="B2" t="str">
            <v>수 처 리(98년3월)</v>
          </cell>
          <cell r="C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매                출                  액</v>
          </cell>
          <cell r="M3">
            <v>0</v>
          </cell>
          <cell r="N3" t="str">
            <v xml:space="preserve">  매</v>
          </cell>
          <cell r="O3">
            <v>0</v>
          </cell>
          <cell r="P3" t="str">
            <v xml:space="preserve">      출</v>
          </cell>
          <cell r="Q3">
            <v>0</v>
          </cell>
          <cell r="R3" t="str">
            <v xml:space="preserve"> 원</v>
          </cell>
          <cell r="T3" t="str">
            <v xml:space="preserve">    가</v>
          </cell>
          <cell r="X3" t="str">
            <v xml:space="preserve">    매 출 총 이 익</v>
          </cell>
          <cell r="Z3">
            <v>0</v>
          </cell>
        </row>
        <row r="4">
          <cell r="B4" t="str">
            <v>발 주 처</v>
          </cell>
          <cell r="C4" t="str">
            <v>공 사 명</v>
          </cell>
          <cell r="D4" t="str">
            <v>공 사 기 간</v>
          </cell>
          <cell r="E4" t="str">
            <v>계 약 금 액</v>
          </cell>
          <cell r="F4" t="str">
            <v>실 행 예 산</v>
          </cell>
          <cell r="G4" t="str">
            <v>실행율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 t="str">
            <v xml:space="preserve">          직       </v>
          </cell>
          <cell r="M4" t="str">
            <v xml:space="preserve">     접</v>
          </cell>
          <cell r="N4" t="str">
            <v>원                가</v>
          </cell>
          <cell r="P4" t="str">
            <v xml:space="preserve">            간             접</v>
          </cell>
          <cell r="R4" t="str">
            <v>원           가</v>
          </cell>
          <cell r="U4" t="str">
            <v>합</v>
          </cell>
          <cell r="V4" t="str">
            <v xml:space="preserve">   계</v>
          </cell>
          <cell r="Y4">
            <v>0</v>
          </cell>
          <cell r="Z4" t="str">
            <v>비 고</v>
          </cell>
        </row>
        <row r="5">
          <cell r="B5">
            <v>0</v>
          </cell>
          <cell r="E5" t="str">
            <v>(VAT 별도)</v>
          </cell>
          <cell r="H5" t="str">
            <v>전 월 누 계</v>
          </cell>
          <cell r="I5" t="str">
            <v>당 월 매 출 액</v>
          </cell>
          <cell r="J5" t="str">
            <v>금 월  누 계</v>
          </cell>
          <cell r="K5" t="str">
            <v>진행율</v>
          </cell>
          <cell r="L5" t="str">
            <v>전 월 누 계</v>
          </cell>
          <cell r="M5" t="str">
            <v>당 월 발  생</v>
          </cell>
          <cell r="N5" t="str">
            <v>금 월 누 계</v>
          </cell>
          <cell r="O5" t="str">
            <v>원가율</v>
          </cell>
          <cell r="P5" t="str">
            <v>전 월 누 계</v>
          </cell>
          <cell r="Q5" t="str">
            <v>당 월 발  생</v>
          </cell>
          <cell r="R5" t="str">
            <v>금 월 누 계</v>
          </cell>
          <cell r="S5" t="str">
            <v>원가율</v>
          </cell>
          <cell r="T5" t="str">
            <v>전 월 누 계</v>
          </cell>
          <cell r="U5" t="str">
            <v>당 월 발  생</v>
          </cell>
          <cell r="V5" t="str">
            <v>금 월 누 계</v>
          </cell>
          <cell r="W5" t="str">
            <v>원가율</v>
          </cell>
          <cell r="X5" t="str">
            <v>금   액</v>
          </cell>
          <cell r="Y5" t="str">
            <v>이익율</v>
          </cell>
        </row>
        <row r="6">
          <cell r="B6" t="str">
            <v>김해시</v>
          </cell>
          <cell r="C6" t="str">
            <v>김해쓰레기매립장조성공사</v>
          </cell>
          <cell r="D6" t="str">
            <v>901214-961231</v>
          </cell>
          <cell r="E6">
            <v>2037362724</v>
          </cell>
          <cell r="F6">
            <v>1807140736.188</v>
          </cell>
          <cell r="G6">
            <v>88.7</v>
          </cell>
          <cell r="H6">
            <v>2052066000</v>
          </cell>
          <cell r="I6">
            <v>-14703276</v>
          </cell>
          <cell r="J6">
            <v>2037362724</v>
          </cell>
          <cell r="K6">
            <v>100</v>
          </cell>
          <cell r="L6">
            <v>1858209868</v>
          </cell>
          <cell r="M6">
            <v>0</v>
          </cell>
          <cell r="N6">
            <v>1858209868</v>
          </cell>
          <cell r="O6">
            <v>91.20662934049048</v>
          </cell>
          <cell r="P6">
            <v>112932272</v>
          </cell>
          <cell r="Q6">
            <v>0</v>
          </cell>
          <cell r="R6">
            <v>112932272</v>
          </cell>
          <cell r="S6">
            <v>5.5430616585679715</v>
          </cell>
          <cell r="T6">
            <v>1971142140</v>
          </cell>
          <cell r="U6">
            <v>0</v>
          </cell>
          <cell r="V6">
            <v>1971142140</v>
          </cell>
          <cell r="W6">
            <v>96.749690999058444</v>
          </cell>
          <cell r="X6">
            <v>66220584</v>
          </cell>
          <cell r="Y6">
            <v>3.2503090009415523</v>
          </cell>
          <cell r="Z6">
            <v>0</v>
          </cell>
        </row>
        <row r="7">
          <cell r="B7" t="str">
            <v>대구염색공단</v>
          </cell>
          <cell r="C7" t="str">
            <v>대구염색공단기계배관공사</v>
          </cell>
          <cell r="D7" t="str">
            <v xml:space="preserve"> 911101-930530</v>
          </cell>
          <cell r="E7">
            <v>5619000000</v>
          </cell>
          <cell r="F7">
            <v>4973684700</v>
          </cell>
          <cell r="G7">
            <v>88.515477843032571</v>
          </cell>
          <cell r="H7">
            <v>3425538643</v>
          </cell>
          <cell r="I7">
            <v>0</v>
          </cell>
          <cell r="J7">
            <v>3425538643</v>
          </cell>
          <cell r="K7">
            <v>60.963492489766857</v>
          </cell>
          <cell r="L7">
            <v>3032131899</v>
          </cell>
          <cell r="M7">
            <v>0</v>
          </cell>
          <cell r="N7">
            <v>3032131899</v>
          </cell>
          <cell r="O7">
            <v>88.51547785619303</v>
          </cell>
          <cell r="P7">
            <v>168865275</v>
          </cell>
          <cell r="Q7">
            <v>0</v>
          </cell>
          <cell r="R7">
            <v>168865275</v>
          </cell>
          <cell r="S7">
            <v>4.9295977245818499</v>
          </cell>
          <cell r="T7">
            <v>3200997174</v>
          </cell>
          <cell r="U7">
            <v>0</v>
          </cell>
          <cell r="V7">
            <v>3200997174</v>
          </cell>
          <cell r="W7">
            <v>93.445075580774869</v>
          </cell>
          <cell r="X7">
            <v>224541469</v>
          </cell>
          <cell r="Y7">
            <v>6.5549244192251264</v>
          </cell>
          <cell r="Z7">
            <v>0</v>
          </cell>
        </row>
        <row r="8">
          <cell r="B8" t="str">
            <v>경남공영사업</v>
          </cell>
          <cell r="C8" t="str">
            <v>웅상공업용지오폐수</v>
          </cell>
          <cell r="D8" t="str">
            <v xml:space="preserve"> 930210-980715</v>
          </cell>
          <cell r="E8">
            <v>7000609090</v>
          </cell>
          <cell r="F8">
            <v>7248859962</v>
          </cell>
          <cell r="G8">
            <v>103.54613246945345</v>
          </cell>
          <cell r="H8">
            <v>5804085696</v>
          </cell>
          <cell r="I8">
            <v>59344114</v>
          </cell>
          <cell r="J8">
            <v>5863429810</v>
          </cell>
          <cell r="K8">
            <v>83.75599515155902</v>
          </cell>
          <cell r="L8">
            <v>5467448726</v>
          </cell>
          <cell r="M8">
            <v>293267675</v>
          </cell>
          <cell r="N8">
            <v>5760716401</v>
          </cell>
          <cell r="O8">
            <v>98.248236743197239</v>
          </cell>
          <cell r="P8">
            <v>202280578</v>
          </cell>
          <cell r="Q8">
            <v>4483778</v>
          </cell>
          <cell r="R8">
            <v>206764356</v>
          </cell>
          <cell r="S8">
            <v>3.5263380427504423</v>
          </cell>
          <cell r="T8">
            <v>5669729304</v>
          </cell>
          <cell r="U8">
            <v>297751453</v>
          </cell>
          <cell r="V8">
            <v>5967480757</v>
          </cell>
          <cell r="W8">
            <v>101.77457478594769</v>
          </cell>
          <cell r="X8">
            <v>-104050947</v>
          </cell>
          <cell r="Y8">
            <v>-1.7745747859476808</v>
          </cell>
          <cell r="Z8">
            <v>494.18157123383793</v>
          </cell>
        </row>
        <row r="9">
          <cell r="B9" t="str">
            <v>국제종합건설(주)</v>
          </cell>
          <cell r="C9" t="str">
            <v>안산하수종말2차처리</v>
          </cell>
          <cell r="D9" t="str">
            <v>961201-971231</v>
          </cell>
          <cell r="E9">
            <v>4084000000</v>
          </cell>
          <cell r="F9">
            <v>2704826045</v>
          </cell>
          <cell r="G9">
            <v>66.229824804113619</v>
          </cell>
          <cell r="H9">
            <v>3139743863</v>
          </cell>
          <cell r="I9">
            <v>0</v>
          </cell>
          <cell r="J9">
            <v>3139743863</v>
          </cell>
          <cell r="K9">
            <v>76.879134745347699</v>
          </cell>
          <cell r="L9">
            <v>2079446860</v>
          </cell>
          <cell r="M9">
            <v>0</v>
          </cell>
          <cell r="N9">
            <v>2079446860</v>
          </cell>
          <cell r="O9">
            <v>66.229824811668081</v>
          </cell>
          <cell r="P9">
            <v>40654757</v>
          </cell>
          <cell r="Q9">
            <v>0</v>
          </cell>
          <cell r="R9">
            <v>40654757</v>
          </cell>
          <cell r="S9">
            <v>1.2948431073977706</v>
          </cell>
          <cell r="T9">
            <v>2120101617</v>
          </cell>
          <cell r="U9">
            <v>0</v>
          </cell>
          <cell r="V9">
            <v>2120101617</v>
          </cell>
          <cell r="W9">
            <v>67.524667919065848</v>
          </cell>
          <cell r="X9">
            <v>1019642246</v>
          </cell>
          <cell r="Y9">
            <v>32.475332080934145</v>
          </cell>
          <cell r="Z9">
            <v>0</v>
          </cell>
        </row>
        <row r="10">
          <cell r="B10" t="str">
            <v>조  달  청</v>
          </cell>
          <cell r="C10" t="str">
            <v>대구북부하수처리장</v>
          </cell>
          <cell r="D10" t="str">
            <v xml:space="preserve"> 931228-971202</v>
          </cell>
          <cell r="E10">
            <v>10762743641</v>
          </cell>
          <cell r="F10">
            <v>10117045252</v>
          </cell>
          <cell r="G10">
            <v>94.000615358520179</v>
          </cell>
          <cell r="H10">
            <v>10721273863</v>
          </cell>
          <cell r="I10">
            <v>0</v>
          </cell>
          <cell r="J10">
            <v>10721273863</v>
          </cell>
          <cell r="K10">
            <v>99.614691389265985</v>
          </cell>
          <cell r="L10">
            <v>9938919753</v>
          </cell>
          <cell r="M10">
            <v>0</v>
          </cell>
          <cell r="N10">
            <v>9938919753</v>
          </cell>
          <cell r="O10">
            <v>92.702787747079498</v>
          </cell>
          <cell r="P10">
            <v>459737154</v>
          </cell>
          <cell r="Q10">
            <v>0</v>
          </cell>
          <cell r="R10">
            <v>459737154</v>
          </cell>
          <cell r="S10">
            <v>4.2880832993791049</v>
          </cell>
          <cell r="T10">
            <v>10398656907</v>
          </cell>
          <cell r="U10">
            <v>0</v>
          </cell>
          <cell r="V10">
            <v>10398656907</v>
          </cell>
          <cell r="W10">
            <v>96.990871046458594</v>
          </cell>
          <cell r="X10">
            <v>322616956</v>
          </cell>
          <cell r="Y10">
            <v>3.0091289535414045</v>
          </cell>
          <cell r="Z10">
            <v>0</v>
          </cell>
        </row>
        <row r="11">
          <cell r="B11" t="str">
            <v>평택시</v>
          </cell>
          <cell r="C11" t="str">
            <v>송탄시하수도종말처리장</v>
          </cell>
          <cell r="D11" t="str">
            <v xml:space="preserve"> 931231-971230</v>
          </cell>
          <cell r="E11">
            <v>1540930000</v>
          </cell>
          <cell r="F11">
            <v>1356018400</v>
          </cell>
          <cell r="G11">
            <v>88</v>
          </cell>
          <cell r="H11">
            <v>1332582246</v>
          </cell>
          <cell r="I11">
            <v>59950133</v>
          </cell>
          <cell r="J11">
            <v>1392532379</v>
          </cell>
          <cell r="K11">
            <v>90.369606601208361</v>
          </cell>
          <cell r="L11">
            <v>1172672377</v>
          </cell>
          <cell r="M11">
            <v>52756117</v>
          </cell>
          <cell r="N11">
            <v>1225428494</v>
          </cell>
          <cell r="O11">
            <v>88.000000034469565</v>
          </cell>
          <cell r="P11">
            <v>44663956</v>
          </cell>
          <cell r="Q11">
            <v>806583</v>
          </cell>
          <cell r="R11">
            <v>45470539</v>
          </cell>
          <cell r="S11">
            <v>3.2653128706890917</v>
          </cell>
          <cell r="T11">
            <v>1217336333</v>
          </cell>
          <cell r="U11">
            <v>53562700</v>
          </cell>
          <cell r="V11">
            <v>1270899033</v>
          </cell>
          <cell r="W11">
            <v>91.265312905158666</v>
          </cell>
          <cell r="X11">
            <v>121633346</v>
          </cell>
          <cell r="Y11">
            <v>8.7346870948413322</v>
          </cell>
          <cell r="Z11">
            <v>87.999999933277877</v>
          </cell>
        </row>
        <row r="12">
          <cell r="B12" t="str">
            <v>현대중공업(주)</v>
          </cell>
          <cell r="C12" t="str">
            <v>안산하수기자재납품</v>
          </cell>
          <cell r="D12" t="str">
            <v>940915-970530</v>
          </cell>
          <cell r="E12">
            <v>3953044000</v>
          </cell>
          <cell r="F12">
            <v>3489857716</v>
          </cell>
          <cell r="G12">
            <v>88.282794626115972</v>
          </cell>
          <cell r="H12">
            <v>3953044000</v>
          </cell>
          <cell r="I12">
            <v>0</v>
          </cell>
          <cell r="J12">
            <v>3953044000</v>
          </cell>
          <cell r="K12">
            <v>100</v>
          </cell>
          <cell r="L12">
            <v>3494105616</v>
          </cell>
          <cell r="M12">
            <v>0</v>
          </cell>
          <cell r="N12">
            <v>3494105616</v>
          </cell>
          <cell r="O12">
            <v>88.390253586856105</v>
          </cell>
          <cell r="P12">
            <v>176751762</v>
          </cell>
          <cell r="Q12">
            <v>0</v>
          </cell>
          <cell r="R12">
            <v>176751762</v>
          </cell>
          <cell r="S12">
            <v>4.4712824344985789</v>
          </cell>
          <cell r="T12">
            <v>3670857378</v>
          </cell>
          <cell r="U12">
            <v>0</v>
          </cell>
          <cell r="V12">
            <v>3670857378</v>
          </cell>
          <cell r="W12">
            <v>92.861536021354681</v>
          </cell>
          <cell r="X12">
            <v>282186622</v>
          </cell>
          <cell r="Y12">
            <v>7.1384639786453183</v>
          </cell>
          <cell r="Z12">
            <v>0</v>
          </cell>
        </row>
        <row r="13">
          <cell r="B13" t="str">
            <v>태국YANNAWA</v>
          </cell>
          <cell r="C13" t="str">
            <v>태국YANNAWA</v>
          </cell>
          <cell r="D13" t="str">
            <v xml:space="preserve"> 950426-970331</v>
          </cell>
          <cell r="E13">
            <v>33001999999.999996</v>
          </cell>
          <cell r="F13">
            <v>33001999999.999996</v>
          </cell>
          <cell r="G13">
            <v>100</v>
          </cell>
          <cell r="H13">
            <v>25168797639</v>
          </cell>
          <cell r="I13">
            <v>2201811000</v>
          </cell>
          <cell r="J13">
            <v>27370608639</v>
          </cell>
          <cell r="K13">
            <v>82.936211862917403</v>
          </cell>
          <cell r="L13">
            <v>24323160100</v>
          </cell>
          <cell r="M13">
            <v>2201811000</v>
          </cell>
          <cell r="N13">
            <v>26524971100</v>
          </cell>
          <cell r="O13">
            <v>96.910417484121766</v>
          </cell>
          <cell r="P13">
            <v>17613849</v>
          </cell>
          <cell r="Q13">
            <v>0</v>
          </cell>
          <cell r="R13">
            <v>17613849</v>
          </cell>
          <cell r="S13">
            <v>6.4353150608796733E-2</v>
          </cell>
          <cell r="T13">
            <v>24340773949</v>
          </cell>
          <cell r="U13">
            <v>2201811000</v>
          </cell>
          <cell r="V13">
            <v>26542584949</v>
          </cell>
          <cell r="W13">
            <v>96.974770634730561</v>
          </cell>
          <cell r="X13">
            <v>828023690</v>
          </cell>
          <cell r="Y13">
            <v>3.025229365269432</v>
          </cell>
          <cell r="Z13">
            <v>100</v>
          </cell>
        </row>
        <row r="14">
          <cell r="B14" t="str">
            <v>현대정공(주)</v>
          </cell>
          <cell r="C14" t="str">
            <v>순천하수기자재제작</v>
          </cell>
          <cell r="D14" t="str">
            <v xml:space="preserve"> 941108-981230</v>
          </cell>
          <cell r="E14">
            <v>3210000000</v>
          </cell>
          <cell r="F14">
            <v>3010000000</v>
          </cell>
          <cell r="G14">
            <v>93.8</v>
          </cell>
          <cell r="H14">
            <v>646606003</v>
          </cell>
          <cell r="I14">
            <v>265545</v>
          </cell>
          <cell r="J14">
            <v>646871548</v>
          </cell>
          <cell r="K14">
            <v>20.151761619937695</v>
          </cell>
          <cell r="L14">
            <v>606319025</v>
          </cell>
          <cell r="M14">
            <v>249000</v>
          </cell>
          <cell r="N14">
            <v>606568025</v>
          </cell>
          <cell r="O14">
            <v>93.769470442066805</v>
          </cell>
          <cell r="P14">
            <v>7676203</v>
          </cell>
          <cell r="Q14">
            <v>3805</v>
          </cell>
          <cell r="R14">
            <v>7680008</v>
          </cell>
          <cell r="S14">
            <v>1.1872539492183694</v>
          </cell>
          <cell r="T14">
            <v>613995228</v>
          </cell>
          <cell r="U14">
            <v>252805</v>
          </cell>
          <cell r="V14">
            <v>614248033</v>
          </cell>
          <cell r="W14">
            <v>94.956724391285178</v>
          </cell>
          <cell r="X14">
            <v>32623515</v>
          </cell>
          <cell r="Y14">
            <v>5.0432756087148238</v>
          </cell>
          <cell r="Z14">
            <v>93.769417612833976</v>
          </cell>
        </row>
        <row r="15">
          <cell r="B15" t="str">
            <v>현대중공업(주)</v>
          </cell>
          <cell r="C15" t="str">
            <v>순천하수종말처리기전자재</v>
          </cell>
          <cell r="D15" t="str">
            <v xml:space="preserve"> 941231-981230</v>
          </cell>
          <cell r="E15">
            <v>2483000000</v>
          </cell>
          <cell r="F15">
            <v>2283000000</v>
          </cell>
          <cell r="G15">
            <v>91.945227547321778</v>
          </cell>
          <cell r="H15">
            <v>1861711970</v>
          </cell>
          <cell r="I15">
            <v>95744720</v>
          </cell>
          <cell r="J15">
            <v>1957456690</v>
          </cell>
          <cell r="K15">
            <v>78.83434111961337</v>
          </cell>
          <cell r="L15">
            <v>1711755308</v>
          </cell>
          <cell r="M15">
            <v>88032700</v>
          </cell>
          <cell r="N15">
            <v>1799788008</v>
          </cell>
          <cell r="O15">
            <v>91.945227559543099</v>
          </cell>
          <cell r="P15">
            <v>32469830</v>
          </cell>
          <cell r="Q15">
            <v>1345925</v>
          </cell>
          <cell r="R15">
            <v>33815755</v>
          </cell>
          <cell r="S15">
            <v>1.7275352845737804</v>
          </cell>
          <cell r="T15">
            <v>1744225138</v>
          </cell>
          <cell r="U15">
            <v>89378625</v>
          </cell>
          <cell r="V15">
            <v>1833603763</v>
          </cell>
          <cell r="W15">
            <v>93.672762844116875</v>
          </cell>
          <cell r="X15">
            <v>123852927</v>
          </cell>
          <cell r="Y15">
            <v>6.3272371558831271</v>
          </cell>
          <cell r="Z15">
            <v>91.945226849062806</v>
          </cell>
        </row>
        <row r="16">
          <cell r="B16" t="str">
            <v>미도파㈜</v>
          </cell>
          <cell r="C16" t="str">
            <v>임실군축산폐수처리</v>
          </cell>
          <cell r="D16" t="str">
            <v>940628-960412</v>
          </cell>
          <cell r="E16">
            <v>858000000</v>
          </cell>
          <cell r="F16">
            <v>682968000</v>
          </cell>
          <cell r="G16">
            <v>79.600000000000009</v>
          </cell>
          <cell r="H16">
            <v>858000000</v>
          </cell>
          <cell r="I16">
            <v>0</v>
          </cell>
          <cell r="J16">
            <v>858000000</v>
          </cell>
          <cell r="K16">
            <v>100</v>
          </cell>
          <cell r="L16">
            <v>714188627</v>
          </cell>
          <cell r="M16">
            <v>0</v>
          </cell>
          <cell r="N16">
            <v>714188627</v>
          </cell>
          <cell r="O16">
            <v>83.238767715617712</v>
          </cell>
          <cell r="P16">
            <v>31803144</v>
          </cell>
          <cell r="Q16">
            <v>0</v>
          </cell>
          <cell r="R16">
            <v>31803144</v>
          </cell>
          <cell r="S16">
            <v>3.7066601398601398</v>
          </cell>
          <cell r="T16">
            <v>745991771</v>
          </cell>
          <cell r="U16">
            <v>0</v>
          </cell>
          <cell r="V16">
            <v>745991771</v>
          </cell>
          <cell r="W16">
            <v>86.945427855477845</v>
          </cell>
          <cell r="X16">
            <v>112008229</v>
          </cell>
          <cell r="Y16">
            <v>13.054572144522144</v>
          </cell>
          <cell r="Z16">
            <v>0</v>
          </cell>
        </row>
        <row r="17">
          <cell r="B17" t="str">
            <v>조 달 청</v>
          </cell>
          <cell r="C17" t="str">
            <v>탄천하수처리장증설공사</v>
          </cell>
          <cell r="D17" t="str">
            <v xml:space="preserve"> 941231-981230</v>
          </cell>
          <cell r="E17">
            <v>5980974545</v>
          </cell>
          <cell r="F17">
            <v>5486769535.75</v>
          </cell>
          <cell r="G17">
            <v>91.737048778059957</v>
          </cell>
          <cell r="H17">
            <v>4706630056</v>
          </cell>
          <cell r="I17">
            <v>200823834</v>
          </cell>
          <cell r="J17">
            <v>4907453890</v>
          </cell>
          <cell r="K17">
            <v>82.051074671477309</v>
          </cell>
          <cell r="L17">
            <v>4383799330</v>
          </cell>
          <cell r="M17">
            <v>118154039</v>
          </cell>
          <cell r="N17">
            <v>4501953369</v>
          </cell>
          <cell r="O17">
            <v>91.73704878152202</v>
          </cell>
          <cell r="P17">
            <v>181551508</v>
          </cell>
          <cell r="Q17">
            <v>1806446</v>
          </cell>
          <cell r="R17">
            <v>183357954</v>
          </cell>
          <cell r="S17">
            <v>3.7363153706575121</v>
          </cell>
          <cell r="T17">
            <v>4565350838</v>
          </cell>
          <cell r="U17">
            <v>119960485</v>
          </cell>
          <cell r="V17">
            <v>4685311323</v>
          </cell>
          <cell r="W17">
            <v>95.473364152179528</v>
          </cell>
          <cell r="X17">
            <v>222142567</v>
          </cell>
          <cell r="Y17">
            <v>4.5266358478204669</v>
          </cell>
          <cell r="Z17">
            <v>58.834669494458517</v>
          </cell>
        </row>
        <row r="18">
          <cell r="B18" t="str">
            <v>제주시</v>
          </cell>
          <cell r="C18" t="str">
            <v>중문하수처리장처리</v>
          </cell>
          <cell r="D18" t="str">
            <v xml:space="preserve"> 941231-980930</v>
          </cell>
          <cell r="E18">
            <v>6251463818</v>
          </cell>
          <cell r="F18">
            <v>5307492781.4819994</v>
          </cell>
          <cell r="G18">
            <v>84.899999999999991</v>
          </cell>
          <cell r="H18">
            <v>4752429956</v>
          </cell>
          <cell r="I18">
            <v>260852644</v>
          </cell>
          <cell r="J18">
            <v>5013282600</v>
          </cell>
          <cell r="K18">
            <v>80.193739353735467</v>
          </cell>
          <cell r="L18">
            <v>4034813033</v>
          </cell>
          <cell r="M18">
            <v>221463895</v>
          </cell>
          <cell r="N18">
            <v>4256276928</v>
          </cell>
          <cell r="O18">
            <v>84.900000011968203</v>
          </cell>
          <cell r="P18">
            <v>112586009</v>
          </cell>
          <cell r="Q18">
            <v>3385944</v>
          </cell>
          <cell r="R18">
            <v>115971953</v>
          </cell>
          <cell r="S18">
            <v>2.3132937488901981</v>
          </cell>
          <cell r="T18">
            <v>4147399042</v>
          </cell>
          <cell r="U18">
            <v>224849839</v>
          </cell>
          <cell r="V18">
            <v>4372248881</v>
          </cell>
          <cell r="W18">
            <v>87.213293760858406</v>
          </cell>
          <cell r="X18">
            <v>641033719</v>
          </cell>
          <cell r="Y18">
            <v>12.786706239141596</v>
          </cell>
          <cell r="Z18">
            <v>84.90000009353939</v>
          </cell>
        </row>
        <row r="19">
          <cell r="B19" t="str">
            <v>한라중공업</v>
          </cell>
          <cell r="C19" t="str">
            <v>가양하수처리</v>
          </cell>
          <cell r="D19" t="str">
            <v xml:space="preserve"> 950428-981231</v>
          </cell>
          <cell r="E19">
            <v>1715500320</v>
          </cell>
          <cell r="F19">
            <v>1425387000</v>
          </cell>
          <cell r="G19">
            <v>83.088704990739956</v>
          </cell>
          <cell r="H19">
            <v>1715500320</v>
          </cell>
          <cell r="I19">
            <v>0</v>
          </cell>
          <cell r="J19">
            <v>1715500320</v>
          </cell>
          <cell r="K19">
            <v>100</v>
          </cell>
          <cell r="L19">
            <v>1425387488</v>
          </cell>
          <cell r="M19">
            <v>0</v>
          </cell>
          <cell r="N19">
            <v>1425387488</v>
          </cell>
          <cell r="O19">
            <v>83.088733437251705</v>
          </cell>
          <cell r="P19">
            <v>73442367</v>
          </cell>
          <cell r="Q19">
            <v>0</v>
          </cell>
          <cell r="R19">
            <v>73442367</v>
          </cell>
          <cell r="S19">
            <v>4.2811048266082512</v>
          </cell>
          <cell r="T19">
            <v>1498829855</v>
          </cell>
          <cell r="U19">
            <v>0</v>
          </cell>
          <cell r="V19">
            <v>1498829855</v>
          </cell>
          <cell r="W19">
            <v>87.369838263859961</v>
          </cell>
          <cell r="X19">
            <v>216670465</v>
          </cell>
          <cell r="Y19">
            <v>12.630161736140044</v>
          </cell>
          <cell r="Z19">
            <v>0</v>
          </cell>
        </row>
        <row r="20">
          <cell r="B20" t="str">
            <v>현대중공업</v>
          </cell>
          <cell r="C20" t="str">
            <v>수원하수종말처리장</v>
          </cell>
          <cell r="D20" t="str">
            <v xml:space="preserve"> 950426-2천1203</v>
          </cell>
          <cell r="E20">
            <v>1800937000</v>
          </cell>
          <cell r="F20">
            <v>1827951054.9999998</v>
          </cell>
          <cell r="G20">
            <v>101.49999999999999</v>
          </cell>
          <cell r="H20">
            <v>1800937000</v>
          </cell>
          <cell r="I20">
            <v>0</v>
          </cell>
          <cell r="J20">
            <v>1800937000</v>
          </cell>
          <cell r="K20">
            <v>100</v>
          </cell>
          <cell r="L20">
            <v>1846280779</v>
          </cell>
          <cell r="M20">
            <v>0</v>
          </cell>
          <cell r="N20">
            <v>1846280779</v>
          </cell>
          <cell r="O20">
            <v>102.51778818470608</v>
          </cell>
          <cell r="P20">
            <v>130430384</v>
          </cell>
          <cell r="Q20">
            <v>0</v>
          </cell>
          <cell r="R20">
            <v>130430384</v>
          </cell>
          <cell r="S20">
            <v>7.2423623924656999</v>
          </cell>
          <cell r="T20">
            <v>1976711163</v>
          </cell>
          <cell r="U20">
            <v>0</v>
          </cell>
          <cell r="V20">
            <v>1976711163</v>
          </cell>
          <cell r="W20">
            <v>109.76015057717177</v>
          </cell>
          <cell r="X20">
            <v>-175774163</v>
          </cell>
          <cell r="Y20">
            <v>-9.7601505771717729</v>
          </cell>
          <cell r="Z20">
            <v>0</v>
          </cell>
        </row>
        <row r="21">
          <cell r="B21" t="str">
            <v>롯데건설(주)</v>
          </cell>
          <cell r="C21" t="str">
            <v>속초하수처리장기자재공사</v>
          </cell>
          <cell r="D21" t="str">
            <v xml:space="preserve"> 950509-2천1203</v>
          </cell>
          <cell r="E21">
            <v>3388000000</v>
          </cell>
          <cell r="F21">
            <v>2947560000</v>
          </cell>
          <cell r="G21">
            <v>87</v>
          </cell>
          <cell r="H21">
            <v>890515232</v>
          </cell>
          <cell r="I21">
            <v>231068759</v>
          </cell>
          <cell r="J21">
            <v>1121583991</v>
          </cell>
          <cell r="K21">
            <v>33.104604220779223</v>
          </cell>
          <cell r="L21">
            <v>778310313</v>
          </cell>
          <cell r="M21">
            <v>197467760</v>
          </cell>
          <cell r="N21">
            <v>975778073</v>
          </cell>
          <cell r="O21">
            <v>87.000000074002486</v>
          </cell>
          <cell r="P21">
            <v>16658200</v>
          </cell>
          <cell r="Q21">
            <v>3019068</v>
          </cell>
          <cell r="R21">
            <v>19677268</v>
          </cell>
          <cell r="S21">
            <v>1.7544176947868009</v>
          </cell>
          <cell r="T21">
            <v>794968513</v>
          </cell>
          <cell r="U21">
            <v>200486828</v>
          </cell>
          <cell r="V21">
            <v>995455341</v>
          </cell>
          <cell r="W21">
            <v>88.754417768789281</v>
          </cell>
          <cell r="X21">
            <v>126128650</v>
          </cell>
          <cell r="Y21">
            <v>11.245582231210715</v>
          </cell>
          <cell r="Z21">
            <v>85.458441398389127</v>
          </cell>
        </row>
        <row r="22">
          <cell r="B22" t="str">
            <v>(주)삼환기연</v>
          </cell>
          <cell r="C22" t="str">
            <v>속초하수처리장기자재공사</v>
          </cell>
          <cell r="D22" t="str">
            <v xml:space="preserve"> 950509-2천1203</v>
          </cell>
          <cell r="E22">
            <v>1370000000</v>
          </cell>
          <cell r="F22">
            <v>1191900000</v>
          </cell>
          <cell r="G22">
            <v>87</v>
          </cell>
          <cell r="H22">
            <v>88880977</v>
          </cell>
          <cell r="I22">
            <v>473429</v>
          </cell>
          <cell r="J22">
            <v>89354406</v>
          </cell>
          <cell r="K22">
            <v>6.5222194160583946</v>
          </cell>
          <cell r="L22">
            <v>77681974</v>
          </cell>
          <cell r="M22">
            <v>56360</v>
          </cell>
          <cell r="N22">
            <v>77738334</v>
          </cell>
          <cell r="O22">
            <v>87.000000872928425</v>
          </cell>
          <cell r="P22">
            <v>2747663</v>
          </cell>
          <cell r="Q22">
            <v>860</v>
          </cell>
          <cell r="R22">
            <v>2748523</v>
          </cell>
          <cell r="S22">
            <v>3.0759792639660097</v>
          </cell>
          <cell r="T22">
            <v>80429637</v>
          </cell>
          <cell r="U22">
            <v>57220</v>
          </cell>
          <cell r="V22">
            <v>80486857</v>
          </cell>
          <cell r="W22">
            <v>90.07598013689443</v>
          </cell>
          <cell r="X22">
            <v>8867549</v>
          </cell>
          <cell r="Y22">
            <v>9.9240198631055758</v>
          </cell>
          <cell r="Z22">
            <v>11.904636175646189</v>
          </cell>
        </row>
        <row r="23">
          <cell r="B23" t="str">
            <v>코오롱ENG</v>
          </cell>
          <cell r="C23" t="str">
            <v>한보철강수처리설비</v>
          </cell>
          <cell r="D23" t="str">
            <v xml:space="preserve"> 951016-971130</v>
          </cell>
          <cell r="E23">
            <v>3983960000</v>
          </cell>
          <cell r="F23">
            <v>3649307360</v>
          </cell>
          <cell r="G23">
            <v>91.600000000000009</v>
          </cell>
          <cell r="H23">
            <v>3480989301</v>
          </cell>
          <cell r="I23">
            <v>0</v>
          </cell>
          <cell r="J23">
            <v>3480989301</v>
          </cell>
          <cell r="K23">
            <v>87.37510670287854</v>
          </cell>
          <cell r="L23">
            <v>3188586200</v>
          </cell>
          <cell r="M23">
            <v>0</v>
          </cell>
          <cell r="N23">
            <v>3188586200</v>
          </cell>
          <cell r="O23">
            <v>91.600000008158602</v>
          </cell>
          <cell r="P23">
            <v>98066435</v>
          </cell>
          <cell r="Q23">
            <v>0</v>
          </cell>
          <cell r="R23">
            <v>98066435</v>
          </cell>
          <cell r="S23">
            <v>2.8172001267521276</v>
          </cell>
          <cell r="T23">
            <v>3286652635</v>
          </cell>
          <cell r="U23">
            <v>0</v>
          </cell>
          <cell r="V23">
            <v>3286652635</v>
          </cell>
          <cell r="W23">
            <v>94.417200134910729</v>
          </cell>
          <cell r="X23">
            <v>194336666</v>
          </cell>
          <cell r="Y23">
            <v>5.5827998650892727</v>
          </cell>
          <cell r="Z23">
            <v>0</v>
          </cell>
        </row>
        <row r="24">
          <cell r="B24" t="str">
            <v>코오롱ENG</v>
          </cell>
          <cell r="C24" t="str">
            <v>삼부/수처리기자재납품</v>
          </cell>
          <cell r="D24" t="str">
            <v>960325-971231</v>
          </cell>
          <cell r="E24">
            <v>1979000000</v>
          </cell>
          <cell r="F24">
            <v>1715000000</v>
          </cell>
          <cell r="G24">
            <v>86.659929257200602</v>
          </cell>
          <cell r="H24">
            <v>1979000000</v>
          </cell>
          <cell r="I24">
            <v>0</v>
          </cell>
          <cell r="J24">
            <v>1979000000</v>
          </cell>
          <cell r="K24">
            <v>100</v>
          </cell>
          <cell r="L24">
            <v>1459300000</v>
          </cell>
          <cell r="M24">
            <v>0</v>
          </cell>
          <cell r="N24">
            <v>1459300000</v>
          </cell>
          <cell r="O24">
            <v>73.739262253663469</v>
          </cell>
          <cell r="P24">
            <v>328727826</v>
          </cell>
          <cell r="Q24">
            <v>0</v>
          </cell>
          <cell r="R24">
            <v>328727826</v>
          </cell>
          <cell r="S24">
            <v>16.610804749873672</v>
          </cell>
          <cell r="T24">
            <v>1788027826</v>
          </cell>
          <cell r="U24">
            <v>0</v>
          </cell>
          <cell r="V24">
            <v>1788027826</v>
          </cell>
          <cell r="W24">
            <v>90.350067003537134</v>
          </cell>
          <cell r="X24">
            <v>190972174</v>
          </cell>
          <cell r="Y24">
            <v>9.6499329964628586</v>
          </cell>
          <cell r="Z24">
            <v>0</v>
          </cell>
        </row>
        <row r="25">
          <cell r="B25" t="str">
            <v>삼성물산(주)</v>
          </cell>
          <cell r="C25" t="str">
            <v>가평하수종말처리공사</v>
          </cell>
          <cell r="D25" t="str">
            <v>960301-980430</v>
          </cell>
          <cell r="E25">
            <v>1931150000</v>
          </cell>
          <cell r="F25">
            <v>1629890600</v>
          </cell>
          <cell r="G25">
            <v>84.399999999999991</v>
          </cell>
          <cell r="H25">
            <v>1558177278</v>
          </cell>
          <cell r="I25">
            <v>42723172</v>
          </cell>
          <cell r="J25">
            <v>1600900450</v>
          </cell>
          <cell r="K25">
            <v>82.898814178080414</v>
          </cell>
          <cell r="L25">
            <v>1332241573</v>
          </cell>
          <cell r="M25">
            <v>18918407</v>
          </cell>
          <cell r="N25">
            <v>1351159980</v>
          </cell>
          <cell r="O25">
            <v>84.400000012492967</v>
          </cell>
          <cell r="P25">
            <v>25941230</v>
          </cell>
          <cell r="Q25">
            <v>289241</v>
          </cell>
          <cell r="R25">
            <v>26230471</v>
          </cell>
          <cell r="S25">
            <v>1.6384823303660139</v>
          </cell>
          <cell r="T25">
            <v>1358182803</v>
          </cell>
          <cell r="U25">
            <v>19207648</v>
          </cell>
          <cell r="V25">
            <v>1377390451</v>
          </cell>
          <cell r="W25">
            <v>86.038482342858984</v>
          </cell>
          <cell r="X25">
            <v>223509999</v>
          </cell>
          <cell r="Y25">
            <v>13.961517657141018</v>
          </cell>
          <cell r="Z25">
            <v>44.281372647143336</v>
          </cell>
        </row>
        <row r="26">
          <cell r="B26" t="str">
            <v>충  주  시</v>
          </cell>
          <cell r="C26" t="str">
            <v>수안보하수토목,건축공사</v>
          </cell>
          <cell r="D26" t="str">
            <v xml:space="preserve"> 951229-980510</v>
          </cell>
          <cell r="E26">
            <v>916954909</v>
          </cell>
          <cell r="F26">
            <v>804389643</v>
          </cell>
          <cell r="G26">
            <v>87.724012937259928</v>
          </cell>
          <cell r="H26">
            <v>553754842</v>
          </cell>
          <cell r="I26">
            <v>44027458</v>
          </cell>
          <cell r="J26">
            <v>597782300</v>
          </cell>
          <cell r="K26">
            <v>65.19211513376608</v>
          </cell>
          <cell r="L26">
            <v>485775970</v>
          </cell>
          <cell r="M26">
            <v>38622653</v>
          </cell>
          <cell r="N26">
            <v>524398623</v>
          </cell>
          <cell r="O26">
            <v>87.724013072986608</v>
          </cell>
          <cell r="P26">
            <v>12990490</v>
          </cell>
          <cell r="Q26">
            <v>590498</v>
          </cell>
          <cell r="R26">
            <v>13580988</v>
          </cell>
          <cell r="S26">
            <v>2.2718953036916614</v>
          </cell>
          <cell r="T26">
            <v>498766460</v>
          </cell>
          <cell r="U26">
            <v>39213151</v>
          </cell>
          <cell r="V26">
            <v>537979611</v>
          </cell>
          <cell r="W26">
            <v>89.995908376678273</v>
          </cell>
          <cell r="X26">
            <v>59802689</v>
          </cell>
          <cell r="Y26">
            <v>10.004091623321735</v>
          </cell>
          <cell r="Z26">
            <v>87.724013046585611</v>
          </cell>
        </row>
        <row r="27">
          <cell r="B27" t="str">
            <v>충  주  시</v>
          </cell>
          <cell r="C27" t="str">
            <v>수안보하수기계제작공사</v>
          </cell>
          <cell r="D27" t="str">
            <v xml:space="preserve"> 951229-980510</v>
          </cell>
          <cell r="E27">
            <v>486661500</v>
          </cell>
          <cell r="F27">
            <v>420962198</v>
          </cell>
          <cell r="G27">
            <v>86.500000102740813</v>
          </cell>
          <cell r="H27">
            <v>278420131</v>
          </cell>
          <cell r="I27">
            <v>516243</v>
          </cell>
          <cell r="J27">
            <v>278936374</v>
          </cell>
          <cell r="K27">
            <v>57.316301782655913</v>
          </cell>
          <cell r="L27">
            <v>240833414</v>
          </cell>
          <cell r="M27">
            <v>446550</v>
          </cell>
          <cell r="N27">
            <v>241279964</v>
          </cell>
          <cell r="O27">
            <v>86.500000175667296</v>
          </cell>
          <cell r="P27">
            <v>3436368</v>
          </cell>
          <cell r="Q27">
            <v>6826</v>
          </cell>
          <cell r="R27">
            <v>3443194</v>
          </cell>
          <cell r="S27">
            <v>1.2344012186807878</v>
          </cell>
          <cell r="T27">
            <v>244269782</v>
          </cell>
          <cell r="U27">
            <v>453376</v>
          </cell>
          <cell r="V27">
            <v>244723158</v>
          </cell>
          <cell r="W27">
            <v>87.734401394348097</v>
          </cell>
          <cell r="X27">
            <v>34213216</v>
          </cell>
          <cell r="Y27">
            <v>12.265598605651912</v>
          </cell>
          <cell r="Z27">
            <v>86.499962227090734</v>
          </cell>
        </row>
        <row r="28">
          <cell r="B28" t="str">
            <v>한진건설</v>
          </cell>
          <cell r="C28" t="str">
            <v>청평하수처리</v>
          </cell>
          <cell r="D28" t="str">
            <v xml:space="preserve"> 960214-980301</v>
          </cell>
          <cell r="E28">
            <v>2164446000</v>
          </cell>
          <cell r="F28">
            <v>1926298000</v>
          </cell>
          <cell r="G28">
            <v>88.997276901341039</v>
          </cell>
          <cell r="H28">
            <v>1395937519</v>
          </cell>
          <cell r="I28">
            <v>71737408</v>
          </cell>
          <cell r="J28">
            <v>1467674927</v>
          </cell>
          <cell r="K28">
            <v>67.808341118235333</v>
          </cell>
          <cell r="L28">
            <v>1242346380</v>
          </cell>
          <cell r="M28">
            <v>63844339</v>
          </cell>
          <cell r="N28">
            <v>1306190719</v>
          </cell>
          <cell r="O28">
            <v>88.997276915394224</v>
          </cell>
          <cell r="P28">
            <v>21126766</v>
          </cell>
          <cell r="Q28">
            <v>976110</v>
          </cell>
          <cell r="R28">
            <v>22102876</v>
          </cell>
          <cell r="S28">
            <v>1.505978987130302</v>
          </cell>
          <cell r="T28">
            <v>1263473146</v>
          </cell>
          <cell r="U28">
            <v>64820449</v>
          </cell>
          <cell r="V28">
            <v>1328293595</v>
          </cell>
          <cell r="W28">
            <v>90.503255902524529</v>
          </cell>
          <cell r="X28">
            <v>139381332</v>
          </cell>
          <cell r="Y28">
            <v>9.4967440974754762</v>
          </cell>
          <cell r="Z28">
            <v>88.997276009749342</v>
          </cell>
        </row>
        <row r="29">
          <cell r="B29" t="str">
            <v>영  천  시</v>
          </cell>
          <cell r="C29" t="str">
            <v>금호하수종말처리장(기계)</v>
          </cell>
          <cell r="D29" t="str">
            <v xml:space="preserve"> 960404-990130</v>
          </cell>
          <cell r="E29">
            <v>2659502660</v>
          </cell>
          <cell r="F29">
            <v>2265896266.3200002</v>
          </cell>
          <cell r="G29">
            <v>85.2</v>
          </cell>
          <cell r="H29">
            <v>11823650</v>
          </cell>
          <cell r="I29">
            <v>0</v>
          </cell>
          <cell r="J29">
            <v>11823650</v>
          </cell>
          <cell r="K29">
            <v>0.44458124362244483</v>
          </cell>
          <cell r="L29">
            <v>10073750</v>
          </cell>
          <cell r="M29">
            <v>0</v>
          </cell>
          <cell r="N29">
            <v>10073750</v>
          </cell>
          <cell r="O29">
            <v>85.200001691525046</v>
          </cell>
          <cell r="P29">
            <v>442521</v>
          </cell>
          <cell r="Q29">
            <v>0</v>
          </cell>
          <cell r="R29">
            <v>442521</v>
          </cell>
          <cell r="S29">
            <v>3.7426767537943024</v>
          </cell>
          <cell r="T29">
            <v>10516271</v>
          </cell>
          <cell r="U29">
            <v>0</v>
          </cell>
          <cell r="V29">
            <v>10516271</v>
          </cell>
          <cell r="W29">
            <v>88.942678445319331</v>
          </cell>
          <cell r="X29">
            <v>1307379</v>
          </cell>
          <cell r="Y29">
            <v>11.057321554680662</v>
          </cell>
          <cell r="Z29">
            <v>0</v>
          </cell>
        </row>
        <row r="30">
          <cell r="B30" t="str">
            <v>영  천  시</v>
          </cell>
          <cell r="C30" t="str">
            <v>금호하수종말처리장(전기)</v>
          </cell>
          <cell r="D30" t="str">
            <v xml:space="preserve"> 960404-990130</v>
          </cell>
          <cell r="E30">
            <v>1480707340</v>
          </cell>
          <cell r="F30">
            <v>1362250752.8</v>
          </cell>
          <cell r="G30">
            <v>92</v>
          </cell>
          <cell r="H30">
            <v>380434</v>
          </cell>
          <cell r="I30">
            <v>0</v>
          </cell>
          <cell r="J30">
            <v>380434</v>
          </cell>
          <cell r="K30">
            <v>2.5692720615540406E-2</v>
          </cell>
          <cell r="L30">
            <v>350000</v>
          </cell>
          <cell r="M30">
            <v>0</v>
          </cell>
          <cell r="N30">
            <v>350000</v>
          </cell>
          <cell r="O30">
            <v>92.000189257532185</v>
          </cell>
          <cell r="P30">
            <v>4893</v>
          </cell>
          <cell r="Q30">
            <v>0</v>
          </cell>
          <cell r="R30">
            <v>4893</v>
          </cell>
          <cell r="S30">
            <v>1.2861626458202999</v>
          </cell>
          <cell r="T30">
            <v>354893</v>
          </cell>
          <cell r="U30">
            <v>0</v>
          </cell>
          <cell r="V30">
            <v>354893</v>
          </cell>
          <cell r="W30">
            <v>93.286351903352482</v>
          </cell>
          <cell r="X30">
            <v>25541</v>
          </cell>
          <cell r="Y30">
            <v>6.7136480966475132</v>
          </cell>
          <cell r="Z30">
            <v>0</v>
          </cell>
        </row>
        <row r="31">
          <cell r="B31" t="str">
            <v>현대중공업(주)</v>
          </cell>
          <cell r="C31" t="str">
            <v>신천하수처리장확장</v>
          </cell>
          <cell r="D31" t="str">
            <v>951120-980531</v>
          </cell>
          <cell r="E31">
            <v>5007734000</v>
          </cell>
          <cell r="F31">
            <v>4521983802</v>
          </cell>
          <cell r="G31">
            <v>90.3</v>
          </cell>
          <cell r="H31">
            <v>5007734000</v>
          </cell>
          <cell r="I31">
            <v>0</v>
          </cell>
          <cell r="J31">
            <v>5007734000</v>
          </cell>
          <cell r="K31">
            <v>100</v>
          </cell>
          <cell r="L31">
            <v>4490847670</v>
          </cell>
          <cell r="M31">
            <v>0</v>
          </cell>
          <cell r="N31">
            <v>4490847670</v>
          </cell>
          <cell r="O31">
            <v>89.678239099760489</v>
          </cell>
          <cell r="P31">
            <v>69270042</v>
          </cell>
          <cell r="Q31">
            <v>0</v>
          </cell>
          <cell r="R31">
            <v>69270042</v>
          </cell>
          <cell r="S31">
            <v>1.3832612115579621</v>
          </cell>
          <cell r="T31">
            <v>4560117712</v>
          </cell>
          <cell r="U31">
            <v>0</v>
          </cell>
          <cell r="V31">
            <v>4560117712</v>
          </cell>
          <cell r="W31">
            <v>91.061500311318454</v>
          </cell>
          <cell r="X31">
            <v>447616288</v>
          </cell>
          <cell r="Y31">
            <v>8.9384996886815475</v>
          </cell>
          <cell r="Z31">
            <v>0</v>
          </cell>
        </row>
        <row r="32">
          <cell r="B32" t="str">
            <v>선경건설</v>
          </cell>
          <cell r="C32" t="str">
            <v>장호원하수종말처리장</v>
          </cell>
          <cell r="D32" t="str">
            <v xml:space="preserve"> 960425-980407</v>
          </cell>
          <cell r="E32">
            <v>871243317</v>
          </cell>
          <cell r="F32">
            <v>700390917</v>
          </cell>
          <cell r="G32">
            <v>80.389818014523712</v>
          </cell>
          <cell r="H32">
            <v>616409551</v>
          </cell>
          <cell r="I32">
            <v>161215</v>
          </cell>
          <cell r="J32">
            <v>616570766</v>
          </cell>
          <cell r="K32">
            <v>70.769066914977557</v>
          </cell>
          <cell r="L32">
            <v>495530517</v>
          </cell>
          <cell r="M32">
            <v>129600</v>
          </cell>
          <cell r="N32">
            <v>495660117</v>
          </cell>
          <cell r="O32">
            <v>80.389818060235442</v>
          </cell>
          <cell r="P32">
            <v>4910191</v>
          </cell>
          <cell r="Q32">
            <v>1980</v>
          </cell>
          <cell r="R32">
            <v>4912171</v>
          </cell>
          <cell r="S32">
            <v>0.79669216752972039</v>
          </cell>
          <cell r="T32">
            <v>500440708</v>
          </cell>
          <cell r="U32">
            <v>131580</v>
          </cell>
          <cell r="V32">
            <v>500572288</v>
          </cell>
          <cell r="W32">
            <v>81.186510227765169</v>
          </cell>
          <cell r="X32">
            <v>115998478</v>
          </cell>
          <cell r="Y32">
            <v>18.813489772234838</v>
          </cell>
          <cell r="Z32">
            <v>80.389541916074805</v>
          </cell>
        </row>
        <row r="33">
          <cell r="B33" t="str">
            <v>대림산업</v>
          </cell>
          <cell r="C33" t="str">
            <v>일산하수처리2단계</v>
          </cell>
          <cell r="D33" t="str">
            <v xml:space="preserve"> 960615-990423</v>
          </cell>
          <cell r="E33">
            <v>3990000000</v>
          </cell>
          <cell r="F33">
            <v>3600000000</v>
          </cell>
          <cell r="G33">
            <v>90.225563909774436</v>
          </cell>
          <cell r="H33">
            <v>1256822654</v>
          </cell>
          <cell r="I33">
            <v>431021192</v>
          </cell>
          <cell r="J33">
            <v>1687843846</v>
          </cell>
          <cell r="K33">
            <v>42.301850776942359</v>
          </cell>
          <cell r="L33">
            <v>1133975327</v>
          </cell>
          <cell r="M33">
            <v>388891301</v>
          </cell>
          <cell r="N33">
            <v>1522866628</v>
          </cell>
          <cell r="O33">
            <v>90.225563911556307</v>
          </cell>
          <cell r="P33">
            <v>17222301</v>
          </cell>
          <cell r="Q33">
            <v>5945728</v>
          </cell>
          <cell r="R33">
            <v>23168029</v>
          </cell>
          <cell r="S33">
            <v>1.3726405469857665</v>
          </cell>
          <cell r="T33">
            <v>1151197628</v>
          </cell>
          <cell r="U33">
            <v>394837029</v>
          </cell>
          <cell r="V33">
            <v>1546034657</v>
          </cell>
          <cell r="W33">
            <v>91.598204458542071</v>
          </cell>
          <cell r="X33">
            <v>141809189</v>
          </cell>
          <cell r="Y33">
            <v>8.4017955414579273</v>
          </cell>
          <cell r="Z33">
            <v>90.225563897563532</v>
          </cell>
        </row>
        <row r="34">
          <cell r="B34" t="str">
            <v>경남기업(주)</v>
          </cell>
          <cell r="C34" t="str">
            <v>삼척시하수종말처리장</v>
          </cell>
          <cell r="D34" t="str">
            <v xml:space="preserve"> 960725-980430</v>
          </cell>
          <cell r="E34">
            <v>3080000000</v>
          </cell>
          <cell r="F34">
            <v>2515000000</v>
          </cell>
          <cell r="G34">
            <v>81.655844155844164</v>
          </cell>
          <cell r="H34">
            <v>1106806952</v>
          </cell>
          <cell r="I34">
            <v>0</v>
          </cell>
          <cell r="J34">
            <v>1106806952</v>
          </cell>
          <cell r="K34">
            <v>35.935290649350648</v>
          </cell>
          <cell r="L34">
            <v>903772560</v>
          </cell>
          <cell r="M34">
            <v>0</v>
          </cell>
          <cell r="N34">
            <v>903772560</v>
          </cell>
          <cell r="O34">
            <v>81.655844171098053</v>
          </cell>
          <cell r="P34">
            <v>11119491</v>
          </cell>
          <cell r="Q34">
            <v>0</v>
          </cell>
          <cell r="R34">
            <v>11119491</v>
          </cell>
          <cell r="S34">
            <v>1.0046459303410664</v>
          </cell>
          <cell r="T34">
            <v>914892051</v>
          </cell>
          <cell r="U34">
            <v>0</v>
          </cell>
          <cell r="V34">
            <v>914892051</v>
          </cell>
          <cell r="W34">
            <v>82.660490101439123</v>
          </cell>
          <cell r="X34">
            <v>191914901</v>
          </cell>
          <cell r="Y34">
            <v>17.339509898560884</v>
          </cell>
          <cell r="Z34">
            <v>0</v>
          </cell>
        </row>
        <row r="35">
          <cell r="B35" t="str">
            <v>한국전력공사</v>
          </cell>
          <cell r="C35" t="str">
            <v>월성3,4호기폐수처리</v>
          </cell>
          <cell r="D35" t="str">
            <v xml:space="preserve"> 961101-971031</v>
          </cell>
          <cell r="E35">
            <v>2060100000</v>
          </cell>
          <cell r="F35">
            <v>1917953100</v>
          </cell>
          <cell r="G35">
            <v>93.100000000000009</v>
          </cell>
          <cell r="H35">
            <v>2060100000</v>
          </cell>
          <cell r="I35">
            <v>0</v>
          </cell>
          <cell r="J35">
            <v>2060100000</v>
          </cell>
          <cell r="K35">
            <v>100</v>
          </cell>
          <cell r="L35">
            <v>1825179218</v>
          </cell>
          <cell r="M35">
            <v>0</v>
          </cell>
          <cell r="N35">
            <v>1825179218</v>
          </cell>
          <cell r="O35">
            <v>88.596632105237603</v>
          </cell>
          <cell r="P35">
            <v>34334596</v>
          </cell>
          <cell r="Q35">
            <v>0</v>
          </cell>
          <cell r="R35">
            <v>34334596</v>
          </cell>
          <cell r="S35">
            <v>1.6666470559681568</v>
          </cell>
          <cell r="T35">
            <v>1859513814</v>
          </cell>
          <cell r="U35">
            <v>0</v>
          </cell>
          <cell r="V35">
            <v>1859513814</v>
          </cell>
          <cell r="W35">
            <v>90.263279161205773</v>
          </cell>
          <cell r="X35">
            <v>200586186</v>
          </cell>
          <cell r="Y35">
            <v>9.7367208387942323</v>
          </cell>
          <cell r="Z35">
            <v>0</v>
          </cell>
        </row>
        <row r="36">
          <cell r="B36" t="str">
            <v>조달청</v>
          </cell>
          <cell r="C36" t="str">
            <v>덕산정수장고도정수처리</v>
          </cell>
          <cell r="D36" t="str">
            <v>961230-2천1229</v>
          </cell>
          <cell r="E36">
            <v>16072285455</v>
          </cell>
          <cell r="F36">
            <v>18483128273</v>
          </cell>
          <cell r="G36">
            <v>114.99999999844452</v>
          </cell>
          <cell r="H36">
            <v>1114389333</v>
          </cell>
          <cell r="I36">
            <v>436267864</v>
          </cell>
          <cell r="J36">
            <v>1550657197</v>
          </cell>
          <cell r="K36">
            <v>9.6480192648494754</v>
          </cell>
          <cell r="L36">
            <v>1281547733</v>
          </cell>
          <cell r="M36">
            <v>501708044</v>
          </cell>
          <cell r="N36">
            <v>1783255777</v>
          </cell>
          <cell r="O36">
            <v>115.00000002901996</v>
          </cell>
          <cell r="P36">
            <v>18672354</v>
          </cell>
          <cell r="Q36">
            <v>7670575</v>
          </cell>
          <cell r="R36">
            <v>26342929</v>
          </cell>
          <cell r="S36">
            <v>1.6988235085720238</v>
          </cell>
          <cell r="T36">
            <v>1300220087</v>
          </cell>
          <cell r="U36">
            <v>509378619</v>
          </cell>
          <cell r="V36">
            <v>1809598706</v>
          </cell>
          <cell r="W36">
            <v>116.69882353759198</v>
          </cell>
          <cell r="X36">
            <v>-258941509</v>
          </cell>
          <cell r="Y36">
            <v>-16.698823537591977</v>
          </cell>
          <cell r="Z36">
            <v>115.00000009168679</v>
          </cell>
        </row>
        <row r="37">
          <cell r="B37" t="str">
            <v>롯데건설(주)</v>
          </cell>
          <cell r="C37" t="str">
            <v>진주상평공단집단에너지</v>
          </cell>
          <cell r="D37" t="str">
            <v>961001-981031</v>
          </cell>
          <cell r="E37">
            <v>35500000000</v>
          </cell>
          <cell r="F37">
            <v>35500000000</v>
          </cell>
          <cell r="G37">
            <v>100</v>
          </cell>
          <cell r="H37">
            <v>15031272942</v>
          </cell>
          <cell r="I37">
            <v>2801568827</v>
          </cell>
          <cell r="J37">
            <v>17832841769</v>
          </cell>
          <cell r="K37">
            <v>50.233357095774643</v>
          </cell>
          <cell r="L37">
            <v>14476060109</v>
          </cell>
          <cell r="M37">
            <v>2801568827</v>
          </cell>
          <cell r="N37">
            <v>17277628936</v>
          </cell>
          <cell r="O37">
            <v>96.886571191557564</v>
          </cell>
          <cell r="P37">
            <v>147240268</v>
          </cell>
          <cell r="Q37">
            <v>42832974</v>
          </cell>
          <cell r="R37">
            <v>190073242</v>
          </cell>
          <cell r="S37">
            <v>1.065860643312704</v>
          </cell>
          <cell r="T37">
            <v>14623300377</v>
          </cell>
          <cell r="U37">
            <v>2844401801</v>
          </cell>
          <cell r="V37">
            <v>17467702178</v>
          </cell>
          <cell r="W37">
            <v>97.952431834870282</v>
          </cell>
          <cell r="X37">
            <v>365139591</v>
          </cell>
          <cell r="Y37">
            <v>2.0475681651297224</v>
          </cell>
          <cell r="Z37">
            <v>100</v>
          </cell>
        </row>
        <row r="38">
          <cell r="B38" t="str">
            <v>삼성ENG(주)</v>
          </cell>
          <cell r="C38" t="str">
            <v>CERAMIC FILTER PACKAGE</v>
          </cell>
          <cell r="D38" t="str">
            <v>961213-971030</v>
          </cell>
          <cell r="E38">
            <v>850000000</v>
          </cell>
          <cell r="F38">
            <v>700288000</v>
          </cell>
          <cell r="G38">
            <v>82.386823529411771</v>
          </cell>
          <cell r="H38">
            <v>764287759</v>
          </cell>
          <cell r="I38">
            <v>0</v>
          </cell>
          <cell r="J38">
            <v>764287759</v>
          </cell>
          <cell r="K38">
            <v>89.916206941176469</v>
          </cell>
          <cell r="L38">
            <v>629672408</v>
          </cell>
          <cell r="M38">
            <v>0</v>
          </cell>
          <cell r="N38">
            <v>629672408</v>
          </cell>
          <cell r="O38">
            <v>82.386823625681018</v>
          </cell>
          <cell r="P38">
            <v>9597070</v>
          </cell>
          <cell r="Q38">
            <v>0</v>
          </cell>
          <cell r="R38">
            <v>9597070</v>
          </cell>
          <cell r="S38">
            <v>1.2556880424929062</v>
          </cell>
          <cell r="T38">
            <v>639269478</v>
          </cell>
          <cell r="U38">
            <v>0</v>
          </cell>
          <cell r="V38">
            <v>639269478</v>
          </cell>
          <cell r="W38">
            <v>83.642511668173924</v>
          </cell>
          <cell r="X38">
            <v>125018281</v>
          </cell>
          <cell r="Y38">
            <v>16.357488331826076</v>
          </cell>
          <cell r="Z38">
            <v>0</v>
          </cell>
        </row>
        <row r="39">
          <cell r="B39" t="str">
            <v>전남보성군</v>
          </cell>
          <cell r="C39" t="str">
            <v>복내하수종말처리시설공사</v>
          </cell>
          <cell r="D39" t="str">
            <v>961228-980430</v>
          </cell>
          <cell r="E39">
            <v>1211828727</v>
          </cell>
          <cell r="F39">
            <v>1150025461.9229999</v>
          </cell>
          <cell r="G39">
            <v>94.899999999999977</v>
          </cell>
          <cell r="H39">
            <v>1072171717</v>
          </cell>
          <cell r="I39">
            <v>13323687</v>
          </cell>
          <cell r="J39">
            <v>1085495404</v>
          </cell>
          <cell r="K39">
            <v>89.574985294105829</v>
          </cell>
          <cell r="L39">
            <v>1017321389</v>
          </cell>
          <cell r="M39">
            <v>12813750</v>
          </cell>
          <cell r="N39">
            <v>1030135139</v>
          </cell>
          <cell r="O39">
            <v>94.900000055642792</v>
          </cell>
          <cell r="P39">
            <v>14480149</v>
          </cell>
          <cell r="Q39">
            <v>195907</v>
          </cell>
          <cell r="R39">
            <v>14676056</v>
          </cell>
          <cell r="S39">
            <v>1.3520145682717235</v>
          </cell>
          <cell r="T39">
            <v>1031801538</v>
          </cell>
          <cell r="U39">
            <v>13009657</v>
          </cell>
          <cell r="V39">
            <v>1044811195</v>
          </cell>
          <cell r="W39">
            <v>96.252014623914519</v>
          </cell>
          <cell r="X39">
            <v>40684209</v>
          </cell>
          <cell r="Y39">
            <v>3.7479853760854795</v>
          </cell>
          <cell r="Z39">
            <v>96.172703546698443</v>
          </cell>
        </row>
        <row r="40">
          <cell r="B40" t="str">
            <v>한국전력공사</v>
          </cell>
          <cell r="C40" t="str">
            <v>월성3,4호기일상폐수펌프</v>
          </cell>
          <cell r="D40" t="str">
            <v>970710-970830</v>
          </cell>
          <cell r="E40">
            <v>818190000</v>
          </cell>
          <cell r="F40">
            <v>740159000</v>
          </cell>
          <cell r="G40">
            <v>90.462973148046302</v>
          </cell>
          <cell r="H40">
            <v>818190000</v>
          </cell>
          <cell r="I40">
            <v>0</v>
          </cell>
          <cell r="J40">
            <v>818190000</v>
          </cell>
          <cell r="K40">
            <v>100</v>
          </cell>
          <cell r="L40">
            <v>539467606</v>
          </cell>
          <cell r="M40">
            <v>0</v>
          </cell>
          <cell r="N40">
            <v>539467606</v>
          </cell>
          <cell r="O40">
            <v>65.934270279519424</v>
          </cell>
          <cell r="P40">
            <v>7956630</v>
          </cell>
          <cell r="Q40">
            <v>0</v>
          </cell>
          <cell r="R40">
            <v>7956630</v>
          </cell>
          <cell r="S40">
            <v>0.97246727532724675</v>
          </cell>
          <cell r="T40">
            <v>547424236</v>
          </cell>
          <cell r="U40">
            <v>0</v>
          </cell>
          <cell r="V40">
            <v>547424236</v>
          </cell>
          <cell r="W40">
            <v>66.906737554846671</v>
          </cell>
          <cell r="X40">
            <v>270765764</v>
          </cell>
          <cell r="Y40">
            <v>33.093262445153329</v>
          </cell>
          <cell r="Z40">
            <v>0</v>
          </cell>
        </row>
        <row r="41">
          <cell r="B41" t="str">
            <v>현대건설㈜</v>
          </cell>
          <cell r="C41" t="str">
            <v>낙동강하수처리장기자재</v>
          </cell>
          <cell r="D41" t="str">
            <v>970508-971031</v>
          </cell>
          <cell r="E41">
            <v>1178146800</v>
          </cell>
          <cell r="F41">
            <v>683230000</v>
          </cell>
          <cell r="G41">
            <v>57.991924266144082</v>
          </cell>
          <cell r="H41">
            <v>1125084577</v>
          </cell>
          <cell r="I41">
            <v>0</v>
          </cell>
          <cell r="J41">
            <v>1125084577</v>
          </cell>
          <cell r="K41">
            <v>95.496128071646083</v>
          </cell>
          <cell r="L41">
            <v>652458196</v>
          </cell>
          <cell r="M41">
            <v>0</v>
          </cell>
          <cell r="N41">
            <v>652458196</v>
          </cell>
          <cell r="O41">
            <v>57.991924281795569</v>
          </cell>
          <cell r="P41">
            <v>6547325</v>
          </cell>
          <cell r="Q41">
            <v>0</v>
          </cell>
          <cell r="R41">
            <v>6547325</v>
          </cell>
          <cell r="S41">
            <v>0.58194069440167961</v>
          </cell>
          <cell r="T41">
            <v>659005521</v>
          </cell>
          <cell r="U41">
            <v>0</v>
          </cell>
          <cell r="V41">
            <v>659005521</v>
          </cell>
          <cell r="W41">
            <v>58.573864976197257</v>
          </cell>
          <cell r="X41">
            <v>466079056</v>
          </cell>
          <cell r="Y41">
            <v>41.426135023802743</v>
          </cell>
          <cell r="Z41">
            <v>0</v>
          </cell>
        </row>
        <row r="42">
          <cell r="B42" t="str">
            <v>한국토지공사</v>
          </cell>
          <cell r="C42" t="str">
            <v>아산국가공단하수종말처리</v>
          </cell>
          <cell r="D42" t="str">
            <v>970528-990616</v>
          </cell>
          <cell r="E42">
            <v>2592000000</v>
          </cell>
          <cell r="F42">
            <v>2358720000</v>
          </cell>
          <cell r="G42">
            <v>91</v>
          </cell>
          <cell r="H42">
            <v>638408065</v>
          </cell>
          <cell r="I42">
            <v>30281419</v>
          </cell>
          <cell r="J42">
            <v>668689484</v>
          </cell>
          <cell r="K42">
            <v>25.798205401234569</v>
          </cell>
          <cell r="L42">
            <v>580951340</v>
          </cell>
          <cell r="M42">
            <v>27556091</v>
          </cell>
          <cell r="N42">
            <v>608507431</v>
          </cell>
          <cell r="O42">
            <v>91.000000083745888</v>
          </cell>
          <cell r="P42">
            <v>7444685</v>
          </cell>
          <cell r="Q42">
            <v>421301</v>
          </cell>
          <cell r="R42">
            <v>7865986</v>
          </cell>
          <cell r="S42">
            <v>1.1763286530164725</v>
          </cell>
          <cell r="T42">
            <v>588396025</v>
          </cell>
          <cell r="U42">
            <v>27977392</v>
          </cell>
          <cell r="V42">
            <v>616373417</v>
          </cell>
          <cell r="W42">
            <v>92.176328736762372</v>
          </cell>
          <cell r="X42">
            <v>52316067</v>
          </cell>
          <cell r="Y42">
            <v>7.8236712632376317</v>
          </cell>
          <cell r="Z42">
            <v>90.999999042317</v>
          </cell>
        </row>
        <row r="43">
          <cell r="B43" t="str">
            <v>포스코개발㈜</v>
          </cell>
          <cell r="C43" t="str">
            <v>광양5고로신설(수처리설비)</v>
          </cell>
          <cell r="D43" t="str">
            <v>970529-980430</v>
          </cell>
          <cell r="E43">
            <v>855000000</v>
          </cell>
          <cell r="F43">
            <v>732981470</v>
          </cell>
          <cell r="G43">
            <v>85.728826900584792</v>
          </cell>
          <cell r="H43">
            <v>7407858</v>
          </cell>
          <cell r="I43">
            <v>552206</v>
          </cell>
          <cell r="J43">
            <v>7960064</v>
          </cell>
          <cell r="K43">
            <v>0.93100163742690056</v>
          </cell>
          <cell r="L43">
            <v>6350670</v>
          </cell>
          <cell r="M43">
            <v>473400</v>
          </cell>
          <cell r="N43">
            <v>6824070</v>
          </cell>
          <cell r="O43">
            <v>85.728833336013381</v>
          </cell>
          <cell r="P43">
            <v>86635</v>
          </cell>
          <cell r="Q43">
            <v>7237</v>
          </cell>
          <cell r="R43">
            <v>93872</v>
          </cell>
          <cell r="S43">
            <v>1.179287000707532</v>
          </cell>
          <cell r="T43">
            <v>6437305</v>
          </cell>
          <cell r="U43">
            <v>480637</v>
          </cell>
          <cell r="V43">
            <v>6917942</v>
          </cell>
          <cell r="W43">
            <v>86.908120336720913</v>
          </cell>
          <cell r="X43">
            <v>1042122</v>
          </cell>
          <cell r="Y43">
            <v>13.091879663279087</v>
          </cell>
          <cell r="Z43">
            <v>85.72887654244974</v>
          </cell>
        </row>
        <row r="44">
          <cell r="B44" t="str">
            <v>롯데건설(주)</v>
          </cell>
          <cell r="C44" t="str">
            <v>홍천하수 기자재 납품공사</v>
          </cell>
          <cell r="D44" t="str">
            <v>970620-991030</v>
          </cell>
          <cell r="E44">
            <v>3432000000</v>
          </cell>
          <cell r="F44">
            <v>3239808000</v>
          </cell>
          <cell r="G44">
            <v>94.399999999999991</v>
          </cell>
          <cell r="H44">
            <v>370762</v>
          </cell>
          <cell r="I44">
            <v>0</v>
          </cell>
          <cell r="J44">
            <v>370762</v>
          </cell>
          <cell r="K44">
            <v>1.0803088578088578E-2</v>
          </cell>
          <cell r="L44">
            <v>350000</v>
          </cell>
          <cell r="M44">
            <v>0</v>
          </cell>
          <cell r="N44">
            <v>350000</v>
          </cell>
          <cell r="O44">
            <v>0</v>
          </cell>
          <cell r="P44">
            <v>4893</v>
          </cell>
          <cell r="Q44">
            <v>0</v>
          </cell>
          <cell r="R44">
            <v>4893</v>
          </cell>
          <cell r="S44">
            <v>0</v>
          </cell>
          <cell r="T44">
            <v>354893</v>
          </cell>
          <cell r="U44">
            <v>0</v>
          </cell>
          <cell r="V44">
            <v>354893</v>
          </cell>
          <cell r="W44">
            <v>0</v>
          </cell>
          <cell r="X44">
            <v>15869</v>
          </cell>
          <cell r="Y44">
            <v>0</v>
          </cell>
          <cell r="Z44">
            <v>0</v>
          </cell>
        </row>
        <row r="45">
          <cell r="B45" t="str">
            <v>삼양정수공업㈜</v>
          </cell>
          <cell r="C45" t="str">
            <v>하수처리장용잡철물</v>
          </cell>
          <cell r="D45" t="str">
            <v>970601-971031</v>
          </cell>
          <cell r="E45">
            <v>500000000</v>
          </cell>
          <cell r="F45">
            <v>402000000</v>
          </cell>
          <cell r="G45">
            <v>80.400000000000006</v>
          </cell>
          <cell r="H45">
            <v>500000000</v>
          </cell>
          <cell r="I45">
            <v>0</v>
          </cell>
          <cell r="J45">
            <v>500000000</v>
          </cell>
          <cell r="K45">
            <v>100</v>
          </cell>
          <cell r="L45">
            <v>380796910</v>
          </cell>
          <cell r="M45">
            <v>0</v>
          </cell>
          <cell r="N45">
            <v>380796910</v>
          </cell>
          <cell r="O45">
            <v>0</v>
          </cell>
          <cell r="P45">
            <v>4240990</v>
          </cell>
          <cell r="Q45">
            <v>0</v>
          </cell>
          <cell r="R45">
            <v>4240990</v>
          </cell>
          <cell r="S45">
            <v>0</v>
          </cell>
          <cell r="T45">
            <v>385037900</v>
          </cell>
          <cell r="U45">
            <v>0</v>
          </cell>
          <cell r="V45">
            <v>385037900</v>
          </cell>
          <cell r="W45">
            <v>0</v>
          </cell>
          <cell r="X45">
            <v>114962100</v>
          </cell>
          <cell r="Y45">
            <v>0</v>
          </cell>
          <cell r="Z45">
            <v>0</v>
          </cell>
        </row>
        <row r="46">
          <cell r="B46" t="str">
            <v>Kawasaki중공업</v>
          </cell>
          <cell r="C46" t="str">
            <v>진주TES페수처리감리용역</v>
          </cell>
          <cell r="D46" t="str">
            <v>970609-980608</v>
          </cell>
          <cell r="E46">
            <v>241150000</v>
          </cell>
          <cell r="F46">
            <v>222099150</v>
          </cell>
          <cell r="G46">
            <v>92.100000000000009</v>
          </cell>
          <cell r="H46">
            <v>48392866</v>
          </cell>
          <cell r="I46">
            <v>0</v>
          </cell>
          <cell r="J46">
            <v>48392866</v>
          </cell>
          <cell r="K46">
            <v>20.067537217499481</v>
          </cell>
          <cell r="L46">
            <v>150000</v>
          </cell>
          <cell r="M46">
            <v>0</v>
          </cell>
          <cell r="N46">
            <v>150000</v>
          </cell>
          <cell r="O46">
            <v>0.30996304289975302</v>
          </cell>
          <cell r="P46">
            <v>2097</v>
          </cell>
          <cell r="Q46">
            <v>0</v>
          </cell>
          <cell r="R46">
            <v>2097</v>
          </cell>
          <cell r="S46">
            <v>4.3332833397385475E-3</v>
          </cell>
          <cell r="T46">
            <v>152097</v>
          </cell>
          <cell r="U46">
            <v>0</v>
          </cell>
          <cell r="V46">
            <v>152097</v>
          </cell>
          <cell r="W46">
            <v>0.31429632623949155</v>
          </cell>
          <cell r="X46">
            <v>48240769</v>
          </cell>
          <cell r="Y46">
            <v>99.6857036737605</v>
          </cell>
          <cell r="Z46">
            <v>0</v>
          </cell>
        </row>
        <row r="47">
          <cell r="B47" t="str">
            <v>유천엔지니어링</v>
          </cell>
          <cell r="C47" t="str">
            <v>기술개발용역</v>
          </cell>
          <cell r="D47" t="str">
            <v>970930-980530</v>
          </cell>
          <cell r="E47">
            <v>184293100</v>
          </cell>
          <cell r="F47">
            <v>169733945.09999999</v>
          </cell>
          <cell r="G47">
            <v>92.1</v>
          </cell>
          <cell r="H47">
            <v>184293100</v>
          </cell>
          <cell r="I47">
            <v>0</v>
          </cell>
          <cell r="J47">
            <v>184293100</v>
          </cell>
          <cell r="K47">
            <v>100</v>
          </cell>
          <cell r="L47">
            <v>150000</v>
          </cell>
          <cell r="M47">
            <v>0</v>
          </cell>
          <cell r="N47">
            <v>150000</v>
          </cell>
          <cell r="O47">
            <v>8.1392086844271433E-2</v>
          </cell>
          <cell r="P47">
            <v>2097</v>
          </cell>
          <cell r="Q47">
            <v>0</v>
          </cell>
          <cell r="R47">
            <v>2097</v>
          </cell>
          <cell r="S47">
            <v>1.1378613740829146E-3</v>
          </cell>
          <cell r="T47">
            <v>152097</v>
          </cell>
          <cell r="U47">
            <v>0</v>
          </cell>
          <cell r="V47">
            <v>152097</v>
          </cell>
          <cell r="W47">
            <v>8.252994821835434E-2</v>
          </cell>
          <cell r="X47">
            <v>184141003</v>
          </cell>
          <cell r="Y47">
            <v>99.917470051781649</v>
          </cell>
          <cell r="Z47">
            <v>0</v>
          </cell>
        </row>
        <row r="48">
          <cell r="B48" t="str">
            <v>대전시종합건설본부</v>
          </cell>
          <cell r="C48" t="str">
            <v>대전제3,4산업단지폐수처리</v>
          </cell>
          <cell r="D48" t="str">
            <v>971107-990506</v>
          </cell>
          <cell r="E48">
            <v>3129816772</v>
          </cell>
          <cell r="F48">
            <v>2657214439.428</v>
          </cell>
          <cell r="G48">
            <v>84.899999999999991</v>
          </cell>
          <cell r="H48">
            <v>210155514</v>
          </cell>
          <cell r="I48">
            <v>185514014</v>
          </cell>
          <cell r="J48">
            <v>395669528</v>
          </cell>
          <cell r="K48">
            <v>12.641939027860765</v>
          </cell>
          <cell r="L48">
            <v>175269699</v>
          </cell>
          <cell r="M48">
            <v>160653731</v>
          </cell>
          <cell r="N48">
            <v>335923430</v>
          </cell>
          <cell r="O48">
            <v>84.900000183991935</v>
          </cell>
          <cell r="P48">
            <v>2132337</v>
          </cell>
          <cell r="Q48">
            <v>2456222</v>
          </cell>
          <cell r="R48">
            <v>4588559</v>
          </cell>
          <cell r="S48">
            <v>1.159694814810202</v>
          </cell>
          <cell r="T48">
            <v>177402036</v>
          </cell>
          <cell r="U48">
            <v>163109953</v>
          </cell>
          <cell r="V48">
            <v>340511989</v>
          </cell>
          <cell r="W48">
            <v>86.059694998802129</v>
          </cell>
          <cell r="X48">
            <v>55157539</v>
          </cell>
          <cell r="Y48">
            <v>13.940305001197869</v>
          </cell>
          <cell r="Z48">
            <v>86.599242577975815</v>
          </cell>
        </row>
        <row r="49">
          <cell r="B49" t="str">
            <v>(주)호텔롯데부산</v>
          </cell>
          <cell r="C49" t="str">
            <v>수처리설비설치공사</v>
          </cell>
          <cell r="D49" t="str">
            <v>971101-980131</v>
          </cell>
          <cell r="E49">
            <v>200000000</v>
          </cell>
          <cell r="F49">
            <v>167545420</v>
          </cell>
          <cell r="G49">
            <v>83.772709999999989</v>
          </cell>
          <cell r="H49">
            <v>142466621</v>
          </cell>
          <cell r="I49">
            <v>47559486</v>
          </cell>
          <cell r="J49">
            <v>190026107</v>
          </cell>
          <cell r="K49">
            <v>95.013053499999998</v>
          </cell>
          <cell r="L49">
            <v>119348150</v>
          </cell>
          <cell r="M49">
            <v>39841870</v>
          </cell>
          <cell r="N49">
            <v>159190020</v>
          </cell>
          <cell r="O49">
            <v>83.772710241335417</v>
          </cell>
          <cell r="P49">
            <v>921411</v>
          </cell>
          <cell r="Q49">
            <v>609138</v>
          </cell>
          <cell r="R49">
            <v>1530549</v>
          </cell>
          <cell r="S49">
            <v>0.80544143337104734</v>
          </cell>
          <cell r="T49">
            <v>120269561</v>
          </cell>
          <cell r="U49">
            <v>40451008</v>
          </cell>
          <cell r="V49">
            <v>160720569</v>
          </cell>
          <cell r="W49">
            <v>84.578151674706476</v>
          </cell>
          <cell r="X49">
            <v>29305538</v>
          </cell>
          <cell r="Y49">
            <v>15.421848325293535</v>
          </cell>
          <cell r="Z49">
            <v>83.772709402284121</v>
          </cell>
        </row>
        <row r="50">
          <cell r="B50" t="str">
            <v>쌍용건설㈜</v>
          </cell>
          <cell r="C50" t="str">
            <v>녹산국가산업단지공동방지</v>
          </cell>
          <cell r="D50" t="str">
            <v>971027-980325</v>
          </cell>
          <cell r="E50">
            <v>1404131000</v>
          </cell>
          <cell r="F50">
            <v>1214421000</v>
          </cell>
          <cell r="G50">
            <v>86.489152365413204</v>
          </cell>
          <cell r="H50">
            <v>297780927</v>
          </cell>
          <cell r="I50">
            <v>368558982</v>
          </cell>
          <cell r="J50">
            <v>666339909</v>
          </cell>
          <cell r="K50">
            <v>47.455679633880315</v>
          </cell>
          <cell r="L50">
            <v>257548200</v>
          </cell>
          <cell r="M50">
            <v>318763540</v>
          </cell>
          <cell r="N50">
            <v>576311740</v>
          </cell>
          <cell r="O50">
            <v>86.489152490489658</v>
          </cell>
          <cell r="P50">
            <v>1988552</v>
          </cell>
          <cell r="Q50">
            <v>4873550</v>
          </cell>
          <cell r="R50">
            <v>6862102</v>
          </cell>
          <cell r="S50">
            <v>1.0298200523961112</v>
          </cell>
          <cell r="T50">
            <v>259536752</v>
          </cell>
          <cell r="U50">
            <v>323637090</v>
          </cell>
          <cell r="V50">
            <v>583173842</v>
          </cell>
          <cell r="W50">
            <v>87.518972542885763</v>
          </cell>
          <cell r="X50">
            <v>0</v>
          </cell>
          <cell r="Y50">
            <v>0</v>
          </cell>
          <cell r="Z50">
            <v>86.489152501511953</v>
          </cell>
        </row>
        <row r="51">
          <cell r="B51" t="str">
            <v>한국전력공사</v>
          </cell>
          <cell r="C51" t="str">
            <v>북제주화력2,3호기용폐수</v>
          </cell>
          <cell r="D51" t="str">
            <v>980331-980930</v>
          </cell>
          <cell r="E51">
            <v>890000000</v>
          </cell>
          <cell r="F51">
            <v>847693000</v>
          </cell>
          <cell r="G51">
            <v>95.24640449438202</v>
          </cell>
          <cell r="H51">
            <v>1163288</v>
          </cell>
          <cell r="I51">
            <v>0</v>
          </cell>
          <cell r="J51">
            <v>1163288</v>
          </cell>
          <cell r="K51">
            <v>0.13070651685393259</v>
          </cell>
          <cell r="L51">
            <v>1107990</v>
          </cell>
          <cell r="M51">
            <v>0</v>
          </cell>
          <cell r="N51">
            <v>1107990</v>
          </cell>
          <cell r="O51">
            <v>95.246405017502113</v>
          </cell>
          <cell r="P51">
            <v>13663</v>
          </cell>
          <cell r="Q51">
            <v>0</v>
          </cell>
          <cell r="R51">
            <v>13663</v>
          </cell>
          <cell r="S51">
            <v>1.174515683132638</v>
          </cell>
          <cell r="T51">
            <v>1121653</v>
          </cell>
          <cell r="U51">
            <v>0</v>
          </cell>
          <cell r="V51">
            <v>1121653</v>
          </cell>
          <cell r="W51">
            <v>96.420920700634753</v>
          </cell>
          <cell r="X51">
            <v>0</v>
          </cell>
          <cell r="Y51">
            <v>0</v>
          </cell>
          <cell r="Z51">
            <v>0</v>
          </cell>
        </row>
        <row r="52">
          <cell r="B52" t="str">
            <v>익산시</v>
          </cell>
          <cell r="C52" t="str">
            <v>익산시축산폐수처리</v>
          </cell>
          <cell r="D52" t="str">
            <v>971215-981231</v>
          </cell>
          <cell r="E52">
            <v>2450540135</v>
          </cell>
          <cell r="F52">
            <v>2450540135</v>
          </cell>
          <cell r="G52">
            <v>100</v>
          </cell>
          <cell r="H52">
            <v>2739260</v>
          </cell>
          <cell r="I52">
            <v>157080</v>
          </cell>
          <cell r="J52">
            <v>2896340</v>
          </cell>
          <cell r="K52">
            <v>0.11819190221097929</v>
          </cell>
          <cell r="L52">
            <v>2739260</v>
          </cell>
          <cell r="M52">
            <v>157080</v>
          </cell>
          <cell r="N52">
            <v>2896340</v>
          </cell>
          <cell r="O52">
            <v>100</v>
          </cell>
          <cell r="P52">
            <v>29018</v>
          </cell>
          <cell r="Q52">
            <v>2401</v>
          </cell>
          <cell r="R52">
            <v>31419</v>
          </cell>
          <cell r="S52">
            <v>1.084782863890289</v>
          </cell>
          <cell r="T52">
            <v>2768278</v>
          </cell>
          <cell r="U52">
            <v>159481</v>
          </cell>
          <cell r="V52">
            <v>2927759</v>
          </cell>
          <cell r="W52">
            <v>101.08478286389028</v>
          </cell>
          <cell r="X52">
            <v>0</v>
          </cell>
          <cell r="Y52">
            <v>0</v>
          </cell>
          <cell r="Z52">
            <v>100</v>
          </cell>
        </row>
        <row r="53">
          <cell r="B53" t="str">
            <v xml:space="preserve">    합                   </v>
          </cell>
          <cell r="C53" t="str">
            <v xml:space="preserve">         계</v>
          </cell>
          <cell r="E53">
            <v>197178406853</v>
          </cell>
          <cell r="F53">
            <v>187611371116.991</v>
          </cell>
          <cell r="G53">
            <v>95.148030715583673</v>
          </cell>
          <cell r="H53">
            <v>114183274365</v>
          </cell>
          <cell r="I53">
            <v>7569601155</v>
          </cell>
          <cell r="J53">
            <v>121752875520</v>
          </cell>
          <cell r="K53">
            <v>61.747570366956531</v>
          </cell>
          <cell r="L53">
            <v>103874733315</v>
          </cell>
          <cell r="M53">
            <v>7547647729</v>
          </cell>
          <cell r="N53">
            <v>111422381044</v>
          </cell>
          <cell r="O53">
            <v>91.515194666344428</v>
          </cell>
          <cell r="P53">
            <v>2661818235</v>
          </cell>
          <cell r="Q53">
            <v>81732097</v>
          </cell>
          <cell r="R53">
            <v>2743550332</v>
          </cell>
          <cell r="S53">
            <v>2.2533762100340082E-2</v>
          </cell>
          <cell r="T53">
            <v>106536551550</v>
          </cell>
          <cell r="U53">
            <v>7629379826</v>
          </cell>
          <cell r="V53">
            <v>114165931376</v>
          </cell>
          <cell r="W53">
            <v>93.768570876378433</v>
          </cell>
          <cell r="X53">
            <v>7503767861</v>
          </cell>
          <cell r="Y53">
            <v>6.1631134615521894</v>
          </cell>
          <cell r="Z53">
            <v>99.709979092022579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실대비R3(2)"/>
      <sheetName val="98실"/>
      <sheetName val="97실"/>
      <sheetName val="989900실적 (2)"/>
      <sheetName val="989900실적"/>
      <sheetName val="989900실적 (이전것)"/>
      <sheetName val="93에서2000단가"/>
      <sheetName val="93에서2000수량"/>
      <sheetName val="2월별계획"/>
      <sheetName val="3분기별"/>
      <sheetName val="4폴총괄"/>
      <sheetName val="5폴(12)"/>
      <sheetName val="6폴GR출력용(1~6월)"/>
      <sheetName val="6폴GR출력용 (7~12월)"/>
      <sheetName val="폴수출단가"/>
      <sheetName val="7폴GR수단금(작업용)"/>
      <sheetName val="폴GR수량(내수작업용) "/>
      <sheetName val="폴수출수량"/>
      <sheetName val="8고무월별"/>
      <sheetName val="수익성총괄"/>
      <sheetName val="9고무GR"/>
      <sheetName val="11화성"/>
      <sheetName val="13기초월별"/>
      <sheetName val="모노월별"/>
      <sheetName val="ECG"/>
      <sheetName val="폴수량"/>
      <sheetName val="Sheet16"/>
      <sheetName val="폴고재고"/>
      <sheetName val="3작성안"/>
      <sheetName val="폴수출설득"/>
      <sheetName val="2작성기준 (단가)"/>
      <sheetName val="GRAPH"/>
      <sheetName val="2000조정안 (4)"/>
      <sheetName val="2000조정안"/>
      <sheetName val="2000조정안 (2)"/>
      <sheetName val="총괄조정"/>
      <sheetName val="99계획대99실적"/>
      <sheetName val="Sheet1"/>
      <sheetName val="2000실적"/>
      <sheetName val="00실적01계획대비 (분석)"/>
      <sheetName val="00실적01계획대비(%)"/>
      <sheetName val="영업안조정안(1)"/>
      <sheetName val="영업안조정안(2)"/>
      <sheetName val="영업안조정안(2차확정1128)"/>
      <sheetName val="영업안조정안(2차확정11282)"/>
      <sheetName val="1총괄"/>
      <sheetName val="1총괄 (유분감안)"/>
      <sheetName val="00R3계획대비01계획(분석)"/>
      <sheetName val="9900계획대비"/>
      <sheetName val="9900계획대비 (2)"/>
      <sheetName val="ADL계획대비00계획"/>
      <sheetName val="폴규격단가"/>
      <sheetName val="6폴생산대판매"/>
      <sheetName val="폴수량조정"/>
      <sheetName val="Sheet14"/>
      <sheetName val="총괄차이내역  (2)"/>
      <sheetName val="2000조정안 (3)"/>
      <sheetName val="부문별조정"/>
      <sheetName val="부문별조정 (2)"/>
      <sheetName val="1작성기준(수량)"/>
      <sheetName val="단가조정기준"/>
      <sheetName val="1안2안내역대표이사"/>
      <sheetName val="2부문수량"/>
      <sheetName val="3단가작성기준"/>
      <sheetName val="4유가납사"/>
      <sheetName val="5주제품Price"/>
      <sheetName val="10제품Price"/>
      <sheetName val="6Price폴고(2000)"/>
      <sheetName val="6Price폴고종합"/>
      <sheetName val="7price폴규격(2000)"/>
      <sheetName val="8고무규격단가"/>
      <sheetName val="9화성단가"/>
      <sheetName val="전략요약"/>
      <sheetName val="폴리비중"/>
      <sheetName val="표지1"/>
      <sheetName val="표지2"/>
      <sheetName val="표지3"/>
      <sheetName val="표지1 (2)"/>
      <sheetName val="표지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4">
          <cell r="B34">
            <v>1.08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C제"/>
      <sheetName val="EG제"/>
      <sheetName val="BRU제"/>
      <sheetName val="C4HT제"/>
      <sheetName val="PENT제"/>
      <sheetName val="BD제"/>
      <sheetName val="MTBE제"/>
    </sheetNames>
    <sheetDataSet>
      <sheetData sheetId="0" refreshError="1">
        <row r="54">
          <cell r="J54">
            <v>37505.1</v>
          </cell>
        </row>
        <row r="55">
          <cell r="J55">
            <v>20195.905989385898</v>
          </cell>
        </row>
        <row r="58">
          <cell r="J58">
            <v>57701.0059893859</v>
          </cell>
        </row>
      </sheetData>
      <sheetData sheetId="1" refreshError="1">
        <row r="36">
          <cell r="J36">
            <v>7460.9</v>
          </cell>
        </row>
        <row r="37">
          <cell r="J37">
            <v>680.62290605465876</v>
          </cell>
        </row>
        <row r="38">
          <cell r="J38">
            <v>62.539067920632583</v>
          </cell>
        </row>
        <row r="39">
          <cell r="J39">
            <v>1516.3478062781492</v>
          </cell>
        </row>
        <row r="41">
          <cell r="J41">
            <v>9720.4097802534397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-1-37(update)"/>
      <sheetName val="Sheet1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"/>
      <sheetName val="Covenant Analysis"/>
      <sheetName val="Output"/>
      <sheetName val="Hist"/>
      <sheetName val="270"/>
      <sheetName val="TOC"/>
      <sheetName val="Assum"/>
      <sheetName val="Price"/>
      <sheetName val="OR"/>
      <sheetName val="Mat"/>
      <sheetName val="Conv"/>
      <sheetName val="MB"/>
      <sheetName val="Curr$"/>
      <sheetName val="PB"/>
      <sheetName val="Maint"/>
      <sheetName val="Ut"/>
      <sheetName val="C&amp;C"/>
      <sheetName val="Hist_UT-PRICE"/>
      <sheetName val="Cons$"/>
      <sheetName val="Acq Adj"/>
      <sheetName val="Integ"/>
      <sheetName val="Fin Stmt"/>
      <sheetName val="DCF"/>
      <sheetName val="RC"/>
      <sheetName val="WACC"/>
      <sheetName val="LBO"/>
      <sheetName val="NCC#1"/>
      <sheetName val="NCC#2"/>
      <sheetName val="BRU#1"/>
      <sheetName val="BRU#2"/>
      <sheetName val="LD#1"/>
      <sheetName val="LD#2"/>
      <sheetName val="LLD#1"/>
      <sheetName val="HD#1"/>
      <sheetName val="PE#2"/>
      <sheetName val="PP#1"/>
      <sheetName val="PP#2"/>
      <sheetName val="EG#1"/>
      <sheetName val="EG#2"/>
      <sheetName val="SM#1"/>
      <sheetName val="SM#2"/>
      <sheetName val="BD#1"/>
      <sheetName val="BD#2"/>
      <sheetName val="BR#1"/>
      <sheetName val="SBR#1"/>
      <sheetName val="NBR#1"/>
      <sheetName val="VP#1"/>
      <sheetName val="MTBE#1"/>
      <sheetName val="PEN#1"/>
      <sheetName val="C4HT#1"/>
    </sheetNames>
    <sheetDataSet>
      <sheetData sheetId="0"/>
      <sheetData sheetId="1"/>
      <sheetData sheetId="2"/>
      <sheetData sheetId="3"/>
      <sheetData sheetId="4">
        <row r="18">
          <cell r="X1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실대비R3(2)"/>
      <sheetName val="98실"/>
      <sheetName val="97실"/>
      <sheetName val="989900실적 (2)"/>
      <sheetName val="989900실적"/>
      <sheetName val="989900실적 (이전것)"/>
      <sheetName val="93에서2000단가"/>
      <sheetName val="93에서2000수량"/>
      <sheetName val="2월별계획"/>
      <sheetName val="3분기별"/>
      <sheetName val="4폴총괄"/>
      <sheetName val="5폴(12)"/>
      <sheetName val="6폴GR출력용(1~6월)"/>
      <sheetName val="6폴GR출력용 (7~12월)"/>
      <sheetName val="폴수출단가"/>
      <sheetName val="7폴GR수단금(작업용)"/>
      <sheetName val="폴GR수량(내수작업용) "/>
      <sheetName val="폴수출수량"/>
      <sheetName val="8고무월별"/>
      <sheetName val="수익성총괄"/>
      <sheetName val="9고무GR"/>
      <sheetName val="11화성"/>
      <sheetName val="13기초월별"/>
      <sheetName val="모노월별"/>
      <sheetName val="ECG"/>
      <sheetName val="폴수량"/>
      <sheetName val="Sheet16"/>
      <sheetName val="폴고재고"/>
      <sheetName val="3작성안"/>
      <sheetName val="폴수출설득"/>
      <sheetName val="2작성기준 (단가)"/>
      <sheetName val="GRAPH"/>
      <sheetName val="2000조정안 (4)"/>
      <sheetName val="2000조정안"/>
      <sheetName val="2000조정안 (2)"/>
      <sheetName val="총괄조정"/>
      <sheetName val="99계획대99실적"/>
      <sheetName val="Sheet1"/>
      <sheetName val="2000실적"/>
      <sheetName val="00실적01계획대비 (분석)"/>
      <sheetName val="00실적01계획대비(%)"/>
      <sheetName val="영업안조정안(1)"/>
      <sheetName val="영업안조정안(2)"/>
      <sheetName val="영업안조정안(2차확정1128)"/>
      <sheetName val="영업안조정안(2차확정11282)"/>
      <sheetName val="1총괄"/>
      <sheetName val="1총괄 (유분감안)"/>
      <sheetName val="00R3계획대비01계획(분석)"/>
      <sheetName val="9900계획대비"/>
      <sheetName val="9900계획대비 (2)"/>
      <sheetName val="ADL계획대비00계획"/>
      <sheetName val="폴규격단가"/>
      <sheetName val="6폴생산대판매"/>
      <sheetName val="폴수량조정"/>
      <sheetName val="Sheet14"/>
      <sheetName val="총괄차이내역  (2)"/>
      <sheetName val="2000조정안 (3)"/>
      <sheetName val="부문별조정"/>
      <sheetName val="부문별조정 (2)"/>
      <sheetName val="1작성기준(수량)"/>
      <sheetName val="단가조정기준"/>
      <sheetName val="1안2안내역대표이사"/>
      <sheetName val="2부문수량"/>
      <sheetName val="3단가작성기준"/>
      <sheetName val="4유가납사"/>
      <sheetName val="5주제품Price"/>
      <sheetName val="10제품Price"/>
      <sheetName val="6Price폴고(2000)"/>
      <sheetName val="6Price폴고종합"/>
      <sheetName val="7price폴규격(2000)"/>
      <sheetName val="8고무규격단가"/>
      <sheetName val="9화성단가"/>
      <sheetName val="전략요약"/>
      <sheetName val="폴리비중"/>
      <sheetName val="표지1"/>
      <sheetName val="표지2"/>
      <sheetName val="표지3"/>
      <sheetName val="표지1 (2)"/>
      <sheetName val="표지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34">
          <cell r="B34">
            <v>1.08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Des"/>
      <sheetName val="WGL"/>
      <sheetName val="DCF(KPMG)&gt;&gt;"/>
      <sheetName val="_TM_Result(보고서)"/>
      <sheetName val="_TM_Result"/>
      <sheetName val="Result"/>
      <sheetName val="DCF"/>
      <sheetName val="WACC"/>
      <sheetName val="_TM_GPCM_Tier1 (2)"/>
      <sheetName val="_TM_매출액"/>
      <sheetName val="Pro forma"/>
      <sheetName val="매출액"/>
      <sheetName val="매출액(보고서)"/>
      <sheetName val="2016년 원장 (피벗)"/>
      <sheetName val="2015년 원장 (피벗) "/>
      <sheetName val="매출원가"/>
      <sheetName val="SG&amp;A"/>
      <sheetName val="사업계획(매출 확정본)"/>
      <sheetName val="2018년 해외 수주"/>
      <sheetName val="사업계획(원재료)"/>
      <sheetName val="CapEx&amp;Dep"/>
      <sheetName val="WC"/>
      <sheetName val="NOA&amp;IBD"/>
      <sheetName val="IS"/>
      <sheetName val="BS"/>
      <sheetName val="MC"/>
      <sheetName val="2017년 가결산 BS"/>
      <sheetName val="2017 가결산 MC"/>
      <sheetName val="2017 가결산IS"/>
      <sheetName val="제품별 원재료비 "/>
      <sheetName val="기존(정액)"/>
      <sheetName val="원재료비 피벗 결과"/>
      <sheetName val="과거 CapEx(주석사항)"/>
      <sheetName val="유무형자산명세서(2017.12)"/>
      <sheetName val="신규투자계획"/>
      <sheetName val="제품별 원가 구분"/>
      <sheetName val="인건비 분석"/>
      <sheetName val="PBC&gt;&gt;"/>
      <sheetName val="_TM_매출_세부(연결단순합)"/>
      <sheetName val="DCF(BP)"/>
      <sheetName val="Pro forma(BP)"/>
      <sheetName val="FS&gt;&gt;"/>
      <sheetName val="CF"/>
      <sheetName val="유사회사&gt;&gt;"/>
      <sheetName val="유사회사선정과정"/>
      <sheetName val="디와이파워"/>
      <sheetName val="동일금속"/>
      <sheetName val="애버다임"/>
      <sheetName val="광림"/>
      <sheetName val="수산중공업"/>
      <sheetName val="디와이"/>
      <sheetName val="혜인"/>
      <sheetName val="Data&gt;&gt;"/>
      <sheetName val="Raw&gt;&gt;"/>
      <sheetName val="Macro"/>
      <sheetName val="_TM_WACC_유사회사"/>
    </sheetNames>
    <sheetDataSet>
      <sheetData sheetId="0"/>
      <sheetData sheetId="1">
        <row r="13">
          <cell r="C13" t="str">
            <v>KRW Million</v>
          </cell>
        </row>
        <row r="14">
          <cell r="C14">
            <v>0.01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4">
          <cell r="P44">
            <v>0.113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측구연장조서"/>
      <sheetName val="측구단위수량"/>
      <sheetName val="측구재료집계"/>
      <sheetName val="날개벽수량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지반확인내역"/>
      <sheetName val="발생토,성토량집계"/>
      <sheetName val="축제공수량집계표"/>
      <sheetName val="토공(제방)"/>
      <sheetName val="종방향운반거리"/>
      <sheetName val="횡방향운반거리"/>
      <sheetName val="종방향성토운반거리산출"/>
      <sheetName val="보조기층운반"/>
      <sheetName val="단가산출"/>
      <sheetName val="사리부설및말뚝"/>
      <sheetName val="내역서"/>
      <sheetName val="날개벽수량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BPROD"/>
      <sheetName val="중간재재공"/>
      <sheetName val="NCC"/>
      <sheetName val="&quot;NFC&quot;"/>
      <sheetName val="BRU"/>
      <sheetName val="BD"/>
      <sheetName val="EG"/>
      <sheetName val="VCM"/>
      <sheetName val="EVA"/>
      <sheetName val="PE"/>
      <sheetName val="PP"/>
      <sheetName val="PVC"/>
      <sheetName val="UT"/>
      <sheetName val="UT단가 (2)"/>
      <sheetName val="TOT"/>
    </sheetNames>
    <sheetDataSet>
      <sheetData sheetId="0" refreshError="1"/>
      <sheetData sheetId="1" refreshError="1"/>
      <sheetData sheetId="2">
        <row r="135">
          <cell r="B135">
            <v>1170</v>
          </cell>
        </row>
        <row r="144">
          <cell r="B144">
            <v>1.054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PE"/>
      <sheetName val="MONONER"/>
    </sheetNames>
    <sheetDataSet>
      <sheetData sheetId="0" refreshError="1">
        <row r="9">
          <cell r="F9">
            <v>56369.323000000004</v>
          </cell>
          <cell r="G9">
            <v>718321.9478491873</v>
          </cell>
          <cell r="H9">
            <v>40491.321896299996</v>
          </cell>
        </row>
        <row r="10">
          <cell r="F10">
            <v>29419.275000000001</v>
          </cell>
          <cell r="G10">
            <v>705231.75271994283</v>
          </cell>
          <cell r="H10">
            <v>20747.406871999996</v>
          </cell>
        </row>
        <row r="11">
          <cell r="F11">
            <v>26950.047999999999</v>
          </cell>
          <cell r="G11">
            <v>732611.49754909531</v>
          </cell>
          <cell r="H11">
            <v>19743.9150243</v>
          </cell>
        </row>
        <row r="12">
          <cell r="F12">
            <v>2269.9349999999999</v>
          </cell>
          <cell r="G12">
            <v>1014426.5189091321</v>
          </cell>
          <cell r="H12">
            <v>2302.6822602000007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G Cost_Main(대외비)"/>
      <sheetName val="SG_Price Table_Total(대외비)"/>
      <sheetName val="DAT"/>
      <sheetName val="ITO(상판)"/>
      <sheetName val="ITO(하판)"/>
      <sheetName val="OCA"/>
      <sheetName val="감가상각(상세내역정리)"/>
      <sheetName val="설비관리대장"/>
      <sheetName val="임율상세"/>
    </sheetNames>
    <sheetDataSet>
      <sheetData sheetId="0"/>
      <sheetData sheetId="1"/>
      <sheetData sheetId="2">
        <row r="7">
          <cell r="E7" t="str">
            <v>NFDL-YHF-HT5103_B02</v>
          </cell>
          <cell r="F7">
            <v>350</v>
          </cell>
          <cell r="G7" t="str">
            <v>*</v>
          </cell>
          <cell r="H7">
            <v>450</v>
          </cell>
          <cell r="I7" t="str">
            <v>㎡</v>
          </cell>
          <cell r="J7">
            <v>14000</v>
          </cell>
          <cell r="K7">
            <v>38.095238095238095</v>
          </cell>
          <cell r="L7">
            <v>1</v>
          </cell>
          <cell r="M7">
            <v>0.7</v>
          </cell>
          <cell r="N7" t="str">
            <v>KRW</v>
          </cell>
          <cell r="O7">
            <v>525</v>
          </cell>
          <cell r="P7">
            <v>525</v>
          </cell>
        </row>
        <row r="8">
          <cell r="E8" t="str">
            <v xml:space="preserve">NFDL-ESD-TT5003C-153㎛ </v>
          </cell>
          <cell r="F8">
            <v>350</v>
          </cell>
          <cell r="G8" t="str">
            <v>*</v>
          </cell>
          <cell r="H8">
            <v>450</v>
          </cell>
          <cell r="I8" t="str">
            <v>㎡</v>
          </cell>
          <cell r="J8">
            <v>3500</v>
          </cell>
          <cell r="K8">
            <v>38.095238095238095</v>
          </cell>
          <cell r="L8">
            <v>1</v>
          </cell>
          <cell r="M8">
            <v>0.7</v>
          </cell>
          <cell r="N8" t="str">
            <v>KRW</v>
          </cell>
          <cell r="O8">
            <v>131.25</v>
          </cell>
          <cell r="P8">
            <v>131.25</v>
          </cell>
        </row>
        <row r="9">
          <cell r="I9" t="str">
            <v>㎡</v>
          </cell>
          <cell r="K9">
            <v>38.095238095238095</v>
          </cell>
          <cell r="M9">
            <v>0.7</v>
          </cell>
          <cell r="N9" t="str">
            <v>KRW</v>
          </cell>
          <cell r="O9">
            <v>0</v>
          </cell>
          <cell r="P9">
            <v>0</v>
          </cell>
        </row>
        <row r="10">
          <cell r="I10" t="str">
            <v>Kg</v>
          </cell>
          <cell r="M10">
            <v>0.7</v>
          </cell>
          <cell r="N10" t="str">
            <v>KRW</v>
          </cell>
          <cell r="O10">
            <v>0</v>
          </cell>
          <cell r="P10">
            <v>0</v>
          </cell>
        </row>
        <row r="11">
          <cell r="E11" t="str">
            <v>1도-BSO(HF) 170 피아노 블랙</v>
          </cell>
          <cell r="I11" t="str">
            <v>Kg</v>
          </cell>
          <cell r="J11">
            <v>42000</v>
          </cell>
          <cell r="K11">
            <v>1.7000000000000001E-4</v>
          </cell>
          <cell r="L11">
            <v>1</v>
          </cell>
          <cell r="M11">
            <v>0.98</v>
          </cell>
          <cell r="N11" t="str">
            <v>KRW</v>
          </cell>
          <cell r="O11">
            <v>7.2857142857142865</v>
          </cell>
          <cell r="P11">
            <v>7.2857142857142865</v>
          </cell>
        </row>
        <row r="12">
          <cell r="E12" t="str">
            <v>2도-BSO(HF) 170 피아노 블랙</v>
          </cell>
          <cell r="I12" t="str">
            <v>Kg</v>
          </cell>
          <cell r="J12">
            <v>42000</v>
          </cell>
          <cell r="K12">
            <v>1.7000000000000001E-4</v>
          </cell>
          <cell r="L12">
            <v>1</v>
          </cell>
          <cell r="M12">
            <v>0.98</v>
          </cell>
          <cell r="N12" t="str">
            <v>KRW</v>
          </cell>
          <cell r="O12">
            <v>7.2857142857142865</v>
          </cell>
          <cell r="P12">
            <v>7.2857142857142865</v>
          </cell>
        </row>
        <row r="13">
          <cell r="E13" t="str">
            <v>3도-IPX HF SMOG</v>
          </cell>
          <cell r="I13" t="str">
            <v>Kg</v>
          </cell>
          <cell r="J13">
            <v>95100</v>
          </cell>
          <cell r="K13">
            <v>1.7E-5</v>
          </cell>
          <cell r="L13">
            <v>1</v>
          </cell>
          <cell r="M13">
            <v>0.98</v>
          </cell>
          <cell r="N13" t="str">
            <v>KRW</v>
          </cell>
          <cell r="O13">
            <v>1.6496938775510204</v>
          </cell>
          <cell r="P13">
            <v>1.6496938775510204</v>
          </cell>
        </row>
        <row r="14">
          <cell r="E14" t="str">
            <v>4도-TY400-528</v>
          </cell>
          <cell r="I14" t="str">
            <v>Kg</v>
          </cell>
          <cell r="J14">
            <v>86400</v>
          </cell>
          <cell r="K14">
            <v>1.7E-5</v>
          </cell>
          <cell r="L14">
            <v>1</v>
          </cell>
          <cell r="M14">
            <v>0.98</v>
          </cell>
          <cell r="N14" t="str">
            <v>KRW</v>
          </cell>
          <cell r="O14">
            <v>1.4987755102040816</v>
          </cell>
          <cell r="P14">
            <v>1.4987755102040816</v>
          </cell>
        </row>
        <row r="15">
          <cell r="E15" t="str">
            <v>5도-TY100-529</v>
          </cell>
          <cell r="I15" t="str">
            <v>Kg</v>
          </cell>
          <cell r="J15">
            <v>99100</v>
          </cell>
          <cell r="K15">
            <v>1.7E-5</v>
          </cell>
          <cell r="L15">
            <v>1</v>
          </cell>
          <cell r="M15">
            <v>0.98</v>
          </cell>
          <cell r="N15" t="str">
            <v>KRW</v>
          </cell>
          <cell r="O15">
            <v>1.7190816326530614</v>
          </cell>
          <cell r="P15">
            <v>1.7190816326530614</v>
          </cell>
        </row>
        <row r="16">
          <cell r="E16" t="str">
            <v>6도-NK723 Mirror</v>
          </cell>
          <cell r="I16" t="str">
            <v>Kg</v>
          </cell>
          <cell r="J16">
            <v>670000</v>
          </cell>
          <cell r="K16">
            <v>5.0000000000000002E-5</v>
          </cell>
          <cell r="L16">
            <v>1</v>
          </cell>
          <cell r="M16">
            <v>0.98</v>
          </cell>
          <cell r="N16" t="str">
            <v>KRW</v>
          </cell>
          <cell r="O16">
            <v>34.183673469387756</v>
          </cell>
          <cell r="P16">
            <v>34.183673469387756</v>
          </cell>
        </row>
        <row r="17">
          <cell r="E17" t="str">
            <v>7도-IRX HF NOK SS-조도센서</v>
          </cell>
          <cell r="I17" t="str">
            <v>Kg</v>
          </cell>
          <cell r="J17">
            <v>280000</v>
          </cell>
          <cell r="K17">
            <v>1.7E-5</v>
          </cell>
          <cell r="L17">
            <v>1</v>
          </cell>
          <cell r="M17">
            <v>0.98</v>
          </cell>
          <cell r="N17" t="str">
            <v>KRW</v>
          </cell>
          <cell r="O17">
            <v>4.8571428571428568</v>
          </cell>
          <cell r="P17">
            <v>4.8571428571428568</v>
          </cell>
        </row>
        <row r="18">
          <cell r="E18" t="str">
            <v>8도-POS911 블랙</v>
          </cell>
          <cell r="I18" t="str">
            <v>Kg</v>
          </cell>
          <cell r="J18">
            <v>49000</v>
          </cell>
          <cell r="K18">
            <v>1.7000000000000001E-4</v>
          </cell>
          <cell r="L18">
            <v>1</v>
          </cell>
          <cell r="M18">
            <v>0.98</v>
          </cell>
          <cell r="N18" t="str">
            <v>KRW</v>
          </cell>
          <cell r="O18">
            <v>8.5</v>
          </cell>
          <cell r="P18">
            <v>8.5</v>
          </cell>
        </row>
        <row r="19">
          <cell r="E19" t="str">
            <v>9도-UV Flat Molding</v>
          </cell>
          <cell r="I19" t="str">
            <v>Kg</v>
          </cell>
          <cell r="J19">
            <v>54000</v>
          </cell>
          <cell r="K19">
            <v>2E-3</v>
          </cell>
          <cell r="L19">
            <v>1</v>
          </cell>
          <cell r="M19">
            <v>0.98</v>
          </cell>
          <cell r="N19" t="str">
            <v>KRW</v>
          </cell>
          <cell r="O19">
            <v>110.20408163265306</v>
          </cell>
          <cell r="P19">
            <v>110.20408163265306</v>
          </cell>
        </row>
        <row r="20">
          <cell r="I20" t="str">
            <v>Kg</v>
          </cell>
          <cell r="M20">
            <v>0.7</v>
          </cell>
          <cell r="N20" t="str">
            <v>KRW</v>
          </cell>
          <cell r="O20">
            <v>0</v>
          </cell>
          <cell r="P20">
            <v>0</v>
          </cell>
        </row>
        <row r="21">
          <cell r="E21" t="str">
            <v>C/F-YHF-Carrier</v>
          </cell>
          <cell r="F21">
            <v>350</v>
          </cell>
          <cell r="G21" t="str">
            <v>*</v>
          </cell>
          <cell r="H21">
            <v>450</v>
          </cell>
          <cell r="I21" t="str">
            <v>㎡</v>
          </cell>
          <cell r="J21">
            <v>3000</v>
          </cell>
          <cell r="K21">
            <v>38.095238095238095</v>
          </cell>
          <cell r="L21">
            <v>2</v>
          </cell>
          <cell r="M21">
            <v>0.7</v>
          </cell>
          <cell r="N21" t="str">
            <v>KRW</v>
          </cell>
          <cell r="O21">
            <v>225.00000000000003</v>
          </cell>
          <cell r="P21">
            <v>225.00000000000003</v>
          </cell>
        </row>
        <row r="22">
          <cell r="E22" t="str">
            <v xml:space="preserve">C/F-ESD-KA420-80-100㎛ </v>
          </cell>
          <cell r="F22">
            <v>350</v>
          </cell>
          <cell r="G22" t="str">
            <v>*</v>
          </cell>
          <cell r="H22">
            <v>450</v>
          </cell>
          <cell r="I22" t="str">
            <v>㎡</v>
          </cell>
          <cell r="J22">
            <v>1600</v>
          </cell>
          <cell r="K22">
            <v>38.095238095238095</v>
          </cell>
          <cell r="L22">
            <v>1</v>
          </cell>
          <cell r="M22">
            <v>0.7</v>
          </cell>
          <cell r="N22" t="str">
            <v>KRW</v>
          </cell>
          <cell r="O22">
            <v>60.000000000000007</v>
          </cell>
          <cell r="P22">
            <v>60.000000000000007</v>
          </cell>
        </row>
        <row r="23">
          <cell r="E23" t="str">
            <v xml:space="preserve">C/F-ESD-KA120-80-50㎛ </v>
          </cell>
          <cell r="F23">
            <v>350</v>
          </cell>
          <cell r="G23" t="str">
            <v>*</v>
          </cell>
          <cell r="H23">
            <v>450</v>
          </cell>
          <cell r="I23" t="str">
            <v>㎡</v>
          </cell>
          <cell r="J23">
            <v>1100</v>
          </cell>
          <cell r="K23">
            <v>38.095238095238095</v>
          </cell>
          <cell r="L23">
            <v>1</v>
          </cell>
          <cell r="M23">
            <v>0.7</v>
          </cell>
          <cell r="N23" t="str">
            <v>KRW</v>
          </cell>
          <cell r="O23">
            <v>41.25</v>
          </cell>
          <cell r="P23">
            <v>41.25</v>
          </cell>
        </row>
        <row r="24">
          <cell r="G24" t="str">
            <v>*</v>
          </cell>
          <cell r="I24" t="str">
            <v>㎡</v>
          </cell>
          <cell r="K24">
            <v>38.095238095238095</v>
          </cell>
          <cell r="M24">
            <v>0.7</v>
          </cell>
          <cell r="N24" t="str">
            <v>KRW</v>
          </cell>
          <cell r="O24">
            <v>0</v>
          </cell>
          <cell r="P24">
            <v>0</v>
          </cell>
        </row>
        <row r="25">
          <cell r="G25" t="str">
            <v>*</v>
          </cell>
          <cell r="I25" t="str">
            <v>㎡</v>
          </cell>
          <cell r="K25">
            <v>38.095238095238095</v>
          </cell>
          <cell r="M25">
            <v>0.7</v>
          </cell>
          <cell r="N25" t="str">
            <v>KRW</v>
          </cell>
          <cell r="O25">
            <v>0</v>
          </cell>
          <cell r="P25">
            <v>0</v>
          </cell>
        </row>
        <row r="26">
          <cell r="E26" t="str">
            <v>YAS-UV 메꾸기用</v>
          </cell>
          <cell r="F26">
            <v>400</v>
          </cell>
          <cell r="G26" t="str">
            <v>*</v>
          </cell>
          <cell r="H26">
            <v>200</v>
          </cell>
          <cell r="I26" t="str">
            <v>㎡</v>
          </cell>
          <cell r="K26">
            <v>38.095238095238095</v>
          </cell>
          <cell r="M26">
            <v>0.7</v>
          </cell>
          <cell r="N26" t="str">
            <v>KRW</v>
          </cell>
          <cell r="O26">
            <v>0</v>
          </cell>
          <cell r="P26">
            <v>0</v>
          </cell>
        </row>
        <row r="27">
          <cell r="E27" t="str">
            <v>Cell 가공(Laser)</v>
          </cell>
          <cell r="I27" t="str">
            <v>ea</v>
          </cell>
          <cell r="J27">
            <v>350</v>
          </cell>
          <cell r="K27">
            <v>1</v>
          </cell>
          <cell r="L27">
            <v>1</v>
          </cell>
          <cell r="M27">
            <v>0.95</v>
          </cell>
          <cell r="N27" t="str">
            <v>KRW</v>
          </cell>
          <cell r="O27">
            <v>368.42105263157896</v>
          </cell>
          <cell r="P27">
            <v>368.42105263157896</v>
          </cell>
        </row>
        <row r="28">
          <cell r="E28" t="str">
            <v>Cell 가공(피너클)</v>
          </cell>
          <cell r="I28" t="str">
            <v>ea</v>
          </cell>
          <cell r="J28">
            <v>100</v>
          </cell>
          <cell r="K28">
            <v>1</v>
          </cell>
          <cell r="L28">
            <v>1</v>
          </cell>
          <cell r="M28">
            <v>0.95</v>
          </cell>
          <cell r="N28" t="str">
            <v>KRW</v>
          </cell>
          <cell r="O28">
            <v>105.26315789473685</v>
          </cell>
          <cell r="P28">
            <v>105.26315789473685</v>
          </cell>
        </row>
        <row r="29">
          <cell r="E29" t="str">
            <v>증착</v>
          </cell>
          <cell r="I29" t="str">
            <v>ea</v>
          </cell>
          <cell r="J29">
            <v>400</v>
          </cell>
          <cell r="K29">
            <v>1</v>
          </cell>
          <cell r="L29">
            <v>1</v>
          </cell>
          <cell r="M29">
            <v>0.95</v>
          </cell>
          <cell r="N29" t="str">
            <v>KRW</v>
          </cell>
          <cell r="O29">
            <v>421.0526315789474</v>
          </cell>
          <cell r="P29">
            <v>421.0526315789474</v>
          </cell>
        </row>
        <row r="30">
          <cell r="E30" t="str">
            <v>UV Pattern</v>
          </cell>
          <cell r="I30" t="str">
            <v>ea</v>
          </cell>
          <cell r="J30">
            <v>300</v>
          </cell>
          <cell r="K30">
            <v>1</v>
          </cell>
          <cell r="L30">
            <v>1</v>
          </cell>
          <cell r="M30">
            <v>0.95</v>
          </cell>
          <cell r="N30" t="str">
            <v>KRW</v>
          </cell>
          <cell r="O30">
            <v>315.78947368421052</v>
          </cell>
          <cell r="P30">
            <v>315.78947368421052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J3">
            <v>203000000</v>
          </cell>
        </row>
      </sheetData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건(소가)"/>
    </sheetNames>
    <definedNames>
      <definedName name="Module1.매크로4" refersTo="#REF!"/>
      <definedName name="Module1.매크로5" refersTo="#REF!"/>
      <definedName name="Module1.매크로6" refersTo="#REF!"/>
      <definedName name="Module1.매크로7" refersTo="#REF!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dmod"/>
    </sheetNames>
    <definedNames>
      <definedName name="PHD_GetRawData"/>
      <definedName name="PHD_ModData"/>
      <definedName name="PHD_RemData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Control Panel"/>
      <sheetName val="Macroeconomic"/>
      <sheetName val="Total Production"/>
      <sheetName val="Price"/>
      <sheetName val="BS"/>
      <sheetName val="IS"/>
      <sheetName val="CF"/>
      <sheetName val="DCF"/>
      <sheetName val="Depreciation"/>
      <sheetName val="WC"/>
      <sheetName val="Debt Schedule"/>
      <sheetName val="Shareholder's Equity"/>
      <sheetName val="WACC"/>
      <sheetName val="NCC"/>
      <sheetName val="BTX"/>
      <sheetName val="HPE"/>
      <sheetName val="SPE"/>
      <sheetName val="3PE"/>
      <sheetName val="HPP"/>
      <sheetName val="SPP"/>
      <sheetName val="3PP"/>
      <sheetName val="HEG+SEG"/>
      <sheetName val="3EG"/>
      <sheetName val="MMA"/>
      <sheetName val="PET"/>
      <sheetName val="EOA"/>
      <sheetName val="POP"/>
      <sheetName val="Filter"/>
      <sheetName val="WC-Analysis"/>
      <sheetName val="Allocation Table"/>
      <sheetName val="Debt  Profile"/>
      <sheetName val="Net Sales"/>
    </sheetNames>
    <sheetDataSet>
      <sheetData sheetId="0"/>
      <sheetData sheetId="1"/>
      <sheetData sheetId="2"/>
      <sheetData sheetId="3"/>
      <sheetData sheetId="4">
        <row r="10">
          <cell r="A10" t="str">
            <v>Naphta</v>
          </cell>
          <cell r="C10">
            <v>120.15</v>
          </cell>
          <cell r="D10">
            <v>141.75</v>
          </cell>
          <cell r="E10">
            <v>205.35</v>
          </cell>
          <cell r="G10">
            <v>194.6186636892939</v>
          </cell>
          <cell r="H10">
            <v>195.67188776571513</v>
          </cell>
          <cell r="I10">
            <v>222.65586521804244</v>
          </cell>
          <cell r="J10">
            <v>226.91334328718511</v>
          </cell>
          <cell r="K10">
            <v>221.92042676532415</v>
          </cell>
          <cell r="L10">
            <v>216.82205266399041</v>
          </cell>
          <cell r="M10">
            <v>213.67651536554069</v>
          </cell>
          <cell r="N10">
            <v>210.19469766538208</v>
          </cell>
          <cell r="O10">
            <v>211.51208800180689</v>
          </cell>
          <cell r="P10">
            <v>211.51208800180689</v>
          </cell>
        </row>
        <row r="11">
          <cell r="A11" t="str">
            <v>BC Oil</v>
          </cell>
          <cell r="C11">
            <v>149.78700000000001</v>
          </cell>
          <cell r="D11">
            <v>176.715</v>
          </cell>
          <cell r="E11">
            <v>256.00299999999999</v>
          </cell>
          <cell r="G11">
            <v>226.73750000000001</v>
          </cell>
          <cell r="H11">
            <v>215.05</v>
          </cell>
          <cell r="I11">
            <v>215.05</v>
          </cell>
          <cell r="J11">
            <v>210.375</v>
          </cell>
          <cell r="K11">
            <v>210.375</v>
          </cell>
          <cell r="L11">
            <v>205.7</v>
          </cell>
          <cell r="M11">
            <v>205.7</v>
          </cell>
          <cell r="N11">
            <v>205.7</v>
          </cell>
          <cell r="O11">
            <v>205.7</v>
          </cell>
          <cell r="P11">
            <v>205.7</v>
          </cell>
        </row>
        <row r="12">
          <cell r="A12" t="str">
            <v>C4 Raff 1</v>
          </cell>
          <cell r="C12">
            <v>120.15</v>
          </cell>
          <cell r="D12">
            <v>141.75</v>
          </cell>
          <cell r="E12">
            <v>205.35</v>
          </cell>
          <cell r="G12">
            <v>194.61866368929381</v>
          </cell>
          <cell r="H12">
            <v>195.67188776571493</v>
          </cell>
          <cell r="I12">
            <v>222.65586521804252</v>
          </cell>
          <cell r="J12">
            <v>226.91334328718492</v>
          </cell>
          <cell r="K12">
            <v>221.9204267653237</v>
          </cell>
          <cell r="L12">
            <v>216.82205266399041</v>
          </cell>
          <cell r="M12">
            <v>213.67651536554033</v>
          </cell>
          <cell r="N12">
            <v>210.19469766538165</v>
          </cell>
          <cell r="O12">
            <v>211.51208800180717</v>
          </cell>
          <cell r="P12">
            <v>211.51208800180717</v>
          </cell>
        </row>
        <row r="13">
          <cell r="A13" t="str">
            <v>C4 Raff 2,3</v>
          </cell>
          <cell r="C13">
            <v>116.145</v>
          </cell>
          <cell r="D13">
            <v>137.02500000000001</v>
          </cell>
          <cell r="E13">
            <v>198.505</v>
          </cell>
          <cell r="G13">
            <v>188.55616368929381</v>
          </cell>
          <cell r="H13">
            <v>189.92188776571493</v>
          </cell>
          <cell r="I13">
            <v>216.90586521804252</v>
          </cell>
          <cell r="J13">
            <v>221.28834328718492</v>
          </cell>
          <cell r="K13">
            <v>216.2954267653237</v>
          </cell>
          <cell r="L13">
            <v>211.32205266399041</v>
          </cell>
          <cell r="M13">
            <v>208.17651536554033</v>
          </cell>
          <cell r="N13">
            <v>204.69469766538165</v>
          </cell>
          <cell r="O13">
            <v>206.01208800180717</v>
          </cell>
          <cell r="P13">
            <v>206.01208800180717</v>
          </cell>
        </row>
        <row r="14">
          <cell r="A14" t="str">
            <v>BN-1</v>
          </cell>
          <cell r="C14">
            <v>397.29599999999999</v>
          </cell>
          <cell r="D14">
            <v>468.72</v>
          </cell>
          <cell r="E14">
            <v>679.024</v>
          </cell>
          <cell r="G14">
            <v>601.4</v>
          </cell>
          <cell r="H14">
            <v>570.4</v>
          </cell>
          <cell r="I14">
            <v>570.4</v>
          </cell>
          <cell r="J14">
            <v>558</v>
          </cell>
          <cell r="K14">
            <v>558</v>
          </cell>
          <cell r="L14">
            <v>545.6</v>
          </cell>
          <cell r="M14">
            <v>545.6</v>
          </cell>
          <cell r="N14">
            <v>545.6</v>
          </cell>
          <cell r="O14">
            <v>545.6</v>
          </cell>
          <cell r="P14">
            <v>545.6</v>
          </cell>
        </row>
        <row r="15">
          <cell r="A15" t="str">
            <v>LDPE</v>
          </cell>
          <cell r="C15">
            <v>507.71191847637857</v>
          </cell>
          <cell r="D15">
            <v>598.98597123617685</v>
          </cell>
          <cell r="E15">
            <v>867.7373488066944</v>
          </cell>
          <cell r="G15">
            <v>792.59770214947628</v>
          </cell>
          <cell r="H15">
            <v>831.82852032768164</v>
          </cell>
          <cell r="I15">
            <v>877.26224093824123</v>
          </cell>
          <cell r="J15">
            <v>933.10110419542661</v>
          </cell>
          <cell r="K15">
            <v>1006.3206084408619</v>
          </cell>
          <cell r="L15">
            <v>940.64589279753829</v>
          </cell>
          <cell r="M15">
            <v>890.17470125299337</v>
          </cell>
          <cell r="N15">
            <v>806.63412920435997</v>
          </cell>
          <cell r="O15">
            <v>776.39164653498153</v>
          </cell>
          <cell r="P15">
            <v>776.39164653498153</v>
          </cell>
        </row>
        <row r="16">
          <cell r="A16" t="str">
            <v>PTA</v>
          </cell>
          <cell r="C16">
            <v>360.45</v>
          </cell>
          <cell r="D16">
            <v>425.25</v>
          </cell>
          <cell r="E16">
            <v>616.04999999999995</v>
          </cell>
          <cell r="G16">
            <v>545.625</v>
          </cell>
          <cell r="H16">
            <v>575</v>
          </cell>
          <cell r="I16">
            <v>711.85</v>
          </cell>
          <cell r="J16">
            <v>780.75</v>
          </cell>
          <cell r="K16">
            <v>1130.625</v>
          </cell>
          <cell r="L16">
            <v>831.41666666666674</v>
          </cell>
          <cell r="M16">
            <v>627</v>
          </cell>
          <cell r="N16">
            <v>495</v>
          </cell>
          <cell r="O16">
            <v>495</v>
          </cell>
          <cell r="P16">
            <v>495</v>
          </cell>
        </row>
        <row r="17">
          <cell r="A17" t="str">
            <v>IPA</v>
          </cell>
          <cell r="C17">
            <v>1249.56</v>
          </cell>
          <cell r="D17">
            <v>1474.2</v>
          </cell>
          <cell r="E17">
            <v>2135.64</v>
          </cell>
          <cell r="G17">
            <v>1455</v>
          </cell>
          <cell r="H17">
            <v>1311</v>
          </cell>
          <cell r="I17">
            <v>1311</v>
          </cell>
          <cell r="J17">
            <v>1350</v>
          </cell>
          <cell r="K17">
            <v>1822.5</v>
          </cell>
          <cell r="L17">
            <v>1804</v>
          </cell>
          <cell r="M17">
            <v>1760</v>
          </cell>
          <cell r="N17">
            <v>1650</v>
          </cell>
          <cell r="O17">
            <v>1320</v>
          </cell>
          <cell r="P17">
            <v>1320</v>
          </cell>
        </row>
        <row r="18">
          <cell r="A18" t="str">
            <v>Methanol</v>
          </cell>
          <cell r="C18">
            <v>96.12</v>
          </cell>
          <cell r="D18">
            <v>113.4</v>
          </cell>
          <cell r="E18">
            <v>164.28</v>
          </cell>
          <cell r="G18">
            <v>180.86458333333331</v>
          </cell>
          <cell r="H18">
            <v>186.875</v>
          </cell>
          <cell r="I18">
            <v>146.43333333333331</v>
          </cell>
          <cell r="J18">
            <v>368.4375</v>
          </cell>
          <cell r="K18">
            <v>223.68281249999998</v>
          </cell>
          <cell r="L18">
            <v>163.54708333333332</v>
          </cell>
          <cell r="M18">
            <v>240.625</v>
          </cell>
          <cell r="N18">
            <v>132</v>
          </cell>
          <cell r="O18">
            <v>250.1583333333333</v>
          </cell>
          <cell r="P18">
            <v>250.1583333333333</v>
          </cell>
        </row>
        <row r="19">
          <cell r="A19" t="str">
            <v>Lauryl alcohol</v>
          </cell>
          <cell r="C19">
            <v>1041.3</v>
          </cell>
          <cell r="D19">
            <v>1228.5</v>
          </cell>
          <cell r="E19">
            <v>1779.7</v>
          </cell>
          <cell r="G19">
            <v>1576.25</v>
          </cell>
          <cell r="H19">
            <v>1495</v>
          </cell>
          <cell r="I19">
            <v>1495</v>
          </cell>
          <cell r="J19">
            <v>1462.5</v>
          </cell>
          <cell r="K19">
            <v>1462.5</v>
          </cell>
          <cell r="L19">
            <v>1430</v>
          </cell>
          <cell r="M19">
            <v>1430</v>
          </cell>
          <cell r="N19">
            <v>1430</v>
          </cell>
          <cell r="O19">
            <v>1430</v>
          </cell>
          <cell r="P19">
            <v>1430</v>
          </cell>
        </row>
        <row r="20">
          <cell r="A20" t="str">
            <v>Nonylphenol</v>
          </cell>
          <cell r="C20">
            <v>680.85</v>
          </cell>
          <cell r="D20">
            <v>803.25</v>
          </cell>
          <cell r="E20">
            <v>1163.6500000000001</v>
          </cell>
          <cell r="G20">
            <v>1030.625</v>
          </cell>
          <cell r="H20">
            <v>977.5</v>
          </cell>
          <cell r="I20">
            <v>977.5</v>
          </cell>
          <cell r="J20">
            <v>956.25</v>
          </cell>
          <cell r="K20">
            <v>956.25</v>
          </cell>
          <cell r="L20">
            <v>935</v>
          </cell>
          <cell r="M20">
            <v>935</v>
          </cell>
          <cell r="N20">
            <v>935</v>
          </cell>
          <cell r="O20">
            <v>935</v>
          </cell>
          <cell r="P20">
            <v>935</v>
          </cell>
        </row>
        <row r="21">
          <cell r="A21" t="str">
            <v>PE</v>
          </cell>
          <cell r="C21">
            <v>388.29552705479227</v>
          </cell>
          <cell r="D21">
            <v>458.10146450284486</v>
          </cell>
          <cell r="E21">
            <v>663.64116921099946</v>
          </cell>
          <cell r="G21">
            <v>619.80742146844841</v>
          </cell>
          <cell r="H21">
            <v>694.49082490495221</v>
          </cell>
          <cell r="I21">
            <v>754.98425708049035</v>
          </cell>
          <cell r="J21">
            <v>838.31134663560147</v>
          </cell>
          <cell r="K21">
            <v>935.80059150647662</v>
          </cell>
          <cell r="L21">
            <v>857.33654124645125</v>
          </cell>
          <cell r="M21">
            <v>790.13589024344037</v>
          </cell>
          <cell r="N21">
            <v>678.90449952270887</v>
          </cell>
          <cell r="O21">
            <v>638.63767678412023</v>
          </cell>
          <cell r="P21">
            <v>638.63767678412023</v>
          </cell>
        </row>
        <row r="22">
          <cell r="A22" t="str">
            <v>Filter_RM</v>
          </cell>
          <cell r="C22">
            <v>2678.5439999999999</v>
          </cell>
          <cell r="D22">
            <v>3160.08</v>
          </cell>
          <cell r="E22">
            <v>4577.9359999999997</v>
          </cell>
          <cell r="G22">
            <v>4054.6</v>
          </cell>
          <cell r="H22">
            <v>3845.6</v>
          </cell>
          <cell r="I22">
            <v>3845.6</v>
          </cell>
          <cell r="J22">
            <v>3762</v>
          </cell>
          <cell r="K22">
            <v>3762</v>
          </cell>
          <cell r="L22">
            <v>3678.4</v>
          </cell>
          <cell r="M22">
            <v>3678.4</v>
          </cell>
          <cell r="N22">
            <v>3678.4</v>
          </cell>
          <cell r="O22">
            <v>3678.4</v>
          </cell>
          <cell r="P22">
            <v>3678.4</v>
          </cell>
        </row>
        <row r="23">
          <cell r="A23" t="str">
            <v>Products/Internal Transfer</v>
          </cell>
        </row>
        <row r="24">
          <cell r="A24" t="str">
            <v>C3LPG</v>
          </cell>
          <cell r="C24">
            <v>170.613</v>
          </cell>
          <cell r="D24">
            <v>201.285</v>
          </cell>
          <cell r="E24">
            <v>291.59699999999998</v>
          </cell>
          <cell r="G24">
            <v>258.26249999999999</v>
          </cell>
          <cell r="H24">
            <v>244.95</v>
          </cell>
          <cell r="I24">
            <v>244.95</v>
          </cell>
          <cell r="J24">
            <v>239.625</v>
          </cell>
          <cell r="K24">
            <v>239.625</v>
          </cell>
          <cell r="L24">
            <v>234.3</v>
          </cell>
          <cell r="M24">
            <v>234.3</v>
          </cell>
          <cell r="N24">
            <v>234.3</v>
          </cell>
          <cell r="O24">
            <v>234.3</v>
          </cell>
          <cell r="P24">
            <v>234.3</v>
          </cell>
        </row>
        <row r="25">
          <cell r="A25" t="str">
            <v>MC4</v>
          </cell>
          <cell r="C25">
            <v>133.1531933850965</v>
          </cell>
          <cell r="D25">
            <v>157.09084612848463</v>
          </cell>
          <cell r="E25">
            <v>227.57393476179413</v>
          </cell>
          <cell r="G25">
            <v>238.77945803471204</v>
          </cell>
          <cell r="H25">
            <v>248.52153556039039</v>
          </cell>
          <cell r="I25">
            <v>247.24287243371364</v>
          </cell>
          <cell r="J25">
            <v>272.58333060611449</v>
          </cell>
          <cell r="K25">
            <v>271.48743489731055</v>
          </cell>
          <cell r="L25">
            <v>253.97018996418393</v>
          </cell>
          <cell r="M25">
            <v>277.51847886687841</v>
          </cell>
          <cell r="N25">
            <v>217.61457049296965</v>
          </cell>
          <cell r="O25">
            <v>247.53183412792436</v>
          </cell>
          <cell r="P25">
            <v>247.53183412792436</v>
          </cell>
        </row>
        <row r="26">
          <cell r="A26" t="str">
            <v>Benzene</v>
          </cell>
          <cell r="C26">
            <v>156.65118720284812</v>
          </cell>
          <cell r="D26">
            <v>184.81319838538263</v>
          </cell>
          <cell r="E26">
            <v>267.7346757561786</v>
          </cell>
          <cell r="G26">
            <v>253.29888401566521</v>
          </cell>
          <cell r="H26">
            <v>262.17552380566707</v>
          </cell>
          <cell r="I26">
            <v>278.52874340334091</v>
          </cell>
          <cell r="J26">
            <v>292.81016863188</v>
          </cell>
          <cell r="K26">
            <v>286.73210599988965</v>
          </cell>
          <cell r="L26">
            <v>278.49203515490831</v>
          </cell>
          <cell r="M26">
            <v>269.26541892176408</v>
          </cell>
          <cell r="N26">
            <v>266.50566373780799</v>
          </cell>
          <cell r="O26">
            <v>263.76551484321277</v>
          </cell>
          <cell r="P26">
            <v>263.76551484321277</v>
          </cell>
        </row>
        <row r="27">
          <cell r="A27" t="str">
            <v>Toluene</v>
          </cell>
          <cell r="C27">
            <v>141.51148620284815</v>
          </cell>
          <cell r="D27">
            <v>166.95175338538266</v>
          </cell>
          <cell r="E27">
            <v>241.85920675617868</v>
          </cell>
          <cell r="G27">
            <v>230.38142151566521</v>
          </cell>
          <cell r="H27">
            <v>240.43937380566709</v>
          </cell>
          <cell r="I27">
            <v>256.79259340334096</v>
          </cell>
          <cell r="J27">
            <v>271.54654363187996</v>
          </cell>
          <cell r="K27">
            <v>265.46848099988961</v>
          </cell>
          <cell r="L27">
            <v>257.70093515490828</v>
          </cell>
          <cell r="M27">
            <v>248.47431892176411</v>
          </cell>
          <cell r="N27">
            <v>245.71456373780799</v>
          </cell>
          <cell r="O27">
            <v>242.97441484321283</v>
          </cell>
          <cell r="P27">
            <v>242.97441484321283</v>
          </cell>
        </row>
        <row r="28">
          <cell r="A28" t="str">
            <v>Xylene</v>
          </cell>
          <cell r="C28">
            <v>144.02182020284815</v>
          </cell>
          <cell r="D28">
            <v>169.91338338538262</v>
          </cell>
          <cell r="E28">
            <v>246.14965275617863</v>
          </cell>
          <cell r="G28">
            <v>234.18139651566523</v>
          </cell>
          <cell r="H28">
            <v>244.04347380566711</v>
          </cell>
          <cell r="I28">
            <v>260.39669340334092</v>
          </cell>
          <cell r="J28">
            <v>275.07229363188003</v>
          </cell>
          <cell r="K28">
            <v>268.99423099988962</v>
          </cell>
          <cell r="L28">
            <v>261.1483351549083</v>
          </cell>
          <cell r="M28">
            <v>251.9217189217641</v>
          </cell>
          <cell r="N28">
            <v>249.16196373780798</v>
          </cell>
          <cell r="O28">
            <v>246.42181484321279</v>
          </cell>
          <cell r="P28">
            <v>246.42181484321279</v>
          </cell>
        </row>
        <row r="29">
          <cell r="A29" t="str">
            <v>HDPE</v>
          </cell>
          <cell r="C29">
            <v>388.29552705479227</v>
          </cell>
          <cell r="D29">
            <v>458.10146450284486</v>
          </cell>
          <cell r="E29">
            <v>663.64116921099946</v>
          </cell>
          <cell r="G29">
            <v>619.80742146844841</v>
          </cell>
          <cell r="H29">
            <v>694.49082490495221</v>
          </cell>
          <cell r="I29">
            <v>754.98425708049035</v>
          </cell>
          <cell r="J29">
            <v>838.31134663560147</v>
          </cell>
          <cell r="K29">
            <v>935.80059150647662</v>
          </cell>
          <cell r="L29">
            <v>857.33654124645125</v>
          </cell>
          <cell r="M29">
            <v>790.13589024344037</v>
          </cell>
          <cell r="N29">
            <v>678.90449952270887</v>
          </cell>
          <cell r="O29">
            <v>638.63767678412023</v>
          </cell>
          <cell r="P29">
            <v>638.63767678412023</v>
          </cell>
        </row>
        <row r="30">
          <cell r="A30" t="str">
            <v>PP-homo</v>
          </cell>
          <cell r="C30">
            <v>348.41385604300751</v>
          </cell>
          <cell r="D30">
            <v>411.0500548821999</v>
          </cell>
          <cell r="E30">
            <v>595.47886257537743</v>
          </cell>
          <cell r="G30">
            <v>564.98697173340656</v>
          </cell>
          <cell r="H30">
            <v>583.39423325825067</v>
          </cell>
          <cell r="I30">
            <v>683.36714303545375</v>
          </cell>
          <cell r="J30">
            <v>792.73825624854555</v>
          </cell>
          <cell r="K30">
            <v>879.49212012079329</v>
          </cell>
          <cell r="L30">
            <v>777.07994152755998</v>
          </cell>
          <cell r="M30">
            <v>689.03837965401021</v>
          </cell>
          <cell r="N30">
            <v>605.45465813666567</v>
          </cell>
          <cell r="O30">
            <v>599.68619090000175</v>
          </cell>
          <cell r="P30">
            <v>599.68619090000175</v>
          </cell>
        </row>
        <row r="31">
          <cell r="A31" t="str">
            <v>PP-copoly</v>
          </cell>
          <cell r="C31">
            <v>396.09284965275447</v>
          </cell>
          <cell r="D31">
            <v>467.30055296111487</v>
          </cell>
          <cell r="E31">
            <v>676.96767936906474</v>
          </cell>
          <cell r="G31">
            <v>634.72662582469786</v>
          </cell>
          <cell r="H31">
            <v>646.46121566146871</v>
          </cell>
          <cell r="I31">
            <v>739.96033865786887</v>
          </cell>
          <cell r="J31">
            <v>840.0567998045891</v>
          </cell>
          <cell r="K31">
            <v>921.19288163596764</v>
          </cell>
          <cell r="L31">
            <v>823.22016490928945</v>
          </cell>
          <cell r="M31">
            <v>740.87977048888763</v>
          </cell>
          <cell r="N31">
            <v>662.70854714385086</v>
          </cell>
          <cell r="O31">
            <v>657.3136193692817</v>
          </cell>
          <cell r="P31">
            <v>657.3136193692817</v>
          </cell>
        </row>
        <row r="32">
          <cell r="A32" t="str">
            <v>MEG</v>
          </cell>
          <cell r="C32">
            <v>371.66399999999999</v>
          </cell>
          <cell r="D32">
            <v>438.48</v>
          </cell>
          <cell r="E32">
            <v>635.21600000000001</v>
          </cell>
          <cell r="G32">
            <v>686.28238901667976</v>
          </cell>
          <cell r="H32">
            <v>637.13975698447632</v>
          </cell>
          <cell r="I32">
            <v>668.34408273556107</v>
          </cell>
          <cell r="J32">
            <v>571.25447335302749</v>
          </cell>
          <cell r="K32">
            <v>637.51618769791162</v>
          </cell>
          <cell r="L32">
            <v>697.69363362837589</v>
          </cell>
          <cell r="M32">
            <v>763.72143815847232</v>
          </cell>
          <cell r="N32">
            <v>646.50632474174017</v>
          </cell>
          <cell r="O32">
            <v>537.77303131462679</v>
          </cell>
          <cell r="P32">
            <v>537.77303131462679</v>
          </cell>
        </row>
        <row r="33">
          <cell r="A33" t="str">
            <v>DEG</v>
          </cell>
          <cell r="C33">
            <v>344.43</v>
          </cell>
          <cell r="D33">
            <v>406.35</v>
          </cell>
          <cell r="E33">
            <v>588.66999999999996</v>
          </cell>
          <cell r="G33">
            <v>677.69236646015941</v>
          </cell>
          <cell r="H33">
            <v>635.12885173193433</v>
          </cell>
          <cell r="I33">
            <v>652.42480025231316</v>
          </cell>
          <cell r="J33">
            <v>592.48004007298721</v>
          </cell>
          <cell r="K33">
            <v>629.20761461900543</v>
          </cell>
          <cell r="L33">
            <v>656.43291266632752</v>
          </cell>
          <cell r="M33">
            <v>693.03083556894001</v>
          </cell>
          <cell r="N33">
            <v>628.06078674819923</v>
          </cell>
          <cell r="O33">
            <v>567.79204514588162</v>
          </cell>
          <cell r="P33">
            <v>567.79204514588162</v>
          </cell>
        </row>
        <row r="34">
          <cell r="A34" t="str">
            <v>TEG</v>
          </cell>
          <cell r="C34">
            <v>560.70000000000005</v>
          </cell>
          <cell r="D34">
            <v>661.5</v>
          </cell>
          <cell r="E34">
            <v>958.3</v>
          </cell>
          <cell r="G34">
            <v>1067</v>
          </cell>
          <cell r="H34">
            <v>805</v>
          </cell>
          <cell r="I34">
            <v>1012</v>
          </cell>
          <cell r="J34">
            <v>990</v>
          </cell>
          <cell r="K34">
            <v>990</v>
          </cell>
          <cell r="L34">
            <v>968</v>
          </cell>
          <cell r="M34">
            <v>990</v>
          </cell>
          <cell r="N34">
            <v>770</v>
          </cell>
          <cell r="O34">
            <v>968</v>
          </cell>
          <cell r="P34">
            <v>968</v>
          </cell>
        </row>
        <row r="35">
          <cell r="A35" t="str">
            <v>HPEO</v>
          </cell>
          <cell r="C35">
            <v>497.76428571428573</v>
          </cell>
          <cell r="D35">
            <v>587.25</v>
          </cell>
          <cell r="E35">
            <v>850.73571428571427</v>
          </cell>
          <cell r="G35">
            <v>848.75</v>
          </cell>
          <cell r="H35">
            <v>805</v>
          </cell>
          <cell r="I35">
            <v>805</v>
          </cell>
          <cell r="J35">
            <v>787.5</v>
          </cell>
          <cell r="K35">
            <v>787.5</v>
          </cell>
          <cell r="L35">
            <v>770</v>
          </cell>
          <cell r="M35">
            <v>770</v>
          </cell>
          <cell r="N35">
            <v>770</v>
          </cell>
          <cell r="O35">
            <v>770</v>
          </cell>
          <cell r="P35">
            <v>770</v>
          </cell>
        </row>
        <row r="36">
          <cell r="A36" t="str">
            <v>PET</v>
          </cell>
          <cell r="C36">
            <v>540.67499999999995</v>
          </cell>
          <cell r="D36">
            <v>637.875</v>
          </cell>
          <cell r="E36">
            <v>924.07500000000005</v>
          </cell>
          <cell r="G36">
            <v>760.6644611558379</v>
          </cell>
          <cell r="H36">
            <v>766.37391494456676</v>
          </cell>
          <cell r="I36">
            <v>909.13476436326425</v>
          </cell>
          <cell r="J36">
            <v>1146.2852119573529</v>
          </cell>
          <cell r="K36">
            <v>1553.0748602337706</v>
          </cell>
          <cell r="L36">
            <v>1389.1012936373625</v>
          </cell>
          <cell r="M36">
            <v>1166.5544937500208</v>
          </cell>
          <cell r="N36">
            <v>1072.05076257889</v>
          </cell>
          <cell r="O36">
            <v>1096.5695238122792</v>
          </cell>
          <cell r="P36">
            <v>1096.5695238122792</v>
          </cell>
        </row>
        <row r="37">
          <cell r="A37" t="str">
            <v>MMA</v>
          </cell>
          <cell r="C37">
            <v>1001.25</v>
          </cell>
          <cell r="D37">
            <v>1181.25</v>
          </cell>
          <cell r="E37">
            <v>1711.25</v>
          </cell>
          <cell r="G37">
            <v>1145.57</v>
          </cell>
          <cell r="H37">
            <v>1086.52</v>
          </cell>
          <cell r="I37">
            <v>1186.2249999999999</v>
          </cell>
          <cell r="J37">
            <v>1153.2375</v>
          </cell>
          <cell r="K37">
            <v>1462.5</v>
          </cell>
          <cell r="L37">
            <v>1480.93</v>
          </cell>
          <cell r="M37">
            <v>1398.76</v>
          </cell>
          <cell r="N37">
            <v>1375</v>
          </cell>
          <cell r="O37">
            <v>1039.28</v>
          </cell>
          <cell r="P37">
            <v>1039.28</v>
          </cell>
        </row>
        <row r="38">
          <cell r="A38" t="str">
            <v>C4 Raff 2</v>
          </cell>
          <cell r="C38">
            <v>120.15</v>
          </cell>
          <cell r="D38">
            <v>141.75</v>
          </cell>
          <cell r="E38">
            <v>205.35</v>
          </cell>
          <cell r="G38">
            <v>188.55616368929381</v>
          </cell>
          <cell r="H38">
            <v>189.92188776571493</v>
          </cell>
          <cell r="I38">
            <v>216.90586521804252</v>
          </cell>
          <cell r="J38">
            <v>221.28834328718492</v>
          </cell>
          <cell r="K38">
            <v>216.2954267653237</v>
          </cell>
          <cell r="L38">
            <v>211.32205266399041</v>
          </cell>
          <cell r="M38">
            <v>208.17651536554033</v>
          </cell>
          <cell r="N38">
            <v>204.69469766538165</v>
          </cell>
          <cell r="O38">
            <v>206.01208800180717</v>
          </cell>
          <cell r="P38">
            <v>206.01208800180717</v>
          </cell>
        </row>
        <row r="39">
          <cell r="A39" t="str">
            <v>EOA</v>
          </cell>
          <cell r="C39">
            <v>921.15</v>
          </cell>
          <cell r="D39">
            <v>1086.75</v>
          </cell>
          <cell r="E39">
            <v>1574.35</v>
          </cell>
          <cell r="G39">
            <v>1394.375</v>
          </cell>
          <cell r="H39">
            <v>1322.5</v>
          </cell>
          <cell r="I39">
            <v>1322.5</v>
          </cell>
          <cell r="J39">
            <v>1293.75</v>
          </cell>
          <cell r="K39">
            <v>1293.75</v>
          </cell>
          <cell r="L39">
            <v>1265</v>
          </cell>
          <cell r="M39">
            <v>1265</v>
          </cell>
          <cell r="N39">
            <v>1265</v>
          </cell>
          <cell r="O39">
            <v>1265</v>
          </cell>
          <cell r="P39">
            <v>1265</v>
          </cell>
        </row>
        <row r="40">
          <cell r="A40" t="str">
            <v>POP</v>
          </cell>
          <cell r="C40">
            <v>688.86</v>
          </cell>
          <cell r="D40">
            <v>812.7</v>
          </cell>
          <cell r="E40">
            <v>1177.3399999999999</v>
          </cell>
          <cell r="G40">
            <v>1325.5296610169491</v>
          </cell>
          <cell r="H40">
            <v>1290</v>
          </cell>
          <cell r="I40">
            <v>1290</v>
          </cell>
          <cell r="J40">
            <v>1290</v>
          </cell>
          <cell r="K40">
            <v>1319.318181818182</v>
          </cell>
          <cell r="L40">
            <v>1290</v>
          </cell>
          <cell r="M40">
            <v>1290</v>
          </cell>
          <cell r="N40">
            <v>1290</v>
          </cell>
          <cell r="O40">
            <v>1290</v>
          </cell>
          <cell r="P40">
            <v>1290</v>
          </cell>
        </row>
        <row r="41">
          <cell r="A41" t="str">
            <v>Filter_Sale</v>
          </cell>
          <cell r="C41">
            <v>5126.3999999999996</v>
          </cell>
          <cell r="D41">
            <v>6048</v>
          </cell>
          <cell r="E41">
            <v>8761.6</v>
          </cell>
          <cell r="G41">
            <v>7760</v>
          </cell>
          <cell r="H41">
            <v>7360</v>
          </cell>
          <cell r="I41">
            <v>7360</v>
          </cell>
          <cell r="J41">
            <v>7200</v>
          </cell>
          <cell r="K41">
            <v>7200</v>
          </cell>
          <cell r="L41">
            <v>7040</v>
          </cell>
          <cell r="M41">
            <v>7040</v>
          </cell>
          <cell r="N41">
            <v>7040</v>
          </cell>
          <cell r="O41">
            <v>7040</v>
          </cell>
          <cell r="P41">
            <v>7040</v>
          </cell>
        </row>
        <row r="42">
          <cell r="A42" t="str">
            <v>Internal Transfer</v>
          </cell>
        </row>
        <row r="43">
          <cell r="A43" t="str">
            <v>EL</v>
          </cell>
          <cell r="C43">
            <v>202.28232291153998</v>
          </cell>
          <cell r="D43">
            <v>238.64768433383932</v>
          </cell>
          <cell r="E43">
            <v>345.72347074394287</v>
          </cell>
          <cell r="G43">
            <v>332.34943504173799</v>
          </cell>
          <cell r="H43">
            <v>365.09373876282683</v>
          </cell>
          <cell r="I43">
            <v>422.37798964587142</v>
          </cell>
          <cell r="J43">
            <v>475.25505445809881</v>
          </cell>
          <cell r="K43">
            <v>519.38387617548563</v>
          </cell>
          <cell r="L43">
            <v>473.17678976248027</v>
          </cell>
          <cell r="M43">
            <v>432.51048647938018</v>
          </cell>
          <cell r="N43">
            <v>379.0511356937202</v>
          </cell>
          <cell r="O43">
            <v>366.44999517757213</v>
          </cell>
          <cell r="P43">
            <v>366.44999517757213</v>
          </cell>
        </row>
        <row r="44">
          <cell r="A44" t="str">
            <v>PL</v>
          </cell>
          <cell r="C44">
            <v>202.28232291153998</v>
          </cell>
          <cell r="D44">
            <v>238.64768433383932</v>
          </cell>
          <cell r="E44">
            <v>345.72347074394287</v>
          </cell>
          <cell r="G44">
            <v>332.34943504173799</v>
          </cell>
          <cell r="H44">
            <v>365.09373876282683</v>
          </cell>
          <cell r="I44">
            <v>422.37798964587142</v>
          </cell>
          <cell r="J44">
            <v>475.25505445809881</v>
          </cell>
          <cell r="K44">
            <v>519.38387617548563</v>
          </cell>
          <cell r="L44">
            <v>473.17678976248027</v>
          </cell>
          <cell r="M44">
            <v>432.51048647938018</v>
          </cell>
          <cell r="N44">
            <v>379.0511356937202</v>
          </cell>
          <cell r="O44">
            <v>366.44999517757213</v>
          </cell>
          <cell r="P44">
            <v>366.44999517757213</v>
          </cell>
        </row>
        <row r="45">
          <cell r="A45" t="str">
            <v>MN</v>
          </cell>
          <cell r="C45">
            <v>201.36989812500002</v>
          </cell>
          <cell r="D45">
            <v>237.571228125</v>
          </cell>
          <cell r="E45">
            <v>344.164033125</v>
          </cell>
          <cell r="G45">
            <v>304.82022656250001</v>
          </cell>
          <cell r="H45">
            <v>289.10784374999997</v>
          </cell>
          <cell r="I45">
            <v>289.10784374999997</v>
          </cell>
          <cell r="J45">
            <v>282.82289062500001</v>
          </cell>
          <cell r="K45">
            <v>282.82289062500001</v>
          </cell>
          <cell r="L45">
            <v>276.5379375</v>
          </cell>
          <cell r="M45">
            <v>276.5379375</v>
          </cell>
          <cell r="N45">
            <v>276.5379375</v>
          </cell>
          <cell r="O45">
            <v>276.5379375</v>
          </cell>
          <cell r="P45">
            <v>276.5379375</v>
          </cell>
        </row>
        <row r="46">
          <cell r="A46" t="str">
            <v>HG</v>
          </cell>
          <cell r="C46">
            <v>32.04</v>
          </cell>
          <cell r="D46">
            <v>37.799999999999997</v>
          </cell>
          <cell r="E46">
            <v>54.76</v>
          </cell>
          <cell r="G46">
            <v>48.5</v>
          </cell>
          <cell r="H46">
            <v>46</v>
          </cell>
          <cell r="I46">
            <v>46</v>
          </cell>
          <cell r="J46">
            <v>45</v>
          </cell>
          <cell r="K46">
            <v>45</v>
          </cell>
          <cell r="L46">
            <v>44</v>
          </cell>
          <cell r="M46">
            <v>44</v>
          </cell>
          <cell r="N46">
            <v>44</v>
          </cell>
          <cell r="O46">
            <v>44</v>
          </cell>
          <cell r="P46">
            <v>44</v>
          </cell>
        </row>
        <row r="47">
          <cell r="A47" t="str">
            <v>HG(MT)</v>
          </cell>
          <cell r="C47">
            <v>383.30493300000001</v>
          </cell>
          <cell r="D47">
            <v>452.213685</v>
          </cell>
          <cell r="E47">
            <v>655.11167699999999</v>
          </cell>
          <cell r="G47">
            <v>580.22126250000008</v>
          </cell>
          <cell r="H47">
            <v>550.31295000000011</v>
          </cell>
          <cell r="I47">
            <v>550.31295000000011</v>
          </cell>
          <cell r="J47">
            <v>538.34962499999995</v>
          </cell>
          <cell r="K47">
            <v>538.34962499999995</v>
          </cell>
          <cell r="L47">
            <v>526.38630000000001</v>
          </cell>
          <cell r="M47">
            <v>526.38630000000001</v>
          </cell>
          <cell r="N47">
            <v>526.38630000000001</v>
          </cell>
          <cell r="O47">
            <v>526.38630000000001</v>
          </cell>
          <cell r="P47">
            <v>526.38630000000001</v>
          </cell>
        </row>
        <row r="48">
          <cell r="A48" t="str">
            <v>PG</v>
          </cell>
          <cell r="C48">
            <v>110.49619037284813</v>
          </cell>
          <cell r="D48">
            <v>130.36067403538263</v>
          </cell>
          <cell r="E48">
            <v>188.85054259728975</v>
          </cell>
          <cell r="G48">
            <v>183.43254986288744</v>
          </cell>
          <cell r="H48">
            <v>195.9105470834449</v>
          </cell>
          <cell r="I48">
            <v>212.26376668111874</v>
          </cell>
          <cell r="J48">
            <v>227.98573488188001</v>
          </cell>
          <cell r="K48">
            <v>221.90767224988963</v>
          </cell>
          <cell r="L48">
            <v>215.10814437713054</v>
          </cell>
          <cell r="M48">
            <v>205.88152814398634</v>
          </cell>
          <cell r="N48">
            <v>203.12177296003023</v>
          </cell>
          <cell r="O48">
            <v>200.38162406543503</v>
          </cell>
          <cell r="P48">
            <v>200.38162406543503</v>
          </cell>
        </row>
        <row r="49">
          <cell r="A49" t="str">
            <v>PFO</v>
          </cell>
          <cell r="C49">
            <v>149.78700000000001</v>
          </cell>
          <cell r="D49">
            <v>176.715</v>
          </cell>
          <cell r="E49">
            <v>256.00299999999999</v>
          </cell>
          <cell r="G49">
            <v>226.73750000000001</v>
          </cell>
          <cell r="H49">
            <v>215.05</v>
          </cell>
          <cell r="I49">
            <v>215.05</v>
          </cell>
          <cell r="J49">
            <v>210.375</v>
          </cell>
          <cell r="K49">
            <v>210.375</v>
          </cell>
          <cell r="L49">
            <v>205.7</v>
          </cell>
          <cell r="M49">
            <v>205.7</v>
          </cell>
          <cell r="N49">
            <v>205.7</v>
          </cell>
          <cell r="O49">
            <v>205.7</v>
          </cell>
          <cell r="P49">
            <v>205.7</v>
          </cell>
        </row>
        <row r="50">
          <cell r="A50" t="str">
            <v>C5</v>
          </cell>
          <cell r="C50">
            <v>121.95225000000001</v>
          </cell>
          <cell r="D50">
            <v>143.87625</v>
          </cell>
          <cell r="E50">
            <v>208.43025</v>
          </cell>
          <cell r="G50">
            <v>197.53794364463323</v>
          </cell>
          <cell r="H50">
            <v>198.60696608220067</v>
          </cell>
          <cell r="I50">
            <v>225.99570319631312</v>
          </cell>
          <cell r="J50">
            <v>230.31704343649267</v>
          </cell>
          <cell r="K50">
            <v>225.24923316680355</v>
          </cell>
          <cell r="L50">
            <v>220.07438345395022</v>
          </cell>
          <cell r="M50">
            <v>216.8816630960234</v>
          </cell>
          <cell r="N50">
            <v>213.34761813036238</v>
          </cell>
          <cell r="O50">
            <v>214.68476932183427</v>
          </cell>
          <cell r="P50">
            <v>214.68476932183427</v>
          </cell>
        </row>
        <row r="51">
          <cell r="A51" t="str">
            <v>Na Raff</v>
          </cell>
          <cell r="C51">
            <v>121.95225000000001</v>
          </cell>
          <cell r="D51">
            <v>143.87625</v>
          </cell>
          <cell r="E51">
            <v>208.43025</v>
          </cell>
          <cell r="G51">
            <v>197.53794364463323</v>
          </cell>
          <cell r="H51">
            <v>198.60696608220067</v>
          </cell>
          <cell r="I51">
            <v>225.99570319631312</v>
          </cell>
          <cell r="J51">
            <v>230.31704343649267</v>
          </cell>
          <cell r="K51">
            <v>225.24923316680355</v>
          </cell>
          <cell r="L51">
            <v>220.07438345395022</v>
          </cell>
          <cell r="M51">
            <v>216.8816630960234</v>
          </cell>
          <cell r="N51">
            <v>213.34761813036238</v>
          </cell>
          <cell r="O51">
            <v>214.68476932183427</v>
          </cell>
          <cell r="P51">
            <v>214.68476932183427</v>
          </cell>
        </row>
        <row r="52">
          <cell r="A52" t="str">
            <v>C9+</v>
          </cell>
          <cell r="C52">
            <v>172.11537764627971</v>
          </cell>
          <cell r="D52">
            <v>203.05746800965585</v>
          </cell>
          <cell r="E52">
            <v>294.16473407959671</v>
          </cell>
          <cell r="G52">
            <v>260.53669837217751</v>
          </cell>
          <cell r="H52">
            <v>247.10697165196217</v>
          </cell>
          <cell r="I52">
            <v>247.10697165196217</v>
          </cell>
          <cell r="J52">
            <v>241.73508096387604</v>
          </cell>
          <cell r="K52">
            <v>241.73508096387604</v>
          </cell>
          <cell r="L52">
            <v>236.36319027578992</v>
          </cell>
          <cell r="M52">
            <v>236.36319027578992</v>
          </cell>
          <cell r="N52">
            <v>236.36319027578992</v>
          </cell>
          <cell r="O52">
            <v>236.36319027578992</v>
          </cell>
          <cell r="P52">
            <v>236.36319027578992</v>
          </cell>
        </row>
        <row r="53">
          <cell r="A53" t="str">
            <v>off gas</v>
          </cell>
          <cell r="C53">
            <v>231.95429764609693</v>
          </cell>
          <cell r="D53">
            <v>273.65394666112559</v>
          </cell>
          <cell r="E53">
            <v>396.43624653870995</v>
          </cell>
          <cell r="G53">
            <v>375.71897998228968</v>
          </cell>
          <cell r="H53">
            <v>377.75227046011088</v>
          </cell>
          <cell r="I53">
            <v>429.84589957082869</v>
          </cell>
          <cell r="J53">
            <v>438.06512832881123</v>
          </cell>
          <cell r="K53">
            <v>428.42610673052644</v>
          </cell>
          <cell r="L53">
            <v>418.58349512992868</v>
          </cell>
          <cell r="M53">
            <v>412.51091173599121</v>
          </cell>
          <cell r="N53">
            <v>405.78912580863334</v>
          </cell>
          <cell r="O53">
            <v>408.33239963477843</v>
          </cell>
          <cell r="P53">
            <v>408.33239963477843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OR"/>
      <sheetName val="Mat"/>
      <sheetName val="MB"/>
      <sheetName val="Curr$"/>
      <sheetName val="Cons$"/>
      <sheetName val="Hist's OR"/>
      <sheetName val="PB"/>
      <sheetName val="Ut"/>
      <sheetName val="Others"/>
      <sheetName val="Price"/>
      <sheetName val="Hist_UT-PRICE"/>
      <sheetName val="Integ"/>
      <sheetName val="Fin Stmt"/>
      <sheetName val="DCF"/>
      <sheetName val="RC"/>
      <sheetName val="WACC"/>
      <sheetName val="Val"/>
      <sheetName val="NCC#1"/>
      <sheetName val="NCC#2"/>
      <sheetName val="BRU#1"/>
      <sheetName val="BRU#2"/>
      <sheetName val="LD#1"/>
      <sheetName val="LD#2"/>
      <sheetName val="LLD#1"/>
      <sheetName val="HD#1"/>
      <sheetName val="PE#2"/>
      <sheetName val="PP#1"/>
      <sheetName val="PP#2"/>
      <sheetName val="EG#1"/>
      <sheetName val="EG#2"/>
      <sheetName val="SM#1"/>
      <sheetName val="SM#2"/>
      <sheetName val="BD#1"/>
      <sheetName val="BD#2"/>
      <sheetName val="BR#1"/>
      <sheetName val="SBR#1"/>
      <sheetName val="NBR#1"/>
      <sheetName val="VP#1"/>
      <sheetName val="MTBE#1"/>
      <sheetName val="PEN#1"/>
      <sheetName val="C4HT#1"/>
      <sheetName val="LBO"/>
    </sheetNames>
    <sheetDataSet>
      <sheetData sheetId="0">
        <row r="13">
          <cell r="I1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내"/>
      <sheetName val="Raw"/>
      <sheetName val="&gt;"/>
      <sheetName val="Company"/>
      <sheetName val="CRP"/>
      <sheetName val="Bond"/>
      <sheetName val="&gt;&gt;"/>
      <sheetName val="WACC"/>
      <sheetName val="GPCM"/>
      <sheetName val="&gt;&gt;&gt;"/>
      <sheetName val="Beta"/>
      <sheetName val="2W Beta"/>
      <sheetName val="5W Beta"/>
      <sheetName val="5M Beta"/>
      <sheetName val="Mkt Cap"/>
      <sheetName val="Tax"/>
      <sheetName val="&gt;&gt;&gt;&gt;"/>
      <sheetName val="대상회사 FS(Dart)_2016"/>
      <sheetName val="2017년 가결산 (IS)"/>
      <sheetName val="2017년 가결산 (BS)"/>
      <sheetName val="&gt;&gt;&gt;&gt;&gt;"/>
      <sheetName val="유사업체 선정 기준"/>
      <sheetName val="유사기업_Dart (Raw)"/>
      <sheetName val="KIND"/>
      <sheetName val="&gt;&gt;&gt;&gt;&gt;&gt;"/>
      <sheetName val="Financials"/>
      <sheetName val="디와이파워"/>
      <sheetName val="동일금속"/>
      <sheetName val="애버다임"/>
      <sheetName val="광림"/>
      <sheetName val="수산중공업"/>
      <sheetName val="디와이"/>
      <sheetName val="혜인"/>
    </sheetNames>
    <sheetDataSet>
      <sheetData sheetId="0" refreshError="1"/>
      <sheetData sheetId="1">
        <row r="9">
          <cell r="AC9" t="str">
            <v>Hyundai Construction Equipment Co Ltd</v>
          </cell>
          <cell r="AD9" t="str">
            <v>KOSPI Index</v>
          </cell>
          <cell r="AF9" t="str">
            <v>SOUTH KOREA</v>
          </cell>
        </row>
        <row r="10">
          <cell r="AC10" t="str">
            <v>Doosan Bobcat Inc</v>
          </cell>
          <cell r="AD10" t="str">
            <v>KOSPI Index</v>
          </cell>
          <cell r="AF10" t="str">
            <v>SOUTH KOREA</v>
          </cell>
        </row>
        <row r="11">
          <cell r="AC11" t="str">
            <v>DY POWER Corp</v>
          </cell>
          <cell r="AD11" t="str">
            <v>KOSPI Index</v>
          </cell>
          <cell r="AF11" t="str">
            <v>SOUTH KOREA</v>
          </cell>
        </row>
        <row r="12">
          <cell r="AC12" t="str">
            <v>Dongil Metal Co Ltd</v>
          </cell>
          <cell r="AD12" t="str">
            <v>KOSPI Index</v>
          </cell>
          <cell r="AF12" t="str">
            <v>SOUTH KOREA</v>
          </cell>
        </row>
        <row r="13">
          <cell r="AC13" t="str">
            <v>HEUNGKUK METALTECH Co Ltd</v>
          </cell>
          <cell r="AD13" t="str">
            <v>KOSPI Index</v>
          </cell>
          <cell r="AF13" t="str">
            <v>SOUTH KOREA</v>
          </cell>
        </row>
        <row r="14">
          <cell r="AC14" t="str">
            <v>Woorim Machinery Co Ltd</v>
          </cell>
          <cell r="AD14" t="str">
            <v>KOSPI Index</v>
          </cell>
          <cell r="AF14" t="str">
            <v>SOUTH KOREA</v>
          </cell>
        </row>
        <row r="15">
          <cell r="AC15" t="str">
            <v>EVERDIGM Corp</v>
          </cell>
          <cell r="AD15" t="str">
            <v>KOSPI Index</v>
          </cell>
          <cell r="AF15" t="str">
            <v>SOUTH KOREA</v>
          </cell>
        </row>
        <row r="16">
          <cell r="AC16" t="str">
            <v>Doosan Infracore Co Ltd</v>
          </cell>
          <cell r="AD16" t="str">
            <v>KOSPI Index</v>
          </cell>
          <cell r="AF16" t="str">
            <v>SOUTH KOREA</v>
          </cell>
        </row>
        <row r="17">
          <cell r="AC17" t="str">
            <v>Jinsung T.E.C.</v>
          </cell>
          <cell r="AD17" t="str">
            <v>KOSPI Index</v>
          </cell>
          <cell r="AF17" t="str">
            <v>SOUTH KOREA</v>
          </cell>
        </row>
        <row r="18">
          <cell r="AC18" t="str">
            <v>Kanglim Co Ltd</v>
          </cell>
          <cell r="AD18" t="str">
            <v>KOSPI Index</v>
          </cell>
          <cell r="AF18" t="str">
            <v>SOUTH KOREA</v>
          </cell>
        </row>
        <row r="19">
          <cell r="AC19" t="str">
            <v>Soosan Heavy Industries Co Ltd</v>
          </cell>
          <cell r="AD19" t="str">
            <v>KOSPI Index</v>
          </cell>
          <cell r="AF19" t="str">
            <v>SOUTH KOREA</v>
          </cell>
        </row>
        <row r="20">
          <cell r="AC20" t="str">
            <v>Daechang Forging Co Ltd</v>
          </cell>
          <cell r="AD20" t="str">
            <v>KOSPI Index</v>
          </cell>
          <cell r="AF20" t="str">
            <v>SOUTH KOREA</v>
          </cell>
        </row>
        <row r="21">
          <cell r="AC21" t="str">
            <v>DY Corp</v>
          </cell>
          <cell r="AD21" t="str">
            <v>KOSPI Index</v>
          </cell>
          <cell r="AF21" t="str">
            <v>SOUTH KOREA</v>
          </cell>
        </row>
        <row r="22">
          <cell r="AC22" t="str">
            <v>Hae In Corp</v>
          </cell>
          <cell r="AD22" t="str">
            <v>KOSPI Index</v>
          </cell>
          <cell r="AF22" t="str">
            <v>SOUTH KOREA</v>
          </cell>
        </row>
        <row r="23">
          <cell r="AC23">
            <v>0</v>
          </cell>
          <cell r="AF23">
            <v>0</v>
          </cell>
        </row>
        <row r="24">
          <cell r="AC24">
            <v>0</v>
          </cell>
          <cell r="AF24">
            <v>0</v>
          </cell>
        </row>
        <row r="25">
          <cell r="AC25">
            <v>0</v>
          </cell>
          <cell r="AF25">
            <v>0</v>
          </cell>
        </row>
        <row r="26">
          <cell r="AC26">
            <v>0</v>
          </cell>
          <cell r="AF26">
            <v>0</v>
          </cell>
        </row>
        <row r="27">
          <cell r="AC27">
            <v>0</v>
          </cell>
          <cell r="AF27">
            <v>0</v>
          </cell>
        </row>
        <row r="28">
          <cell r="AC28">
            <v>0</v>
          </cell>
          <cell r="AF28">
            <v>0</v>
          </cell>
        </row>
        <row r="36">
          <cell r="AC36" t="str">
            <v>Hyundai Construction Equipment Co Ltd</v>
          </cell>
          <cell r="AE36">
            <v>1.281801</v>
          </cell>
          <cell r="AG36">
            <v>1.281801</v>
          </cell>
          <cell r="AI36">
            <v>4.5892039999999996</v>
          </cell>
        </row>
        <row r="37">
          <cell r="AC37" t="str">
            <v>Doosan Bobcat Inc</v>
          </cell>
          <cell r="AE37">
            <v>0.91188999999999998</v>
          </cell>
          <cell r="AG37">
            <v>0.91188999999999998</v>
          </cell>
          <cell r="AI37">
            <v>-0.48433470000000001</v>
          </cell>
        </row>
        <row r="38">
          <cell r="AC38" t="str">
            <v>DY POWER Corp</v>
          </cell>
          <cell r="AE38">
            <v>1.3447169999999999</v>
          </cell>
          <cell r="AG38">
            <v>1.2255819999999999</v>
          </cell>
          <cell r="AI38">
            <v>2.5354760000000001</v>
          </cell>
        </row>
        <row r="39">
          <cell r="AC39" t="str">
            <v>Dongil Metal Co Ltd</v>
          </cell>
          <cell r="AE39">
            <v>0.56281060000000005</v>
          </cell>
          <cell r="AG39">
            <v>0.70800260000000004</v>
          </cell>
          <cell r="AI39">
            <v>0.82802200000000004</v>
          </cell>
        </row>
        <row r="40">
          <cell r="AC40" t="str">
            <v>HEUNGKUK METALTECH Co Ltd</v>
          </cell>
          <cell r="AE40">
            <v>0.70366090000000003</v>
          </cell>
          <cell r="AG40">
            <v>0.78628410000000004</v>
          </cell>
          <cell r="AI40">
            <v>1.407036</v>
          </cell>
        </row>
        <row r="41">
          <cell r="AC41" t="str">
            <v>Woorim Machinery Co Ltd</v>
          </cell>
          <cell r="AE41">
            <v>0.64199030000000001</v>
          </cell>
          <cell r="AG41">
            <v>0.83321009999999995</v>
          </cell>
          <cell r="AI41">
            <v>1.0831919999999999</v>
          </cell>
        </row>
        <row r="42">
          <cell r="AC42" t="str">
            <v>EVERDIGM Corp</v>
          </cell>
          <cell r="AE42">
            <v>0.90157580000000004</v>
          </cell>
          <cell r="AG42">
            <v>0.85525359999999995</v>
          </cell>
          <cell r="AI42">
            <v>0.6295828</v>
          </cell>
        </row>
        <row r="43">
          <cell r="AC43" t="str">
            <v>Doosan Infracore Co Ltd</v>
          </cell>
          <cell r="AE43">
            <v>1.4579150000000001</v>
          </cell>
          <cell r="AG43">
            <v>1.561469</v>
          </cell>
          <cell r="AI43">
            <v>1.8506800000000001</v>
          </cell>
        </row>
        <row r="44">
          <cell r="AC44" t="str">
            <v>Jinsung T.E.C.</v>
          </cell>
          <cell r="AE44">
            <v>0.87301499999999999</v>
          </cell>
          <cell r="AG44">
            <v>1.013539</v>
          </cell>
          <cell r="AI44">
            <v>1.079415</v>
          </cell>
        </row>
        <row r="45">
          <cell r="AC45" t="str">
            <v>Kanglim Co Ltd</v>
          </cell>
          <cell r="AE45">
            <v>1.3077049999999999</v>
          </cell>
          <cell r="AG45">
            <v>1.1224149999999999</v>
          </cell>
          <cell r="AI45">
            <v>3.115253</v>
          </cell>
        </row>
        <row r="46">
          <cell r="AC46" t="str">
            <v>Soosan Heavy Industries Co Ltd</v>
          </cell>
          <cell r="AE46">
            <v>1.5602130000000001</v>
          </cell>
          <cell r="AG46">
            <v>0.94050829999999996</v>
          </cell>
          <cell r="AI46">
            <v>0.63475709999999996</v>
          </cell>
        </row>
        <row r="47">
          <cell r="AC47" t="str">
            <v>Daechang Forging Co Ltd</v>
          </cell>
          <cell r="AE47">
            <v>0.74410379999999998</v>
          </cell>
          <cell r="AG47">
            <v>0.71099179999999995</v>
          </cell>
          <cell r="AI47">
            <v>1.1321369999999999</v>
          </cell>
        </row>
        <row r="48">
          <cell r="AC48" t="str">
            <v>DY Corp</v>
          </cell>
          <cell r="AE48">
            <v>1.0895490000000001</v>
          </cell>
          <cell r="AG48">
            <v>1.1870890000000001</v>
          </cell>
          <cell r="AI48">
            <v>1.790081</v>
          </cell>
        </row>
        <row r="49">
          <cell r="AC49" t="str">
            <v>Hae In Corp</v>
          </cell>
          <cell r="AE49">
            <v>0.3309839</v>
          </cell>
          <cell r="AG49">
            <v>0.49250559999999999</v>
          </cell>
          <cell r="AI49">
            <v>0.85829420000000001</v>
          </cell>
        </row>
        <row r="61">
          <cell r="AC61" t="str">
            <v>Hyundai Construction Equipment Co Ltd</v>
          </cell>
          <cell r="AD61" t="e">
            <v>#DIV/0!</v>
          </cell>
          <cell r="AE61">
            <v>1268186.382</v>
          </cell>
          <cell r="AF61">
            <v>1316784.3713803277</v>
          </cell>
          <cell r="AG61">
            <v>1241778.5888354164</v>
          </cell>
          <cell r="AH61">
            <v>1241778.5888354164</v>
          </cell>
        </row>
        <row r="62">
          <cell r="AC62" t="str">
            <v>Doosan Bobcat Inc</v>
          </cell>
          <cell r="AD62">
            <v>3664107.0172999999</v>
          </cell>
          <cell r="AE62">
            <v>3691466.6855208329</v>
          </cell>
          <cell r="AF62">
            <v>3629475.4962575762</v>
          </cell>
          <cell r="AG62">
            <v>3668566.9684346439</v>
          </cell>
          <cell r="AH62">
            <v>3645960.1251824074</v>
          </cell>
        </row>
        <row r="63">
          <cell r="AC63" t="str">
            <v>DY POWER Corp</v>
          </cell>
          <cell r="AD63">
            <v>225802.92860000001</v>
          </cell>
          <cell r="AE63">
            <v>246046.05993333334</v>
          </cell>
          <cell r="AF63">
            <v>223050.86651969701</v>
          </cell>
          <cell r="AG63">
            <v>186135.37520000004</v>
          </cell>
          <cell r="AH63">
            <v>141053.84462639995</v>
          </cell>
        </row>
        <row r="64">
          <cell r="AC64" t="str">
            <v>Dongil Metal Co Ltd</v>
          </cell>
          <cell r="AD64">
            <v>52920</v>
          </cell>
          <cell r="AE64">
            <v>57067.5</v>
          </cell>
          <cell r="AF64">
            <v>59722.727272727272</v>
          </cell>
          <cell r="AG64">
            <v>62036.535433070865</v>
          </cell>
          <cell r="AH64">
            <v>64869.279999999999</v>
          </cell>
        </row>
        <row r="65">
          <cell r="AC65" t="str">
            <v>HEUNGKUK METALTECH Co Ltd</v>
          </cell>
          <cell r="AD65">
            <v>43006.209000000003</v>
          </cell>
          <cell r="AE65">
            <v>45968.790537500005</v>
          </cell>
          <cell r="AF65">
            <v>51377.240353030284</v>
          </cell>
          <cell r="AG65">
            <v>48985.626922834628</v>
          </cell>
          <cell r="AH65">
            <v>48904.096998799978</v>
          </cell>
        </row>
        <row r="66">
          <cell r="AC66" t="str">
            <v>Woorim Machinery Co Ltd</v>
          </cell>
          <cell r="AD66">
            <v>52717.5</v>
          </cell>
          <cell r="AE66">
            <v>57164.0625</v>
          </cell>
          <cell r="AF66">
            <v>65568.068181818177</v>
          </cell>
          <cell r="AG66">
            <v>69934.783464566935</v>
          </cell>
          <cell r="AH66">
            <v>86697.81</v>
          </cell>
        </row>
        <row r="67">
          <cell r="AC67" t="str">
            <v>EVERDIGM Corp</v>
          </cell>
          <cell r="AD67">
            <v>189909.00640000001</v>
          </cell>
          <cell r="AE67">
            <v>204988.25926666669</v>
          </cell>
          <cell r="AF67">
            <v>217393.69211818182</v>
          </cell>
          <cell r="AG67">
            <v>206127.86816771654</v>
          </cell>
          <cell r="AH67">
            <v>193910.70484799994</v>
          </cell>
        </row>
        <row r="68">
          <cell r="AC68" t="str">
            <v>Doosan Infracore Co Ltd</v>
          </cell>
          <cell r="AD68">
            <v>1703208.1279</v>
          </cell>
          <cell r="AE68">
            <v>1728275.645045833</v>
          </cell>
          <cell r="AF68">
            <v>1716849.8802878791</v>
          </cell>
          <cell r="AG68">
            <v>1791237.7548283469</v>
          </cell>
          <cell r="AH68">
            <v>1774680.5865424005</v>
          </cell>
        </row>
        <row r="69">
          <cell r="AC69" t="str">
            <v>Jinsung T.E.C.</v>
          </cell>
          <cell r="AD69">
            <v>230443.247</v>
          </cell>
          <cell r="AE69">
            <v>218209.14617083335</v>
          </cell>
          <cell r="AF69">
            <v>209878.78398939397</v>
          </cell>
          <cell r="AG69">
            <v>196286.12923858268</v>
          </cell>
          <cell r="AH69">
            <v>183331.74976920016</v>
          </cell>
        </row>
        <row r="70">
          <cell r="AC70" t="str">
            <v>Kanglim Co Ltd</v>
          </cell>
          <cell r="AD70">
            <v>193508.95910000001</v>
          </cell>
          <cell r="AE70">
            <v>205724.51529166661</v>
          </cell>
          <cell r="AF70">
            <v>249491.64300606062</v>
          </cell>
          <cell r="AG70">
            <v>265615.13198267721</v>
          </cell>
          <cell r="AH70">
            <v>280760.64335399977</v>
          </cell>
        </row>
        <row r="71">
          <cell r="AC71" t="str">
            <v>Soosan Heavy Industries Co Ltd</v>
          </cell>
          <cell r="AD71">
            <v>80977.744500000001</v>
          </cell>
          <cell r="AE71">
            <v>82428.595750000022</v>
          </cell>
          <cell r="AF71">
            <v>82904.033551515196</v>
          </cell>
          <cell r="AG71">
            <v>88809.845471653622</v>
          </cell>
          <cell r="AH71">
            <v>97767.132572800037</v>
          </cell>
        </row>
        <row r="72">
          <cell r="AC72" t="str">
            <v>Daechang Forging Co Ltd</v>
          </cell>
          <cell r="AD72">
            <v>116000</v>
          </cell>
          <cell r="AE72">
            <v>116741.66666666667</v>
          </cell>
          <cell r="AF72">
            <v>119921.21212121213</v>
          </cell>
          <cell r="AG72">
            <v>114894.48818897638</v>
          </cell>
          <cell r="AH72">
            <v>105316.8</v>
          </cell>
        </row>
        <row r="73">
          <cell r="AC73" t="str">
            <v>DY Corp</v>
          </cell>
          <cell r="AD73">
            <v>190817.33919999999</v>
          </cell>
          <cell r="AE73">
            <v>199272.52134583335</v>
          </cell>
          <cell r="AF73">
            <v>194709.45506060598</v>
          </cell>
          <cell r="AG73">
            <v>192408.95358267718</v>
          </cell>
          <cell r="AH73">
            <v>189427.66526880005</v>
          </cell>
        </row>
        <row r="74">
          <cell r="AC74" t="str">
            <v>Hae In Corp</v>
          </cell>
          <cell r="AD74">
            <v>47100.727599999998</v>
          </cell>
          <cell r="AE74">
            <v>49598.252725000006</v>
          </cell>
          <cell r="AF74">
            <v>53609.268674242412</v>
          </cell>
          <cell r="AG74">
            <v>56243.393991338562</v>
          </cell>
          <cell r="AH74">
            <v>53693.811254800006</v>
          </cell>
        </row>
        <row r="87">
          <cell r="AB87" t="str">
            <v>HYUNDAI CONSTRUCTION EQUIPME</v>
          </cell>
          <cell r="AE87" t="str">
            <v>FQ2 2017</v>
          </cell>
          <cell r="AG87">
            <v>615793</v>
          </cell>
        </row>
        <row r="88">
          <cell r="AB88" t="str">
            <v>DOOSAN BOBCAT INC</v>
          </cell>
          <cell r="AE88" t="str">
            <v>FQ2 2017</v>
          </cell>
          <cell r="AG88">
            <v>103202.17600000001</v>
          </cell>
        </row>
        <row r="89">
          <cell r="AB89" t="str">
            <v>DY POWER CORP</v>
          </cell>
          <cell r="AE89" t="str">
            <v>FQ2 2017</v>
          </cell>
          <cell r="AG89">
            <v>21349</v>
          </cell>
        </row>
        <row r="90">
          <cell r="AB90" t="str">
            <v>DONGIL METAL CO LTD</v>
          </cell>
          <cell r="AE90" t="str">
            <v>FQ2 2017</v>
          </cell>
          <cell r="AG90">
            <v>1692.306</v>
          </cell>
        </row>
        <row r="91">
          <cell r="AB91" t="str">
            <v>HEUNGKUK METALTECH CO LTD</v>
          </cell>
          <cell r="AE91" t="str">
            <v>FQ2 2017</v>
          </cell>
          <cell r="AG91">
            <v>8000</v>
          </cell>
        </row>
        <row r="92">
          <cell r="AB92" t="str">
            <v>WOORIM MACHINERY CO LTD</v>
          </cell>
          <cell r="AE92" t="str">
            <v>FQ2 2017</v>
          </cell>
          <cell r="AG92">
            <v>3800</v>
          </cell>
        </row>
        <row r="93">
          <cell r="AB93" t="str">
            <v>EVERDIGM CORP</v>
          </cell>
          <cell r="AE93" t="str">
            <v>FQ2 2017</v>
          </cell>
          <cell r="AG93">
            <v>13342.9764</v>
          </cell>
        </row>
        <row r="94">
          <cell r="AB94" t="str">
            <v>DOOSAN INFRACORE CO LTD</v>
          </cell>
          <cell r="AE94" t="str">
            <v>FQ2 2017</v>
          </cell>
          <cell r="AG94">
            <v>2564617.023</v>
          </cell>
        </row>
        <row r="95">
          <cell r="AB95" t="str">
            <v>JINSUNG T.E.C.</v>
          </cell>
          <cell r="AE95" t="str">
            <v>FQ2 2017</v>
          </cell>
          <cell r="AG95">
            <v>19702.5</v>
          </cell>
        </row>
        <row r="96">
          <cell r="AB96" t="str">
            <v>KANGLIM CO LTD</v>
          </cell>
          <cell r="AE96" t="str">
            <v>FQ2 2017</v>
          </cell>
          <cell r="AG96">
            <v>35222.923299999995</v>
          </cell>
        </row>
        <row r="97">
          <cell r="AB97" t="str">
            <v>SOOSAN HEAVY INDUSTRIES CO</v>
          </cell>
          <cell r="AE97" t="str">
            <v>FQ2 2017</v>
          </cell>
          <cell r="AG97">
            <v>1490.9659999999999</v>
          </cell>
        </row>
        <row r="98">
          <cell r="AB98" t="str">
            <v>DAECHANG FORGING CO LTD</v>
          </cell>
          <cell r="AE98" t="str">
            <v>FQ2 2017</v>
          </cell>
          <cell r="AG98">
            <v>2214.5931999999998</v>
          </cell>
        </row>
        <row r="99">
          <cell r="AB99" t="str">
            <v>DY CORP</v>
          </cell>
          <cell r="AE99" t="str">
            <v>FQ2 2017</v>
          </cell>
          <cell r="AG99">
            <v>2325</v>
          </cell>
        </row>
        <row r="100">
          <cell r="AB100" t="str">
            <v>HAE IN CORPORATION</v>
          </cell>
          <cell r="AE100" t="str">
            <v>FQ2 2017</v>
          </cell>
          <cell r="AG100">
            <v>102869.9267</v>
          </cell>
        </row>
        <row r="101">
          <cell r="AB101" t="str">
            <v>#N/A Invalid Security</v>
          </cell>
          <cell r="AE101" t="str">
            <v>#N/A Invalid Security</v>
          </cell>
          <cell r="AG101">
            <v>0</v>
          </cell>
        </row>
        <row r="102">
          <cell r="AB102" t="str">
            <v>#N/A Invalid Security</v>
          </cell>
          <cell r="AE102" t="str">
            <v>#N/A Invalid Security</v>
          </cell>
          <cell r="AG102">
            <v>0</v>
          </cell>
        </row>
        <row r="103">
          <cell r="AB103" t="str">
            <v>#N/A Invalid Security</v>
          </cell>
          <cell r="AE103" t="str">
            <v>#N/A Invalid Security</v>
          </cell>
          <cell r="AG103">
            <v>0</v>
          </cell>
        </row>
        <row r="104">
          <cell r="AB104" t="str">
            <v>#N/A Invalid Security</v>
          </cell>
          <cell r="AE104" t="str">
            <v>#N/A Invalid Security</v>
          </cell>
          <cell r="AG104">
            <v>0</v>
          </cell>
        </row>
        <row r="105">
          <cell r="AB105" t="str">
            <v>#N/A Invalid Security</v>
          </cell>
          <cell r="AE105" t="str">
            <v>#N/A Invalid Security</v>
          </cell>
          <cell r="AG105">
            <v>0</v>
          </cell>
        </row>
        <row r="106">
          <cell r="AB106" t="str">
            <v>#N/A Invalid Security</v>
          </cell>
          <cell r="AE106" t="str">
            <v>#N/A Invalid Security</v>
          </cell>
          <cell r="AG106">
            <v>0</v>
          </cell>
        </row>
      </sheetData>
      <sheetData sheetId="2" refreshError="1"/>
      <sheetData sheetId="3">
        <row r="5">
          <cell r="B5" t="str">
            <v>회계 데이터 기준일</v>
          </cell>
          <cell r="D5">
            <v>43007</v>
          </cell>
        </row>
        <row r="6">
          <cell r="B6" t="str">
            <v>Market Data 기준일</v>
          </cell>
          <cell r="D6">
            <v>43007</v>
          </cell>
        </row>
      </sheetData>
      <sheetData sheetId="4">
        <row r="8">
          <cell r="K8">
            <v>43007</v>
          </cell>
          <cell r="V8">
            <v>2.3699999999999999E-2</v>
          </cell>
        </row>
        <row r="9">
          <cell r="V9">
            <v>2.2839999999999996E-2</v>
          </cell>
        </row>
        <row r="10">
          <cell r="V10">
            <v>2.2739692307692308E-2</v>
          </cell>
        </row>
        <row r="11">
          <cell r="V11">
            <v>2.2371984126984129E-2</v>
          </cell>
        </row>
        <row r="12">
          <cell r="V12">
            <v>2.1387911646586353E-2</v>
          </cell>
        </row>
        <row r="13">
          <cell r="V13">
            <v>1.9786505050505051E-2</v>
          </cell>
        </row>
        <row r="18">
          <cell r="V18">
            <v>0.10614</v>
          </cell>
        </row>
        <row r="19">
          <cell r="V19">
            <v>0.10084565217391306</v>
          </cell>
        </row>
        <row r="20">
          <cell r="V20">
            <v>9.3291076923076949E-2</v>
          </cell>
        </row>
        <row r="21">
          <cell r="V21">
            <v>9.056555555555558E-2</v>
          </cell>
        </row>
        <row r="22">
          <cell r="V22">
            <v>9.299791164658637E-2</v>
          </cell>
        </row>
        <row r="23">
          <cell r="V23">
            <v>9.4799515151515218E-2</v>
          </cell>
        </row>
      </sheetData>
      <sheetData sheetId="5">
        <row r="16">
          <cell r="M16">
            <v>4.33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C4" t="str">
            <v>Ticker</v>
          </cell>
          <cell r="D4" t="str">
            <v>2012년 Tax Rate</v>
          </cell>
        </row>
        <row r="5">
          <cell r="C5" t="str">
            <v>US</v>
          </cell>
          <cell r="D5">
            <v>0.4</v>
          </cell>
        </row>
        <row r="6">
          <cell r="C6" t="str">
            <v>CN</v>
          </cell>
          <cell r="D6">
            <v>0.25</v>
          </cell>
        </row>
        <row r="7">
          <cell r="C7" t="str">
            <v>JP</v>
          </cell>
          <cell r="D7">
            <v>0.38009999999999999</v>
          </cell>
        </row>
        <row r="8">
          <cell r="C8" t="str">
            <v>DE</v>
          </cell>
          <cell r="D8">
            <v>0.29480000000000001</v>
          </cell>
        </row>
        <row r="9">
          <cell r="C9" t="str">
            <v>FR</v>
          </cell>
          <cell r="D9">
            <v>0.33329999999999999</v>
          </cell>
        </row>
        <row r="10">
          <cell r="C10" t="str">
            <v>GB</v>
          </cell>
          <cell r="D10">
            <v>0.26</v>
          </cell>
        </row>
        <row r="11">
          <cell r="C11" t="str">
            <v>BR</v>
          </cell>
          <cell r="D11">
            <v>0.34</v>
          </cell>
        </row>
        <row r="12">
          <cell r="C12" t="str">
            <v>IT</v>
          </cell>
          <cell r="D12">
            <v>0.314</v>
          </cell>
        </row>
        <row r="13">
          <cell r="C13" t="str">
            <v>RU</v>
          </cell>
          <cell r="D13">
            <v>0.2</v>
          </cell>
        </row>
        <row r="14">
          <cell r="C14" t="str">
            <v>CA</v>
          </cell>
          <cell r="D14">
            <v>0.26</v>
          </cell>
        </row>
        <row r="15">
          <cell r="C15" t="str">
            <v>IN</v>
          </cell>
          <cell r="D15">
            <v>0.32439999999999997</v>
          </cell>
        </row>
        <row r="16">
          <cell r="C16" t="str">
            <v>AU</v>
          </cell>
          <cell r="D16">
            <v>0.3</v>
          </cell>
        </row>
        <row r="17">
          <cell r="C17" t="str">
            <v>ES</v>
          </cell>
          <cell r="D17">
            <v>0.3</v>
          </cell>
        </row>
        <row r="18">
          <cell r="C18" t="str">
            <v>MX</v>
          </cell>
          <cell r="D18">
            <v>0.3</v>
          </cell>
        </row>
        <row r="19">
          <cell r="C19" t="str">
            <v>KR</v>
          </cell>
          <cell r="D19">
            <v>0.24199999999999999</v>
          </cell>
        </row>
        <row r="20">
          <cell r="C20" t="str">
            <v>ID</v>
          </cell>
          <cell r="D20">
            <v>0.25</v>
          </cell>
        </row>
        <row r="21">
          <cell r="C21" t="str">
            <v>TR</v>
          </cell>
          <cell r="D21">
            <v>0.2</v>
          </cell>
        </row>
        <row r="22">
          <cell r="C22" t="str">
            <v>NL</v>
          </cell>
          <cell r="D22">
            <v>0.25</v>
          </cell>
        </row>
        <row r="23">
          <cell r="C23" t="str">
            <v>SA</v>
          </cell>
          <cell r="D23">
            <v>0.2</v>
          </cell>
        </row>
        <row r="24">
          <cell r="C24" t="str">
            <v>CH</v>
          </cell>
          <cell r="D24">
            <v>0.21170000000000003</v>
          </cell>
        </row>
        <row r="25">
          <cell r="C25" t="str">
            <v>SE</v>
          </cell>
          <cell r="D25">
            <v>0.26300000000000001</v>
          </cell>
        </row>
        <row r="26">
          <cell r="C26" t="str">
            <v>PL</v>
          </cell>
          <cell r="D26">
            <v>0.19</v>
          </cell>
        </row>
        <row r="27">
          <cell r="C27" t="str">
            <v>NO</v>
          </cell>
          <cell r="D27">
            <v>0.28000000000000003</v>
          </cell>
        </row>
        <row r="28">
          <cell r="C28" t="str">
            <v>BE</v>
          </cell>
          <cell r="D28">
            <v>0.33990000000000004</v>
          </cell>
        </row>
        <row r="29">
          <cell r="C29" t="str">
            <v>TW</v>
          </cell>
          <cell r="D29">
            <v>0.17</v>
          </cell>
        </row>
        <row r="30">
          <cell r="C30" t="str">
            <v>AR</v>
          </cell>
          <cell r="D30">
            <v>0.35</v>
          </cell>
        </row>
        <row r="31">
          <cell r="C31" t="str">
            <v>ZA</v>
          </cell>
          <cell r="D31">
            <v>0.34549999999999997</v>
          </cell>
        </row>
        <row r="32">
          <cell r="C32" t="str">
            <v>AT</v>
          </cell>
          <cell r="D32">
            <v>0.25</v>
          </cell>
        </row>
        <row r="33">
          <cell r="C33" t="str">
            <v>AE</v>
          </cell>
          <cell r="D33">
            <v>0.55000000000000004</v>
          </cell>
        </row>
        <row r="34">
          <cell r="C34" t="str">
            <v>CO</v>
          </cell>
          <cell r="D34">
            <v>0.33</v>
          </cell>
        </row>
        <row r="35">
          <cell r="C35" t="str">
            <v>TH</v>
          </cell>
          <cell r="D35">
            <v>0.3</v>
          </cell>
        </row>
        <row r="36">
          <cell r="C36" t="str">
            <v>VE</v>
          </cell>
          <cell r="D36">
            <v>0.34</v>
          </cell>
        </row>
        <row r="37">
          <cell r="C37" t="str">
            <v>DK</v>
          </cell>
          <cell r="D37">
            <v>0.25</v>
          </cell>
        </row>
        <row r="38">
          <cell r="C38" t="str">
            <v>MY</v>
          </cell>
          <cell r="D38">
            <v>0.25</v>
          </cell>
        </row>
        <row r="39">
          <cell r="C39" t="str">
            <v>NG</v>
          </cell>
          <cell r="D39">
            <v>0.3</v>
          </cell>
        </row>
        <row r="40">
          <cell r="C40" t="str">
            <v>CL</v>
          </cell>
          <cell r="D40">
            <v>0.185</v>
          </cell>
        </row>
        <row r="41">
          <cell r="C41" t="str">
            <v>GR</v>
          </cell>
          <cell r="D41">
            <v>0.2</v>
          </cell>
        </row>
        <row r="42">
          <cell r="C42" t="str">
            <v>SG</v>
          </cell>
          <cell r="D42">
            <v>0.17</v>
          </cell>
        </row>
        <row r="43">
          <cell r="C43" t="str">
            <v>HK</v>
          </cell>
          <cell r="D43">
            <v>0.16500000000000001</v>
          </cell>
        </row>
        <row r="44">
          <cell r="C44" t="str">
            <v>FI</v>
          </cell>
          <cell r="D44">
            <v>0.245</v>
          </cell>
        </row>
        <row r="45">
          <cell r="C45" t="str">
            <v>EG</v>
          </cell>
          <cell r="D45">
            <v>0.25</v>
          </cell>
        </row>
        <row r="46">
          <cell r="C46" t="str">
            <v>IL</v>
          </cell>
          <cell r="D46">
            <v>0.25</v>
          </cell>
        </row>
        <row r="47">
          <cell r="C47" t="str">
            <v>PK</v>
          </cell>
          <cell r="D47">
            <v>0.35</v>
          </cell>
        </row>
        <row r="48">
          <cell r="C48" t="str">
            <v>PH</v>
          </cell>
          <cell r="D48">
            <v>0.3</v>
          </cell>
        </row>
        <row r="49">
          <cell r="C49" t="str">
            <v>PT</v>
          </cell>
          <cell r="D49">
            <v>0.25</v>
          </cell>
        </row>
        <row r="50">
          <cell r="C50" t="str">
            <v>IE</v>
          </cell>
          <cell r="D50">
            <v>0.125</v>
          </cell>
        </row>
        <row r="51">
          <cell r="C51" t="str">
            <v>CZ</v>
          </cell>
          <cell r="D51">
            <v>0.19</v>
          </cell>
        </row>
        <row r="52">
          <cell r="C52" t="str">
            <v>KW</v>
          </cell>
          <cell r="D52">
            <v>0.15</v>
          </cell>
        </row>
        <row r="53">
          <cell r="C53" t="str">
            <v>KZ</v>
          </cell>
          <cell r="D53">
            <v>0.2</v>
          </cell>
        </row>
        <row r="54">
          <cell r="C54" t="str">
            <v>QA</v>
          </cell>
          <cell r="D54">
            <v>0.1</v>
          </cell>
        </row>
        <row r="55">
          <cell r="C55" t="str">
            <v>RO</v>
          </cell>
          <cell r="D55">
            <v>0.16</v>
          </cell>
        </row>
        <row r="56">
          <cell r="C56" t="str">
            <v>PE</v>
          </cell>
          <cell r="D56">
            <v>0.3</v>
          </cell>
        </row>
        <row r="57">
          <cell r="C57" t="str">
            <v>UA</v>
          </cell>
          <cell r="D57">
            <v>0.21</v>
          </cell>
        </row>
        <row r="58">
          <cell r="C58" t="str">
            <v>NZ</v>
          </cell>
          <cell r="D58">
            <v>0.28000000000000003</v>
          </cell>
        </row>
        <row r="59">
          <cell r="C59" t="str">
            <v>VN</v>
          </cell>
          <cell r="D59">
            <v>0.25</v>
          </cell>
        </row>
        <row r="60">
          <cell r="C60" t="str">
            <v>HU</v>
          </cell>
          <cell r="D60">
            <v>0.19</v>
          </cell>
        </row>
        <row r="61">
          <cell r="C61" t="str">
            <v>AO</v>
          </cell>
          <cell r="D61">
            <v>0.35</v>
          </cell>
        </row>
        <row r="62">
          <cell r="C62" t="str">
            <v>BD</v>
          </cell>
          <cell r="D62">
            <v>0.27500000000000002</v>
          </cell>
        </row>
        <row r="63">
          <cell r="C63" t="str">
            <v>SK</v>
          </cell>
          <cell r="D63">
            <v>0.19</v>
          </cell>
        </row>
        <row r="64">
          <cell r="C64" t="str">
            <v>LY</v>
          </cell>
          <cell r="D64">
            <v>0.2</v>
          </cell>
        </row>
        <row r="65">
          <cell r="C65" t="str">
            <v>OM</v>
          </cell>
          <cell r="D65">
            <v>0.12</v>
          </cell>
        </row>
        <row r="66">
          <cell r="C66" t="str">
            <v>EC</v>
          </cell>
          <cell r="D66">
            <v>0.23</v>
          </cell>
        </row>
        <row r="67">
          <cell r="C67" t="str">
            <v>LK</v>
          </cell>
          <cell r="D67">
            <v>0.28000000000000003</v>
          </cell>
        </row>
        <row r="68">
          <cell r="C68" t="str">
            <v>HR</v>
          </cell>
          <cell r="D68">
            <v>0.2</v>
          </cell>
        </row>
        <row r="69">
          <cell r="C69" t="str">
            <v>DO</v>
          </cell>
          <cell r="D69">
            <v>0.28999999999999998</v>
          </cell>
        </row>
        <row r="70">
          <cell r="C70" t="str">
            <v>BY</v>
          </cell>
          <cell r="D70">
            <v>0.18</v>
          </cell>
        </row>
        <row r="71">
          <cell r="C71" t="str">
            <v>LU</v>
          </cell>
          <cell r="D71">
            <v>0.28800000000000003</v>
          </cell>
        </row>
        <row r="72">
          <cell r="C72" t="str">
            <v>SD</v>
          </cell>
          <cell r="D72">
            <v>0.35</v>
          </cell>
        </row>
        <row r="73">
          <cell r="C73" t="str">
            <v>UY</v>
          </cell>
          <cell r="D73">
            <v>0.25</v>
          </cell>
        </row>
        <row r="74">
          <cell r="C74" t="str">
            <v>BG</v>
          </cell>
          <cell r="D74">
            <v>0.1</v>
          </cell>
        </row>
        <row r="75">
          <cell r="C75" t="str">
            <v>GT</v>
          </cell>
          <cell r="D75">
            <v>0.31</v>
          </cell>
        </row>
        <row r="76">
          <cell r="C76" t="str">
            <v>SI</v>
          </cell>
          <cell r="D76">
            <v>0.2</v>
          </cell>
        </row>
        <row r="77">
          <cell r="C77" t="str">
            <v>TN</v>
          </cell>
          <cell r="D77">
            <v>0.3</v>
          </cell>
        </row>
        <row r="78">
          <cell r="C78" t="str">
            <v>CR</v>
          </cell>
          <cell r="D78">
            <v>0.3</v>
          </cell>
        </row>
        <row r="79">
          <cell r="C79" t="str">
            <v>RS</v>
          </cell>
          <cell r="D79">
            <v>0.1</v>
          </cell>
        </row>
        <row r="80">
          <cell r="C80" t="str">
            <v>LT</v>
          </cell>
          <cell r="D80">
            <v>0.15</v>
          </cell>
        </row>
        <row r="81">
          <cell r="C81" t="str">
            <v>PA</v>
          </cell>
          <cell r="D81">
            <v>0.25</v>
          </cell>
        </row>
        <row r="82">
          <cell r="C82" t="str">
            <v>JO</v>
          </cell>
          <cell r="D82">
            <v>0.14000000000000001</v>
          </cell>
        </row>
        <row r="83">
          <cell r="C83" t="str">
            <v>BH</v>
          </cell>
          <cell r="D83">
            <v>0</v>
          </cell>
        </row>
        <row r="84">
          <cell r="C84" t="str">
            <v>LV</v>
          </cell>
          <cell r="D84">
            <v>0.15</v>
          </cell>
        </row>
        <row r="85">
          <cell r="C85" t="str">
            <v>BO</v>
          </cell>
          <cell r="D85">
            <v>0.25</v>
          </cell>
        </row>
        <row r="86">
          <cell r="C86" t="str">
            <v>TZ</v>
          </cell>
          <cell r="D86">
            <v>0.3</v>
          </cell>
        </row>
        <row r="87">
          <cell r="C87" t="str">
            <v>TT</v>
          </cell>
          <cell r="D87">
            <v>0.25</v>
          </cell>
        </row>
        <row r="88">
          <cell r="C88" t="str">
            <v>SV</v>
          </cell>
          <cell r="D88">
            <v>0.3</v>
          </cell>
        </row>
        <row r="89">
          <cell r="C89" t="str">
            <v>CY</v>
          </cell>
          <cell r="D89">
            <v>0.1</v>
          </cell>
        </row>
        <row r="90">
          <cell r="C90" t="str">
            <v>PY</v>
          </cell>
          <cell r="D90">
            <v>0.1</v>
          </cell>
        </row>
        <row r="91">
          <cell r="C91" t="str">
            <v>EE</v>
          </cell>
          <cell r="D91">
            <v>0.21</v>
          </cell>
        </row>
        <row r="92">
          <cell r="C92" t="str">
            <v>ZM</v>
          </cell>
          <cell r="D92">
            <v>0.35</v>
          </cell>
        </row>
        <row r="93">
          <cell r="C93" t="str">
            <v>HN</v>
          </cell>
          <cell r="D93">
            <v>0.35</v>
          </cell>
        </row>
        <row r="94">
          <cell r="C94" t="str">
            <v>BA</v>
          </cell>
          <cell r="D94">
            <v>0.1</v>
          </cell>
        </row>
        <row r="95">
          <cell r="C95" t="str">
            <v>BW</v>
          </cell>
          <cell r="D95">
            <v>0.22</v>
          </cell>
        </row>
        <row r="96">
          <cell r="C96" t="str">
            <v>GE</v>
          </cell>
          <cell r="D96">
            <v>0</v>
          </cell>
        </row>
        <row r="97">
          <cell r="C97" t="str">
            <v>JM</v>
          </cell>
          <cell r="D97">
            <v>0.33329999999999999</v>
          </cell>
        </row>
        <row r="98">
          <cell r="C98" t="str">
            <v>PG</v>
          </cell>
          <cell r="D98">
            <v>0.3</v>
          </cell>
        </row>
        <row r="99">
          <cell r="C99" t="str">
            <v>MZ</v>
          </cell>
          <cell r="D99">
            <v>0.32</v>
          </cell>
        </row>
        <row r="100">
          <cell r="C100" t="str">
            <v>KH</v>
          </cell>
          <cell r="D100">
            <v>0.2</v>
          </cell>
        </row>
        <row r="101">
          <cell r="C101" t="str">
            <v>IS</v>
          </cell>
          <cell r="D101">
            <v>0.2</v>
          </cell>
        </row>
        <row r="102">
          <cell r="C102" t="str">
            <v>NA</v>
          </cell>
          <cell r="D102">
            <v>0.34</v>
          </cell>
        </row>
        <row r="103">
          <cell r="C103" t="str">
            <v>AL</v>
          </cell>
          <cell r="D103">
            <v>0.1</v>
          </cell>
        </row>
        <row r="104">
          <cell r="C104" t="str">
            <v>MU</v>
          </cell>
          <cell r="D104">
            <v>0.15</v>
          </cell>
        </row>
        <row r="105">
          <cell r="C105" t="str">
            <v>AM</v>
          </cell>
          <cell r="D105">
            <v>0.2</v>
          </cell>
        </row>
        <row r="106">
          <cell r="C106" t="str">
            <v>ZW</v>
          </cell>
          <cell r="D106">
            <v>0.25750000000000001</v>
          </cell>
        </row>
        <row r="107">
          <cell r="C107" t="str">
            <v>MT</v>
          </cell>
          <cell r="D107">
            <v>0.35</v>
          </cell>
        </row>
        <row r="108">
          <cell r="C108" t="str">
            <v>MW</v>
          </cell>
          <cell r="D108">
            <v>0.35</v>
          </cell>
        </row>
        <row r="109">
          <cell r="C109" t="str">
            <v>BB</v>
          </cell>
          <cell r="D109">
            <v>0.25</v>
          </cell>
        </row>
        <row r="110">
          <cell r="C110" t="str">
            <v>ME</v>
          </cell>
          <cell r="D110">
            <v>0.09</v>
          </cell>
        </row>
        <row r="111">
          <cell r="C111" t="str">
            <v>FJ</v>
          </cell>
          <cell r="D111">
            <v>0.28000000000000003</v>
          </cell>
        </row>
        <row r="112">
          <cell r="C112" t="str">
            <v>VU</v>
          </cell>
          <cell r="D112">
            <v>0</v>
          </cell>
        </row>
        <row r="113">
          <cell r="C113" t="str">
            <v>WS</v>
          </cell>
          <cell r="D113">
            <v>0.27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1">
          <cell r="D41">
            <v>26557771220</v>
          </cell>
        </row>
      </sheetData>
      <sheetData sheetId="27">
        <row r="34">
          <cell r="D34">
            <v>2156849500</v>
          </cell>
        </row>
        <row r="39">
          <cell r="D39">
            <v>6077228348</v>
          </cell>
        </row>
      </sheetData>
      <sheetData sheetId="28">
        <row r="38">
          <cell r="C38">
            <v>31338904156</v>
          </cell>
        </row>
        <row r="39">
          <cell r="C39">
            <v>2289399992</v>
          </cell>
        </row>
        <row r="45">
          <cell r="C45">
            <v>2493033350</v>
          </cell>
        </row>
      </sheetData>
      <sheetData sheetId="29" refreshError="1"/>
      <sheetData sheetId="30">
        <row r="38">
          <cell r="C38">
            <v>2359980706</v>
          </cell>
        </row>
        <row r="44">
          <cell r="C44">
            <v>214053530</v>
          </cell>
        </row>
      </sheetData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환율"/>
      <sheetName val="01,02,03"/>
      <sheetName val="단가비교"/>
      <sheetName val="Sheet14"/>
      <sheetName val="Sheet15"/>
      <sheetName val="Sheet16"/>
    </sheetNames>
    <sheetDataSet>
      <sheetData sheetId="0" refreshError="1"/>
      <sheetData sheetId="1" refreshError="1">
        <row r="1">
          <cell r="A1">
            <v>1.1299999999999999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환율"/>
      <sheetName val="04,05,06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>
        <row r="2">
          <cell r="A2">
            <v>1.1100000000000001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도별매출현황"/>
      <sheetName val="#1"/>
      <sheetName val="#2"/>
      <sheetName val="합성고무"/>
      <sheetName val="2000계"/>
      <sheetName val="2002계"/>
      <sheetName val="2000내수"/>
      <sheetName val="2000수출"/>
      <sheetName val="2000계별첨"/>
      <sheetName val="2002내수"/>
      <sheetName val="2002수출"/>
      <sheetName val="2002계별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07">
          <cell r="G207">
            <v>24.900000000000091</v>
          </cell>
        </row>
      </sheetData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율"/>
      <sheetName val="xxxxxx"/>
    </sheetNames>
    <sheetDataSet>
      <sheetData sheetId="0" refreshError="1">
        <row r="5">
          <cell r="B5">
            <v>0.88849999999999996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2)"/>
      <sheetName val="금년"/>
      <sheetName val="전년"/>
      <sheetName val="총괄표"/>
      <sheetName val="사별"/>
      <sheetName val="차입처별"/>
      <sheetName val="표지"/>
      <sheetName val="은행"/>
      <sheetName val="종금사,단자사 1장"/>
      <sheetName val="보험사 1장"/>
      <sheetName val="사채"/>
      <sheetName val="증권사"/>
      <sheetName val="기타"/>
      <sheetName val="리스"/>
      <sheetName val="Sheet11"/>
      <sheetName val="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B4" t="str">
            <v>코드</v>
          </cell>
          <cell r="C4" t="str">
            <v>금융기관명</v>
          </cell>
          <cell r="F4" t="str">
            <v>코드</v>
          </cell>
          <cell r="G4" t="str">
            <v>과목</v>
          </cell>
        </row>
        <row r="5">
          <cell r="B5">
            <v>101</v>
          </cell>
          <cell r="C5" t="str">
            <v>한빛은행</v>
          </cell>
          <cell r="F5">
            <v>101</v>
          </cell>
          <cell r="G5" t="str">
            <v>일반대출</v>
          </cell>
        </row>
        <row r="6">
          <cell r="B6">
            <v>102</v>
          </cell>
          <cell r="C6" t="str">
            <v>조흥은행</v>
          </cell>
          <cell r="F6">
            <v>102</v>
          </cell>
          <cell r="G6" t="str">
            <v>할인어음</v>
          </cell>
        </row>
        <row r="7">
          <cell r="B7">
            <v>103</v>
          </cell>
          <cell r="C7" t="str">
            <v>서울은행</v>
          </cell>
          <cell r="F7">
            <v>103</v>
          </cell>
          <cell r="G7" t="str">
            <v>당좌차월</v>
          </cell>
        </row>
        <row r="8">
          <cell r="B8">
            <v>104</v>
          </cell>
          <cell r="C8" t="str">
            <v>외환은행</v>
          </cell>
          <cell r="F8">
            <v>104</v>
          </cell>
          <cell r="G8" t="str">
            <v>외화대출</v>
          </cell>
        </row>
        <row r="9">
          <cell r="B9">
            <v>105</v>
          </cell>
          <cell r="C9" t="str">
            <v>신한은행</v>
          </cell>
          <cell r="F9">
            <v>105</v>
          </cell>
          <cell r="G9" t="str">
            <v>원화시설대출</v>
          </cell>
        </row>
        <row r="10">
          <cell r="B10">
            <v>106</v>
          </cell>
          <cell r="C10" t="str">
            <v>제일은행</v>
          </cell>
          <cell r="F10">
            <v>106</v>
          </cell>
          <cell r="G10" t="str">
            <v>보증어음대출</v>
          </cell>
        </row>
        <row r="11">
          <cell r="B11">
            <v>107</v>
          </cell>
          <cell r="C11" t="str">
            <v>한미은행</v>
          </cell>
          <cell r="F11">
            <v>107</v>
          </cell>
          <cell r="G11" t="str">
            <v>신탁대출</v>
          </cell>
        </row>
        <row r="12">
          <cell r="B12">
            <v>108</v>
          </cell>
          <cell r="C12" t="str">
            <v>하나은행</v>
          </cell>
          <cell r="F12">
            <v>108</v>
          </cell>
          <cell r="G12" t="str">
            <v>무보증 CP</v>
          </cell>
        </row>
        <row r="13">
          <cell r="B13">
            <v>109</v>
          </cell>
          <cell r="C13" t="str">
            <v>농협</v>
          </cell>
          <cell r="F13">
            <v>109</v>
          </cell>
          <cell r="G13" t="str">
            <v>기타차입</v>
          </cell>
        </row>
        <row r="14">
          <cell r="B14">
            <v>110</v>
          </cell>
          <cell r="C14" t="str">
            <v>평화은행</v>
          </cell>
          <cell r="F14">
            <v>110</v>
          </cell>
          <cell r="G14" t="str">
            <v>그룹사차입</v>
          </cell>
        </row>
        <row r="15">
          <cell r="B15">
            <v>111</v>
          </cell>
          <cell r="C15" t="str">
            <v>국민은행</v>
          </cell>
          <cell r="F15">
            <v>111</v>
          </cell>
          <cell r="G15" t="str">
            <v>외화시설대출</v>
          </cell>
        </row>
        <row r="16">
          <cell r="B16">
            <v>112</v>
          </cell>
          <cell r="C16" t="str">
            <v>주택은행</v>
          </cell>
          <cell r="F16">
            <v>112</v>
          </cell>
          <cell r="G16" t="str">
            <v>USNACE</v>
          </cell>
        </row>
        <row r="17">
          <cell r="B17">
            <v>113</v>
          </cell>
          <cell r="C17" t="str">
            <v>기업은행</v>
          </cell>
          <cell r="F17">
            <v>121</v>
          </cell>
          <cell r="G17" t="str">
            <v>정기예금</v>
          </cell>
        </row>
        <row r="18">
          <cell r="B18">
            <v>114</v>
          </cell>
          <cell r="C18" t="str">
            <v>수협</v>
          </cell>
          <cell r="F18">
            <v>122</v>
          </cell>
          <cell r="G18" t="str">
            <v>보통예금</v>
          </cell>
        </row>
        <row r="19">
          <cell r="B19">
            <v>115</v>
          </cell>
          <cell r="C19" t="str">
            <v>축협</v>
          </cell>
          <cell r="F19">
            <v>123</v>
          </cell>
          <cell r="G19" t="str">
            <v>당좌예금</v>
          </cell>
        </row>
        <row r="20">
          <cell r="B20">
            <v>116</v>
          </cell>
          <cell r="C20" t="str">
            <v>기타시중은행</v>
          </cell>
          <cell r="F20">
            <v>124</v>
          </cell>
          <cell r="G20" t="str">
            <v>C D 예금</v>
          </cell>
        </row>
        <row r="21">
          <cell r="B21">
            <v>131</v>
          </cell>
          <cell r="C21" t="str">
            <v>부산은행</v>
          </cell>
          <cell r="F21">
            <v>125</v>
          </cell>
          <cell r="G21" t="str">
            <v>정기적금</v>
          </cell>
        </row>
        <row r="22">
          <cell r="B22">
            <v>132</v>
          </cell>
          <cell r="F22">
            <v>126</v>
          </cell>
          <cell r="G22" t="str">
            <v>신탁예금</v>
          </cell>
        </row>
        <row r="23">
          <cell r="B23">
            <v>133</v>
          </cell>
          <cell r="C23" t="str">
            <v>경남은행</v>
          </cell>
          <cell r="F23">
            <v>127</v>
          </cell>
          <cell r="G23" t="str">
            <v>그룹사지원</v>
          </cell>
        </row>
        <row r="24">
          <cell r="B24">
            <v>134</v>
          </cell>
          <cell r="C24" t="str">
            <v>광주은행</v>
          </cell>
          <cell r="F24">
            <v>128</v>
          </cell>
          <cell r="G24" t="str">
            <v>기타예금</v>
          </cell>
        </row>
        <row r="25">
          <cell r="B25">
            <v>135</v>
          </cell>
          <cell r="C25" t="str">
            <v>대구은행</v>
          </cell>
          <cell r="F25">
            <v>129</v>
          </cell>
          <cell r="G25" t="str">
            <v>외화예금</v>
          </cell>
        </row>
        <row r="26">
          <cell r="B26">
            <v>136</v>
          </cell>
          <cell r="C26" t="str">
            <v>전북은행</v>
          </cell>
          <cell r="F26">
            <v>130</v>
          </cell>
          <cell r="G26" t="str">
            <v>MMDA</v>
          </cell>
        </row>
        <row r="27">
          <cell r="B27">
            <v>137</v>
          </cell>
          <cell r="C27" t="str">
            <v>제주은행</v>
          </cell>
          <cell r="F27">
            <v>201</v>
          </cell>
          <cell r="G27" t="str">
            <v>직접차입</v>
          </cell>
        </row>
        <row r="28">
          <cell r="B28">
            <v>138</v>
          </cell>
          <cell r="F28">
            <v>202</v>
          </cell>
          <cell r="G28" t="str">
            <v>중개어음</v>
          </cell>
        </row>
        <row r="29">
          <cell r="B29">
            <v>139</v>
          </cell>
          <cell r="C29" t="str">
            <v>기타지방은행</v>
          </cell>
          <cell r="F29">
            <v>203</v>
          </cell>
          <cell r="G29" t="str">
            <v>그룹사차입</v>
          </cell>
        </row>
        <row r="30">
          <cell r="B30">
            <v>146</v>
          </cell>
          <cell r="C30" t="str">
            <v>산업은행</v>
          </cell>
          <cell r="F30">
            <v>204</v>
          </cell>
          <cell r="G30" t="str">
            <v>외화대출</v>
          </cell>
        </row>
        <row r="31">
          <cell r="B31">
            <v>147</v>
          </cell>
          <cell r="C31" t="str">
            <v>수출입은행</v>
          </cell>
          <cell r="F31">
            <v>205</v>
          </cell>
          <cell r="G31" t="str">
            <v>원화시설대</v>
          </cell>
        </row>
        <row r="32">
          <cell r="B32">
            <v>148</v>
          </cell>
          <cell r="C32" t="str">
            <v>한국은행</v>
          </cell>
          <cell r="F32">
            <v>206</v>
          </cell>
          <cell r="G32" t="str">
            <v>기타차입</v>
          </cell>
        </row>
        <row r="33">
          <cell r="B33">
            <v>151</v>
          </cell>
          <cell r="C33" t="str">
            <v>제일권업</v>
          </cell>
          <cell r="F33">
            <v>221</v>
          </cell>
          <cell r="G33" t="str">
            <v>발행어음매입</v>
          </cell>
        </row>
        <row r="34">
          <cell r="B34">
            <v>152</v>
          </cell>
          <cell r="C34" t="str">
            <v>도쿄은행</v>
          </cell>
          <cell r="F34">
            <v>222</v>
          </cell>
          <cell r="G34" t="str">
            <v>그룹사지원</v>
          </cell>
        </row>
        <row r="35">
          <cell r="B35">
            <v>153</v>
          </cell>
          <cell r="C35" t="str">
            <v>몬트리얼</v>
          </cell>
          <cell r="F35">
            <v>223</v>
          </cell>
          <cell r="G35" t="str">
            <v>거액기업어음</v>
          </cell>
        </row>
        <row r="36">
          <cell r="B36">
            <v>154</v>
          </cell>
          <cell r="C36" t="str">
            <v>삼화</v>
          </cell>
          <cell r="F36">
            <v>224</v>
          </cell>
          <cell r="G36" t="str">
            <v>양도성예금증서</v>
          </cell>
        </row>
        <row r="37">
          <cell r="B37">
            <v>155</v>
          </cell>
          <cell r="C37" t="str">
            <v>후지은행</v>
          </cell>
          <cell r="F37">
            <v>225</v>
          </cell>
          <cell r="G37" t="str">
            <v>C M A</v>
          </cell>
        </row>
        <row r="38">
          <cell r="B38">
            <v>156</v>
          </cell>
          <cell r="C38" t="str">
            <v>BCCI국제</v>
          </cell>
          <cell r="F38">
            <v>227</v>
          </cell>
          <cell r="G38" t="str">
            <v>기타예금</v>
          </cell>
        </row>
        <row r="39">
          <cell r="B39">
            <v>157</v>
          </cell>
          <cell r="C39" t="str">
            <v>파리국립은행</v>
          </cell>
          <cell r="F39">
            <v>301</v>
          </cell>
          <cell r="G39" t="str">
            <v>신용대출</v>
          </cell>
        </row>
        <row r="40">
          <cell r="B40">
            <v>158</v>
          </cell>
          <cell r="C40" t="str">
            <v>체이스맨하탄</v>
          </cell>
          <cell r="F40">
            <v>302</v>
          </cell>
          <cell r="G40" t="str">
            <v>기타대출</v>
          </cell>
        </row>
        <row r="41">
          <cell r="B41">
            <v>159</v>
          </cell>
          <cell r="C41" t="str">
            <v>홍콩샹하이</v>
          </cell>
          <cell r="F41">
            <v>321</v>
          </cell>
          <cell r="G41" t="str">
            <v>단퇴보험</v>
          </cell>
        </row>
        <row r="42">
          <cell r="B42">
            <v>160</v>
          </cell>
          <cell r="C42" t="str">
            <v>사쿠라</v>
          </cell>
          <cell r="F42">
            <v>322</v>
          </cell>
          <cell r="G42" t="str">
            <v>기타보험</v>
          </cell>
        </row>
        <row r="43">
          <cell r="B43">
            <v>161</v>
          </cell>
          <cell r="C43" t="str">
            <v>싱가포르개발</v>
          </cell>
          <cell r="F43">
            <v>401</v>
          </cell>
          <cell r="G43" t="str">
            <v>보증사채</v>
          </cell>
        </row>
        <row r="44">
          <cell r="B44">
            <v>162</v>
          </cell>
          <cell r="C44" t="str">
            <v>노바스코셔</v>
          </cell>
          <cell r="F44">
            <v>402</v>
          </cell>
          <cell r="G44" t="str">
            <v>무보증사채</v>
          </cell>
        </row>
        <row r="45">
          <cell r="B45">
            <v>163</v>
          </cell>
          <cell r="C45" t="str">
            <v>도오까이</v>
          </cell>
          <cell r="F45">
            <v>403</v>
          </cell>
          <cell r="G45" t="str">
            <v>사모사채</v>
          </cell>
        </row>
        <row r="46">
          <cell r="B46">
            <v>164</v>
          </cell>
          <cell r="C46" t="str">
            <v>스미또모</v>
          </cell>
          <cell r="F46">
            <v>201</v>
          </cell>
          <cell r="G46" t="str">
            <v>어음차입</v>
          </cell>
        </row>
        <row r="47">
          <cell r="B47">
            <v>165</v>
          </cell>
          <cell r="C47" t="str">
            <v>스탠다드챠타드</v>
          </cell>
          <cell r="F47">
            <v>202</v>
          </cell>
          <cell r="G47" t="str">
            <v>기타차입</v>
          </cell>
        </row>
        <row r="48">
          <cell r="B48">
            <v>166</v>
          </cell>
          <cell r="C48" t="str">
            <v>크레디리요네</v>
          </cell>
          <cell r="F48">
            <v>521</v>
          </cell>
          <cell r="G48" t="str">
            <v>매입어음</v>
          </cell>
        </row>
        <row r="49">
          <cell r="B49">
            <v>167</v>
          </cell>
          <cell r="C49" t="str">
            <v>내쇼날호주</v>
          </cell>
          <cell r="F49">
            <v>522</v>
          </cell>
          <cell r="G49" t="str">
            <v>기타예금</v>
          </cell>
        </row>
        <row r="50">
          <cell r="B50">
            <v>168</v>
          </cell>
          <cell r="C50" t="str">
            <v>네덜란드국제</v>
          </cell>
          <cell r="F50">
            <v>523</v>
          </cell>
          <cell r="G50" t="str">
            <v>수익증권</v>
          </cell>
        </row>
        <row r="51">
          <cell r="B51">
            <v>169</v>
          </cell>
          <cell r="C51" t="str">
            <v>뉴욕은행</v>
          </cell>
          <cell r="F51">
            <v>601</v>
          </cell>
          <cell r="G51" t="str">
            <v>기타차입</v>
          </cell>
        </row>
        <row r="52">
          <cell r="B52">
            <v>170</v>
          </cell>
          <cell r="C52" t="str">
            <v>다이와은행</v>
          </cell>
          <cell r="F52">
            <v>602</v>
          </cell>
          <cell r="G52" t="str">
            <v>중개차입</v>
          </cell>
        </row>
        <row r="53">
          <cell r="B53">
            <v>172</v>
          </cell>
          <cell r="C53" t="str">
            <v>도이치은행</v>
          </cell>
          <cell r="F53">
            <v>621</v>
          </cell>
          <cell r="G53" t="str">
            <v>기타예금</v>
          </cell>
        </row>
        <row r="54">
          <cell r="B54">
            <v>173</v>
          </cell>
          <cell r="C54" t="str">
            <v>아사히</v>
          </cell>
          <cell r="F54">
            <v>701</v>
          </cell>
          <cell r="G54" t="str">
            <v>금융리스</v>
          </cell>
        </row>
        <row r="55">
          <cell r="B55">
            <v>174</v>
          </cell>
          <cell r="C55" t="str">
            <v>아메리카</v>
          </cell>
          <cell r="F55">
            <v>702</v>
          </cell>
          <cell r="G55" t="str">
            <v>운용리스</v>
          </cell>
        </row>
        <row r="56">
          <cell r="B56">
            <v>175</v>
          </cell>
          <cell r="C56" t="str">
            <v>소시에테</v>
          </cell>
        </row>
        <row r="57">
          <cell r="B57">
            <v>176</v>
          </cell>
          <cell r="C57" t="str">
            <v>싱가포르국제</v>
          </cell>
        </row>
        <row r="58">
          <cell r="B58">
            <v>177</v>
          </cell>
          <cell r="C58" t="str">
            <v>씨티은행</v>
          </cell>
        </row>
        <row r="59">
          <cell r="B59">
            <v>178</v>
          </cell>
          <cell r="C59" t="str">
            <v>ABN암로</v>
          </cell>
        </row>
        <row r="60">
          <cell r="B60">
            <v>179</v>
          </cell>
          <cell r="C60" t="str">
            <v>ING은행</v>
          </cell>
        </row>
        <row r="61">
          <cell r="B61">
            <v>180</v>
          </cell>
          <cell r="C61" t="str">
            <v>아랍은행</v>
          </cell>
        </row>
        <row r="62">
          <cell r="B62">
            <v>181</v>
          </cell>
          <cell r="C62" t="str">
            <v>카나다</v>
          </cell>
        </row>
        <row r="63">
          <cell r="B63">
            <v>182</v>
          </cell>
          <cell r="C63" t="str">
            <v>기타외국은행</v>
          </cell>
        </row>
        <row r="64">
          <cell r="B64">
            <v>201</v>
          </cell>
          <cell r="C64" t="str">
            <v>나라종금</v>
          </cell>
        </row>
        <row r="65">
          <cell r="B65">
            <v>202</v>
          </cell>
          <cell r="C65" t="str">
            <v>동양종금</v>
          </cell>
        </row>
        <row r="66">
          <cell r="B66">
            <v>203</v>
          </cell>
          <cell r="C66" t="str">
            <v>중앙종금</v>
          </cell>
        </row>
        <row r="67">
          <cell r="B67">
            <v>204</v>
          </cell>
          <cell r="C67" t="str">
            <v>LG종금</v>
          </cell>
        </row>
        <row r="68">
          <cell r="B68">
            <v>205</v>
          </cell>
          <cell r="C68" t="str">
            <v>금호종금</v>
          </cell>
        </row>
        <row r="69">
          <cell r="B69">
            <v>206</v>
          </cell>
          <cell r="C69" t="str">
            <v>아세아종금</v>
          </cell>
        </row>
        <row r="70">
          <cell r="B70">
            <v>207</v>
          </cell>
          <cell r="C70" t="str">
            <v>한국종금</v>
          </cell>
        </row>
        <row r="71">
          <cell r="B71">
            <v>208</v>
          </cell>
          <cell r="C71" t="str">
            <v>한불종금</v>
          </cell>
        </row>
        <row r="72">
          <cell r="B72">
            <v>209</v>
          </cell>
          <cell r="C72" t="str">
            <v>경수종금</v>
          </cell>
        </row>
        <row r="73">
          <cell r="B73">
            <v>210</v>
          </cell>
          <cell r="C73" t="str">
            <v>영남종금</v>
          </cell>
        </row>
        <row r="74">
          <cell r="B74">
            <v>211</v>
          </cell>
          <cell r="C74" t="str">
            <v>울산종금</v>
          </cell>
        </row>
        <row r="75">
          <cell r="B75">
            <v>212</v>
          </cell>
          <cell r="C75" t="str">
            <v>기타종금사</v>
          </cell>
        </row>
        <row r="76">
          <cell r="B76">
            <v>301</v>
          </cell>
          <cell r="C76" t="str">
            <v>삼성생명</v>
          </cell>
        </row>
        <row r="77">
          <cell r="B77">
            <v>302</v>
          </cell>
          <cell r="C77" t="str">
            <v>교보생명</v>
          </cell>
        </row>
        <row r="78">
          <cell r="B78">
            <v>303</v>
          </cell>
          <cell r="C78" t="str">
            <v>조선생명</v>
          </cell>
        </row>
        <row r="79">
          <cell r="B79">
            <v>304</v>
          </cell>
          <cell r="C79" t="str">
            <v>흥국생명</v>
          </cell>
        </row>
        <row r="80">
          <cell r="B80">
            <v>305</v>
          </cell>
          <cell r="C80" t="str">
            <v>대신생명</v>
          </cell>
        </row>
        <row r="81">
          <cell r="B81">
            <v>306</v>
          </cell>
          <cell r="C81" t="str">
            <v>제일생명</v>
          </cell>
        </row>
        <row r="82">
          <cell r="B82">
            <v>307</v>
          </cell>
          <cell r="C82" t="str">
            <v>동아생명</v>
          </cell>
        </row>
        <row r="83">
          <cell r="B83">
            <v>308</v>
          </cell>
          <cell r="C83" t="str">
            <v>한성생명</v>
          </cell>
        </row>
        <row r="84">
          <cell r="B84">
            <v>309</v>
          </cell>
          <cell r="C84" t="str">
            <v>동부생명</v>
          </cell>
        </row>
        <row r="85">
          <cell r="B85">
            <v>310</v>
          </cell>
          <cell r="C85" t="str">
            <v>대한생명</v>
          </cell>
        </row>
        <row r="86">
          <cell r="B86">
            <v>311</v>
          </cell>
          <cell r="C86" t="str">
            <v>동양베네피트</v>
          </cell>
        </row>
        <row r="87">
          <cell r="B87">
            <v>312</v>
          </cell>
          <cell r="C87" t="str">
            <v>삼신올스테이트생명</v>
          </cell>
        </row>
        <row r="88">
          <cell r="B88">
            <v>313</v>
          </cell>
          <cell r="C88" t="str">
            <v>신한생명</v>
          </cell>
        </row>
        <row r="89">
          <cell r="B89">
            <v>314</v>
          </cell>
          <cell r="C89" t="str">
            <v>영풍매뉴라이프생명</v>
          </cell>
        </row>
        <row r="90">
          <cell r="B90">
            <v>315</v>
          </cell>
          <cell r="C90" t="str">
            <v>SK생명</v>
          </cell>
        </row>
        <row r="91">
          <cell r="B91">
            <v>316</v>
          </cell>
          <cell r="C91" t="str">
            <v>고합뉴욕생명</v>
          </cell>
        </row>
        <row r="92">
          <cell r="B92">
            <v>317</v>
          </cell>
          <cell r="C92" t="str">
            <v>태평양생명</v>
          </cell>
        </row>
        <row r="93">
          <cell r="B93">
            <v>318</v>
          </cell>
          <cell r="C93" t="str">
            <v>한덕생명</v>
          </cell>
        </row>
        <row r="94">
          <cell r="B94">
            <v>319</v>
          </cell>
          <cell r="C94" t="str">
            <v>금호생명</v>
          </cell>
        </row>
        <row r="95">
          <cell r="B95">
            <v>320</v>
          </cell>
          <cell r="C95" t="str">
            <v>국민생명</v>
          </cell>
        </row>
        <row r="96">
          <cell r="B96">
            <v>321</v>
          </cell>
          <cell r="C96" t="str">
            <v>네덜란드생명</v>
          </cell>
        </row>
        <row r="97">
          <cell r="B97">
            <v>322</v>
          </cell>
          <cell r="C97" t="str">
            <v>라이나생명</v>
          </cell>
        </row>
        <row r="98">
          <cell r="B98">
            <v>323</v>
          </cell>
          <cell r="C98" t="str">
            <v>메트라이프생명</v>
          </cell>
        </row>
        <row r="99">
          <cell r="B99">
            <v>324</v>
          </cell>
          <cell r="C99" t="str">
            <v>프랑스생명</v>
          </cell>
        </row>
        <row r="100">
          <cell r="B100">
            <v>325</v>
          </cell>
          <cell r="C100" t="str">
            <v>한국생명</v>
          </cell>
        </row>
        <row r="101">
          <cell r="B101">
            <v>326</v>
          </cell>
          <cell r="C101" t="str">
            <v>한국푸리덴셜생명</v>
          </cell>
        </row>
        <row r="102">
          <cell r="B102">
            <v>327</v>
          </cell>
          <cell r="C102" t="str">
            <v>한일생명</v>
          </cell>
        </row>
        <row r="103">
          <cell r="B103">
            <v>328</v>
          </cell>
          <cell r="C103" t="str">
            <v>기타생명보험</v>
          </cell>
        </row>
        <row r="104">
          <cell r="B104">
            <v>351</v>
          </cell>
          <cell r="C104" t="str">
            <v>국제화재</v>
          </cell>
        </row>
        <row r="105">
          <cell r="B105">
            <v>352</v>
          </cell>
          <cell r="C105" t="str">
            <v>제일화재</v>
          </cell>
        </row>
        <row r="106">
          <cell r="B106">
            <v>353</v>
          </cell>
          <cell r="C106" t="str">
            <v>쌍용화재</v>
          </cell>
        </row>
        <row r="107">
          <cell r="B107">
            <v>354</v>
          </cell>
          <cell r="C107" t="str">
            <v>대한화재</v>
          </cell>
        </row>
        <row r="108">
          <cell r="B108">
            <v>355</v>
          </cell>
          <cell r="C108" t="str">
            <v>동양화재</v>
          </cell>
        </row>
        <row r="109">
          <cell r="B109">
            <v>356</v>
          </cell>
          <cell r="C109" t="str">
            <v>LG화재</v>
          </cell>
        </row>
        <row r="110">
          <cell r="B110">
            <v>357</v>
          </cell>
          <cell r="C110" t="str">
            <v>삼성화재</v>
          </cell>
        </row>
        <row r="111">
          <cell r="B111">
            <v>358</v>
          </cell>
          <cell r="C111" t="str">
            <v>신동아화재</v>
          </cell>
        </row>
        <row r="112">
          <cell r="B112">
            <v>359</v>
          </cell>
          <cell r="C112" t="str">
            <v>해동화재</v>
          </cell>
        </row>
        <row r="113">
          <cell r="B113">
            <v>360</v>
          </cell>
          <cell r="C113" t="str">
            <v>현대해상화재</v>
          </cell>
        </row>
        <row r="114">
          <cell r="B114">
            <v>361</v>
          </cell>
          <cell r="C114" t="str">
            <v>기타화재보험</v>
          </cell>
        </row>
        <row r="115">
          <cell r="B115">
            <v>371</v>
          </cell>
          <cell r="C115" t="str">
            <v>기타보험</v>
          </cell>
        </row>
        <row r="116">
          <cell r="B116">
            <v>401</v>
          </cell>
          <cell r="C116" t="str">
            <v>대신증권</v>
          </cell>
        </row>
        <row r="117">
          <cell r="B117">
            <v>402</v>
          </cell>
          <cell r="C117" t="str">
            <v>LG증권</v>
          </cell>
        </row>
        <row r="118">
          <cell r="B118">
            <v>403</v>
          </cell>
        </row>
        <row r="119">
          <cell r="B119">
            <v>404</v>
          </cell>
          <cell r="C119" t="str">
            <v>대우증권</v>
          </cell>
        </row>
        <row r="120">
          <cell r="B120">
            <v>405</v>
          </cell>
          <cell r="C120" t="str">
            <v>SK증권</v>
          </cell>
        </row>
        <row r="121">
          <cell r="B121">
            <v>406</v>
          </cell>
          <cell r="C121" t="str">
            <v>한진투자증권</v>
          </cell>
        </row>
        <row r="122">
          <cell r="B122">
            <v>407</v>
          </cell>
          <cell r="C122" t="str">
            <v>한빛증권</v>
          </cell>
        </row>
        <row r="123">
          <cell r="B123">
            <v>408</v>
          </cell>
          <cell r="C123" t="str">
            <v>대유증권</v>
          </cell>
        </row>
        <row r="124">
          <cell r="B124">
            <v>410</v>
          </cell>
          <cell r="C124" t="str">
            <v>동부증권</v>
          </cell>
        </row>
        <row r="125">
          <cell r="B125">
            <v>411</v>
          </cell>
          <cell r="C125" t="str">
            <v>건설증권</v>
          </cell>
        </row>
        <row r="126">
          <cell r="B126">
            <v>412</v>
          </cell>
        </row>
        <row r="127">
          <cell r="B127">
            <v>413</v>
          </cell>
          <cell r="C127" t="str">
            <v>교보증권</v>
          </cell>
        </row>
        <row r="128">
          <cell r="B128">
            <v>414</v>
          </cell>
          <cell r="C128" t="str">
            <v>세종증권</v>
          </cell>
        </row>
        <row r="129">
          <cell r="B129">
            <v>415</v>
          </cell>
          <cell r="C129" t="str">
            <v>동양페러그린증권증권</v>
          </cell>
        </row>
        <row r="130">
          <cell r="B130">
            <v>416</v>
          </cell>
          <cell r="C130" t="str">
            <v>하나증권</v>
          </cell>
        </row>
        <row r="131">
          <cell r="B131">
            <v>417</v>
          </cell>
          <cell r="C131" t="str">
            <v>부국증권</v>
          </cell>
        </row>
        <row r="132">
          <cell r="B132">
            <v>418</v>
          </cell>
          <cell r="C132" t="str">
            <v>삼성증권</v>
          </cell>
        </row>
        <row r="133">
          <cell r="B133">
            <v>419</v>
          </cell>
        </row>
        <row r="134">
          <cell r="B134">
            <v>420</v>
          </cell>
          <cell r="C134" t="str">
            <v>서울증권</v>
          </cell>
        </row>
        <row r="135">
          <cell r="B135">
            <v>421</v>
          </cell>
          <cell r="C135" t="str">
            <v>신영증권</v>
          </cell>
        </row>
        <row r="136">
          <cell r="B136">
            <v>422</v>
          </cell>
          <cell r="C136" t="str">
            <v>신한증권</v>
          </cell>
        </row>
        <row r="137">
          <cell r="B137">
            <v>423</v>
          </cell>
          <cell r="C137" t="str">
            <v>신흥증권</v>
          </cell>
        </row>
        <row r="138">
          <cell r="B138">
            <v>424</v>
          </cell>
          <cell r="C138" t="str">
            <v>굿모닝증권</v>
          </cell>
        </row>
        <row r="139">
          <cell r="B139">
            <v>425</v>
          </cell>
          <cell r="C139" t="str">
            <v>유화증권</v>
          </cell>
        </row>
        <row r="140">
          <cell r="B140">
            <v>426</v>
          </cell>
          <cell r="C140" t="str">
            <v>일은증권</v>
          </cell>
        </row>
        <row r="141">
          <cell r="B141">
            <v>427</v>
          </cell>
          <cell r="C141" t="str">
            <v>한국투신증권</v>
          </cell>
        </row>
        <row r="142">
          <cell r="B142">
            <v>428</v>
          </cell>
          <cell r="C142" t="str">
            <v>제일투자신탁증권</v>
          </cell>
        </row>
        <row r="143">
          <cell r="B143">
            <v>429</v>
          </cell>
          <cell r="C143" t="str">
            <v>조흥증권</v>
          </cell>
        </row>
        <row r="144">
          <cell r="B144">
            <v>430</v>
          </cell>
          <cell r="C144" t="str">
            <v>미래에셋증권</v>
          </cell>
        </row>
        <row r="145">
          <cell r="B145">
            <v>431</v>
          </cell>
          <cell r="C145" t="str">
            <v>한양증권</v>
          </cell>
        </row>
        <row r="146">
          <cell r="B146">
            <v>432</v>
          </cell>
          <cell r="C146" t="str">
            <v>한누리투자증권</v>
          </cell>
        </row>
        <row r="147">
          <cell r="B147">
            <v>433</v>
          </cell>
          <cell r="C147" t="str">
            <v>현대증권</v>
          </cell>
        </row>
        <row r="148">
          <cell r="B148">
            <v>434</v>
          </cell>
          <cell r="C148" t="str">
            <v>기타증권</v>
          </cell>
        </row>
        <row r="149">
          <cell r="B149">
            <v>435</v>
          </cell>
          <cell r="C149" t="str">
            <v>동원증권</v>
          </cell>
        </row>
        <row r="150">
          <cell r="B150">
            <v>436</v>
          </cell>
          <cell r="C150" t="str">
            <v>한화증권</v>
          </cell>
        </row>
        <row r="151">
          <cell r="B151">
            <v>437</v>
          </cell>
          <cell r="C151" t="str">
            <v>환은스미스바니증권</v>
          </cell>
        </row>
        <row r="152">
          <cell r="B152">
            <v>438</v>
          </cell>
          <cell r="C152" t="str">
            <v>현대투자신탁증권</v>
          </cell>
        </row>
        <row r="153">
          <cell r="B153">
            <v>501</v>
          </cell>
          <cell r="C153" t="str">
            <v>대신증권</v>
          </cell>
        </row>
        <row r="154">
          <cell r="B154">
            <v>502</v>
          </cell>
          <cell r="C154" t="str">
            <v>LG증권</v>
          </cell>
        </row>
        <row r="155">
          <cell r="B155">
            <v>503</v>
          </cell>
        </row>
        <row r="156">
          <cell r="B156">
            <v>504</v>
          </cell>
          <cell r="C156" t="str">
            <v>대우증권</v>
          </cell>
        </row>
        <row r="157">
          <cell r="B157">
            <v>505</v>
          </cell>
          <cell r="C157" t="str">
            <v>SK증권</v>
          </cell>
        </row>
        <row r="158">
          <cell r="B158">
            <v>506</v>
          </cell>
          <cell r="C158" t="str">
            <v>한진투자증권</v>
          </cell>
        </row>
        <row r="159">
          <cell r="B159">
            <v>507</v>
          </cell>
          <cell r="C159" t="str">
            <v>한빛증권</v>
          </cell>
        </row>
        <row r="160">
          <cell r="B160">
            <v>508</v>
          </cell>
          <cell r="C160" t="str">
            <v>대유증권</v>
          </cell>
        </row>
        <row r="161">
          <cell r="B161">
            <v>510</v>
          </cell>
          <cell r="C161" t="str">
            <v>동부증권</v>
          </cell>
        </row>
        <row r="162">
          <cell r="B162">
            <v>511</v>
          </cell>
          <cell r="C162" t="str">
            <v>건설증권</v>
          </cell>
        </row>
        <row r="163">
          <cell r="B163">
            <v>512</v>
          </cell>
        </row>
        <row r="164">
          <cell r="B164">
            <v>513</v>
          </cell>
          <cell r="C164" t="str">
            <v>교보증권</v>
          </cell>
        </row>
        <row r="165">
          <cell r="B165">
            <v>514</v>
          </cell>
          <cell r="C165" t="str">
            <v>세종증권</v>
          </cell>
        </row>
        <row r="166">
          <cell r="B166">
            <v>515</v>
          </cell>
          <cell r="C166" t="str">
            <v>동양페러그린증권증권</v>
          </cell>
        </row>
        <row r="167">
          <cell r="B167">
            <v>516</v>
          </cell>
          <cell r="C167" t="str">
            <v>하나증권</v>
          </cell>
        </row>
        <row r="168">
          <cell r="B168">
            <v>517</v>
          </cell>
          <cell r="C168" t="str">
            <v>부국증권</v>
          </cell>
        </row>
        <row r="169">
          <cell r="B169">
            <v>518</v>
          </cell>
          <cell r="C169" t="str">
            <v>삼성증권</v>
          </cell>
        </row>
        <row r="170">
          <cell r="B170">
            <v>519</v>
          </cell>
        </row>
        <row r="171">
          <cell r="B171">
            <v>520</v>
          </cell>
          <cell r="C171" t="str">
            <v>서울증권</v>
          </cell>
        </row>
        <row r="172">
          <cell r="B172">
            <v>521</v>
          </cell>
          <cell r="C172" t="str">
            <v>신영증권</v>
          </cell>
        </row>
        <row r="173">
          <cell r="B173">
            <v>522</v>
          </cell>
          <cell r="C173" t="str">
            <v>신한증권</v>
          </cell>
        </row>
        <row r="174">
          <cell r="B174">
            <v>523</v>
          </cell>
          <cell r="C174" t="str">
            <v>신흥증권</v>
          </cell>
        </row>
        <row r="175">
          <cell r="B175">
            <v>524</v>
          </cell>
          <cell r="C175" t="str">
            <v>굿모닝증권</v>
          </cell>
        </row>
        <row r="176">
          <cell r="B176">
            <v>525</v>
          </cell>
          <cell r="C176" t="str">
            <v>유화증권</v>
          </cell>
        </row>
        <row r="177">
          <cell r="B177">
            <v>526</v>
          </cell>
          <cell r="C177" t="str">
            <v>일은증권</v>
          </cell>
        </row>
        <row r="178">
          <cell r="B178">
            <v>527</v>
          </cell>
          <cell r="C178" t="str">
            <v>한국투신증권</v>
          </cell>
        </row>
        <row r="179">
          <cell r="B179">
            <v>528</v>
          </cell>
          <cell r="C179" t="str">
            <v>제일투자신탁증권</v>
          </cell>
        </row>
        <row r="180">
          <cell r="B180">
            <v>529</v>
          </cell>
          <cell r="C180" t="str">
            <v>조흥증권</v>
          </cell>
        </row>
        <row r="181">
          <cell r="B181">
            <v>530</v>
          </cell>
          <cell r="C181" t="str">
            <v>미래에셋증권</v>
          </cell>
        </row>
        <row r="182">
          <cell r="B182">
            <v>531</v>
          </cell>
          <cell r="C182" t="str">
            <v>한양증권</v>
          </cell>
        </row>
        <row r="183">
          <cell r="B183">
            <v>532</v>
          </cell>
          <cell r="C183" t="str">
            <v>한누리투자증권</v>
          </cell>
        </row>
        <row r="184">
          <cell r="B184">
            <v>533</v>
          </cell>
          <cell r="C184" t="str">
            <v>현대증권</v>
          </cell>
        </row>
        <row r="185">
          <cell r="B185">
            <v>534</v>
          </cell>
          <cell r="C185" t="str">
            <v>기타증권</v>
          </cell>
        </row>
        <row r="186">
          <cell r="B186">
            <v>535</v>
          </cell>
          <cell r="C186" t="str">
            <v>동원증권</v>
          </cell>
        </row>
        <row r="187">
          <cell r="B187">
            <v>536</v>
          </cell>
          <cell r="C187" t="str">
            <v>한화증권</v>
          </cell>
        </row>
        <row r="188">
          <cell r="B188">
            <v>537</v>
          </cell>
          <cell r="C188" t="str">
            <v>환은스미스바니증권</v>
          </cell>
        </row>
        <row r="189">
          <cell r="B189">
            <v>538</v>
          </cell>
          <cell r="C189" t="str">
            <v>현대투자신탁증권</v>
          </cell>
        </row>
        <row r="190">
          <cell r="B190">
            <v>601</v>
          </cell>
          <cell r="C190" t="str">
            <v>건설공제조합</v>
          </cell>
        </row>
        <row r="191">
          <cell r="B191">
            <v>602</v>
          </cell>
          <cell r="C191" t="str">
            <v>주택사업공제</v>
          </cell>
        </row>
        <row r="192">
          <cell r="B192">
            <v>603</v>
          </cell>
          <cell r="C192" t="str">
            <v>리아(K-7)</v>
          </cell>
        </row>
        <row r="193">
          <cell r="B193">
            <v>604</v>
          </cell>
          <cell r="C193" t="str">
            <v>캐피탈</v>
          </cell>
        </row>
        <row r="194">
          <cell r="B194">
            <v>605</v>
          </cell>
          <cell r="C194" t="str">
            <v>기타예입처</v>
          </cell>
        </row>
        <row r="195">
          <cell r="B195">
            <v>606</v>
          </cell>
          <cell r="C195" t="str">
            <v>기타차입처</v>
          </cell>
        </row>
        <row r="196">
          <cell r="B196">
            <v>607</v>
          </cell>
          <cell r="C196" t="str">
            <v>KKL</v>
          </cell>
        </row>
        <row r="197">
          <cell r="B197">
            <v>608</v>
          </cell>
          <cell r="C197" t="str">
            <v>D/A</v>
          </cell>
        </row>
        <row r="198">
          <cell r="B198">
            <v>609</v>
          </cell>
          <cell r="C198" t="str">
            <v>투자신탁</v>
          </cell>
        </row>
        <row r="199">
          <cell r="B199">
            <v>701</v>
          </cell>
          <cell r="C199" t="str">
            <v>산업리스</v>
          </cell>
        </row>
        <row r="200">
          <cell r="B200">
            <v>702</v>
          </cell>
          <cell r="C200" t="str">
            <v>상은리스</v>
          </cell>
        </row>
        <row r="201">
          <cell r="B201">
            <v>703</v>
          </cell>
          <cell r="C201" t="str">
            <v>한일리스금융</v>
          </cell>
        </row>
        <row r="202">
          <cell r="B202">
            <v>704</v>
          </cell>
          <cell r="C202" t="str">
            <v>산은캐피탈</v>
          </cell>
        </row>
        <row r="203">
          <cell r="B203">
            <v>705</v>
          </cell>
          <cell r="C203" t="str">
            <v>제일씨티리스</v>
          </cell>
        </row>
        <row r="204">
          <cell r="B204">
            <v>706</v>
          </cell>
          <cell r="C204" t="str">
            <v>중부리스</v>
          </cell>
        </row>
        <row r="205">
          <cell r="B205">
            <v>707</v>
          </cell>
          <cell r="C205" t="str">
            <v>부산리스</v>
          </cell>
        </row>
        <row r="206">
          <cell r="B206">
            <v>708</v>
          </cell>
          <cell r="C206" t="str">
            <v>한국기업리스</v>
          </cell>
        </row>
        <row r="207">
          <cell r="B207">
            <v>709</v>
          </cell>
          <cell r="C207" t="str">
            <v>경남리스금융</v>
          </cell>
        </row>
        <row r="208">
          <cell r="B208">
            <v>711</v>
          </cell>
          <cell r="C208" t="str">
            <v>국민리스</v>
          </cell>
        </row>
        <row r="209">
          <cell r="B209">
            <v>712</v>
          </cell>
          <cell r="C209" t="str">
            <v>외환리스금융</v>
          </cell>
        </row>
        <row r="210">
          <cell r="B210">
            <v>713</v>
          </cell>
          <cell r="C210" t="str">
            <v>한미캐피탈</v>
          </cell>
        </row>
        <row r="211">
          <cell r="B211">
            <v>714</v>
          </cell>
          <cell r="C211" t="str">
            <v>경인리스금융</v>
          </cell>
        </row>
        <row r="212">
          <cell r="B212">
            <v>715</v>
          </cell>
          <cell r="C212" t="str">
            <v>한국리스여신</v>
          </cell>
        </row>
        <row r="213">
          <cell r="B213">
            <v>716</v>
          </cell>
        </row>
        <row r="214">
          <cell r="B214">
            <v>717</v>
          </cell>
        </row>
        <row r="215">
          <cell r="B215">
            <v>718</v>
          </cell>
          <cell r="C215" t="str">
            <v>신보리스금융</v>
          </cell>
        </row>
        <row r="216">
          <cell r="B216">
            <v>719</v>
          </cell>
        </row>
        <row r="217">
          <cell r="B217">
            <v>721</v>
          </cell>
          <cell r="C217" t="str">
            <v>전은리스</v>
          </cell>
        </row>
        <row r="218">
          <cell r="B218">
            <v>722</v>
          </cell>
          <cell r="C218" t="str">
            <v>조흥리스금융</v>
          </cell>
        </row>
        <row r="219">
          <cell r="B219">
            <v>723</v>
          </cell>
        </row>
        <row r="220">
          <cell r="B220">
            <v>724</v>
          </cell>
          <cell r="C220" t="str">
            <v>한국개발리스</v>
          </cell>
        </row>
        <row r="221">
          <cell r="B221">
            <v>725</v>
          </cell>
          <cell r="C221" t="str">
            <v>한미리스</v>
          </cell>
        </row>
        <row r="222">
          <cell r="B222">
            <v>726</v>
          </cell>
          <cell r="C222" t="str">
            <v>기타리스</v>
          </cell>
        </row>
        <row r="223">
          <cell r="B223">
            <v>727</v>
          </cell>
          <cell r="C223" t="str">
            <v>광은리스</v>
          </cell>
        </row>
        <row r="224">
          <cell r="B224">
            <v>728</v>
          </cell>
          <cell r="C224" t="str">
            <v>휴렛팩커드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mbering"/>
      <sheetName val="현금 및 등가물"/>
      <sheetName val="금융상품의 종류"/>
      <sheetName val="유가증권"/>
      <sheetName val="매출채권"/>
      <sheetName val="매출분석적검토"/>
      <sheetName val="재고자산"/>
      <sheetName val="기타유동"/>
      <sheetName val="기타투자자산"/>
      <sheetName val="유형자산"/>
      <sheetName val="매입채무"/>
      <sheetName val="매입채무 Analytic"/>
      <sheetName val="차입금"/>
      <sheetName val="기타유동고정부채"/>
      <sheetName val="퇴충"/>
      <sheetName val="매출"/>
      <sheetName val="매출Analytic"/>
      <sheetName val="판관비"/>
      <sheetName val="법인세비용"/>
      <sheetName val="자본조정"/>
    </sheetNames>
    <sheetDataSet>
      <sheetData sheetId="0"/>
      <sheetData sheetId="1"/>
      <sheetData sheetId="2"/>
      <sheetData sheetId="3"/>
      <sheetData sheetId="4"/>
      <sheetData sheetId="5">
        <row r="20">
          <cell r="D20">
            <v>114120802750</v>
          </cell>
          <cell r="E20" t="str">
            <v>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1총괄"/>
      <sheetName val="1총괄 (2)"/>
      <sheetName val="2분기별"/>
      <sheetName val="3월별계획"/>
      <sheetName val="4폴총괄"/>
      <sheetName val="5폴(12)"/>
      <sheetName val="6폴GR수금"/>
      <sheetName val="7고무월별"/>
      <sheetName val="8고무GR"/>
      <sheetName val="9모노머"/>
      <sheetName val="폴GR수량(내수작업용) "/>
      <sheetName val="폴수량(내수본부용)"/>
      <sheetName val="폴GR수량단가(수출작업용)"/>
      <sheetName val="폴수출수량단가"/>
      <sheetName val="폴수량내수본부(OG)"/>
      <sheetName val="화성1팀"/>
      <sheetName val="화성2팀"/>
      <sheetName val="기초유분"/>
      <sheetName val="대비표"/>
      <sheetName val="01실적대비02계획(분석)"/>
      <sheetName val="MOU 대비 (분석)"/>
      <sheetName val="MOU 대비(%)"/>
      <sheetName val="ECG"/>
      <sheetName val="00실적01계획대비(%)"/>
      <sheetName val="4-1폴분기별"/>
      <sheetName val="7-1고무분기별"/>
      <sheetName val="2001실적"/>
      <sheetName val="01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>
            <v>1.18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8"/>
      <sheetName val="총14"/>
      <sheetName val="15"/>
      <sheetName val="재산55"/>
      <sheetName val="재산14번부터71"/>
      <sheetName val="재산(보수운용장비)98"/>
      <sheetName val="재산31번102"/>
      <sheetName val="수입물자106"/>
      <sheetName val="소모107"/>
      <sheetName val="금형비113"/>
      <sheetName val="금형산120"/>
      <sheetName val="금형30번134"/>
      <sheetName val="노135"/>
      <sheetName val="노산168"/>
      <sheetName val="노산14번부터184"/>
      <sheetName val="노산(보수운용장비)206"/>
      <sheetName val="도너스킷210"/>
      <sheetName val="노단212"/>
      <sheetName val="노공243"/>
      <sheetName val="노공14번부터259"/>
      <sheetName val="노공(보수장비)281"/>
      <sheetName val="노공(도너스킷)285"/>
      <sheetName val="간노286"/>
      <sheetName val="간노산287"/>
      <sheetName val="288"/>
      <sheetName val="경산296"/>
      <sheetName val="경부297"/>
      <sheetName val="경조298"/>
      <sheetName val="299"/>
      <sheetName val="일산300"/>
      <sheetName val="301"/>
      <sheetName val="공총302"/>
      <sheetName val="1)3훈비311"/>
      <sheetName val="일위316"/>
      <sheetName val="참고자료"/>
      <sheetName val="318"/>
      <sheetName val="간노319"/>
      <sheetName val="경320"/>
      <sheetName val="산재322"/>
      <sheetName val="건설공323"/>
      <sheetName val="경조324"/>
      <sheetName val="완성공사327"/>
      <sheetName val="일간328"/>
      <sheetName val="일산329"/>
      <sheetName val="이유간330"/>
      <sheetName val="이산317"/>
      <sheetName val="Sheet11"/>
      <sheetName val="수목데이타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C4" t="str">
            <v>드릴공</v>
          </cell>
          <cell r="E4">
            <v>26247</v>
          </cell>
          <cell r="F4">
            <v>8749</v>
          </cell>
          <cell r="G4">
            <v>2916</v>
          </cell>
          <cell r="H4">
            <v>37912</v>
          </cell>
          <cell r="I4">
            <v>4739</v>
          </cell>
        </row>
        <row r="5">
          <cell r="C5" t="str">
            <v>밀링공</v>
          </cell>
          <cell r="E5">
            <v>28544</v>
          </cell>
          <cell r="F5">
            <v>9514</v>
          </cell>
          <cell r="G5">
            <v>3171</v>
          </cell>
          <cell r="H5">
            <v>41229</v>
          </cell>
          <cell r="I5">
            <v>5153</v>
          </cell>
        </row>
        <row r="6">
          <cell r="C6" t="str">
            <v>절곡공</v>
          </cell>
          <cell r="E6">
            <v>29276</v>
          </cell>
          <cell r="F6">
            <v>9758</v>
          </cell>
          <cell r="G6">
            <v>3252</v>
          </cell>
          <cell r="H6">
            <v>42286</v>
          </cell>
          <cell r="I6">
            <v>5285</v>
          </cell>
        </row>
        <row r="7">
          <cell r="C7" t="str">
            <v>열처리공</v>
          </cell>
          <cell r="E7">
            <v>27918</v>
          </cell>
          <cell r="F7">
            <v>9306</v>
          </cell>
          <cell r="G7">
            <v>3102</v>
          </cell>
          <cell r="H7">
            <v>40326</v>
          </cell>
          <cell r="I7">
            <v>5040</v>
          </cell>
        </row>
        <row r="8">
          <cell r="C8" t="str">
            <v>태핑공</v>
          </cell>
          <cell r="E8">
            <v>25119</v>
          </cell>
          <cell r="F8">
            <v>8373</v>
          </cell>
          <cell r="G8">
            <v>2791</v>
          </cell>
          <cell r="H8">
            <v>36283</v>
          </cell>
          <cell r="I8">
            <v>4535</v>
          </cell>
        </row>
        <row r="9">
          <cell r="C9" t="str">
            <v>홉핑공</v>
          </cell>
          <cell r="E9">
            <v>27050</v>
          </cell>
          <cell r="F9">
            <v>9016</v>
          </cell>
          <cell r="G9">
            <v>3005</v>
          </cell>
          <cell r="H9">
            <v>39071</v>
          </cell>
          <cell r="I9">
            <v>4883</v>
          </cell>
        </row>
        <row r="10">
          <cell r="C10" t="str">
            <v>모형절단공</v>
          </cell>
          <cell r="E10">
            <v>28480</v>
          </cell>
          <cell r="F10">
            <v>9493</v>
          </cell>
          <cell r="G10">
            <v>3164</v>
          </cell>
          <cell r="H10">
            <v>41137</v>
          </cell>
          <cell r="I10">
            <v>5142</v>
          </cell>
        </row>
        <row r="11">
          <cell r="C11" t="str">
            <v>초음파절단공</v>
          </cell>
          <cell r="E11">
            <v>30738</v>
          </cell>
          <cell r="F11">
            <v>10246</v>
          </cell>
          <cell r="G11">
            <v>3415</v>
          </cell>
          <cell r="H11">
            <v>44399</v>
          </cell>
          <cell r="I11">
            <v>5549</v>
          </cell>
        </row>
        <row r="12">
          <cell r="C12" t="str">
            <v>밴딩머쉰공</v>
          </cell>
          <cell r="E12">
            <v>28032</v>
          </cell>
          <cell r="F12">
            <v>9344</v>
          </cell>
          <cell r="G12">
            <v>3114</v>
          </cell>
          <cell r="H12">
            <v>40490</v>
          </cell>
          <cell r="I12">
            <v>5061</v>
          </cell>
        </row>
        <row r="13">
          <cell r="C13" t="str">
            <v>수동선반공</v>
          </cell>
          <cell r="E13">
            <v>28446</v>
          </cell>
          <cell r="F13">
            <v>9482</v>
          </cell>
          <cell r="G13">
            <v>3160</v>
          </cell>
          <cell r="H13">
            <v>41088</v>
          </cell>
          <cell r="I13">
            <v>5136</v>
          </cell>
        </row>
        <row r="14">
          <cell r="C14" t="str">
            <v>자동선반공</v>
          </cell>
          <cell r="E14">
            <v>26787</v>
          </cell>
          <cell r="F14">
            <v>8929</v>
          </cell>
          <cell r="G14">
            <v>2976</v>
          </cell>
          <cell r="H14">
            <v>38692</v>
          </cell>
          <cell r="I14">
            <v>4836</v>
          </cell>
        </row>
        <row r="15">
          <cell r="C15" t="str">
            <v>프레스공</v>
          </cell>
          <cell r="E15">
            <v>26503</v>
          </cell>
          <cell r="F15">
            <v>8834</v>
          </cell>
          <cell r="G15">
            <v>2944</v>
          </cell>
          <cell r="H15">
            <v>38281</v>
          </cell>
          <cell r="I15">
            <v>4785</v>
          </cell>
        </row>
        <row r="16">
          <cell r="C16" t="str">
            <v>용접공</v>
          </cell>
          <cell r="E16">
            <v>27451</v>
          </cell>
          <cell r="F16">
            <v>9150</v>
          </cell>
          <cell r="G16">
            <v>3050</v>
          </cell>
          <cell r="H16">
            <v>39651</v>
          </cell>
          <cell r="I16">
            <v>4956</v>
          </cell>
        </row>
        <row r="17">
          <cell r="C17" t="str">
            <v>호닝공</v>
          </cell>
          <cell r="E17">
            <v>25022</v>
          </cell>
          <cell r="F17">
            <v>8340</v>
          </cell>
          <cell r="G17">
            <v>2780</v>
          </cell>
          <cell r="H17">
            <v>36142</v>
          </cell>
          <cell r="I17">
            <v>4517</v>
          </cell>
        </row>
        <row r="18">
          <cell r="C18" t="str">
            <v>도장공</v>
          </cell>
          <cell r="E18">
            <v>25584</v>
          </cell>
          <cell r="F18">
            <v>8528</v>
          </cell>
          <cell r="G18">
            <v>2842</v>
          </cell>
          <cell r="H18">
            <v>36954</v>
          </cell>
          <cell r="I18">
            <v>4619</v>
          </cell>
        </row>
        <row r="19">
          <cell r="C19" t="str">
            <v>연마공</v>
          </cell>
          <cell r="E19">
            <v>25024</v>
          </cell>
          <cell r="F19">
            <v>8341</v>
          </cell>
          <cell r="G19">
            <v>2780</v>
          </cell>
          <cell r="H19">
            <v>36145</v>
          </cell>
          <cell r="I19">
            <v>4518</v>
          </cell>
        </row>
        <row r="20">
          <cell r="C20" t="str">
            <v>도금공</v>
          </cell>
          <cell r="E20">
            <v>26478</v>
          </cell>
          <cell r="F20">
            <v>8826</v>
          </cell>
          <cell r="G20">
            <v>2942</v>
          </cell>
          <cell r="H20">
            <v>38246</v>
          </cell>
          <cell r="I20">
            <v>4780</v>
          </cell>
        </row>
        <row r="21">
          <cell r="C21" t="str">
            <v>부품조립공</v>
          </cell>
          <cell r="E21">
            <v>22810</v>
          </cell>
          <cell r="F21">
            <v>7603</v>
          </cell>
          <cell r="G21">
            <v>2534</v>
          </cell>
          <cell r="H21">
            <v>32947</v>
          </cell>
          <cell r="I21">
            <v>4118</v>
          </cell>
        </row>
        <row r="22">
          <cell r="C22" t="str">
            <v>통신기계조립공</v>
          </cell>
          <cell r="E22">
            <v>28514</v>
          </cell>
          <cell r="F22">
            <v>9504</v>
          </cell>
          <cell r="G22">
            <v>3168</v>
          </cell>
          <cell r="H22">
            <v>41186</v>
          </cell>
          <cell r="I22">
            <v>5148</v>
          </cell>
        </row>
        <row r="23">
          <cell r="C23" t="str">
            <v>제품시험공</v>
          </cell>
          <cell r="E23">
            <v>26916</v>
          </cell>
          <cell r="F23">
            <v>8972</v>
          </cell>
          <cell r="G23">
            <v>2990</v>
          </cell>
          <cell r="H23">
            <v>38878</v>
          </cell>
          <cell r="I23">
            <v>4859</v>
          </cell>
        </row>
        <row r="24">
          <cell r="C24" t="str">
            <v>제품검사공</v>
          </cell>
          <cell r="E24">
            <v>25982</v>
          </cell>
          <cell r="F24">
            <v>8660</v>
          </cell>
          <cell r="G24">
            <v>2886</v>
          </cell>
          <cell r="H24">
            <v>37528</v>
          </cell>
          <cell r="I24">
            <v>4691</v>
          </cell>
        </row>
        <row r="25">
          <cell r="C25" t="str">
            <v>제품조정공</v>
          </cell>
          <cell r="E25">
            <v>29650</v>
          </cell>
          <cell r="F25">
            <v>9883</v>
          </cell>
          <cell r="G25">
            <v>3294</v>
          </cell>
          <cell r="H25">
            <v>42827</v>
          </cell>
          <cell r="I25">
            <v>5353</v>
          </cell>
        </row>
        <row r="26">
          <cell r="C26" t="str">
            <v>다듬질공</v>
          </cell>
          <cell r="E26">
            <v>23884</v>
          </cell>
          <cell r="F26">
            <v>7961</v>
          </cell>
          <cell r="G26">
            <v>2653</v>
          </cell>
          <cell r="H26">
            <v>34498</v>
          </cell>
          <cell r="I26">
            <v>4312</v>
          </cell>
        </row>
        <row r="27">
          <cell r="C27" t="str">
            <v>보통인부</v>
          </cell>
          <cell r="E27">
            <v>24519</v>
          </cell>
          <cell r="F27">
            <v>8173</v>
          </cell>
          <cell r="G27">
            <v>2724</v>
          </cell>
          <cell r="H27">
            <v>35416</v>
          </cell>
          <cell r="I27">
            <v>4427</v>
          </cell>
        </row>
        <row r="28">
          <cell r="C28" t="str">
            <v>볼반공</v>
          </cell>
          <cell r="E28">
            <v>25134</v>
          </cell>
          <cell r="F28">
            <v>8378</v>
          </cell>
          <cell r="G28">
            <v>2792</v>
          </cell>
          <cell r="H28">
            <v>36304</v>
          </cell>
          <cell r="I28">
            <v>4538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8"/>
      <sheetName val="총14"/>
      <sheetName val="15"/>
      <sheetName val="Sheet1"/>
      <sheetName val="재산55 (수정편집)"/>
      <sheetName val="재산55"/>
      <sheetName val="재산14번부터71"/>
      <sheetName val="재산(보수운용장비)98"/>
      <sheetName val="재산31번102"/>
      <sheetName val="수입물자106"/>
      <sheetName val="소모107"/>
      <sheetName val="금형비113"/>
      <sheetName val="금형산120"/>
      <sheetName val="금형30번134"/>
      <sheetName val="노135"/>
      <sheetName val="노산14번부터184"/>
      <sheetName val="노산168 (수정편집)"/>
      <sheetName val="노산168"/>
      <sheetName val="노산(보수운용장비)206"/>
      <sheetName val="도너스킷210"/>
      <sheetName val="노단212"/>
      <sheetName val="노공243"/>
      <sheetName val="노공14번부터259"/>
      <sheetName val="노공(보수장비)281"/>
      <sheetName val="노공(도너스킷)285"/>
      <sheetName val="간노286"/>
      <sheetName val="간노산287"/>
      <sheetName val="288"/>
      <sheetName val="경산296"/>
      <sheetName val="경부297"/>
      <sheetName val="경조298"/>
      <sheetName val="299"/>
      <sheetName val="일산300"/>
      <sheetName val="301"/>
      <sheetName val="공총302"/>
      <sheetName val="1)3훈비311"/>
      <sheetName val="일위316"/>
      <sheetName val="참고자료"/>
      <sheetName val="318"/>
      <sheetName val="간노319"/>
      <sheetName val="경320"/>
      <sheetName val="산재322"/>
      <sheetName val="건설공323"/>
      <sheetName val="경조324"/>
      <sheetName val="완성공사327"/>
      <sheetName val="일간328"/>
      <sheetName val="일산329"/>
      <sheetName val="이유간330"/>
      <sheetName val="이산317"/>
      <sheetName val="Sheet11"/>
      <sheetName val="노단16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C4" t="str">
            <v>드릴공</v>
          </cell>
          <cell r="E4">
            <v>26247</v>
          </cell>
          <cell r="F4">
            <v>8749</v>
          </cell>
          <cell r="G4">
            <v>2916</v>
          </cell>
          <cell r="H4">
            <v>37912</v>
          </cell>
          <cell r="I4">
            <v>4739</v>
          </cell>
        </row>
        <row r="5">
          <cell r="C5" t="str">
            <v>밀링공</v>
          </cell>
          <cell r="E5">
            <v>28544</v>
          </cell>
          <cell r="F5">
            <v>9514</v>
          </cell>
          <cell r="G5">
            <v>3171</v>
          </cell>
          <cell r="H5">
            <v>41229</v>
          </cell>
          <cell r="I5">
            <v>5153</v>
          </cell>
        </row>
        <row r="6">
          <cell r="C6" t="str">
            <v>절곡공</v>
          </cell>
          <cell r="E6">
            <v>29276</v>
          </cell>
          <cell r="F6">
            <v>9758</v>
          </cell>
          <cell r="G6">
            <v>3252</v>
          </cell>
          <cell r="H6">
            <v>42286</v>
          </cell>
          <cell r="I6">
            <v>5285</v>
          </cell>
        </row>
        <row r="7">
          <cell r="C7" t="str">
            <v>열처리공</v>
          </cell>
          <cell r="E7">
            <v>27918</v>
          </cell>
          <cell r="F7">
            <v>9306</v>
          </cell>
          <cell r="G7">
            <v>3102</v>
          </cell>
          <cell r="H7">
            <v>40326</v>
          </cell>
          <cell r="I7">
            <v>5040</v>
          </cell>
        </row>
        <row r="8">
          <cell r="C8" t="str">
            <v>태핑공</v>
          </cell>
          <cell r="E8">
            <v>25119</v>
          </cell>
          <cell r="F8">
            <v>8373</v>
          </cell>
          <cell r="G8">
            <v>2791</v>
          </cell>
          <cell r="H8">
            <v>36283</v>
          </cell>
          <cell r="I8">
            <v>4535</v>
          </cell>
        </row>
        <row r="9">
          <cell r="C9" t="str">
            <v>홉핑공</v>
          </cell>
          <cell r="E9">
            <v>27050</v>
          </cell>
          <cell r="F9">
            <v>9016</v>
          </cell>
          <cell r="G9">
            <v>3005</v>
          </cell>
          <cell r="H9">
            <v>39071</v>
          </cell>
          <cell r="I9">
            <v>4883</v>
          </cell>
        </row>
        <row r="10">
          <cell r="C10" t="str">
            <v>모형절단공</v>
          </cell>
          <cell r="E10">
            <v>28480</v>
          </cell>
          <cell r="F10">
            <v>9493</v>
          </cell>
          <cell r="G10">
            <v>3164</v>
          </cell>
          <cell r="H10">
            <v>41137</v>
          </cell>
          <cell r="I10">
            <v>5142</v>
          </cell>
        </row>
        <row r="11">
          <cell r="C11" t="str">
            <v>초음파절단공</v>
          </cell>
          <cell r="E11">
            <v>30738</v>
          </cell>
          <cell r="F11">
            <v>10246</v>
          </cell>
          <cell r="G11">
            <v>3415</v>
          </cell>
          <cell r="H11">
            <v>44399</v>
          </cell>
          <cell r="I11">
            <v>5549</v>
          </cell>
        </row>
        <row r="12">
          <cell r="C12" t="str">
            <v>밴딩머쉰공</v>
          </cell>
          <cell r="E12">
            <v>28032</v>
          </cell>
          <cell r="F12">
            <v>9344</v>
          </cell>
          <cell r="G12">
            <v>3114</v>
          </cell>
          <cell r="H12">
            <v>40490</v>
          </cell>
          <cell r="I12">
            <v>5061</v>
          </cell>
        </row>
        <row r="13">
          <cell r="C13" t="str">
            <v>수동선반공</v>
          </cell>
          <cell r="E13">
            <v>28446</v>
          </cell>
          <cell r="F13">
            <v>9482</v>
          </cell>
          <cell r="G13">
            <v>3160</v>
          </cell>
          <cell r="H13">
            <v>41088</v>
          </cell>
          <cell r="I13">
            <v>5136</v>
          </cell>
        </row>
        <row r="14">
          <cell r="C14" t="str">
            <v>자동선반공</v>
          </cell>
          <cell r="E14">
            <v>26787</v>
          </cell>
          <cell r="F14">
            <v>8929</v>
          </cell>
          <cell r="G14">
            <v>2976</v>
          </cell>
          <cell r="H14">
            <v>38692</v>
          </cell>
          <cell r="I14">
            <v>4836</v>
          </cell>
        </row>
        <row r="15">
          <cell r="C15" t="str">
            <v>프레스공</v>
          </cell>
          <cell r="E15">
            <v>26503</v>
          </cell>
          <cell r="F15">
            <v>8834</v>
          </cell>
          <cell r="G15">
            <v>2944</v>
          </cell>
          <cell r="H15">
            <v>38281</v>
          </cell>
          <cell r="I15">
            <v>4785</v>
          </cell>
        </row>
        <row r="16">
          <cell r="C16" t="str">
            <v>용접공</v>
          </cell>
          <cell r="E16">
            <v>27451</v>
          </cell>
          <cell r="F16">
            <v>9150</v>
          </cell>
          <cell r="G16">
            <v>3050</v>
          </cell>
          <cell r="H16">
            <v>39651</v>
          </cell>
          <cell r="I16">
            <v>4956</v>
          </cell>
        </row>
        <row r="17">
          <cell r="C17" t="str">
            <v>호닝공</v>
          </cell>
          <cell r="E17">
            <v>25022</v>
          </cell>
          <cell r="F17">
            <v>8340</v>
          </cell>
          <cell r="G17">
            <v>2780</v>
          </cell>
          <cell r="H17">
            <v>36142</v>
          </cell>
          <cell r="I17">
            <v>4517</v>
          </cell>
        </row>
        <row r="18">
          <cell r="C18" t="str">
            <v>도장공</v>
          </cell>
          <cell r="E18">
            <v>25584</v>
          </cell>
          <cell r="F18">
            <v>8528</v>
          </cell>
          <cell r="G18">
            <v>2842</v>
          </cell>
          <cell r="H18">
            <v>36954</v>
          </cell>
          <cell r="I18">
            <v>4619</v>
          </cell>
        </row>
        <row r="19">
          <cell r="C19" t="str">
            <v>연마공</v>
          </cell>
          <cell r="E19">
            <v>25024</v>
          </cell>
          <cell r="F19">
            <v>8341</v>
          </cell>
          <cell r="G19">
            <v>2780</v>
          </cell>
          <cell r="H19">
            <v>36145</v>
          </cell>
          <cell r="I19">
            <v>4518</v>
          </cell>
        </row>
        <row r="20">
          <cell r="C20" t="str">
            <v>도금공</v>
          </cell>
          <cell r="E20">
            <v>26478</v>
          </cell>
          <cell r="F20">
            <v>8826</v>
          </cell>
          <cell r="G20">
            <v>2942</v>
          </cell>
          <cell r="H20">
            <v>38246</v>
          </cell>
          <cell r="I20">
            <v>4780</v>
          </cell>
        </row>
        <row r="21">
          <cell r="C21" t="str">
            <v>부품조립공</v>
          </cell>
          <cell r="E21">
            <v>22810</v>
          </cell>
          <cell r="F21">
            <v>7603</v>
          </cell>
          <cell r="G21">
            <v>2534</v>
          </cell>
          <cell r="H21">
            <v>32947</v>
          </cell>
          <cell r="I21">
            <v>4118</v>
          </cell>
        </row>
        <row r="22">
          <cell r="C22" t="str">
            <v>통신기계조립공</v>
          </cell>
          <cell r="E22">
            <v>28514</v>
          </cell>
          <cell r="F22">
            <v>9504</v>
          </cell>
          <cell r="G22">
            <v>3168</v>
          </cell>
          <cell r="H22">
            <v>41186</v>
          </cell>
          <cell r="I22">
            <v>5148</v>
          </cell>
        </row>
        <row r="23">
          <cell r="C23" t="str">
            <v>제품시험공</v>
          </cell>
          <cell r="E23">
            <v>26916</v>
          </cell>
          <cell r="F23">
            <v>8972</v>
          </cell>
          <cell r="G23">
            <v>2990</v>
          </cell>
          <cell r="H23">
            <v>38878</v>
          </cell>
          <cell r="I23">
            <v>4859</v>
          </cell>
        </row>
        <row r="24">
          <cell r="C24" t="str">
            <v>제품검사공</v>
          </cell>
          <cell r="E24">
            <v>25982</v>
          </cell>
          <cell r="F24">
            <v>8660</v>
          </cell>
          <cell r="G24">
            <v>2886</v>
          </cell>
          <cell r="H24">
            <v>37528</v>
          </cell>
          <cell r="I24">
            <v>4691</v>
          </cell>
        </row>
        <row r="25">
          <cell r="C25" t="str">
            <v>제품조정공</v>
          </cell>
          <cell r="E25">
            <v>29650</v>
          </cell>
          <cell r="F25">
            <v>9883</v>
          </cell>
          <cell r="G25">
            <v>3294</v>
          </cell>
          <cell r="H25">
            <v>42827</v>
          </cell>
          <cell r="I25">
            <v>5353</v>
          </cell>
        </row>
        <row r="26">
          <cell r="C26" t="str">
            <v>다듬질공</v>
          </cell>
          <cell r="E26">
            <v>23884</v>
          </cell>
          <cell r="F26">
            <v>7961</v>
          </cell>
          <cell r="G26">
            <v>2653</v>
          </cell>
          <cell r="H26">
            <v>34498</v>
          </cell>
          <cell r="I26">
            <v>4312</v>
          </cell>
        </row>
        <row r="27">
          <cell r="C27" t="str">
            <v>보통인부</v>
          </cell>
          <cell r="E27">
            <v>24519</v>
          </cell>
          <cell r="F27">
            <v>8173</v>
          </cell>
          <cell r="G27">
            <v>2724</v>
          </cell>
          <cell r="H27">
            <v>35416</v>
          </cell>
          <cell r="I27">
            <v>4427</v>
          </cell>
        </row>
        <row r="28">
          <cell r="C28" t="str">
            <v>볼반공</v>
          </cell>
          <cell r="E28">
            <v>25134</v>
          </cell>
          <cell r="F28">
            <v>8378</v>
          </cell>
          <cell r="G28">
            <v>2792</v>
          </cell>
          <cell r="H28">
            <v>36304</v>
          </cell>
          <cell r="I28">
            <v>4538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"/>
      <sheetName val="환율"/>
      <sheetName val="예상총괄 "/>
      <sheetName val="예폴"/>
      <sheetName val="예고"/>
      <sheetName val="예모"/>
      <sheetName val="월말총괄  "/>
      <sheetName val="익폴계"/>
      <sheetName val="익고계"/>
      <sheetName val="익모계"/>
      <sheetName val="당계대당실분석"/>
      <sheetName val="익월판계(분석1)"/>
      <sheetName val="익월계획조정비교표"/>
      <sheetName val="당실대익월판계(분석2)"/>
      <sheetName val="12월실대익월판계(분석재정2) (2)"/>
      <sheetName val="익월판계(사업계획년평균대비)"/>
      <sheetName val="익월판계(사업계획대비)"/>
      <sheetName val="익월판계(분석1) (2)"/>
      <sheetName val="익월판계(분석1) (조정안)"/>
      <sheetName val="당실대익월판계(분석2) (조정안)"/>
      <sheetName val="당실대익월판계(조정비교표)"/>
      <sheetName val="익모계 (2)"/>
      <sheetName val="모총괄"/>
      <sheetName val="당월판매실적 "/>
      <sheetName val="당실대익월판계(조정)"/>
      <sheetName val="익월판매계획"/>
      <sheetName val="전실대당실(분석4) "/>
      <sheetName val="전실대익월판계(분석5) "/>
      <sheetName val="영업회계실적분석"/>
      <sheetName val="Sheet6"/>
    </sheetNames>
    <sheetDataSet>
      <sheetData sheetId="0" refreshError="1"/>
      <sheetData sheetId="1" refreshError="1"/>
      <sheetData sheetId="2" refreshError="1">
        <row r="2">
          <cell r="F2">
            <v>1.25</v>
          </cell>
        </row>
        <row r="3">
          <cell r="F3">
            <v>1.252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구은행"/>
      <sheetName val="대동은행"/>
      <sheetName val="하나은행"/>
      <sheetName val="Macro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MBPL"/>
    </sheetNames>
    <sheetDataSet>
      <sheetData sheetId="0" refreshError="1">
        <row r="55">
          <cell r="S55">
            <v>0</v>
          </cell>
        </row>
        <row r="56">
          <cell r="S56">
            <v>0</v>
          </cell>
        </row>
        <row r="57">
          <cell r="S57">
            <v>538049</v>
          </cell>
        </row>
        <row r="58">
          <cell r="S58">
            <v>897651</v>
          </cell>
        </row>
        <row r="59">
          <cell r="S59">
            <v>0</v>
          </cell>
        </row>
        <row r="60">
          <cell r="S60">
            <v>152525</v>
          </cell>
        </row>
        <row r="61">
          <cell r="S61">
            <v>56966</v>
          </cell>
        </row>
        <row r="62">
          <cell r="S62">
            <v>241716</v>
          </cell>
        </row>
        <row r="63">
          <cell r="S63">
            <v>0</v>
          </cell>
        </row>
        <row r="64">
          <cell r="S64">
            <v>278318</v>
          </cell>
        </row>
        <row r="65">
          <cell r="S65">
            <v>348129</v>
          </cell>
        </row>
        <row r="66">
          <cell r="S66">
            <v>188571</v>
          </cell>
        </row>
        <row r="67">
          <cell r="S67">
            <v>30690</v>
          </cell>
        </row>
        <row r="68">
          <cell r="S68">
            <v>39468</v>
          </cell>
        </row>
        <row r="69">
          <cell r="S69">
            <v>22837</v>
          </cell>
        </row>
        <row r="70">
          <cell r="S70">
            <v>23964</v>
          </cell>
        </row>
        <row r="71">
          <cell r="S71">
            <v>6601</v>
          </cell>
        </row>
        <row r="72">
          <cell r="S72">
            <v>237426</v>
          </cell>
        </row>
        <row r="73">
          <cell r="S73">
            <v>278318</v>
          </cell>
        </row>
        <row r="74">
          <cell r="S74">
            <v>348129</v>
          </cell>
        </row>
        <row r="75">
          <cell r="S75">
            <v>188571</v>
          </cell>
        </row>
        <row r="76">
          <cell r="S76">
            <v>2701</v>
          </cell>
        </row>
        <row r="77">
          <cell r="S77">
            <v>484736</v>
          </cell>
        </row>
        <row r="78">
          <cell r="S78">
            <v>66817</v>
          </cell>
        </row>
        <row r="79">
          <cell r="S79">
            <v>162668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설명"/>
      <sheetName val="원가"/>
      <sheetName val="불진"/>
      <sheetName val="갑지 "/>
      <sheetName val="공사비증감"/>
      <sheetName val="보완"/>
      <sheetName val="배수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물"/>
      <sheetName val="건물 (2)"/>
      <sheetName val="구축물"/>
      <sheetName val="기계"/>
      <sheetName val="차량"/>
      <sheetName val="비품"/>
      <sheetName val="Module2"/>
      <sheetName val="리드14"/>
      <sheetName val="오에스지감가99(수정)"/>
      <sheetName val="계정별실적"/>
      <sheetName val="부채계정"/>
      <sheetName val="대구은행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DATAFILE"/>
      <sheetName val="3공구"/>
      <sheetName val="Sheet1"/>
      <sheetName val="Sheet2"/>
      <sheetName val="Sheet3"/>
      <sheetName val="덕전리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포장수량"/>
      <sheetName val="포장재료"/>
      <sheetName val="집계"/>
      <sheetName val="집계표"/>
      <sheetName val="차도부"/>
      <sheetName val="차도부조서"/>
      <sheetName val="길어깨부"/>
      <sheetName val="길어깨부조서"/>
      <sheetName val="접속부"/>
      <sheetName val="가,감속부"/>
      <sheetName val="변화구간"/>
      <sheetName val="CON'C포장"/>
      <sheetName val="차도1산출"/>
      <sheetName val="차도2산출"/>
      <sheetName val="차도3산출"/>
      <sheetName val="TYPE-3산출"/>
      <sheetName val="TYPE-4산출"/>
      <sheetName val="TYPE-5산출 "/>
      <sheetName val="Sheet2"/>
      <sheetName val="Sheet3"/>
      <sheetName val="SG"/>
      <sheetName val="날개벽수량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구은행"/>
      <sheetName val="대동은행"/>
      <sheetName val="하나은행"/>
      <sheetName val="연차1"/>
      <sheetName val="인원계획-미화"/>
      <sheetName val="2.대외공문"/>
      <sheetName val="수정시산표"/>
      <sheetName val="연구인원내역"/>
      <sheetName val="기본"/>
      <sheetName val="97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AN43"/>
      <sheetName val="판촉비상세내역"/>
    </sheetNames>
    <sheetDataSet>
      <sheetData sheetId="0" refreshError="1"/>
      <sheetData sheetId="1" refreshError="1">
        <row r="10">
          <cell r="E10" t="str">
            <v>4월</v>
          </cell>
        </row>
      </sheetData>
      <sheetData sheetId="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도별매출현황"/>
      <sheetName val="1단지]"/>
      <sheetName val="2단지"/>
      <sheetName val="합성고무"/>
      <sheetName val="2000계 (2)"/>
      <sheetName val="2002계 (2)"/>
      <sheetName val="2000내수"/>
      <sheetName val="2000수출"/>
      <sheetName val="2000계"/>
      <sheetName val="2002내수"/>
      <sheetName val="2002수출"/>
      <sheetName val="2002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2">
          <cell r="G222">
            <v>1181.33</v>
          </cell>
        </row>
        <row r="223">
          <cell r="G223">
            <v>-2.9800000000000182</v>
          </cell>
        </row>
        <row r="224">
          <cell r="G224">
            <v>-13.3900000000001</v>
          </cell>
        </row>
      </sheetData>
      <sheetData sheetId="8"/>
      <sheetData sheetId="9"/>
      <sheetData sheetId="10">
        <row r="206">
          <cell r="F206">
            <v>1.3299999999999272</v>
          </cell>
        </row>
      </sheetData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"/>
      <sheetName val="환율"/>
      <sheetName val="예상총괄 "/>
      <sheetName val="예폴"/>
      <sheetName val="예고"/>
      <sheetName val="예모"/>
      <sheetName val="월말총괄  "/>
      <sheetName val="익폴계"/>
      <sheetName val="익고계"/>
      <sheetName val="익모계"/>
      <sheetName val="당계대당실분석"/>
      <sheetName val="당계대당실분석 (2)"/>
      <sheetName val="익월판계(분석1)"/>
      <sheetName val="당실대익월판계(분석2)"/>
      <sheetName val="익월계획조정비교표"/>
      <sheetName val="익월계획조정비교표 (2)"/>
      <sheetName val="익월판계(사업계획년평균대비)"/>
      <sheetName val="익월판계(사업계획대비)"/>
      <sheetName val="익월판계(분석1) (2)"/>
      <sheetName val="익월판계(분석1) (조정안)"/>
      <sheetName val="당실대익월판계(분석2) (조정안)"/>
      <sheetName val="당실대익월판계(조정비교표)"/>
      <sheetName val="4월예상"/>
      <sheetName val="당월판매실적 "/>
      <sheetName val="당실대익월판계(조정)"/>
      <sheetName val="익월판매계획"/>
      <sheetName val="전실대당실(분석4) "/>
      <sheetName val="전실대익월판계(분석5) "/>
      <sheetName val="영업회계실적분석"/>
      <sheetName val="Sheet6"/>
    </sheetNames>
    <sheetDataSet>
      <sheetData sheetId="0"/>
      <sheetData sheetId="1"/>
      <sheetData sheetId="2">
        <row r="4">
          <cell r="B4">
            <v>1.3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율"/>
      <sheetName val="xxxxxx"/>
    </sheetNames>
    <sheetDataSet>
      <sheetData sheetId="0" refreshError="1">
        <row r="3">
          <cell r="B3">
            <v>0.88460000000000005</v>
          </cell>
        </row>
      </sheetData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over"/>
      <sheetName val="문구"/>
      <sheetName val="주소"/>
      <sheetName val="control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Sheet12 (2)"/>
      <sheetName val="Sheet13 (2)"/>
      <sheetName val="Sheet14 (2)"/>
      <sheetName val="Sheet15 (2)"/>
      <sheetName val="Sheet16 (2)"/>
      <sheetName val="Module4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6">
            <v>1</v>
          </cell>
          <cell r="C6" t="str">
            <v>장웅걸</v>
          </cell>
          <cell r="H6">
            <v>214</v>
          </cell>
        </row>
        <row r="7">
          <cell r="A7">
            <v>2</v>
          </cell>
          <cell r="C7" t="str">
            <v>권영세</v>
          </cell>
          <cell r="H7">
            <v>60</v>
          </cell>
        </row>
        <row r="8">
          <cell r="A8">
            <v>3</v>
          </cell>
          <cell r="C8" t="str">
            <v>진혁</v>
          </cell>
          <cell r="H8">
            <v>800</v>
          </cell>
        </row>
        <row r="9">
          <cell r="A9">
            <v>4</v>
          </cell>
          <cell r="C9" t="str">
            <v>박금희</v>
          </cell>
          <cell r="G9">
            <v>640</v>
          </cell>
        </row>
        <row r="10">
          <cell r="A10">
            <v>5</v>
          </cell>
          <cell r="C10" t="str">
            <v>권용진</v>
          </cell>
          <cell r="G10">
            <v>500</v>
          </cell>
          <cell r="H10">
            <v>820</v>
          </cell>
        </row>
        <row r="11">
          <cell r="A11">
            <v>6</v>
          </cell>
          <cell r="C11" t="str">
            <v>이재춘</v>
          </cell>
          <cell r="G11">
            <v>72</v>
          </cell>
          <cell r="H11">
            <v>255</v>
          </cell>
        </row>
        <row r="12">
          <cell r="A12">
            <v>7</v>
          </cell>
          <cell r="C12" t="str">
            <v>송화선</v>
          </cell>
          <cell r="H12">
            <v>1020</v>
          </cell>
        </row>
        <row r="13">
          <cell r="A13">
            <v>8</v>
          </cell>
          <cell r="C13" t="str">
            <v>강홍구</v>
          </cell>
          <cell r="G13">
            <v>30</v>
          </cell>
          <cell r="H13">
            <v>280</v>
          </cell>
        </row>
        <row r="14">
          <cell r="A14">
            <v>9</v>
          </cell>
          <cell r="C14" t="str">
            <v>이대희</v>
          </cell>
          <cell r="G14">
            <v>300</v>
          </cell>
          <cell r="H14">
            <v>50</v>
          </cell>
        </row>
        <row r="15">
          <cell r="A15">
            <v>10</v>
          </cell>
          <cell r="C15" t="str">
            <v>홍재일</v>
          </cell>
          <cell r="G15">
            <v>200</v>
          </cell>
          <cell r="H15">
            <v>666</v>
          </cell>
        </row>
        <row r="16">
          <cell r="A16">
            <v>11</v>
          </cell>
          <cell r="C16" t="str">
            <v>임필기</v>
          </cell>
          <cell r="G16">
            <v>1100</v>
          </cell>
        </row>
        <row r="17">
          <cell r="A17">
            <v>12</v>
          </cell>
          <cell r="C17" t="str">
            <v>연경흠</v>
          </cell>
          <cell r="G17">
            <v>30</v>
          </cell>
          <cell r="H17">
            <v>230</v>
          </cell>
        </row>
        <row r="18">
          <cell r="A18">
            <v>13</v>
          </cell>
          <cell r="C18" t="str">
            <v>권재순</v>
          </cell>
          <cell r="G18">
            <v>345</v>
          </cell>
          <cell r="H18">
            <v>100</v>
          </cell>
          <cell r="J18">
            <v>60</v>
          </cell>
        </row>
        <row r="19">
          <cell r="A19">
            <v>14</v>
          </cell>
          <cell r="C19" t="str">
            <v>남수모</v>
          </cell>
          <cell r="G19">
            <v>234</v>
          </cell>
          <cell r="H19">
            <v>200</v>
          </cell>
        </row>
        <row r="20">
          <cell r="A20">
            <v>15</v>
          </cell>
          <cell r="C20" t="str">
            <v>강영금</v>
          </cell>
          <cell r="E20">
            <v>23</v>
          </cell>
          <cell r="G20">
            <v>249</v>
          </cell>
        </row>
        <row r="21">
          <cell r="A21">
            <v>16</v>
          </cell>
          <cell r="C21" t="str">
            <v>김종찬</v>
          </cell>
          <cell r="G21">
            <v>350</v>
          </cell>
        </row>
        <row r="22">
          <cell r="A22">
            <v>17</v>
          </cell>
          <cell r="C22" t="str">
            <v>이재천</v>
          </cell>
          <cell r="G22">
            <v>450</v>
          </cell>
          <cell r="J22">
            <v>50</v>
          </cell>
        </row>
        <row r="23">
          <cell r="A23">
            <v>18</v>
          </cell>
          <cell r="C23" t="str">
            <v>한성식</v>
          </cell>
          <cell r="G23">
            <v>357</v>
          </cell>
        </row>
        <row r="24">
          <cell r="A24">
            <v>19</v>
          </cell>
          <cell r="C24" t="str">
            <v>영남건설㈜</v>
          </cell>
          <cell r="G24">
            <v>200</v>
          </cell>
          <cell r="H24">
            <v>600</v>
          </cell>
        </row>
        <row r="25">
          <cell r="A25">
            <v>20</v>
          </cell>
          <cell r="C25" t="str">
            <v>이외숙</v>
          </cell>
          <cell r="G25">
            <v>480</v>
          </cell>
        </row>
        <row r="26">
          <cell r="A26">
            <v>21</v>
          </cell>
          <cell r="C26" t="str">
            <v>장성숙</v>
          </cell>
          <cell r="G26">
            <v>159</v>
          </cell>
          <cell r="H26">
            <v>100</v>
          </cell>
          <cell r="J26">
            <v>507</v>
          </cell>
        </row>
        <row r="27">
          <cell r="A27">
            <v>22</v>
          </cell>
          <cell r="C27" t="str">
            <v>김성희</v>
          </cell>
          <cell r="G27">
            <v>285</v>
          </cell>
          <cell r="H27">
            <v>50</v>
          </cell>
        </row>
        <row r="28">
          <cell r="A28">
            <v>23</v>
          </cell>
          <cell r="C28" t="str">
            <v>일광주택건설㈜</v>
          </cell>
          <cell r="G28">
            <v>1050</v>
          </cell>
        </row>
        <row r="29">
          <cell r="A29">
            <v>24</v>
          </cell>
          <cell r="C29" t="str">
            <v>김기선</v>
          </cell>
          <cell r="G29">
            <v>570</v>
          </cell>
          <cell r="H29">
            <v>974</v>
          </cell>
        </row>
        <row r="30">
          <cell r="A30">
            <v>25</v>
          </cell>
          <cell r="C30" t="str">
            <v>진창삼</v>
          </cell>
          <cell r="H30">
            <v>1342</v>
          </cell>
        </row>
        <row r="31">
          <cell r="A31">
            <v>26</v>
          </cell>
          <cell r="C31" t="str">
            <v>김주혁</v>
          </cell>
          <cell r="G31">
            <v>733</v>
          </cell>
        </row>
        <row r="32">
          <cell r="A32">
            <v>27</v>
          </cell>
          <cell r="C32" t="str">
            <v>김춘년</v>
          </cell>
          <cell r="G32">
            <v>892</v>
          </cell>
        </row>
        <row r="33">
          <cell r="A33">
            <v>28</v>
          </cell>
          <cell r="C33" t="str">
            <v>황분남</v>
          </cell>
          <cell r="G33">
            <v>120</v>
          </cell>
          <cell r="H33">
            <v>50</v>
          </cell>
        </row>
        <row r="34">
          <cell r="A34">
            <v>29</v>
          </cell>
          <cell r="C34" t="str">
            <v>㈜세현주택</v>
          </cell>
          <cell r="H34">
            <v>500</v>
          </cell>
        </row>
        <row r="35">
          <cell r="A35">
            <v>30</v>
          </cell>
          <cell r="C35" t="str">
            <v>태정주택건설㈜</v>
          </cell>
          <cell r="G35">
            <v>1230</v>
          </cell>
          <cell r="H35">
            <v>390</v>
          </cell>
        </row>
        <row r="36">
          <cell r="A36">
            <v>31</v>
          </cell>
          <cell r="C36" t="str">
            <v>김상극</v>
          </cell>
          <cell r="G36">
            <v>550</v>
          </cell>
        </row>
        <row r="37">
          <cell r="A37">
            <v>32</v>
          </cell>
          <cell r="C37" t="str">
            <v>안옥주</v>
          </cell>
          <cell r="H37">
            <v>350</v>
          </cell>
          <cell r="J37">
            <v>340</v>
          </cell>
        </row>
        <row r="38">
          <cell r="A38">
            <v>33</v>
          </cell>
          <cell r="C38" t="str">
            <v>박재청</v>
          </cell>
          <cell r="G38">
            <v>880</v>
          </cell>
        </row>
        <row r="39">
          <cell r="A39">
            <v>34</v>
          </cell>
          <cell r="C39" t="str">
            <v>㈜대진식품</v>
          </cell>
          <cell r="G39">
            <v>930</v>
          </cell>
        </row>
        <row r="40">
          <cell r="A40">
            <v>35</v>
          </cell>
          <cell r="C40" t="str">
            <v>제일경동요업㈜</v>
          </cell>
          <cell r="G40">
            <v>930</v>
          </cell>
        </row>
        <row r="41">
          <cell r="A41">
            <v>36</v>
          </cell>
          <cell r="C41" t="str">
            <v>이기섭</v>
          </cell>
          <cell r="H41">
            <v>600</v>
          </cell>
          <cell r="J41">
            <v>187</v>
          </cell>
        </row>
        <row r="42">
          <cell r="A42">
            <v>37</v>
          </cell>
          <cell r="C42" t="str">
            <v>㈜진영</v>
          </cell>
          <cell r="H42">
            <v>1190</v>
          </cell>
        </row>
        <row r="43">
          <cell r="A43">
            <v>38</v>
          </cell>
          <cell r="C43" t="str">
            <v>범호건설㈜</v>
          </cell>
          <cell r="G43">
            <v>450</v>
          </cell>
          <cell r="J43">
            <v>56</v>
          </cell>
        </row>
        <row r="44">
          <cell r="A44">
            <v>39</v>
          </cell>
          <cell r="C44" t="str">
            <v>김애정</v>
          </cell>
          <cell r="H44">
            <v>400</v>
          </cell>
        </row>
        <row r="45">
          <cell r="A45">
            <v>40</v>
          </cell>
          <cell r="C45" t="str">
            <v>천광기업㈜</v>
          </cell>
          <cell r="G45">
            <v>340</v>
          </cell>
          <cell r="H45">
            <v>750</v>
          </cell>
        </row>
        <row r="46">
          <cell r="A46">
            <v>41</v>
          </cell>
          <cell r="C46" t="str">
            <v>박판수</v>
          </cell>
          <cell r="H46">
            <v>1200</v>
          </cell>
        </row>
        <row r="47">
          <cell r="A47">
            <v>42</v>
          </cell>
          <cell r="C47" t="str">
            <v>후포수산물㈜</v>
          </cell>
          <cell r="G47">
            <v>1250</v>
          </cell>
        </row>
        <row r="48">
          <cell r="A48">
            <v>43</v>
          </cell>
          <cell r="C48" t="str">
            <v>최문철</v>
          </cell>
          <cell r="G48">
            <v>1100</v>
          </cell>
          <cell r="J48">
            <v>16</v>
          </cell>
        </row>
        <row r="49">
          <cell r="A49">
            <v>44</v>
          </cell>
          <cell r="C49" t="str">
            <v>이창호</v>
          </cell>
          <cell r="G49">
            <v>100</v>
          </cell>
          <cell r="H49">
            <v>600</v>
          </cell>
        </row>
        <row r="50">
          <cell r="A50">
            <v>45</v>
          </cell>
          <cell r="C50" t="str">
            <v>대진산업㈜</v>
          </cell>
          <cell r="H50">
            <v>799</v>
          </cell>
          <cell r="J50">
            <v>338</v>
          </cell>
        </row>
        <row r="51">
          <cell r="A51">
            <v>46</v>
          </cell>
          <cell r="C51" t="str">
            <v>마로종합건설㈜</v>
          </cell>
          <cell r="G51">
            <v>1100</v>
          </cell>
          <cell r="H51">
            <v>350</v>
          </cell>
        </row>
        <row r="52">
          <cell r="A52">
            <v>47</v>
          </cell>
          <cell r="C52" t="str">
            <v>고목훈</v>
          </cell>
          <cell r="G52">
            <v>1000</v>
          </cell>
        </row>
        <row r="53">
          <cell r="A53">
            <v>48</v>
          </cell>
          <cell r="C53" t="str">
            <v>계몽도서경판㈜</v>
          </cell>
          <cell r="H53">
            <v>500</v>
          </cell>
          <cell r="J53">
            <v>550</v>
          </cell>
        </row>
        <row r="54">
          <cell r="A54">
            <v>49</v>
          </cell>
          <cell r="C54" t="str">
            <v>양승찬</v>
          </cell>
          <cell r="H54">
            <v>1043</v>
          </cell>
        </row>
        <row r="55">
          <cell r="A55">
            <v>50</v>
          </cell>
          <cell r="C55" t="str">
            <v>최성훈</v>
          </cell>
          <cell r="H55">
            <v>150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특수"/>
      <sheetName val="참고"/>
      <sheetName val="현장"/>
      <sheetName val="계획대비"/>
      <sheetName val="Sheet5"/>
      <sheetName val="영문"/>
      <sheetName val="출금실적"/>
      <sheetName val="외화"/>
      <sheetName val="수정시산표"/>
      <sheetName val="LIST"/>
      <sheetName val="미지급금"/>
      <sheetName val="골조시행"/>
      <sheetName val="출자한도"/>
      <sheetName val="건축내역"/>
      <sheetName val="예산"/>
      <sheetName val="손익차9월2"/>
      <sheetName val="Sheet2"/>
      <sheetName val="부재리스트"/>
      <sheetName val="양식0202"/>
      <sheetName val="현장명"/>
      <sheetName val="내역"/>
      <sheetName val="경영혁신본부"/>
      <sheetName val="#REF"/>
      <sheetName val="할증 "/>
      <sheetName val="차액보증"/>
      <sheetName val="사업부배부A"/>
      <sheetName val="당진1,2호기전선관설치및접지4차공사내역서-을지"/>
      <sheetName val="입찰안"/>
      <sheetName val="1001"/>
      <sheetName val="내역서"/>
      <sheetName val="12CGOU"/>
      <sheetName val="특외대"/>
      <sheetName val="첨부1"/>
      <sheetName val="기준액"/>
      <sheetName val="95년12월말"/>
      <sheetName val="리비아전체장비200306"/>
      <sheetName val="BID"/>
      <sheetName val="경산"/>
      <sheetName val="BOJUNGGM"/>
      <sheetName val="MIJIBI"/>
      <sheetName val="손익9801"/>
      <sheetName val="가로등내역서"/>
      <sheetName val="구분"/>
      <sheetName val="목창호"/>
      <sheetName val="실행철강하도"/>
      <sheetName val="도급양식"/>
      <sheetName val="기성현황"/>
      <sheetName val="사업전망"/>
      <sheetName val="원가현황"/>
      <sheetName val="당초"/>
      <sheetName val="SG"/>
      <sheetName val="기성수금(단단위)"/>
      <sheetName val="원가매출(단단위)"/>
      <sheetName val="2.예금"/>
      <sheetName val="인수공규격"/>
      <sheetName val="현금"/>
      <sheetName val="감가상각"/>
      <sheetName val="누계12"/>
      <sheetName val="RECIMAKE"/>
      <sheetName val="NYS"/>
      <sheetName val="대,유,램"/>
      <sheetName val="EACT10"/>
      <sheetName val="경비"/>
      <sheetName val="보증수수료산출"/>
      <sheetName val="200"/>
      <sheetName val="집계표"/>
      <sheetName val="인건-측정"/>
      <sheetName val="매출원가"/>
      <sheetName val="실행"/>
      <sheetName val="내역서2안"/>
      <sheetName val="일위대가"/>
      <sheetName val="준검 내역서"/>
      <sheetName val="지질조사"/>
      <sheetName val="경영비율 "/>
      <sheetName val="Input"/>
      <sheetName val="도급견적가"/>
      <sheetName val="남양시작동자105노65기1.3화1.2"/>
      <sheetName val="조명시설"/>
      <sheetName val="중기"/>
      <sheetName val="데리네이타현황"/>
      <sheetName val="총보수(월)"/>
      <sheetName val="실적"/>
      <sheetName val="총괄(회사1)"/>
      <sheetName val="생산매출 (4)"/>
      <sheetName val="연환"/>
      <sheetName val="주요기준"/>
      <sheetName val="VXXXXXX"/>
      <sheetName val="주요재무비율"/>
      <sheetName val="Sheet1"/>
      <sheetName val="보험금"/>
      <sheetName val="남대문빌딩"/>
      <sheetName val="2000년1차"/>
      <sheetName val="2공구산출내역"/>
      <sheetName val="토공(우물통,기타) "/>
      <sheetName val="원가"/>
      <sheetName val="Sheet6"/>
      <sheetName val="산출근거"/>
      <sheetName val="견적서"/>
      <sheetName val="단가조사"/>
      <sheetName val="패널"/>
      <sheetName val="직노"/>
      <sheetName val="산근"/>
      <sheetName val="일위대가표"/>
      <sheetName val="콘크리트타설집계표"/>
      <sheetName val="기본가정"/>
      <sheetName val="12월집계"/>
      <sheetName val="공통가설공사"/>
      <sheetName val="조명율표"/>
      <sheetName val="선급법인세"/>
      <sheetName val="할증_"/>
      <sheetName val="지성학원"/>
      <sheetName val="8월차잔"/>
      <sheetName val="회사정보"/>
      <sheetName val="주메뉴"/>
      <sheetName val="부채평가"/>
      <sheetName val="생산매출_(4)"/>
      <sheetName val="생산매출_(4)1"/>
      <sheetName val="생산매출_(4)2"/>
      <sheetName val="2001년 예산"/>
      <sheetName val="년판01"/>
      <sheetName val="손익계산서"/>
      <sheetName val="주민번호"/>
      <sheetName val="F라인"/>
      <sheetName val="존4"/>
      <sheetName val="Instruction"/>
      <sheetName val="설계내역서"/>
      <sheetName val="일반관리"/>
      <sheetName val="KUNGDEVI"/>
      <sheetName val="운항율"/>
      <sheetName val="직접비원가"/>
      <sheetName val="호봉피치"/>
      <sheetName val="Sheet3"/>
      <sheetName val="공사개요"/>
      <sheetName val="반포2차"/>
      <sheetName val="2_예금"/>
      <sheetName val="준검_내역서"/>
      <sheetName val="경영비율_"/>
      <sheetName val="남양시작동자105노65기1_3화1_2"/>
      <sheetName val="공정외주"/>
      <sheetName val="BS(5월-경리과)"/>
      <sheetName val="관계주식"/>
      <sheetName val="원가검토가 (최초양산품)"/>
      <sheetName val="원가검토가 (현양산품)"/>
      <sheetName val="시산표"/>
      <sheetName val="원료비"/>
      <sheetName val="(1)2002년 매출목표 산출"/>
      <sheetName val="상품입고집계"/>
      <sheetName val="총괄"/>
      <sheetName val="controll"/>
      <sheetName val="세골재  T2 변경 현황"/>
      <sheetName val="교각별철근수량집계표"/>
      <sheetName val="대출금현황"/>
      <sheetName val="급여인상효과-연간부담분"/>
      <sheetName val="5사남"/>
      <sheetName val="참고(3)고정비"/>
      <sheetName val="직원"/>
      <sheetName val="업무분장 "/>
      <sheetName val="공통"/>
      <sheetName val="YOEMAGUM"/>
      <sheetName val="#3_일위대가목록"/>
      <sheetName val="조경일람"/>
      <sheetName val="실행내역"/>
      <sheetName val="단말기리스트"/>
      <sheetName val="장단기차입금LS"/>
      <sheetName val="1 자원총괄"/>
      <sheetName val="7월"/>
      <sheetName val="관계주식명세"/>
      <sheetName val="물가자료"/>
      <sheetName val="대차대조표"/>
      <sheetName val="이익잉여금처분계산서"/>
      <sheetName val="현금흐름표"/>
      <sheetName val="기획팀용 (B4)"/>
      <sheetName val="97 사업추정(WEKI)"/>
      <sheetName val="5.30(土)"/>
      <sheetName val="범한여행"/>
      <sheetName val="정산표 연결"/>
      <sheetName val="完"/>
      <sheetName val="Sheet2 (2)"/>
      <sheetName val="환산매출"/>
      <sheetName val="신공"/>
      <sheetName val="노임단가"/>
      <sheetName val="2호"/>
      <sheetName val="지역"/>
      <sheetName val="국내"/>
      <sheetName val="X-3 ENG"/>
      <sheetName val="잔존년수"/>
      <sheetName val="통보"/>
      <sheetName val="진행률"/>
      <sheetName val="EX-외상(06)"/>
      <sheetName val="기초자료"/>
      <sheetName val="할증_1"/>
      <sheetName val="토공(우물통,기타)_"/>
      <sheetName val="세골재__T2_변경_현황"/>
      <sheetName val="원가검토가_(최초양산품)"/>
      <sheetName val="원가검토가_(현양산품)"/>
      <sheetName val="재료"/>
      <sheetName val="손익분석"/>
      <sheetName val="전기BOX내역서"/>
      <sheetName val="명단"/>
      <sheetName val="전기공사"/>
      <sheetName val="980731"/>
      <sheetName val="감독1130"/>
      <sheetName val="하수급견적대비"/>
      <sheetName val="RD제품개발투자비(매가)"/>
      <sheetName val="자재단가"/>
      <sheetName val="engline"/>
      <sheetName val="MAT_N048"/>
      <sheetName val="수량산출"/>
      <sheetName val="현장관리비참조"/>
      <sheetName val="1Month+Sheet2!"/>
      <sheetName val="기본사항"/>
      <sheetName val="예산명세서"/>
      <sheetName val="국영"/>
      <sheetName val="2분기평가"/>
      <sheetName val="감가상각비"/>
      <sheetName val="기초코드"/>
      <sheetName val="사업소득자세수추계"/>
      <sheetName val="원가명세"/>
      <sheetName val="예산M11A"/>
      <sheetName val="99년하반기"/>
      <sheetName val="코드표"/>
      <sheetName val="차입"/>
      <sheetName val="1_자원총괄"/>
      <sheetName val="할증_2"/>
      <sheetName val="2_예금1"/>
      <sheetName val="1_자원총괄1"/>
      <sheetName val="준검_내역서1"/>
      <sheetName val="경영비율_1"/>
      <sheetName val="남양시작동자105노65기1_3화1_21"/>
      <sheetName val="토공(우물통,기타)_1"/>
      <sheetName val="세골재__T2_변경_현황1"/>
      <sheetName val="(1)2002년_매출목표_산출"/>
      <sheetName val="갑지1"/>
      <sheetName val="8월"/>
      <sheetName val="익산"/>
      <sheetName val="현금예금"/>
      <sheetName val="현금및현금등가물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ia CR보고"/>
      <sheetName val="CR종합 (2)"/>
      <sheetName val="CR종합"/>
      <sheetName val="cr2000분석"/>
      <sheetName val="cr2000분석(차종별)"/>
      <sheetName val="cr2000분석 (품목별)"/>
      <sheetName val="추가CR"/>
      <sheetName val="KES분석"/>
      <sheetName val="사업계획"/>
      <sheetName val="강자영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TM</v>
          </cell>
          <cell r="B1" t="str">
            <v>CHK</v>
          </cell>
          <cell r="C1" t="str">
            <v>차종</v>
          </cell>
          <cell r="D1" t="str">
            <v>품번</v>
          </cell>
          <cell r="E1" t="str">
            <v>품명</v>
          </cell>
          <cell r="F1" t="str">
            <v>VCODE</v>
          </cell>
          <cell r="G1" t="str">
            <v>VNAME</v>
          </cell>
          <cell r="H1" t="str">
            <v>DCOST</v>
          </cell>
          <cell r="I1" t="str">
            <v>ECOST</v>
          </cell>
          <cell r="J1" t="str">
            <v>요인</v>
          </cell>
          <cell r="K1" t="str">
            <v>2000매출:일원화전</v>
          </cell>
          <cell r="L1" t="str">
            <v>2000매출:일원화후</v>
          </cell>
          <cell r="M1" t="str">
            <v>일원화효과</v>
          </cell>
          <cell r="N1" t="str">
            <v>99년카니발인하효과</v>
          </cell>
          <cell r="O1" t="str">
            <v>제시가</v>
          </cell>
          <cell r="P1" t="str">
            <v>내수입고수량</v>
          </cell>
          <cell r="Q1" t="str">
            <v>수출입고수량</v>
          </cell>
          <cell r="R1" t="str">
            <v>일원화후 추가CR효과</v>
          </cell>
          <cell r="S1" t="str">
            <v>CR_TTL</v>
          </cell>
        </row>
        <row r="2">
          <cell r="A2" t="str">
            <v>3</v>
          </cell>
          <cell r="D2" t="str">
            <v>KK37A67580</v>
          </cell>
          <cell r="E2" t="str">
            <v>UNIT-T.W.S</v>
          </cell>
          <cell r="F2" t="str">
            <v>R103</v>
          </cell>
          <cell r="G2" t="str">
            <v>기아전자</v>
          </cell>
          <cell r="H2">
            <v>7821</v>
          </cell>
          <cell r="I2">
            <v>7318</v>
          </cell>
          <cell r="J2" t="str">
            <v>PU1</v>
          </cell>
          <cell r="K2">
            <v>0</v>
          </cell>
          <cell r="L2">
            <v>0</v>
          </cell>
          <cell r="M2">
            <v>0</v>
          </cell>
          <cell r="O2" t="e">
            <v>#N/A</v>
          </cell>
          <cell r="P2">
            <v>0</v>
          </cell>
          <cell r="Q2">
            <v>0</v>
          </cell>
          <cell r="S2">
            <v>0</v>
          </cell>
        </row>
        <row r="3">
          <cell r="A3" t="str">
            <v>3</v>
          </cell>
          <cell r="D3" t="str">
            <v>KK37B67580</v>
          </cell>
          <cell r="E3" t="str">
            <v>UNIT-T.W.S</v>
          </cell>
          <cell r="F3" t="str">
            <v>R103</v>
          </cell>
          <cell r="G3" t="str">
            <v>기아전자</v>
          </cell>
          <cell r="H3">
            <v>8514</v>
          </cell>
          <cell r="I3">
            <v>7969</v>
          </cell>
          <cell r="J3" t="str">
            <v>PU1</v>
          </cell>
          <cell r="K3">
            <v>0</v>
          </cell>
          <cell r="L3">
            <v>0</v>
          </cell>
          <cell r="M3">
            <v>0</v>
          </cell>
          <cell r="O3" t="e">
            <v>#N/A</v>
          </cell>
          <cell r="P3">
            <v>0</v>
          </cell>
          <cell r="Q3">
            <v>0</v>
          </cell>
          <cell r="S3">
            <v>0</v>
          </cell>
        </row>
        <row r="4">
          <cell r="A4" t="str">
            <v>3</v>
          </cell>
          <cell r="D4" t="str">
            <v>KK370669C0C</v>
          </cell>
          <cell r="E4" t="str">
            <v>COMPO ASSY-1</v>
          </cell>
          <cell r="F4" t="str">
            <v>R103</v>
          </cell>
          <cell r="G4" t="str">
            <v>기아전자</v>
          </cell>
          <cell r="H4">
            <v>59890</v>
          </cell>
          <cell r="I4">
            <v>56610</v>
          </cell>
          <cell r="J4" t="str">
            <v>EE4</v>
          </cell>
          <cell r="K4">
            <v>89835000</v>
          </cell>
          <cell r="L4">
            <v>84915000</v>
          </cell>
          <cell r="M4">
            <v>-4920000</v>
          </cell>
          <cell r="O4">
            <v>56000</v>
          </cell>
          <cell r="P4">
            <v>1500</v>
          </cell>
          <cell r="Q4">
            <v>0</v>
          </cell>
          <cell r="R4">
            <v>-915000</v>
          </cell>
          <cell r="S4">
            <v>-5835000</v>
          </cell>
        </row>
        <row r="5">
          <cell r="A5" t="str">
            <v>3</v>
          </cell>
          <cell r="C5" t="str">
            <v>SPG</v>
          </cell>
          <cell r="D5" t="str">
            <v>0K01E67570A</v>
          </cell>
          <cell r="E5" t="str">
            <v>UNIT-A/T INTER</v>
          </cell>
          <cell r="F5" t="str">
            <v>R103</v>
          </cell>
          <cell r="G5" t="str">
            <v>기아전자</v>
          </cell>
          <cell r="H5">
            <v>4717</v>
          </cell>
          <cell r="I5">
            <v>4431</v>
          </cell>
          <cell r="J5" t="str">
            <v>ED6</v>
          </cell>
          <cell r="K5">
            <v>31533145</v>
          </cell>
          <cell r="L5">
            <v>29621235</v>
          </cell>
          <cell r="M5">
            <v>-1911910</v>
          </cell>
          <cell r="O5" t="e">
            <v>#N/A</v>
          </cell>
          <cell r="P5">
            <v>6685</v>
          </cell>
          <cell r="Q5">
            <v>0</v>
          </cell>
          <cell r="S5">
            <v>-1911910</v>
          </cell>
        </row>
        <row r="6">
          <cell r="A6" t="str">
            <v>3</v>
          </cell>
          <cell r="C6" t="str">
            <v>SPG</v>
          </cell>
          <cell r="D6" t="str">
            <v>0K0111813X</v>
          </cell>
          <cell r="E6" t="str">
            <v>SENSOR-PHASE</v>
          </cell>
          <cell r="F6" t="str">
            <v>R103</v>
          </cell>
          <cell r="G6" t="str">
            <v>기아전자</v>
          </cell>
          <cell r="H6">
            <v>13008</v>
          </cell>
          <cell r="I6">
            <v>11458</v>
          </cell>
          <cell r="J6" t="str">
            <v>EE4</v>
          </cell>
          <cell r="K6">
            <v>319584830</v>
          </cell>
          <cell r="L6">
            <v>312631530</v>
          </cell>
          <cell r="M6">
            <v>-6953300</v>
          </cell>
          <cell r="O6" t="e">
            <v>#N/A</v>
          </cell>
          <cell r="P6">
            <v>4486</v>
          </cell>
          <cell r="Q6">
            <v>22799</v>
          </cell>
          <cell r="S6">
            <v>-6953300</v>
          </cell>
        </row>
        <row r="7">
          <cell r="A7" t="str">
            <v>3</v>
          </cell>
          <cell r="C7" t="str">
            <v>SPG</v>
          </cell>
          <cell r="D7" t="str">
            <v>0K01166991A</v>
          </cell>
          <cell r="E7" t="str">
            <v>CONDENSER</v>
          </cell>
          <cell r="F7" t="str">
            <v>R103</v>
          </cell>
          <cell r="G7" t="str">
            <v>기아전자</v>
          </cell>
          <cell r="H7">
            <v>370</v>
          </cell>
          <cell r="I7">
            <v>350</v>
          </cell>
          <cell r="J7" t="str">
            <v>ED6</v>
          </cell>
          <cell r="K7">
            <v>44400</v>
          </cell>
          <cell r="L7">
            <v>42000</v>
          </cell>
          <cell r="M7">
            <v>-2400</v>
          </cell>
          <cell r="O7">
            <v>339</v>
          </cell>
          <cell r="P7">
            <v>120</v>
          </cell>
          <cell r="Q7">
            <v>0</v>
          </cell>
          <cell r="R7">
            <v>-1320</v>
          </cell>
          <cell r="S7">
            <v>-3720</v>
          </cell>
        </row>
        <row r="8">
          <cell r="A8" t="str">
            <v>3</v>
          </cell>
          <cell r="C8" t="str">
            <v>SPG</v>
          </cell>
          <cell r="D8" t="str">
            <v>0K01266860C</v>
          </cell>
          <cell r="E8" t="str">
            <v>AUDIO ASSY-L/DE</v>
          </cell>
          <cell r="F8" t="str">
            <v>R103</v>
          </cell>
          <cell r="G8" t="str">
            <v>기아전자</v>
          </cell>
          <cell r="H8">
            <v>94050</v>
          </cell>
          <cell r="I8">
            <v>88736</v>
          </cell>
          <cell r="J8" t="str">
            <v>ED6</v>
          </cell>
          <cell r="K8">
            <v>22466150</v>
          </cell>
          <cell r="L8">
            <v>22450208</v>
          </cell>
          <cell r="M8">
            <v>-15942</v>
          </cell>
          <cell r="O8">
            <v>86300</v>
          </cell>
          <cell r="P8">
            <v>3</v>
          </cell>
          <cell r="Q8">
            <v>250</v>
          </cell>
          <cell r="R8">
            <v>-616308</v>
          </cell>
          <cell r="S8">
            <v>-632250</v>
          </cell>
        </row>
        <row r="9">
          <cell r="A9" t="str">
            <v>3</v>
          </cell>
          <cell r="C9" t="str">
            <v>SPG</v>
          </cell>
          <cell r="D9" t="str">
            <v>0K01266991</v>
          </cell>
          <cell r="E9" t="str">
            <v>CONDENSER</v>
          </cell>
          <cell r="F9" t="str">
            <v>R103</v>
          </cell>
          <cell r="G9" t="str">
            <v>기아전자</v>
          </cell>
          <cell r="H9">
            <v>413</v>
          </cell>
          <cell r="I9">
            <v>392</v>
          </cell>
          <cell r="J9" t="str">
            <v>EU4</v>
          </cell>
          <cell r="K9">
            <v>18358620</v>
          </cell>
          <cell r="L9">
            <v>18322080</v>
          </cell>
          <cell r="M9">
            <v>-36540</v>
          </cell>
          <cell r="O9">
            <v>380</v>
          </cell>
          <cell r="P9">
            <v>1740</v>
          </cell>
          <cell r="Q9">
            <v>45000</v>
          </cell>
          <cell r="R9">
            <v>-560880</v>
          </cell>
          <cell r="S9">
            <v>-597420</v>
          </cell>
        </row>
        <row r="10">
          <cell r="A10" t="str">
            <v>3</v>
          </cell>
          <cell r="C10" t="str">
            <v>SPG</v>
          </cell>
          <cell r="D10" t="str">
            <v>0K0131813X</v>
          </cell>
          <cell r="E10" t="str">
            <v>SENSOR-PHASE</v>
          </cell>
          <cell r="F10" t="str">
            <v>R103</v>
          </cell>
          <cell r="G10" t="str">
            <v>기아전자</v>
          </cell>
          <cell r="H10">
            <v>13938</v>
          </cell>
          <cell r="I10">
            <v>12342</v>
          </cell>
          <cell r="J10" t="str">
            <v>ED6</v>
          </cell>
          <cell r="K10">
            <v>1273108026</v>
          </cell>
          <cell r="L10">
            <v>1267239534</v>
          </cell>
          <cell r="M10">
            <v>-5868492</v>
          </cell>
          <cell r="O10">
            <v>12000</v>
          </cell>
          <cell r="P10">
            <v>3677</v>
          </cell>
          <cell r="Q10">
            <v>99000</v>
          </cell>
          <cell r="R10">
            <v>-35115534</v>
          </cell>
          <cell r="S10">
            <v>-40984026</v>
          </cell>
        </row>
        <row r="11">
          <cell r="A11" t="str">
            <v>3</v>
          </cell>
          <cell r="C11" t="str">
            <v>SPG</v>
          </cell>
          <cell r="D11" t="str">
            <v>0K01366991</v>
          </cell>
          <cell r="E11" t="str">
            <v>CONDENSER</v>
          </cell>
          <cell r="F11" t="str">
            <v>R103</v>
          </cell>
          <cell r="G11" t="str">
            <v>기아전자</v>
          </cell>
          <cell r="H11">
            <v>370</v>
          </cell>
          <cell r="I11">
            <v>350</v>
          </cell>
          <cell r="J11" t="str">
            <v>ED6</v>
          </cell>
          <cell r="K11">
            <v>4249610</v>
          </cell>
          <cell r="L11">
            <v>4218550</v>
          </cell>
          <cell r="M11">
            <v>-31060</v>
          </cell>
          <cell r="O11">
            <v>339</v>
          </cell>
          <cell r="P11">
            <v>1553</v>
          </cell>
          <cell r="Q11">
            <v>10500</v>
          </cell>
          <cell r="R11">
            <v>-132583</v>
          </cell>
          <cell r="S11">
            <v>-163643</v>
          </cell>
        </row>
        <row r="12">
          <cell r="A12" t="str">
            <v>3</v>
          </cell>
          <cell r="C12" t="str">
            <v>SPG</v>
          </cell>
          <cell r="D12" t="str">
            <v>0K01466991</v>
          </cell>
          <cell r="E12" t="str">
            <v>CONDENSER</v>
          </cell>
          <cell r="F12" t="str">
            <v>R103</v>
          </cell>
          <cell r="G12" t="str">
            <v>기아전자</v>
          </cell>
          <cell r="H12">
            <v>413</v>
          </cell>
          <cell r="I12">
            <v>392</v>
          </cell>
          <cell r="J12" t="str">
            <v>EU4</v>
          </cell>
          <cell r="K12">
            <v>113305920</v>
          </cell>
          <cell r="L12">
            <v>113225280</v>
          </cell>
          <cell r="M12">
            <v>-80640</v>
          </cell>
          <cell r="O12">
            <v>380</v>
          </cell>
          <cell r="P12">
            <v>3840</v>
          </cell>
          <cell r="Q12">
            <v>285000</v>
          </cell>
          <cell r="R12">
            <v>-3466080</v>
          </cell>
          <cell r="S12">
            <v>-3546720</v>
          </cell>
        </row>
        <row r="13">
          <cell r="A13" t="str">
            <v>3</v>
          </cell>
          <cell r="C13" t="str">
            <v>SPG</v>
          </cell>
          <cell r="D13" t="str">
            <v>0K05418881D</v>
          </cell>
          <cell r="E13" t="str">
            <v>UNIT-CTRL</v>
          </cell>
          <cell r="F13" t="str">
            <v>R103</v>
          </cell>
          <cell r="G13" t="str">
            <v>기아전자</v>
          </cell>
          <cell r="H13">
            <v>16067</v>
          </cell>
          <cell r="I13">
            <v>15004</v>
          </cell>
          <cell r="J13" t="str">
            <v>PD3</v>
          </cell>
          <cell r="K13">
            <v>159136500</v>
          </cell>
          <cell r="L13">
            <v>157542000</v>
          </cell>
          <cell r="M13">
            <v>-1594500</v>
          </cell>
          <cell r="O13">
            <v>14330</v>
          </cell>
          <cell r="P13">
            <v>1500</v>
          </cell>
          <cell r="Q13">
            <v>9000</v>
          </cell>
          <cell r="R13">
            <v>-7077000</v>
          </cell>
          <cell r="S13">
            <v>-8671500</v>
          </cell>
        </row>
        <row r="14">
          <cell r="A14" t="str">
            <v>3</v>
          </cell>
          <cell r="C14" t="str">
            <v>SPG</v>
          </cell>
          <cell r="D14" t="str">
            <v>0K08A66860E</v>
          </cell>
          <cell r="E14" t="str">
            <v>AUDIO ASSY</v>
          </cell>
          <cell r="F14" t="str">
            <v>R103</v>
          </cell>
          <cell r="G14" t="str">
            <v>기아전자</v>
          </cell>
          <cell r="H14">
            <v>113083</v>
          </cell>
          <cell r="I14">
            <v>106943</v>
          </cell>
          <cell r="J14" t="str">
            <v>EE4</v>
          </cell>
          <cell r="K14">
            <v>234014774</v>
          </cell>
          <cell r="L14">
            <v>232921854</v>
          </cell>
          <cell r="M14">
            <v>-1092920</v>
          </cell>
          <cell r="O14">
            <v>104000</v>
          </cell>
          <cell r="P14">
            <v>178</v>
          </cell>
          <cell r="Q14">
            <v>2000</v>
          </cell>
          <cell r="R14">
            <v>-6409854</v>
          </cell>
          <cell r="S14">
            <v>-7502774</v>
          </cell>
        </row>
        <row r="15">
          <cell r="A15" t="str">
            <v>3</v>
          </cell>
          <cell r="C15" t="str">
            <v>SPG</v>
          </cell>
          <cell r="D15" t="str">
            <v>0K08G66860E</v>
          </cell>
          <cell r="E15" t="str">
            <v>AUDIO ASSY</v>
          </cell>
          <cell r="F15" t="str">
            <v>R103</v>
          </cell>
          <cell r="G15" t="str">
            <v>기아전자</v>
          </cell>
          <cell r="H15">
            <v>113083</v>
          </cell>
          <cell r="I15">
            <v>106943</v>
          </cell>
          <cell r="J15" t="str">
            <v>EE4</v>
          </cell>
          <cell r="K15">
            <v>339249</v>
          </cell>
          <cell r="L15">
            <v>320829</v>
          </cell>
          <cell r="M15">
            <v>-18420</v>
          </cell>
          <cell r="O15">
            <v>104000</v>
          </cell>
          <cell r="P15">
            <v>3</v>
          </cell>
          <cell r="Q15">
            <v>0</v>
          </cell>
          <cell r="R15">
            <v>-8829</v>
          </cell>
          <cell r="S15">
            <v>-27249</v>
          </cell>
        </row>
        <row r="16">
          <cell r="A16" t="str">
            <v>3</v>
          </cell>
          <cell r="C16" t="str">
            <v>SPG</v>
          </cell>
          <cell r="D16" t="str">
            <v>0K080668H0</v>
          </cell>
          <cell r="E16" t="str">
            <v>COVER-HOLE</v>
          </cell>
          <cell r="F16" t="str">
            <v>R103</v>
          </cell>
          <cell r="G16" t="str">
            <v>기아전자</v>
          </cell>
          <cell r="H16">
            <v>358</v>
          </cell>
          <cell r="I16">
            <v>340</v>
          </cell>
          <cell r="J16" t="str">
            <v>ED6</v>
          </cell>
          <cell r="K16">
            <v>10368618</v>
          </cell>
          <cell r="L16">
            <v>10360140</v>
          </cell>
          <cell r="M16">
            <v>-8478</v>
          </cell>
          <cell r="O16">
            <v>323</v>
          </cell>
          <cell r="P16">
            <v>471</v>
          </cell>
          <cell r="Q16">
            <v>30000</v>
          </cell>
          <cell r="R16">
            <v>-518007</v>
          </cell>
          <cell r="S16">
            <v>-526485</v>
          </cell>
        </row>
        <row r="17">
          <cell r="A17" t="str">
            <v>3</v>
          </cell>
          <cell r="C17" t="str">
            <v>SPG</v>
          </cell>
          <cell r="D17" t="str">
            <v>0K08066860D</v>
          </cell>
          <cell r="E17" t="str">
            <v>AUDIO ASSY</v>
          </cell>
          <cell r="F17" t="str">
            <v>R103</v>
          </cell>
          <cell r="G17" t="str">
            <v>기아전자</v>
          </cell>
          <cell r="H17">
            <v>113083</v>
          </cell>
          <cell r="I17">
            <v>106943</v>
          </cell>
          <cell r="J17" t="str">
            <v>EE4</v>
          </cell>
          <cell r="K17">
            <v>48173358</v>
          </cell>
          <cell r="L17">
            <v>45557718</v>
          </cell>
          <cell r="M17">
            <v>-2615640</v>
          </cell>
          <cell r="O17">
            <v>104000</v>
          </cell>
          <cell r="P17">
            <v>426</v>
          </cell>
          <cell r="Q17">
            <v>0</v>
          </cell>
          <cell r="R17">
            <v>-1253718</v>
          </cell>
          <cell r="S17">
            <v>-3869358</v>
          </cell>
        </row>
        <row r="18">
          <cell r="A18" t="str">
            <v>3</v>
          </cell>
          <cell r="C18" t="str">
            <v>SPG</v>
          </cell>
          <cell r="D18" t="str">
            <v>0K08067720D</v>
          </cell>
          <cell r="E18" t="str">
            <v>ECU-ETWIS</v>
          </cell>
          <cell r="F18" t="str">
            <v>R103</v>
          </cell>
          <cell r="G18" t="str">
            <v>기아전자</v>
          </cell>
          <cell r="H18">
            <v>11390</v>
          </cell>
          <cell r="I18">
            <v>10488</v>
          </cell>
          <cell r="J18" t="str">
            <v>ED6</v>
          </cell>
          <cell r="K18">
            <v>563147116</v>
          </cell>
          <cell r="L18">
            <v>559681632</v>
          </cell>
          <cell r="M18">
            <v>-3465484</v>
          </cell>
          <cell r="O18" t="e">
            <v>#N/A</v>
          </cell>
          <cell r="P18">
            <v>3842</v>
          </cell>
          <cell r="Q18">
            <v>49522</v>
          </cell>
          <cell r="S18">
            <v>-3465484</v>
          </cell>
        </row>
        <row r="19">
          <cell r="A19" t="str">
            <v>3H</v>
          </cell>
          <cell r="C19" t="str">
            <v>SPG</v>
          </cell>
          <cell r="D19" t="str">
            <v>0K08266860D</v>
          </cell>
          <cell r="E19" t="str">
            <v>AUDIO ASSY</v>
          </cell>
          <cell r="F19" t="str">
            <v>R103</v>
          </cell>
          <cell r="G19" t="str">
            <v>기아전자</v>
          </cell>
          <cell r="H19">
            <v>275173</v>
          </cell>
          <cell r="I19">
            <v>260574</v>
          </cell>
          <cell r="J19" t="str">
            <v>EE4</v>
          </cell>
          <cell r="K19">
            <v>5778633</v>
          </cell>
          <cell r="L19">
            <v>5472054</v>
          </cell>
          <cell r="M19">
            <v>-306579</v>
          </cell>
          <cell r="O19" t="e">
            <v>#N/A</v>
          </cell>
          <cell r="P19">
            <v>21</v>
          </cell>
          <cell r="Q19">
            <v>0</v>
          </cell>
          <cell r="S19">
            <v>-306579</v>
          </cell>
        </row>
        <row r="20">
          <cell r="A20" t="str">
            <v>3</v>
          </cell>
          <cell r="C20" t="str">
            <v>SPA</v>
          </cell>
          <cell r="D20" t="str">
            <v>0K2AA6686XB</v>
          </cell>
          <cell r="E20" t="str">
            <v>AUDIO ASSY</v>
          </cell>
          <cell r="F20" t="str">
            <v>R103</v>
          </cell>
          <cell r="G20" t="str">
            <v>기아전자</v>
          </cell>
          <cell r="H20">
            <v>66110</v>
          </cell>
          <cell r="I20">
            <v>62694</v>
          </cell>
          <cell r="J20" t="str">
            <v>ED6</v>
          </cell>
          <cell r="K20">
            <v>4491603000</v>
          </cell>
          <cell r="L20">
            <v>4470082200</v>
          </cell>
          <cell r="M20">
            <v>-21520800</v>
          </cell>
          <cell r="O20">
            <v>61700</v>
          </cell>
          <cell r="P20">
            <v>6300</v>
          </cell>
          <cell r="Q20">
            <v>65000</v>
          </cell>
          <cell r="R20">
            <v>-70872200</v>
          </cell>
          <cell r="S20">
            <v>-92393000</v>
          </cell>
        </row>
        <row r="21">
          <cell r="A21" t="str">
            <v>3</v>
          </cell>
          <cell r="C21" t="str">
            <v>SPA</v>
          </cell>
          <cell r="D21" t="str">
            <v>0K2AA6686YB</v>
          </cell>
          <cell r="E21" t="str">
            <v>AUDIO ASSY</v>
          </cell>
          <cell r="F21" t="str">
            <v>R103</v>
          </cell>
          <cell r="G21" t="str">
            <v>기아전자</v>
          </cell>
          <cell r="H21">
            <v>115500</v>
          </cell>
          <cell r="I21">
            <v>109239</v>
          </cell>
          <cell r="J21" t="str">
            <v>ED4</v>
          </cell>
          <cell r="K21">
            <v>129336000</v>
          </cell>
          <cell r="L21">
            <v>128246586</v>
          </cell>
          <cell r="M21">
            <v>-1089414</v>
          </cell>
          <cell r="O21">
            <v>106250</v>
          </cell>
          <cell r="P21">
            <v>174</v>
          </cell>
          <cell r="Q21">
            <v>1000</v>
          </cell>
          <cell r="R21">
            <v>-3509086</v>
          </cell>
          <cell r="S21">
            <v>-4598500</v>
          </cell>
        </row>
        <row r="22">
          <cell r="A22" t="str">
            <v>3</v>
          </cell>
          <cell r="C22" t="str">
            <v>SPA</v>
          </cell>
          <cell r="D22" t="str">
            <v>0K2AA677F0B</v>
          </cell>
          <cell r="E22" t="str">
            <v>CONTROL UNIT-AI</v>
          </cell>
          <cell r="F22" t="str">
            <v>R103</v>
          </cell>
          <cell r="G22" t="str">
            <v>기아전자</v>
          </cell>
          <cell r="H22">
            <v>48393</v>
          </cell>
          <cell r="I22">
            <v>45136</v>
          </cell>
          <cell r="J22" t="str">
            <v>EU4</v>
          </cell>
          <cell r="K22">
            <v>5658747000</v>
          </cell>
          <cell r="L22">
            <v>5596864000</v>
          </cell>
          <cell r="M22">
            <v>-61883000</v>
          </cell>
          <cell r="O22">
            <v>44250</v>
          </cell>
          <cell r="P22">
            <v>19000</v>
          </cell>
          <cell r="Q22">
            <v>105000</v>
          </cell>
          <cell r="R22">
            <v>-109864000</v>
          </cell>
          <cell r="S22">
            <v>-171747000</v>
          </cell>
        </row>
        <row r="23">
          <cell r="A23" t="str">
            <v>3H</v>
          </cell>
          <cell r="C23" t="str">
            <v>SPA</v>
          </cell>
          <cell r="D23" t="str">
            <v>0K2AC6686XB</v>
          </cell>
          <cell r="E23" t="str">
            <v>AUDIO ASSY</v>
          </cell>
          <cell r="F23" t="str">
            <v>R103</v>
          </cell>
          <cell r="G23" t="str">
            <v>기아전자</v>
          </cell>
          <cell r="H23">
            <v>275173</v>
          </cell>
          <cell r="I23">
            <v>259217</v>
          </cell>
          <cell r="J23" t="str">
            <v>EE4</v>
          </cell>
          <cell r="K23">
            <v>82551900</v>
          </cell>
          <cell r="L23">
            <v>77765100</v>
          </cell>
          <cell r="M23">
            <v>-4786800</v>
          </cell>
          <cell r="O23">
            <v>256650</v>
          </cell>
          <cell r="P23">
            <v>300</v>
          </cell>
          <cell r="Q23">
            <v>0</v>
          </cell>
          <cell r="R23">
            <v>-770100</v>
          </cell>
          <cell r="S23">
            <v>-5556900</v>
          </cell>
        </row>
        <row r="24">
          <cell r="A24" t="str">
            <v>3</v>
          </cell>
          <cell r="C24" t="str">
            <v>SPA</v>
          </cell>
          <cell r="D24" t="str">
            <v>0K2AC66860</v>
          </cell>
          <cell r="E24" t="str">
            <v>AUDIO ASSY</v>
          </cell>
          <cell r="F24" t="str">
            <v>R103</v>
          </cell>
          <cell r="G24" t="str">
            <v>기아전자</v>
          </cell>
          <cell r="H24">
            <v>60750</v>
          </cell>
          <cell r="I24">
            <v>58807</v>
          </cell>
          <cell r="J24" t="str">
            <v>EE3</v>
          </cell>
          <cell r="K24">
            <v>607500</v>
          </cell>
          <cell r="L24">
            <v>588070</v>
          </cell>
          <cell r="M24">
            <v>-19430</v>
          </cell>
          <cell r="O24">
            <v>57930</v>
          </cell>
          <cell r="P24">
            <v>10</v>
          </cell>
          <cell r="Q24">
            <v>0</v>
          </cell>
          <cell r="R24">
            <v>-8770</v>
          </cell>
          <cell r="S24">
            <v>-28200</v>
          </cell>
        </row>
        <row r="25">
          <cell r="A25" t="str">
            <v>3</v>
          </cell>
          <cell r="C25" t="str">
            <v>SPA</v>
          </cell>
          <cell r="D25" t="str">
            <v>0K2A117400</v>
          </cell>
          <cell r="E25" t="str">
            <v>GEAR SET-SPEEDO</v>
          </cell>
          <cell r="F25" t="str">
            <v>R103</v>
          </cell>
          <cell r="G25" t="str">
            <v>기아전자</v>
          </cell>
          <cell r="H25">
            <v>4615</v>
          </cell>
          <cell r="I25">
            <v>4292</v>
          </cell>
          <cell r="J25" t="str">
            <v>ED6</v>
          </cell>
          <cell r="K25">
            <v>320708580</v>
          </cell>
          <cell r="L25">
            <v>316286064</v>
          </cell>
          <cell r="M25">
            <v>-4422516</v>
          </cell>
          <cell r="O25">
            <v>4200</v>
          </cell>
          <cell r="P25">
            <v>13692</v>
          </cell>
          <cell r="Q25">
            <v>60000</v>
          </cell>
          <cell r="R25">
            <v>-6779664</v>
          </cell>
          <cell r="S25">
            <v>-11202180</v>
          </cell>
        </row>
        <row r="26">
          <cell r="A26" t="str">
            <v>3</v>
          </cell>
          <cell r="C26" t="str">
            <v>SPA</v>
          </cell>
          <cell r="D26" t="str">
            <v>0K2A11813X</v>
          </cell>
          <cell r="E26" t="str">
            <v>SENSOR-PHASE</v>
          </cell>
          <cell r="F26" t="str">
            <v>R103</v>
          </cell>
          <cell r="G26" t="str">
            <v>기아전자</v>
          </cell>
          <cell r="H26">
            <v>13938</v>
          </cell>
          <cell r="I26">
            <v>12342</v>
          </cell>
          <cell r="J26" t="str">
            <v>ED6</v>
          </cell>
          <cell r="K26">
            <v>100353600</v>
          </cell>
          <cell r="L26">
            <v>88862400</v>
          </cell>
          <cell r="M26">
            <v>-11491200</v>
          </cell>
          <cell r="O26">
            <v>12000</v>
          </cell>
          <cell r="P26">
            <v>7200</v>
          </cell>
          <cell r="Q26">
            <v>0</v>
          </cell>
          <cell r="R26">
            <v>-2462400</v>
          </cell>
          <cell r="S26">
            <v>-13953600</v>
          </cell>
        </row>
        <row r="27">
          <cell r="A27" t="str">
            <v>3</v>
          </cell>
          <cell r="C27" t="str">
            <v>SPA</v>
          </cell>
          <cell r="D27" t="str">
            <v>0K2A16686YB</v>
          </cell>
          <cell r="E27" t="str">
            <v>AUDIO ASSY</v>
          </cell>
          <cell r="F27" t="str">
            <v>R103</v>
          </cell>
          <cell r="G27" t="str">
            <v>기아전자</v>
          </cell>
          <cell r="H27">
            <v>113083</v>
          </cell>
          <cell r="I27">
            <v>106943</v>
          </cell>
          <cell r="J27" t="str">
            <v>EE4</v>
          </cell>
          <cell r="K27">
            <v>978394116</v>
          </cell>
          <cell r="L27">
            <v>925270836</v>
          </cell>
          <cell r="M27">
            <v>-53123280</v>
          </cell>
          <cell r="O27">
            <v>104000</v>
          </cell>
          <cell r="P27">
            <v>8652</v>
          </cell>
          <cell r="Q27">
            <v>0</v>
          </cell>
          <cell r="R27">
            <v>-25462836</v>
          </cell>
          <cell r="S27">
            <v>-78586116</v>
          </cell>
        </row>
        <row r="28">
          <cell r="A28" t="str">
            <v>3</v>
          </cell>
          <cell r="C28" t="str">
            <v>SPA</v>
          </cell>
          <cell r="D28" t="str">
            <v>0K2A16686YC</v>
          </cell>
          <cell r="E28" t="str">
            <v>AUDIO ASSY</v>
          </cell>
          <cell r="F28" t="str">
            <v>R103</v>
          </cell>
          <cell r="G28" t="str">
            <v>기아전자</v>
          </cell>
          <cell r="H28">
            <v>113083</v>
          </cell>
          <cell r="I28">
            <v>106943</v>
          </cell>
          <cell r="J28" t="str">
            <v>EE4</v>
          </cell>
          <cell r="K28">
            <v>508873500</v>
          </cell>
          <cell r="L28">
            <v>481243500</v>
          </cell>
          <cell r="M28">
            <v>-27630000</v>
          </cell>
          <cell r="O28">
            <v>104000</v>
          </cell>
          <cell r="P28">
            <v>4500</v>
          </cell>
          <cell r="Q28">
            <v>0</v>
          </cell>
          <cell r="R28">
            <v>-13243500</v>
          </cell>
          <cell r="S28">
            <v>-40873500</v>
          </cell>
        </row>
        <row r="29">
          <cell r="A29" t="str">
            <v>3H</v>
          </cell>
          <cell r="C29" t="str">
            <v>SPA</v>
          </cell>
          <cell r="D29" t="str">
            <v>0K2A16686ZB</v>
          </cell>
          <cell r="E29" t="str">
            <v>AUDIO ASSY</v>
          </cell>
          <cell r="F29" t="str">
            <v>R103</v>
          </cell>
          <cell r="G29" t="str">
            <v>기아전자</v>
          </cell>
          <cell r="H29">
            <v>275173</v>
          </cell>
          <cell r="I29">
            <v>260574</v>
          </cell>
          <cell r="J29" t="str">
            <v>EE4</v>
          </cell>
          <cell r="K29">
            <v>275173</v>
          </cell>
          <cell r="L29">
            <v>260574</v>
          </cell>
          <cell r="M29">
            <v>-14599</v>
          </cell>
          <cell r="O29">
            <v>258000</v>
          </cell>
          <cell r="P29">
            <v>1</v>
          </cell>
          <cell r="Q29">
            <v>0</v>
          </cell>
          <cell r="R29">
            <v>-2574</v>
          </cell>
          <cell r="S29">
            <v>-17173</v>
          </cell>
        </row>
        <row r="30">
          <cell r="A30" t="str">
            <v>3H</v>
          </cell>
          <cell r="C30" t="str">
            <v>SPA</v>
          </cell>
          <cell r="D30" t="str">
            <v>0K2A16686ZC</v>
          </cell>
          <cell r="E30" t="str">
            <v>AUDIO ASSY</v>
          </cell>
          <cell r="F30" t="str">
            <v>R103</v>
          </cell>
          <cell r="G30" t="str">
            <v>기아전자</v>
          </cell>
          <cell r="H30">
            <v>273680</v>
          </cell>
          <cell r="I30">
            <v>259217</v>
          </cell>
          <cell r="J30" t="str">
            <v>ED4</v>
          </cell>
          <cell r="K30">
            <v>558307200</v>
          </cell>
          <cell r="L30">
            <v>528802680</v>
          </cell>
          <cell r="M30">
            <v>-29504520</v>
          </cell>
          <cell r="O30">
            <v>257000</v>
          </cell>
          <cell r="P30">
            <v>2040</v>
          </cell>
          <cell r="Q30">
            <v>0</v>
          </cell>
          <cell r="R30">
            <v>-4522680</v>
          </cell>
          <cell r="S30">
            <v>-34027200</v>
          </cell>
        </row>
        <row r="31">
          <cell r="A31" t="str">
            <v>3</v>
          </cell>
          <cell r="C31" t="str">
            <v>SPA</v>
          </cell>
          <cell r="D31" t="str">
            <v>0K2A166860B</v>
          </cell>
          <cell r="E31" t="str">
            <v>AUDIO ASSY</v>
          </cell>
          <cell r="F31" t="str">
            <v>R103</v>
          </cell>
          <cell r="G31" t="str">
            <v>기아전자</v>
          </cell>
          <cell r="H31">
            <v>62018</v>
          </cell>
          <cell r="I31">
            <v>58807</v>
          </cell>
          <cell r="J31" t="str">
            <v>ED6</v>
          </cell>
          <cell r="K31">
            <v>169488588</v>
          </cell>
          <cell r="L31">
            <v>160895952</v>
          </cell>
          <cell r="M31">
            <v>-8592636</v>
          </cell>
          <cell r="O31">
            <v>57925</v>
          </cell>
          <cell r="P31">
            <v>2676</v>
          </cell>
          <cell r="Q31">
            <v>60</v>
          </cell>
          <cell r="R31">
            <v>-2413152</v>
          </cell>
          <cell r="S31">
            <v>-11005788</v>
          </cell>
        </row>
        <row r="32">
          <cell r="A32" t="str">
            <v>3</v>
          </cell>
          <cell r="C32" t="str">
            <v>SPA</v>
          </cell>
          <cell r="D32" t="str">
            <v>0K2A167580D</v>
          </cell>
          <cell r="E32" t="str">
            <v>UNIT-ETWIS</v>
          </cell>
          <cell r="F32" t="str">
            <v>R103</v>
          </cell>
          <cell r="G32" t="str">
            <v>기아전자</v>
          </cell>
          <cell r="H32">
            <v>8377</v>
          </cell>
          <cell r="I32">
            <v>7891</v>
          </cell>
          <cell r="J32" t="str">
            <v>EE4</v>
          </cell>
          <cell r="K32">
            <v>381128932</v>
          </cell>
          <cell r="L32">
            <v>359955856</v>
          </cell>
          <cell r="M32">
            <v>-21173076</v>
          </cell>
          <cell r="O32">
            <v>7650</v>
          </cell>
          <cell r="P32">
            <v>43566</v>
          </cell>
          <cell r="Q32">
            <v>2050</v>
          </cell>
          <cell r="R32">
            <v>-10993456</v>
          </cell>
          <cell r="S32">
            <v>-32166532</v>
          </cell>
        </row>
        <row r="33">
          <cell r="A33" t="str">
            <v>3</v>
          </cell>
          <cell r="C33" t="str">
            <v>SPA</v>
          </cell>
          <cell r="D33" t="str">
            <v>0K2A217400</v>
          </cell>
          <cell r="E33" t="str">
            <v>GEAR SET-SPEEDO</v>
          </cell>
          <cell r="F33" t="str">
            <v>R103</v>
          </cell>
          <cell r="G33" t="str">
            <v>기아전자</v>
          </cell>
          <cell r="H33">
            <v>4615</v>
          </cell>
          <cell r="I33">
            <v>4292</v>
          </cell>
          <cell r="J33" t="str">
            <v>ED6</v>
          </cell>
          <cell r="K33">
            <v>713025000</v>
          </cell>
          <cell r="L33">
            <v>708180000</v>
          </cell>
          <cell r="M33">
            <v>-4845000</v>
          </cell>
          <cell r="O33">
            <v>4200</v>
          </cell>
          <cell r="P33">
            <v>15000</v>
          </cell>
          <cell r="Q33">
            <v>150000</v>
          </cell>
          <cell r="R33">
            <v>-15180000</v>
          </cell>
          <cell r="S33">
            <v>-20025000</v>
          </cell>
        </row>
        <row r="34">
          <cell r="A34" t="str">
            <v>3</v>
          </cell>
          <cell r="C34" t="str">
            <v>SPA</v>
          </cell>
          <cell r="D34" t="str">
            <v>0K2A26686ZB</v>
          </cell>
          <cell r="E34" t="str">
            <v>AUDIO ASSY</v>
          </cell>
          <cell r="F34" t="str">
            <v>R103</v>
          </cell>
          <cell r="G34" t="str">
            <v>기아전자</v>
          </cell>
          <cell r="H34">
            <v>160705</v>
          </cell>
          <cell r="I34">
            <v>151369</v>
          </cell>
          <cell r="J34" t="str">
            <v>EE4</v>
          </cell>
          <cell r="K34">
            <v>713530200</v>
          </cell>
          <cell r="L34">
            <v>672078360</v>
          </cell>
          <cell r="M34">
            <v>-41451840</v>
          </cell>
          <cell r="O34" t="e">
            <v>#N/A</v>
          </cell>
          <cell r="P34">
            <v>4440</v>
          </cell>
          <cell r="Q34">
            <v>0</v>
          </cell>
          <cell r="S34">
            <v>-41451840</v>
          </cell>
        </row>
        <row r="35">
          <cell r="A35" t="str">
            <v>3</v>
          </cell>
          <cell r="C35" t="str">
            <v>SPA</v>
          </cell>
          <cell r="D35" t="str">
            <v>0K2A26686ZC</v>
          </cell>
          <cell r="E35" t="str">
            <v>AUDIO ASSY</v>
          </cell>
          <cell r="F35" t="str">
            <v>R103</v>
          </cell>
          <cell r="G35" t="str">
            <v>기아전자</v>
          </cell>
          <cell r="H35">
            <v>159269</v>
          </cell>
          <cell r="I35">
            <v>150533</v>
          </cell>
          <cell r="J35" t="str">
            <v>ED4</v>
          </cell>
          <cell r="K35">
            <v>3515703906</v>
          </cell>
          <cell r="L35">
            <v>3322865442</v>
          </cell>
          <cell r="M35">
            <v>-192838464</v>
          </cell>
          <cell r="O35">
            <v>149780</v>
          </cell>
          <cell r="P35">
            <v>22074</v>
          </cell>
          <cell r="Q35">
            <v>0</v>
          </cell>
          <cell r="R35">
            <v>-16621722</v>
          </cell>
          <cell r="S35">
            <v>-209460186</v>
          </cell>
        </row>
        <row r="36">
          <cell r="A36" t="str">
            <v>3</v>
          </cell>
          <cell r="C36" t="str">
            <v>SPA</v>
          </cell>
          <cell r="D36" t="str">
            <v>0K2A31813X</v>
          </cell>
          <cell r="E36" t="str">
            <v>SENSOR-PHASE</v>
          </cell>
          <cell r="F36" t="str">
            <v>R103</v>
          </cell>
          <cell r="G36" t="str">
            <v>기아전자</v>
          </cell>
          <cell r="H36">
            <v>13938</v>
          </cell>
          <cell r="I36">
            <v>12342</v>
          </cell>
          <cell r="J36" t="str">
            <v>ED6</v>
          </cell>
          <cell r="K36">
            <v>1145803680</v>
          </cell>
          <cell r="L36">
            <v>1078197120</v>
          </cell>
          <cell r="M36">
            <v>-67606560</v>
          </cell>
          <cell r="O36">
            <v>12000</v>
          </cell>
          <cell r="P36">
            <v>42360</v>
          </cell>
          <cell r="Q36">
            <v>45000</v>
          </cell>
          <cell r="R36">
            <v>-29877120</v>
          </cell>
          <cell r="S36">
            <v>-97483680</v>
          </cell>
        </row>
        <row r="37">
          <cell r="A37" t="str">
            <v>3</v>
          </cell>
          <cell r="C37" t="str">
            <v>SPA</v>
          </cell>
          <cell r="D37" t="str">
            <v>0K2A367580</v>
          </cell>
          <cell r="E37" t="str">
            <v>UNIT-ETWIS</v>
          </cell>
          <cell r="F37" t="str">
            <v>R103</v>
          </cell>
          <cell r="G37" t="str">
            <v>기아전자</v>
          </cell>
          <cell r="H37">
            <v>8377</v>
          </cell>
          <cell r="I37">
            <v>7891</v>
          </cell>
          <cell r="J37" t="str">
            <v>EE1</v>
          </cell>
          <cell r="K37">
            <v>47798760</v>
          </cell>
          <cell r="L37">
            <v>46399080</v>
          </cell>
          <cell r="M37">
            <v>-1399680</v>
          </cell>
          <cell r="O37">
            <v>7650</v>
          </cell>
          <cell r="P37">
            <v>2880</v>
          </cell>
          <cell r="Q37">
            <v>3000</v>
          </cell>
          <cell r="R37">
            <v>-1417080</v>
          </cell>
          <cell r="S37">
            <v>-2816760</v>
          </cell>
        </row>
        <row r="38">
          <cell r="A38" t="str">
            <v>3</v>
          </cell>
          <cell r="C38" t="str">
            <v>SPA</v>
          </cell>
          <cell r="D38" t="str">
            <v>0K2A3677F0A</v>
          </cell>
          <cell r="E38" t="str">
            <v>CONTROL UNIT-AI</v>
          </cell>
          <cell r="F38" t="str">
            <v>R103</v>
          </cell>
          <cell r="G38" t="str">
            <v>기아전자</v>
          </cell>
          <cell r="H38">
            <v>53858</v>
          </cell>
          <cell r="I38">
            <v>48078</v>
          </cell>
          <cell r="J38" t="str">
            <v>ED6</v>
          </cell>
          <cell r="K38">
            <v>0</v>
          </cell>
          <cell r="L38">
            <v>0</v>
          </cell>
          <cell r="M38">
            <v>0</v>
          </cell>
          <cell r="O38" t="e">
            <v>#N/A</v>
          </cell>
          <cell r="P38">
            <v>0</v>
          </cell>
          <cell r="Q38">
            <v>0</v>
          </cell>
          <cell r="S38">
            <v>0</v>
          </cell>
        </row>
        <row r="39">
          <cell r="A39" t="str">
            <v>3</v>
          </cell>
          <cell r="C39" t="str">
            <v>SPA</v>
          </cell>
          <cell r="D39" t="str">
            <v>0K2A3677F0B</v>
          </cell>
          <cell r="E39" t="str">
            <v>CONTROL UNIT-AI</v>
          </cell>
          <cell r="F39" t="str">
            <v>R103</v>
          </cell>
          <cell r="G39" t="str">
            <v>기아전자</v>
          </cell>
          <cell r="H39">
            <v>48393</v>
          </cell>
          <cell r="I39">
            <v>45136</v>
          </cell>
          <cell r="J39" t="str">
            <v>EU4</v>
          </cell>
          <cell r="K39">
            <v>690636240</v>
          </cell>
          <cell r="L39">
            <v>685164480</v>
          </cell>
          <cell r="M39">
            <v>-5471760</v>
          </cell>
          <cell r="O39">
            <v>44250</v>
          </cell>
          <cell r="P39">
            <v>1680</v>
          </cell>
          <cell r="Q39">
            <v>13500</v>
          </cell>
          <cell r="R39">
            <v>-13449480</v>
          </cell>
          <cell r="S39">
            <v>-18921240</v>
          </cell>
        </row>
        <row r="40">
          <cell r="A40" t="str">
            <v>3</v>
          </cell>
          <cell r="C40" t="str">
            <v>SPA</v>
          </cell>
          <cell r="D40" t="str">
            <v>0K2A467580</v>
          </cell>
          <cell r="E40" t="str">
            <v>UNIT-ETWIS</v>
          </cell>
          <cell r="F40" t="str">
            <v>R103</v>
          </cell>
          <cell r="G40" t="str">
            <v>기아전자</v>
          </cell>
          <cell r="H40">
            <v>8377</v>
          </cell>
          <cell r="I40">
            <v>7891</v>
          </cell>
          <cell r="J40" t="str">
            <v>EE1</v>
          </cell>
          <cell r="K40">
            <v>1031915990</v>
          </cell>
          <cell r="L40">
            <v>1016913170</v>
          </cell>
          <cell r="M40">
            <v>-15002820</v>
          </cell>
          <cell r="O40">
            <v>7650</v>
          </cell>
          <cell r="P40">
            <v>30870</v>
          </cell>
          <cell r="Q40">
            <v>98000</v>
          </cell>
          <cell r="R40">
            <v>-31057670</v>
          </cell>
          <cell r="S40">
            <v>-46060490</v>
          </cell>
        </row>
        <row r="41">
          <cell r="A41" t="str">
            <v>3</v>
          </cell>
          <cell r="C41" t="str">
            <v>CRN</v>
          </cell>
          <cell r="D41" t="str">
            <v>0K2C066860</v>
          </cell>
          <cell r="E41" t="str">
            <v>AUDIO ASSY-M/DE</v>
          </cell>
          <cell r="F41" t="str">
            <v>R103</v>
          </cell>
          <cell r="G41" t="str">
            <v>기아전자</v>
          </cell>
          <cell r="H41">
            <v>62018</v>
          </cell>
          <cell r="I41">
            <v>58807</v>
          </cell>
          <cell r="J41" t="str">
            <v>EE4</v>
          </cell>
          <cell r="K41">
            <v>744216</v>
          </cell>
          <cell r="L41">
            <v>705684</v>
          </cell>
          <cell r="M41">
            <v>-38532</v>
          </cell>
          <cell r="O41">
            <v>57925</v>
          </cell>
          <cell r="P41">
            <v>12</v>
          </cell>
          <cell r="Q41">
            <v>0</v>
          </cell>
          <cell r="R41">
            <v>-10584</v>
          </cell>
          <cell r="S41">
            <v>-49116</v>
          </cell>
        </row>
        <row r="42">
          <cell r="A42" t="str">
            <v>3</v>
          </cell>
          <cell r="C42" t="str">
            <v>CRN</v>
          </cell>
          <cell r="D42" t="str">
            <v>0K2C166860</v>
          </cell>
          <cell r="E42" t="str">
            <v>AUDIO ASSY-L/DE</v>
          </cell>
          <cell r="F42" t="str">
            <v>R103</v>
          </cell>
          <cell r="G42" t="str">
            <v>기아전자</v>
          </cell>
          <cell r="H42">
            <v>113083</v>
          </cell>
          <cell r="I42">
            <v>106943</v>
          </cell>
          <cell r="J42" t="str">
            <v>EE4</v>
          </cell>
          <cell r="K42">
            <v>4523320000</v>
          </cell>
          <cell r="L42">
            <v>4277720000</v>
          </cell>
          <cell r="M42">
            <v>-245600000</v>
          </cell>
          <cell r="O42">
            <v>104000</v>
          </cell>
          <cell r="P42">
            <v>40000</v>
          </cell>
          <cell r="Q42">
            <v>0</v>
          </cell>
          <cell r="R42">
            <v>-117720000</v>
          </cell>
          <cell r="S42">
            <v>-363320000</v>
          </cell>
        </row>
        <row r="43">
          <cell r="A43" t="str">
            <v>3</v>
          </cell>
          <cell r="C43" t="str">
            <v>CRN</v>
          </cell>
          <cell r="D43" t="str">
            <v>0K2C1677F0A</v>
          </cell>
          <cell r="E43" t="str">
            <v>CONTROL UNIT-AI</v>
          </cell>
          <cell r="F43" t="str">
            <v>R103</v>
          </cell>
          <cell r="G43" t="str">
            <v>기아전자</v>
          </cell>
          <cell r="H43">
            <v>49354</v>
          </cell>
          <cell r="I43">
            <v>46049</v>
          </cell>
          <cell r="J43" t="str">
            <v>EU4</v>
          </cell>
          <cell r="K43">
            <v>1005066314</v>
          </cell>
          <cell r="L43">
            <v>947043734</v>
          </cell>
          <cell r="M43">
            <v>-58022580</v>
          </cell>
          <cell r="O43">
            <v>45580</v>
          </cell>
          <cell r="P43">
            <v>17556</v>
          </cell>
          <cell r="Q43">
            <v>3010</v>
          </cell>
          <cell r="R43">
            <v>-9645454</v>
          </cell>
          <cell r="S43">
            <v>-67668034</v>
          </cell>
        </row>
        <row r="44">
          <cell r="A44" t="str">
            <v>3H</v>
          </cell>
          <cell r="C44" t="str">
            <v>CRN</v>
          </cell>
          <cell r="D44" t="str">
            <v>0K2C26686X</v>
          </cell>
          <cell r="E44" t="str">
            <v>AUDIO ASSY-CDP</v>
          </cell>
          <cell r="F44" t="str">
            <v>R103</v>
          </cell>
          <cell r="G44" t="str">
            <v>기아전자</v>
          </cell>
          <cell r="H44">
            <v>276003</v>
          </cell>
          <cell r="I44">
            <v>261424</v>
          </cell>
          <cell r="J44" t="str">
            <v>EE1</v>
          </cell>
          <cell r="K44">
            <v>5373778410</v>
          </cell>
          <cell r="L44">
            <v>5089925280</v>
          </cell>
          <cell r="M44">
            <v>-283853130</v>
          </cell>
          <cell r="O44">
            <v>258800</v>
          </cell>
          <cell r="P44">
            <v>19470</v>
          </cell>
          <cell r="Q44">
            <v>0</v>
          </cell>
          <cell r="R44">
            <v>-51089280</v>
          </cell>
          <cell r="S44">
            <v>-334942410</v>
          </cell>
        </row>
        <row r="45">
          <cell r="A45" t="str">
            <v>3H</v>
          </cell>
          <cell r="C45" t="str">
            <v>CRN</v>
          </cell>
          <cell r="D45" t="str">
            <v>0K2C266860</v>
          </cell>
          <cell r="E45" t="str">
            <v>AUDIO ASSY-CDP</v>
          </cell>
          <cell r="F45" t="str">
            <v>R103</v>
          </cell>
          <cell r="G45" t="str">
            <v>기아전자</v>
          </cell>
          <cell r="H45">
            <v>275173</v>
          </cell>
          <cell r="I45">
            <v>259217</v>
          </cell>
          <cell r="J45" t="str">
            <v>EE4</v>
          </cell>
          <cell r="K45">
            <v>15134515000</v>
          </cell>
          <cell r="L45">
            <v>14256935000</v>
          </cell>
          <cell r="M45">
            <v>-877580000</v>
          </cell>
          <cell r="O45">
            <v>256650</v>
          </cell>
          <cell r="P45">
            <v>55000</v>
          </cell>
          <cell r="Q45">
            <v>0</v>
          </cell>
          <cell r="R45">
            <v>-141185000</v>
          </cell>
          <cell r="S45">
            <v>-1018765000</v>
          </cell>
        </row>
        <row r="46">
          <cell r="A46" t="str">
            <v>3</v>
          </cell>
          <cell r="C46" t="str">
            <v>CRN</v>
          </cell>
          <cell r="D46" t="str">
            <v>0K2C2677F0A</v>
          </cell>
          <cell r="E46" t="str">
            <v>CONTROL UNIT-AI</v>
          </cell>
          <cell r="F46" t="str">
            <v>R103</v>
          </cell>
          <cell r="G46" t="str">
            <v>기아전자</v>
          </cell>
          <cell r="H46">
            <v>49354</v>
          </cell>
          <cell r="I46">
            <v>46049</v>
          </cell>
          <cell r="J46" t="str">
            <v>EU4</v>
          </cell>
          <cell r="K46">
            <v>344358158</v>
          </cell>
          <cell r="L46">
            <v>329802938</v>
          </cell>
          <cell r="M46">
            <v>-14555220</v>
          </cell>
          <cell r="O46">
            <v>45580</v>
          </cell>
          <cell r="P46">
            <v>4404</v>
          </cell>
          <cell r="Q46">
            <v>2758</v>
          </cell>
          <cell r="R46">
            <v>-3358978</v>
          </cell>
          <cell r="S46">
            <v>-17914198</v>
          </cell>
        </row>
        <row r="47">
          <cell r="A47" t="str">
            <v>3D</v>
          </cell>
          <cell r="C47" t="str">
            <v>CRN</v>
          </cell>
          <cell r="D47" t="str">
            <v>0K2C366910</v>
          </cell>
          <cell r="E47" t="str">
            <v>CABLE ASSY-AV</v>
          </cell>
          <cell r="F47" t="str">
            <v>R103</v>
          </cell>
          <cell r="G47" t="str">
            <v>기아전자</v>
          </cell>
          <cell r="H47">
            <v>13010</v>
          </cell>
          <cell r="I47">
            <v>11713</v>
          </cell>
          <cell r="J47" t="str">
            <v>EE3</v>
          </cell>
          <cell r="K47">
            <v>13270200</v>
          </cell>
          <cell r="L47">
            <v>11947260</v>
          </cell>
          <cell r="M47">
            <v>-1322940</v>
          </cell>
          <cell r="O47" t="e">
            <v>#N/A</v>
          </cell>
          <cell r="P47">
            <v>1020</v>
          </cell>
          <cell r="Q47">
            <v>0</v>
          </cell>
          <cell r="S47">
            <v>-1322940</v>
          </cell>
        </row>
        <row r="48">
          <cell r="A48" t="str">
            <v>3D</v>
          </cell>
          <cell r="C48" t="str">
            <v>CRN</v>
          </cell>
          <cell r="D48" t="str">
            <v>0K2C366950</v>
          </cell>
          <cell r="E48" t="str">
            <v>TUNER-TV</v>
          </cell>
          <cell r="F48" t="str">
            <v>R103</v>
          </cell>
          <cell r="G48" t="str">
            <v>기아전자</v>
          </cell>
          <cell r="H48">
            <v>41480</v>
          </cell>
          <cell r="I48">
            <v>37060</v>
          </cell>
          <cell r="J48" t="str">
            <v>EE3</v>
          </cell>
          <cell r="K48">
            <v>45793920</v>
          </cell>
          <cell r="L48">
            <v>40914240</v>
          </cell>
          <cell r="M48">
            <v>-4879680</v>
          </cell>
          <cell r="O48" t="e">
            <v>#N/A</v>
          </cell>
          <cell r="P48">
            <v>1104</v>
          </cell>
          <cell r="Q48">
            <v>0</v>
          </cell>
          <cell r="S48">
            <v>-4879680</v>
          </cell>
        </row>
        <row r="49">
          <cell r="A49" t="str">
            <v>3D</v>
          </cell>
          <cell r="C49" t="str">
            <v>CRN</v>
          </cell>
          <cell r="D49" t="str">
            <v>0K2C466860</v>
          </cell>
          <cell r="E49" t="str">
            <v>AV ASSY</v>
          </cell>
          <cell r="F49" t="str">
            <v>R103</v>
          </cell>
          <cell r="G49" t="str">
            <v>기아전자</v>
          </cell>
          <cell r="H49">
            <v>1216500</v>
          </cell>
          <cell r="I49">
            <v>1090000</v>
          </cell>
          <cell r="J49" t="str">
            <v>EE3</v>
          </cell>
          <cell r="K49">
            <v>364950000</v>
          </cell>
          <cell r="L49">
            <v>327000000</v>
          </cell>
          <cell r="M49">
            <v>-37950000</v>
          </cell>
          <cell r="O49" t="e">
            <v>#N/A</v>
          </cell>
          <cell r="P49">
            <v>300</v>
          </cell>
          <cell r="Q49">
            <v>0</v>
          </cell>
          <cell r="S49">
            <v>-37950000</v>
          </cell>
        </row>
        <row r="50">
          <cell r="A50" t="str">
            <v>3D</v>
          </cell>
          <cell r="C50" t="str">
            <v>CRN</v>
          </cell>
          <cell r="D50" t="str">
            <v>0K2C466910</v>
          </cell>
          <cell r="E50" t="str">
            <v>CABLE ASSY-TUNE</v>
          </cell>
          <cell r="F50" t="str">
            <v>R103</v>
          </cell>
          <cell r="G50" t="str">
            <v>기아전자</v>
          </cell>
          <cell r="H50">
            <v>12690</v>
          </cell>
          <cell r="I50">
            <v>11420</v>
          </cell>
          <cell r="J50" t="str">
            <v>EE3</v>
          </cell>
          <cell r="K50">
            <v>13705200</v>
          </cell>
          <cell r="L50">
            <v>12333600</v>
          </cell>
          <cell r="M50">
            <v>-1371600</v>
          </cell>
          <cell r="O50" t="e">
            <v>#N/A</v>
          </cell>
          <cell r="P50">
            <v>1080</v>
          </cell>
          <cell r="Q50">
            <v>0</v>
          </cell>
          <cell r="S50">
            <v>-1371600</v>
          </cell>
        </row>
        <row r="51">
          <cell r="A51" t="str">
            <v>3D</v>
          </cell>
          <cell r="C51" t="str">
            <v>SPA</v>
          </cell>
          <cell r="D51" t="str">
            <v>0K240668C0B</v>
          </cell>
          <cell r="E51" t="str">
            <v>CD PLAYER</v>
          </cell>
          <cell r="F51" t="str">
            <v>R103</v>
          </cell>
          <cell r="G51" t="str">
            <v>기아전자</v>
          </cell>
          <cell r="H51">
            <v>163652</v>
          </cell>
          <cell r="I51">
            <v>154567</v>
          </cell>
          <cell r="J51" t="str">
            <v>ED6</v>
          </cell>
          <cell r="K51">
            <v>14728680</v>
          </cell>
          <cell r="L51">
            <v>13911030</v>
          </cell>
          <cell r="M51">
            <v>-817650</v>
          </cell>
          <cell r="O51">
            <v>153800</v>
          </cell>
          <cell r="P51">
            <v>90</v>
          </cell>
          <cell r="Q51">
            <v>0</v>
          </cell>
          <cell r="R51">
            <v>-69030</v>
          </cell>
          <cell r="S51">
            <v>-886680</v>
          </cell>
        </row>
        <row r="52">
          <cell r="A52" t="str">
            <v>3</v>
          </cell>
          <cell r="C52" t="str">
            <v>SPA</v>
          </cell>
          <cell r="D52" t="str">
            <v>0K2471813XA</v>
          </cell>
          <cell r="E52" t="str">
            <v>SENSOR-PHASE</v>
          </cell>
          <cell r="F52" t="str">
            <v>R103</v>
          </cell>
          <cell r="G52" t="str">
            <v>기아전자</v>
          </cell>
          <cell r="H52">
            <v>13938</v>
          </cell>
          <cell r="I52">
            <v>12342</v>
          </cell>
          <cell r="J52" t="str">
            <v>ED6</v>
          </cell>
          <cell r="K52">
            <v>1388946744</v>
          </cell>
          <cell r="L52">
            <v>1369813896</v>
          </cell>
          <cell r="M52">
            <v>-19132848</v>
          </cell>
          <cell r="O52">
            <v>12000</v>
          </cell>
          <cell r="P52">
            <v>11988</v>
          </cell>
          <cell r="Q52">
            <v>99000</v>
          </cell>
          <cell r="R52">
            <v>-37957896</v>
          </cell>
          <cell r="S52">
            <v>-57090744</v>
          </cell>
        </row>
        <row r="53">
          <cell r="A53" t="str">
            <v>3</v>
          </cell>
          <cell r="C53" t="str">
            <v>SPA</v>
          </cell>
          <cell r="D53" t="str">
            <v>0K29J67720A</v>
          </cell>
          <cell r="E53" t="str">
            <v>UNIT-TIME CONTR</v>
          </cell>
          <cell r="F53" t="str">
            <v>R103</v>
          </cell>
          <cell r="G53" t="str">
            <v>기아전자</v>
          </cell>
          <cell r="H53">
            <v>11300</v>
          </cell>
          <cell r="I53">
            <v>10400</v>
          </cell>
          <cell r="J53" t="str">
            <v>ED6</v>
          </cell>
          <cell r="K53">
            <v>5424000</v>
          </cell>
          <cell r="L53">
            <v>4992000</v>
          </cell>
          <cell r="M53">
            <v>-432000</v>
          </cell>
          <cell r="O53" t="e">
            <v>#N/A</v>
          </cell>
          <cell r="P53">
            <v>480</v>
          </cell>
          <cell r="Q53">
            <v>0</v>
          </cell>
          <cell r="S53">
            <v>-432000</v>
          </cell>
        </row>
        <row r="54">
          <cell r="A54" t="str">
            <v>3</v>
          </cell>
          <cell r="C54" t="str">
            <v>RIO</v>
          </cell>
          <cell r="D54" t="str">
            <v>0K30C66860</v>
          </cell>
          <cell r="E54" t="str">
            <v>AUDIO ASSY-M/DE</v>
          </cell>
          <cell r="F54" t="str">
            <v>R103</v>
          </cell>
          <cell r="G54" t="str">
            <v>기아전자</v>
          </cell>
          <cell r="H54">
            <v>49614</v>
          </cell>
          <cell r="I54">
            <v>47134</v>
          </cell>
          <cell r="J54" t="str">
            <v>XPP</v>
          </cell>
          <cell r="K54">
            <v>354839328</v>
          </cell>
          <cell r="L54">
            <v>337102368</v>
          </cell>
          <cell r="M54">
            <v>-17736960</v>
          </cell>
          <cell r="O54" t="e">
            <v>#N/A</v>
          </cell>
          <cell r="P54">
            <v>7152</v>
          </cell>
          <cell r="Q54">
            <v>0</v>
          </cell>
          <cell r="S54">
            <v>-17736960</v>
          </cell>
        </row>
        <row r="55">
          <cell r="A55" t="str">
            <v>3</v>
          </cell>
          <cell r="C55" t="str">
            <v>RIO</v>
          </cell>
          <cell r="D55" t="str">
            <v>0K30C677F0</v>
          </cell>
          <cell r="E55" t="str">
            <v>CONTROL UNIT-AI</v>
          </cell>
          <cell r="F55" t="str">
            <v>R103</v>
          </cell>
          <cell r="G55" t="str">
            <v>기아전자</v>
          </cell>
          <cell r="H55">
            <v>48900</v>
          </cell>
          <cell r="I55">
            <v>45600</v>
          </cell>
          <cell r="J55" t="str">
            <v>EE3</v>
          </cell>
          <cell r="K55">
            <v>5221350000</v>
          </cell>
          <cell r="L55">
            <v>5084400000</v>
          </cell>
          <cell r="M55">
            <v>-136950000</v>
          </cell>
          <cell r="O55">
            <v>45250</v>
          </cell>
          <cell r="P55">
            <v>41500</v>
          </cell>
          <cell r="Q55">
            <v>70000</v>
          </cell>
          <cell r="R55">
            <v>-39025000</v>
          </cell>
          <cell r="S55">
            <v>-175975000</v>
          </cell>
        </row>
        <row r="56">
          <cell r="A56" t="str">
            <v>3</v>
          </cell>
          <cell r="C56" t="str">
            <v>RIO</v>
          </cell>
          <cell r="D56" t="str">
            <v>0K30D66860</v>
          </cell>
          <cell r="E56" t="str">
            <v>AUDIO ASSY-L/DE</v>
          </cell>
          <cell r="F56" t="str">
            <v>R103</v>
          </cell>
          <cell r="G56" t="str">
            <v>기아전자</v>
          </cell>
          <cell r="H56">
            <v>90466</v>
          </cell>
          <cell r="I56">
            <v>85943</v>
          </cell>
          <cell r="J56" t="str">
            <v>XPP</v>
          </cell>
          <cell r="K56">
            <v>3744574672</v>
          </cell>
          <cell r="L56">
            <v>3643295656</v>
          </cell>
          <cell r="M56">
            <v>-101279016</v>
          </cell>
          <cell r="O56" t="e">
            <v>#N/A</v>
          </cell>
          <cell r="P56">
            <v>22392</v>
          </cell>
          <cell r="Q56">
            <v>20000</v>
          </cell>
          <cell r="S56">
            <v>-101279016</v>
          </cell>
        </row>
        <row r="57">
          <cell r="A57" t="str">
            <v>3H</v>
          </cell>
          <cell r="C57" t="str">
            <v>RIO</v>
          </cell>
          <cell r="D57" t="str">
            <v>0K30E66860</v>
          </cell>
          <cell r="E57" t="str">
            <v>AUDIO ASSY-CDP</v>
          </cell>
          <cell r="F57" t="str">
            <v>R103</v>
          </cell>
          <cell r="G57" t="str">
            <v>기아전자</v>
          </cell>
          <cell r="H57">
            <v>218944</v>
          </cell>
          <cell r="I57">
            <v>207997</v>
          </cell>
          <cell r="J57" t="str">
            <v>XPP</v>
          </cell>
          <cell r="K57">
            <v>701496576</v>
          </cell>
          <cell r="L57">
            <v>666422388</v>
          </cell>
          <cell r="M57">
            <v>-35074188</v>
          </cell>
          <cell r="O57" t="e">
            <v>#N/A</v>
          </cell>
          <cell r="P57">
            <v>3204</v>
          </cell>
          <cell r="Q57">
            <v>0</v>
          </cell>
          <cell r="S57">
            <v>-35074188</v>
          </cell>
        </row>
        <row r="58">
          <cell r="A58" t="str">
            <v>3</v>
          </cell>
          <cell r="C58" t="str">
            <v>RIO</v>
          </cell>
          <cell r="D58" t="str">
            <v>0K32A677F0</v>
          </cell>
          <cell r="E58" t="str">
            <v>CONTROL UNIT-AI</v>
          </cell>
          <cell r="F58" t="str">
            <v>R103</v>
          </cell>
          <cell r="G58" t="str">
            <v>기아전자</v>
          </cell>
          <cell r="H58">
            <v>48900</v>
          </cell>
          <cell r="I58">
            <v>45600</v>
          </cell>
          <cell r="J58" t="str">
            <v>EE3</v>
          </cell>
          <cell r="K58">
            <v>6748200</v>
          </cell>
          <cell r="L58">
            <v>6292800</v>
          </cell>
          <cell r="M58">
            <v>-455400</v>
          </cell>
          <cell r="O58">
            <v>45250</v>
          </cell>
          <cell r="P58">
            <v>138</v>
          </cell>
          <cell r="Q58">
            <v>0</v>
          </cell>
          <cell r="R58">
            <v>-48300</v>
          </cell>
          <cell r="S58">
            <v>-503700</v>
          </cell>
        </row>
        <row r="59">
          <cell r="A59" t="str">
            <v>3</v>
          </cell>
          <cell r="D59" t="str">
            <v>0K50A677F0</v>
          </cell>
          <cell r="E59" t="str">
            <v>DIAG.UNIT-AIRBA</v>
          </cell>
          <cell r="F59" t="str">
            <v>R103</v>
          </cell>
          <cell r="G59" t="str">
            <v>기아전자</v>
          </cell>
          <cell r="H59">
            <v>63000</v>
          </cell>
          <cell r="I59">
            <v>56930</v>
          </cell>
          <cell r="J59" t="str">
            <v>PU7</v>
          </cell>
          <cell r="K59">
            <v>1890000</v>
          </cell>
          <cell r="L59">
            <v>1707900</v>
          </cell>
          <cell r="M59">
            <v>-182100</v>
          </cell>
          <cell r="O59" t="e">
            <v>#N/A</v>
          </cell>
          <cell r="P59">
            <v>30</v>
          </cell>
          <cell r="Q59">
            <v>0</v>
          </cell>
          <cell r="S59">
            <v>-182100</v>
          </cell>
        </row>
        <row r="60">
          <cell r="A60" t="str">
            <v>3</v>
          </cell>
          <cell r="B60" t="str">
            <v>#</v>
          </cell>
          <cell r="C60" t="str">
            <v>CNV</v>
          </cell>
          <cell r="D60" t="str">
            <v>0K55A18701A</v>
          </cell>
          <cell r="E60" t="str">
            <v>UNIT-CTRL</v>
          </cell>
          <cell r="F60" t="str">
            <v>R103</v>
          </cell>
          <cell r="G60" t="str">
            <v>기아전자</v>
          </cell>
          <cell r="H60">
            <v>18071</v>
          </cell>
          <cell r="I60">
            <v>16611</v>
          </cell>
          <cell r="J60" t="str">
            <v>PD2</v>
          </cell>
          <cell r="K60">
            <v>608491500</v>
          </cell>
          <cell r="L60">
            <v>606301500</v>
          </cell>
          <cell r="M60">
            <v>-2190000</v>
          </cell>
          <cell r="N60">
            <v>-24934994</v>
          </cell>
          <cell r="O60">
            <v>16150</v>
          </cell>
          <cell r="P60">
            <v>1500</v>
          </cell>
          <cell r="Q60">
            <v>35000</v>
          </cell>
          <cell r="R60">
            <v>-16826500</v>
          </cell>
          <cell r="S60">
            <v>-43951494</v>
          </cell>
        </row>
        <row r="61">
          <cell r="A61" t="str">
            <v>3</v>
          </cell>
          <cell r="C61" t="str">
            <v>CNV</v>
          </cell>
          <cell r="D61" t="str">
            <v>0K55A66940A</v>
          </cell>
          <cell r="E61" t="str">
            <v>FEEDER-ANT</v>
          </cell>
          <cell r="F61" t="str">
            <v>R103</v>
          </cell>
          <cell r="G61" t="str">
            <v>기아전자</v>
          </cell>
          <cell r="H61">
            <v>1444</v>
          </cell>
          <cell r="I61">
            <v>1368</v>
          </cell>
          <cell r="J61" t="str">
            <v>XU2</v>
          </cell>
          <cell r="K61">
            <v>0</v>
          </cell>
          <cell r="L61">
            <v>0</v>
          </cell>
          <cell r="M61">
            <v>0</v>
          </cell>
          <cell r="O61" t="e">
            <v>#N/A</v>
          </cell>
          <cell r="P61">
            <v>0</v>
          </cell>
          <cell r="Q61">
            <v>0</v>
          </cell>
          <cell r="S61">
            <v>0</v>
          </cell>
        </row>
        <row r="62">
          <cell r="A62" t="str">
            <v>3</v>
          </cell>
          <cell r="C62" t="str">
            <v>CNV</v>
          </cell>
          <cell r="D62" t="str">
            <v>0K55A677F0A</v>
          </cell>
          <cell r="E62" t="str">
            <v>CONTROL UNIT-AI</v>
          </cell>
          <cell r="F62" t="str">
            <v>R103</v>
          </cell>
          <cell r="G62" t="str">
            <v>기아전자</v>
          </cell>
          <cell r="H62">
            <v>64017</v>
          </cell>
          <cell r="I62">
            <v>57729</v>
          </cell>
          <cell r="J62" t="str">
            <v>XU2</v>
          </cell>
          <cell r="K62">
            <v>357053865</v>
          </cell>
          <cell r="L62">
            <v>357053865</v>
          </cell>
          <cell r="M62">
            <v>0</v>
          </cell>
          <cell r="O62" t="e">
            <v>#N/A</v>
          </cell>
          <cell r="P62">
            <v>0</v>
          </cell>
          <cell r="Q62">
            <v>6185</v>
          </cell>
          <cell r="S62">
            <v>0</v>
          </cell>
        </row>
        <row r="63">
          <cell r="A63" t="str">
            <v>3</v>
          </cell>
          <cell r="C63" t="str">
            <v>CNV</v>
          </cell>
          <cell r="D63" t="str">
            <v>0K55A677R0</v>
          </cell>
          <cell r="E63" t="str">
            <v>RECEIVER-KEYLES</v>
          </cell>
          <cell r="F63" t="str">
            <v>R103</v>
          </cell>
          <cell r="G63" t="str">
            <v>기아전자</v>
          </cell>
          <cell r="H63">
            <v>15634</v>
          </cell>
          <cell r="I63">
            <v>14806</v>
          </cell>
          <cell r="J63" t="str">
            <v>EE1</v>
          </cell>
          <cell r="K63">
            <v>248518710</v>
          </cell>
          <cell r="L63">
            <v>248518710</v>
          </cell>
          <cell r="M63">
            <v>0</v>
          </cell>
          <cell r="O63">
            <v>14400</v>
          </cell>
          <cell r="P63">
            <v>0</v>
          </cell>
          <cell r="Q63">
            <v>16785</v>
          </cell>
          <cell r="R63">
            <v>-6814710</v>
          </cell>
          <cell r="S63">
            <v>-6814710</v>
          </cell>
        </row>
        <row r="64">
          <cell r="A64" t="str">
            <v>3</v>
          </cell>
          <cell r="C64" t="str">
            <v>CNV</v>
          </cell>
          <cell r="D64" t="str">
            <v>0K55B66940A</v>
          </cell>
          <cell r="E64" t="str">
            <v>FEEDER-ANT</v>
          </cell>
          <cell r="F64" t="str">
            <v>R103</v>
          </cell>
          <cell r="G64" t="str">
            <v>기아전자</v>
          </cell>
          <cell r="H64">
            <v>1000</v>
          </cell>
          <cell r="I64">
            <v>950</v>
          </cell>
          <cell r="J64" t="str">
            <v>XE4</v>
          </cell>
          <cell r="K64">
            <v>37974000</v>
          </cell>
          <cell r="L64">
            <v>37734000</v>
          </cell>
          <cell r="M64">
            <v>-240000</v>
          </cell>
          <cell r="O64" t="e">
            <v>#N/A</v>
          </cell>
          <cell r="P64">
            <v>4800</v>
          </cell>
          <cell r="Q64">
            <v>34920</v>
          </cell>
          <cell r="S64">
            <v>-240000</v>
          </cell>
        </row>
        <row r="65">
          <cell r="A65" t="str">
            <v>3</v>
          </cell>
          <cell r="C65" t="str">
            <v>CNV</v>
          </cell>
          <cell r="D65" t="str">
            <v>0K55C66860A</v>
          </cell>
          <cell r="E65" t="str">
            <v>AUDIO ASSY-L/DE</v>
          </cell>
          <cell r="F65" t="str">
            <v>R103</v>
          </cell>
          <cell r="G65" t="str">
            <v>기아전자</v>
          </cell>
          <cell r="H65">
            <v>113083</v>
          </cell>
          <cell r="I65">
            <v>103275</v>
          </cell>
          <cell r="J65" t="str">
            <v>ED4</v>
          </cell>
          <cell r="K65">
            <v>1130830</v>
          </cell>
          <cell r="L65">
            <v>1032750</v>
          </cell>
          <cell r="M65">
            <v>-98080</v>
          </cell>
          <cell r="O65">
            <v>100870</v>
          </cell>
          <cell r="P65">
            <v>10</v>
          </cell>
          <cell r="Q65">
            <v>0</v>
          </cell>
          <cell r="R65">
            <v>-24050</v>
          </cell>
          <cell r="S65">
            <v>-122130</v>
          </cell>
        </row>
        <row r="66">
          <cell r="A66" t="str">
            <v>3H</v>
          </cell>
          <cell r="C66" t="str">
            <v>CNV</v>
          </cell>
          <cell r="D66" t="str">
            <v>0K55D66860A</v>
          </cell>
          <cell r="E66" t="str">
            <v>AUDIO ASSY-CDP</v>
          </cell>
          <cell r="F66" t="str">
            <v>R103</v>
          </cell>
          <cell r="G66" t="str">
            <v>기아전자</v>
          </cell>
          <cell r="H66">
            <v>275173</v>
          </cell>
          <cell r="I66">
            <v>251440</v>
          </cell>
          <cell r="J66" t="str">
            <v>EE4</v>
          </cell>
          <cell r="K66">
            <v>18103680</v>
          </cell>
          <cell r="L66">
            <v>18103680</v>
          </cell>
          <cell r="M66">
            <v>0</v>
          </cell>
          <cell r="O66">
            <v>248950</v>
          </cell>
          <cell r="P66">
            <v>0</v>
          </cell>
          <cell r="Q66">
            <v>72</v>
          </cell>
          <cell r="R66">
            <v>-179280</v>
          </cell>
          <cell r="S66">
            <v>-179280</v>
          </cell>
        </row>
        <row r="67">
          <cell r="A67" t="str">
            <v>3</v>
          </cell>
          <cell r="B67" t="str">
            <v>#</v>
          </cell>
          <cell r="C67" t="str">
            <v>CNV</v>
          </cell>
          <cell r="D67" t="str">
            <v>0K55J66860A</v>
          </cell>
          <cell r="E67" t="str">
            <v>AUDIO ASSY-M/DE</v>
          </cell>
          <cell r="F67" t="str">
            <v>R103</v>
          </cell>
          <cell r="G67" t="str">
            <v>기아전자</v>
          </cell>
          <cell r="H67">
            <v>61149</v>
          </cell>
          <cell r="I67">
            <v>57985</v>
          </cell>
          <cell r="J67" t="str">
            <v>PD2</v>
          </cell>
          <cell r="K67">
            <v>611490</v>
          </cell>
          <cell r="L67">
            <v>579850</v>
          </cell>
          <cell r="M67">
            <v>-31640</v>
          </cell>
          <cell r="N67">
            <v>0</v>
          </cell>
          <cell r="O67">
            <v>57120</v>
          </cell>
          <cell r="P67">
            <v>10</v>
          </cell>
          <cell r="Q67">
            <v>0</v>
          </cell>
          <cell r="R67">
            <v>-8650</v>
          </cell>
          <cell r="S67">
            <v>-40290</v>
          </cell>
        </row>
        <row r="68">
          <cell r="A68" t="str">
            <v>3</v>
          </cell>
          <cell r="B68" t="str">
            <v>#</v>
          </cell>
          <cell r="C68" t="str">
            <v>CNV</v>
          </cell>
          <cell r="D68" t="str">
            <v>0K55K66860C</v>
          </cell>
          <cell r="E68" t="str">
            <v>AUDIO ASSY-L/DE</v>
          </cell>
          <cell r="F68" t="str">
            <v>R103</v>
          </cell>
          <cell r="G68" t="str">
            <v>기아전자</v>
          </cell>
          <cell r="H68">
            <v>109690</v>
          </cell>
          <cell r="I68">
            <v>103734</v>
          </cell>
          <cell r="J68" t="str">
            <v>PD2</v>
          </cell>
          <cell r="K68">
            <v>32157540</v>
          </cell>
          <cell r="L68">
            <v>32157540</v>
          </cell>
          <cell r="M68">
            <v>0</v>
          </cell>
          <cell r="N68">
            <v>-994790</v>
          </cell>
          <cell r="O68">
            <v>100900</v>
          </cell>
          <cell r="P68">
            <v>0</v>
          </cell>
          <cell r="Q68">
            <v>310</v>
          </cell>
          <cell r="R68">
            <v>-878540</v>
          </cell>
          <cell r="S68">
            <v>-1873330</v>
          </cell>
        </row>
        <row r="69">
          <cell r="A69" t="str">
            <v>3</v>
          </cell>
          <cell r="B69" t="str">
            <v>#</v>
          </cell>
          <cell r="C69" t="str">
            <v>CNV</v>
          </cell>
          <cell r="D69" t="str">
            <v>0K55217400A</v>
          </cell>
          <cell r="E69" t="str">
            <v>GEAR SET-SPEEDO</v>
          </cell>
          <cell r="F69" t="str">
            <v>R103</v>
          </cell>
          <cell r="G69" t="str">
            <v>기아전자</v>
          </cell>
          <cell r="H69">
            <v>4190</v>
          </cell>
          <cell r="I69">
            <v>3918</v>
          </cell>
          <cell r="J69" t="str">
            <v>PD2</v>
          </cell>
          <cell r="K69">
            <v>245845470</v>
          </cell>
          <cell r="L69">
            <v>237685470</v>
          </cell>
          <cell r="M69">
            <v>-8160000</v>
          </cell>
          <cell r="N69">
            <v>-7751110</v>
          </cell>
          <cell r="O69">
            <v>3835</v>
          </cell>
          <cell r="P69">
            <v>30000</v>
          </cell>
          <cell r="Q69">
            <v>30665</v>
          </cell>
          <cell r="R69">
            <v>-5035195</v>
          </cell>
          <cell r="S69">
            <v>-20946305</v>
          </cell>
        </row>
        <row r="70">
          <cell r="A70" t="str">
            <v>3</v>
          </cell>
          <cell r="B70" t="str">
            <v>#</v>
          </cell>
          <cell r="C70" t="str">
            <v>CNV</v>
          </cell>
          <cell r="D70" t="str">
            <v>0K55218701E</v>
          </cell>
          <cell r="E70" t="str">
            <v>UNIT-CTRL</v>
          </cell>
          <cell r="F70" t="str">
            <v>R103</v>
          </cell>
          <cell r="G70" t="str">
            <v>기아전자</v>
          </cell>
          <cell r="H70">
            <v>17217</v>
          </cell>
          <cell r="I70">
            <v>15723</v>
          </cell>
          <cell r="J70" t="str">
            <v>PD2</v>
          </cell>
          <cell r="K70">
            <v>625603770</v>
          </cell>
          <cell r="L70">
            <v>572348646</v>
          </cell>
          <cell r="M70">
            <v>-53255124</v>
          </cell>
          <cell r="N70">
            <v>-19367490</v>
          </cell>
          <cell r="O70" t="e">
            <v>#N/A</v>
          </cell>
          <cell r="P70">
            <v>35646</v>
          </cell>
          <cell r="Q70">
            <v>756</v>
          </cell>
          <cell r="S70">
            <v>-72622614</v>
          </cell>
        </row>
        <row r="71">
          <cell r="A71" t="str">
            <v>3</v>
          </cell>
          <cell r="C71" t="str">
            <v>CNV</v>
          </cell>
          <cell r="D71" t="str">
            <v>0K55266930B</v>
          </cell>
          <cell r="E71" t="str">
            <v>ANT-1</v>
          </cell>
          <cell r="F71" t="str">
            <v>R103</v>
          </cell>
          <cell r="G71" t="str">
            <v>기아전자</v>
          </cell>
          <cell r="H71">
            <v>5600</v>
          </cell>
          <cell r="I71">
            <v>5300</v>
          </cell>
          <cell r="J71" t="str">
            <v>XE4</v>
          </cell>
          <cell r="K71">
            <v>0</v>
          </cell>
          <cell r="L71">
            <v>0</v>
          </cell>
          <cell r="M71">
            <v>0</v>
          </cell>
          <cell r="O71" t="e">
            <v>#N/A</v>
          </cell>
          <cell r="P71">
            <v>0</v>
          </cell>
          <cell r="Q71">
            <v>0</v>
          </cell>
          <cell r="S71">
            <v>0</v>
          </cell>
        </row>
        <row r="72">
          <cell r="A72" t="str">
            <v>3</v>
          </cell>
          <cell r="C72" t="str">
            <v>CNV</v>
          </cell>
          <cell r="D72" t="str">
            <v>0K55266940B</v>
          </cell>
          <cell r="E72" t="str">
            <v>FEEDER-ANT</v>
          </cell>
          <cell r="F72" t="str">
            <v>R103</v>
          </cell>
          <cell r="G72" t="str">
            <v>기아전자</v>
          </cell>
          <cell r="H72">
            <v>1100</v>
          </cell>
          <cell r="I72">
            <v>1040</v>
          </cell>
          <cell r="J72" t="str">
            <v>XE4</v>
          </cell>
          <cell r="K72">
            <v>2963400</v>
          </cell>
          <cell r="L72">
            <v>2801760</v>
          </cell>
          <cell r="M72">
            <v>-161640</v>
          </cell>
          <cell r="O72" t="e">
            <v>#N/A</v>
          </cell>
          <cell r="P72">
            <v>2694</v>
          </cell>
          <cell r="Q72">
            <v>0</v>
          </cell>
          <cell r="S72">
            <v>-161640</v>
          </cell>
        </row>
        <row r="73">
          <cell r="A73" t="str">
            <v>3</v>
          </cell>
          <cell r="B73" t="str">
            <v>#</v>
          </cell>
          <cell r="C73" t="str">
            <v>CNV</v>
          </cell>
          <cell r="D73" t="str">
            <v>0K552677R0C</v>
          </cell>
          <cell r="E73" t="str">
            <v>RECEIVER-KEYLES</v>
          </cell>
          <cell r="F73" t="str">
            <v>R103</v>
          </cell>
          <cell r="G73" t="str">
            <v>기아전자</v>
          </cell>
          <cell r="H73">
            <v>14782</v>
          </cell>
          <cell r="I73">
            <v>13999</v>
          </cell>
          <cell r="J73" t="str">
            <v>PD2</v>
          </cell>
          <cell r="K73">
            <v>1068590780</v>
          </cell>
          <cell r="L73">
            <v>1011987710</v>
          </cell>
          <cell r="M73">
            <v>-56603070</v>
          </cell>
          <cell r="N73">
            <v>-31096368</v>
          </cell>
          <cell r="O73">
            <v>13850</v>
          </cell>
          <cell r="P73">
            <v>72290</v>
          </cell>
          <cell r="Q73">
            <v>0</v>
          </cell>
          <cell r="R73">
            <v>-10771210</v>
          </cell>
          <cell r="S73">
            <v>-98470648</v>
          </cell>
        </row>
        <row r="74">
          <cell r="A74" t="str">
            <v>3</v>
          </cell>
          <cell r="C74" t="str">
            <v>CNV</v>
          </cell>
          <cell r="D74" t="str">
            <v>0K55267720C</v>
          </cell>
          <cell r="E74" t="str">
            <v>ECU-ETWIS</v>
          </cell>
          <cell r="F74" t="str">
            <v>R103</v>
          </cell>
          <cell r="G74" t="str">
            <v>기아전자</v>
          </cell>
          <cell r="H74">
            <v>17750</v>
          </cell>
          <cell r="I74">
            <v>14505</v>
          </cell>
          <cell r="J74" t="str">
            <v>EE3</v>
          </cell>
          <cell r="K74">
            <v>1207000000</v>
          </cell>
          <cell r="L74">
            <v>986340000</v>
          </cell>
          <cell r="M74">
            <v>-220660000</v>
          </cell>
          <cell r="O74">
            <v>14354</v>
          </cell>
          <cell r="P74">
            <v>68000</v>
          </cell>
          <cell r="Q74">
            <v>0</v>
          </cell>
          <cell r="R74">
            <v>-10268000</v>
          </cell>
          <cell r="S74">
            <v>-230928000</v>
          </cell>
        </row>
        <row r="75">
          <cell r="A75" t="str">
            <v>3</v>
          </cell>
          <cell r="C75" t="str">
            <v>CNV</v>
          </cell>
          <cell r="D75" t="str">
            <v>0K55366930B</v>
          </cell>
          <cell r="E75" t="str">
            <v>ANT-AT</v>
          </cell>
          <cell r="F75" t="str">
            <v>R103</v>
          </cell>
          <cell r="G75" t="str">
            <v>기아전자</v>
          </cell>
          <cell r="H75">
            <v>10965</v>
          </cell>
          <cell r="I75">
            <v>9560</v>
          </cell>
          <cell r="J75" t="str">
            <v>EE3</v>
          </cell>
          <cell r="K75">
            <v>10965</v>
          </cell>
          <cell r="L75">
            <v>9560</v>
          </cell>
          <cell r="M75">
            <v>-1405</v>
          </cell>
          <cell r="O75">
            <v>9472</v>
          </cell>
          <cell r="P75">
            <v>1</v>
          </cell>
          <cell r="Q75">
            <v>0</v>
          </cell>
          <cell r="R75">
            <v>-88</v>
          </cell>
          <cell r="S75">
            <v>-1493</v>
          </cell>
        </row>
        <row r="76">
          <cell r="A76" t="str">
            <v>3</v>
          </cell>
          <cell r="C76" t="str">
            <v>CNV</v>
          </cell>
          <cell r="D76" t="str">
            <v>0K55366930C</v>
          </cell>
          <cell r="E76" t="str">
            <v>ANT-AT</v>
          </cell>
          <cell r="F76" t="str">
            <v>R103</v>
          </cell>
          <cell r="G76" t="str">
            <v>기아전자</v>
          </cell>
          <cell r="H76">
            <v>10190</v>
          </cell>
          <cell r="I76">
            <v>9560</v>
          </cell>
          <cell r="J76" t="str">
            <v>ED6</v>
          </cell>
          <cell r="K76">
            <v>729429740</v>
          </cell>
          <cell r="L76">
            <v>699027200</v>
          </cell>
          <cell r="M76">
            <v>-30402540</v>
          </cell>
          <cell r="O76" t="e">
            <v>#N/A</v>
          </cell>
          <cell r="P76">
            <v>48258</v>
          </cell>
          <cell r="Q76">
            <v>24862</v>
          </cell>
          <cell r="S76">
            <v>-30402540</v>
          </cell>
        </row>
        <row r="77">
          <cell r="A77" t="str">
            <v>3</v>
          </cell>
          <cell r="C77" t="str">
            <v>CNV</v>
          </cell>
          <cell r="D77" t="str">
            <v>0K55366930D</v>
          </cell>
          <cell r="E77" t="str">
            <v>ANT-AT</v>
          </cell>
          <cell r="F77" t="str">
            <v>R103</v>
          </cell>
          <cell r="G77" t="str">
            <v>기아전자</v>
          </cell>
          <cell r="H77">
            <v>10190</v>
          </cell>
          <cell r="I77">
            <v>9560</v>
          </cell>
          <cell r="J77" t="str">
            <v>XU2</v>
          </cell>
          <cell r="K77">
            <v>610676600</v>
          </cell>
          <cell r="L77">
            <v>585138920</v>
          </cell>
          <cell r="M77">
            <v>-25537680</v>
          </cell>
          <cell r="O77" t="e">
            <v>#N/A</v>
          </cell>
          <cell r="P77">
            <v>40536</v>
          </cell>
          <cell r="Q77">
            <v>20671</v>
          </cell>
          <cell r="S77">
            <v>-25537680</v>
          </cell>
        </row>
        <row r="78">
          <cell r="A78" t="str">
            <v>3</v>
          </cell>
          <cell r="B78" t="str">
            <v>#</v>
          </cell>
          <cell r="C78" t="str">
            <v>CNV</v>
          </cell>
          <cell r="D78" t="str">
            <v>0K55366940B</v>
          </cell>
          <cell r="E78" t="str">
            <v>FEEDER-ANT</v>
          </cell>
          <cell r="F78" t="str">
            <v>R103</v>
          </cell>
          <cell r="G78" t="str">
            <v>기아전자</v>
          </cell>
          <cell r="H78">
            <v>1212</v>
          </cell>
          <cell r="I78">
            <v>1144</v>
          </cell>
          <cell r="J78" t="str">
            <v>PD2</v>
          </cell>
          <cell r="K78">
            <v>107282536</v>
          </cell>
          <cell r="L78">
            <v>101457928</v>
          </cell>
          <cell r="M78">
            <v>-5824608</v>
          </cell>
          <cell r="N78">
            <v>-3364044</v>
          </cell>
          <cell r="O78">
            <v>1112</v>
          </cell>
          <cell r="P78">
            <v>85656</v>
          </cell>
          <cell r="Q78">
            <v>3031</v>
          </cell>
          <cell r="R78">
            <v>-2837984</v>
          </cell>
          <cell r="S78">
            <v>-12026636</v>
          </cell>
        </row>
        <row r="79">
          <cell r="A79" t="str">
            <v>3</v>
          </cell>
          <cell r="C79" t="str">
            <v>CNV</v>
          </cell>
          <cell r="D79" t="str">
            <v>0K55367552</v>
          </cell>
          <cell r="E79" t="str">
            <v>UNIT-QTR.GLASS</v>
          </cell>
          <cell r="F79" t="str">
            <v>R103</v>
          </cell>
          <cell r="G79" t="str">
            <v>기아전자</v>
          </cell>
          <cell r="H79">
            <v>7611</v>
          </cell>
          <cell r="I79">
            <v>7230</v>
          </cell>
          <cell r="J79" t="str">
            <v>XPP</v>
          </cell>
          <cell r="K79">
            <v>550092636</v>
          </cell>
          <cell r="L79">
            <v>522555480</v>
          </cell>
          <cell r="M79">
            <v>-27537156</v>
          </cell>
          <cell r="O79" t="e">
            <v>#N/A</v>
          </cell>
          <cell r="P79">
            <v>72276</v>
          </cell>
          <cell r="Q79">
            <v>0</v>
          </cell>
          <cell r="S79">
            <v>-27537156</v>
          </cell>
        </row>
        <row r="80">
          <cell r="A80" t="str">
            <v>3</v>
          </cell>
          <cell r="C80" t="str">
            <v>CNV</v>
          </cell>
          <cell r="D80" t="str">
            <v>0K553677F0A</v>
          </cell>
          <cell r="E80" t="str">
            <v>CONTROL UNIT-AI</v>
          </cell>
          <cell r="F80" t="str">
            <v>R103</v>
          </cell>
          <cell r="G80" t="str">
            <v>기아전자</v>
          </cell>
          <cell r="H80">
            <v>64017</v>
          </cell>
          <cell r="I80">
            <v>57729</v>
          </cell>
          <cell r="J80" t="str">
            <v>ED6</v>
          </cell>
          <cell r="K80">
            <v>2556122604</v>
          </cell>
          <cell r="L80">
            <v>2490890892</v>
          </cell>
          <cell r="M80">
            <v>-65231712</v>
          </cell>
          <cell r="O80">
            <v>55500</v>
          </cell>
          <cell r="P80">
            <v>10374</v>
          </cell>
          <cell r="Q80">
            <v>32774</v>
          </cell>
          <cell r="R80">
            <v>-96176892</v>
          </cell>
          <cell r="S80">
            <v>-161408604</v>
          </cell>
        </row>
        <row r="81">
          <cell r="A81" t="str">
            <v>3</v>
          </cell>
          <cell r="B81" t="str">
            <v>#</v>
          </cell>
          <cell r="C81" t="str">
            <v>CNV</v>
          </cell>
          <cell r="D81" t="str">
            <v>0K553677T0B</v>
          </cell>
          <cell r="E81" t="str">
            <v>TRANSMITTER-KEY</v>
          </cell>
          <cell r="F81" t="str">
            <v>R103</v>
          </cell>
          <cell r="G81" t="str">
            <v>기아전자</v>
          </cell>
          <cell r="H81">
            <v>9137</v>
          </cell>
          <cell r="I81">
            <v>8399</v>
          </cell>
          <cell r="J81" t="str">
            <v>PD2</v>
          </cell>
          <cell r="K81">
            <v>647013104</v>
          </cell>
          <cell r="L81">
            <v>595085948</v>
          </cell>
          <cell r="M81">
            <v>-51927156</v>
          </cell>
          <cell r="N81">
            <v>-20039846</v>
          </cell>
          <cell r="O81" t="e">
            <v>#N/A</v>
          </cell>
          <cell r="P81">
            <v>70362</v>
          </cell>
          <cell r="Q81">
            <v>490</v>
          </cell>
          <cell r="S81">
            <v>-71967002</v>
          </cell>
        </row>
        <row r="82">
          <cell r="A82" t="str">
            <v>3</v>
          </cell>
          <cell r="B82" t="str">
            <v>#</v>
          </cell>
          <cell r="C82" t="str">
            <v>CNV</v>
          </cell>
          <cell r="D82" t="str">
            <v>0K55417400</v>
          </cell>
          <cell r="E82" t="str">
            <v>GEAR SET-SPEEDO</v>
          </cell>
          <cell r="F82" t="str">
            <v>R103</v>
          </cell>
          <cell r="G82" t="str">
            <v>기아전자</v>
          </cell>
          <cell r="H82">
            <v>4190</v>
          </cell>
          <cell r="I82">
            <v>3918</v>
          </cell>
          <cell r="J82" t="str">
            <v>PD2</v>
          </cell>
          <cell r="K82">
            <v>244600000</v>
          </cell>
          <cell r="L82">
            <v>235080000</v>
          </cell>
          <cell r="M82">
            <v>-9520000</v>
          </cell>
          <cell r="N82">
            <v>-9324848</v>
          </cell>
          <cell r="O82">
            <v>3835</v>
          </cell>
          <cell r="P82">
            <v>35000</v>
          </cell>
          <cell r="Q82">
            <v>25000</v>
          </cell>
          <cell r="R82">
            <v>-4980000</v>
          </cell>
          <cell r="S82">
            <v>-23824848</v>
          </cell>
        </row>
        <row r="83">
          <cell r="A83" t="str">
            <v>3</v>
          </cell>
          <cell r="B83" t="str">
            <v>#</v>
          </cell>
          <cell r="C83" t="str">
            <v>CNV</v>
          </cell>
          <cell r="D83" t="str">
            <v>0K554669D1A</v>
          </cell>
          <cell r="E83" t="str">
            <v>CABLE-AMP</v>
          </cell>
          <cell r="F83" t="str">
            <v>R103</v>
          </cell>
          <cell r="G83" t="str">
            <v>기아전자</v>
          </cell>
          <cell r="H83">
            <v>3288</v>
          </cell>
          <cell r="I83">
            <v>3123</v>
          </cell>
          <cell r="J83" t="str">
            <v>PD2</v>
          </cell>
          <cell r="K83">
            <v>20359296</v>
          </cell>
          <cell r="L83">
            <v>19337616</v>
          </cell>
          <cell r="M83">
            <v>-1021680</v>
          </cell>
          <cell r="N83">
            <v>-210528</v>
          </cell>
          <cell r="O83">
            <v>3090</v>
          </cell>
          <cell r="P83">
            <v>6192</v>
          </cell>
          <cell r="Q83">
            <v>0</v>
          </cell>
          <cell r="R83">
            <v>-204336</v>
          </cell>
          <cell r="S83">
            <v>-1436544</v>
          </cell>
        </row>
        <row r="84">
          <cell r="A84" t="str">
            <v>3</v>
          </cell>
          <cell r="C84" t="str">
            <v>CNV</v>
          </cell>
          <cell r="D84" t="str">
            <v>0K55466930</v>
          </cell>
          <cell r="E84" t="str">
            <v>ANT-MANUAL</v>
          </cell>
          <cell r="F84" t="str">
            <v>R103</v>
          </cell>
          <cell r="G84" t="str">
            <v>기아전자</v>
          </cell>
          <cell r="H84">
            <v>4000</v>
          </cell>
          <cell r="I84">
            <v>3800</v>
          </cell>
          <cell r="J84" t="str">
            <v>XE4</v>
          </cell>
          <cell r="K84">
            <v>13680000</v>
          </cell>
          <cell r="L84">
            <v>12996000</v>
          </cell>
          <cell r="M84">
            <v>-684000</v>
          </cell>
          <cell r="O84" t="e">
            <v>#N/A</v>
          </cell>
          <cell r="P84">
            <v>3420</v>
          </cell>
          <cell r="Q84">
            <v>0</v>
          </cell>
          <cell r="S84">
            <v>-684000</v>
          </cell>
        </row>
        <row r="85">
          <cell r="A85" t="str">
            <v>3D</v>
          </cell>
          <cell r="B85" t="str">
            <v>#</v>
          </cell>
          <cell r="C85" t="str">
            <v>CNV</v>
          </cell>
          <cell r="D85" t="str">
            <v>0K55566860</v>
          </cell>
          <cell r="E85" t="str">
            <v>AV ASSY</v>
          </cell>
          <cell r="F85" t="str">
            <v>R103</v>
          </cell>
          <cell r="G85" t="str">
            <v>기아전자</v>
          </cell>
          <cell r="H85">
            <v>1079125</v>
          </cell>
          <cell r="I85">
            <v>946958</v>
          </cell>
          <cell r="J85" t="str">
            <v>PD2</v>
          </cell>
          <cell r="K85">
            <v>2460405000</v>
          </cell>
          <cell r="L85">
            <v>2159064240</v>
          </cell>
          <cell r="M85">
            <v>-301340760</v>
          </cell>
          <cell r="N85">
            <v>-76095000</v>
          </cell>
          <cell r="O85" t="e">
            <v>#N/A</v>
          </cell>
          <cell r="P85">
            <v>2280</v>
          </cell>
          <cell r="Q85">
            <v>0</v>
          </cell>
          <cell r="S85">
            <v>-377435760</v>
          </cell>
        </row>
        <row r="86">
          <cell r="A86" t="str">
            <v>3</v>
          </cell>
          <cell r="C86" t="str">
            <v>CNV</v>
          </cell>
          <cell r="D86" t="str">
            <v>0K55566940</v>
          </cell>
          <cell r="E86" t="str">
            <v>FEEDER-G/A</v>
          </cell>
          <cell r="F86" t="str">
            <v>R103</v>
          </cell>
          <cell r="G86" t="str">
            <v>기아전자</v>
          </cell>
          <cell r="H86">
            <v>1100</v>
          </cell>
          <cell r="I86">
            <v>1040</v>
          </cell>
          <cell r="J86" t="str">
            <v>XE4</v>
          </cell>
          <cell r="K86">
            <v>607200</v>
          </cell>
          <cell r="L86">
            <v>574080</v>
          </cell>
          <cell r="M86">
            <v>-33120</v>
          </cell>
          <cell r="O86" t="e">
            <v>#N/A</v>
          </cell>
          <cell r="P86">
            <v>552</v>
          </cell>
          <cell r="Q86">
            <v>0</v>
          </cell>
          <cell r="S86">
            <v>-33120</v>
          </cell>
        </row>
        <row r="87">
          <cell r="A87" t="str">
            <v>3</v>
          </cell>
          <cell r="C87" t="str">
            <v>CNV</v>
          </cell>
          <cell r="D87" t="str">
            <v>0K55666840</v>
          </cell>
          <cell r="E87" t="str">
            <v>UNIT-CDC &amp; V/JA</v>
          </cell>
          <cell r="F87" t="str">
            <v>R103</v>
          </cell>
          <cell r="G87" t="str">
            <v>기아전자</v>
          </cell>
          <cell r="H87">
            <v>233000</v>
          </cell>
          <cell r="I87">
            <v>221000</v>
          </cell>
          <cell r="J87" t="str">
            <v>XE4</v>
          </cell>
          <cell r="K87">
            <v>483708000</v>
          </cell>
          <cell r="L87">
            <v>458796000</v>
          </cell>
          <cell r="M87">
            <v>-24912000</v>
          </cell>
          <cell r="O87" t="e">
            <v>#N/A</v>
          </cell>
          <cell r="P87">
            <v>2076</v>
          </cell>
          <cell r="Q87">
            <v>0</v>
          </cell>
          <cell r="S87">
            <v>-24912000</v>
          </cell>
        </row>
        <row r="88">
          <cell r="A88" t="str">
            <v>3H</v>
          </cell>
          <cell r="B88" t="str">
            <v>#</v>
          </cell>
          <cell r="C88" t="str">
            <v>CNV</v>
          </cell>
          <cell r="D88" t="str">
            <v>0K55666850</v>
          </cell>
          <cell r="E88" t="str">
            <v>UNIT-AMP/D</v>
          </cell>
          <cell r="F88" t="str">
            <v>R103</v>
          </cell>
          <cell r="G88" t="str">
            <v>기아전자</v>
          </cell>
          <cell r="H88">
            <v>260185</v>
          </cell>
          <cell r="I88">
            <v>228409</v>
          </cell>
          <cell r="J88" t="str">
            <v>PD2</v>
          </cell>
          <cell r="K88">
            <v>516727410</v>
          </cell>
          <cell r="L88">
            <v>453620274</v>
          </cell>
          <cell r="M88">
            <v>-63107136</v>
          </cell>
          <cell r="N88">
            <v>-15991272</v>
          </cell>
          <cell r="O88" t="e">
            <v>#N/A</v>
          </cell>
          <cell r="P88">
            <v>1986</v>
          </cell>
          <cell r="Q88">
            <v>0</v>
          </cell>
          <cell r="S88">
            <v>-79098408</v>
          </cell>
        </row>
        <row r="89">
          <cell r="A89" t="str">
            <v>3</v>
          </cell>
          <cell r="B89" t="str">
            <v>#</v>
          </cell>
          <cell r="C89" t="str">
            <v>CNV</v>
          </cell>
          <cell r="D89" t="str">
            <v>0K55666910</v>
          </cell>
          <cell r="E89" t="str">
            <v>CABLE-CDC &amp; VID</v>
          </cell>
          <cell r="F89" t="str">
            <v>R103</v>
          </cell>
          <cell r="G89" t="str">
            <v>기아전자</v>
          </cell>
          <cell r="H89">
            <v>3831</v>
          </cell>
          <cell r="I89">
            <v>3637</v>
          </cell>
          <cell r="J89" t="str">
            <v>PD2</v>
          </cell>
          <cell r="K89">
            <v>23070282</v>
          </cell>
          <cell r="L89">
            <v>21902014</v>
          </cell>
          <cell r="M89">
            <v>-1168268</v>
          </cell>
          <cell r="N89">
            <v>-251328</v>
          </cell>
          <cell r="O89">
            <v>3600</v>
          </cell>
          <cell r="P89">
            <v>6022</v>
          </cell>
          <cell r="Q89">
            <v>0</v>
          </cell>
          <cell r="R89">
            <v>-222814</v>
          </cell>
          <cell r="S89">
            <v>-1642410</v>
          </cell>
        </row>
        <row r="90">
          <cell r="A90" t="str">
            <v>3H</v>
          </cell>
          <cell r="C90" t="str">
            <v>CNV</v>
          </cell>
          <cell r="D90" t="str">
            <v>0K5586686Z</v>
          </cell>
          <cell r="E90" t="str">
            <v>AUDIO ASSY-CDP</v>
          </cell>
          <cell r="F90" t="str">
            <v>R103</v>
          </cell>
          <cell r="G90" t="str">
            <v>기아전자</v>
          </cell>
          <cell r="H90">
            <v>276003</v>
          </cell>
          <cell r="I90">
            <v>252204</v>
          </cell>
          <cell r="J90" t="str">
            <v>EE1</v>
          </cell>
          <cell r="K90">
            <v>4338767160</v>
          </cell>
          <cell r="L90">
            <v>3964646880</v>
          </cell>
          <cell r="M90">
            <v>-374120280</v>
          </cell>
          <cell r="O90">
            <v>249670</v>
          </cell>
          <cell r="P90">
            <v>15720</v>
          </cell>
          <cell r="Q90">
            <v>0</v>
          </cell>
          <cell r="R90">
            <v>-39834480</v>
          </cell>
          <cell r="S90">
            <v>-413954760</v>
          </cell>
        </row>
        <row r="91">
          <cell r="A91" t="str">
            <v>3H</v>
          </cell>
          <cell r="B91" t="str">
            <v>#</v>
          </cell>
          <cell r="C91" t="str">
            <v>CNV</v>
          </cell>
          <cell r="D91" t="str">
            <v>0K5586686ZB</v>
          </cell>
          <cell r="E91" t="str">
            <v>AUDIO ASSY-CDP</v>
          </cell>
          <cell r="F91" t="str">
            <v>R103</v>
          </cell>
          <cell r="G91" t="str">
            <v>기아전자</v>
          </cell>
          <cell r="H91">
            <v>266274</v>
          </cell>
          <cell r="I91">
            <v>252204</v>
          </cell>
          <cell r="J91" t="str">
            <v>PD2</v>
          </cell>
          <cell r="K91">
            <v>14556134484</v>
          </cell>
          <cell r="L91">
            <v>13786983864</v>
          </cell>
          <cell r="M91">
            <v>-769150620</v>
          </cell>
          <cell r="N91">
            <v>-450229176</v>
          </cell>
          <cell r="O91" t="e">
            <v>#N/A</v>
          </cell>
          <cell r="P91">
            <v>54666</v>
          </cell>
          <cell r="Q91">
            <v>0</v>
          </cell>
          <cell r="S91">
            <v>-1219379796</v>
          </cell>
        </row>
        <row r="92">
          <cell r="A92" t="str">
            <v>3H</v>
          </cell>
          <cell r="C92" t="str">
            <v>CNV</v>
          </cell>
          <cell r="D92" t="str">
            <v>0K55866860B</v>
          </cell>
          <cell r="E92" t="str">
            <v>AUDIO ASSY-CDP</v>
          </cell>
          <cell r="F92" t="str">
            <v>R103</v>
          </cell>
          <cell r="G92" t="str">
            <v>기아전자</v>
          </cell>
          <cell r="H92">
            <v>275173</v>
          </cell>
          <cell r="I92">
            <v>260574</v>
          </cell>
          <cell r="J92" t="str">
            <v>EE4</v>
          </cell>
          <cell r="K92">
            <v>132083040</v>
          </cell>
          <cell r="L92">
            <v>125075520</v>
          </cell>
          <cell r="M92">
            <v>-7007520</v>
          </cell>
          <cell r="O92">
            <v>258000</v>
          </cell>
          <cell r="P92">
            <v>480</v>
          </cell>
          <cell r="Q92">
            <v>0</v>
          </cell>
          <cell r="R92">
            <v>-1235520</v>
          </cell>
          <cell r="S92">
            <v>-8243040</v>
          </cell>
        </row>
        <row r="93">
          <cell r="A93" t="str">
            <v>3H</v>
          </cell>
          <cell r="C93" t="str">
            <v>CNV</v>
          </cell>
          <cell r="D93" t="str">
            <v>0K55866860C</v>
          </cell>
          <cell r="E93" t="str">
            <v>AUDIO ASSY-CDP</v>
          </cell>
          <cell r="F93" t="str">
            <v>R103</v>
          </cell>
          <cell r="G93" t="str">
            <v>기아전자</v>
          </cell>
          <cell r="H93">
            <v>273680</v>
          </cell>
          <cell r="I93">
            <v>251000</v>
          </cell>
          <cell r="J93" t="str">
            <v>ED4</v>
          </cell>
          <cell r="K93">
            <v>16420800</v>
          </cell>
          <cell r="L93">
            <v>15060000</v>
          </cell>
          <cell r="M93">
            <v>-1360800</v>
          </cell>
          <cell r="O93">
            <v>248850</v>
          </cell>
          <cell r="P93">
            <v>60</v>
          </cell>
          <cell r="Q93">
            <v>0</v>
          </cell>
          <cell r="R93">
            <v>-129000</v>
          </cell>
          <cell r="S93">
            <v>-1489800</v>
          </cell>
        </row>
        <row r="94">
          <cell r="A94" t="str">
            <v>3H</v>
          </cell>
          <cell r="B94" t="str">
            <v>#</v>
          </cell>
          <cell r="C94" t="str">
            <v>CNV</v>
          </cell>
          <cell r="D94" t="str">
            <v>0K55866860D</v>
          </cell>
          <cell r="E94" t="str">
            <v>AUDIO ASSY-CDP</v>
          </cell>
          <cell r="F94" t="str">
            <v>R103</v>
          </cell>
          <cell r="G94" t="str">
            <v>기아전자</v>
          </cell>
          <cell r="H94">
            <v>265469</v>
          </cell>
          <cell r="I94">
            <v>251440</v>
          </cell>
          <cell r="J94" t="str">
            <v>PD2</v>
          </cell>
          <cell r="K94">
            <v>92383212</v>
          </cell>
          <cell r="L94">
            <v>87501120</v>
          </cell>
          <cell r="M94">
            <v>-4882092</v>
          </cell>
          <cell r="N94">
            <v>-2857428</v>
          </cell>
          <cell r="O94" t="e">
            <v>#N/A</v>
          </cell>
          <cell r="P94">
            <v>348</v>
          </cell>
          <cell r="Q94">
            <v>0</v>
          </cell>
          <cell r="S94">
            <v>-7739520</v>
          </cell>
        </row>
        <row r="95">
          <cell r="A95" t="str">
            <v>3</v>
          </cell>
          <cell r="C95" t="str">
            <v>CNV</v>
          </cell>
          <cell r="D95" t="str">
            <v>0K56666991</v>
          </cell>
          <cell r="E95" t="str">
            <v>CONDENSER</v>
          </cell>
          <cell r="F95" t="str">
            <v>R103</v>
          </cell>
          <cell r="G95" t="str">
            <v>기아전자</v>
          </cell>
          <cell r="H95">
            <v>360</v>
          </cell>
          <cell r="I95">
            <v>342</v>
          </cell>
          <cell r="J95" t="str">
            <v>EE3</v>
          </cell>
          <cell r="K95">
            <v>24480000</v>
          </cell>
          <cell r="L95">
            <v>23256000</v>
          </cell>
          <cell r="M95">
            <v>-1224000</v>
          </cell>
          <cell r="O95">
            <v>332</v>
          </cell>
          <cell r="P95">
            <v>68000</v>
          </cell>
          <cell r="Q95">
            <v>0</v>
          </cell>
          <cell r="R95">
            <v>-680000</v>
          </cell>
          <cell r="S95">
            <v>-1904000</v>
          </cell>
        </row>
        <row r="96">
          <cell r="A96" t="str">
            <v>3</v>
          </cell>
          <cell r="C96" t="str">
            <v>CRD</v>
          </cell>
          <cell r="D96" t="str">
            <v>0K9AA668H0</v>
          </cell>
          <cell r="E96" t="str">
            <v>COVER-HOLE</v>
          </cell>
          <cell r="F96" t="str">
            <v>R103</v>
          </cell>
          <cell r="G96" t="str">
            <v>기아전자</v>
          </cell>
          <cell r="H96">
            <v>385</v>
          </cell>
          <cell r="I96">
            <v>365</v>
          </cell>
          <cell r="J96" t="str">
            <v>EE1</v>
          </cell>
          <cell r="K96">
            <v>1155000</v>
          </cell>
          <cell r="L96">
            <v>1095000</v>
          </cell>
          <cell r="M96">
            <v>-60000</v>
          </cell>
          <cell r="O96">
            <v>352</v>
          </cell>
          <cell r="P96">
            <v>3000</v>
          </cell>
          <cell r="Q96">
            <v>0</v>
          </cell>
          <cell r="R96">
            <v>-39000</v>
          </cell>
          <cell r="S96">
            <v>-99000</v>
          </cell>
        </row>
        <row r="97">
          <cell r="A97" t="str">
            <v>3</v>
          </cell>
          <cell r="C97" t="str">
            <v>CRD</v>
          </cell>
          <cell r="D97" t="str">
            <v>0K9AA668H0A</v>
          </cell>
          <cell r="E97" t="str">
            <v>COVER-HOLE</v>
          </cell>
          <cell r="F97" t="str">
            <v>R103</v>
          </cell>
          <cell r="G97" t="str">
            <v>기아전자</v>
          </cell>
          <cell r="H97">
            <v>358</v>
          </cell>
          <cell r="I97">
            <v>340</v>
          </cell>
          <cell r="J97" t="str">
            <v>ED6</v>
          </cell>
          <cell r="K97">
            <v>32114160</v>
          </cell>
          <cell r="L97">
            <v>31756680</v>
          </cell>
          <cell r="M97">
            <v>-357480</v>
          </cell>
          <cell r="O97">
            <v>323</v>
          </cell>
          <cell r="P97">
            <v>19860</v>
          </cell>
          <cell r="Q97">
            <v>73542</v>
          </cell>
          <cell r="R97">
            <v>-1587834</v>
          </cell>
          <cell r="S97">
            <v>-1945314</v>
          </cell>
        </row>
        <row r="98">
          <cell r="A98" t="str">
            <v>3</v>
          </cell>
          <cell r="C98" t="str">
            <v>CRD</v>
          </cell>
          <cell r="D98" t="str">
            <v>0K9AA67560F</v>
          </cell>
          <cell r="E98" t="str">
            <v>ECU-ETWIS</v>
          </cell>
          <cell r="F98" t="str">
            <v>R103</v>
          </cell>
          <cell r="G98" t="str">
            <v>기아전자</v>
          </cell>
          <cell r="H98">
            <v>18298</v>
          </cell>
          <cell r="I98">
            <v>17371</v>
          </cell>
          <cell r="J98" t="str">
            <v>PD7</v>
          </cell>
          <cell r="K98">
            <v>114294624</v>
          </cell>
          <cell r="L98">
            <v>108916170</v>
          </cell>
          <cell r="M98">
            <v>-5378454</v>
          </cell>
          <cell r="O98">
            <v>17200</v>
          </cell>
          <cell r="P98">
            <v>5802</v>
          </cell>
          <cell r="Q98">
            <v>468</v>
          </cell>
          <cell r="R98">
            <v>-1072170</v>
          </cell>
          <cell r="S98">
            <v>-6450624</v>
          </cell>
        </row>
        <row r="99">
          <cell r="A99" t="str">
            <v>3</v>
          </cell>
          <cell r="C99" t="str">
            <v>CRD</v>
          </cell>
          <cell r="D99" t="str">
            <v>0K9AA677F0</v>
          </cell>
          <cell r="E99" t="str">
            <v>UNIT-DIAGNOSTIC</v>
          </cell>
          <cell r="F99" t="str">
            <v>R103</v>
          </cell>
          <cell r="G99" t="str">
            <v>기아전자</v>
          </cell>
          <cell r="H99">
            <v>55215</v>
          </cell>
          <cell r="I99">
            <v>49537</v>
          </cell>
          <cell r="J99" t="str">
            <v>ED6</v>
          </cell>
          <cell r="K99">
            <v>293184900</v>
          </cell>
          <cell r="L99">
            <v>274038684</v>
          </cell>
          <cell r="M99">
            <v>-19146216</v>
          </cell>
          <cell r="O99">
            <v>48545</v>
          </cell>
          <cell r="P99">
            <v>3372</v>
          </cell>
          <cell r="Q99">
            <v>2160</v>
          </cell>
          <cell r="R99">
            <v>-5487744</v>
          </cell>
          <cell r="S99">
            <v>-24633960</v>
          </cell>
        </row>
        <row r="100">
          <cell r="A100" t="str">
            <v>3</v>
          </cell>
          <cell r="C100" t="str">
            <v>CRD</v>
          </cell>
          <cell r="D100" t="str">
            <v>0K9AB66870D</v>
          </cell>
          <cell r="E100" t="str">
            <v>AUDIO ASSY-M/DE</v>
          </cell>
          <cell r="F100" t="str">
            <v>R103</v>
          </cell>
          <cell r="G100" t="str">
            <v>기아전자</v>
          </cell>
          <cell r="H100">
            <v>62918</v>
          </cell>
          <cell r="I100">
            <v>59641</v>
          </cell>
          <cell r="J100" t="str">
            <v>ED6</v>
          </cell>
          <cell r="K100">
            <v>513788388</v>
          </cell>
          <cell r="L100">
            <v>487028406</v>
          </cell>
          <cell r="M100">
            <v>-26759982</v>
          </cell>
          <cell r="O100">
            <v>58700</v>
          </cell>
          <cell r="P100">
            <v>8166</v>
          </cell>
          <cell r="Q100">
            <v>0</v>
          </cell>
          <cell r="R100">
            <v>-7684206</v>
          </cell>
          <cell r="S100">
            <v>-34444188</v>
          </cell>
        </row>
        <row r="101">
          <cell r="A101" t="str">
            <v>3</v>
          </cell>
          <cell r="C101" t="str">
            <v>CRD</v>
          </cell>
          <cell r="D101" t="str">
            <v>0K9AB677F0</v>
          </cell>
          <cell r="E101" t="str">
            <v>UNIT-DIAGNOSTIC</v>
          </cell>
          <cell r="F101" t="str">
            <v>R103</v>
          </cell>
          <cell r="G101" t="str">
            <v>기아전자</v>
          </cell>
          <cell r="H101">
            <v>55215</v>
          </cell>
          <cell r="I101">
            <v>49537</v>
          </cell>
          <cell r="J101" t="str">
            <v>ED6</v>
          </cell>
          <cell r="K101">
            <v>204836400</v>
          </cell>
          <cell r="L101">
            <v>202110960</v>
          </cell>
          <cell r="M101">
            <v>-2725440</v>
          </cell>
          <cell r="O101">
            <v>48545</v>
          </cell>
          <cell r="P101">
            <v>480</v>
          </cell>
          <cell r="Q101">
            <v>3600</v>
          </cell>
          <cell r="R101">
            <v>-4047360</v>
          </cell>
          <cell r="S101">
            <v>-6772800</v>
          </cell>
        </row>
        <row r="102">
          <cell r="A102" t="str">
            <v>3</v>
          </cell>
          <cell r="C102" t="str">
            <v>CRD</v>
          </cell>
          <cell r="D102" t="str">
            <v>0K9AC66870C</v>
          </cell>
          <cell r="E102" t="str">
            <v>AUDIO ASSY-M/DE</v>
          </cell>
          <cell r="F102" t="str">
            <v>R103</v>
          </cell>
          <cell r="G102" t="str">
            <v>기아전자</v>
          </cell>
          <cell r="H102">
            <v>62918</v>
          </cell>
          <cell r="I102">
            <v>59641</v>
          </cell>
          <cell r="J102" t="str">
            <v>ED6</v>
          </cell>
          <cell r="K102">
            <v>5367690</v>
          </cell>
          <cell r="L102">
            <v>5367690</v>
          </cell>
          <cell r="M102">
            <v>0</v>
          </cell>
          <cell r="O102">
            <v>58700</v>
          </cell>
          <cell r="P102">
            <v>0</v>
          </cell>
          <cell r="Q102">
            <v>90</v>
          </cell>
          <cell r="R102">
            <v>-84690</v>
          </cell>
          <cell r="S102">
            <v>-84690</v>
          </cell>
        </row>
        <row r="103">
          <cell r="A103" t="str">
            <v>3</v>
          </cell>
          <cell r="C103" t="str">
            <v>CRD</v>
          </cell>
          <cell r="D103" t="str">
            <v>0K9AC67560D</v>
          </cell>
          <cell r="E103" t="str">
            <v>ECU-ETWIS</v>
          </cell>
          <cell r="F103" t="str">
            <v>R103</v>
          </cell>
          <cell r="G103" t="str">
            <v>기아전자</v>
          </cell>
          <cell r="H103">
            <v>18625</v>
          </cell>
          <cell r="I103">
            <v>17344</v>
          </cell>
          <cell r="J103" t="str">
            <v>EE4</v>
          </cell>
          <cell r="K103">
            <v>171233436</v>
          </cell>
          <cell r="L103">
            <v>166606464</v>
          </cell>
          <cell r="M103">
            <v>-4626972</v>
          </cell>
          <cell r="O103">
            <v>16800</v>
          </cell>
          <cell r="P103">
            <v>3612</v>
          </cell>
          <cell r="Q103">
            <v>5994</v>
          </cell>
          <cell r="R103">
            <v>-5225664</v>
          </cell>
          <cell r="S103">
            <v>-9852636</v>
          </cell>
        </row>
        <row r="104">
          <cell r="A104" t="str">
            <v>3</v>
          </cell>
          <cell r="C104" t="str">
            <v>CRD</v>
          </cell>
          <cell r="D104" t="str">
            <v>0K9AD66870G</v>
          </cell>
          <cell r="E104" t="str">
            <v>AUDIO ASSY-L/DE</v>
          </cell>
          <cell r="F104" t="str">
            <v>R103</v>
          </cell>
          <cell r="G104" t="str">
            <v>기아전자</v>
          </cell>
          <cell r="H104">
            <v>150520</v>
          </cell>
          <cell r="I104">
            <v>139740</v>
          </cell>
          <cell r="J104" t="str">
            <v>EE4</v>
          </cell>
          <cell r="K104">
            <v>36124800</v>
          </cell>
          <cell r="L104">
            <v>33537600</v>
          </cell>
          <cell r="M104">
            <v>-2587200</v>
          </cell>
          <cell r="O104" t="e">
            <v>#N/A</v>
          </cell>
          <cell r="P104">
            <v>240</v>
          </cell>
          <cell r="Q104">
            <v>0</v>
          </cell>
          <cell r="S104">
            <v>-2587200</v>
          </cell>
        </row>
        <row r="105">
          <cell r="A105" t="str">
            <v>3</v>
          </cell>
          <cell r="C105" t="str">
            <v>CRD</v>
          </cell>
          <cell r="D105" t="str">
            <v>0K9AG67560E</v>
          </cell>
          <cell r="E105" t="str">
            <v>ECU-ETWIS</v>
          </cell>
          <cell r="F105" t="str">
            <v>R103</v>
          </cell>
          <cell r="G105" t="str">
            <v>기아전자</v>
          </cell>
          <cell r="H105">
            <v>18625</v>
          </cell>
          <cell r="I105">
            <v>17344</v>
          </cell>
          <cell r="J105" t="str">
            <v>ED6</v>
          </cell>
          <cell r="K105">
            <v>114822648</v>
          </cell>
          <cell r="L105">
            <v>112701312</v>
          </cell>
          <cell r="M105">
            <v>-2121336</v>
          </cell>
          <cell r="O105">
            <v>16800</v>
          </cell>
          <cell r="P105">
            <v>1656</v>
          </cell>
          <cell r="Q105">
            <v>4842</v>
          </cell>
          <cell r="R105">
            <v>-3534912</v>
          </cell>
          <cell r="S105">
            <v>-5656248</v>
          </cell>
        </row>
        <row r="106">
          <cell r="A106" t="str">
            <v>3</v>
          </cell>
          <cell r="C106" t="str">
            <v>CRD</v>
          </cell>
          <cell r="D106" t="str">
            <v>0K9AY66870E</v>
          </cell>
          <cell r="E106" t="str">
            <v>AUDIO ASSY-L/DE</v>
          </cell>
          <cell r="F106" t="str">
            <v>R103</v>
          </cell>
          <cell r="G106" t="str">
            <v>기아전자</v>
          </cell>
          <cell r="H106">
            <v>113929</v>
          </cell>
          <cell r="I106">
            <v>107754</v>
          </cell>
          <cell r="J106" t="str">
            <v>EE4</v>
          </cell>
          <cell r="K106">
            <v>857201796</v>
          </cell>
          <cell r="L106">
            <v>810741096</v>
          </cell>
          <cell r="M106">
            <v>-46460700</v>
          </cell>
          <cell r="O106">
            <v>104790</v>
          </cell>
          <cell r="P106">
            <v>7524</v>
          </cell>
          <cell r="Q106">
            <v>0</v>
          </cell>
          <cell r="R106">
            <v>-22301136</v>
          </cell>
          <cell r="S106">
            <v>-68761836</v>
          </cell>
        </row>
        <row r="107">
          <cell r="A107" t="str">
            <v>3</v>
          </cell>
          <cell r="C107" t="str">
            <v>CRD</v>
          </cell>
          <cell r="D107" t="str">
            <v>0K9A066870E</v>
          </cell>
          <cell r="E107" t="str">
            <v>AUDIO ASSY-M/DE</v>
          </cell>
          <cell r="F107" t="str">
            <v>R103</v>
          </cell>
          <cell r="G107" t="str">
            <v>기아전자</v>
          </cell>
          <cell r="H107">
            <v>62918</v>
          </cell>
          <cell r="I107">
            <v>59641</v>
          </cell>
          <cell r="J107" t="str">
            <v>ED6</v>
          </cell>
          <cell r="K107">
            <v>268864284</v>
          </cell>
          <cell r="L107">
            <v>263732502</v>
          </cell>
          <cell r="M107">
            <v>-5131782</v>
          </cell>
          <cell r="O107">
            <v>58700</v>
          </cell>
          <cell r="P107">
            <v>1566</v>
          </cell>
          <cell r="Q107">
            <v>2856</v>
          </cell>
          <cell r="R107">
            <v>-4161102</v>
          </cell>
          <cell r="S107">
            <v>-9292884</v>
          </cell>
        </row>
        <row r="108">
          <cell r="A108" t="str">
            <v>3</v>
          </cell>
          <cell r="C108" t="str">
            <v>CRD</v>
          </cell>
          <cell r="D108" t="str">
            <v>0K9A466870K</v>
          </cell>
          <cell r="E108" t="str">
            <v>AUDIO ASSY-L/DE</v>
          </cell>
          <cell r="F108" t="str">
            <v>R103</v>
          </cell>
          <cell r="G108" t="str">
            <v>기아전자</v>
          </cell>
          <cell r="H108">
            <v>158247</v>
          </cell>
          <cell r="I108">
            <v>149520</v>
          </cell>
          <cell r="J108" t="str">
            <v>ED4</v>
          </cell>
          <cell r="K108">
            <v>1101399120</v>
          </cell>
          <cell r="L108">
            <v>1040659200</v>
          </cell>
          <cell r="M108">
            <v>-60739920</v>
          </cell>
          <cell r="O108">
            <v>148772</v>
          </cell>
          <cell r="P108">
            <v>6960</v>
          </cell>
          <cell r="Q108">
            <v>0</v>
          </cell>
          <cell r="R108">
            <v>-5206080</v>
          </cell>
          <cell r="S108">
            <v>-65946000</v>
          </cell>
        </row>
        <row r="109">
          <cell r="A109" t="str">
            <v>3</v>
          </cell>
          <cell r="C109" t="str">
            <v>CRD</v>
          </cell>
          <cell r="D109" t="str">
            <v>0K9A4677R0D</v>
          </cell>
          <cell r="E109" t="str">
            <v>RECEIVER-KEYLES</v>
          </cell>
          <cell r="F109" t="str">
            <v>R103</v>
          </cell>
          <cell r="G109" t="str">
            <v>기아전자</v>
          </cell>
          <cell r="H109">
            <v>14108</v>
          </cell>
          <cell r="I109">
            <v>13355</v>
          </cell>
          <cell r="J109" t="str">
            <v>ED6</v>
          </cell>
          <cell r="K109">
            <v>33774552</v>
          </cell>
          <cell r="L109">
            <v>31971870</v>
          </cell>
          <cell r="M109">
            <v>-1802682</v>
          </cell>
          <cell r="O109">
            <v>13260</v>
          </cell>
          <cell r="P109">
            <v>2394</v>
          </cell>
          <cell r="Q109">
            <v>0</v>
          </cell>
          <cell r="R109">
            <v>-227430</v>
          </cell>
          <cell r="S109">
            <v>-2030112</v>
          </cell>
        </row>
        <row r="110">
          <cell r="A110" t="str">
            <v>3</v>
          </cell>
          <cell r="C110" t="str">
            <v>CRD</v>
          </cell>
          <cell r="D110" t="str">
            <v>0K9A4677R1D</v>
          </cell>
          <cell r="E110" t="str">
            <v>BRKT ASSY</v>
          </cell>
          <cell r="F110" t="str">
            <v>R103</v>
          </cell>
          <cell r="G110" t="str">
            <v>기아전자</v>
          </cell>
          <cell r="H110">
            <v>195</v>
          </cell>
          <cell r="I110">
            <v>185</v>
          </cell>
          <cell r="J110" t="str">
            <v>EE4</v>
          </cell>
          <cell r="K110">
            <v>3588660</v>
          </cell>
          <cell r="L110">
            <v>3496500</v>
          </cell>
          <cell r="M110">
            <v>-92160</v>
          </cell>
          <cell r="O110">
            <v>180</v>
          </cell>
          <cell r="P110">
            <v>9216</v>
          </cell>
          <cell r="Q110">
            <v>9684</v>
          </cell>
          <cell r="R110">
            <v>-94500</v>
          </cell>
          <cell r="S110">
            <v>-186660</v>
          </cell>
        </row>
        <row r="111">
          <cell r="A111" t="str">
            <v>3</v>
          </cell>
          <cell r="C111" t="str">
            <v>CRD</v>
          </cell>
          <cell r="D111" t="str">
            <v>0K9A4677T0A</v>
          </cell>
          <cell r="E111" t="str">
            <v>TRANSMITTER-KEY</v>
          </cell>
          <cell r="F111" t="str">
            <v>R103</v>
          </cell>
          <cell r="G111" t="str">
            <v>기아전자</v>
          </cell>
          <cell r="H111">
            <v>9420</v>
          </cell>
          <cell r="I111">
            <v>8659</v>
          </cell>
          <cell r="J111" t="str">
            <v>ED6</v>
          </cell>
          <cell r="K111">
            <v>96084000</v>
          </cell>
          <cell r="L111">
            <v>88321800</v>
          </cell>
          <cell r="M111">
            <v>-7762200</v>
          </cell>
          <cell r="O111" t="e">
            <v>#N/A</v>
          </cell>
          <cell r="P111">
            <v>10200</v>
          </cell>
          <cell r="Q111">
            <v>0</v>
          </cell>
          <cell r="S111">
            <v>-7762200</v>
          </cell>
        </row>
        <row r="112">
          <cell r="A112" t="str">
            <v>3</v>
          </cell>
          <cell r="C112" t="str">
            <v>CRD</v>
          </cell>
          <cell r="D112" t="str">
            <v>0K9A467880A</v>
          </cell>
          <cell r="E112" t="str">
            <v>CONTROL UNIT-SS</v>
          </cell>
          <cell r="F112" t="str">
            <v>R103</v>
          </cell>
          <cell r="G112" t="str">
            <v>기아전자</v>
          </cell>
          <cell r="H112">
            <v>11146</v>
          </cell>
          <cell r="I112">
            <v>10441</v>
          </cell>
          <cell r="J112" t="str">
            <v>ED6</v>
          </cell>
          <cell r="K112">
            <v>0</v>
          </cell>
          <cell r="L112">
            <v>0</v>
          </cell>
          <cell r="M112">
            <v>0</v>
          </cell>
          <cell r="O112" t="e">
            <v>#N/A</v>
          </cell>
          <cell r="P112">
            <v>0</v>
          </cell>
          <cell r="Q112">
            <v>0</v>
          </cell>
          <cell r="S112">
            <v>0</v>
          </cell>
        </row>
        <row r="113">
          <cell r="A113" t="str">
            <v>3</v>
          </cell>
          <cell r="C113" t="str">
            <v>CRD</v>
          </cell>
          <cell r="D113" t="str">
            <v>0K9A566061B</v>
          </cell>
          <cell r="E113" t="str">
            <v>SW-AUDIO REMOCON</v>
          </cell>
          <cell r="F113" t="str">
            <v>R103</v>
          </cell>
          <cell r="G113" t="str">
            <v>기아전자</v>
          </cell>
          <cell r="H113">
            <v>4480</v>
          </cell>
          <cell r="I113">
            <v>4210</v>
          </cell>
          <cell r="J113" t="str">
            <v>ED6</v>
          </cell>
          <cell r="K113">
            <v>13440000</v>
          </cell>
          <cell r="L113">
            <v>12630000</v>
          </cell>
          <cell r="M113">
            <v>-810000</v>
          </cell>
          <cell r="O113">
            <v>4180</v>
          </cell>
          <cell r="P113">
            <v>3000</v>
          </cell>
          <cell r="Q113">
            <v>0</v>
          </cell>
          <cell r="R113">
            <v>-90000</v>
          </cell>
          <cell r="S113">
            <v>-900000</v>
          </cell>
        </row>
        <row r="114">
          <cell r="A114" t="str">
            <v>3</v>
          </cell>
          <cell r="C114" t="str">
            <v>CRD</v>
          </cell>
          <cell r="D114" t="str">
            <v>OK9A717400</v>
          </cell>
          <cell r="E114" t="str">
            <v>GEAR SET-SPEEDO</v>
          </cell>
          <cell r="F114" t="str">
            <v>R103</v>
          </cell>
          <cell r="G114" t="str">
            <v>기아전자</v>
          </cell>
          <cell r="H114">
            <v>4615</v>
          </cell>
          <cell r="I114">
            <v>4292</v>
          </cell>
          <cell r="J114" t="str">
            <v>ED6</v>
          </cell>
          <cell r="K114">
            <v>59640858</v>
          </cell>
          <cell r="L114">
            <v>56654400</v>
          </cell>
          <cell r="M114">
            <v>-2986458</v>
          </cell>
          <cell r="O114">
            <v>4200</v>
          </cell>
          <cell r="P114">
            <v>9246</v>
          </cell>
          <cell r="Q114">
            <v>3954</v>
          </cell>
          <cell r="R114">
            <v>-1214400</v>
          </cell>
          <cell r="S114">
            <v>-4200858</v>
          </cell>
        </row>
        <row r="115">
          <cell r="A115" t="str">
            <v>3</v>
          </cell>
          <cell r="C115" t="str">
            <v>CRD</v>
          </cell>
          <cell r="D115" t="str">
            <v>0K9BA677R0</v>
          </cell>
          <cell r="E115" t="str">
            <v>RECEIVER-KEYLES</v>
          </cell>
          <cell r="F115" t="str">
            <v>R103</v>
          </cell>
          <cell r="G115" t="str">
            <v>기아전자</v>
          </cell>
          <cell r="H115">
            <v>15108</v>
          </cell>
          <cell r="I115">
            <v>14302</v>
          </cell>
          <cell r="J115" t="str">
            <v>PD2</v>
          </cell>
          <cell r="K115">
            <v>160900200</v>
          </cell>
          <cell r="L115">
            <v>152316300</v>
          </cell>
          <cell r="M115">
            <v>-8583900</v>
          </cell>
          <cell r="O115">
            <v>14200</v>
          </cell>
          <cell r="P115">
            <v>10650</v>
          </cell>
          <cell r="Q115">
            <v>0</v>
          </cell>
          <cell r="R115">
            <v>-1086300</v>
          </cell>
          <cell r="S115">
            <v>-9670200</v>
          </cell>
        </row>
        <row r="116">
          <cell r="A116" t="str">
            <v>3</v>
          </cell>
          <cell r="C116" t="str">
            <v>CRD</v>
          </cell>
          <cell r="D116" t="str">
            <v>0K9BA677R0A</v>
          </cell>
          <cell r="E116" t="str">
            <v>RECEIVER-KEYLES</v>
          </cell>
          <cell r="F116" t="str">
            <v>R103</v>
          </cell>
          <cell r="G116" t="str">
            <v>기아전자</v>
          </cell>
          <cell r="H116">
            <v>15108</v>
          </cell>
          <cell r="I116">
            <v>14302</v>
          </cell>
          <cell r="J116" t="str">
            <v>XU2</v>
          </cell>
          <cell r="K116">
            <v>0</v>
          </cell>
          <cell r="L116">
            <v>0</v>
          </cell>
          <cell r="M116">
            <v>0</v>
          </cell>
          <cell r="O116" t="e">
            <v>#N/A</v>
          </cell>
          <cell r="P116">
            <v>0</v>
          </cell>
          <cell r="Q116">
            <v>0</v>
          </cell>
          <cell r="S116">
            <v>0</v>
          </cell>
        </row>
        <row r="117">
          <cell r="A117" t="str">
            <v>3</v>
          </cell>
          <cell r="C117" t="str">
            <v>CRD</v>
          </cell>
          <cell r="D117" t="str">
            <v>0K9BA677T0</v>
          </cell>
          <cell r="E117" t="str">
            <v>TRANSMITTER-KEY</v>
          </cell>
          <cell r="F117" t="str">
            <v>R103</v>
          </cell>
          <cell r="G117" t="str">
            <v>기아전자</v>
          </cell>
          <cell r="H117">
            <v>9420</v>
          </cell>
          <cell r="I117">
            <v>8659</v>
          </cell>
          <cell r="J117" t="str">
            <v>ED6</v>
          </cell>
          <cell r="K117">
            <v>284364072</v>
          </cell>
          <cell r="L117">
            <v>278213670</v>
          </cell>
          <cell r="M117">
            <v>-6150402</v>
          </cell>
          <cell r="O117" t="e">
            <v>#N/A</v>
          </cell>
          <cell r="P117">
            <v>8082</v>
          </cell>
          <cell r="Q117">
            <v>24048</v>
          </cell>
          <cell r="S117">
            <v>-6150402</v>
          </cell>
        </row>
        <row r="118">
          <cell r="A118" t="str">
            <v>3H</v>
          </cell>
          <cell r="C118" t="str">
            <v>CRD</v>
          </cell>
          <cell r="D118" t="str">
            <v>0K9BG66870</v>
          </cell>
          <cell r="E118" t="str">
            <v>AUDIO ASSY-CDP</v>
          </cell>
          <cell r="F118" t="str">
            <v>R103</v>
          </cell>
          <cell r="G118" t="str">
            <v>기아전자</v>
          </cell>
          <cell r="H118">
            <v>308500</v>
          </cell>
          <cell r="I118">
            <v>267895</v>
          </cell>
          <cell r="J118" t="str">
            <v>EE3</v>
          </cell>
          <cell r="K118">
            <v>308500</v>
          </cell>
          <cell r="L118">
            <v>267895</v>
          </cell>
          <cell r="M118">
            <v>-40605</v>
          </cell>
          <cell r="O118">
            <v>265210</v>
          </cell>
          <cell r="P118">
            <v>1</v>
          </cell>
          <cell r="Q118">
            <v>0</v>
          </cell>
          <cell r="R118">
            <v>-2685</v>
          </cell>
          <cell r="S118">
            <v>-43290</v>
          </cell>
        </row>
        <row r="119">
          <cell r="A119" t="str">
            <v>3</v>
          </cell>
          <cell r="C119" t="str">
            <v>CRD</v>
          </cell>
          <cell r="D119" t="str">
            <v>0K9B166850</v>
          </cell>
          <cell r="E119" t="str">
            <v>AMP-AUDIO</v>
          </cell>
          <cell r="F119" t="str">
            <v>R103</v>
          </cell>
          <cell r="G119" t="str">
            <v>기아전자</v>
          </cell>
          <cell r="H119">
            <v>50600</v>
          </cell>
          <cell r="I119">
            <v>47810</v>
          </cell>
          <cell r="J119" t="str">
            <v>PU7</v>
          </cell>
          <cell r="K119">
            <v>50600</v>
          </cell>
          <cell r="L119">
            <v>47810</v>
          </cell>
          <cell r="M119">
            <v>-2790</v>
          </cell>
          <cell r="O119">
            <v>46470</v>
          </cell>
          <cell r="P119">
            <v>1</v>
          </cell>
          <cell r="Q119">
            <v>0</v>
          </cell>
          <cell r="R119">
            <v>-1340</v>
          </cell>
          <cell r="S119">
            <v>-4130</v>
          </cell>
        </row>
        <row r="120">
          <cell r="A120" t="str">
            <v>3</v>
          </cell>
          <cell r="C120" t="str">
            <v>CRD</v>
          </cell>
          <cell r="D120" t="str">
            <v>0K9B166850B</v>
          </cell>
          <cell r="E120" t="str">
            <v>AMP-AUDIO</v>
          </cell>
          <cell r="F120" t="str">
            <v>R103</v>
          </cell>
          <cell r="G120" t="str">
            <v>기아전자</v>
          </cell>
          <cell r="H120">
            <v>43981</v>
          </cell>
          <cell r="I120">
            <v>41659</v>
          </cell>
          <cell r="J120" t="str">
            <v>ED4</v>
          </cell>
          <cell r="K120">
            <v>22694196</v>
          </cell>
          <cell r="L120">
            <v>21496044</v>
          </cell>
          <cell r="M120">
            <v>-1198152</v>
          </cell>
          <cell r="O120">
            <v>41342</v>
          </cell>
          <cell r="P120">
            <v>516</v>
          </cell>
          <cell r="Q120">
            <v>0</v>
          </cell>
          <cell r="R120">
            <v>-163572</v>
          </cell>
          <cell r="S120">
            <v>-1361724</v>
          </cell>
        </row>
        <row r="121">
          <cell r="A121" t="str">
            <v>3</v>
          </cell>
          <cell r="C121" t="str">
            <v>CRD</v>
          </cell>
          <cell r="D121" t="str">
            <v>0K9B366970</v>
          </cell>
          <cell r="E121" t="str">
            <v>CORD-G/ANT</v>
          </cell>
          <cell r="F121" t="str">
            <v>R103</v>
          </cell>
          <cell r="G121" t="str">
            <v>기아전자</v>
          </cell>
          <cell r="H121">
            <v>5000</v>
          </cell>
          <cell r="I121">
            <v>4750</v>
          </cell>
          <cell r="J121" t="str">
            <v>XE4</v>
          </cell>
          <cell r="K121">
            <v>0</v>
          </cell>
          <cell r="L121">
            <v>0</v>
          </cell>
          <cell r="M121">
            <v>0</v>
          </cell>
          <cell r="O121" t="e">
            <v>#N/A</v>
          </cell>
          <cell r="P121">
            <v>0</v>
          </cell>
          <cell r="Q121">
            <v>0</v>
          </cell>
          <cell r="S121">
            <v>0</v>
          </cell>
        </row>
        <row r="122">
          <cell r="A122" t="str">
            <v>3D</v>
          </cell>
          <cell r="C122" t="str">
            <v>CRD</v>
          </cell>
          <cell r="D122" t="str">
            <v>0K9B466910</v>
          </cell>
          <cell r="E122" t="str">
            <v>DIN CABLE-AMP</v>
          </cell>
          <cell r="F122" t="str">
            <v>R103</v>
          </cell>
          <cell r="G122" t="str">
            <v>기아전자</v>
          </cell>
          <cell r="H122">
            <v>7710</v>
          </cell>
          <cell r="I122">
            <v>7320</v>
          </cell>
          <cell r="J122" t="str">
            <v>ED6</v>
          </cell>
          <cell r="K122">
            <v>3700800</v>
          </cell>
          <cell r="L122">
            <v>3513600</v>
          </cell>
          <cell r="M122">
            <v>-187200</v>
          </cell>
          <cell r="O122">
            <v>7260</v>
          </cell>
          <cell r="P122">
            <v>480</v>
          </cell>
          <cell r="Q122">
            <v>0</v>
          </cell>
          <cell r="R122">
            <v>-28800</v>
          </cell>
          <cell r="S122">
            <v>-216000</v>
          </cell>
        </row>
        <row r="123">
          <cell r="A123" t="str">
            <v>3</v>
          </cell>
          <cell r="C123" t="str">
            <v>CRD</v>
          </cell>
          <cell r="D123" t="str">
            <v>0K9B467560B</v>
          </cell>
          <cell r="E123" t="str">
            <v>ECU-ETWIS</v>
          </cell>
          <cell r="F123" t="str">
            <v>R103</v>
          </cell>
          <cell r="G123" t="str">
            <v>기아전자</v>
          </cell>
          <cell r="H123">
            <v>19845</v>
          </cell>
          <cell r="I123">
            <v>18765</v>
          </cell>
          <cell r="J123" t="str">
            <v>ED4</v>
          </cell>
          <cell r="K123">
            <v>42865200</v>
          </cell>
          <cell r="L123">
            <v>40532400</v>
          </cell>
          <cell r="M123">
            <v>-2332800</v>
          </cell>
          <cell r="O123">
            <v>18654</v>
          </cell>
          <cell r="P123">
            <v>2160</v>
          </cell>
          <cell r="Q123">
            <v>0</v>
          </cell>
          <cell r="R123">
            <v>-239760</v>
          </cell>
          <cell r="S123">
            <v>-2572560</v>
          </cell>
        </row>
        <row r="124">
          <cell r="A124" t="str">
            <v>3H</v>
          </cell>
          <cell r="C124" t="str">
            <v>CRD</v>
          </cell>
          <cell r="D124" t="str">
            <v>0K9B566850</v>
          </cell>
          <cell r="E124" t="str">
            <v>AMP/DSP-AV</v>
          </cell>
          <cell r="F124" t="str">
            <v>R103</v>
          </cell>
          <cell r="G124" t="str">
            <v>기아전자</v>
          </cell>
          <cell r="H124">
            <v>268265</v>
          </cell>
          <cell r="I124">
            <v>235500</v>
          </cell>
          <cell r="J124" t="str">
            <v>ED6</v>
          </cell>
          <cell r="K124">
            <v>0</v>
          </cell>
          <cell r="L124">
            <v>0</v>
          </cell>
          <cell r="M124">
            <v>0</v>
          </cell>
          <cell r="O124" t="e">
            <v>#N/A</v>
          </cell>
          <cell r="P124">
            <v>0</v>
          </cell>
          <cell r="Q124">
            <v>0</v>
          </cell>
          <cell r="S124">
            <v>0</v>
          </cell>
        </row>
        <row r="125">
          <cell r="A125" t="str">
            <v>3D</v>
          </cell>
          <cell r="C125" t="str">
            <v>CRD</v>
          </cell>
          <cell r="D125" t="str">
            <v>0K9B566910</v>
          </cell>
          <cell r="E125" t="str">
            <v>CABLE ASSY-AV</v>
          </cell>
          <cell r="F125" t="str">
            <v>R103</v>
          </cell>
          <cell r="G125" t="str">
            <v>기아전자</v>
          </cell>
          <cell r="H125">
            <v>9300</v>
          </cell>
          <cell r="I125">
            <v>8835</v>
          </cell>
          <cell r="J125" t="str">
            <v>PD2</v>
          </cell>
          <cell r="K125">
            <v>0</v>
          </cell>
          <cell r="L125">
            <v>0</v>
          </cell>
          <cell r="M125">
            <v>0</v>
          </cell>
          <cell r="O125" t="e">
            <v>#N/A</v>
          </cell>
          <cell r="P125">
            <v>0</v>
          </cell>
          <cell r="Q125">
            <v>0</v>
          </cell>
          <cell r="S125">
            <v>0</v>
          </cell>
        </row>
        <row r="126">
          <cell r="A126" t="str">
            <v>3</v>
          </cell>
          <cell r="C126" t="str">
            <v>CRD</v>
          </cell>
          <cell r="D126" t="str">
            <v>0K9B56697S</v>
          </cell>
          <cell r="E126" t="str">
            <v>CONNECTOR-SHORT</v>
          </cell>
          <cell r="F126" t="str">
            <v>R103</v>
          </cell>
          <cell r="G126" t="str">
            <v>기아전자</v>
          </cell>
          <cell r="H126">
            <v>325</v>
          </cell>
          <cell r="I126">
            <v>308</v>
          </cell>
          <cell r="J126" t="str">
            <v>EE1</v>
          </cell>
          <cell r="K126">
            <v>975000</v>
          </cell>
          <cell r="L126">
            <v>924000</v>
          </cell>
          <cell r="M126">
            <v>-51000</v>
          </cell>
          <cell r="O126">
            <v>303</v>
          </cell>
          <cell r="P126">
            <v>3000</v>
          </cell>
          <cell r="Q126">
            <v>0</v>
          </cell>
          <cell r="R126">
            <v>-15000</v>
          </cell>
          <cell r="S126">
            <v>-66000</v>
          </cell>
        </row>
        <row r="127">
          <cell r="A127" t="str">
            <v>3H</v>
          </cell>
          <cell r="C127" t="str">
            <v>CRD</v>
          </cell>
          <cell r="D127" t="str">
            <v>0K9D166870B</v>
          </cell>
          <cell r="E127" t="str">
            <v>AUDIO ASSY-CDP</v>
          </cell>
          <cell r="F127" t="str">
            <v>R103</v>
          </cell>
          <cell r="G127" t="str">
            <v>기아전자</v>
          </cell>
          <cell r="H127">
            <v>284105</v>
          </cell>
          <cell r="I127">
            <v>267895</v>
          </cell>
          <cell r="J127" t="str">
            <v>ED4</v>
          </cell>
          <cell r="K127">
            <v>129551880</v>
          </cell>
          <cell r="L127">
            <v>122160120</v>
          </cell>
          <cell r="M127">
            <v>-7391760</v>
          </cell>
          <cell r="O127">
            <v>265200</v>
          </cell>
          <cell r="P127">
            <v>456</v>
          </cell>
          <cell r="Q127">
            <v>0</v>
          </cell>
          <cell r="R127">
            <v>-1228920</v>
          </cell>
          <cell r="S127">
            <v>-8620680</v>
          </cell>
        </row>
        <row r="128">
          <cell r="A128" t="str">
            <v>3D</v>
          </cell>
          <cell r="C128" t="str">
            <v>CRD</v>
          </cell>
          <cell r="D128" t="str">
            <v>0K9D4668D1</v>
          </cell>
          <cell r="E128" t="str">
            <v>UNIT-AMP/D</v>
          </cell>
          <cell r="F128" t="str">
            <v>R103</v>
          </cell>
          <cell r="G128" t="str">
            <v>기아전자</v>
          </cell>
          <cell r="H128">
            <v>152600</v>
          </cell>
          <cell r="I128">
            <v>142140</v>
          </cell>
          <cell r="J128" t="str">
            <v>PU7</v>
          </cell>
          <cell r="K128">
            <v>0</v>
          </cell>
          <cell r="L128">
            <v>0</v>
          </cell>
          <cell r="M128">
            <v>0</v>
          </cell>
          <cell r="O128" t="e">
            <v>#N/A</v>
          </cell>
          <cell r="P128">
            <v>0</v>
          </cell>
          <cell r="Q128">
            <v>0</v>
          </cell>
          <cell r="S128">
            <v>0</v>
          </cell>
        </row>
        <row r="129">
          <cell r="A129" t="str">
            <v>3H</v>
          </cell>
          <cell r="C129" t="str">
            <v>CRD</v>
          </cell>
          <cell r="D129" t="str">
            <v>0K9D466870</v>
          </cell>
          <cell r="E129" t="str">
            <v>AUDIO ASSY-DSP</v>
          </cell>
          <cell r="F129" t="str">
            <v>R103</v>
          </cell>
          <cell r="G129" t="str">
            <v>기아전자</v>
          </cell>
          <cell r="H129">
            <v>286900</v>
          </cell>
          <cell r="I129">
            <v>267895</v>
          </cell>
          <cell r="J129" t="str">
            <v>ED6</v>
          </cell>
          <cell r="K129">
            <v>286900</v>
          </cell>
          <cell r="L129">
            <v>267895</v>
          </cell>
          <cell r="M129">
            <v>-19005</v>
          </cell>
          <cell r="O129">
            <v>265240</v>
          </cell>
          <cell r="P129">
            <v>1</v>
          </cell>
          <cell r="Q129">
            <v>0</v>
          </cell>
          <cell r="R129">
            <v>-2655</v>
          </cell>
          <cell r="S129">
            <v>-21660</v>
          </cell>
        </row>
        <row r="130">
          <cell r="A130" t="str">
            <v>3</v>
          </cell>
          <cell r="C130" t="str">
            <v>PTN</v>
          </cell>
          <cell r="D130" t="str">
            <v>0K91A668F0A</v>
          </cell>
          <cell r="E130" t="str">
            <v>FILTER-G/ANT</v>
          </cell>
          <cell r="F130" t="str">
            <v>R103</v>
          </cell>
          <cell r="G130" t="str">
            <v>기아전자</v>
          </cell>
          <cell r="H130">
            <v>4500</v>
          </cell>
          <cell r="I130">
            <v>4270</v>
          </cell>
          <cell r="J130" t="str">
            <v>VE1</v>
          </cell>
          <cell r="K130">
            <v>19980000</v>
          </cell>
          <cell r="L130">
            <v>18958800</v>
          </cell>
          <cell r="M130">
            <v>-1021200</v>
          </cell>
          <cell r="O130">
            <v>4240</v>
          </cell>
          <cell r="P130">
            <v>4440</v>
          </cell>
          <cell r="Q130">
            <v>0</v>
          </cell>
          <cell r="R130">
            <v>-133200</v>
          </cell>
          <cell r="S130">
            <v>-1154400</v>
          </cell>
        </row>
        <row r="131">
          <cell r="A131" t="str">
            <v>3</v>
          </cell>
          <cell r="C131" t="str">
            <v>PTN</v>
          </cell>
          <cell r="D131" t="str">
            <v>0K91A669A0C</v>
          </cell>
          <cell r="E131" t="str">
            <v>AMP-G/ANT</v>
          </cell>
          <cell r="F131" t="str">
            <v>R103</v>
          </cell>
          <cell r="G131" t="str">
            <v>기아전자</v>
          </cell>
          <cell r="H131">
            <v>8700</v>
          </cell>
          <cell r="I131">
            <v>8050</v>
          </cell>
          <cell r="J131" t="str">
            <v>VE1</v>
          </cell>
          <cell r="K131">
            <v>31059000</v>
          </cell>
          <cell r="L131">
            <v>28738500</v>
          </cell>
          <cell r="M131">
            <v>-2320500</v>
          </cell>
          <cell r="O131" t="e">
            <v>#N/A</v>
          </cell>
          <cell r="P131">
            <v>3570</v>
          </cell>
          <cell r="Q131">
            <v>0</v>
          </cell>
          <cell r="S131">
            <v>-2320500</v>
          </cell>
        </row>
        <row r="132">
          <cell r="A132" t="str">
            <v>3</v>
          </cell>
          <cell r="C132" t="str">
            <v>PTN</v>
          </cell>
          <cell r="D132" t="str">
            <v>0K91A669D1B</v>
          </cell>
          <cell r="E132" t="str">
            <v>CABLE-AMP</v>
          </cell>
          <cell r="F132" t="str">
            <v>R103</v>
          </cell>
          <cell r="G132" t="str">
            <v>기아전자</v>
          </cell>
          <cell r="H132">
            <v>7600</v>
          </cell>
          <cell r="I132">
            <v>7220</v>
          </cell>
          <cell r="J132" t="str">
            <v>VE1</v>
          </cell>
          <cell r="K132">
            <v>7296000</v>
          </cell>
          <cell r="L132">
            <v>6931200</v>
          </cell>
          <cell r="M132">
            <v>-364800</v>
          </cell>
          <cell r="O132">
            <v>7150</v>
          </cell>
          <cell r="P132">
            <v>960</v>
          </cell>
          <cell r="Q132">
            <v>0</v>
          </cell>
          <cell r="R132">
            <v>-67200</v>
          </cell>
          <cell r="S132">
            <v>-432000</v>
          </cell>
        </row>
        <row r="133">
          <cell r="A133" t="str">
            <v>3</v>
          </cell>
          <cell r="C133" t="str">
            <v>PTN</v>
          </cell>
          <cell r="D133" t="str">
            <v>0K91A66940</v>
          </cell>
          <cell r="E133" t="str">
            <v>FEEDER-G/A</v>
          </cell>
          <cell r="F133" t="str">
            <v>R103</v>
          </cell>
          <cell r="G133" t="str">
            <v>기아전자</v>
          </cell>
          <cell r="H133">
            <v>1490</v>
          </cell>
          <cell r="I133">
            <v>1416</v>
          </cell>
          <cell r="J133" t="str">
            <v>EE1</v>
          </cell>
          <cell r="K133">
            <v>5319300</v>
          </cell>
          <cell r="L133">
            <v>5055120</v>
          </cell>
          <cell r="M133">
            <v>-264180</v>
          </cell>
          <cell r="O133">
            <v>1400</v>
          </cell>
          <cell r="P133">
            <v>3570</v>
          </cell>
          <cell r="Q133">
            <v>0</v>
          </cell>
          <cell r="R133">
            <v>-57120</v>
          </cell>
          <cell r="S133">
            <v>-321300</v>
          </cell>
        </row>
        <row r="134">
          <cell r="A134" t="str">
            <v>3</v>
          </cell>
          <cell r="C134" t="str">
            <v>PTN</v>
          </cell>
          <cell r="D134" t="str">
            <v>0K91A677R0C</v>
          </cell>
          <cell r="E134" t="str">
            <v>RECEIVER-KEYLES</v>
          </cell>
          <cell r="F134" t="str">
            <v>R103</v>
          </cell>
          <cell r="G134" t="str">
            <v>기아전자</v>
          </cell>
          <cell r="H134">
            <v>10791</v>
          </cell>
          <cell r="I134">
            <v>10164</v>
          </cell>
          <cell r="J134" t="str">
            <v>ED6</v>
          </cell>
          <cell r="K134">
            <v>14762088</v>
          </cell>
          <cell r="L134">
            <v>13904352</v>
          </cell>
          <cell r="M134">
            <v>-857736</v>
          </cell>
          <cell r="O134" t="e">
            <v>#N/A</v>
          </cell>
          <cell r="P134">
            <v>1368</v>
          </cell>
          <cell r="Q134">
            <v>0</v>
          </cell>
          <cell r="S134">
            <v>-857736</v>
          </cell>
        </row>
        <row r="135">
          <cell r="A135" t="str">
            <v>3</v>
          </cell>
          <cell r="C135" t="str">
            <v>PTN</v>
          </cell>
          <cell r="D135" t="str">
            <v>0K91D66870</v>
          </cell>
          <cell r="E135" t="str">
            <v>AV ASSY</v>
          </cell>
          <cell r="F135" t="str">
            <v>R103</v>
          </cell>
          <cell r="G135" t="str">
            <v>기아전자</v>
          </cell>
          <cell r="H135">
            <v>1112500</v>
          </cell>
          <cell r="I135">
            <v>976246</v>
          </cell>
          <cell r="J135" t="str">
            <v>ED6</v>
          </cell>
          <cell r="K135">
            <v>146850000</v>
          </cell>
          <cell r="L135">
            <v>128864472</v>
          </cell>
          <cell r="M135">
            <v>-17985528</v>
          </cell>
          <cell r="O135" t="e">
            <v>#N/A</v>
          </cell>
          <cell r="P135">
            <v>132</v>
          </cell>
          <cell r="Q135">
            <v>0</v>
          </cell>
          <cell r="S135">
            <v>-17985528</v>
          </cell>
        </row>
        <row r="136">
          <cell r="A136" t="str">
            <v>3</v>
          </cell>
          <cell r="C136" t="str">
            <v>PTN</v>
          </cell>
          <cell r="D136" t="str">
            <v>0K91D669D1</v>
          </cell>
          <cell r="E136" t="str">
            <v>CABLE-AMP/DSP</v>
          </cell>
          <cell r="F136" t="str">
            <v>R103</v>
          </cell>
          <cell r="G136" t="str">
            <v>기아전자</v>
          </cell>
          <cell r="H136">
            <v>5820</v>
          </cell>
          <cell r="I136">
            <v>5520</v>
          </cell>
          <cell r="J136" t="str">
            <v>ED6</v>
          </cell>
          <cell r="K136">
            <v>1746000</v>
          </cell>
          <cell r="L136">
            <v>1656000</v>
          </cell>
          <cell r="M136">
            <v>-90000</v>
          </cell>
          <cell r="O136">
            <v>5480</v>
          </cell>
          <cell r="P136">
            <v>300</v>
          </cell>
          <cell r="Q136">
            <v>0</v>
          </cell>
          <cell r="R136">
            <v>-12000</v>
          </cell>
          <cell r="S136">
            <v>-102000</v>
          </cell>
        </row>
        <row r="137">
          <cell r="A137" t="str">
            <v>3</v>
          </cell>
          <cell r="C137" t="str">
            <v>PTN</v>
          </cell>
          <cell r="D137" t="str">
            <v>0K91D669G0</v>
          </cell>
          <cell r="E137" t="str">
            <v>CONTROL UNIT-TV</v>
          </cell>
          <cell r="F137" t="str">
            <v>R103</v>
          </cell>
          <cell r="G137" t="str">
            <v>기아전자</v>
          </cell>
          <cell r="H137">
            <v>19150</v>
          </cell>
          <cell r="I137">
            <v>18190</v>
          </cell>
          <cell r="J137" t="str">
            <v>ED6</v>
          </cell>
          <cell r="K137">
            <v>5170500</v>
          </cell>
          <cell r="L137">
            <v>4911300</v>
          </cell>
          <cell r="M137">
            <v>-259200</v>
          </cell>
          <cell r="O137">
            <v>18022</v>
          </cell>
          <cell r="P137">
            <v>270</v>
          </cell>
          <cell r="Q137">
            <v>0</v>
          </cell>
          <cell r="R137">
            <v>-45360</v>
          </cell>
          <cell r="S137">
            <v>-304560</v>
          </cell>
        </row>
        <row r="138">
          <cell r="A138" t="str">
            <v>3</v>
          </cell>
          <cell r="C138" t="str">
            <v>PTN</v>
          </cell>
          <cell r="D138" t="str">
            <v>0K91D669M0</v>
          </cell>
          <cell r="E138" t="str">
            <v>MAGAZINE-CDC</v>
          </cell>
          <cell r="F138" t="str">
            <v>R103</v>
          </cell>
          <cell r="G138" t="str">
            <v>기아전자</v>
          </cell>
          <cell r="H138">
            <v>12372</v>
          </cell>
          <cell r="I138">
            <v>11753</v>
          </cell>
          <cell r="J138" t="str">
            <v>EE1</v>
          </cell>
          <cell r="K138">
            <v>3711600</v>
          </cell>
          <cell r="L138">
            <v>3525900</v>
          </cell>
          <cell r="M138">
            <v>-185700</v>
          </cell>
          <cell r="O138" t="e">
            <v>#N/A</v>
          </cell>
          <cell r="P138">
            <v>300</v>
          </cell>
          <cell r="Q138">
            <v>0</v>
          </cell>
          <cell r="S138">
            <v>-185700</v>
          </cell>
        </row>
        <row r="139">
          <cell r="A139" t="str">
            <v>3D</v>
          </cell>
          <cell r="C139" t="str">
            <v>PTN</v>
          </cell>
          <cell r="D139" t="str">
            <v>0K91D66920A</v>
          </cell>
          <cell r="E139" t="str">
            <v>UNIT-AMP/DSP</v>
          </cell>
          <cell r="F139" t="str">
            <v>R103</v>
          </cell>
          <cell r="G139" t="str">
            <v>기아전자</v>
          </cell>
          <cell r="H139">
            <v>268265</v>
          </cell>
          <cell r="I139">
            <v>2355</v>
          </cell>
          <cell r="J139" t="str">
            <v>ED6</v>
          </cell>
          <cell r="K139">
            <v>20924670</v>
          </cell>
          <cell r="L139">
            <v>183690</v>
          </cell>
          <cell r="M139">
            <v>-20740980</v>
          </cell>
          <cell r="O139" t="e">
            <v>#N/A</v>
          </cell>
          <cell r="P139">
            <v>78</v>
          </cell>
          <cell r="Q139">
            <v>0</v>
          </cell>
          <cell r="S139">
            <v>-20740980</v>
          </cell>
        </row>
        <row r="140">
          <cell r="A140" t="str">
            <v>3</v>
          </cell>
          <cell r="C140" t="str">
            <v>PTN</v>
          </cell>
          <cell r="D140" t="str">
            <v>0K91E66860</v>
          </cell>
          <cell r="E140" t="str">
            <v>AUDIO ASSY-EQ</v>
          </cell>
          <cell r="F140" t="str">
            <v>R103</v>
          </cell>
          <cell r="G140" t="str">
            <v>기아전자</v>
          </cell>
          <cell r="H140">
            <v>165285</v>
          </cell>
          <cell r="I140">
            <v>156205</v>
          </cell>
          <cell r="J140" t="str">
            <v>XU2</v>
          </cell>
          <cell r="K140">
            <v>701138970</v>
          </cell>
          <cell r="L140">
            <v>662621610</v>
          </cell>
          <cell r="M140">
            <v>-38517360</v>
          </cell>
          <cell r="O140" t="e">
            <v>#N/A</v>
          </cell>
          <cell r="P140">
            <v>4242</v>
          </cell>
          <cell r="Q140">
            <v>0</v>
          </cell>
          <cell r="S140">
            <v>-38517360</v>
          </cell>
        </row>
        <row r="141">
          <cell r="A141" t="str">
            <v>3</v>
          </cell>
          <cell r="C141" t="str">
            <v>PTN</v>
          </cell>
          <cell r="D141" t="str">
            <v>0K91E67880</v>
          </cell>
          <cell r="E141" t="str">
            <v>CONTROL UNIT-S.</v>
          </cell>
          <cell r="F141" t="str">
            <v>R103</v>
          </cell>
          <cell r="G141" t="str">
            <v>기아전자</v>
          </cell>
          <cell r="H141">
            <v>10230</v>
          </cell>
          <cell r="I141">
            <v>9500</v>
          </cell>
          <cell r="J141" t="str">
            <v>ED6</v>
          </cell>
          <cell r="K141">
            <v>4235220</v>
          </cell>
          <cell r="L141">
            <v>3933000</v>
          </cell>
          <cell r="M141">
            <v>-302220</v>
          </cell>
          <cell r="O141" t="e">
            <v>#N/A</v>
          </cell>
          <cell r="P141">
            <v>414</v>
          </cell>
          <cell r="Q141">
            <v>0</v>
          </cell>
          <cell r="S141">
            <v>-302220</v>
          </cell>
        </row>
        <row r="142">
          <cell r="A142" t="str">
            <v>3</v>
          </cell>
          <cell r="C142" t="str">
            <v>ETP</v>
          </cell>
          <cell r="D142" t="str">
            <v>0K95A55475</v>
          </cell>
          <cell r="E142" t="str">
            <v>SENSOR-SPEED</v>
          </cell>
          <cell r="F142" t="str">
            <v>R103</v>
          </cell>
          <cell r="G142" t="str">
            <v>기아전자</v>
          </cell>
          <cell r="H142">
            <v>4833</v>
          </cell>
          <cell r="I142">
            <v>4493</v>
          </cell>
          <cell r="J142" t="str">
            <v>PD7</v>
          </cell>
          <cell r="K142">
            <v>15078960</v>
          </cell>
          <cell r="L142">
            <v>14018160</v>
          </cell>
          <cell r="M142">
            <v>-1060800</v>
          </cell>
          <cell r="O142" t="e">
            <v>#N/A</v>
          </cell>
          <cell r="P142">
            <v>3120</v>
          </cell>
          <cell r="Q142">
            <v>0</v>
          </cell>
          <cell r="S142">
            <v>-1060800</v>
          </cell>
        </row>
        <row r="143">
          <cell r="A143" t="str">
            <v>3</v>
          </cell>
          <cell r="C143" t="str">
            <v>ETP</v>
          </cell>
          <cell r="D143" t="str">
            <v>0K95A669D4</v>
          </cell>
          <cell r="E143" t="str">
            <v>CABLE-AMP</v>
          </cell>
          <cell r="F143" t="str">
            <v>R103</v>
          </cell>
          <cell r="G143" t="str">
            <v>기아전자</v>
          </cell>
          <cell r="H143">
            <v>5822</v>
          </cell>
          <cell r="I143">
            <v>5524</v>
          </cell>
          <cell r="J143" t="str">
            <v>PD2</v>
          </cell>
          <cell r="K143">
            <v>11876880</v>
          </cell>
          <cell r="L143">
            <v>11268960</v>
          </cell>
          <cell r="M143">
            <v>-607920</v>
          </cell>
          <cell r="O143">
            <v>5482</v>
          </cell>
          <cell r="P143">
            <v>2040</v>
          </cell>
          <cell r="Q143">
            <v>0</v>
          </cell>
          <cell r="R143">
            <v>-85680</v>
          </cell>
          <cell r="S143">
            <v>-693600</v>
          </cell>
        </row>
        <row r="144">
          <cell r="A144" t="str">
            <v>3D</v>
          </cell>
          <cell r="C144" t="str">
            <v>ETP</v>
          </cell>
          <cell r="D144" t="str">
            <v>0K95A6695A</v>
          </cell>
          <cell r="E144" t="str">
            <v>MAGAZINE-CDC</v>
          </cell>
          <cell r="F144" t="str">
            <v>R103</v>
          </cell>
          <cell r="G144" t="str">
            <v>기아전자</v>
          </cell>
          <cell r="H144">
            <v>12486</v>
          </cell>
          <cell r="I144">
            <v>11861</v>
          </cell>
          <cell r="J144" t="str">
            <v>EE1</v>
          </cell>
          <cell r="K144">
            <v>26969760</v>
          </cell>
          <cell r="L144">
            <v>25619760</v>
          </cell>
          <cell r="M144">
            <v>-1350000</v>
          </cell>
          <cell r="O144" t="e">
            <v>#N/A</v>
          </cell>
          <cell r="P144">
            <v>2160</v>
          </cell>
          <cell r="Q144">
            <v>0</v>
          </cell>
          <cell r="S144">
            <v>-1350000</v>
          </cell>
        </row>
        <row r="145">
          <cell r="A145" t="str">
            <v>3</v>
          </cell>
          <cell r="C145" t="str">
            <v>ETP</v>
          </cell>
          <cell r="D145" t="str">
            <v>0K95A67560C</v>
          </cell>
          <cell r="E145" t="str">
            <v>ECU-ETWIS</v>
          </cell>
          <cell r="F145" t="str">
            <v>R103</v>
          </cell>
          <cell r="G145" t="str">
            <v>기아전자</v>
          </cell>
          <cell r="H145">
            <v>22439</v>
          </cell>
          <cell r="I145">
            <v>21141</v>
          </cell>
          <cell r="J145" t="str">
            <v>ED6</v>
          </cell>
          <cell r="K145">
            <v>65566758</v>
          </cell>
          <cell r="L145">
            <v>61774002</v>
          </cell>
          <cell r="M145">
            <v>-3792756</v>
          </cell>
          <cell r="O145">
            <v>21000</v>
          </cell>
          <cell r="P145">
            <v>2922</v>
          </cell>
          <cell r="Q145">
            <v>0</v>
          </cell>
          <cell r="R145">
            <v>-412002</v>
          </cell>
          <cell r="S145">
            <v>-4204758</v>
          </cell>
        </row>
        <row r="146">
          <cell r="A146" t="str">
            <v>3</v>
          </cell>
          <cell r="C146" t="str">
            <v>ETP</v>
          </cell>
          <cell r="D146" t="str">
            <v>0K95A67570C</v>
          </cell>
          <cell r="E146" t="str">
            <v>HORN-BURGLAR</v>
          </cell>
          <cell r="F146" t="str">
            <v>R103</v>
          </cell>
          <cell r="G146" t="str">
            <v>기아전자</v>
          </cell>
          <cell r="H146">
            <v>8792</v>
          </cell>
          <cell r="I146">
            <v>7799</v>
          </cell>
          <cell r="J146" t="str">
            <v>ED6</v>
          </cell>
          <cell r="K146">
            <v>28486080</v>
          </cell>
          <cell r="L146">
            <v>25268760</v>
          </cell>
          <cell r="M146">
            <v>-3217320</v>
          </cell>
          <cell r="O146" t="e">
            <v>#N/A</v>
          </cell>
          <cell r="P146">
            <v>3240</v>
          </cell>
          <cell r="Q146">
            <v>0</v>
          </cell>
          <cell r="S146">
            <v>-3217320</v>
          </cell>
        </row>
        <row r="147">
          <cell r="A147" t="str">
            <v>3</v>
          </cell>
          <cell r="C147" t="str">
            <v>ETP</v>
          </cell>
          <cell r="D147" t="str">
            <v>0K95A677R0C</v>
          </cell>
          <cell r="E147" t="str">
            <v>RECEIVER-KEYLES</v>
          </cell>
          <cell r="F147" t="str">
            <v>R103</v>
          </cell>
          <cell r="G147" t="str">
            <v>기아전자</v>
          </cell>
          <cell r="H147">
            <v>19304</v>
          </cell>
          <cell r="I147">
            <v>17977</v>
          </cell>
          <cell r="J147" t="str">
            <v>ED6</v>
          </cell>
          <cell r="K147">
            <v>61965840</v>
          </cell>
          <cell r="L147">
            <v>57706170</v>
          </cell>
          <cell r="M147">
            <v>-4259670</v>
          </cell>
          <cell r="O147" t="e">
            <v>#N/A</v>
          </cell>
          <cell r="P147">
            <v>3210</v>
          </cell>
          <cell r="Q147">
            <v>0</v>
          </cell>
          <cell r="S147">
            <v>-4259670</v>
          </cell>
        </row>
        <row r="148">
          <cell r="A148" t="str">
            <v>3</v>
          </cell>
          <cell r="C148" t="str">
            <v>ETP</v>
          </cell>
          <cell r="D148" t="str">
            <v>0K95A677T0A</v>
          </cell>
          <cell r="E148" t="str">
            <v>TRANSMITTER-KEY</v>
          </cell>
          <cell r="F148" t="str">
            <v>R103</v>
          </cell>
          <cell r="G148" t="str">
            <v>기아전자</v>
          </cell>
          <cell r="H148">
            <v>8972</v>
          </cell>
          <cell r="I148">
            <v>8311</v>
          </cell>
          <cell r="J148" t="str">
            <v>ED6</v>
          </cell>
          <cell r="K148">
            <v>10766400</v>
          </cell>
          <cell r="L148">
            <v>9973200</v>
          </cell>
          <cell r="M148">
            <v>-793200</v>
          </cell>
          <cell r="O148" t="e">
            <v>#N/A</v>
          </cell>
          <cell r="P148">
            <v>1200</v>
          </cell>
          <cell r="Q148">
            <v>0</v>
          </cell>
          <cell r="S148">
            <v>-793200</v>
          </cell>
        </row>
        <row r="149">
          <cell r="A149" t="str">
            <v>3</v>
          </cell>
          <cell r="C149" t="str">
            <v>ETP</v>
          </cell>
          <cell r="D149" t="str">
            <v>0K95A677T0B</v>
          </cell>
          <cell r="E149" t="str">
            <v>TRANSMITTER-KEY</v>
          </cell>
          <cell r="F149" t="str">
            <v>R103</v>
          </cell>
          <cell r="G149" t="str">
            <v>기아전자</v>
          </cell>
          <cell r="H149">
            <v>8972</v>
          </cell>
          <cell r="I149">
            <v>8311</v>
          </cell>
          <cell r="J149" t="str">
            <v>EE4</v>
          </cell>
          <cell r="K149">
            <v>11304720</v>
          </cell>
          <cell r="L149">
            <v>10471860</v>
          </cell>
          <cell r="M149">
            <v>-832860</v>
          </cell>
          <cell r="O149" t="e">
            <v>#N/A</v>
          </cell>
          <cell r="P149">
            <v>1260</v>
          </cell>
          <cell r="Q149">
            <v>0</v>
          </cell>
          <cell r="S149">
            <v>-832860</v>
          </cell>
        </row>
        <row r="150">
          <cell r="A150" t="str">
            <v>3</v>
          </cell>
          <cell r="C150" t="str">
            <v>ETP</v>
          </cell>
          <cell r="D150" t="str">
            <v>0K95A67880A</v>
          </cell>
          <cell r="E150" t="str">
            <v>E.C.U-S.S.P.S</v>
          </cell>
          <cell r="F150" t="str">
            <v>R103</v>
          </cell>
          <cell r="G150" t="str">
            <v>기아전자</v>
          </cell>
          <cell r="H150">
            <v>10026</v>
          </cell>
          <cell r="I150">
            <v>9432</v>
          </cell>
          <cell r="J150" t="str">
            <v>ED6</v>
          </cell>
          <cell r="K150">
            <v>28393632</v>
          </cell>
          <cell r="L150">
            <v>26711424</v>
          </cell>
          <cell r="M150">
            <v>-1682208</v>
          </cell>
          <cell r="O150" t="e">
            <v>#N/A</v>
          </cell>
          <cell r="P150">
            <v>2832</v>
          </cell>
          <cell r="Q150">
            <v>0</v>
          </cell>
          <cell r="S150">
            <v>-1682208</v>
          </cell>
        </row>
        <row r="151">
          <cell r="A151" t="str">
            <v>3</v>
          </cell>
          <cell r="C151" t="str">
            <v>ETP</v>
          </cell>
          <cell r="D151" t="str">
            <v>0K95A67890</v>
          </cell>
          <cell r="E151" t="str">
            <v>COVER-SENSOR HO</v>
          </cell>
          <cell r="F151" t="str">
            <v>R103</v>
          </cell>
          <cell r="G151" t="str">
            <v>기아전자</v>
          </cell>
          <cell r="H151">
            <v>110</v>
          </cell>
          <cell r="I151">
            <v>104</v>
          </cell>
          <cell r="J151" t="str">
            <v>EE3</v>
          </cell>
          <cell r="K151">
            <v>22000</v>
          </cell>
          <cell r="L151">
            <v>20800</v>
          </cell>
          <cell r="M151">
            <v>-1200</v>
          </cell>
          <cell r="O151">
            <v>100</v>
          </cell>
          <cell r="P151">
            <v>200</v>
          </cell>
          <cell r="Q151">
            <v>0</v>
          </cell>
          <cell r="R151">
            <v>-800</v>
          </cell>
          <cell r="S151">
            <v>-2000</v>
          </cell>
        </row>
        <row r="152">
          <cell r="A152" t="str">
            <v>3</v>
          </cell>
          <cell r="C152" t="str">
            <v>ETP</v>
          </cell>
          <cell r="D152" t="str">
            <v>0K95B664M0C</v>
          </cell>
          <cell r="E152" t="str">
            <v>SW-MOMERY S</v>
          </cell>
          <cell r="F152" t="str">
            <v>R103</v>
          </cell>
          <cell r="G152" t="str">
            <v>기아전자</v>
          </cell>
          <cell r="H152">
            <v>5303</v>
          </cell>
          <cell r="I152">
            <v>4979</v>
          </cell>
          <cell r="J152" t="str">
            <v>EE4</v>
          </cell>
          <cell r="K152">
            <v>6363600</v>
          </cell>
          <cell r="L152">
            <v>5974800</v>
          </cell>
          <cell r="M152">
            <v>-388800</v>
          </cell>
          <cell r="O152" t="e">
            <v>#N/A</v>
          </cell>
          <cell r="P152">
            <v>1200</v>
          </cell>
          <cell r="Q152">
            <v>0</v>
          </cell>
          <cell r="S152">
            <v>-388800</v>
          </cell>
        </row>
        <row r="153">
          <cell r="A153" t="str">
            <v>3</v>
          </cell>
          <cell r="C153" t="str">
            <v>ETP</v>
          </cell>
          <cell r="D153" t="str">
            <v>0K95B66850</v>
          </cell>
          <cell r="E153" t="str">
            <v>UNIT-AMP/DSP</v>
          </cell>
          <cell r="F153" t="str">
            <v>R103</v>
          </cell>
          <cell r="G153" t="str">
            <v>기아전자</v>
          </cell>
          <cell r="H153">
            <v>137774</v>
          </cell>
          <cell r="I153">
            <v>128051</v>
          </cell>
          <cell r="J153" t="str">
            <v>ED6</v>
          </cell>
          <cell r="K153">
            <v>203354424</v>
          </cell>
          <cell r="L153">
            <v>189003276</v>
          </cell>
          <cell r="M153">
            <v>-14351148</v>
          </cell>
          <cell r="O153" t="e">
            <v>#N/A</v>
          </cell>
          <cell r="P153">
            <v>1476</v>
          </cell>
          <cell r="Q153">
            <v>0</v>
          </cell>
          <cell r="S153">
            <v>-14351148</v>
          </cell>
        </row>
        <row r="154">
          <cell r="A154" t="str">
            <v>3H</v>
          </cell>
          <cell r="C154" t="str">
            <v>ETP</v>
          </cell>
          <cell r="D154" t="str">
            <v>0K95B66860C</v>
          </cell>
          <cell r="E154" t="str">
            <v>AUDIO ASSY-DSP</v>
          </cell>
          <cell r="F154" t="str">
            <v>R103</v>
          </cell>
          <cell r="G154" t="str">
            <v>기아전자</v>
          </cell>
          <cell r="H154">
            <v>284105</v>
          </cell>
          <cell r="I154">
            <v>267895</v>
          </cell>
          <cell r="J154" t="str">
            <v>EE4</v>
          </cell>
          <cell r="K154">
            <v>204555600</v>
          </cell>
          <cell r="L154">
            <v>192884400</v>
          </cell>
          <cell r="M154">
            <v>-11671200</v>
          </cell>
          <cell r="O154">
            <v>265200</v>
          </cell>
          <cell r="P154">
            <v>720</v>
          </cell>
          <cell r="Q154">
            <v>0</v>
          </cell>
          <cell r="R154">
            <v>-1940400</v>
          </cell>
          <cell r="S154">
            <v>-13611600</v>
          </cell>
        </row>
        <row r="155">
          <cell r="A155" t="str">
            <v>3H</v>
          </cell>
          <cell r="C155" t="str">
            <v>ETP</v>
          </cell>
          <cell r="D155" t="str">
            <v>0K95B66860D</v>
          </cell>
          <cell r="E155" t="str">
            <v>AUDIO ASSY-DSP</v>
          </cell>
          <cell r="F155" t="str">
            <v>R103</v>
          </cell>
          <cell r="G155" t="str">
            <v>기아전자</v>
          </cell>
          <cell r="H155">
            <v>284105</v>
          </cell>
          <cell r="I155">
            <v>267895</v>
          </cell>
          <cell r="J155" t="str">
            <v>EE4</v>
          </cell>
          <cell r="K155">
            <v>85231500</v>
          </cell>
          <cell r="L155">
            <v>80368500</v>
          </cell>
          <cell r="M155">
            <v>-4863000</v>
          </cell>
          <cell r="O155">
            <v>265200</v>
          </cell>
          <cell r="P155">
            <v>300</v>
          </cell>
          <cell r="Q155">
            <v>0</v>
          </cell>
          <cell r="R155">
            <v>-808500</v>
          </cell>
          <cell r="S155">
            <v>-5671500</v>
          </cell>
        </row>
        <row r="156">
          <cell r="A156" t="str">
            <v>3</v>
          </cell>
          <cell r="C156" t="str">
            <v>ETP</v>
          </cell>
          <cell r="D156" t="str">
            <v>0K95B677M0A</v>
          </cell>
          <cell r="E156" t="str">
            <v>MEMORY-MIRROR E</v>
          </cell>
          <cell r="F156" t="str">
            <v>R103</v>
          </cell>
          <cell r="G156" t="str">
            <v>기아전자</v>
          </cell>
          <cell r="H156">
            <v>14605</v>
          </cell>
          <cell r="I156">
            <v>13727</v>
          </cell>
          <cell r="J156" t="str">
            <v>ED6</v>
          </cell>
          <cell r="K156">
            <v>20067270</v>
          </cell>
          <cell r="L156">
            <v>18860898</v>
          </cell>
          <cell r="M156">
            <v>-1206372</v>
          </cell>
          <cell r="O156" t="e">
            <v>#N/A</v>
          </cell>
          <cell r="P156">
            <v>1374</v>
          </cell>
          <cell r="Q156">
            <v>0</v>
          </cell>
          <cell r="S156">
            <v>-1206372</v>
          </cell>
        </row>
        <row r="157">
          <cell r="A157" t="str">
            <v>3</v>
          </cell>
          <cell r="C157" t="str">
            <v>ETP</v>
          </cell>
          <cell r="D157" t="str">
            <v>0K95B67890</v>
          </cell>
          <cell r="E157" t="str">
            <v>SENSOR-AUTO LIG</v>
          </cell>
          <cell r="F157" t="str">
            <v>R103</v>
          </cell>
          <cell r="G157" t="str">
            <v>기아전자</v>
          </cell>
          <cell r="H157">
            <v>3990</v>
          </cell>
          <cell r="I157">
            <v>3780</v>
          </cell>
          <cell r="J157" t="str">
            <v>ED6</v>
          </cell>
          <cell r="K157">
            <v>11970000</v>
          </cell>
          <cell r="L157">
            <v>11340000</v>
          </cell>
          <cell r="M157">
            <v>-630000</v>
          </cell>
          <cell r="O157">
            <v>3750</v>
          </cell>
          <cell r="P157">
            <v>3000</v>
          </cell>
          <cell r="Q157">
            <v>0</v>
          </cell>
          <cell r="R157">
            <v>-90000</v>
          </cell>
          <cell r="S157">
            <v>-720000</v>
          </cell>
        </row>
        <row r="158">
          <cell r="A158" t="str">
            <v>3</v>
          </cell>
          <cell r="C158" t="str">
            <v>ETP</v>
          </cell>
          <cell r="D158" t="str">
            <v>0K95D66860C</v>
          </cell>
          <cell r="E158" t="str">
            <v>AUDIO ASSY-EQ</v>
          </cell>
          <cell r="F158" t="str">
            <v>R103</v>
          </cell>
          <cell r="G158" t="str">
            <v>기아전자</v>
          </cell>
          <cell r="H158">
            <v>158153</v>
          </cell>
          <cell r="I158">
            <v>149430</v>
          </cell>
          <cell r="J158" t="str">
            <v>ED4</v>
          </cell>
          <cell r="K158">
            <v>109125570</v>
          </cell>
          <cell r="L158">
            <v>103106700</v>
          </cell>
          <cell r="M158">
            <v>-6018870</v>
          </cell>
          <cell r="O158">
            <v>146441</v>
          </cell>
          <cell r="P158">
            <v>690</v>
          </cell>
          <cell r="Q158">
            <v>0</v>
          </cell>
          <cell r="R158">
            <v>-2062410</v>
          </cell>
          <cell r="S158">
            <v>-8081280</v>
          </cell>
        </row>
        <row r="159">
          <cell r="A159" t="str">
            <v>3</v>
          </cell>
          <cell r="C159" t="str">
            <v>ETP</v>
          </cell>
          <cell r="D159" t="str">
            <v>0K95D677M0A</v>
          </cell>
          <cell r="E159" t="str">
            <v>MEMORY-MIRROR E</v>
          </cell>
          <cell r="F159" t="str">
            <v>R103</v>
          </cell>
          <cell r="G159" t="str">
            <v>기아전자</v>
          </cell>
          <cell r="H159">
            <v>14605</v>
          </cell>
          <cell r="I159">
            <v>13727</v>
          </cell>
          <cell r="J159" t="str">
            <v>ED6</v>
          </cell>
          <cell r="K159">
            <v>20067270</v>
          </cell>
          <cell r="L159">
            <v>18860898</v>
          </cell>
          <cell r="M159">
            <v>-1206372</v>
          </cell>
          <cell r="O159" t="e">
            <v>#N/A</v>
          </cell>
          <cell r="P159">
            <v>1374</v>
          </cell>
          <cell r="Q159">
            <v>0</v>
          </cell>
          <cell r="S159">
            <v>-1206372</v>
          </cell>
        </row>
        <row r="160">
          <cell r="A160" t="str">
            <v>3</v>
          </cell>
          <cell r="C160" t="str">
            <v>ETP</v>
          </cell>
          <cell r="D160" t="str">
            <v>0K95E66850A</v>
          </cell>
          <cell r="E160" t="str">
            <v>CONNECTOR</v>
          </cell>
          <cell r="F160" t="str">
            <v>R103</v>
          </cell>
          <cell r="G160" t="str">
            <v>기아전자</v>
          </cell>
          <cell r="H160">
            <v>2130</v>
          </cell>
          <cell r="I160">
            <v>2020</v>
          </cell>
          <cell r="J160" t="str">
            <v>ED6</v>
          </cell>
          <cell r="K160">
            <v>10837440</v>
          </cell>
          <cell r="L160">
            <v>10277760</v>
          </cell>
          <cell r="M160">
            <v>-559680</v>
          </cell>
          <cell r="O160" t="e">
            <v>#N/A</v>
          </cell>
          <cell r="P160">
            <v>5088</v>
          </cell>
          <cell r="Q160">
            <v>0</v>
          </cell>
          <cell r="S160">
            <v>-559680</v>
          </cell>
        </row>
        <row r="161">
          <cell r="A161" t="str">
            <v>3D</v>
          </cell>
          <cell r="C161" t="str">
            <v>ETP</v>
          </cell>
          <cell r="D161" t="str">
            <v>0K95G668M0B</v>
          </cell>
          <cell r="E161" t="str">
            <v>MONITOR-RR.TV</v>
          </cell>
          <cell r="F161" t="str">
            <v>R103</v>
          </cell>
          <cell r="G161" t="str">
            <v>기아전자</v>
          </cell>
          <cell r="H161">
            <v>438890</v>
          </cell>
          <cell r="I161">
            <v>417543</v>
          </cell>
          <cell r="J161" t="str">
            <v>EE4</v>
          </cell>
          <cell r="K161">
            <v>165900420</v>
          </cell>
          <cell r="L161">
            <v>157831254</v>
          </cell>
          <cell r="M161">
            <v>-8069166</v>
          </cell>
          <cell r="O161" t="e">
            <v>#N/A</v>
          </cell>
          <cell r="P161">
            <v>378</v>
          </cell>
          <cell r="Q161">
            <v>0</v>
          </cell>
          <cell r="S161">
            <v>-8069166</v>
          </cell>
        </row>
        <row r="162">
          <cell r="A162" t="str">
            <v>3</v>
          </cell>
          <cell r="C162" t="str">
            <v>ETP</v>
          </cell>
          <cell r="D162" t="str">
            <v>0K95H66840</v>
          </cell>
          <cell r="E162" t="str">
            <v>UNIT-CDC</v>
          </cell>
          <cell r="F162" t="str">
            <v>R103</v>
          </cell>
          <cell r="G162" t="str">
            <v>기아전자</v>
          </cell>
          <cell r="H162">
            <v>230500</v>
          </cell>
          <cell r="I162">
            <v>218980</v>
          </cell>
          <cell r="J162" t="str">
            <v>XE4</v>
          </cell>
          <cell r="K162">
            <v>132768000</v>
          </cell>
          <cell r="L162">
            <v>126132480</v>
          </cell>
          <cell r="M162">
            <v>-6635520</v>
          </cell>
          <cell r="O162" t="e">
            <v>#N/A</v>
          </cell>
          <cell r="P162">
            <v>576</v>
          </cell>
          <cell r="Q162">
            <v>0</v>
          </cell>
          <cell r="S162">
            <v>-6635520</v>
          </cell>
        </row>
        <row r="163">
          <cell r="A163" t="str">
            <v>3</v>
          </cell>
          <cell r="C163" t="str">
            <v>ETP</v>
          </cell>
          <cell r="D163" t="str">
            <v>0K95H66850</v>
          </cell>
          <cell r="E163" t="str">
            <v>UNIT-AMP/TUNER</v>
          </cell>
          <cell r="F163" t="str">
            <v>R103</v>
          </cell>
          <cell r="G163" t="str">
            <v>기아전자</v>
          </cell>
          <cell r="H163">
            <v>296800</v>
          </cell>
          <cell r="I163">
            <v>262600</v>
          </cell>
          <cell r="J163" t="str">
            <v>XE4</v>
          </cell>
          <cell r="K163">
            <v>192326400</v>
          </cell>
          <cell r="L163">
            <v>170164800</v>
          </cell>
          <cell r="M163">
            <v>-22161600</v>
          </cell>
          <cell r="O163" t="e">
            <v>#N/A</v>
          </cell>
          <cell r="P163">
            <v>648</v>
          </cell>
          <cell r="Q163">
            <v>0</v>
          </cell>
          <cell r="S163">
            <v>-22161600</v>
          </cell>
        </row>
        <row r="164">
          <cell r="A164" t="str">
            <v>3D</v>
          </cell>
          <cell r="C164" t="str">
            <v>ETP</v>
          </cell>
          <cell r="D164" t="str">
            <v>0K95H66860</v>
          </cell>
          <cell r="E164" t="str">
            <v>AV ASSY</v>
          </cell>
          <cell r="F164" t="str">
            <v>R103</v>
          </cell>
          <cell r="G164" t="str">
            <v>기아전자</v>
          </cell>
          <cell r="H164">
            <v>1216500</v>
          </cell>
          <cell r="I164">
            <v>1088799</v>
          </cell>
          <cell r="J164" t="str">
            <v>ED4</v>
          </cell>
          <cell r="K164">
            <v>532827000</v>
          </cell>
          <cell r="L164">
            <v>476893962</v>
          </cell>
          <cell r="M164">
            <v>-55933038</v>
          </cell>
          <cell r="O164" t="e">
            <v>#N/A</v>
          </cell>
          <cell r="P164">
            <v>438</v>
          </cell>
          <cell r="Q164">
            <v>0</v>
          </cell>
          <cell r="S164">
            <v>-55933038</v>
          </cell>
        </row>
        <row r="165">
          <cell r="A165" t="str">
            <v>3</v>
          </cell>
          <cell r="C165" t="str">
            <v>ETP</v>
          </cell>
          <cell r="D165" t="str">
            <v>0K95H66910</v>
          </cell>
          <cell r="E165" t="str">
            <v>CABLE ASSY-AMP/</v>
          </cell>
          <cell r="F165" t="str">
            <v>R103</v>
          </cell>
          <cell r="G165" t="str">
            <v>기아전자</v>
          </cell>
          <cell r="H165">
            <v>8300</v>
          </cell>
          <cell r="I165">
            <v>7880</v>
          </cell>
          <cell r="J165" t="str">
            <v>XE4</v>
          </cell>
          <cell r="K165">
            <v>4581600</v>
          </cell>
          <cell r="L165">
            <v>4349760</v>
          </cell>
          <cell r="M165">
            <v>-231840</v>
          </cell>
          <cell r="O165" t="e">
            <v>#N/A</v>
          </cell>
          <cell r="P165">
            <v>552</v>
          </cell>
          <cell r="Q165">
            <v>0</v>
          </cell>
          <cell r="S165">
            <v>-231840</v>
          </cell>
        </row>
        <row r="166">
          <cell r="A166" t="str">
            <v>3</v>
          </cell>
          <cell r="C166" t="str">
            <v>ETP</v>
          </cell>
          <cell r="D166" t="str">
            <v>0K95H66911</v>
          </cell>
          <cell r="E166" t="str">
            <v>CABLE ASSY-AMP/</v>
          </cell>
          <cell r="F166" t="str">
            <v>R103</v>
          </cell>
          <cell r="G166" t="str">
            <v>기아전자</v>
          </cell>
          <cell r="H166">
            <v>25000</v>
          </cell>
          <cell r="I166">
            <v>23750</v>
          </cell>
          <cell r="J166" t="str">
            <v>XE4</v>
          </cell>
          <cell r="K166">
            <v>1200000</v>
          </cell>
          <cell r="L166">
            <v>1140000</v>
          </cell>
          <cell r="M166">
            <v>-60000</v>
          </cell>
          <cell r="O166" t="e">
            <v>#N/A</v>
          </cell>
          <cell r="P166">
            <v>48</v>
          </cell>
          <cell r="Q166">
            <v>0</v>
          </cell>
          <cell r="S166">
            <v>-60000</v>
          </cell>
        </row>
        <row r="167">
          <cell r="A167" t="str">
            <v>3</v>
          </cell>
          <cell r="D167" t="str">
            <v>0K99A677T0A</v>
          </cell>
          <cell r="E167" t="str">
            <v>TRANSMITTER-KEY</v>
          </cell>
          <cell r="F167" t="str">
            <v>R103</v>
          </cell>
          <cell r="G167" t="str">
            <v>기아전자</v>
          </cell>
          <cell r="H167">
            <v>9420</v>
          </cell>
          <cell r="I167">
            <v>8659</v>
          </cell>
          <cell r="J167" t="str">
            <v>ED6</v>
          </cell>
          <cell r="K167">
            <v>22608000</v>
          </cell>
          <cell r="L167">
            <v>20781600</v>
          </cell>
          <cell r="M167">
            <v>-1826400</v>
          </cell>
          <cell r="O167" t="e">
            <v>#N/A</v>
          </cell>
          <cell r="P167">
            <v>2400</v>
          </cell>
          <cell r="Q167">
            <v>0</v>
          </cell>
          <cell r="S167">
            <v>-1826400</v>
          </cell>
        </row>
        <row r="168">
          <cell r="A168" t="str">
            <v>3</v>
          </cell>
          <cell r="C168" t="str">
            <v>PTN</v>
          </cell>
          <cell r="D168" t="str">
            <v>0K99G67560G</v>
          </cell>
          <cell r="E168" t="str">
            <v>CONT.BOX-CPU</v>
          </cell>
          <cell r="F168" t="str">
            <v>R103</v>
          </cell>
          <cell r="G168" t="str">
            <v>기아전자</v>
          </cell>
          <cell r="H168">
            <v>20070</v>
          </cell>
          <cell r="I168">
            <v>18959</v>
          </cell>
          <cell r="J168" t="str">
            <v>ED4</v>
          </cell>
          <cell r="K168">
            <v>67194360</v>
          </cell>
          <cell r="L168">
            <v>63474732</v>
          </cell>
          <cell r="M168">
            <v>-3719628</v>
          </cell>
          <cell r="O168">
            <v>18865</v>
          </cell>
          <cell r="P168">
            <v>3348</v>
          </cell>
          <cell r="Q168">
            <v>0</v>
          </cell>
          <cell r="R168">
            <v>-314712</v>
          </cell>
          <cell r="S168">
            <v>-4034340</v>
          </cell>
        </row>
        <row r="169">
          <cell r="A169" t="str">
            <v>3H</v>
          </cell>
          <cell r="C169" t="str">
            <v>SPG</v>
          </cell>
          <cell r="D169" t="str">
            <v>1K08A66860</v>
          </cell>
          <cell r="E169" t="str">
            <v>AUDIO ASSY-RCD</v>
          </cell>
          <cell r="F169" t="str">
            <v>R103</v>
          </cell>
          <cell r="G169" t="str">
            <v>기아전자</v>
          </cell>
          <cell r="H169">
            <v>178332</v>
          </cell>
          <cell r="I169">
            <v>164482</v>
          </cell>
          <cell r="J169" t="str">
            <v>EE1</v>
          </cell>
          <cell r="K169">
            <v>6721945600</v>
          </cell>
          <cell r="L169">
            <v>6710865600</v>
          </cell>
          <cell r="M169">
            <v>-11080000</v>
          </cell>
          <cell r="O169">
            <v>162014</v>
          </cell>
          <cell r="P169">
            <v>800</v>
          </cell>
          <cell r="Q169">
            <v>40000</v>
          </cell>
          <cell r="R169">
            <v>-100694400</v>
          </cell>
          <cell r="S169">
            <v>-111774400</v>
          </cell>
        </row>
        <row r="170">
          <cell r="A170" t="str">
            <v>3</v>
          </cell>
          <cell r="C170" t="str">
            <v>SPG</v>
          </cell>
          <cell r="D170" t="str">
            <v>1K08E66860</v>
          </cell>
          <cell r="E170" t="str">
            <v>AUDIO ASSY-M/DE</v>
          </cell>
          <cell r="F170" t="str">
            <v>R103</v>
          </cell>
          <cell r="G170" t="str">
            <v>기아전자</v>
          </cell>
          <cell r="H170">
            <v>66110</v>
          </cell>
          <cell r="I170">
            <v>62694</v>
          </cell>
          <cell r="J170" t="str">
            <v>EE1</v>
          </cell>
          <cell r="K170">
            <v>569370000</v>
          </cell>
          <cell r="L170">
            <v>564246000</v>
          </cell>
          <cell r="M170">
            <v>-5124000</v>
          </cell>
          <cell r="O170">
            <v>61700</v>
          </cell>
          <cell r="P170">
            <v>1500</v>
          </cell>
          <cell r="Q170">
            <v>7500</v>
          </cell>
          <cell r="R170">
            <v>-8946000</v>
          </cell>
          <cell r="S170">
            <v>-14070000</v>
          </cell>
        </row>
        <row r="171">
          <cell r="A171" t="str">
            <v>3H</v>
          </cell>
          <cell r="C171" t="str">
            <v>SPA</v>
          </cell>
          <cell r="D171" t="str">
            <v>1K2AA66860</v>
          </cell>
          <cell r="E171" t="str">
            <v>AUDIO ASSY-RCD</v>
          </cell>
          <cell r="F171" t="str">
            <v>R103</v>
          </cell>
          <cell r="G171" t="str">
            <v>기아전자</v>
          </cell>
          <cell r="H171">
            <v>178428</v>
          </cell>
          <cell r="I171">
            <v>164573</v>
          </cell>
          <cell r="J171" t="str">
            <v>EE1</v>
          </cell>
          <cell r="K171">
            <v>10106336400</v>
          </cell>
          <cell r="L171">
            <v>10088324900</v>
          </cell>
          <cell r="M171">
            <v>-18011500</v>
          </cell>
          <cell r="O171">
            <v>162104</v>
          </cell>
          <cell r="P171">
            <v>1300</v>
          </cell>
          <cell r="Q171">
            <v>60000</v>
          </cell>
          <cell r="R171">
            <v>-151349700</v>
          </cell>
          <cell r="S171">
            <v>-169361200</v>
          </cell>
        </row>
        <row r="172">
          <cell r="A172" t="str">
            <v>3</v>
          </cell>
          <cell r="C172" t="str">
            <v>CRN</v>
          </cell>
          <cell r="D172" t="str">
            <v>1K2C066860</v>
          </cell>
          <cell r="E172" t="str">
            <v>AUDIO ASSY-M/DE</v>
          </cell>
          <cell r="F172" t="str">
            <v>R103</v>
          </cell>
          <cell r="G172" t="str">
            <v>기아전자</v>
          </cell>
          <cell r="H172">
            <v>66110</v>
          </cell>
          <cell r="I172">
            <v>62694</v>
          </cell>
          <cell r="J172" t="str">
            <v>EE4</v>
          </cell>
          <cell r="K172">
            <v>1189980</v>
          </cell>
          <cell r="L172">
            <v>1128492</v>
          </cell>
          <cell r="M172">
            <v>-61488</v>
          </cell>
          <cell r="O172">
            <v>61700</v>
          </cell>
          <cell r="P172">
            <v>18</v>
          </cell>
          <cell r="Q172">
            <v>0</v>
          </cell>
          <cell r="R172">
            <v>-17892</v>
          </cell>
          <cell r="S172">
            <v>-79380</v>
          </cell>
        </row>
        <row r="173">
          <cell r="A173" t="str">
            <v>3</v>
          </cell>
          <cell r="C173" t="str">
            <v>CRN</v>
          </cell>
          <cell r="D173" t="str">
            <v>1K2C166860</v>
          </cell>
          <cell r="E173" t="str">
            <v>AUDIO ASSY-L/DE</v>
          </cell>
          <cell r="F173" t="str">
            <v>R103</v>
          </cell>
          <cell r="G173" t="str">
            <v>기아전자</v>
          </cell>
          <cell r="H173">
            <v>115500</v>
          </cell>
          <cell r="I173">
            <v>109239</v>
          </cell>
          <cell r="J173" t="str">
            <v>EE4</v>
          </cell>
          <cell r="K173">
            <v>2887500</v>
          </cell>
          <cell r="L173">
            <v>2730975</v>
          </cell>
          <cell r="M173">
            <v>-156525</v>
          </cell>
          <cell r="O173">
            <v>106180</v>
          </cell>
          <cell r="P173">
            <v>25</v>
          </cell>
          <cell r="Q173">
            <v>0</v>
          </cell>
          <cell r="R173">
            <v>-76475</v>
          </cell>
          <cell r="S173">
            <v>-233000</v>
          </cell>
        </row>
        <row r="174">
          <cell r="A174" t="str">
            <v>3H</v>
          </cell>
          <cell r="C174" t="str">
            <v>CRN</v>
          </cell>
          <cell r="D174" t="str">
            <v>1K2C266860</v>
          </cell>
          <cell r="E174" t="str">
            <v>AUDIO ASSY-CDP</v>
          </cell>
          <cell r="F174" t="str">
            <v>R103</v>
          </cell>
          <cell r="G174" t="str">
            <v>기아전자</v>
          </cell>
          <cell r="H174">
            <v>277591</v>
          </cell>
          <cell r="I174">
            <v>261514</v>
          </cell>
          <cell r="J174" t="str">
            <v>EE4</v>
          </cell>
          <cell r="K174">
            <v>1665546</v>
          </cell>
          <cell r="L174">
            <v>1569084</v>
          </cell>
          <cell r="M174">
            <v>-96462</v>
          </cell>
          <cell r="O174">
            <v>260150</v>
          </cell>
          <cell r="P174">
            <v>6</v>
          </cell>
          <cell r="Q174">
            <v>0</v>
          </cell>
          <cell r="R174">
            <v>-8184</v>
          </cell>
          <cell r="S174">
            <v>-104646</v>
          </cell>
        </row>
        <row r="175">
          <cell r="A175" t="str">
            <v>3</v>
          </cell>
          <cell r="C175" t="str">
            <v>CRN</v>
          </cell>
          <cell r="D175" t="str">
            <v>2K2C066860</v>
          </cell>
          <cell r="E175" t="str">
            <v>AUDIO ASSY-M/DE</v>
          </cell>
          <cell r="F175" t="str">
            <v>R103</v>
          </cell>
          <cell r="G175" t="str">
            <v>기아전자</v>
          </cell>
          <cell r="H175">
            <v>62018</v>
          </cell>
          <cell r="I175">
            <v>58807</v>
          </cell>
          <cell r="J175" t="str">
            <v>EE4</v>
          </cell>
          <cell r="K175">
            <v>372108</v>
          </cell>
          <cell r="L175">
            <v>352842</v>
          </cell>
          <cell r="M175">
            <v>-19266</v>
          </cell>
          <cell r="O175">
            <v>57925</v>
          </cell>
          <cell r="P175">
            <v>6</v>
          </cell>
          <cell r="Q175">
            <v>0</v>
          </cell>
          <cell r="R175">
            <v>-5292</v>
          </cell>
          <cell r="S175">
            <v>-24558</v>
          </cell>
        </row>
        <row r="176">
          <cell r="A176" t="str">
            <v>3</v>
          </cell>
          <cell r="C176" t="str">
            <v>CRN</v>
          </cell>
          <cell r="D176" t="str">
            <v>2K2C166860</v>
          </cell>
          <cell r="E176" t="str">
            <v>AUDIO ASSY-L/DE</v>
          </cell>
          <cell r="F176" t="str">
            <v>R103</v>
          </cell>
          <cell r="G176" t="str">
            <v>기아전자</v>
          </cell>
          <cell r="H176">
            <v>113083</v>
          </cell>
          <cell r="I176">
            <v>106943</v>
          </cell>
          <cell r="J176" t="str">
            <v>EE4</v>
          </cell>
          <cell r="K176">
            <v>1413537500</v>
          </cell>
          <cell r="L176">
            <v>1336787500</v>
          </cell>
          <cell r="M176">
            <v>-76750000</v>
          </cell>
          <cell r="O176">
            <v>104000</v>
          </cell>
          <cell r="P176">
            <v>12500</v>
          </cell>
          <cell r="Q176">
            <v>0</v>
          </cell>
          <cell r="R176">
            <v>-36787500</v>
          </cell>
          <cell r="S176">
            <v>-113537500</v>
          </cell>
        </row>
        <row r="177">
          <cell r="A177" t="str">
            <v>3H</v>
          </cell>
          <cell r="C177" t="str">
            <v>CRN</v>
          </cell>
          <cell r="D177" t="str">
            <v>2K2C266860</v>
          </cell>
          <cell r="E177" t="str">
            <v>AUDIO ASSY-CDP</v>
          </cell>
          <cell r="F177" t="str">
            <v>R103</v>
          </cell>
          <cell r="G177" t="str">
            <v>기아전자</v>
          </cell>
          <cell r="H177">
            <v>275173</v>
          </cell>
          <cell r="I177">
            <v>259217</v>
          </cell>
          <cell r="J177" t="str">
            <v>EE4</v>
          </cell>
          <cell r="K177">
            <v>3629038</v>
          </cell>
          <cell r="L177">
            <v>3629038</v>
          </cell>
          <cell r="M177">
            <v>0</v>
          </cell>
          <cell r="O177">
            <v>256650</v>
          </cell>
          <cell r="P177">
            <v>0</v>
          </cell>
          <cell r="Q177">
            <v>14</v>
          </cell>
          <cell r="R177">
            <v>-35938</v>
          </cell>
          <cell r="S177">
            <v>-35938</v>
          </cell>
        </row>
        <row r="178">
          <cell r="A178" t="str">
            <v>3</v>
          </cell>
          <cell r="C178" t="str">
            <v>CNV</v>
          </cell>
          <cell r="D178" t="str">
            <v>2K55C66860</v>
          </cell>
          <cell r="E178" t="str">
            <v>AUDIO ASSY-L/DE</v>
          </cell>
          <cell r="F178" t="str">
            <v>R103</v>
          </cell>
          <cell r="G178" t="str">
            <v>기아전자</v>
          </cell>
          <cell r="H178">
            <v>113609</v>
          </cell>
          <cell r="I178">
            <v>107476</v>
          </cell>
          <cell r="J178" t="str">
            <v>EE1</v>
          </cell>
          <cell r="K178">
            <v>0</v>
          </cell>
          <cell r="L178">
            <v>0</v>
          </cell>
          <cell r="M178">
            <v>0</v>
          </cell>
          <cell r="O178">
            <v>104500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A179" t="str">
            <v>3</v>
          </cell>
          <cell r="C179" t="str">
            <v>CNV</v>
          </cell>
          <cell r="D179" t="str">
            <v>2K55C66860A</v>
          </cell>
          <cell r="E179" t="str">
            <v>AUDIO ASSY-L/DE</v>
          </cell>
          <cell r="F179" t="str">
            <v>R103</v>
          </cell>
          <cell r="G179" t="str">
            <v>기아전자</v>
          </cell>
          <cell r="H179">
            <v>113609</v>
          </cell>
          <cell r="I179">
            <v>107476</v>
          </cell>
          <cell r="J179" t="str">
            <v>EE4</v>
          </cell>
          <cell r="K179">
            <v>145092600</v>
          </cell>
          <cell r="L179">
            <v>145092600</v>
          </cell>
          <cell r="M179">
            <v>0</v>
          </cell>
          <cell r="O179">
            <v>104500</v>
          </cell>
          <cell r="P179">
            <v>0</v>
          </cell>
          <cell r="Q179">
            <v>1350</v>
          </cell>
          <cell r="R179">
            <v>-4017600</v>
          </cell>
          <cell r="S179">
            <v>-4017600</v>
          </cell>
        </row>
        <row r="180">
          <cell r="A180" t="str">
            <v>3H</v>
          </cell>
          <cell r="C180" t="str">
            <v>CNV</v>
          </cell>
          <cell r="D180" t="str">
            <v>2K55D66860</v>
          </cell>
          <cell r="E180" t="str">
            <v>AUDIO ASSY-CDP</v>
          </cell>
          <cell r="F180" t="str">
            <v>R103</v>
          </cell>
          <cell r="G180" t="str">
            <v>기아전자</v>
          </cell>
          <cell r="H180">
            <v>276003</v>
          </cell>
          <cell r="I180">
            <v>261424</v>
          </cell>
          <cell r="J180" t="str">
            <v>EE1</v>
          </cell>
          <cell r="K180">
            <v>0</v>
          </cell>
          <cell r="L180">
            <v>0</v>
          </cell>
          <cell r="M180">
            <v>0</v>
          </cell>
          <cell r="O180">
            <v>258800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A181" t="str">
            <v>3H</v>
          </cell>
          <cell r="C181" t="str">
            <v>CNV</v>
          </cell>
          <cell r="D181" t="str">
            <v>2K55D66860B</v>
          </cell>
          <cell r="E181" t="str">
            <v>AUDIO ASSY-CDP</v>
          </cell>
          <cell r="F181" t="str">
            <v>R103</v>
          </cell>
          <cell r="G181" t="str">
            <v>기아전자</v>
          </cell>
          <cell r="H181">
            <v>274510</v>
          </cell>
          <cell r="I181">
            <v>260005</v>
          </cell>
          <cell r="J181" t="str">
            <v>EE4</v>
          </cell>
          <cell r="K181">
            <v>717243750</v>
          </cell>
          <cell r="L181">
            <v>702013500</v>
          </cell>
          <cell r="M181">
            <v>-15230250</v>
          </cell>
          <cell r="O181">
            <v>256500</v>
          </cell>
          <cell r="P181">
            <v>1050</v>
          </cell>
          <cell r="Q181">
            <v>1650</v>
          </cell>
          <cell r="R181">
            <v>-9463500</v>
          </cell>
          <cell r="S181">
            <v>-24693750</v>
          </cell>
        </row>
        <row r="182">
          <cell r="A182" t="str">
            <v>3</v>
          </cell>
          <cell r="C182" t="str">
            <v>SPG</v>
          </cell>
          <cell r="D182" t="str">
            <v>3K08066860B</v>
          </cell>
          <cell r="E182" t="str">
            <v>AUDIO ASSY-L/DE</v>
          </cell>
          <cell r="F182" t="str">
            <v>R103</v>
          </cell>
          <cell r="G182" t="str">
            <v>기아전자</v>
          </cell>
          <cell r="H182">
            <v>113083</v>
          </cell>
          <cell r="I182">
            <v>106943</v>
          </cell>
          <cell r="J182" t="str">
            <v>EE4</v>
          </cell>
          <cell r="K182">
            <v>11195217</v>
          </cell>
          <cell r="L182">
            <v>10587357</v>
          </cell>
          <cell r="M182">
            <v>-607860</v>
          </cell>
          <cell r="O182">
            <v>104000</v>
          </cell>
          <cell r="P182">
            <v>99</v>
          </cell>
          <cell r="Q182">
            <v>0</v>
          </cell>
          <cell r="R182">
            <v>-291357</v>
          </cell>
          <cell r="S182">
            <v>-899217</v>
          </cell>
        </row>
        <row r="183">
          <cell r="A183" t="str">
            <v>3</v>
          </cell>
          <cell r="C183" t="str">
            <v>SPA</v>
          </cell>
          <cell r="D183" t="str">
            <v>3K2A16686YB</v>
          </cell>
          <cell r="E183" t="str">
            <v>AUDIO ASSY</v>
          </cell>
          <cell r="F183" t="str">
            <v>R103</v>
          </cell>
          <cell r="G183" t="str">
            <v>기아전자</v>
          </cell>
          <cell r="H183">
            <v>113083</v>
          </cell>
          <cell r="I183">
            <v>106943</v>
          </cell>
          <cell r="J183" t="str">
            <v>EE4</v>
          </cell>
          <cell r="K183">
            <v>218199490</v>
          </cell>
          <cell r="L183">
            <v>217094290</v>
          </cell>
          <cell r="M183">
            <v>-1105200</v>
          </cell>
          <cell r="O183">
            <v>104000</v>
          </cell>
          <cell r="P183">
            <v>180</v>
          </cell>
          <cell r="Q183">
            <v>1850</v>
          </cell>
          <cell r="R183">
            <v>-5974290</v>
          </cell>
          <cell r="S183">
            <v>-7079490</v>
          </cell>
        </row>
        <row r="184">
          <cell r="A184" t="str">
            <v>3H</v>
          </cell>
          <cell r="C184" t="str">
            <v>SPA</v>
          </cell>
          <cell r="D184" t="str">
            <v>3K2A16686ZB</v>
          </cell>
          <cell r="E184" t="str">
            <v>AUDIO ASSY</v>
          </cell>
          <cell r="F184" t="str">
            <v>R103</v>
          </cell>
          <cell r="G184" t="str">
            <v>기아전자</v>
          </cell>
          <cell r="H184">
            <v>275173</v>
          </cell>
          <cell r="I184">
            <v>260574</v>
          </cell>
          <cell r="J184" t="str">
            <v>EE4</v>
          </cell>
          <cell r="K184">
            <v>275173</v>
          </cell>
          <cell r="L184">
            <v>260574</v>
          </cell>
          <cell r="M184">
            <v>-14599</v>
          </cell>
          <cell r="O184">
            <v>258000</v>
          </cell>
          <cell r="P184">
            <v>1</v>
          </cell>
          <cell r="Q184">
            <v>0</v>
          </cell>
          <cell r="R184">
            <v>-2574</v>
          </cell>
          <cell r="S184">
            <v>-17173</v>
          </cell>
        </row>
        <row r="185">
          <cell r="A185" t="str">
            <v>3</v>
          </cell>
          <cell r="C185" t="str">
            <v>CNV</v>
          </cell>
          <cell r="D185" t="str">
            <v>3K55K66860A</v>
          </cell>
          <cell r="E185" t="str">
            <v>AUDIO ASSY-L/DE</v>
          </cell>
          <cell r="F185" t="str">
            <v>R103</v>
          </cell>
          <cell r="G185" t="str">
            <v>기아전자</v>
          </cell>
          <cell r="H185">
            <v>113609</v>
          </cell>
          <cell r="I185">
            <v>107476</v>
          </cell>
          <cell r="J185" t="str">
            <v>EE4</v>
          </cell>
          <cell r="K185">
            <v>7738272</v>
          </cell>
          <cell r="L185">
            <v>7738272</v>
          </cell>
          <cell r="M185">
            <v>0</v>
          </cell>
          <cell r="O185">
            <v>104500</v>
          </cell>
          <cell r="P185">
            <v>0</v>
          </cell>
          <cell r="Q185">
            <v>72</v>
          </cell>
          <cell r="R185">
            <v>-214272</v>
          </cell>
          <cell r="S185">
            <v>-214272</v>
          </cell>
        </row>
        <row r="186">
          <cell r="A186" t="str">
            <v>3H</v>
          </cell>
          <cell r="C186" t="str">
            <v>CNV</v>
          </cell>
          <cell r="D186" t="str">
            <v>3K55L66860</v>
          </cell>
          <cell r="E186" t="str">
            <v>AUDIO ASSY-CDP</v>
          </cell>
          <cell r="F186" t="str">
            <v>R103</v>
          </cell>
          <cell r="G186" t="str">
            <v>기아전자</v>
          </cell>
          <cell r="H186">
            <v>276003</v>
          </cell>
          <cell r="I186">
            <v>261424</v>
          </cell>
          <cell r="J186" t="str">
            <v>EE1</v>
          </cell>
          <cell r="K186">
            <v>0</v>
          </cell>
          <cell r="L186">
            <v>0</v>
          </cell>
          <cell r="M186">
            <v>0</v>
          </cell>
          <cell r="O186">
            <v>258800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A187" t="str">
            <v>3H</v>
          </cell>
          <cell r="C187" t="str">
            <v>CNV</v>
          </cell>
          <cell r="D187" t="str">
            <v>3K55L66860B</v>
          </cell>
          <cell r="E187" t="str">
            <v>AUDIO ASSY-CDP</v>
          </cell>
          <cell r="F187" t="str">
            <v>R103</v>
          </cell>
          <cell r="G187" t="str">
            <v>기아전자</v>
          </cell>
          <cell r="H187">
            <v>274510</v>
          </cell>
          <cell r="I187">
            <v>260005</v>
          </cell>
          <cell r="J187" t="str">
            <v>EE4</v>
          </cell>
          <cell r="K187">
            <v>118749360</v>
          </cell>
          <cell r="L187">
            <v>115442220</v>
          </cell>
          <cell r="M187">
            <v>-3307140</v>
          </cell>
          <cell r="O187">
            <v>256500</v>
          </cell>
          <cell r="P187">
            <v>228</v>
          </cell>
          <cell r="Q187">
            <v>216</v>
          </cell>
          <cell r="R187">
            <v>-1556220</v>
          </cell>
          <cell r="S187">
            <v>-4863360</v>
          </cell>
        </row>
        <row r="188">
          <cell r="A188" t="str">
            <v>3</v>
          </cell>
          <cell r="C188" t="str">
            <v>CNV</v>
          </cell>
          <cell r="D188" t="str">
            <v>3K55X66860</v>
          </cell>
          <cell r="E188" t="str">
            <v>AUDIO ASSY-L/DE</v>
          </cell>
          <cell r="F188" t="str">
            <v>R103</v>
          </cell>
          <cell r="G188" t="str">
            <v>기아전자</v>
          </cell>
          <cell r="H188">
            <v>116026</v>
          </cell>
          <cell r="I188">
            <v>109772</v>
          </cell>
          <cell r="J188" t="str">
            <v>EE1</v>
          </cell>
          <cell r="K188">
            <v>15807168</v>
          </cell>
          <cell r="L188">
            <v>15807168</v>
          </cell>
          <cell r="M188">
            <v>0</v>
          </cell>
          <cell r="O188">
            <v>106750</v>
          </cell>
          <cell r="P188">
            <v>0</v>
          </cell>
          <cell r="Q188">
            <v>144</v>
          </cell>
          <cell r="R188">
            <v>-435168</v>
          </cell>
          <cell r="S188">
            <v>-435168</v>
          </cell>
        </row>
        <row r="189">
          <cell r="A189" t="str">
            <v>3</v>
          </cell>
          <cell r="C189" t="str">
            <v>CNV</v>
          </cell>
          <cell r="D189" t="str">
            <v>3K55X66860A</v>
          </cell>
          <cell r="E189" t="str">
            <v>AUDIO ASSY-L/DE</v>
          </cell>
          <cell r="F189" t="str">
            <v>R103</v>
          </cell>
          <cell r="G189" t="str">
            <v>기아전자</v>
          </cell>
          <cell r="H189">
            <v>116026</v>
          </cell>
          <cell r="I189">
            <v>109772</v>
          </cell>
          <cell r="J189" t="str">
            <v>EE4</v>
          </cell>
          <cell r="K189">
            <v>36547352</v>
          </cell>
          <cell r="L189">
            <v>35346584</v>
          </cell>
          <cell r="M189">
            <v>-1200768</v>
          </cell>
          <cell r="O189">
            <v>106750</v>
          </cell>
          <cell r="P189">
            <v>192</v>
          </cell>
          <cell r="Q189">
            <v>130</v>
          </cell>
          <cell r="R189">
            <v>-973084</v>
          </cell>
          <cell r="S189">
            <v>-2173852</v>
          </cell>
        </row>
        <row r="190">
          <cell r="A190" t="str">
            <v>3H</v>
          </cell>
          <cell r="C190" t="str">
            <v>CNV</v>
          </cell>
          <cell r="D190" t="str">
            <v>3K55Y66860</v>
          </cell>
          <cell r="E190" t="str">
            <v>AUDIO ASSY-CDP</v>
          </cell>
          <cell r="F190" t="str">
            <v>R103</v>
          </cell>
          <cell r="G190" t="str">
            <v>기아전자</v>
          </cell>
          <cell r="H190">
            <v>278421</v>
          </cell>
          <cell r="I190">
            <v>263721</v>
          </cell>
          <cell r="J190" t="str">
            <v>EE1</v>
          </cell>
          <cell r="K190">
            <v>512571060</v>
          </cell>
          <cell r="L190">
            <v>490521060</v>
          </cell>
          <cell r="M190">
            <v>-22050000</v>
          </cell>
          <cell r="O190">
            <v>262300</v>
          </cell>
          <cell r="P190">
            <v>1500</v>
          </cell>
          <cell r="Q190">
            <v>360</v>
          </cell>
          <cell r="R190">
            <v>-2643060</v>
          </cell>
          <cell r="S190">
            <v>-24693060</v>
          </cell>
        </row>
        <row r="191">
          <cell r="A191" t="str">
            <v>3H</v>
          </cell>
          <cell r="C191" t="str">
            <v>CNV</v>
          </cell>
          <cell r="D191" t="str">
            <v>3K55Y66860B</v>
          </cell>
          <cell r="E191" t="str">
            <v>AUDIO ASSY-CDP</v>
          </cell>
          <cell r="F191" t="str">
            <v>R103</v>
          </cell>
          <cell r="G191" t="str">
            <v>기아전자</v>
          </cell>
          <cell r="H191">
            <v>276928</v>
          </cell>
          <cell r="I191">
            <v>262302</v>
          </cell>
          <cell r="J191" t="str">
            <v>EE4</v>
          </cell>
          <cell r="K191">
            <v>56657232</v>
          </cell>
          <cell r="L191">
            <v>56657232</v>
          </cell>
          <cell r="M191">
            <v>0</v>
          </cell>
          <cell r="O191">
            <v>258500</v>
          </cell>
          <cell r="P191">
            <v>0</v>
          </cell>
          <cell r="Q191">
            <v>216</v>
          </cell>
          <cell r="R191">
            <v>-821232</v>
          </cell>
          <cell r="S191">
            <v>-821232</v>
          </cell>
        </row>
        <row r="192">
          <cell r="A192" t="str">
            <v>3</v>
          </cell>
          <cell r="C192" t="str">
            <v>CRD</v>
          </cell>
          <cell r="D192" t="str">
            <v>3K9A466870C</v>
          </cell>
          <cell r="E192" t="str">
            <v>AUDIO ASSY-L/DE</v>
          </cell>
          <cell r="F192" t="str">
            <v>R103</v>
          </cell>
          <cell r="G192" t="str">
            <v>기아전자</v>
          </cell>
          <cell r="H192">
            <v>158153</v>
          </cell>
          <cell r="I192">
            <v>149430</v>
          </cell>
          <cell r="J192" t="str">
            <v>ED4</v>
          </cell>
          <cell r="K192">
            <v>140278350</v>
          </cell>
          <cell r="L192">
            <v>138969900</v>
          </cell>
          <cell r="M192">
            <v>-1308450</v>
          </cell>
          <cell r="O192">
            <v>146441</v>
          </cell>
          <cell r="P192">
            <v>150</v>
          </cell>
          <cell r="Q192">
            <v>780</v>
          </cell>
          <cell r="R192">
            <v>-2779770</v>
          </cell>
          <cell r="S192">
            <v>-4088220</v>
          </cell>
        </row>
        <row r="193">
          <cell r="A193" t="str">
            <v>3H</v>
          </cell>
          <cell r="C193" t="str">
            <v>CRD</v>
          </cell>
          <cell r="D193" t="str">
            <v>3K9D166870A</v>
          </cell>
          <cell r="E193" t="str">
            <v>AUDIO ASSY-CDP</v>
          </cell>
          <cell r="F193" t="str">
            <v>R103</v>
          </cell>
          <cell r="G193" t="str">
            <v>기아전자</v>
          </cell>
          <cell r="H193">
            <v>284105</v>
          </cell>
          <cell r="I193">
            <v>267895</v>
          </cell>
          <cell r="J193" t="str">
            <v>EE4</v>
          </cell>
          <cell r="K193">
            <v>16073700</v>
          </cell>
          <cell r="L193">
            <v>16073700</v>
          </cell>
          <cell r="M193">
            <v>0</v>
          </cell>
          <cell r="O193">
            <v>265200</v>
          </cell>
          <cell r="P193">
            <v>0</v>
          </cell>
          <cell r="Q193">
            <v>60</v>
          </cell>
          <cell r="R193">
            <v>-161700</v>
          </cell>
          <cell r="S193">
            <v>-161700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환내역(99.00)"/>
      <sheetName val="차입금상환"/>
      <sheetName val="은행권"/>
      <sheetName val="Sheet1"/>
      <sheetName val="2001(요약)"/>
      <sheetName val="2001(감사)"/>
      <sheetName val="2001"/>
      <sheetName val="2002"/>
      <sheetName val="2001(분기별)"/>
      <sheetName val="2001(분기별-짜가)"/>
      <sheetName val="차입금상환계획"/>
      <sheetName val="차입금상환계획 (2)"/>
      <sheetName val="01년1분기"/>
      <sheetName val="02년2분기"/>
      <sheetName val="2000"/>
      <sheetName val="2003"/>
      <sheetName val="2004"/>
      <sheetName val="2005"/>
      <sheetName val="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Q6">
            <v>1.2597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물"/>
      <sheetName val="건물 (2)"/>
      <sheetName val="구축물"/>
      <sheetName val="기계"/>
      <sheetName val="차량"/>
      <sheetName val="비품"/>
      <sheetName val="Module2"/>
      <sheetName val="ML"/>
      <sheetName val="수정시산표"/>
      <sheetName val="총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moonkwon/Documents/kPMG/SIA/2017/01.%20On%20going/15.%20Project%20SVG1/03.%20&#49688;&#47161;&#51088;&#47308;/03.%203&#52264;%20&#51088;&#47308;/Project%20SVG1_IRL_20180116_v4-&#49688;&#51221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moonkwon/Documents/kPMG/SIA/2017/01.%20On%20going/15.%20Project%20SVG1/13.Model/02.%20DCF/03.%20Draft%202/SVG1_Model_20180122_&#50896;&#51109;%20&#54588;&#48279;%20&#46028;&#47536;%20vF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moonkwon/Documents/kPMG/SIA/2017/01.%20On%20going/15.%20Project%20SVG1/13.Model/02.%20DCF/03.%20Draft%202/SVG1_Model_20180122_&#50896;&#51109;%20&#54588;&#48279;%20&#46028;&#47536;%20vF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won, Ki-Moon (KR/Deal Adv5)" refreshedDate="43117.786277893516" createdVersion="5" refreshedVersion="5" minRefreshableVersion="3" recordCount="44">
  <cacheSource type="worksheet">
    <worksheetSource ref="O4:W48" sheet="원가(원재료비)_RAW" r:id="rId2"/>
  </cacheSource>
  <cacheFields count="9">
    <cacheField name="모델명" numFmtId="0">
      <sharedItems/>
    </cacheField>
    <cacheField name="산업군" numFmtId="0">
      <sharedItems count="6">
        <s v="관공서"/>
        <s v="통신"/>
        <s v="기타"/>
        <s v="전기"/>
        <s v="크레인"/>
        <s v="건설"/>
      </sharedItems>
    </cacheField>
    <cacheField name="모델구분" numFmtId="0">
      <sharedItems count="4">
        <s v="크레인"/>
        <s v="고소작업차"/>
        <s v="활선차"/>
        <s v="기타"/>
      </sharedItems>
    </cacheField>
    <cacheField name="원재료비" numFmtId="0">
      <sharedItems/>
    </cacheField>
    <cacheField name="2017" numFmtId="0">
      <sharedItems containsSemiMixedTypes="0" containsString="0" containsNumber="1" containsInteger="1" minValue="1813460" maxValue="124742770"/>
    </cacheField>
    <cacheField name="2018" numFmtId="0">
      <sharedItems containsSemiMixedTypes="0" containsString="0" containsNumber="1" containsInteger="1" minValue="1904130" maxValue="130979910"/>
    </cacheField>
    <cacheField name="2019" numFmtId="0">
      <sharedItems containsSemiMixedTypes="0" containsString="0" containsNumber="1" containsInteger="1" minValue="1999340" maxValue="137528910"/>
    </cacheField>
    <cacheField name="2020" numFmtId="0">
      <sharedItems containsSemiMixedTypes="0" containsString="0" containsNumber="1" containsInteger="1" minValue="2099310" maxValue="144405360"/>
    </cacheField>
    <cacheField name="2021" numFmtId="0">
      <sharedItems containsSemiMixedTypes="0" containsString="0" containsNumber="1" containsInteger="1" minValue="2204280" maxValue="1516256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won, Ki-Moon (KR/Deal Adv5)" refreshedDate="43116.654865046294" createdVersion="5" refreshedVersion="5" minRefreshableVersion="3" recordCount="1150">
  <cacheSource type="worksheet">
    <worksheetSource ref="B4:H1154" sheet="2015 원장(수정)" r:id="rId2"/>
  </cacheSource>
  <cacheFields count="7">
    <cacheField name="거래처 산업군" numFmtId="0">
      <sharedItems count="6">
        <s v="통신"/>
        <s v="기타"/>
        <s v="항공"/>
        <s v="전기"/>
        <s v="관공서"/>
        <s v="건설"/>
      </sharedItems>
    </cacheField>
    <cacheField name="거래처명" numFmtId="0">
      <sharedItems/>
    </cacheField>
    <cacheField name="국내외 구분" numFmtId="0">
      <sharedItems count="2">
        <s v="국내"/>
        <s v="수출"/>
      </sharedItems>
    </cacheField>
    <cacheField name="국가" numFmtId="0">
      <sharedItems count="7">
        <s v="국내"/>
        <s v="기타"/>
        <s v="베트남"/>
        <s v="뉴질랜드"/>
        <s v="중국"/>
        <s v="인도네시아"/>
        <s v="필리핀"/>
      </sharedItems>
    </cacheField>
    <cacheField name="모델명" numFmtId="0">
      <sharedItems containsBlank="1"/>
    </cacheField>
    <cacheField name="모델 구분" numFmtId="0">
      <sharedItems count="4">
        <s v="고소작업차"/>
        <s v="기타"/>
        <s v="활선차"/>
        <s v="크레인"/>
      </sharedItems>
    </cacheField>
    <cacheField name="매출금액" numFmtId="3">
      <sharedItems containsSemiMixedTypes="0" containsString="0" containsNumber="1" minValue="313130" maxValue="14209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won, Ki-Moon (KR/Deal Adv5)" refreshedDate="43122.600532523145" createdVersion="5" refreshedVersion="5" minRefreshableVersion="3" recordCount="1474">
  <cacheSource type="worksheet">
    <worksheetSource ref="D4:L1478" sheet="2016 원장(수정)" r:id="rId2"/>
  </cacheSource>
  <cacheFields count="9">
    <cacheField name="거래처 산업군" numFmtId="0">
      <sharedItems count="6">
        <s v="통신"/>
        <s v="건설"/>
        <s v="전기"/>
        <s v="기타"/>
        <s v="항공"/>
        <s v="관공서"/>
      </sharedItems>
    </cacheField>
    <cacheField name="거래처명" numFmtId="0">
      <sharedItems/>
    </cacheField>
    <cacheField name="국내외 구분" numFmtId="0">
      <sharedItems count="2">
        <s v="국내"/>
        <s v="수출"/>
      </sharedItems>
    </cacheField>
    <cacheField name="국가" numFmtId="0">
      <sharedItems count="9">
        <s v="국내"/>
        <s v="멕시코"/>
        <s v="베트남"/>
        <s v="뉴질랜드"/>
        <s v="시리아"/>
        <s v="필리핀"/>
        <s v="대만"/>
        <s v="중국"/>
        <s v="스리랑카"/>
      </sharedItems>
    </cacheField>
    <cacheField name="모델명" numFmtId="0">
      <sharedItems/>
    </cacheField>
    <cacheField name="모델 구분" numFmtId="0">
      <sharedItems count="4">
        <s v="고소작업차"/>
        <s v="활선차"/>
        <s v="기타"/>
        <s v="크레인"/>
      </sharedItems>
    </cacheField>
    <cacheField name="담당자" numFmtId="0">
      <sharedItems/>
    </cacheField>
    <cacheField name="매출발생일" numFmtId="14">
      <sharedItems containsSemiMixedTypes="0" containsNonDate="0" containsDate="1" containsString="0" minDate="2016-01-04T00:00:00" maxDate="2017-12-31T00:00:00"/>
    </cacheField>
    <cacheField name="매출금액" numFmtId="3">
      <sharedItems containsSemiMixedTypes="0" containsString="0" containsNumber="1" minValue="288067" maxValue="528214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Kwon, Ki-Moon (KR/Deal Adv5)" refreshedDate="43126.749918055553" createdVersion="5" refreshedVersion="5" minRefreshableVersion="3" recordCount="85">
  <cacheSource type="worksheet">
    <worksheetSource ref="A2:G87" sheet="2018 1월 판매(Raw)"/>
  </cacheSource>
  <cacheFields count="7">
    <cacheField name="전표번호" numFmtId="0">
      <sharedItems/>
    </cacheField>
    <cacheField name="적요" numFmtId="0">
      <sharedItems/>
    </cacheField>
    <cacheField name="모델별 분류" numFmtId="0">
      <sharedItems count="3">
        <s v="고소작업차"/>
        <s v="활선차"/>
        <s v="크레인"/>
      </sharedItems>
    </cacheField>
    <cacheField name="거래처별 산업군" numFmtId="0">
      <sharedItems count="4">
        <s v="통신"/>
        <s v="전기"/>
        <s v="건설"/>
        <s v="기타"/>
      </sharedItems>
    </cacheField>
    <cacheField name="거래처" numFmtId="0">
      <sharedItems/>
    </cacheField>
    <cacheField name="차변" numFmtId="0">
      <sharedItems containsNonDate="0" containsString="0" containsBlank="1"/>
    </cacheField>
    <cacheField name="대변" numFmtId="3">
      <sharedItems containsSemiMixedTypes="0" containsString="0" containsNumber="1" containsInteger="1" minValue="2050000" maxValue="207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Kim, Yang-Tae (KR/Deal Adv5)" refreshedDate="43138.901175462961" createdVersion="5" refreshedVersion="5" minRefreshableVersion="3" recordCount="5995">
  <cacheSource type="worksheet">
    <worksheetSource ref="A2:G5997" sheet="계정별원장"/>
  </cacheSource>
  <cacheFields count="6">
    <cacheField name="전표번호" numFmtId="0">
      <sharedItems containsSemiMixedTypes="0" containsString="0" containsNumber="1" containsInteger="1" minValue="13" maxValue="17" count="5">
        <n v="13"/>
        <n v="14"/>
        <n v="15"/>
        <n v="16"/>
        <n v="17"/>
      </sharedItems>
    </cacheField>
    <cacheField name="적요" numFmtId="0">
      <sharedItems containsBlank="1"/>
    </cacheField>
    <cacheField name="거래처" numFmtId="0">
      <sharedItems/>
    </cacheField>
    <cacheField name="차변" numFmtId="0">
      <sharedItems containsNonDate="0" containsString="0" containsBlank="1"/>
    </cacheField>
    <cacheField name="대변" numFmtId="3">
      <sharedItems containsSemiMixedTypes="0" containsString="0" containsNumber="1" minValue="-1623500000" maxValue="2749490000"/>
    </cacheField>
    <cacheField name="잔액" numFmtId="0">
      <sharedItems containsString="0" containsBlank="1" containsNumber="1" minValue="36883000" maxValue="29471809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s v="ALPHA 12000"/>
    <x v="0"/>
    <x v="0"/>
    <s v="원재료비"/>
    <n v="70445540"/>
    <n v="73967820"/>
    <n v="77666210"/>
    <n v="81549520"/>
    <n v="85627000"/>
  </r>
  <r>
    <s v="ALPHA 5000"/>
    <x v="0"/>
    <x v="0"/>
    <s v="원재료비"/>
    <n v="53444640"/>
    <n v="56116870"/>
    <n v="58922710"/>
    <n v="61868850"/>
    <n v="64962290"/>
  </r>
  <r>
    <s v="AUGER CRANE(5TON)"/>
    <x v="1"/>
    <x v="0"/>
    <s v="원재료비"/>
    <n v="113100000"/>
    <n v="118755000"/>
    <n v="124692750"/>
    <n v="130927390"/>
    <n v="137473760"/>
  </r>
  <r>
    <s v="DH SUPER 3000"/>
    <x v="1"/>
    <x v="1"/>
    <s v="원재료비"/>
    <n v="60049580"/>
    <n v="63052060"/>
    <n v="66204660"/>
    <n v="69514890"/>
    <n v="72990630"/>
  </r>
  <r>
    <s v="DHA 102AP"/>
    <x v="1"/>
    <x v="1"/>
    <s v="원재료비"/>
    <n v="23308990"/>
    <n v="24474440"/>
    <n v="25698160"/>
    <n v="26983070"/>
    <n v="28332220"/>
  </r>
  <r>
    <s v="DHAS 130AP"/>
    <x v="1"/>
    <x v="0"/>
    <s v="원재료비"/>
    <n v="23991660"/>
    <n v="25191240"/>
    <n v="26450800"/>
    <n v="27773340"/>
    <n v="29162010"/>
  </r>
  <r>
    <s v="DHAS 140SS"/>
    <x v="2"/>
    <x v="1"/>
    <s v="원재료비"/>
    <n v="25163520"/>
    <n v="26421700"/>
    <n v="27742790"/>
    <n v="29129930"/>
    <n v="30586430"/>
  </r>
  <r>
    <s v="DHM 1300S2"/>
    <x v="2"/>
    <x v="0"/>
    <s v="원재료비"/>
    <n v="9915320"/>
    <n v="10411090"/>
    <n v="10931640"/>
    <n v="11478220"/>
    <n v="12052130"/>
  </r>
  <r>
    <s v="DHM 1500S2"/>
    <x v="2"/>
    <x v="0"/>
    <s v="원재료비"/>
    <n v="10411090"/>
    <n v="10931640"/>
    <n v="11478220"/>
    <n v="12052130"/>
    <n v="12654740"/>
  </r>
  <r>
    <s v="DHS 102AP"/>
    <x v="1"/>
    <x v="1"/>
    <s v="원재료비"/>
    <n v="23308990"/>
    <n v="24474440"/>
    <n v="25698160"/>
    <n v="26983070"/>
    <n v="28332220"/>
  </r>
  <r>
    <s v="DHS 105AP"/>
    <x v="1"/>
    <x v="1"/>
    <s v="원재료비"/>
    <n v="24094390"/>
    <n v="25299110"/>
    <n v="26564070"/>
    <n v="27892270"/>
    <n v="29286880"/>
  </r>
  <r>
    <s v="DHS 1200L"/>
    <x v="1"/>
    <x v="1"/>
    <s v="원재료비"/>
    <n v="25563300"/>
    <n v="26841470"/>
    <n v="28183540"/>
    <n v="29592720"/>
    <n v="31072360"/>
  </r>
  <r>
    <s v="DHS 1200LS2"/>
    <x v="1"/>
    <x v="1"/>
    <s v="원재료비"/>
    <n v="27143850"/>
    <n v="28501040"/>
    <n v="29926090"/>
    <n v="31422390"/>
    <n v="32993510"/>
  </r>
  <r>
    <s v="DHS 120AP"/>
    <x v="1"/>
    <x v="1"/>
    <s v="원재료비"/>
    <n v="23772620"/>
    <n v="24961250"/>
    <n v="26209310"/>
    <n v="27519780"/>
    <n v="28895770"/>
  </r>
  <r>
    <s v="DHS 130SKY"/>
    <x v="1"/>
    <x v="1"/>
    <s v="원재료비"/>
    <n v="28315250"/>
    <n v="29731010"/>
    <n v="31217560"/>
    <n v="32778440"/>
    <n v="34417360"/>
  </r>
  <r>
    <s v="DHS 14"/>
    <x v="3"/>
    <x v="1"/>
    <s v="원재료비"/>
    <n v="37481250"/>
    <n v="39355310"/>
    <n v="41323080"/>
    <n v="43389230"/>
    <n v="45558690"/>
  </r>
  <r>
    <s v="DHS 15AP"/>
    <x v="4"/>
    <x v="1"/>
    <s v="원재료비"/>
    <n v="30287980"/>
    <n v="31802380"/>
    <n v="33392500"/>
    <n v="35062130"/>
    <n v="36815240"/>
  </r>
  <r>
    <s v="DHS 17AP"/>
    <x v="3"/>
    <x v="1"/>
    <s v="원재료비"/>
    <n v="31446680"/>
    <n v="33019010"/>
    <n v="34669960"/>
    <n v="36403460"/>
    <n v="38223630"/>
  </r>
  <r>
    <s v="DHS 1800"/>
    <x v="0"/>
    <x v="1"/>
    <s v="원재료비"/>
    <n v="48520560"/>
    <n v="50946590"/>
    <n v="53493920"/>
    <n v="56168620"/>
    <n v="58977050"/>
  </r>
  <r>
    <s v="DHS 190SKY"/>
    <x v="2"/>
    <x v="1"/>
    <s v="원재료비"/>
    <n v="31951070"/>
    <n v="33548620"/>
    <n v="35226050"/>
    <n v="36987350"/>
    <n v="38836720"/>
  </r>
  <r>
    <s v="DHS 250AP"/>
    <x v="3"/>
    <x v="1"/>
    <s v="원재료비"/>
    <n v="72218890"/>
    <n v="75829830"/>
    <n v="79621320"/>
    <n v="83602390"/>
    <n v="87782510"/>
  </r>
  <r>
    <s v="DHS 280AP"/>
    <x v="2"/>
    <x v="1"/>
    <s v="원재료비"/>
    <n v="73155400"/>
    <n v="76813170"/>
    <n v="80653830"/>
    <n v="84686520"/>
    <n v="88920850"/>
  </r>
  <r>
    <s v="DHS 433 집게크레인"/>
    <x v="5"/>
    <x v="0"/>
    <s v="원재료비"/>
    <n v="4625400"/>
    <n v="4856670"/>
    <n v="5099500"/>
    <n v="5354480"/>
    <n v="5622200"/>
  </r>
  <r>
    <s v="DHS 433HC"/>
    <x v="5"/>
    <x v="1"/>
    <s v="원재료비"/>
    <n v="4005500"/>
    <n v="4205780"/>
    <n v="4416070"/>
    <n v="4636870"/>
    <n v="4868710"/>
  </r>
  <r>
    <s v="DHS 433L"/>
    <x v="5"/>
    <x v="2"/>
    <s v="원재료비"/>
    <n v="4403610"/>
    <n v="4623790"/>
    <n v="4854980"/>
    <n v="5097730"/>
    <n v="5352620"/>
  </r>
  <r>
    <s v="DHS 433M"/>
    <x v="1"/>
    <x v="2"/>
    <s v="원재료비"/>
    <n v="19325000"/>
    <n v="20291250"/>
    <n v="21305810"/>
    <n v="22371100"/>
    <n v="23489660"/>
  </r>
  <r>
    <s v="DHS 534"/>
    <x v="5"/>
    <x v="1"/>
    <s v="원재료비"/>
    <n v="6425980"/>
    <n v="6747280"/>
    <n v="7084640"/>
    <n v="7438870"/>
    <n v="7810810"/>
  </r>
  <r>
    <s v="DHS 534MAP"/>
    <x v="1"/>
    <x v="1"/>
    <s v="원재료비"/>
    <n v="21725500"/>
    <n v="22811780"/>
    <n v="23952370"/>
    <n v="25149990"/>
    <n v="26407490"/>
  </r>
  <r>
    <s v="DHS 606S"/>
    <x v="5"/>
    <x v="0"/>
    <s v="원재료비"/>
    <n v="24849500"/>
    <n v="26091980"/>
    <n v="27396580"/>
    <n v="28766410"/>
    <n v="30204730"/>
  </r>
  <r>
    <s v="DHS 7526"/>
    <x v="5"/>
    <x v="0"/>
    <s v="원재료비"/>
    <n v="30877360"/>
    <n v="32421230"/>
    <n v="34042290"/>
    <n v="35744400"/>
    <n v="37531620"/>
  </r>
  <r>
    <s v="DHS 870"/>
    <x v="1"/>
    <x v="1"/>
    <s v="원재료비"/>
    <n v="19343210"/>
    <n v="20310370"/>
    <n v="21325890"/>
    <n v="22392180"/>
    <n v="23511790"/>
  </r>
  <r>
    <s v="DHS 920"/>
    <x v="1"/>
    <x v="1"/>
    <s v="원재료비"/>
    <n v="22294160"/>
    <n v="23408870"/>
    <n v="24579310"/>
    <n v="25808280"/>
    <n v="27098690"/>
  </r>
  <r>
    <s v="DHS 930"/>
    <x v="1"/>
    <x v="1"/>
    <s v="원재료비"/>
    <n v="22704380"/>
    <n v="23839600"/>
    <n v="25031580"/>
    <n v="26283160"/>
    <n v="27597320"/>
  </r>
  <r>
    <s v="DHS 950L"/>
    <x v="1"/>
    <x v="1"/>
    <s v="원재료비"/>
    <n v="23863850"/>
    <n v="25057040"/>
    <n v="26309890"/>
    <n v="27625380"/>
    <n v="29006650"/>
  </r>
  <r>
    <s v="DHT 105S"/>
    <x v="3"/>
    <x v="0"/>
    <s v="원재료비"/>
    <n v="74118280"/>
    <n v="77824190"/>
    <n v="81715400"/>
    <n v="85801170"/>
    <n v="90091230"/>
  </r>
  <r>
    <s v="DHT 110"/>
    <x v="3"/>
    <x v="2"/>
    <s v="원재료비"/>
    <n v="84208180"/>
    <n v="88418590"/>
    <n v="92839520"/>
    <n v="97481500"/>
    <n v="102355580"/>
  </r>
  <r>
    <s v="DHT 150AS"/>
    <x v="3"/>
    <x v="2"/>
    <s v="원재료비"/>
    <n v="97181750"/>
    <n v="102040840"/>
    <n v="107142880"/>
    <n v="112500020"/>
    <n v="118125020"/>
  </r>
  <r>
    <s v="DHT 150S"/>
    <x v="3"/>
    <x v="1"/>
    <s v="원재료비"/>
    <n v="91981250"/>
    <n v="96580310"/>
    <n v="101409330"/>
    <n v="106479800"/>
    <n v="111803790"/>
  </r>
  <r>
    <s v="DHT 160AS"/>
    <x v="3"/>
    <x v="2"/>
    <s v="원재료비"/>
    <n v="99785645"/>
    <n v="104774930"/>
    <n v="110013680"/>
    <n v="115514360"/>
    <n v="121290080"/>
  </r>
  <r>
    <s v="DHT 160S"/>
    <x v="3"/>
    <x v="1"/>
    <s v="원재료비"/>
    <n v="96479540"/>
    <n v="101303520"/>
    <n v="106368700"/>
    <n v="111687140"/>
    <n v="117271500"/>
  </r>
  <r>
    <s v="DHT 170AS"/>
    <x v="3"/>
    <x v="1"/>
    <s v="원재료비"/>
    <n v="124742770"/>
    <n v="130979910"/>
    <n v="137528910"/>
    <n v="144405360"/>
    <n v="151625630"/>
  </r>
  <r>
    <s v="DHT 180S"/>
    <x v="3"/>
    <x v="1"/>
    <s v="원재료비"/>
    <n v="107965000"/>
    <n v="113363250"/>
    <n v="119031410"/>
    <n v="124982980"/>
    <n v="131232130"/>
  </r>
  <r>
    <s v="HWD 400"/>
    <x v="3"/>
    <x v="1"/>
    <s v="원재료비"/>
    <n v="1813460"/>
    <n v="1904130"/>
    <n v="1999340"/>
    <n v="2099310"/>
    <n v="2204280"/>
  </r>
  <r>
    <s v="이동정비탑차"/>
    <x v="2"/>
    <x v="3"/>
    <s v="원재료비"/>
    <n v="21903610"/>
    <n v="22998790"/>
    <n v="24148730"/>
    <n v="25356170"/>
    <n v="266239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50">
  <r>
    <x v="0"/>
    <s v="(주)케이티렌탈"/>
    <x v="0"/>
    <x v="0"/>
    <s v="KT선로현대화통합장비-335대"/>
    <x v="0"/>
    <n v="1420930000"/>
  </r>
  <r>
    <x v="1"/>
    <s v="금호산업(주)"/>
    <x v="0"/>
    <x v="0"/>
    <s v="기타"/>
    <x v="0"/>
    <n v="1305639000"/>
  </r>
  <r>
    <x v="0"/>
    <s v="(주)케이티렌탈"/>
    <x v="0"/>
    <x v="0"/>
    <s v="KT소형버켓장비-26대"/>
    <x v="1"/>
    <n v="766740000"/>
  </r>
  <r>
    <x v="2"/>
    <s v="제16전투비행단"/>
    <x v="0"/>
    <x v="0"/>
    <m/>
    <x v="0"/>
    <n v="642928745"/>
  </r>
  <r>
    <x v="2"/>
    <s v="공군군수사령부"/>
    <x v="0"/>
    <x v="0"/>
    <s v="본기둥실린더등14종"/>
    <x v="1"/>
    <n v="545267200"/>
  </r>
  <r>
    <x v="3"/>
    <s v="HIAB MIDDLE EAST L.L.C"/>
    <x v="1"/>
    <x v="1"/>
    <s v="DHT 160AS($294,000*@1,073.38)(4318)"/>
    <x v="2"/>
    <n v="315573720"/>
  </r>
  <r>
    <x v="3"/>
    <s v="VIET TRUNG EQUIPMENT JOINT"/>
    <x v="1"/>
    <x v="2"/>
    <s v="DHS 17AP($195,000*@1,092.04)(02/DH-VRO-2014)"/>
    <x v="0"/>
    <n v="212947800"/>
  </r>
  <r>
    <x v="3"/>
    <s v="(주)솔인텍"/>
    <x v="0"/>
    <x v="0"/>
    <s v="DHT 150AS"/>
    <x v="2"/>
    <n v="171000000"/>
  </r>
  <r>
    <x v="3"/>
    <s v="태양이엔지"/>
    <x v="0"/>
    <x v="0"/>
    <s v="DHT 160AS"/>
    <x v="2"/>
    <n v="171000000"/>
  </r>
  <r>
    <x v="3"/>
    <s v="씨앤피유니온"/>
    <x v="0"/>
    <x v="0"/>
    <s v="DHT 150AS"/>
    <x v="2"/>
    <n v="170000000"/>
  </r>
  <r>
    <x v="3"/>
    <s v="씨앤피유니온"/>
    <x v="0"/>
    <x v="0"/>
    <s v="DHT 150AS"/>
    <x v="2"/>
    <n v="170000000"/>
  </r>
  <r>
    <x v="3"/>
    <s v="용호전설"/>
    <x v="0"/>
    <x v="0"/>
    <s v="DHT 160AS"/>
    <x v="2"/>
    <n v="170000000"/>
  </r>
  <r>
    <x v="3"/>
    <s v="경일중기"/>
    <x v="0"/>
    <x v="0"/>
    <s v="DHT 160AS"/>
    <x v="2"/>
    <n v="169400000"/>
  </r>
  <r>
    <x v="3"/>
    <s v="(주)호남전력"/>
    <x v="0"/>
    <x v="0"/>
    <s v="DHT 160AS"/>
    <x v="2"/>
    <n v="169000000"/>
  </r>
  <r>
    <x v="3"/>
    <s v="동일"/>
    <x v="0"/>
    <x v="0"/>
    <s v="DHT 160AS"/>
    <x v="2"/>
    <n v="169000000"/>
  </r>
  <r>
    <x v="3"/>
    <s v="주식회사 형제"/>
    <x v="0"/>
    <x v="0"/>
    <s v="DHT 160AS"/>
    <x v="2"/>
    <n v="169000000"/>
  </r>
  <r>
    <x v="3"/>
    <s v="신용수"/>
    <x v="0"/>
    <x v="0"/>
    <s v="DHT 160AS"/>
    <x v="2"/>
    <n v="168000000"/>
  </r>
  <r>
    <x v="3"/>
    <s v="안승영"/>
    <x v="0"/>
    <x v="0"/>
    <s v="DHT 160AS"/>
    <x v="2"/>
    <n v="168000000"/>
  </r>
  <r>
    <x v="3"/>
    <s v="국제활선"/>
    <x v="0"/>
    <x v="0"/>
    <s v="DHT 160AS"/>
    <x v="2"/>
    <n v="167636364"/>
  </r>
  <r>
    <x v="3"/>
    <s v="영진활선"/>
    <x v="0"/>
    <x v="0"/>
    <s v="DHT 160AS"/>
    <x v="2"/>
    <n v="167636363"/>
  </r>
  <r>
    <x v="3"/>
    <s v="주식회사 디에이치전력"/>
    <x v="0"/>
    <x v="0"/>
    <s v="DHT 160AS"/>
    <x v="2"/>
    <n v="167500000"/>
  </r>
  <r>
    <x v="3"/>
    <s v="주식회사 나라"/>
    <x v="0"/>
    <x v="0"/>
    <s v="DHT 160AS"/>
    <x v="2"/>
    <n v="167500000"/>
  </r>
  <r>
    <x v="3"/>
    <s v="주식회사 월천"/>
    <x v="0"/>
    <x v="0"/>
    <s v="DHT 160AS"/>
    <x v="2"/>
    <n v="167500000"/>
  </r>
  <r>
    <x v="3"/>
    <s v="대구98사 1272"/>
    <x v="0"/>
    <x v="0"/>
    <s v="DHT 160AS"/>
    <x v="2"/>
    <n v="167000000"/>
  </r>
  <r>
    <x v="3"/>
    <s v="계룡전기활선"/>
    <x v="0"/>
    <x v="0"/>
    <s v="DHT 160AS"/>
    <x v="2"/>
    <n v="167000000"/>
  </r>
  <r>
    <x v="3"/>
    <s v="신흥전력주식회사"/>
    <x v="0"/>
    <x v="0"/>
    <s v="DHT 160AS"/>
    <x v="2"/>
    <n v="167000000"/>
  </r>
  <r>
    <x v="3"/>
    <s v="(주)이명전기"/>
    <x v="0"/>
    <x v="0"/>
    <s v="DHT 160AS"/>
    <x v="2"/>
    <n v="167000000"/>
  </r>
  <r>
    <x v="3"/>
    <s v="티앤제이건설 주식회사"/>
    <x v="0"/>
    <x v="0"/>
    <s v="DHT 160AS"/>
    <x v="2"/>
    <n v="166500000"/>
  </r>
  <r>
    <x v="3"/>
    <s v="주식회사 고운전기"/>
    <x v="0"/>
    <x v="0"/>
    <s v="DHT 160AS"/>
    <x v="2"/>
    <n v="166500000"/>
  </r>
  <r>
    <x v="3"/>
    <s v="하나로 일렉콤"/>
    <x v="0"/>
    <x v="0"/>
    <s v="DHT 160AS"/>
    <x v="2"/>
    <n v="166500000"/>
  </r>
  <r>
    <x v="3"/>
    <s v="대광기업(주)"/>
    <x v="0"/>
    <x v="0"/>
    <s v="DHT 160AS"/>
    <x v="2"/>
    <n v="165636364"/>
  </r>
  <r>
    <x v="3"/>
    <s v="(주)중앙개발"/>
    <x v="0"/>
    <x v="0"/>
    <s v="DHT 160AS"/>
    <x v="2"/>
    <n v="165000000"/>
  </r>
  <r>
    <x v="3"/>
    <s v="(주)대한"/>
    <x v="0"/>
    <x v="0"/>
    <s v="DHT 160AS"/>
    <x v="2"/>
    <n v="164000000"/>
  </r>
  <r>
    <x v="3"/>
    <s v="개별화물"/>
    <x v="0"/>
    <x v="0"/>
    <s v="DHT 160AS"/>
    <x v="2"/>
    <n v="164000000"/>
  </r>
  <r>
    <x v="3"/>
    <s v="(주)동훈전설"/>
    <x v="0"/>
    <x v="0"/>
    <s v="DHT 150AS"/>
    <x v="2"/>
    <n v="162636364"/>
  </r>
  <r>
    <x v="3"/>
    <s v="(주)라이트제림"/>
    <x v="0"/>
    <x v="0"/>
    <s v="DHT 160AS"/>
    <x v="2"/>
    <n v="161636364"/>
  </r>
  <r>
    <x v="3"/>
    <s v="(주)대림운수"/>
    <x v="0"/>
    <x v="0"/>
    <s v="DHT 160AS"/>
    <x v="2"/>
    <n v="161636364"/>
  </r>
  <r>
    <x v="3"/>
    <s v="대명중기"/>
    <x v="0"/>
    <x v="0"/>
    <s v="DHT 150AS"/>
    <x v="2"/>
    <n v="161000000"/>
  </r>
  <r>
    <x v="3"/>
    <s v="성보건설(주)"/>
    <x v="0"/>
    <x v="0"/>
    <s v="DHT 150AS"/>
    <x v="2"/>
    <n v="161000000"/>
  </r>
  <r>
    <x v="3"/>
    <s v="지문활선"/>
    <x v="0"/>
    <x v="0"/>
    <s v="DHT 150AS"/>
    <x v="2"/>
    <n v="161000000"/>
  </r>
  <r>
    <x v="3"/>
    <s v="예종활선"/>
    <x v="0"/>
    <x v="0"/>
    <s v="DHT 150AS"/>
    <x v="2"/>
    <n v="161000000"/>
  </r>
  <r>
    <x v="3"/>
    <s v="주식회사 도암엔지니어링"/>
    <x v="0"/>
    <x v="0"/>
    <s v="DHT 150AS"/>
    <x v="2"/>
    <n v="161000000"/>
  </r>
  <r>
    <x v="3"/>
    <s v="(주)대영전기"/>
    <x v="0"/>
    <x v="0"/>
    <s v="DHT 150AS"/>
    <x v="2"/>
    <n v="160400000"/>
  </r>
  <r>
    <x v="3"/>
    <s v="신라활선"/>
    <x v="0"/>
    <x v="0"/>
    <s v="DHT 150AS"/>
    <x v="2"/>
    <n v="160000000"/>
  </r>
  <r>
    <x v="3"/>
    <s v="김응관"/>
    <x v="0"/>
    <x v="0"/>
    <s v="DHT 150AS"/>
    <x v="2"/>
    <n v="160000000"/>
  </r>
  <r>
    <x v="3"/>
    <s v="주식회사 진양운수"/>
    <x v="0"/>
    <x v="0"/>
    <s v="DHT 150AS"/>
    <x v="2"/>
    <n v="160000000"/>
  </r>
  <r>
    <x v="3"/>
    <s v="이유미"/>
    <x v="0"/>
    <x v="0"/>
    <s v="DHT 150AS"/>
    <x v="2"/>
    <n v="160000000"/>
  </r>
  <r>
    <x v="3"/>
    <s v="박열"/>
    <x v="0"/>
    <x v="0"/>
    <s v="DHT 150AS"/>
    <x v="2"/>
    <n v="160000000"/>
  </r>
  <r>
    <x v="3"/>
    <s v="동부기업"/>
    <x v="0"/>
    <x v="0"/>
    <s v="DHT 150AS"/>
    <x v="2"/>
    <n v="160000000"/>
  </r>
  <r>
    <x v="3"/>
    <s v="(주)삼화전력"/>
    <x v="0"/>
    <x v="0"/>
    <s v="DHT 150AS"/>
    <x v="2"/>
    <n v="158036363"/>
  </r>
  <r>
    <x v="3"/>
    <s v="(주)명광전력"/>
    <x v="0"/>
    <x v="0"/>
    <s v="DHT 145AS"/>
    <x v="2"/>
    <n v="155000000"/>
  </r>
  <r>
    <x v="3"/>
    <s v="(주)삼진종합전기"/>
    <x v="0"/>
    <x v="0"/>
    <s v="DHT 160S"/>
    <x v="2"/>
    <n v="153000000"/>
  </r>
  <r>
    <x v="3"/>
    <s v="광성전기"/>
    <x v="0"/>
    <x v="0"/>
    <s v="DHT 145AS"/>
    <x v="2"/>
    <n v="150000000"/>
  </r>
  <r>
    <x v="3"/>
    <s v="유진활선"/>
    <x v="0"/>
    <x v="0"/>
    <s v="DHT 160S"/>
    <x v="2"/>
    <n v="150000000"/>
  </r>
  <r>
    <x v="3"/>
    <s v="오정우"/>
    <x v="0"/>
    <x v="0"/>
    <s v="DHT 160S"/>
    <x v="2"/>
    <n v="150000000"/>
  </r>
  <r>
    <x v="3"/>
    <s v="주식회사 금호"/>
    <x v="0"/>
    <x v="0"/>
    <s v="DHT 160S"/>
    <x v="2"/>
    <n v="150000000"/>
  </r>
  <r>
    <x v="3"/>
    <s v="대경일레콤(주)"/>
    <x v="0"/>
    <x v="0"/>
    <s v="DHT 160S"/>
    <x v="2"/>
    <n v="150000000"/>
  </r>
  <r>
    <x v="3"/>
    <s v="(주)대진전력"/>
    <x v="0"/>
    <x v="0"/>
    <s v="DHT 160S"/>
    <x v="2"/>
    <n v="150000000"/>
  </r>
  <r>
    <x v="3"/>
    <s v="티앤제이건설 주식회사"/>
    <x v="0"/>
    <x v="0"/>
    <s v="DHT 160S"/>
    <x v="2"/>
    <n v="149500000"/>
  </r>
  <r>
    <x v="3"/>
    <s v="티앤제이건설 주식회사"/>
    <x v="0"/>
    <x v="0"/>
    <s v="DHT 160S"/>
    <x v="2"/>
    <n v="149500000"/>
  </r>
  <r>
    <x v="3"/>
    <s v="제일활선"/>
    <x v="0"/>
    <x v="0"/>
    <s v="DHT 160S"/>
    <x v="2"/>
    <n v="149000000"/>
  </r>
  <r>
    <x v="3"/>
    <s v="천창봉"/>
    <x v="0"/>
    <x v="0"/>
    <s v="DHT 160S"/>
    <x v="2"/>
    <n v="148000000"/>
  </r>
  <r>
    <x v="3"/>
    <s v="인광전력 주식회사"/>
    <x v="0"/>
    <x v="0"/>
    <s v="DHT 145AS"/>
    <x v="2"/>
    <n v="147000000"/>
  </r>
  <r>
    <x v="3"/>
    <s v="인광전력 주식회사"/>
    <x v="0"/>
    <x v="0"/>
    <s v="DHT 145AS"/>
    <x v="2"/>
    <n v="147000000"/>
  </r>
  <r>
    <x v="3"/>
    <s v="한양전기 주식회사"/>
    <x v="0"/>
    <x v="0"/>
    <s v="DHT 160S"/>
    <x v="2"/>
    <n v="147000000"/>
  </r>
  <r>
    <x v="3"/>
    <s v="군위활선"/>
    <x v="0"/>
    <x v="0"/>
    <s v="DHT 160S"/>
    <x v="2"/>
    <n v="146500000"/>
  </r>
  <r>
    <x v="3"/>
    <s v="주식회사 제이에스전력"/>
    <x v="0"/>
    <x v="0"/>
    <s v="DHT 150S"/>
    <x v="2"/>
    <n v="145500000"/>
  </r>
  <r>
    <x v="3"/>
    <s v="삼산전기(주)"/>
    <x v="0"/>
    <x v="0"/>
    <s v="DHT 150S"/>
    <x v="2"/>
    <n v="145000000"/>
  </r>
  <r>
    <x v="3"/>
    <s v="(주)동훈전설"/>
    <x v="0"/>
    <x v="0"/>
    <s v="DHT 160S"/>
    <x v="2"/>
    <n v="144000000"/>
  </r>
  <r>
    <x v="3"/>
    <s v="남부전력(주)"/>
    <x v="0"/>
    <x v="0"/>
    <s v="DHT 150S"/>
    <x v="2"/>
    <n v="143000000"/>
  </r>
  <r>
    <x v="3"/>
    <s v="(주)평창전기"/>
    <x v="0"/>
    <x v="0"/>
    <s v="DHT 150S"/>
    <x v="2"/>
    <n v="142400000"/>
  </r>
  <r>
    <x v="3"/>
    <s v="(주)상보전력"/>
    <x v="0"/>
    <x v="0"/>
    <s v="DHT 150S"/>
    <x v="2"/>
    <n v="141500000"/>
  </r>
  <r>
    <x v="3"/>
    <s v="주식회사 동명이엔씨"/>
    <x v="0"/>
    <x v="0"/>
    <s v="DHT 150S"/>
    <x v="2"/>
    <n v="141500000"/>
  </r>
  <r>
    <x v="1"/>
    <s v="태진전공(주)"/>
    <x v="0"/>
    <x v="0"/>
    <s v="DHS 150S"/>
    <x v="0"/>
    <n v="141500000"/>
  </r>
  <r>
    <x v="3"/>
    <s v="다연이엔지"/>
    <x v="0"/>
    <x v="0"/>
    <s v="DHT 150S"/>
    <x v="2"/>
    <n v="141454545"/>
  </r>
  <r>
    <x v="3"/>
    <s v="진성이엔지"/>
    <x v="0"/>
    <x v="0"/>
    <s v="DHT 150S"/>
    <x v="2"/>
    <n v="141454545"/>
  </r>
  <r>
    <x v="3"/>
    <s v="송림활선"/>
    <x v="0"/>
    <x v="0"/>
    <s v="DHT 150S"/>
    <x v="2"/>
    <n v="141000000"/>
  </r>
  <r>
    <x v="3"/>
    <s v="해창ENG"/>
    <x v="0"/>
    <x v="0"/>
    <s v="DHT 150S"/>
    <x v="2"/>
    <n v="141000000"/>
  </r>
  <r>
    <x v="3"/>
    <s v="호성건설(주)"/>
    <x v="0"/>
    <x v="0"/>
    <s v="DHT 150S"/>
    <x v="2"/>
    <n v="141000000"/>
  </r>
  <r>
    <x v="3"/>
    <s v="운화이엔지"/>
    <x v="0"/>
    <x v="0"/>
    <s v="DHT 150S"/>
    <x v="2"/>
    <n v="140227273"/>
  </r>
  <r>
    <x v="3"/>
    <s v="(주)명성전력"/>
    <x v="0"/>
    <x v="0"/>
    <s v="DHT 160S"/>
    <x v="2"/>
    <n v="140000000"/>
  </r>
  <r>
    <x v="3"/>
    <s v="개별화물(윤영희)"/>
    <x v="0"/>
    <x v="0"/>
    <s v="DHT 160S"/>
    <x v="2"/>
    <n v="140000000"/>
  </r>
  <r>
    <x v="3"/>
    <s v="백두전기(주)"/>
    <x v="0"/>
    <x v="0"/>
    <s v="DHT 150S"/>
    <x v="2"/>
    <n v="140000000"/>
  </r>
  <r>
    <x v="3"/>
    <s v="동해특장"/>
    <x v="0"/>
    <x v="0"/>
    <s v="DHT 150S"/>
    <x v="2"/>
    <n v="140000000"/>
  </r>
  <r>
    <x v="3"/>
    <s v="동성운수"/>
    <x v="0"/>
    <x v="0"/>
    <s v="DHT 150S"/>
    <x v="2"/>
    <n v="139636364"/>
  </r>
  <r>
    <x v="3"/>
    <s v="기수이엔지"/>
    <x v="0"/>
    <x v="0"/>
    <s v="DHT 150S"/>
    <x v="2"/>
    <n v="139300000"/>
  </r>
  <r>
    <x v="3"/>
    <s v="주식회사 광덕기업"/>
    <x v="0"/>
    <x v="0"/>
    <s v="DHT 150S"/>
    <x v="2"/>
    <n v="139000000"/>
  </r>
  <r>
    <x v="3"/>
    <s v="동현테크 주식회사"/>
    <x v="0"/>
    <x v="0"/>
    <s v="DHT 150S"/>
    <x v="2"/>
    <n v="138950000"/>
  </r>
  <r>
    <x v="3"/>
    <s v="주식회사 가나전력"/>
    <x v="0"/>
    <x v="0"/>
    <s v="DHT 150S"/>
    <x v="2"/>
    <n v="138636364"/>
  </r>
  <r>
    <x v="3"/>
    <s v="나현전기"/>
    <x v="0"/>
    <x v="0"/>
    <s v="DHT 150S"/>
    <x v="2"/>
    <n v="138400000"/>
  </r>
  <r>
    <x v="3"/>
    <s v="창대활선"/>
    <x v="0"/>
    <x v="0"/>
    <s v="DHT 150S"/>
    <x v="2"/>
    <n v="138000000"/>
  </r>
  <r>
    <x v="3"/>
    <s v="동방신에너지 주식회사"/>
    <x v="0"/>
    <x v="0"/>
    <s v="DHT 150S"/>
    <x v="2"/>
    <n v="137727273"/>
  </r>
  <r>
    <x v="3"/>
    <s v="부산광역시 금정구"/>
    <x v="0"/>
    <x v="0"/>
    <s v="DHT 150S"/>
    <x v="2"/>
    <n v="135135365"/>
  </r>
  <r>
    <x v="3"/>
    <s v="주식회사 천일로직스"/>
    <x v="0"/>
    <x v="0"/>
    <s v="DHT 150S"/>
    <x v="2"/>
    <n v="133000000"/>
  </r>
  <r>
    <x v="3"/>
    <s v="호원건설(주)"/>
    <x v="0"/>
    <x v="0"/>
    <s v="DHT 150S"/>
    <x v="2"/>
    <n v="132000000"/>
  </r>
  <r>
    <x v="3"/>
    <s v="(주)이원"/>
    <x v="0"/>
    <x v="0"/>
    <s v="DHT145AS"/>
    <x v="2"/>
    <n v="129218182"/>
  </r>
  <r>
    <x v="3"/>
    <s v="제주특별자치도 서귀포시"/>
    <x v="0"/>
    <x v="0"/>
    <s v="DHT 150S"/>
    <x v="2"/>
    <n v="129090910"/>
  </r>
  <r>
    <x v="3"/>
    <s v="해군군수사령부"/>
    <x v="0"/>
    <x v="0"/>
    <s v="DHT 150S"/>
    <x v="2"/>
    <n v="129090910"/>
  </r>
  <r>
    <x v="3"/>
    <s v="(주)동방이엔씨"/>
    <x v="0"/>
    <x v="0"/>
    <s v="DHT 150S"/>
    <x v="2"/>
    <n v="129000000"/>
  </r>
  <r>
    <x v="3"/>
    <s v="(주)호남전력"/>
    <x v="0"/>
    <x v="0"/>
    <s v="DHT 150S"/>
    <x v="2"/>
    <n v="128000000"/>
  </r>
  <r>
    <x v="3"/>
    <s v="백호이엔지"/>
    <x v="0"/>
    <x v="0"/>
    <s v="DHT 150S"/>
    <x v="2"/>
    <n v="128000000"/>
  </r>
  <r>
    <x v="3"/>
    <s v="천호전력 주식회사"/>
    <x v="0"/>
    <x v="0"/>
    <s v="DHT 150S"/>
    <x v="2"/>
    <n v="128000000"/>
  </r>
  <r>
    <x v="3"/>
    <s v="(주)서림"/>
    <x v="0"/>
    <x v="0"/>
    <s v="DHT 150S"/>
    <x v="2"/>
    <n v="128000000"/>
  </r>
  <r>
    <x v="3"/>
    <s v="MIESCOR CO."/>
    <x v="0"/>
    <x v="0"/>
    <s v="DHS 280AP($117,500*@1,085.52)(2250R)"/>
    <x v="0"/>
    <n v="127548600"/>
  </r>
  <r>
    <x v="3"/>
    <s v="한국메가와트 주식회사"/>
    <x v="0"/>
    <x v="0"/>
    <s v="DHT 150S"/>
    <x v="2"/>
    <n v="126000000"/>
  </r>
  <r>
    <x v="3"/>
    <s v="한국메가와트 주식회사"/>
    <x v="0"/>
    <x v="0"/>
    <s v="DHT 150S"/>
    <x v="2"/>
    <n v="126000000"/>
  </r>
  <r>
    <x v="3"/>
    <s v="금호산업(주)"/>
    <x v="0"/>
    <x v="0"/>
    <m/>
    <x v="2"/>
    <n v="121762000"/>
  </r>
  <r>
    <x v="3"/>
    <s v="WAIMEA TRUCK ＆ CRANE LTD"/>
    <x v="1"/>
    <x v="3"/>
    <s v="DHT 145AS"/>
    <x v="2"/>
    <n v="108779397"/>
  </r>
  <r>
    <x v="3"/>
    <s v="WAIMEA TRUCK ＆ CRANE LTD"/>
    <x v="1"/>
    <x v="3"/>
    <s v="DHT 145AS"/>
    <x v="2"/>
    <n v="108779397"/>
  </r>
  <r>
    <x v="3"/>
    <s v="WAIMEA TRUCK ＆ CRANE LTD"/>
    <x v="1"/>
    <x v="3"/>
    <s v="DHT 145AS"/>
    <x v="2"/>
    <n v="104575426"/>
  </r>
  <r>
    <x v="3"/>
    <s v="WAIMEA TRUCK ＆ CRANE LTD"/>
    <x v="1"/>
    <x v="3"/>
    <s v="DHT 145AS"/>
    <x v="2"/>
    <n v="104575426"/>
  </r>
  <r>
    <x v="4"/>
    <s v="부산연제구청"/>
    <x v="0"/>
    <x v="0"/>
    <s v="ALPHA 12000"/>
    <x v="3"/>
    <n v="99854546"/>
  </r>
  <r>
    <x v="3"/>
    <s v="(주)한진디엔비"/>
    <x v="0"/>
    <x v="0"/>
    <s v="P4000 주탑 실린더 외 14건"/>
    <x v="1"/>
    <n v="98946000"/>
  </r>
  <r>
    <x v="5"/>
    <s v="주식회사 대우인터내셔널"/>
    <x v="0"/>
    <x v="0"/>
    <s v="DHS 21AP"/>
    <x v="0"/>
    <n v="97722000"/>
  </r>
  <r>
    <x v="5"/>
    <s v="주식회사 대우인터내셔널"/>
    <x v="0"/>
    <x v="0"/>
    <s v="DHS 21AP"/>
    <x v="0"/>
    <n v="97722000"/>
  </r>
  <r>
    <x v="5"/>
    <s v="주식회사 대우인터내셔널"/>
    <x v="0"/>
    <x v="0"/>
    <s v="DHS 21AP"/>
    <x v="0"/>
    <n v="97588500"/>
  </r>
  <r>
    <x v="4"/>
    <s v="대구광역시 시설관리공단"/>
    <x v="0"/>
    <x v="0"/>
    <s v="DHS 1800"/>
    <x v="0"/>
    <n v="97427273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3"/>
    <s v="한국전력공사"/>
    <x v="0"/>
    <x v="0"/>
    <s v="DHT 105S"/>
    <x v="2"/>
    <n v="94810000"/>
  </r>
  <r>
    <x v="4"/>
    <s v="광주제2순환도로(주)"/>
    <x v="0"/>
    <x v="0"/>
    <s v="DHS 1800"/>
    <x v="0"/>
    <n v="93000000"/>
  </r>
  <r>
    <x v="4"/>
    <s v="부산광역시 금정구"/>
    <x v="0"/>
    <x v="0"/>
    <s v="다음달 추가금액 잡아야 함"/>
    <x v="0"/>
    <n v="90363637"/>
  </r>
  <r>
    <x v="5"/>
    <s v="성광건설산업(주)"/>
    <x v="0"/>
    <x v="0"/>
    <s v="BAK-12 설치공사"/>
    <x v="1"/>
    <n v="83700000"/>
  </r>
  <r>
    <x v="3"/>
    <s v="남원시청"/>
    <x v="0"/>
    <x v="0"/>
    <s v="DHS 15AP"/>
    <x v="0"/>
    <n v="82390909"/>
  </r>
  <r>
    <x v="4"/>
    <s v="장성군청"/>
    <x v="0"/>
    <x v="0"/>
    <s v="ALPHA 5000"/>
    <x v="3"/>
    <n v="80268182"/>
  </r>
  <r>
    <x v="0"/>
    <s v="부산진구청"/>
    <x v="0"/>
    <x v="0"/>
    <s v="DHS 1200L"/>
    <x v="0"/>
    <n v="75090910"/>
  </r>
  <r>
    <x v="4"/>
    <s v="거제시청"/>
    <x v="0"/>
    <x v="0"/>
    <s v="ALPHA 5000"/>
    <x v="3"/>
    <n v="73618182"/>
  </r>
  <r>
    <x v="4"/>
    <s v="청도군청"/>
    <x v="0"/>
    <x v="0"/>
    <s v="ALPHA 5000"/>
    <x v="3"/>
    <n v="73418182"/>
  </r>
  <r>
    <x v="5"/>
    <s v="성광건설산업(주)"/>
    <x v="0"/>
    <x v="0"/>
    <s v="BAK-12 설치공사"/>
    <x v="1"/>
    <n v="70350000"/>
  </r>
  <r>
    <x v="3"/>
    <s v="HYUNDAI"/>
    <x v="0"/>
    <x v="0"/>
    <s v="DHS 15AP"/>
    <x v="0"/>
    <n v="66326614"/>
  </r>
  <r>
    <x v="3"/>
    <s v="HYUNDAI"/>
    <x v="0"/>
    <x v="0"/>
    <s v="DHS 15AP"/>
    <x v="0"/>
    <n v="66326614"/>
  </r>
  <r>
    <x v="4"/>
    <s v="주식회사 동원유지"/>
    <x v="0"/>
    <x v="0"/>
    <s v="ALPHA 5000"/>
    <x v="3"/>
    <n v="66278000"/>
  </r>
  <r>
    <x v="1"/>
    <s v="삼삼종합기획"/>
    <x v="0"/>
    <x v="0"/>
    <s v="DHS 190SKY"/>
    <x v="0"/>
    <n v="65000000"/>
  </r>
  <r>
    <x v="1"/>
    <s v="좋은광고협동조합"/>
    <x v="0"/>
    <x v="0"/>
    <s v="DHS 190SKY"/>
    <x v="0"/>
    <n v="65000000"/>
  </r>
  <r>
    <x v="1"/>
    <s v="(사)영동군장애인협의회 영동군장애인보호작업장"/>
    <x v="0"/>
    <x v="0"/>
    <s v="DHS 190SKY"/>
    <x v="0"/>
    <n v="62454546"/>
  </r>
  <r>
    <x v="1"/>
    <s v="제일광고기획"/>
    <x v="0"/>
    <x v="0"/>
    <s v="DHS 190SKY"/>
    <x v="0"/>
    <n v="62000000"/>
  </r>
  <r>
    <x v="1"/>
    <s v="디앤수"/>
    <x v="0"/>
    <x v="0"/>
    <s v="DHS 190SKY"/>
    <x v="0"/>
    <n v="61445456"/>
  </r>
  <r>
    <x v="1"/>
    <s v="신도종합기획"/>
    <x v="0"/>
    <x v="0"/>
    <s v="DHS 190SKY"/>
    <x v="0"/>
    <n v="61363636"/>
  </r>
  <r>
    <x v="1"/>
    <s v="에스케이(SK)사인플랜"/>
    <x v="0"/>
    <x v="0"/>
    <s v="DHS 190SKY"/>
    <x v="0"/>
    <n v="61000000"/>
  </r>
  <r>
    <x v="1"/>
    <s v="태흥공사"/>
    <x v="0"/>
    <x v="0"/>
    <s v="DHS 190SKY"/>
    <x v="0"/>
    <n v="60909091"/>
  </r>
  <r>
    <x v="1"/>
    <s v="한국전기"/>
    <x v="0"/>
    <x v="0"/>
    <s v="DHS 190SKY"/>
    <x v="0"/>
    <n v="60700000"/>
  </r>
  <r>
    <x v="1"/>
    <s v="세븐스카이"/>
    <x v="0"/>
    <x v="0"/>
    <s v="DHS 190SKY"/>
    <x v="0"/>
    <n v="60500000"/>
  </r>
  <r>
    <x v="1"/>
    <s v="경주천년콜크레인"/>
    <x v="0"/>
    <x v="0"/>
    <s v="DHS 190SKY"/>
    <x v="0"/>
    <n v="60500000"/>
  </r>
  <r>
    <x v="1"/>
    <s v="키움스카이"/>
    <x v="0"/>
    <x v="0"/>
    <s v="DHS 190SKY"/>
    <x v="0"/>
    <n v="60454545"/>
  </r>
  <r>
    <x v="1"/>
    <s v="동영건설"/>
    <x v="0"/>
    <x v="0"/>
    <s v="DHS 190SKY"/>
    <x v="0"/>
    <n v="60200000"/>
  </r>
  <r>
    <x v="5"/>
    <s v="성광건설산업(주)"/>
    <x v="0"/>
    <x v="0"/>
    <s v="BAK-12 설치공사"/>
    <x v="1"/>
    <n v="60002600"/>
  </r>
  <r>
    <x v="3"/>
    <s v="양평군청"/>
    <x v="0"/>
    <x v="0"/>
    <s v="DHS 15AP"/>
    <x v="0"/>
    <n v="59933637"/>
  </r>
  <r>
    <x v="1"/>
    <s v="(주)미래환경"/>
    <x v="0"/>
    <x v="0"/>
    <s v="DHS 190SKY"/>
    <x v="0"/>
    <n v="59000000"/>
  </r>
  <r>
    <x v="0"/>
    <s v="VIET TRUNG JOINT STOCK EQUIPMENT COMPANY"/>
    <x v="1"/>
    <x v="2"/>
    <s v="DHS 950L"/>
    <x v="0"/>
    <n v="57725000"/>
  </r>
  <r>
    <x v="3"/>
    <s v="태권도진흥재단"/>
    <x v="0"/>
    <x v="0"/>
    <s v="DHS 15AP"/>
    <x v="0"/>
    <n v="56218182"/>
  </r>
  <r>
    <x v="3"/>
    <s v="진안군청"/>
    <x v="0"/>
    <x v="0"/>
    <s v="DHS 15AP"/>
    <x v="0"/>
    <n v="56190909"/>
  </r>
  <r>
    <x v="3"/>
    <s v="오성전력"/>
    <x v="0"/>
    <x v="0"/>
    <s v="DHS 17AP"/>
    <x v="0"/>
    <n v="56000000"/>
  </r>
  <r>
    <x v="3"/>
    <s v="대명종합전기"/>
    <x v="0"/>
    <x v="0"/>
    <s v="DHS 17AP"/>
    <x v="0"/>
    <n v="55750000"/>
  </r>
  <r>
    <x v="3"/>
    <s v="성일전기(주)"/>
    <x v="0"/>
    <x v="0"/>
    <s v="DHS 17AP"/>
    <x v="0"/>
    <n v="55181818"/>
  </r>
  <r>
    <x v="3"/>
    <s v="SHIJIAZHUANG COAL MINING MACHINEY CO., LTD"/>
    <x v="1"/>
    <x v="4"/>
    <s v="DHS 250AP"/>
    <x v="0"/>
    <n v="54679264"/>
  </r>
  <r>
    <x v="3"/>
    <s v="SHIJIAZHUANG COAL MINING MACHINEY CO., LTD"/>
    <x v="1"/>
    <x v="4"/>
    <s v="DHS 250AP"/>
    <x v="0"/>
    <n v="54679264"/>
  </r>
  <r>
    <x v="3"/>
    <s v="임정근"/>
    <x v="0"/>
    <x v="0"/>
    <s v="DHS 17AP"/>
    <x v="0"/>
    <n v="54545455"/>
  </r>
  <r>
    <x v="3"/>
    <s v="주식회사 성진전기"/>
    <x v="0"/>
    <x v="0"/>
    <s v="DHS 17AP"/>
    <x v="0"/>
    <n v="54500000"/>
  </r>
  <r>
    <x v="3"/>
    <s v="주식회사 대원산기"/>
    <x v="0"/>
    <x v="0"/>
    <s v="DHS 17AP"/>
    <x v="0"/>
    <n v="54100000"/>
  </r>
  <r>
    <x v="3"/>
    <s v="(주)한일전기"/>
    <x v="0"/>
    <x v="0"/>
    <s v="DHS 17AP"/>
    <x v="0"/>
    <n v="54000000"/>
  </r>
  <r>
    <x v="3"/>
    <s v="글사랑광고"/>
    <x v="0"/>
    <x v="0"/>
    <s v="DHS 17AP"/>
    <x v="0"/>
    <n v="53800000"/>
  </r>
  <r>
    <x v="3"/>
    <s v="주식회사 지엔티"/>
    <x v="0"/>
    <x v="0"/>
    <s v="DHS 17AP"/>
    <x v="0"/>
    <n v="53636363"/>
  </r>
  <r>
    <x v="3"/>
    <s v="(주)한독전력"/>
    <x v="0"/>
    <x v="0"/>
    <s v="DHS 17AP"/>
    <x v="0"/>
    <n v="53600000"/>
  </r>
  <r>
    <x v="3"/>
    <s v="진광전력(주)"/>
    <x v="0"/>
    <x v="0"/>
    <s v="DHS 17AP"/>
    <x v="0"/>
    <n v="53500000"/>
  </r>
  <r>
    <x v="3"/>
    <s v="한영전기주식회사"/>
    <x v="0"/>
    <x v="0"/>
    <s v="DHS 17AP"/>
    <x v="0"/>
    <n v="53500000"/>
  </r>
  <r>
    <x v="3"/>
    <s v="주식회사 백두전력"/>
    <x v="0"/>
    <x v="0"/>
    <s v="DHS 17AP"/>
    <x v="0"/>
    <n v="53500000"/>
  </r>
  <r>
    <x v="3"/>
    <s v="주식회사 태광전력"/>
    <x v="0"/>
    <x v="0"/>
    <s v="DHS 17AP"/>
    <x v="0"/>
    <n v="53500000"/>
  </r>
  <r>
    <x v="3"/>
    <s v="주식회사 아인텍"/>
    <x v="0"/>
    <x v="0"/>
    <s v="DHS17AP"/>
    <x v="0"/>
    <n v="53450000"/>
  </r>
  <r>
    <x v="3"/>
    <s v="광진광고"/>
    <x v="0"/>
    <x v="0"/>
    <s v="DHS 17AP"/>
    <x v="0"/>
    <n v="53181818"/>
  </r>
  <r>
    <x v="3"/>
    <s v="진보"/>
    <x v="0"/>
    <x v="0"/>
    <s v="DHS 17AP"/>
    <x v="0"/>
    <n v="53000000"/>
  </r>
  <r>
    <x v="3"/>
    <s v="(주)은성전기"/>
    <x v="0"/>
    <x v="0"/>
    <s v="DHS 17AP"/>
    <x v="0"/>
    <n v="52900000"/>
  </r>
  <r>
    <x v="3"/>
    <s v="인제군청"/>
    <x v="0"/>
    <x v="0"/>
    <s v="DHS 15AP"/>
    <x v="0"/>
    <n v="52852728"/>
  </r>
  <r>
    <x v="3"/>
    <s v="상원전기"/>
    <x v="0"/>
    <x v="0"/>
    <s v="DHS 17AP"/>
    <x v="0"/>
    <n v="52450000"/>
  </r>
  <r>
    <x v="3"/>
    <s v="한손전력"/>
    <x v="0"/>
    <x v="0"/>
    <s v="DHS 17AP"/>
    <x v="0"/>
    <n v="52400000"/>
  </r>
  <r>
    <x v="3"/>
    <s v="더좋은생활 주식회사"/>
    <x v="0"/>
    <x v="0"/>
    <s v="DHS 17AP"/>
    <x v="0"/>
    <n v="52200000"/>
  </r>
  <r>
    <x v="3"/>
    <s v="주식회사 윤성전력"/>
    <x v="0"/>
    <x v="0"/>
    <s v="DHS 15AP"/>
    <x v="0"/>
    <n v="51818182"/>
  </r>
  <r>
    <x v="4"/>
    <s v="부산북구청"/>
    <x v="0"/>
    <x v="0"/>
    <s v="ALPHA 12000"/>
    <x v="3"/>
    <n v="51809091"/>
  </r>
  <r>
    <x v="3"/>
    <s v="주식회사 경동전력"/>
    <x v="0"/>
    <x v="0"/>
    <s v="DHS 15AP"/>
    <x v="0"/>
    <n v="51500000"/>
  </r>
  <r>
    <x v="3"/>
    <s v="두진통신산업주식회사"/>
    <x v="0"/>
    <x v="0"/>
    <s v="DHS 15AP"/>
    <x v="0"/>
    <n v="51500000"/>
  </r>
  <r>
    <x v="3"/>
    <s v="(주)두원전기"/>
    <x v="0"/>
    <x v="0"/>
    <s v="DHS 15AP"/>
    <x v="0"/>
    <n v="51500000"/>
  </r>
  <r>
    <x v="3"/>
    <s v="이춘성"/>
    <x v="0"/>
    <x v="0"/>
    <s v="DHS 15AP"/>
    <x v="0"/>
    <n v="51500000"/>
  </r>
  <r>
    <x v="3"/>
    <s v="주식회사 삼성하이텍"/>
    <x v="0"/>
    <x v="0"/>
    <s v="DHS 15AP"/>
    <x v="0"/>
    <n v="51500000"/>
  </r>
  <r>
    <x v="3"/>
    <s v="대기전기건설공사"/>
    <x v="0"/>
    <x v="0"/>
    <s v="DHS 15AP"/>
    <x v="0"/>
    <n v="51300000"/>
  </r>
  <r>
    <x v="3"/>
    <s v="주식회사 이원"/>
    <x v="0"/>
    <x v="0"/>
    <s v="DHS 15AP"/>
    <x v="0"/>
    <n v="51150000"/>
  </r>
  <r>
    <x v="3"/>
    <s v="(주)성보전력"/>
    <x v="0"/>
    <x v="0"/>
    <s v="DHS 15AP"/>
    <x v="0"/>
    <n v="51000000"/>
  </r>
  <r>
    <x v="3"/>
    <s v="미래전기통신 주식회사"/>
    <x v="0"/>
    <x v="0"/>
    <s v="DHS 15AP"/>
    <x v="0"/>
    <n v="51000000"/>
  </r>
  <r>
    <x v="3"/>
    <s v="(주)동신"/>
    <x v="0"/>
    <x v="0"/>
    <s v="DHS 15AP"/>
    <x v="0"/>
    <n v="51000000"/>
  </r>
  <r>
    <x v="3"/>
    <s v="주식회사 희성"/>
    <x v="0"/>
    <x v="0"/>
    <s v="DHS 15AP"/>
    <x v="0"/>
    <n v="50909091"/>
  </r>
  <r>
    <x v="3"/>
    <s v="재성전설(주)"/>
    <x v="0"/>
    <x v="0"/>
    <s v="DHS 15AP"/>
    <x v="0"/>
    <n v="50909091"/>
  </r>
  <r>
    <x v="3"/>
    <s v="주식회사 명성"/>
    <x v="0"/>
    <x v="0"/>
    <s v="DHS 15AP"/>
    <x v="0"/>
    <n v="50909091"/>
  </r>
  <r>
    <x v="3"/>
    <s v="미산이엔지"/>
    <x v="0"/>
    <x v="0"/>
    <s v="DHS 15AP"/>
    <x v="0"/>
    <n v="50909091"/>
  </r>
  <r>
    <x v="3"/>
    <s v="혁정전력주식회사"/>
    <x v="0"/>
    <x v="0"/>
    <s v="DHS 15AP"/>
    <x v="0"/>
    <n v="50909091"/>
  </r>
  <r>
    <x v="3"/>
    <s v="주식회사 태현전력"/>
    <x v="0"/>
    <x v="0"/>
    <s v="DHS 15AP"/>
    <x v="0"/>
    <n v="50909091"/>
  </r>
  <r>
    <x v="3"/>
    <s v="주식회사 조은전력"/>
    <x v="0"/>
    <x v="0"/>
    <s v="DHS 15AP"/>
    <x v="0"/>
    <n v="50909091"/>
  </r>
  <r>
    <x v="3"/>
    <s v="명원통신"/>
    <x v="0"/>
    <x v="0"/>
    <s v="DHS 15AP"/>
    <x v="0"/>
    <n v="50909091"/>
  </r>
  <r>
    <x v="3"/>
    <s v="(주)센텍"/>
    <x v="0"/>
    <x v="0"/>
    <s v="DHS 15AP"/>
    <x v="0"/>
    <n v="50909091"/>
  </r>
  <r>
    <x v="3"/>
    <s v="대광전기(주)"/>
    <x v="0"/>
    <x v="0"/>
    <s v="DHS 15AP"/>
    <x v="0"/>
    <n v="50909091"/>
  </r>
  <r>
    <x v="3"/>
    <s v="(주)일흥전력"/>
    <x v="0"/>
    <x v="0"/>
    <s v="DHS 15AP"/>
    <x v="0"/>
    <n v="50909091"/>
  </r>
  <r>
    <x v="3"/>
    <s v="진성"/>
    <x v="0"/>
    <x v="0"/>
    <s v="DHS 15AP"/>
    <x v="0"/>
    <n v="50909091"/>
  </r>
  <r>
    <x v="3"/>
    <s v="세종전력(주)"/>
    <x v="0"/>
    <x v="0"/>
    <s v="DHS 15AP"/>
    <x v="0"/>
    <n v="50909090"/>
  </r>
  <r>
    <x v="3"/>
    <s v="금강전기(주)"/>
    <x v="0"/>
    <x v="0"/>
    <s v="DHS 15AP"/>
    <x v="0"/>
    <n v="50909090"/>
  </r>
  <r>
    <x v="3"/>
    <s v="태일이엔아이(주)"/>
    <x v="0"/>
    <x v="0"/>
    <s v="DHS 15AP"/>
    <x v="0"/>
    <n v="50750000"/>
  </r>
  <r>
    <x v="3"/>
    <s v="울산광역시시설관리공단"/>
    <x v="0"/>
    <x v="0"/>
    <s v="DHS 15AP"/>
    <x v="0"/>
    <n v="50736364"/>
  </r>
  <r>
    <x v="3"/>
    <s v="금남전기전력공사"/>
    <x v="0"/>
    <x v="0"/>
    <s v="DHS 15AP"/>
    <x v="0"/>
    <n v="50727273"/>
  </r>
  <r>
    <x v="3"/>
    <s v="청솔전기"/>
    <x v="0"/>
    <x v="0"/>
    <s v="DHS 15AP"/>
    <x v="0"/>
    <n v="50636363"/>
  </r>
  <r>
    <x v="0"/>
    <s v="상주시청"/>
    <x v="0"/>
    <x v="0"/>
    <s v="DHS 1200L"/>
    <x v="0"/>
    <n v="50618183"/>
  </r>
  <r>
    <x v="3"/>
    <s v="(주)성빛"/>
    <x v="0"/>
    <x v="0"/>
    <s v="DHS 15AP"/>
    <x v="0"/>
    <n v="50500000"/>
  </r>
  <r>
    <x v="3"/>
    <s v="한일전기"/>
    <x v="0"/>
    <x v="0"/>
    <s v="DHS 15AP"/>
    <x v="0"/>
    <n v="50500000"/>
  </r>
  <r>
    <x v="3"/>
    <s v="(주)광명텔레콤"/>
    <x v="0"/>
    <x v="0"/>
    <s v="DHS 17AP"/>
    <x v="0"/>
    <n v="50500000"/>
  </r>
  <r>
    <x v="3"/>
    <s v="경주전력"/>
    <x v="0"/>
    <x v="0"/>
    <s v="DHS 15AP"/>
    <x v="0"/>
    <n v="50500000"/>
  </r>
  <r>
    <x v="3"/>
    <s v="대광기업(주)"/>
    <x v="0"/>
    <x v="0"/>
    <s v="DHS 15AP"/>
    <x v="0"/>
    <n v="50500000"/>
  </r>
  <r>
    <x v="3"/>
    <s v="서경이엔씨(주)"/>
    <x v="0"/>
    <x v="0"/>
    <s v="DHS 15AP"/>
    <x v="0"/>
    <n v="50500000"/>
  </r>
  <r>
    <x v="3"/>
    <s v="규민화물"/>
    <x v="0"/>
    <x v="0"/>
    <s v="DHS 15AP"/>
    <x v="0"/>
    <n v="50454546"/>
  </r>
  <r>
    <x v="3"/>
    <s v="태성이엔지"/>
    <x v="0"/>
    <x v="0"/>
    <s v="DHS 15AP"/>
    <x v="0"/>
    <n v="50454545"/>
  </r>
  <r>
    <x v="3"/>
    <s v="(주)두배라"/>
    <x v="0"/>
    <x v="0"/>
    <s v="DHS 15AP"/>
    <x v="0"/>
    <n v="50454545"/>
  </r>
  <r>
    <x v="3"/>
    <s v="하윤이앤지"/>
    <x v="0"/>
    <x v="0"/>
    <s v="DHS 15AP"/>
    <x v="0"/>
    <n v="50454545"/>
  </r>
  <r>
    <x v="3"/>
    <s v="대림전기"/>
    <x v="0"/>
    <x v="0"/>
    <s v="DHS 15AP"/>
    <x v="0"/>
    <n v="50454545"/>
  </r>
  <r>
    <x v="3"/>
    <s v="AD물류"/>
    <x v="0"/>
    <x v="0"/>
    <s v="DHS 15AP"/>
    <x v="0"/>
    <n v="50454545"/>
  </r>
  <r>
    <x v="3"/>
    <s v="(주)신성이엔지"/>
    <x v="0"/>
    <x v="0"/>
    <s v="DHS 15AP"/>
    <x v="0"/>
    <n v="50454545"/>
  </r>
  <r>
    <x v="3"/>
    <s v="삼영주식회사"/>
    <x v="0"/>
    <x v="0"/>
    <s v="DHS 15AP"/>
    <x v="0"/>
    <n v="50363636"/>
  </r>
  <r>
    <x v="3"/>
    <s v="(주)네이처테크"/>
    <x v="0"/>
    <x v="0"/>
    <s v="DHS 15AP"/>
    <x v="0"/>
    <n v="50359091"/>
  </r>
  <r>
    <x v="3"/>
    <s v="(주)월산이앤씨"/>
    <x v="0"/>
    <x v="0"/>
    <s v="DHS 15AP"/>
    <x v="0"/>
    <n v="50359091"/>
  </r>
  <r>
    <x v="3"/>
    <s v="영규전력공사"/>
    <x v="0"/>
    <x v="0"/>
    <s v="DHS 15AP"/>
    <x v="0"/>
    <n v="50136364"/>
  </r>
  <r>
    <x v="3"/>
    <s v="대흥광고공사"/>
    <x v="0"/>
    <x v="0"/>
    <s v="DHS 15AP"/>
    <x v="0"/>
    <n v="50000000"/>
  </r>
  <r>
    <x v="3"/>
    <s v="신화전기"/>
    <x v="0"/>
    <x v="0"/>
    <s v="DHS 15AP"/>
    <x v="0"/>
    <n v="50000000"/>
  </r>
  <r>
    <x v="3"/>
    <s v="대한전설(주)"/>
    <x v="0"/>
    <x v="0"/>
    <s v="DHS 15AP"/>
    <x v="0"/>
    <n v="50000000"/>
  </r>
  <r>
    <x v="3"/>
    <s v="정진건설"/>
    <x v="0"/>
    <x v="0"/>
    <s v="DHS 15AP"/>
    <x v="0"/>
    <n v="50000000"/>
  </r>
  <r>
    <x v="3"/>
    <s v="미래산업전기"/>
    <x v="0"/>
    <x v="0"/>
    <s v="DHS 15AP"/>
    <x v="0"/>
    <n v="50000000"/>
  </r>
  <r>
    <x v="3"/>
    <s v="팔구전기공사"/>
    <x v="0"/>
    <x v="0"/>
    <s v="DHS 15AP"/>
    <x v="0"/>
    <n v="50000000"/>
  </r>
  <r>
    <x v="3"/>
    <s v="(주)원성"/>
    <x v="0"/>
    <x v="0"/>
    <s v="DHS 15AP"/>
    <x v="0"/>
    <n v="49950000"/>
  </r>
  <r>
    <x v="3"/>
    <s v="조혜숙"/>
    <x v="0"/>
    <x v="0"/>
    <s v="DHS 15AP"/>
    <x v="0"/>
    <n v="49800000"/>
  </r>
  <r>
    <x v="3"/>
    <s v="대광전기"/>
    <x v="0"/>
    <x v="0"/>
    <s v="DHS 15AP"/>
    <x v="0"/>
    <n v="49750000"/>
  </r>
  <r>
    <x v="3"/>
    <s v="은소전력"/>
    <x v="0"/>
    <x v="0"/>
    <s v="DHS 15AP"/>
    <x v="0"/>
    <n v="49750000"/>
  </r>
  <r>
    <x v="5"/>
    <s v="현대캐피탈주식회사"/>
    <x v="0"/>
    <x v="0"/>
    <s v="동해이동정비차 DHS433L-K878849"/>
    <x v="2"/>
    <n v="49744000"/>
  </r>
  <r>
    <x v="5"/>
    <s v="현대캐피탈주식회사"/>
    <x v="0"/>
    <x v="0"/>
    <s v="동해이동정비차 DHS433L-K878167"/>
    <x v="2"/>
    <n v="49744000"/>
  </r>
  <r>
    <x v="5"/>
    <s v="현대캐피탈주식회사"/>
    <x v="0"/>
    <x v="0"/>
    <s v="동해이동정비차 DHS433L-K873523"/>
    <x v="2"/>
    <n v="49744000"/>
  </r>
  <r>
    <x v="5"/>
    <s v="현대캐피탈주식회사"/>
    <x v="0"/>
    <x v="0"/>
    <s v="동해이동정비차 DHS433L-K873528"/>
    <x v="2"/>
    <n v="49744000"/>
  </r>
  <r>
    <x v="5"/>
    <s v="현대캐피탈주식회사"/>
    <x v="0"/>
    <x v="0"/>
    <s v="동해이동정비차 DHS433L-K873525"/>
    <x v="2"/>
    <n v="49744000"/>
  </r>
  <r>
    <x v="5"/>
    <s v="현대캐피탈주식회사"/>
    <x v="0"/>
    <x v="0"/>
    <s v="동해이동정비차 DHS433L-K874770"/>
    <x v="2"/>
    <n v="49744000"/>
  </r>
  <r>
    <x v="5"/>
    <s v="현대캐피탈주식회사"/>
    <x v="0"/>
    <x v="0"/>
    <s v="동해이동정비차 DHS433L-K875370"/>
    <x v="2"/>
    <n v="49744000"/>
  </r>
  <r>
    <x v="5"/>
    <s v="현대캐피탈주식회사"/>
    <x v="0"/>
    <x v="0"/>
    <s v="동해이동정비차 DHS433L-K875908"/>
    <x v="2"/>
    <n v="49744000"/>
  </r>
  <r>
    <x v="5"/>
    <s v="현대캐피탈주식회사"/>
    <x v="0"/>
    <x v="0"/>
    <s v="동해이동정비차 DHS433L-K876555"/>
    <x v="2"/>
    <n v="49744000"/>
  </r>
  <r>
    <x v="5"/>
    <s v="현대캐피탈주식회사"/>
    <x v="0"/>
    <x v="0"/>
    <s v="동해이동정비차 DHS433L-K876556"/>
    <x v="2"/>
    <n v="49744000"/>
  </r>
  <r>
    <x v="5"/>
    <s v="현대캐피탈주식회사"/>
    <x v="0"/>
    <x v="0"/>
    <s v="동해이동정비차 DHS433L-K876557"/>
    <x v="2"/>
    <n v="49744000"/>
  </r>
  <r>
    <x v="0"/>
    <s v="광주광역시 남구청"/>
    <x v="0"/>
    <x v="0"/>
    <s v="DHS 1200L"/>
    <x v="0"/>
    <n v="49611274"/>
  </r>
  <r>
    <x v="0"/>
    <s v="창원시 의창구청"/>
    <x v="0"/>
    <x v="0"/>
    <s v="DHS 1200L"/>
    <x v="0"/>
    <n v="49608410"/>
  </r>
  <r>
    <x v="3"/>
    <s v="우람"/>
    <x v="0"/>
    <x v="0"/>
    <s v="DHS 15AP"/>
    <x v="0"/>
    <n v="49545455"/>
  </r>
  <r>
    <x v="3"/>
    <s v="신창전력주식회사"/>
    <x v="0"/>
    <x v="0"/>
    <s v="DHS 15AP"/>
    <x v="0"/>
    <n v="49545454"/>
  </r>
  <r>
    <x v="3"/>
    <s v="(주)송우인포텍"/>
    <x v="0"/>
    <x v="0"/>
    <s v="DHS 15AP"/>
    <x v="0"/>
    <n v="49500000"/>
  </r>
  <r>
    <x v="3"/>
    <s v="(주)넥스파시스템"/>
    <x v="0"/>
    <x v="0"/>
    <s v="DHS 15AP"/>
    <x v="0"/>
    <n v="49400000"/>
  </r>
  <r>
    <x v="3"/>
    <s v="주식회사 청림"/>
    <x v="0"/>
    <x v="0"/>
    <s v="DHS 15AP"/>
    <x v="0"/>
    <n v="49000000"/>
  </r>
  <r>
    <x v="3"/>
    <s v="대림전설 주식회사"/>
    <x v="0"/>
    <x v="0"/>
    <s v="DHS 15AP"/>
    <x v="0"/>
    <n v="49000000"/>
  </r>
  <r>
    <x v="3"/>
    <s v="주식회사 케이엠전설"/>
    <x v="0"/>
    <x v="0"/>
    <s v="DHS 15AP"/>
    <x v="0"/>
    <n v="48894000"/>
  </r>
  <r>
    <x v="3"/>
    <s v="(주)두원전자통신"/>
    <x v="0"/>
    <x v="0"/>
    <s v="DHS 15AP"/>
    <x v="0"/>
    <n v="48727272"/>
  </r>
  <r>
    <x v="0"/>
    <s v="경상남도 밀양시청"/>
    <x v="0"/>
    <x v="0"/>
    <s v="DHS 1200L"/>
    <x v="0"/>
    <n v="48390910"/>
  </r>
  <r>
    <x v="3"/>
    <s v="뉴월드전력"/>
    <x v="0"/>
    <x v="0"/>
    <s v="DHS 15AP"/>
    <x v="0"/>
    <n v="48181818"/>
  </r>
  <r>
    <x v="3"/>
    <s v="제일클린"/>
    <x v="0"/>
    <x v="0"/>
    <s v="DHS 15AP"/>
    <x v="0"/>
    <n v="48050000"/>
  </r>
  <r>
    <x v="0"/>
    <s v="성남시분당구청"/>
    <x v="0"/>
    <x v="0"/>
    <s v="DHS 1200L"/>
    <x v="0"/>
    <n v="47390910"/>
  </r>
  <r>
    <x v="0"/>
    <s v="한결네트웍스"/>
    <x v="0"/>
    <x v="0"/>
    <s v="DHS 125AP"/>
    <x v="0"/>
    <n v="47181818"/>
  </r>
  <r>
    <x v="3"/>
    <s v="(주)경기종합관리"/>
    <x v="0"/>
    <x v="0"/>
    <s v="DHS 15AP"/>
    <x v="0"/>
    <n v="47000000"/>
  </r>
  <r>
    <x v="0"/>
    <s v="주식회사 예인이엔지"/>
    <x v="0"/>
    <x v="0"/>
    <s v="DHS 125AP"/>
    <x v="0"/>
    <n v="47000000"/>
  </r>
  <r>
    <x v="0"/>
    <s v="(주)씨앤앰서초케이블티브이"/>
    <x v="0"/>
    <x v="0"/>
    <s v="DHS 1200L"/>
    <x v="0"/>
    <n v="46500000"/>
  </r>
  <r>
    <x v="0"/>
    <s v="(주)씨앤앰서초케이블티브이"/>
    <x v="0"/>
    <x v="0"/>
    <s v="DHS 1200L"/>
    <x v="0"/>
    <n v="46500000"/>
  </r>
  <r>
    <x v="0"/>
    <s v="(주)씨앤앰구로금천케이블티브이"/>
    <x v="0"/>
    <x v="0"/>
    <s v="DHS 1200L"/>
    <x v="0"/>
    <n v="46500000"/>
  </r>
  <r>
    <x v="0"/>
    <s v="(주)씨앤앰경기케이블티브이"/>
    <x v="0"/>
    <x v="0"/>
    <s v="DHS 1200L"/>
    <x v="0"/>
    <n v="46500000"/>
  </r>
  <r>
    <x v="0"/>
    <s v="(주)씨앤앰경동케이블티브이"/>
    <x v="0"/>
    <x v="0"/>
    <s v="DHS 1200L"/>
    <x v="0"/>
    <n v="46500000"/>
  </r>
  <r>
    <x v="0"/>
    <s v="(주)씨앤앰경동케이블티브이"/>
    <x v="0"/>
    <x v="0"/>
    <s v="DHS 1200L"/>
    <x v="0"/>
    <n v="46500000"/>
  </r>
  <r>
    <x v="0"/>
    <s v="(주)씨앤앰경동케이블티브이"/>
    <x v="0"/>
    <x v="0"/>
    <s v="DHS 1200L"/>
    <x v="0"/>
    <n v="46500000"/>
  </r>
  <r>
    <x v="0"/>
    <s v="(주)씨앤앰경기동부케이블티브이"/>
    <x v="0"/>
    <x v="0"/>
    <s v="DHS 1200L"/>
    <x v="0"/>
    <n v="46500000"/>
  </r>
  <r>
    <x v="0"/>
    <s v="(주)씨앤앰 우리케이블티브이"/>
    <x v="0"/>
    <x v="0"/>
    <s v="DHS 1200L"/>
    <x v="0"/>
    <n v="46500000"/>
  </r>
  <r>
    <x v="0"/>
    <s v="(주)씨앤앰 우리케이블티브이"/>
    <x v="0"/>
    <x v="0"/>
    <s v="DHS 1200L"/>
    <x v="0"/>
    <n v="46500000"/>
  </r>
  <r>
    <x v="0"/>
    <s v="(주)씨앤앰 우리케이블티브이"/>
    <x v="0"/>
    <x v="0"/>
    <s v="DHS 1200L"/>
    <x v="0"/>
    <n v="46500000"/>
  </r>
  <r>
    <x v="3"/>
    <s v="(주)건화서비스"/>
    <x v="0"/>
    <x v="0"/>
    <s v="DHS 15AP"/>
    <x v="0"/>
    <n v="46000000"/>
  </r>
  <r>
    <x v="0"/>
    <s v="(주)남성전력"/>
    <x v="0"/>
    <x v="0"/>
    <s v="DHS 1200L"/>
    <x v="0"/>
    <n v="45700000"/>
  </r>
  <r>
    <x v="0"/>
    <s v="홍영주"/>
    <x v="0"/>
    <x v="0"/>
    <s v="DHS 1200L"/>
    <x v="0"/>
    <n v="45370000"/>
  </r>
  <r>
    <x v="3"/>
    <s v="DONG TAN HUNG CO.,LTD"/>
    <x v="0"/>
    <x v="0"/>
    <s v="DH WONDER 21"/>
    <x v="0"/>
    <n v="45067610"/>
  </r>
  <r>
    <x v="0"/>
    <s v="조은기업"/>
    <x v="0"/>
    <x v="0"/>
    <s v="DHS 1200L"/>
    <x v="0"/>
    <n v="45000000"/>
  </r>
  <r>
    <x v="0"/>
    <s v="백진전기"/>
    <x v="0"/>
    <x v="0"/>
    <s v="DHS 1200L"/>
    <x v="0"/>
    <n v="45000000"/>
  </r>
  <r>
    <x v="0"/>
    <s v="대광기전"/>
    <x v="0"/>
    <x v="0"/>
    <s v="DHS 1200L"/>
    <x v="0"/>
    <n v="44818182"/>
  </r>
  <r>
    <x v="0"/>
    <s v="주식회사 삼영"/>
    <x v="0"/>
    <x v="0"/>
    <s v="DHS 1200L"/>
    <x v="0"/>
    <n v="44780000"/>
  </r>
  <r>
    <x v="0"/>
    <s v="은성전력"/>
    <x v="0"/>
    <x v="0"/>
    <s v="DHS 1200L"/>
    <x v="0"/>
    <n v="44768909"/>
  </r>
  <r>
    <x v="0"/>
    <s v="미래통신"/>
    <x v="0"/>
    <x v="0"/>
    <s v="DHS 1200L"/>
    <x v="0"/>
    <n v="44545455"/>
  </r>
  <r>
    <x v="0"/>
    <s v="서광미디어(주)"/>
    <x v="0"/>
    <x v="0"/>
    <s v="DHS 1200L"/>
    <x v="0"/>
    <n v="44545455"/>
  </r>
  <r>
    <x v="0"/>
    <s v="우주통신"/>
    <x v="0"/>
    <x v="0"/>
    <s v="DHS 1200L"/>
    <x v="0"/>
    <n v="44545455"/>
  </r>
  <r>
    <x v="0"/>
    <s v="주식회사 동국산업"/>
    <x v="0"/>
    <x v="0"/>
    <s v="DHS 1200L"/>
    <x v="0"/>
    <n v="44545455"/>
  </r>
  <r>
    <x v="0"/>
    <s v="KS정보통신"/>
    <x v="0"/>
    <x v="0"/>
    <s v="DHS 1200L"/>
    <x v="0"/>
    <n v="44545455"/>
  </r>
  <r>
    <x v="0"/>
    <s v="주식회사 네트워크아이"/>
    <x v="0"/>
    <x v="0"/>
    <s v="DHS 1200L"/>
    <x v="0"/>
    <n v="44500000"/>
  </r>
  <r>
    <x v="0"/>
    <s v="한마루정보통신"/>
    <x v="0"/>
    <x v="0"/>
    <s v="DHS 1200L"/>
    <x v="0"/>
    <n v="44500000"/>
  </r>
  <r>
    <x v="0"/>
    <s v="춘천시생활민원처리사업소"/>
    <x v="0"/>
    <x v="0"/>
    <s v="DHS 920"/>
    <x v="0"/>
    <n v="44414546"/>
  </r>
  <r>
    <x v="0"/>
    <s v="(주)자바네트웍스"/>
    <x v="0"/>
    <x v="0"/>
    <s v="DHS 1200L"/>
    <x v="0"/>
    <n v="44181818"/>
  </r>
  <r>
    <x v="0"/>
    <s v="신성전력"/>
    <x v="0"/>
    <x v="0"/>
    <s v="DHS 1200L"/>
    <x v="0"/>
    <n v="44000000"/>
  </r>
  <r>
    <x v="0"/>
    <s v="김동훈"/>
    <x v="0"/>
    <x v="0"/>
    <s v="DHS 1200L"/>
    <x v="0"/>
    <n v="44000000"/>
  </r>
  <r>
    <x v="0"/>
    <s v="엠테크"/>
    <x v="0"/>
    <x v="0"/>
    <s v="DHS 125AP"/>
    <x v="0"/>
    <n v="44000000"/>
  </r>
  <r>
    <x v="0"/>
    <s v="아이티솔루션"/>
    <x v="0"/>
    <x v="0"/>
    <s v="DHS 1200L"/>
    <x v="0"/>
    <n v="43636363"/>
  </r>
  <r>
    <x v="0"/>
    <s v="(주)성광에너지"/>
    <x v="0"/>
    <x v="0"/>
    <s v="DHS 1200L"/>
    <x v="0"/>
    <n v="43636363"/>
  </r>
  <r>
    <x v="0"/>
    <s v="케이에스아이(주)"/>
    <x v="0"/>
    <x v="0"/>
    <s v="DHS 1200L"/>
    <x v="0"/>
    <n v="43636363"/>
  </r>
  <r>
    <x v="0"/>
    <s v="케이에스아이(주)"/>
    <x v="0"/>
    <x v="0"/>
    <s v="DHS 1200L"/>
    <x v="0"/>
    <n v="43636363"/>
  </r>
  <r>
    <x v="0"/>
    <s v="케이에스아이(주)"/>
    <x v="0"/>
    <x v="0"/>
    <s v="DHS 1200L"/>
    <x v="0"/>
    <n v="43636363"/>
  </r>
  <r>
    <x v="0"/>
    <s v="삼성g2b 주식회사"/>
    <x v="0"/>
    <x v="0"/>
    <s v="DHS 1200L"/>
    <x v="0"/>
    <n v="43500000"/>
  </r>
  <r>
    <x v="1"/>
    <s v="(주)강동미디어"/>
    <x v="0"/>
    <x v="0"/>
    <s v="DHS 185SLY"/>
    <x v="0"/>
    <n v="43500000"/>
  </r>
  <r>
    <x v="0"/>
    <s v="주식회사 다윈"/>
    <x v="0"/>
    <x v="0"/>
    <s v="DHS 1200L"/>
    <x v="0"/>
    <n v="43500000"/>
  </r>
  <r>
    <x v="0"/>
    <s v="아림통신건설"/>
    <x v="0"/>
    <x v="0"/>
    <s v="DHS 1200L"/>
    <x v="0"/>
    <n v="43500000"/>
  </r>
  <r>
    <x v="0"/>
    <s v="신영산전(주)"/>
    <x v="0"/>
    <x v="0"/>
    <s v="DHS 1200L"/>
    <x v="0"/>
    <n v="43350000"/>
  </r>
  <r>
    <x v="0"/>
    <s v="고일선"/>
    <x v="0"/>
    <x v="0"/>
    <s v="DHS 125AP"/>
    <x v="0"/>
    <n v="43181818"/>
  </r>
  <r>
    <x v="0"/>
    <s v="(주)프리텍"/>
    <x v="0"/>
    <x v="0"/>
    <s v="DHS 125AP"/>
    <x v="0"/>
    <n v="43181818"/>
  </r>
  <r>
    <x v="0"/>
    <s v="한림전기"/>
    <x v="0"/>
    <x v="0"/>
    <s v="DHS 1200L"/>
    <x v="0"/>
    <n v="43000000"/>
  </r>
  <r>
    <x v="0"/>
    <s v="태성전력 주식회사"/>
    <x v="0"/>
    <x v="0"/>
    <s v="DHS 1200L"/>
    <x v="0"/>
    <n v="43000000"/>
  </r>
  <r>
    <x v="0"/>
    <s v="서암전설 주식회사"/>
    <x v="0"/>
    <x v="0"/>
    <s v="DHS 1200L"/>
    <x v="0"/>
    <n v="43000000"/>
  </r>
  <r>
    <x v="0"/>
    <s v="화인텔레콤(주)"/>
    <x v="0"/>
    <x v="0"/>
    <s v="DHS 1200L"/>
    <x v="0"/>
    <n v="43000000"/>
  </r>
  <r>
    <x v="0"/>
    <s v="주식회사 창우"/>
    <x v="0"/>
    <x v="0"/>
    <s v="DHS 1200L"/>
    <x v="0"/>
    <n v="43000000"/>
  </r>
  <r>
    <x v="0"/>
    <s v="삼진전기주식회사"/>
    <x v="0"/>
    <x v="0"/>
    <s v="DHS 1200L"/>
    <x v="0"/>
    <n v="43000000"/>
  </r>
  <r>
    <x v="0"/>
    <s v="태평양시스템(주)"/>
    <x v="0"/>
    <x v="0"/>
    <s v="DHS 1200L"/>
    <x v="0"/>
    <n v="42800000"/>
  </r>
  <r>
    <x v="0"/>
    <s v="(주)케이티오토리스"/>
    <x v="0"/>
    <x v="0"/>
    <s v="DHS 105AP"/>
    <x v="0"/>
    <n v="42790000"/>
  </r>
  <r>
    <x v="0"/>
    <s v="주식회사 이지스"/>
    <x v="0"/>
    <x v="0"/>
    <s v="DHS 1200L"/>
    <x v="0"/>
    <n v="42727273"/>
  </r>
  <r>
    <x v="0"/>
    <s v="코아네트웍"/>
    <x v="0"/>
    <x v="0"/>
    <s v="DHS 125AP"/>
    <x v="0"/>
    <n v="42727273"/>
  </r>
  <r>
    <x v="0"/>
    <s v="아트네트웍"/>
    <x v="0"/>
    <x v="0"/>
    <s v="DHS 125AP"/>
    <x v="0"/>
    <n v="42727273"/>
  </r>
  <r>
    <x v="0"/>
    <s v="명운일렉트로닉스"/>
    <x v="0"/>
    <x v="0"/>
    <s v="DHS 1200L"/>
    <x v="0"/>
    <n v="42727273"/>
  </r>
  <r>
    <x v="0"/>
    <s v="(주)천안케이블네트웍"/>
    <x v="0"/>
    <x v="0"/>
    <s v="DHS 1200L"/>
    <x v="0"/>
    <n v="42727273"/>
  </r>
  <r>
    <x v="0"/>
    <s v="신흥전기건설공사"/>
    <x v="0"/>
    <x v="0"/>
    <s v="DHS 1200L"/>
    <x v="0"/>
    <n v="42727272"/>
  </r>
  <r>
    <x v="0"/>
    <s v="주식회사 윌테크"/>
    <x v="0"/>
    <x v="0"/>
    <s v="DHS 1200L"/>
    <x v="0"/>
    <n v="42727272"/>
  </r>
  <r>
    <x v="0"/>
    <s v="SK네트웍스(주)"/>
    <x v="0"/>
    <x v="0"/>
    <s v="DHA 102AP"/>
    <x v="0"/>
    <n v="42727272"/>
  </r>
  <r>
    <x v="0"/>
    <s v="SK네트웍스(주)"/>
    <x v="0"/>
    <x v="0"/>
    <s v="DHA 102AP"/>
    <x v="0"/>
    <n v="42727272"/>
  </r>
  <r>
    <x v="0"/>
    <s v="SK네트웍스(주)"/>
    <x v="0"/>
    <x v="0"/>
    <s v="DHA 102AP"/>
    <x v="0"/>
    <n v="42727272"/>
  </r>
  <r>
    <x v="0"/>
    <s v="SK네트웍스(주)"/>
    <x v="0"/>
    <x v="0"/>
    <s v="DHA 102AP"/>
    <x v="0"/>
    <n v="42727272"/>
  </r>
  <r>
    <x v="0"/>
    <s v="SK네트웍스(주)"/>
    <x v="0"/>
    <x v="0"/>
    <s v="DHA 102AP"/>
    <x v="0"/>
    <n v="42727272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롯데오토리스(주)"/>
    <x v="0"/>
    <x v="0"/>
    <s v="DHS 950L"/>
    <x v="0"/>
    <n v="42584728"/>
  </r>
  <r>
    <x v="0"/>
    <s v="(주)씨유정보통신"/>
    <x v="0"/>
    <x v="0"/>
    <s v="DHS 125AP"/>
    <x v="0"/>
    <n v="42545455"/>
  </r>
  <r>
    <x v="0"/>
    <s v="중앙통신"/>
    <x v="0"/>
    <x v="0"/>
    <s v="DHS 1200L"/>
    <x v="0"/>
    <n v="42500000"/>
  </r>
  <r>
    <x v="0"/>
    <s v="광명전기(주)"/>
    <x v="0"/>
    <x v="0"/>
    <s v="DHS 1200L"/>
    <x v="0"/>
    <n v="42500000"/>
  </r>
  <r>
    <x v="1"/>
    <s v="신명엔지니어링(주)"/>
    <x v="0"/>
    <x v="0"/>
    <s v="DHS 1200L "/>
    <x v="0"/>
    <n v="42500000"/>
  </r>
  <r>
    <x v="0"/>
    <s v="서림건설 주식회사"/>
    <x v="0"/>
    <x v="0"/>
    <s v="DHS 1200L"/>
    <x v="0"/>
    <n v="42500000"/>
  </r>
  <r>
    <x v="0"/>
    <s v="주식회사 창성기술"/>
    <x v="0"/>
    <x v="0"/>
    <s v="DHS 1200L"/>
    <x v="0"/>
    <n v="42500000"/>
  </r>
  <r>
    <x v="0"/>
    <s v="에스엘엔(주)"/>
    <x v="0"/>
    <x v="0"/>
    <s v="DHS 1200L"/>
    <x v="0"/>
    <n v="42500000"/>
  </r>
  <r>
    <x v="0"/>
    <s v="주식회사 삼익전설"/>
    <x v="0"/>
    <x v="0"/>
    <s v="DHS 1200L"/>
    <x v="0"/>
    <n v="42400000"/>
  </r>
  <r>
    <x v="0"/>
    <s v="주식회사 우림아이씨티"/>
    <x v="0"/>
    <x v="0"/>
    <s v="DHS 1200L"/>
    <x v="0"/>
    <n v="42327272"/>
  </r>
  <r>
    <x v="0"/>
    <s v="태양전력"/>
    <x v="0"/>
    <x v="0"/>
    <s v="DHS 1200L"/>
    <x v="0"/>
    <n v="42300000"/>
  </r>
  <r>
    <x v="0"/>
    <s v="우리정보(주)"/>
    <x v="0"/>
    <x v="0"/>
    <s v="DHS 1200L"/>
    <x v="0"/>
    <n v="42272727"/>
  </r>
  <r>
    <x v="0"/>
    <s v="달성군청"/>
    <x v="0"/>
    <x v="0"/>
    <s v="DHS 920"/>
    <x v="0"/>
    <n v="42254546"/>
  </r>
  <r>
    <x v="5"/>
    <s v="(주)성보전력"/>
    <x v="0"/>
    <x v="0"/>
    <s v="DHS 433L"/>
    <x v="2"/>
    <n v="42200000"/>
  </r>
  <r>
    <x v="0"/>
    <s v="현 컴퍼니"/>
    <x v="0"/>
    <x v="0"/>
    <s v="DHS 950L"/>
    <x v="0"/>
    <n v="42181818"/>
  </r>
  <r>
    <x v="0"/>
    <s v="제이에스정보통신"/>
    <x v="0"/>
    <x v="0"/>
    <s v="DHS 125AP"/>
    <x v="0"/>
    <n v="42152727"/>
  </r>
  <r>
    <x v="0"/>
    <s v="두성"/>
    <x v="0"/>
    <x v="0"/>
    <s v="DHS 1200L"/>
    <x v="0"/>
    <n v="42000000"/>
  </r>
  <r>
    <x v="0"/>
    <s v="트러스트 맨"/>
    <x v="0"/>
    <x v="0"/>
    <s v="DHS 105AP"/>
    <x v="0"/>
    <n v="42000000"/>
  </r>
  <r>
    <x v="0"/>
    <s v="광림전기"/>
    <x v="0"/>
    <x v="0"/>
    <s v="DHS 1200L"/>
    <x v="0"/>
    <n v="42000000"/>
  </r>
  <r>
    <x v="0"/>
    <s v="에프투텔레콤(주)"/>
    <x v="0"/>
    <x v="0"/>
    <s v="DHS 1200L"/>
    <x v="0"/>
    <n v="42000000"/>
  </r>
  <r>
    <x v="0"/>
    <s v="수진상사"/>
    <x v="0"/>
    <x v="0"/>
    <s v="DHS 1200L"/>
    <x v="0"/>
    <n v="42000000"/>
  </r>
  <r>
    <x v="0"/>
    <s v="주식회사 성진전설"/>
    <x v="0"/>
    <x v="0"/>
    <s v="DHS 125AP"/>
    <x v="0"/>
    <n v="42000000"/>
  </r>
  <r>
    <x v="0"/>
    <s v="엘케이정보통신(LK정보통신)"/>
    <x v="0"/>
    <x v="0"/>
    <s v="DHS 1200L"/>
    <x v="0"/>
    <n v="41909090"/>
  </r>
  <r>
    <x v="0"/>
    <s v="주식회사 우림아이씨티"/>
    <x v="0"/>
    <x v="0"/>
    <s v="DHS 1200L"/>
    <x v="0"/>
    <n v="41872728"/>
  </r>
  <r>
    <x v="3"/>
    <s v="(합)새한전기통신공사"/>
    <x v="0"/>
    <x v="0"/>
    <s v="DHS 15AP"/>
    <x v="0"/>
    <n v="41818182"/>
  </r>
  <r>
    <x v="0"/>
    <s v="대전사"/>
    <x v="0"/>
    <x v="0"/>
    <s v="DHS 1200L"/>
    <x v="0"/>
    <n v="41818182"/>
  </r>
  <r>
    <x v="0"/>
    <s v="한선전자통신(주)"/>
    <x v="0"/>
    <x v="0"/>
    <s v="DHS 1200L"/>
    <x v="0"/>
    <n v="41818182"/>
  </r>
  <r>
    <x v="0"/>
    <s v="한솔미디어"/>
    <x v="0"/>
    <x v="0"/>
    <s v="DHS 1200L"/>
    <x v="0"/>
    <n v="41818181"/>
  </r>
  <r>
    <x v="0"/>
    <s v="드림네트웍스(주)"/>
    <x v="0"/>
    <x v="0"/>
    <s v="DSH 1200L"/>
    <x v="0"/>
    <n v="41777273"/>
  </r>
  <r>
    <x v="0"/>
    <s v="청마통신"/>
    <x v="0"/>
    <x v="0"/>
    <s v="DHS 1200L"/>
    <x v="0"/>
    <n v="41750000"/>
  </r>
  <r>
    <x v="0"/>
    <s v="(주)시열정보통신"/>
    <x v="0"/>
    <x v="0"/>
    <s v="DHS 105AP"/>
    <x v="0"/>
    <n v="41700000"/>
  </r>
  <r>
    <x v="0"/>
    <s v="(주)시열정보통신"/>
    <x v="0"/>
    <x v="0"/>
    <s v="DHS 105AP"/>
    <x v="0"/>
    <n v="41700000"/>
  </r>
  <r>
    <x v="0"/>
    <s v="영현E＆I"/>
    <x v="0"/>
    <x v="0"/>
    <s v="DHS 105AP"/>
    <x v="0"/>
    <n v="41636363"/>
  </r>
  <r>
    <x v="0"/>
    <s v="영성정보통신"/>
    <x v="0"/>
    <x v="0"/>
    <s v="DHS 1200L"/>
    <x v="0"/>
    <n v="41590909"/>
  </r>
  <r>
    <x v="0"/>
    <s v="(주)대진전력"/>
    <x v="0"/>
    <x v="0"/>
    <s v="DHS 1200L"/>
    <x v="0"/>
    <n v="41500000"/>
  </r>
  <r>
    <x v="0"/>
    <s v="주식회사 세미이엔씨"/>
    <x v="0"/>
    <x v="0"/>
    <s v="DHS 1200L"/>
    <x v="0"/>
    <n v="41500000"/>
  </r>
  <r>
    <x v="0"/>
    <s v="주식회사 디지탈라인"/>
    <x v="0"/>
    <x v="0"/>
    <s v="DHS 1200L"/>
    <x v="0"/>
    <n v="41500000"/>
  </r>
  <r>
    <x v="0"/>
    <s v="주식회사 네트로"/>
    <x v="0"/>
    <x v="0"/>
    <s v="DHS 1200L"/>
    <x v="0"/>
    <n v="41500000"/>
  </r>
  <r>
    <x v="0"/>
    <s v="아주통신(주)"/>
    <x v="0"/>
    <x v="0"/>
    <s v="DHS 102AP"/>
    <x v="0"/>
    <n v="41490000"/>
  </r>
  <r>
    <x v="0"/>
    <s v="(주)영하아이앤티"/>
    <x v="0"/>
    <x v="0"/>
    <s v="DHS 105AP"/>
    <x v="0"/>
    <n v="41418181"/>
  </r>
  <r>
    <x v="0"/>
    <s v="동원텔레콤(주)"/>
    <x v="0"/>
    <x v="0"/>
    <s v="DHS 1200L"/>
    <x v="0"/>
    <n v="41363636"/>
  </r>
  <r>
    <x v="0"/>
    <s v="미성전기통신"/>
    <x v="0"/>
    <x v="0"/>
    <s v="DHS 1200L"/>
    <x v="0"/>
    <n v="41300000"/>
  </r>
  <r>
    <x v="0"/>
    <s v="(주)천안케이블네트웍"/>
    <x v="0"/>
    <x v="0"/>
    <s v="DHS 1200L"/>
    <x v="0"/>
    <n v="41109091"/>
  </r>
  <r>
    <x v="0"/>
    <s v="주식회사 윌테크"/>
    <x v="0"/>
    <x v="0"/>
    <s v="DHS 1200L"/>
    <x v="0"/>
    <n v="41109091"/>
  </r>
  <r>
    <x v="0"/>
    <s v="(주)태양전기통신"/>
    <x v="0"/>
    <x v="0"/>
    <s v="DHS 1200L"/>
    <x v="0"/>
    <n v="41000000"/>
  </r>
  <r>
    <x v="0"/>
    <s v="유리넷"/>
    <x v="0"/>
    <x v="0"/>
    <s v="DHS 920"/>
    <x v="0"/>
    <n v="41000000"/>
  </r>
  <r>
    <x v="0"/>
    <s v="(주)바이텍코리아"/>
    <x v="0"/>
    <x v="0"/>
    <s v="DHS 1200L"/>
    <x v="0"/>
    <n v="41000000"/>
  </r>
  <r>
    <x v="0"/>
    <s v="(주)바이텍코리아"/>
    <x v="0"/>
    <x v="0"/>
    <s v="DHS 1200L"/>
    <x v="0"/>
    <n v="41000000"/>
  </r>
  <r>
    <x v="0"/>
    <s v="아이엘전기"/>
    <x v="0"/>
    <x v="0"/>
    <s v="DHS 1200L"/>
    <x v="0"/>
    <n v="41000000"/>
  </r>
  <r>
    <x v="0"/>
    <s v="우영정보통신 주식회사"/>
    <x v="0"/>
    <x v="0"/>
    <s v="DHS 1200L"/>
    <x v="0"/>
    <n v="41000000"/>
  </r>
  <r>
    <x v="0"/>
    <s v="거광이엔티"/>
    <x v="0"/>
    <x v="0"/>
    <s v="DHS 125AP"/>
    <x v="0"/>
    <n v="41000000"/>
  </r>
  <r>
    <x v="0"/>
    <s v="태원전기(주)"/>
    <x v="0"/>
    <x v="0"/>
    <s v="DHS 105AP"/>
    <x v="0"/>
    <n v="41000000"/>
  </r>
  <r>
    <x v="0"/>
    <s v="해광건설주식회사"/>
    <x v="0"/>
    <x v="0"/>
    <s v="DHS 1200L"/>
    <x v="0"/>
    <n v="41000000"/>
  </r>
  <r>
    <x v="0"/>
    <s v="해피콤(주)"/>
    <x v="0"/>
    <x v="0"/>
    <s v="DHS 105AP"/>
    <x v="0"/>
    <n v="40909091"/>
  </r>
  <r>
    <x v="0"/>
    <s v="대한정보통신(주)"/>
    <x v="0"/>
    <x v="0"/>
    <s v="DHS 1200L"/>
    <x v="0"/>
    <n v="40909091"/>
  </r>
  <r>
    <x v="0"/>
    <s v="금강전기냉동"/>
    <x v="0"/>
    <x v="0"/>
    <s v="DHS 1200L"/>
    <x v="0"/>
    <n v="40909091"/>
  </r>
  <r>
    <x v="0"/>
    <s v="경기통신"/>
    <x v="0"/>
    <x v="0"/>
    <s v="DHS 125AP "/>
    <x v="0"/>
    <n v="40909090"/>
  </r>
  <r>
    <x v="0"/>
    <s v="(주)해동기업"/>
    <x v="0"/>
    <x v="0"/>
    <s v="DHS 1200L"/>
    <x v="0"/>
    <n v="40909090"/>
  </r>
  <r>
    <x v="0"/>
    <s v="주식회사 한울전기"/>
    <x v="0"/>
    <x v="0"/>
    <s v="DHS 1200L"/>
    <x v="0"/>
    <n v="40850000"/>
  </r>
  <r>
    <x v="0"/>
    <s v="(주)한샘정보통신"/>
    <x v="0"/>
    <x v="0"/>
    <s v="DHS 105AP"/>
    <x v="0"/>
    <n v="40800000"/>
  </r>
  <r>
    <x v="0"/>
    <s v="현진통신"/>
    <x v="0"/>
    <x v="0"/>
    <s v="DHS 1200L"/>
    <x v="0"/>
    <n v="40750000"/>
  </r>
  <r>
    <x v="0"/>
    <s v="진서통신"/>
    <x v="0"/>
    <x v="0"/>
    <s v="DHS 105AP"/>
    <x v="0"/>
    <n v="40730000"/>
  </r>
  <r>
    <x v="0"/>
    <s v="주식회사 삼영"/>
    <x v="0"/>
    <x v="0"/>
    <s v="DHS 1200L"/>
    <x v="0"/>
    <n v="40709090"/>
  </r>
  <r>
    <x v="0"/>
    <s v="주식회사 참솔조경개발"/>
    <x v="0"/>
    <x v="0"/>
    <s v="DHS 1200L"/>
    <x v="0"/>
    <n v="40600000"/>
  </r>
  <r>
    <x v="0"/>
    <s v="다인정보통신"/>
    <x v="0"/>
    <x v="0"/>
    <s v="DHS 1200L"/>
    <x v="0"/>
    <n v="40545455"/>
  </r>
  <r>
    <x v="0"/>
    <s v="피케이정보통신"/>
    <x v="0"/>
    <x v="0"/>
    <s v="DHS 1200L"/>
    <x v="0"/>
    <n v="40509091"/>
  </r>
  <r>
    <x v="0"/>
    <s v="김학영"/>
    <x v="0"/>
    <x v="0"/>
    <s v="DHS 1200L"/>
    <x v="0"/>
    <n v="40500000"/>
  </r>
  <r>
    <x v="0"/>
    <s v="세명전기"/>
    <x v="0"/>
    <x v="0"/>
    <s v="DHS 1200L"/>
    <x v="0"/>
    <n v="40500000"/>
  </r>
  <r>
    <x v="0"/>
    <s v="키퍼스"/>
    <x v="0"/>
    <x v="0"/>
    <s v="DHS 1200L"/>
    <x v="0"/>
    <n v="40500000"/>
  </r>
  <r>
    <x v="0"/>
    <s v="대성정보통신"/>
    <x v="0"/>
    <x v="0"/>
    <s v="DHS 105AP"/>
    <x v="0"/>
    <n v="40500000"/>
  </r>
  <r>
    <x v="0"/>
    <s v="롯데오토리스(주)"/>
    <x v="0"/>
    <x v="0"/>
    <s v="DHS 950L"/>
    <x v="0"/>
    <n v="40500000"/>
  </r>
  <r>
    <x v="0"/>
    <s v="롯데오토리스(주)"/>
    <x v="0"/>
    <x v="0"/>
    <s v="DHS 950L"/>
    <x v="0"/>
    <n v="40500000"/>
  </r>
  <r>
    <x v="0"/>
    <s v="롯데오토리스(주) 빨간색 2-1"/>
    <x v="0"/>
    <x v="0"/>
    <s v="DHS 950L"/>
    <x v="0"/>
    <n v="40500000"/>
  </r>
  <r>
    <x v="0"/>
    <s v="롯데오토리스(주) 빨간색 2-2"/>
    <x v="0"/>
    <x v="0"/>
    <s v="DHS 950L"/>
    <x v="0"/>
    <n v="40500000"/>
  </r>
  <r>
    <x v="0"/>
    <s v="(주)티에스씨"/>
    <x v="0"/>
    <x v="0"/>
    <s v="DHS 1200L"/>
    <x v="0"/>
    <n v="40500000"/>
  </r>
  <r>
    <x v="0"/>
    <s v="케이(K)통신"/>
    <x v="0"/>
    <x v="0"/>
    <s v="DHS 105AP"/>
    <x v="0"/>
    <n v="40350000"/>
  </r>
  <r>
    <x v="0"/>
    <s v="보령시청"/>
    <x v="0"/>
    <x v="0"/>
    <s v="DHS 950L"/>
    <x v="0"/>
    <n v="40230909"/>
  </r>
  <r>
    <x v="0"/>
    <s v="으뜸정보통신"/>
    <x v="0"/>
    <x v="0"/>
    <s v="DHS 105AP"/>
    <x v="0"/>
    <n v="40000000"/>
  </r>
  <r>
    <x v="0"/>
    <s v="명진전기"/>
    <x v="0"/>
    <x v="0"/>
    <s v="DHS 1200L"/>
    <x v="0"/>
    <n v="40000000"/>
  </r>
  <r>
    <x v="0"/>
    <s v="TJ네트워크"/>
    <x v="0"/>
    <x v="0"/>
    <s v="DHS 1200L"/>
    <x v="0"/>
    <n v="40000000"/>
  </r>
  <r>
    <x v="0"/>
    <s v="주식회사 성창엔지니어링"/>
    <x v="0"/>
    <x v="0"/>
    <s v="DHS 105AP"/>
    <x v="0"/>
    <n v="40000000"/>
  </r>
  <r>
    <x v="3"/>
    <s v="주식회사 동일"/>
    <x v="0"/>
    <x v="0"/>
    <s v="DHS 15AP"/>
    <x v="0"/>
    <n v="40000000"/>
  </r>
  <r>
    <x v="3"/>
    <s v="SHIJIAZHUANG COAL MINING MACHINEY CO., LTD"/>
    <x v="1"/>
    <x v="4"/>
    <s v="DHS 20AP"/>
    <x v="0"/>
    <n v="39954894"/>
  </r>
  <r>
    <x v="3"/>
    <s v="SHIJIAZHUANG COAL MINING MACHINEY CO., LTD"/>
    <x v="1"/>
    <x v="4"/>
    <s v="DHS 20AP"/>
    <x v="0"/>
    <n v="39954894"/>
  </r>
  <r>
    <x v="3"/>
    <s v="SHIJIAZHUANG COAL MINING MACHINEY CO., LTD"/>
    <x v="1"/>
    <x v="4"/>
    <s v="DHS 20AP"/>
    <x v="0"/>
    <n v="39954894"/>
  </r>
  <r>
    <x v="0"/>
    <s v="SK네트웍스(주)"/>
    <x v="0"/>
    <x v="0"/>
    <s v="DHS 950L"/>
    <x v="0"/>
    <n v="39545455"/>
  </r>
  <r>
    <x v="0"/>
    <s v="SK네트웍스(주)"/>
    <x v="0"/>
    <x v="0"/>
    <s v="DHS 950L"/>
    <x v="0"/>
    <n v="39545455"/>
  </r>
  <r>
    <x v="0"/>
    <s v="SK네트웍스(주)"/>
    <x v="0"/>
    <x v="0"/>
    <s v="DHS 950L"/>
    <x v="0"/>
    <n v="39545455"/>
  </r>
  <r>
    <x v="0"/>
    <s v="SK네트웍스(주)"/>
    <x v="0"/>
    <x v="0"/>
    <s v="DHS 950L"/>
    <x v="0"/>
    <n v="39545455"/>
  </r>
  <r>
    <x v="0"/>
    <s v="SK네트웍스(주)"/>
    <x v="0"/>
    <x v="0"/>
    <s v="DHS 950L"/>
    <x v="0"/>
    <n v="39545455"/>
  </r>
  <r>
    <x v="0"/>
    <s v="SK네트웍스(주)"/>
    <x v="0"/>
    <x v="0"/>
    <s v="DHS 950L"/>
    <x v="0"/>
    <n v="39545455"/>
  </r>
  <r>
    <x v="0"/>
    <s v="이레정보통신"/>
    <x v="0"/>
    <x v="0"/>
    <s v="DHS 105AP"/>
    <x v="0"/>
    <n v="39500000"/>
  </r>
  <r>
    <x v="0"/>
    <s v="보림정보통신"/>
    <x v="0"/>
    <x v="0"/>
    <s v="DHS 105AP"/>
    <x v="0"/>
    <n v="39500000"/>
  </r>
  <r>
    <x v="0"/>
    <s v="주식회사 태오"/>
    <x v="0"/>
    <x v="0"/>
    <s v="DHS 1200L"/>
    <x v="0"/>
    <n v="39327273"/>
  </r>
  <r>
    <x v="0"/>
    <s v="(주)원더정보"/>
    <x v="0"/>
    <x v="0"/>
    <s v="DHS 950L"/>
    <x v="0"/>
    <n v="39090909"/>
  </r>
  <r>
    <x v="0"/>
    <s v="(주)에이에스케이블"/>
    <x v="0"/>
    <x v="0"/>
    <s v="DHS 1200L"/>
    <x v="0"/>
    <n v="39020000"/>
  </r>
  <r>
    <x v="0"/>
    <s v="(주)씨앤앰 송파케이블티브이"/>
    <x v="0"/>
    <x v="0"/>
    <s v="DHS 950L"/>
    <x v="0"/>
    <n v="39000000"/>
  </r>
  <r>
    <x v="0"/>
    <s v="수원광통신"/>
    <x v="0"/>
    <x v="0"/>
    <s v="DHS 950L"/>
    <x v="0"/>
    <n v="38700000"/>
  </r>
  <r>
    <x v="0"/>
    <s v="거진통신"/>
    <x v="0"/>
    <x v="0"/>
    <s v="DHS 105AP"/>
    <x v="0"/>
    <n v="38500000"/>
  </r>
  <r>
    <x v="0"/>
    <s v="에스에이치 정보통신"/>
    <x v="0"/>
    <x v="0"/>
    <s v="DHS 950L"/>
    <x v="0"/>
    <n v="38181818"/>
  </r>
  <r>
    <x v="3"/>
    <s v="(주)한진디엔비"/>
    <x v="0"/>
    <x v="0"/>
    <s v="350W 틸팅 실린더 외 6건"/>
    <x v="1"/>
    <n v="38155000"/>
  </r>
  <r>
    <x v="4"/>
    <s v="(주)한화"/>
    <x v="0"/>
    <x v="0"/>
    <s v="DHS 1800"/>
    <x v="0"/>
    <n v="38085735"/>
  </r>
  <r>
    <x v="0"/>
    <s v="케이엔에이치"/>
    <x v="0"/>
    <x v="0"/>
    <s v="DHS 950L"/>
    <x v="0"/>
    <n v="38000000"/>
  </r>
  <r>
    <x v="0"/>
    <s v="명은통신"/>
    <x v="0"/>
    <x v="0"/>
    <s v="DHS 950L"/>
    <x v="0"/>
    <n v="37500000"/>
  </r>
  <r>
    <x v="0"/>
    <s v="홍종민"/>
    <x v="0"/>
    <x v="0"/>
    <s v="DHS 950L"/>
    <x v="0"/>
    <n v="37500000"/>
  </r>
  <r>
    <x v="0"/>
    <s v="에스엠(SM)"/>
    <x v="0"/>
    <x v="0"/>
    <s v="DHS 950L"/>
    <x v="0"/>
    <n v="37500000"/>
  </r>
  <r>
    <x v="0"/>
    <s v="하루정보통신"/>
    <x v="0"/>
    <x v="0"/>
    <s v="DHS 950L"/>
    <x v="0"/>
    <n v="37500000"/>
  </r>
  <r>
    <x v="0"/>
    <s v="(주)알파아이엔씨"/>
    <x v="0"/>
    <x v="0"/>
    <s v="DHS 950L"/>
    <x v="0"/>
    <n v="37272727"/>
  </r>
  <r>
    <x v="0"/>
    <s v="나은"/>
    <x v="0"/>
    <x v="0"/>
    <s v="DHS 950L"/>
    <x v="0"/>
    <n v="37272727"/>
  </r>
  <r>
    <x v="0"/>
    <s v="링크텔"/>
    <x v="0"/>
    <x v="0"/>
    <s v="DHS 950L"/>
    <x v="0"/>
    <n v="37272727"/>
  </r>
  <r>
    <x v="0"/>
    <s v="신아통신"/>
    <x v="0"/>
    <x v="0"/>
    <s v="DHS 950L"/>
    <x v="0"/>
    <n v="37272727"/>
  </r>
  <r>
    <x v="0"/>
    <s v="티케이정보통신(주)"/>
    <x v="0"/>
    <x v="0"/>
    <s v="DHS 950L"/>
    <x v="0"/>
    <n v="37272727"/>
  </r>
  <r>
    <x v="0"/>
    <s v="(주)중앙통신건설"/>
    <x v="0"/>
    <x v="0"/>
    <s v="DHS 950L"/>
    <x v="0"/>
    <n v="37272727"/>
  </r>
  <r>
    <x v="0"/>
    <s v="(유)가나통신"/>
    <x v="0"/>
    <x v="0"/>
    <s v="DHS 950L"/>
    <x v="0"/>
    <n v="37272727"/>
  </r>
  <r>
    <x v="0"/>
    <s v="지형정보통신"/>
    <x v="0"/>
    <x v="0"/>
    <s v="DHS 950L"/>
    <x v="0"/>
    <n v="37272727"/>
  </r>
  <r>
    <x v="0"/>
    <s v="(주)제이엔테크"/>
    <x v="0"/>
    <x v="0"/>
    <s v="DHS 950L"/>
    <x v="0"/>
    <n v="37272727"/>
  </r>
  <r>
    <x v="0"/>
    <s v="롯데오토리스(주)"/>
    <x v="0"/>
    <x v="0"/>
    <s v="DHS 950L"/>
    <x v="0"/>
    <n v="37271273"/>
  </r>
  <r>
    <x v="3"/>
    <s v="SYKT PEMBEKALAN PERKHIDMAT"/>
    <x v="1"/>
    <x v="1"/>
    <s v="DHS 1800($6,900*@1,108.70)(1/6)"/>
    <x v="0"/>
    <n v="37182316"/>
  </r>
  <r>
    <x v="0"/>
    <s v="유한회사 주성산업"/>
    <x v="0"/>
    <x v="0"/>
    <s v="DHS 950L"/>
    <x v="0"/>
    <n v="37000000"/>
  </r>
  <r>
    <x v="0"/>
    <s v="(주)정강통신"/>
    <x v="0"/>
    <x v="0"/>
    <s v="DHS 950L"/>
    <x v="0"/>
    <n v="37000000"/>
  </r>
  <r>
    <x v="0"/>
    <s v="(주)남양통신"/>
    <x v="0"/>
    <x v="0"/>
    <s v="DHS 950L"/>
    <x v="0"/>
    <n v="37000000"/>
  </r>
  <r>
    <x v="0"/>
    <s v="배영텔레콤(주)"/>
    <x v="0"/>
    <x v="0"/>
    <s v="DHS 950L"/>
    <x v="0"/>
    <n v="37000000"/>
  </r>
  <r>
    <x v="0"/>
    <s v="영남씨엔엠(주)"/>
    <x v="0"/>
    <x v="0"/>
    <s v="DHS 950L"/>
    <x v="0"/>
    <n v="36965000"/>
  </r>
  <r>
    <x v="0"/>
    <s v="마이포스넷"/>
    <x v="0"/>
    <x v="0"/>
    <s v="DSH 950L"/>
    <x v="0"/>
    <n v="36909091"/>
  </r>
  <r>
    <x v="0"/>
    <s v="한바다"/>
    <x v="0"/>
    <x v="0"/>
    <s v="DHS 950L"/>
    <x v="0"/>
    <n v="36909090"/>
  </r>
  <r>
    <x v="0"/>
    <s v="지한정보"/>
    <x v="0"/>
    <x v="0"/>
    <s v="DHS 950L"/>
    <x v="0"/>
    <n v="36818182"/>
  </r>
  <r>
    <x v="0"/>
    <s v="OPTICAL"/>
    <x v="0"/>
    <x v="0"/>
    <s v="DHS 950L"/>
    <x v="0"/>
    <n v="36818182"/>
  </r>
  <r>
    <x v="0"/>
    <s v="(주)한화"/>
    <x v="0"/>
    <x v="0"/>
    <s v="DHS 950L"/>
    <x v="0"/>
    <n v="36810282.5"/>
  </r>
  <r>
    <x v="0"/>
    <s v="(주)한화"/>
    <x v="0"/>
    <x v="0"/>
    <s v="DHS 950L"/>
    <x v="0"/>
    <n v="36810282.5"/>
  </r>
  <r>
    <x v="0"/>
    <s v="이터널(주)"/>
    <x v="0"/>
    <x v="0"/>
    <s v="DHS 950L"/>
    <x v="0"/>
    <n v="36800000"/>
  </r>
  <r>
    <x v="0"/>
    <s v="이터널(주)"/>
    <x v="0"/>
    <x v="0"/>
    <s v="DHS 950L"/>
    <x v="0"/>
    <n v="36800000"/>
  </r>
  <r>
    <x v="0"/>
    <s v="이터널(주)"/>
    <x v="0"/>
    <x v="0"/>
    <s v="DHS 950L"/>
    <x v="0"/>
    <n v="36800000"/>
  </r>
  <r>
    <x v="0"/>
    <s v="(주)티플러스네트워크"/>
    <x v="0"/>
    <x v="0"/>
    <s v="DHS 950L"/>
    <x v="0"/>
    <n v="36800000"/>
  </r>
  <r>
    <x v="0"/>
    <s v="(주)티플러스네트워크"/>
    <x v="0"/>
    <x v="0"/>
    <s v="DHS 950L"/>
    <x v="0"/>
    <n v="36800000"/>
  </r>
  <r>
    <x v="0"/>
    <s v="(주)티플러스네트워크"/>
    <x v="0"/>
    <x v="0"/>
    <s v="DHS 950L"/>
    <x v="0"/>
    <n v="36800000"/>
  </r>
  <r>
    <x v="0"/>
    <s v="(주)도봉케이블서비스"/>
    <x v="0"/>
    <x v="0"/>
    <s v="DHS 950L"/>
    <x v="0"/>
    <n v="36800000"/>
  </r>
  <r>
    <x v="0"/>
    <s v="(주)도봉케이블서비스"/>
    <x v="0"/>
    <x v="0"/>
    <s v="DHS 950L"/>
    <x v="0"/>
    <n v="36800000"/>
  </r>
  <r>
    <x v="0"/>
    <s v="(주)경림이앤지"/>
    <x v="0"/>
    <x v="0"/>
    <s v="DHS 950L"/>
    <x v="0"/>
    <n v="36720000"/>
  </r>
  <r>
    <x v="0"/>
    <s v="SM정보통신"/>
    <x v="0"/>
    <x v="0"/>
    <s v="DHS 950L"/>
    <x v="0"/>
    <n v="36700000"/>
  </r>
  <r>
    <x v="0"/>
    <s v="가온통신"/>
    <x v="0"/>
    <x v="0"/>
    <s v="DHS 950L"/>
    <x v="0"/>
    <n v="36700000"/>
  </r>
  <r>
    <x v="0"/>
    <s v="누리정보통신"/>
    <x v="0"/>
    <x v="0"/>
    <s v="DHS 950L"/>
    <x v="0"/>
    <n v="36700000"/>
  </r>
  <r>
    <x v="0"/>
    <s v="신아주통신"/>
    <x v="0"/>
    <x v="0"/>
    <s v="DHS 950L"/>
    <x v="0"/>
    <n v="36700000"/>
  </r>
  <r>
    <x v="0"/>
    <s v="지니정보통신"/>
    <x v="0"/>
    <x v="0"/>
    <s v="DHS 950L"/>
    <x v="0"/>
    <n v="36700000"/>
  </r>
  <r>
    <x v="0"/>
    <s v="서령통신"/>
    <x v="0"/>
    <x v="0"/>
    <s v="DHS 950L"/>
    <x v="0"/>
    <n v="36690909"/>
  </r>
  <r>
    <x v="0"/>
    <s v="부강통신"/>
    <x v="0"/>
    <x v="0"/>
    <s v="DHS 950L"/>
    <x v="0"/>
    <n v="36636364"/>
  </r>
  <r>
    <x v="0"/>
    <s v="화명통신"/>
    <x v="0"/>
    <x v="0"/>
    <s v="DHS 950L"/>
    <x v="0"/>
    <n v="36636363"/>
  </r>
  <r>
    <x v="0"/>
    <s v="천광 통신"/>
    <x v="0"/>
    <x v="0"/>
    <s v="DHS 950L"/>
    <x v="0"/>
    <n v="36636363"/>
  </r>
  <r>
    <x v="0"/>
    <s v="동준통신"/>
    <x v="0"/>
    <x v="0"/>
    <s v="DHS 950L"/>
    <x v="0"/>
    <n v="36545455"/>
  </r>
  <r>
    <x v="0"/>
    <s v="에스엠정보통신"/>
    <x v="0"/>
    <x v="0"/>
    <s v="DHS 950L"/>
    <x v="0"/>
    <n v="36500000"/>
  </r>
  <r>
    <x v="0"/>
    <s v="주식회사 네트워크아이"/>
    <x v="0"/>
    <x v="0"/>
    <s v="DHS 950L"/>
    <x v="0"/>
    <n v="36500000"/>
  </r>
  <r>
    <x v="0"/>
    <s v="제우통신"/>
    <x v="0"/>
    <x v="0"/>
    <s v="DHS 950L"/>
    <x v="0"/>
    <n v="36500000"/>
  </r>
  <r>
    <x v="0"/>
    <s v="(주)에드원텔레콤"/>
    <x v="0"/>
    <x v="0"/>
    <s v="DHS 950L"/>
    <x v="0"/>
    <n v="36500000"/>
  </r>
  <r>
    <x v="0"/>
    <s v="주식회사 중앙이앤씨"/>
    <x v="0"/>
    <x v="0"/>
    <s v="DHS 950L"/>
    <x v="0"/>
    <n v="36500000"/>
  </r>
  <r>
    <x v="0"/>
    <s v="주식회사 중앙이앤씨"/>
    <x v="0"/>
    <x v="0"/>
    <s v="DHS 950L"/>
    <x v="0"/>
    <n v="36500000"/>
  </r>
  <r>
    <x v="0"/>
    <s v="셀테크"/>
    <x v="0"/>
    <x v="0"/>
    <s v="DHS 950L"/>
    <x v="0"/>
    <n v="36500000"/>
  </r>
  <r>
    <x v="0"/>
    <s v="엘제이(LJ)통신"/>
    <x v="0"/>
    <x v="0"/>
    <s v="DHS 950L"/>
    <x v="0"/>
    <n v="36500000"/>
  </r>
  <r>
    <x v="0"/>
    <s v="와이제이통신"/>
    <x v="0"/>
    <x v="0"/>
    <s v="DHS 950L"/>
    <x v="0"/>
    <n v="36500000"/>
  </r>
  <r>
    <x v="0"/>
    <s v="상지통신"/>
    <x v="0"/>
    <x v="0"/>
    <s v="DHS 950L"/>
    <x v="0"/>
    <n v="36500000"/>
  </r>
  <r>
    <x v="0"/>
    <s v="거산통신건설"/>
    <x v="0"/>
    <x v="0"/>
    <s v="DHS 950L"/>
    <x v="0"/>
    <n v="36409091"/>
  </r>
  <r>
    <x v="0"/>
    <s v="(주)넥스모어시스템즈"/>
    <x v="0"/>
    <x v="0"/>
    <s v="DHS 950L"/>
    <x v="0"/>
    <n v="36400000"/>
  </r>
  <r>
    <x v="0"/>
    <s v="S.S통신"/>
    <x v="0"/>
    <x v="0"/>
    <s v="DHS 950L"/>
    <x v="0"/>
    <n v="36363637"/>
  </r>
  <r>
    <x v="0"/>
    <s v="(주)광주텔레콤"/>
    <x v="0"/>
    <x v="0"/>
    <s v="DHS 950L"/>
    <x v="0"/>
    <n v="36363636"/>
  </r>
  <r>
    <x v="0"/>
    <s v="소정보통신"/>
    <x v="0"/>
    <x v="0"/>
    <s v="DHS 950L"/>
    <x v="0"/>
    <n v="36363636"/>
  </r>
  <r>
    <x v="0"/>
    <s v="(주)케이탑솔루션"/>
    <x v="0"/>
    <x v="0"/>
    <s v="DHS 950L"/>
    <x v="0"/>
    <n v="36363636"/>
  </r>
  <r>
    <x v="0"/>
    <s v="우진정보통신"/>
    <x v="0"/>
    <x v="0"/>
    <s v="DHS 950L"/>
    <x v="0"/>
    <n v="36363636"/>
  </r>
  <r>
    <x v="0"/>
    <s v="태흥정보통신"/>
    <x v="0"/>
    <x v="0"/>
    <s v="DHS 950L"/>
    <x v="0"/>
    <n v="36363636"/>
  </r>
  <r>
    <x v="0"/>
    <s v="SB정보통신"/>
    <x v="0"/>
    <x v="0"/>
    <s v="DHS 950L"/>
    <x v="0"/>
    <n v="36363636"/>
  </r>
  <r>
    <x v="0"/>
    <s v="SB정보통신"/>
    <x v="0"/>
    <x v="0"/>
    <s v="DHS 950L"/>
    <x v="0"/>
    <n v="36363636"/>
  </r>
  <r>
    <x v="0"/>
    <s v="(주)다함정보통신"/>
    <x v="0"/>
    <x v="0"/>
    <s v="DHS 950L"/>
    <x v="0"/>
    <n v="36363636"/>
  </r>
  <r>
    <x v="0"/>
    <s v="세진통신"/>
    <x v="0"/>
    <x v="0"/>
    <s v="DHS 950L"/>
    <x v="0"/>
    <n v="36363636"/>
  </r>
  <r>
    <x v="0"/>
    <s v="Jin Two 시스템"/>
    <x v="0"/>
    <x v="0"/>
    <s v="DHS 950L"/>
    <x v="0"/>
    <n v="36363636"/>
  </r>
  <r>
    <x v="0"/>
    <s v="유니온"/>
    <x v="0"/>
    <x v="0"/>
    <s v="DHS 950L"/>
    <x v="0"/>
    <n v="36363636"/>
  </r>
  <r>
    <x v="0"/>
    <s v="(유)황우엔지니어링"/>
    <x v="0"/>
    <x v="0"/>
    <s v="DHS 930"/>
    <x v="0"/>
    <n v="36363636"/>
  </r>
  <r>
    <x v="0"/>
    <s v="(유)제이케이건설"/>
    <x v="0"/>
    <x v="0"/>
    <s v="DHS 930"/>
    <x v="0"/>
    <n v="36363636"/>
  </r>
  <r>
    <x v="0"/>
    <s v="명진통신"/>
    <x v="0"/>
    <x v="0"/>
    <s v="DHS 950L"/>
    <x v="0"/>
    <n v="36363636"/>
  </r>
  <r>
    <x v="0"/>
    <s v="현대캐피탈주식회사"/>
    <x v="0"/>
    <x v="0"/>
    <s v="DHS 950L"/>
    <x v="0"/>
    <n v="36363636"/>
  </r>
  <r>
    <x v="0"/>
    <s v="현대캐피탈주식회사"/>
    <x v="0"/>
    <x v="0"/>
    <s v="DHS 950L"/>
    <x v="0"/>
    <n v="36363636"/>
  </r>
  <r>
    <x v="0"/>
    <s v="현대캐피탈주식회사"/>
    <x v="0"/>
    <x v="0"/>
    <s v="DHS 950L"/>
    <x v="0"/>
    <n v="36363636"/>
  </r>
  <r>
    <x v="0"/>
    <s v="주식회사 타키온"/>
    <x v="0"/>
    <x v="0"/>
    <s v="DHS 950L"/>
    <x v="0"/>
    <n v="36363636"/>
  </r>
  <r>
    <x v="0"/>
    <s v="(주)패스테크"/>
    <x v="0"/>
    <x v="0"/>
    <s v="DHS 930"/>
    <x v="0"/>
    <n v="36363636"/>
  </r>
  <r>
    <x v="0"/>
    <s v="유원통신"/>
    <x v="0"/>
    <x v="0"/>
    <s v="DHS 950L"/>
    <x v="0"/>
    <n v="36363636"/>
  </r>
  <r>
    <x v="0"/>
    <s v="현대캐피탈주식회사"/>
    <x v="0"/>
    <x v="0"/>
    <s v="DHS 950L"/>
    <x v="0"/>
    <n v="36363636"/>
  </r>
  <r>
    <x v="0"/>
    <s v="현대캐피탈주식회사"/>
    <x v="0"/>
    <x v="0"/>
    <s v="DHS 950L"/>
    <x v="0"/>
    <n v="36363636"/>
  </r>
  <r>
    <x v="0"/>
    <s v="(주)제이엔테크"/>
    <x v="0"/>
    <x v="0"/>
    <s v="DHS 950L"/>
    <x v="0"/>
    <n v="36363636"/>
  </r>
  <r>
    <x v="0"/>
    <s v="박병환"/>
    <x v="0"/>
    <x v="0"/>
    <s v="DHS 950L"/>
    <x v="0"/>
    <n v="36363636"/>
  </r>
  <r>
    <x v="0"/>
    <s v="신화ENG"/>
    <x v="0"/>
    <x v="0"/>
    <s v="DHS 950L"/>
    <x v="0"/>
    <n v="36363636"/>
  </r>
  <r>
    <x v="0"/>
    <s v="(주)서림정보통신"/>
    <x v="0"/>
    <x v="0"/>
    <s v="DHS 950L"/>
    <x v="0"/>
    <n v="36300000"/>
  </r>
  <r>
    <x v="0"/>
    <s v="(주)광운정보"/>
    <x v="0"/>
    <x v="0"/>
    <s v="DHS 950L"/>
    <x v="0"/>
    <n v="36200000"/>
  </r>
  <r>
    <x v="0"/>
    <s v="정화통신(주)"/>
    <x v="0"/>
    <x v="0"/>
    <s v="DHS 950L"/>
    <x v="0"/>
    <n v="36181818"/>
  </r>
  <r>
    <x v="0"/>
    <s v="유한회사 유성통신건설"/>
    <x v="0"/>
    <x v="0"/>
    <s v="DHS 930"/>
    <x v="0"/>
    <n v="36163636"/>
  </r>
  <r>
    <x v="0"/>
    <s v="(주)아이콘텍"/>
    <x v="0"/>
    <x v="0"/>
    <s v="DHS 950L"/>
    <x v="0"/>
    <n v="36000000"/>
  </r>
  <r>
    <x v="0"/>
    <s v="(주)일렉콤"/>
    <x v="0"/>
    <x v="0"/>
    <s v="DHS 950L"/>
    <x v="0"/>
    <n v="36000000"/>
  </r>
  <r>
    <x v="0"/>
    <s v="코스모 정보통신"/>
    <x v="0"/>
    <x v="0"/>
    <s v="DHS 950L"/>
    <x v="0"/>
    <n v="36000000"/>
  </r>
  <r>
    <x v="0"/>
    <s v="성은"/>
    <x v="0"/>
    <x v="0"/>
    <s v="DHS 950L"/>
    <x v="0"/>
    <n v="36000000"/>
  </r>
  <r>
    <x v="0"/>
    <s v="주식회사 예스정보통신"/>
    <x v="0"/>
    <x v="0"/>
    <s v="DHS 950L"/>
    <x v="0"/>
    <n v="36000000"/>
  </r>
  <r>
    <x v="0"/>
    <s v="진흥씨앤씨(주)"/>
    <x v="0"/>
    <x v="0"/>
    <s v="DHS 950L"/>
    <x v="0"/>
    <n v="36000000"/>
  </r>
  <r>
    <x v="0"/>
    <s v="진흥씨앤씨(주)"/>
    <x v="0"/>
    <x v="0"/>
    <s v="DHS 950L"/>
    <x v="0"/>
    <n v="36000000"/>
  </r>
  <r>
    <x v="0"/>
    <s v="금산정보통신"/>
    <x v="0"/>
    <x v="0"/>
    <s v="DHS 950L"/>
    <x v="0"/>
    <n v="36000000"/>
  </r>
  <r>
    <x v="0"/>
    <s v="남양전업사"/>
    <x v="0"/>
    <x v="0"/>
    <s v="DHS 950L"/>
    <x v="0"/>
    <n v="36000000"/>
  </r>
  <r>
    <x v="3"/>
    <s v="평화전력(주)"/>
    <x v="0"/>
    <x v="0"/>
    <s v="DHS 706"/>
    <x v="3"/>
    <n v="36000000"/>
  </r>
  <r>
    <x v="0"/>
    <s v="(주)대한정보통신"/>
    <x v="0"/>
    <x v="0"/>
    <s v="DHS 950L"/>
    <x v="0"/>
    <n v="35963636"/>
  </r>
  <r>
    <x v="0"/>
    <s v="(주)강원디지털네트웍스"/>
    <x v="0"/>
    <x v="0"/>
    <s v="DHS 950L"/>
    <x v="0"/>
    <n v="35909091"/>
  </r>
  <r>
    <x v="0"/>
    <s v="동남전기통신(주)"/>
    <x v="0"/>
    <x v="0"/>
    <s v="DHS 950L"/>
    <x v="0"/>
    <n v="35909091"/>
  </r>
  <r>
    <x v="0"/>
    <s v="정원"/>
    <x v="0"/>
    <x v="0"/>
    <s v="DHS 950L"/>
    <x v="0"/>
    <n v="35909091"/>
  </r>
  <r>
    <x v="0"/>
    <s v="한선전자통신(주)"/>
    <x v="0"/>
    <x v="0"/>
    <s v="DHS 950L"/>
    <x v="0"/>
    <n v="35909091"/>
  </r>
  <r>
    <x v="0"/>
    <s v="자올통신솔루션"/>
    <x v="0"/>
    <x v="0"/>
    <s v="DHS 950L"/>
    <x v="0"/>
    <n v="35909091"/>
  </r>
  <r>
    <x v="0"/>
    <s v="미래정보통신"/>
    <x v="0"/>
    <x v="0"/>
    <s v="DHS 950L"/>
    <x v="0"/>
    <n v="35909090"/>
  </r>
  <r>
    <x v="0"/>
    <s v="민수통신"/>
    <x v="0"/>
    <x v="0"/>
    <s v="DHS 950L"/>
    <x v="0"/>
    <n v="359000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VIET TRUNG JOINT STOCK EQUIPMENT COMPANY"/>
    <x v="1"/>
    <x v="2"/>
    <s v="DHS 950L"/>
    <x v="0"/>
    <n v="35894900"/>
  </r>
  <r>
    <x v="0"/>
    <s v="KT네트웍스"/>
    <x v="0"/>
    <x v="0"/>
    <s v="DHS 950L"/>
    <x v="0"/>
    <n v="35800000"/>
  </r>
  <r>
    <x v="0"/>
    <s v="광신네트워크"/>
    <x v="0"/>
    <x v="0"/>
    <s v="DHS 950L"/>
    <x v="0"/>
    <n v="35800000"/>
  </r>
  <r>
    <x v="0"/>
    <s v="대흥정보통신"/>
    <x v="0"/>
    <x v="0"/>
    <s v="DHS 950L"/>
    <x v="0"/>
    <n v="35800000"/>
  </r>
  <r>
    <x v="0"/>
    <s v="연우통신(주)"/>
    <x v="0"/>
    <x v="0"/>
    <s v="DHS 950L"/>
    <x v="0"/>
    <n v="35800000"/>
  </r>
  <r>
    <x v="0"/>
    <s v="(주)진웅텔레콤"/>
    <x v="0"/>
    <x v="0"/>
    <s v="DHS 950L"/>
    <x v="0"/>
    <n v="35800000"/>
  </r>
  <r>
    <x v="0"/>
    <s v="진솔 주식회사"/>
    <x v="0"/>
    <x v="0"/>
    <s v="DHS 950L"/>
    <x v="0"/>
    <n v="35727273"/>
  </r>
  <r>
    <x v="0"/>
    <s v="세화통신"/>
    <x v="0"/>
    <x v="0"/>
    <s v="DHS 950L"/>
    <x v="0"/>
    <n v="35727273"/>
  </r>
  <r>
    <x v="0"/>
    <s v="고은정보건설"/>
    <x v="0"/>
    <x v="0"/>
    <s v="DHS 930"/>
    <x v="0"/>
    <n v="35727273"/>
  </r>
  <r>
    <x v="0"/>
    <s v="(주)광명네트워크"/>
    <x v="0"/>
    <x v="0"/>
    <s v="DHS 950L"/>
    <x v="0"/>
    <n v="35727272"/>
  </r>
  <r>
    <x v="0"/>
    <s v="YS정보통신"/>
    <x v="0"/>
    <x v="0"/>
    <s v="DHS 950L"/>
    <x v="0"/>
    <n v="35727272"/>
  </r>
  <r>
    <x v="0"/>
    <s v="주식회사 윌테크"/>
    <x v="0"/>
    <x v="0"/>
    <s v="DHS 950L"/>
    <x v="0"/>
    <n v="35709091"/>
  </r>
  <r>
    <x v="0"/>
    <s v="주식회사 윌테크"/>
    <x v="0"/>
    <x v="0"/>
    <s v="DHS 950L"/>
    <x v="0"/>
    <n v="35709091"/>
  </r>
  <r>
    <x v="0"/>
    <s v="주식회사 윌테크"/>
    <x v="0"/>
    <x v="0"/>
    <s v="DHS 950L"/>
    <x v="0"/>
    <n v="35709091"/>
  </r>
  <r>
    <x v="0"/>
    <s v="대한네트웍스"/>
    <x v="0"/>
    <x v="0"/>
    <s v="DHS 950L"/>
    <x v="0"/>
    <n v="35700000"/>
  </r>
  <r>
    <x v="0"/>
    <s v="KD네트워크"/>
    <x v="0"/>
    <x v="0"/>
    <s v="DHS 950L"/>
    <x v="0"/>
    <n v="35500000"/>
  </r>
  <r>
    <x v="0"/>
    <s v="서형종"/>
    <x v="0"/>
    <x v="0"/>
    <s v="DHS 950L"/>
    <x v="0"/>
    <n v="35500000"/>
  </r>
  <r>
    <x v="0"/>
    <s v="상승정보통신"/>
    <x v="0"/>
    <x v="0"/>
    <s v="DHS 950L"/>
    <x v="0"/>
    <n v="35500000"/>
  </r>
  <r>
    <x v="0"/>
    <s v="지은텔레콤"/>
    <x v="0"/>
    <x v="0"/>
    <s v="DHS 950L"/>
    <x v="0"/>
    <n v="35500000"/>
  </r>
  <r>
    <x v="0"/>
    <s v="(주)장대"/>
    <x v="0"/>
    <x v="0"/>
    <s v="DHS 950L"/>
    <x v="0"/>
    <n v="35500000"/>
  </r>
  <r>
    <x v="0"/>
    <s v="(주)원플러스서비스"/>
    <x v="0"/>
    <x v="0"/>
    <s v="DHS 950L"/>
    <x v="0"/>
    <n v="35500000"/>
  </r>
  <r>
    <x v="0"/>
    <s v="(주)경남네트워크"/>
    <x v="0"/>
    <x v="0"/>
    <s v="DHS 950L"/>
    <x v="0"/>
    <n v="35500000"/>
  </r>
  <r>
    <x v="0"/>
    <s v="덕성정보통신(주)"/>
    <x v="0"/>
    <x v="0"/>
    <s v="DHS 950L"/>
    <x v="0"/>
    <n v="35500000"/>
  </r>
  <r>
    <x v="0"/>
    <s v="신진통신"/>
    <x v="0"/>
    <x v="0"/>
    <s v="DHS 950L"/>
    <x v="0"/>
    <n v="35500000"/>
  </r>
  <r>
    <x v="0"/>
    <s v="에이스통신"/>
    <x v="0"/>
    <x v="0"/>
    <s v="DHS 950L"/>
    <x v="0"/>
    <n v="35500000"/>
  </r>
  <r>
    <x v="1"/>
    <s v="(주)서림"/>
    <x v="0"/>
    <x v="0"/>
    <s v="DHS 606"/>
    <x v="3"/>
    <n v="35500000"/>
  </r>
  <r>
    <x v="0"/>
    <s v="스카이네트워크"/>
    <x v="0"/>
    <x v="0"/>
    <s v="DHS 950L"/>
    <x v="0"/>
    <n v="35454545"/>
  </r>
  <r>
    <x v="0"/>
    <s v="SH정보통신"/>
    <x v="0"/>
    <x v="0"/>
    <s v="DHS 950L"/>
    <x v="0"/>
    <n v="35454545"/>
  </r>
  <r>
    <x v="0"/>
    <s v="한별정보통신"/>
    <x v="0"/>
    <x v="0"/>
    <s v="DHS 950L"/>
    <x v="0"/>
    <n v="35454545"/>
  </r>
  <r>
    <x v="0"/>
    <s v="H. K. 정보통신"/>
    <x v="0"/>
    <x v="0"/>
    <s v="DHS 950L"/>
    <x v="0"/>
    <n v="35454545"/>
  </r>
  <r>
    <x v="0"/>
    <s v="여름이야기"/>
    <x v="0"/>
    <x v="0"/>
    <s v="DHS 950L"/>
    <x v="0"/>
    <n v="35454545"/>
  </r>
  <r>
    <x v="0"/>
    <s v="주식회사이노탑"/>
    <x v="0"/>
    <x v="0"/>
    <s v="DHS 950L"/>
    <x v="0"/>
    <n v="35454545"/>
  </r>
  <r>
    <x v="0"/>
    <s v="(유)삼일통신"/>
    <x v="0"/>
    <x v="0"/>
    <s v="DHS 950L"/>
    <x v="0"/>
    <n v="35454545"/>
  </r>
  <r>
    <x v="0"/>
    <s v="(유)딕스"/>
    <x v="0"/>
    <x v="0"/>
    <s v="DHS 950L"/>
    <x v="0"/>
    <n v="35454545"/>
  </r>
  <r>
    <x v="0"/>
    <s v="제이씨비젼네트워크(주)"/>
    <x v="0"/>
    <x v="0"/>
    <s v="DHS 950L"/>
    <x v="0"/>
    <n v="35454545"/>
  </r>
  <r>
    <x v="0"/>
    <s v="디앤엘아이티씨"/>
    <x v="0"/>
    <x v="0"/>
    <s v="DHS 930"/>
    <x v="0"/>
    <n v="35454545"/>
  </r>
  <r>
    <x v="0"/>
    <s v="주식회사 포유"/>
    <x v="0"/>
    <x v="0"/>
    <s v="DHS 950L"/>
    <x v="0"/>
    <n v="35454545"/>
  </r>
  <r>
    <x v="0"/>
    <s v="(주)에이치제이통신"/>
    <x v="0"/>
    <x v="0"/>
    <s v="DHS 950L"/>
    <x v="0"/>
    <n v="35409091"/>
  </r>
  <r>
    <x v="0"/>
    <s v="다성정보통신-조은영"/>
    <x v="0"/>
    <x v="0"/>
    <s v="DHS 950L"/>
    <x v="0"/>
    <n v="35400000"/>
  </r>
  <r>
    <x v="0"/>
    <s v="에스에이치(S.H)파워넷"/>
    <x v="0"/>
    <x v="0"/>
    <s v="DHS 950L"/>
    <x v="0"/>
    <n v="35400000"/>
  </r>
  <r>
    <x v="0"/>
    <s v="하나넷"/>
    <x v="0"/>
    <x v="0"/>
    <s v="DHS 950L"/>
    <x v="0"/>
    <n v="35300000"/>
  </r>
  <r>
    <x v="0"/>
    <s v="밀알통신"/>
    <x v="0"/>
    <x v="0"/>
    <s v="DHS 950L"/>
    <x v="0"/>
    <n v="35272727"/>
  </r>
  <r>
    <x v="0"/>
    <s v="중원정보통신(주)"/>
    <x v="0"/>
    <x v="0"/>
    <s v="DHS 950L"/>
    <x v="0"/>
    <n v="35268182"/>
  </r>
  <r>
    <x v="0"/>
    <s v="중원정보통신(주)"/>
    <x v="0"/>
    <x v="0"/>
    <s v="DHS 950L"/>
    <x v="0"/>
    <n v="35268182"/>
  </r>
  <r>
    <x v="0"/>
    <s v="(유)오성통신"/>
    <x v="0"/>
    <x v="0"/>
    <s v="DHS 950L"/>
    <x v="0"/>
    <n v="35181818"/>
  </r>
  <r>
    <x v="0"/>
    <s v="준정보기술"/>
    <x v="0"/>
    <x v="0"/>
    <s v="DHS 950L"/>
    <x v="0"/>
    <n v="35090909"/>
  </r>
  <r>
    <x v="0"/>
    <s v="태화정보통신(주)"/>
    <x v="0"/>
    <x v="0"/>
    <s v="DHS 950L"/>
    <x v="0"/>
    <n v="35000000"/>
  </r>
  <r>
    <x v="0"/>
    <s v="웹정보통신"/>
    <x v="0"/>
    <x v="0"/>
    <s v="DHS 950L"/>
    <x v="0"/>
    <n v="35000000"/>
  </r>
  <r>
    <x v="0"/>
    <s v="정화통신"/>
    <x v="0"/>
    <x v="0"/>
    <s v="DHS 950L"/>
    <x v="0"/>
    <n v="35000000"/>
  </r>
  <r>
    <x v="0"/>
    <s v="아르니온"/>
    <x v="0"/>
    <x v="0"/>
    <s v="DHS 950L"/>
    <x v="0"/>
    <n v="35000000"/>
  </r>
  <r>
    <x v="0"/>
    <s v="우석텔레콤"/>
    <x v="0"/>
    <x v="0"/>
    <s v="DHS 950L"/>
    <x v="0"/>
    <n v="35000000"/>
  </r>
  <r>
    <x v="0"/>
    <s v="YES정보통신"/>
    <x v="0"/>
    <x v="0"/>
    <s v="DHS 950L"/>
    <x v="0"/>
    <n v="35000000"/>
  </r>
  <r>
    <x v="0"/>
    <s v="디에스(DS)"/>
    <x v="0"/>
    <x v="0"/>
    <s v="DHS 950L"/>
    <x v="0"/>
    <n v="35000000"/>
  </r>
  <r>
    <x v="0"/>
    <s v="주식회사 씨앤엘네트웍스"/>
    <x v="0"/>
    <x v="0"/>
    <s v="DHS 950L"/>
    <x v="0"/>
    <n v="35000000"/>
  </r>
  <r>
    <x v="0"/>
    <s v="디에스(DS)"/>
    <x v="0"/>
    <x v="0"/>
    <s v="DHS 950L"/>
    <x v="0"/>
    <n v="35000000"/>
  </r>
  <r>
    <x v="0"/>
    <s v="일신정보통신"/>
    <x v="0"/>
    <x v="0"/>
    <s v="DHS 930"/>
    <x v="0"/>
    <n v="35000000"/>
  </r>
  <r>
    <x v="0"/>
    <s v="(주)뉴젠스"/>
    <x v="0"/>
    <x v="0"/>
    <s v="DHS 950L"/>
    <x v="0"/>
    <n v="35000000"/>
  </r>
  <r>
    <x v="0"/>
    <s v="K2 네트워크"/>
    <x v="0"/>
    <x v="0"/>
    <s v="DHS 950L"/>
    <x v="0"/>
    <n v="35000000"/>
  </r>
  <r>
    <x v="0"/>
    <s v="주현통신"/>
    <x v="0"/>
    <x v="0"/>
    <s v="DHS 950L"/>
    <x v="0"/>
    <n v="35000000"/>
  </r>
  <r>
    <x v="0"/>
    <s v="천하정보"/>
    <x v="0"/>
    <x v="0"/>
    <s v="DHS 950L"/>
    <x v="0"/>
    <n v="35000000"/>
  </r>
  <r>
    <x v="0"/>
    <s v="(주)에이치넷"/>
    <x v="0"/>
    <x v="0"/>
    <s v="DHS 950L"/>
    <x v="0"/>
    <n v="35000000"/>
  </r>
  <r>
    <x v="0"/>
    <s v="네오(neo)정보통신"/>
    <x v="0"/>
    <x v="0"/>
    <s v="DHS 950L"/>
    <x v="0"/>
    <n v="35000000"/>
  </r>
  <r>
    <x v="0"/>
    <s v="원일정보통신 주식회사"/>
    <x v="0"/>
    <x v="0"/>
    <s v="DHS 950L"/>
    <x v="0"/>
    <n v="35000000"/>
  </r>
  <r>
    <x v="0"/>
    <s v="(주)신화전력개발"/>
    <x v="0"/>
    <x v="0"/>
    <s v="DHS 950L"/>
    <x v="0"/>
    <n v="35000000"/>
  </r>
  <r>
    <x v="0"/>
    <s v="원앤원정보통신"/>
    <x v="0"/>
    <x v="0"/>
    <s v="DSH 950L"/>
    <x v="0"/>
    <n v="35000000"/>
  </r>
  <r>
    <x v="0"/>
    <s v="에스제이테크(주)"/>
    <x v="0"/>
    <x v="0"/>
    <s v="DHS 950L"/>
    <x v="0"/>
    <n v="35000000"/>
  </r>
  <r>
    <x v="0"/>
    <s v="엠엔에이치정보통신"/>
    <x v="0"/>
    <x v="0"/>
    <s v="DHS 930"/>
    <x v="0"/>
    <n v="35000000"/>
  </r>
  <r>
    <x v="0"/>
    <s v="(주)에이치넷"/>
    <x v="0"/>
    <x v="0"/>
    <s v="DHS 950L"/>
    <x v="0"/>
    <n v="35000000"/>
  </r>
  <r>
    <x v="0"/>
    <s v="(주)재광전기"/>
    <x v="0"/>
    <x v="0"/>
    <s v="DHS 950L"/>
    <x v="0"/>
    <n v="35000000"/>
  </r>
  <r>
    <x v="0"/>
    <s v="(주)씨유정보통신"/>
    <x v="0"/>
    <x v="0"/>
    <s v="DHS 930"/>
    <x v="0"/>
    <n v="34834546"/>
  </r>
  <r>
    <x v="0"/>
    <s v="한라정보통신(주)"/>
    <x v="0"/>
    <x v="0"/>
    <s v="DHS 950L"/>
    <x v="0"/>
    <n v="34818182"/>
  </r>
  <r>
    <x v="0"/>
    <s v="(주)다산통신"/>
    <x v="0"/>
    <x v="0"/>
    <s v="DHS 950L"/>
    <x v="0"/>
    <n v="34800000"/>
  </r>
  <r>
    <x v="0"/>
    <s v="유정통신"/>
    <x v="0"/>
    <x v="0"/>
    <s v="DHS 930"/>
    <x v="0"/>
    <n v="34772727"/>
  </r>
  <r>
    <x v="0"/>
    <s v="(주)천안케이블네트웍"/>
    <x v="0"/>
    <x v="0"/>
    <s v="DHS 950L"/>
    <x v="0"/>
    <n v="34759091"/>
  </r>
  <r>
    <x v="0"/>
    <s v="(주)천안케이블네트웍"/>
    <x v="0"/>
    <x v="0"/>
    <s v="DHS 950L"/>
    <x v="0"/>
    <n v="34759091"/>
  </r>
  <r>
    <x v="0"/>
    <s v="(주)천안케이블네트웍"/>
    <x v="0"/>
    <x v="0"/>
    <s v="DHS 950L"/>
    <x v="0"/>
    <n v="34759091"/>
  </r>
  <r>
    <x v="0"/>
    <s v="(주)천안케이블네트웍"/>
    <x v="0"/>
    <x v="0"/>
    <s v="DHS 950L"/>
    <x v="0"/>
    <n v="34759091"/>
  </r>
  <r>
    <x v="0"/>
    <s v="(주)두원전자통신"/>
    <x v="0"/>
    <x v="0"/>
    <s v="DHS 950L"/>
    <x v="0"/>
    <n v="34727273"/>
  </r>
  <r>
    <x v="0"/>
    <s v="(주)선진정보통신"/>
    <x v="0"/>
    <x v="0"/>
    <s v="DHS 950L"/>
    <x v="0"/>
    <n v="34700000"/>
  </r>
  <r>
    <x v="0"/>
    <s v="(주)선진정보통신"/>
    <x v="0"/>
    <x v="0"/>
    <s v="DHS 950L"/>
    <x v="0"/>
    <n v="34700000"/>
  </r>
  <r>
    <x v="0"/>
    <s v="(주)에이에스케이블"/>
    <x v="0"/>
    <x v="0"/>
    <s v="DHS 950L"/>
    <x v="0"/>
    <n v="34570000"/>
  </r>
  <r>
    <x v="0"/>
    <s v="대우컴퓨터"/>
    <x v="0"/>
    <x v="0"/>
    <s v="DHS 930"/>
    <x v="0"/>
    <n v="34560000"/>
  </r>
  <r>
    <x v="0"/>
    <s v="주식회사 범우"/>
    <x v="0"/>
    <x v="0"/>
    <s v="DHS 950L"/>
    <x v="0"/>
    <n v="34550000"/>
  </r>
  <r>
    <x v="0"/>
    <s v="(주)하나로"/>
    <x v="0"/>
    <x v="0"/>
    <s v="DHS 930"/>
    <x v="0"/>
    <n v="34545455"/>
  </r>
  <r>
    <x v="0"/>
    <s v="주식회사 제이엠정보통신"/>
    <x v="0"/>
    <x v="0"/>
    <s v="DHS 950L"/>
    <x v="0"/>
    <n v="34545455"/>
  </r>
  <r>
    <x v="0"/>
    <s v="(주)사삼정보통신"/>
    <x v="0"/>
    <x v="0"/>
    <s v="DHS 950L"/>
    <x v="0"/>
    <n v="34545455"/>
  </r>
  <r>
    <x v="0"/>
    <s v="(주)영대정보통신"/>
    <x v="0"/>
    <x v="0"/>
    <s v="DHS 930"/>
    <x v="0"/>
    <n v="34545455"/>
  </r>
  <r>
    <x v="0"/>
    <s v="서정통신"/>
    <x v="0"/>
    <x v="0"/>
    <s v="DHS 930"/>
    <x v="0"/>
    <n v="34545455"/>
  </r>
  <r>
    <x v="0"/>
    <s v="이정정보통신"/>
    <x v="0"/>
    <x v="0"/>
    <s v="DHS 930"/>
    <x v="0"/>
    <n v="34545455"/>
  </r>
  <r>
    <x v="0"/>
    <s v="가람통신"/>
    <x v="0"/>
    <x v="0"/>
    <s v="DHS 930"/>
    <x v="0"/>
    <n v="34545455"/>
  </r>
  <r>
    <x v="0"/>
    <s v="한주통신(주)"/>
    <x v="0"/>
    <x v="0"/>
    <s v="DHS 930"/>
    <x v="0"/>
    <n v="34545455"/>
  </r>
  <r>
    <x v="0"/>
    <s v="성림정보통신"/>
    <x v="0"/>
    <x v="0"/>
    <s v="DHS 950L"/>
    <x v="0"/>
    <n v="34545454"/>
  </r>
  <r>
    <x v="0"/>
    <s v="유지텔레컴 주식회사"/>
    <x v="0"/>
    <x v="0"/>
    <s v="DHS 950L"/>
    <x v="0"/>
    <n v="34545454"/>
  </r>
  <r>
    <x v="0"/>
    <s v="(주)광명네트워크"/>
    <x v="0"/>
    <x v="0"/>
    <s v="DHS 930"/>
    <x v="0"/>
    <n v="34545454"/>
  </r>
  <r>
    <x v="0"/>
    <s v="선진건설주식회사"/>
    <x v="0"/>
    <x v="0"/>
    <s v="DHS 950L"/>
    <x v="0"/>
    <n v="34500000"/>
  </r>
  <r>
    <x v="0"/>
    <s v="양산정보통신(주)"/>
    <x v="0"/>
    <x v="0"/>
    <s v="DHS 950L"/>
    <x v="0"/>
    <n v="34500000"/>
  </r>
  <r>
    <x v="0"/>
    <s v="원플러스텔레콤(주)"/>
    <x v="0"/>
    <x v="0"/>
    <s v="DHS 950L"/>
    <x v="0"/>
    <n v="34500000"/>
  </r>
  <r>
    <x v="0"/>
    <s v="득진통신(주)"/>
    <x v="0"/>
    <x v="0"/>
    <s v="DHS 950L"/>
    <x v="0"/>
    <n v="34500000"/>
  </r>
  <r>
    <x v="0"/>
    <s v="(주)이넷시스"/>
    <x v="0"/>
    <x v="0"/>
    <s v="DHS 950L"/>
    <x v="0"/>
    <n v="34500000"/>
  </r>
  <r>
    <x v="0"/>
    <s v="포어텍"/>
    <x v="0"/>
    <x v="0"/>
    <s v="DHS 950L"/>
    <x v="0"/>
    <n v="34500000"/>
  </r>
  <r>
    <x v="0"/>
    <s v="덕산통신"/>
    <x v="0"/>
    <x v="0"/>
    <s v="DHS 930"/>
    <x v="0"/>
    <n v="34500000"/>
  </r>
  <r>
    <x v="0"/>
    <s v="주식회사 한올통신"/>
    <x v="0"/>
    <x v="0"/>
    <s v="DHS 930"/>
    <x v="0"/>
    <n v="34500000"/>
  </r>
  <r>
    <x v="0"/>
    <s v="성창통신 주식회사"/>
    <x v="0"/>
    <x v="0"/>
    <s v="DHS 930"/>
    <x v="0"/>
    <n v="34500000"/>
  </r>
  <r>
    <x v="0"/>
    <s v="임철"/>
    <x v="0"/>
    <x v="0"/>
    <s v="DHS 950L"/>
    <x v="0"/>
    <n v="34500000"/>
  </r>
  <r>
    <x v="0"/>
    <s v="제이디통신"/>
    <x v="0"/>
    <x v="0"/>
    <s v="DHS 950L"/>
    <x v="0"/>
    <n v="34500000"/>
  </r>
  <r>
    <x v="0"/>
    <s v="지음"/>
    <x v="0"/>
    <x v="0"/>
    <s v="DHS 950L"/>
    <x v="0"/>
    <n v="34500000"/>
  </r>
  <r>
    <x v="0"/>
    <s v="지음"/>
    <x v="0"/>
    <x v="0"/>
    <s v="DHS 950L"/>
    <x v="0"/>
    <n v="34500000"/>
  </r>
  <r>
    <x v="0"/>
    <s v="YB정보통신"/>
    <x v="0"/>
    <x v="0"/>
    <s v="DHS 950L"/>
    <x v="0"/>
    <n v="34500000"/>
  </r>
  <r>
    <x v="0"/>
    <s v="(주)아이씨티"/>
    <x v="0"/>
    <x v="0"/>
    <s v="DHS 950L"/>
    <x v="0"/>
    <n v="34500000"/>
  </r>
  <r>
    <x v="0"/>
    <s v="박명숙"/>
    <x v="0"/>
    <x v="0"/>
    <s v="DHS 950L"/>
    <x v="0"/>
    <n v="34454545"/>
  </r>
  <r>
    <x v="0"/>
    <s v="(주)하나로"/>
    <x v="0"/>
    <x v="0"/>
    <s v="DHS 930"/>
    <x v="0"/>
    <n v="34409091"/>
  </r>
  <r>
    <x v="0"/>
    <s v="(주)하나로"/>
    <x v="0"/>
    <x v="0"/>
    <s v="DHS 930"/>
    <x v="0"/>
    <n v="34409091"/>
  </r>
  <r>
    <x v="0"/>
    <s v="(주)용진통신"/>
    <x v="0"/>
    <x v="0"/>
    <s v="DHS 930"/>
    <x v="0"/>
    <n v="3440000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VIET TRUNG JOINT STOCK EQUIPMENT COMPANY"/>
    <x v="1"/>
    <x v="2"/>
    <s v="DHS 950L"/>
    <x v="0"/>
    <n v="34379620"/>
  </r>
  <r>
    <x v="0"/>
    <s v="성광정보통신"/>
    <x v="0"/>
    <x v="0"/>
    <s v="DHS 930"/>
    <x v="0"/>
    <n v="34345454"/>
  </r>
  <r>
    <x v="0"/>
    <s v="경방전기통신(주)"/>
    <x v="0"/>
    <x v="0"/>
    <s v="DHS 930"/>
    <x v="0"/>
    <n v="34300000"/>
  </r>
  <r>
    <x v="0"/>
    <s v="경방전기통신(주)"/>
    <x v="0"/>
    <x v="0"/>
    <s v="DHS 930"/>
    <x v="0"/>
    <n v="34300000"/>
  </r>
  <r>
    <x v="0"/>
    <s v="VIET TRUNG JOINT STOCK EQUIPMENT COMPANY"/>
    <x v="1"/>
    <x v="2"/>
    <s v="DHS 950L"/>
    <x v="0"/>
    <n v="34266160"/>
  </r>
  <r>
    <x v="0"/>
    <s v="VIET TRUNG JOINT STOCK EQUIPMENT COMPANY"/>
    <x v="1"/>
    <x v="2"/>
    <s v="DHS 950L"/>
    <x v="0"/>
    <n v="34266160"/>
  </r>
  <r>
    <x v="0"/>
    <s v="VIET TRUNG JOINT STOCK EQUIPMENT COMPANY"/>
    <x v="1"/>
    <x v="2"/>
    <s v="DHS 950L"/>
    <x v="0"/>
    <n v="34266160"/>
  </r>
  <r>
    <x v="0"/>
    <s v="VIET TRUNG JOINT STOCK EQUIPMENT COMPANY"/>
    <x v="1"/>
    <x v="2"/>
    <s v="DHS 950L"/>
    <x v="0"/>
    <n v="34266160"/>
  </r>
  <r>
    <x v="0"/>
    <s v="VIET TRUNG JOINT STOCK EQUIPMENT COMPANY"/>
    <x v="1"/>
    <x v="2"/>
    <s v="DHS 950L"/>
    <x v="0"/>
    <n v="34266160"/>
  </r>
  <r>
    <x v="0"/>
    <s v="VIET TRUNG JOINT STOCK EQUIPMENT COMPANY"/>
    <x v="1"/>
    <x v="2"/>
    <s v="DHS 950L"/>
    <x v="0"/>
    <n v="34266160"/>
  </r>
  <r>
    <x v="0"/>
    <s v="(주)오션네트웍스"/>
    <x v="0"/>
    <x v="0"/>
    <s v="DHS 950L"/>
    <x v="0"/>
    <n v="34200000"/>
  </r>
  <r>
    <x v="0"/>
    <s v="코어네트웍스"/>
    <x v="0"/>
    <x v="0"/>
    <s v="DHS 930"/>
    <x v="0"/>
    <n v="34200000"/>
  </r>
  <r>
    <x v="0"/>
    <s v="젊은기술(주)"/>
    <x v="0"/>
    <x v="0"/>
    <s v="DHS 930"/>
    <x v="0"/>
    <n v="34181818"/>
  </r>
  <r>
    <x v="0"/>
    <s v="참 통신기술"/>
    <x v="0"/>
    <x v="0"/>
    <s v="DHS 950L"/>
    <x v="0"/>
    <n v="34181818"/>
  </r>
  <r>
    <x v="0"/>
    <s v="스피드정보통신"/>
    <x v="0"/>
    <x v="0"/>
    <s v="DHS 950L"/>
    <x v="0"/>
    <n v="34090909"/>
  </r>
  <r>
    <x v="0"/>
    <s v="(유)미주계전"/>
    <x v="0"/>
    <x v="0"/>
    <s v="DHS 930"/>
    <x v="0"/>
    <n v="34090909"/>
  </r>
  <r>
    <x v="0"/>
    <s v="쎈스통신"/>
    <x v="0"/>
    <x v="0"/>
    <s v="DHS 950L"/>
    <x v="0"/>
    <n v="34090909"/>
  </r>
  <r>
    <x v="0"/>
    <s v="(주)영대정보통신"/>
    <x v="0"/>
    <x v="0"/>
    <s v="DHS 930"/>
    <x v="0"/>
    <n v="34045455"/>
  </r>
  <r>
    <x v="0"/>
    <s v="안태훈"/>
    <x v="0"/>
    <x v="0"/>
    <s v="DHS 950L"/>
    <x v="0"/>
    <n v="34000000"/>
  </r>
  <r>
    <x v="0"/>
    <s v="엄태연"/>
    <x v="0"/>
    <x v="0"/>
    <s v="DHS 930"/>
    <x v="0"/>
    <n v="34000000"/>
  </r>
  <r>
    <x v="0"/>
    <s v="민정보통신"/>
    <x v="0"/>
    <x v="0"/>
    <s v="DHS 950L"/>
    <x v="0"/>
    <n v="34000000"/>
  </r>
  <r>
    <x v="0"/>
    <s v="민정보통신"/>
    <x v="0"/>
    <x v="0"/>
    <s v="DHS 950L"/>
    <x v="0"/>
    <n v="34000000"/>
  </r>
  <r>
    <x v="0"/>
    <s v="(주)이안네트워크"/>
    <x v="0"/>
    <x v="0"/>
    <s v="DHS 950L"/>
    <x v="0"/>
    <n v="34000000"/>
  </r>
  <r>
    <x v="0"/>
    <s v="최병덕"/>
    <x v="0"/>
    <x v="0"/>
    <s v="DHS 950L"/>
    <x v="0"/>
    <n v="34000000"/>
  </r>
  <r>
    <x v="0"/>
    <s v="원플러스텔레콤(주)"/>
    <x v="0"/>
    <x v="0"/>
    <s v="DHS 950L"/>
    <x v="0"/>
    <n v="34000000"/>
  </r>
  <r>
    <x v="0"/>
    <s v="동진통신(주)"/>
    <x v="0"/>
    <x v="0"/>
    <s v="DHS 950L"/>
    <x v="0"/>
    <n v="34000000"/>
  </r>
  <r>
    <x v="0"/>
    <s v="대길통신"/>
    <x v="0"/>
    <x v="0"/>
    <s v="DHS 950L"/>
    <x v="0"/>
    <n v="34000000"/>
  </r>
  <r>
    <x v="0"/>
    <s v="누리통신"/>
    <x v="0"/>
    <x v="0"/>
    <s v="DHS 950L"/>
    <x v="0"/>
    <n v="34000000"/>
  </r>
  <r>
    <x v="0"/>
    <s v="가온누리"/>
    <x v="0"/>
    <x v="0"/>
    <s v="DHS 950L"/>
    <x v="0"/>
    <n v="34000000"/>
  </r>
  <r>
    <x v="0"/>
    <s v="세진네트워크"/>
    <x v="0"/>
    <x v="0"/>
    <s v="DHS 950L"/>
    <x v="0"/>
    <n v="34000000"/>
  </r>
  <r>
    <x v="0"/>
    <s v="(주)그린정보시스템"/>
    <x v="0"/>
    <x v="0"/>
    <s v="DHS 930"/>
    <x v="0"/>
    <n v="34000000"/>
  </r>
  <r>
    <x v="0"/>
    <s v="주식회사 한신"/>
    <x v="0"/>
    <x v="0"/>
    <s v="DHS 950L"/>
    <x v="0"/>
    <n v="34000000"/>
  </r>
  <r>
    <x v="0"/>
    <s v="주식회사 수길정보통신"/>
    <x v="0"/>
    <x v="0"/>
    <s v="DHS 950L"/>
    <x v="0"/>
    <n v="34000000"/>
  </r>
  <r>
    <x v="0"/>
    <s v="주식회사 수길정보통신"/>
    <x v="0"/>
    <x v="0"/>
    <s v="DHS 950L"/>
    <x v="0"/>
    <n v="34000000"/>
  </r>
  <r>
    <x v="0"/>
    <s v="유진네트웍스"/>
    <x v="0"/>
    <x v="0"/>
    <s v="DHS 950L"/>
    <x v="0"/>
    <n v="34000000"/>
  </r>
  <r>
    <x v="0"/>
    <s v="주식회사 기산이앤씨"/>
    <x v="0"/>
    <x v="0"/>
    <s v="DHS 950L"/>
    <x v="0"/>
    <n v="34000000"/>
  </r>
  <r>
    <x v="0"/>
    <s v="한라정보통신(주)"/>
    <x v="0"/>
    <x v="0"/>
    <s v="DHS 950L"/>
    <x v="0"/>
    <n v="33909091"/>
  </r>
  <r>
    <x v="0"/>
    <s v="최윤철"/>
    <x v="0"/>
    <x v="0"/>
    <s v="DHS 950L"/>
    <x v="0"/>
    <n v="33900000"/>
  </r>
  <r>
    <x v="0"/>
    <s v="MH"/>
    <x v="0"/>
    <x v="0"/>
    <s v="DHS 950L"/>
    <x v="0"/>
    <n v="33800000"/>
  </r>
  <r>
    <x v="0"/>
    <s v="J＆J"/>
    <x v="0"/>
    <x v="0"/>
    <s v="DHS 950L"/>
    <x v="0"/>
    <n v="33800000"/>
  </r>
  <r>
    <x v="0"/>
    <s v="김해전기"/>
    <x v="0"/>
    <x v="0"/>
    <s v="DHS 950L"/>
    <x v="0"/>
    <n v="33680000"/>
  </r>
  <r>
    <x v="0"/>
    <s v="다인정보통신"/>
    <x v="0"/>
    <x v="0"/>
    <s v="DHS 950L"/>
    <x v="0"/>
    <n v="33636364"/>
  </r>
  <r>
    <x v="0"/>
    <s v="서해디지털"/>
    <x v="0"/>
    <x v="0"/>
    <s v="DHS 950L"/>
    <x v="0"/>
    <n v="33636363"/>
  </r>
  <r>
    <x v="0"/>
    <s v="파운더스"/>
    <x v="0"/>
    <x v="0"/>
    <s v="DHS 950L"/>
    <x v="0"/>
    <n v="33636363"/>
  </r>
  <r>
    <x v="0"/>
    <s v="(주)에이에스케이블"/>
    <x v="0"/>
    <x v="0"/>
    <s v="DHS 950L"/>
    <x v="0"/>
    <n v="33620000"/>
  </r>
  <r>
    <x v="0"/>
    <s v="한국메가와트 주식회사"/>
    <x v="0"/>
    <x v="0"/>
    <s v="DHS 706"/>
    <x v="3"/>
    <n v="33600000"/>
  </r>
  <r>
    <x v="0"/>
    <s v="하이패스텔"/>
    <x v="0"/>
    <x v="0"/>
    <s v="DHS 950L"/>
    <x v="0"/>
    <n v="33500000"/>
  </r>
  <r>
    <x v="0"/>
    <s v="TJ네트워크"/>
    <x v="0"/>
    <x v="0"/>
    <s v="DHS 950L"/>
    <x v="0"/>
    <n v="33500000"/>
  </r>
  <r>
    <x v="0"/>
    <s v="(주)스마트비전"/>
    <x v="0"/>
    <x v="0"/>
    <s v="DHS 930"/>
    <x v="0"/>
    <n v="33500000"/>
  </r>
  <r>
    <x v="0"/>
    <s v="정귀연"/>
    <x v="0"/>
    <x v="0"/>
    <s v="DHS 950L"/>
    <x v="0"/>
    <n v="33500000"/>
  </r>
  <r>
    <x v="0"/>
    <s v="비젼넷 주식회사"/>
    <x v="0"/>
    <x v="0"/>
    <s v="DHS 950L"/>
    <x v="0"/>
    <n v="33500000"/>
  </r>
  <r>
    <x v="0"/>
    <s v="원케이블서비스(주)"/>
    <x v="0"/>
    <x v="0"/>
    <s v="DHS 950L"/>
    <x v="0"/>
    <n v="33500000"/>
  </r>
  <r>
    <x v="0"/>
    <s v="(주)티에스씨"/>
    <x v="0"/>
    <x v="0"/>
    <s v="DHS 950L"/>
    <x v="0"/>
    <n v="33500000"/>
  </r>
  <r>
    <x v="0"/>
    <s v="(주)티에스씨"/>
    <x v="0"/>
    <x v="0"/>
    <s v="DHS 950L"/>
    <x v="0"/>
    <n v="33500000"/>
  </r>
  <r>
    <x v="0"/>
    <s v="(주)도봉케이블서비스"/>
    <x v="0"/>
    <x v="0"/>
    <s v="DHS 950L"/>
    <x v="0"/>
    <n v="33500000"/>
  </r>
  <r>
    <x v="0"/>
    <s v="(주)도봉케이블서비스"/>
    <x v="0"/>
    <x v="0"/>
    <s v="DHS 950L"/>
    <x v="0"/>
    <n v="33500000"/>
  </r>
  <r>
    <x v="0"/>
    <s v="(주)대천정보통신"/>
    <x v="0"/>
    <x v="0"/>
    <s v="DHS 930"/>
    <x v="0"/>
    <n v="33500000"/>
  </r>
  <r>
    <x v="0"/>
    <s v="(주)티아이정보통신"/>
    <x v="0"/>
    <x v="0"/>
    <s v="DHS 930"/>
    <x v="0"/>
    <n v="33500000"/>
  </r>
  <r>
    <x v="0"/>
    <s v="국제시스템(주)"/>
    <x v="0"/>
    <x v="0"/>
    <s v="DHS 950L"/>
    <x v="0"/>
    <n v="33200000"/>
  </r>
  <r>
    <x v="0"/>
    <s v="성광정보통신"/>
    <x v="0"/>
    <x v="0"/>
    <s v="DHS 930"/>
    <x v="0"/>
    <n v="33200000"/>
  </r>
  <r>
    <x v="0"/>
    <s v="동신통신"/>
    <x v="0"/>
    <x v="0"/>
    <s v="DHS 930"/>
    <x v="0"/>
    <n v="33200000"/>
  </r>
  <r>
    <x v="0"/>
    <s v="에이스정보통신"/>
    <x v="0"/>
    <x v="0"/>
    <s v="DHS 950L"/>
    <x v="0"/>
    <n v="33000000"/>
  </r>
  <r>
    <x v="0"/>
    <s v="미래컴퓨터"/>
    <x v="0"/>
    <x v="0"/>
    <s v="DHS 950L"/>
    <x v="0"/>
    <n v="33000000"/>
  </r>
  <r>
    <x v="0"/>
    <s v="(주)이화텔레콤"/>
    <x v="0"/>
    <x v="0"/>
    <s v="DHS 950L"/>
    <x v="0"/>
    <n v="33000000"/>
  </r>
  <r>
    <x v="0"/>
    <s v="(주)한미석유"/>
    <x v="0"/>
    <x v="0"/>
    <s v="DHS 950L"/>
    <x v="0"/>
    <n v="33000000"/>
  </r>
  <r>
    <x v="0"/>
    <s v="(주)아이엔아이"/>
    <x v="0"/>
    <x v="0"/>
    <s v="DHS 950L"/>
    <x v="0"/>
    <n v="33000000"/>
  </r>
  <r>
    <x v="0"/>
    <s v="에스앤씨통신"/>
    <x v="0"/>
    <x v="0"/>
    <s v="DHS 950L"/>
    <x v="0"/>
    <n v="33000000"/>
  </r>
  <r>
    <x v="0"/>
    <s v="시화기계유통단지조합"/>
    <x v="0"/>
    <x v="0"/>
    <s v="DHS 950L"/>
    <x v="0"/>
    <n v="33000000"/>
  </r>
  <r>
    <x v="0"/>
    <s v="미래시스템(주)"/>
    <x v="0"/>
    <x v="0"/>
    <s v="DHS 203"/>
    <x v="3"/>
    <n v="33000000"/>
  </r>
  <r>
    <x v="0"/>
    <s v="YS정보통신"/>
    <x v="0"/>
    <x v="0"/>
    <s v="DHS 950L"/>
    <x v="0"/>
    <n v="33000000"/>
  </r>
  <r>
    <x v="0"/>
    <s v="케이피(K.P)통신"/>
    <x v="0"/>
    <x v="0"/>
    <s v="DHS 950L"/>
    <x v="0"/>
    <n v="33000000"/>
  </r>
  <r>
    <x v="0"/>
    <s v="다원아이티(주)"/>
    <x v="0"/>
    <x v="0"/>
    <s v="DHS 950L"/>
    <x v="0"/>
    <n v="33000000"/>
  </r>
  <r>
    <x v="0"/>
    <s v="주식회사 선우아이티"/>
    <x v="0"/>
    <x v="0"/>
    <s v="DHS 930"/>
    <x v="0"/>
    <n v="33000000"/>
  </r>
  <r>
    <x v="0"/>
    <s v="(주)대천정보통신"/>
    <x v="0"/>
    <x v="0"/>
    <s v="DHS 930"/>
    <x v="0"/>
    <n v="33000000"/>
  </r>
  <r>
    <x v="0"/>
    <s v="(주)티아이정보통신"/>
    <x v="0"/>
    <x v="0"/>
    <s v="DHS 930"/>
    <x v="0"/>
    <n v="330000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현대캐피탈주식회사"/>
    <x v="0"/>
    <x v="0"/>
    <s v="DHS 930"/>
    <x v="0"/>
    <n v="32763600"/>
  </r>
  <r>
    <x v="0"/>
    <s v="제이제이통신"/>
    <x v="0"/>
    <x v="0"/>
    <s v="DHS 930"/>
    <x v="0"/>
    <n v="32727272"/>
  </r>
  <r>
    <x v="3"/>
    <s v="SYKT.PEMBEKALAN ＆ PERKHIDMATANLEZAN"/>
    <x v="1"/>
    <x v="1"/>
    <s v="DHS 15AP"/>
    <x v="0"/>
    <n v="32706947"/>
  </r>
  <r>
    <x v="0"/>
    <s v="(주)제이웰"/>
    <x v="0"/>
    <x v="0"/>
    <s v="DHS 950L"/>
    <x v="0"/>
    <n v="32630000"/>
  </r>
  <r>
    <x v="0"/>
    <s v="누리통신"/>
    <x v="0"/>
    <x v="0"/>
    <s v="DHS 930"/>
    <x v="0"/>
    <n v="32600000"/>
  </r>
  <r>
    <x v="0"/>
    <s v="구골플렉스"/>
    <x v="0"/>
    <x v="0"/>
    <s v="DHS 950L"/>
    <x v="0"/>
    <n v="32500000"/>
  </r>
  <r>
    <x v="0"/>
    <s v="(주)경봉"/>
    <x v="0"/>
    <x v="0"/>
    <s v="DHS 870"/>
    <x v="0"/>
    <n v="32371500"/>
  </r>
  <r>
    <x v="0"/>
    <s v="젊은기술(주)"/>
    <x v="0"/>
    <x v="0"/>
    <s v="DHS 930"/>
    <x v="0"/>
    <n v="32300000"/>
  </r>
  <r>
    <x v="0"/>
    <s v="젊은기술(주)"/>
    <x v="0"/>
    <x v="0"/>
    <s v="DHS 930"/>
    <x v="0"/>
    <n v="32300000"/>
  </r>
  <r>
    <x v="0"/>
    <s v="(주)효원이엔지"/>
    <x v="0"/>
    <x v="0"/>
    <s v="DHS 930"/>
    <x v="0"/>
    <n v="32300000"/>
  </r>
  <r>
    <x v="0"/>
    <s v="주식회사 선우아이티"/>
    <x v="0"/>
    <x v="0"/>
    <s v="DHS 930"/>
    <x v="0"/>
    <n v="32200000"/>
  </r>
  <r>
    <x v="0"/>
    <s v="(주)대천정보통신"/>
    <x v="0"/>
    <x v="0"/>
    <s v="DHS 930"/>
    <x v="0"/>
    <n v="32200000"/>
  </r>
  <r>
    <x v="0"/>
    <s v="(주)티아이정보통신"/>
    <x v="0"/>
    <x v="0"/>
    <s v="DHS 930"/>
    <x v="0"/>
    <n v="32200000"/>
  </r>
  <r>
    <x v="0"/>
    <s v="현대캐피탈주식회사"/>
    <x v="0"/>
    <x v="0"/>
    <s v="DHS 930"/>
    <x v="0"/>
    <n v="32081600"/>
  </r>
  <r>
    <x v="0"/>
    <s v="유진구내식당"/>
    <x v="0"/>
    <x v="0"/>
    <s v="DHS 950L"/>
    <x v="0"/>
    <n v="32000000"/>
  </r>
  <r>
    <x v="0"/>
    <s v="(주)에스엠엔네트워크"/>
    <x v="0"/>
    <x v="0"/>
    <s v="DHS 950L"/>
    <x v="0"/>
    <n v="32000000"/>
  </r>
  <r>
    <x v="0"/>
    <s v="(주)에스엠엔네트워크"/>
    <x v="0"/>
    <x v="0"/>
    <s v="DHS 950L"/>
    <x v="0"/>
    <n v="32000000"/>
  </r>
  <r>
    <x v="0"/>
    <s v="(주)에스엠엔네트워크"/>
    <x v="0"/>
    <x v="0"/>
    <s v="DHS 950L"/>
    <x v="0"/>
    <n v="32000000"/>
  </r>
  <r>
    <x v="0"/>
    <s v="이성우"/>
    <x v="0"/>
    <x v="0"/>
    <s v="DHS 930"/>
    <x v="0"/>
    <n v="32000000"/>
  </r>
  <r>
    <x v="5"/>
    <s v="동래구청"/>
    <x v="0"/>
    <x v="0"/>
    <s v="DHS 433L"/>
    <x v="2"/>
    <n v="31600001"/>
  </r>
  <r>
    <x v="0"/>
    <s v="대광통신"/>
    <x v="0"/>
    <x v="0"/>
    <s v="DHS 950L"/>
    <x v="0"/>
    <n v="31600000"/>
  </r>
  <r>
    <x v="0"/>
    <s v="주식회사 에스엠엔네트워크"/>
    <x v="0"/>
    <x v="0"/>
    <s v="DHS 950L"/>
    <x v="0"/>
    <n v="31400000"/>
  </r>
  <r>
    <x v="0"/>
    <s v="주식회사 에스엠엔네트워크"/>
    <x v="0"/>
    <x v="0"/>
    <s v="DHS 950L"/>
    <x v="0"/>
    <n v="31400000"/>
  </r>
  <r>
    <x v="0"/>
    <s v="주식회사 에스엠엔네트워크"/>
    <x v="0"/>
    <x v="0"/>
    <s v="DHS 950L"/>
    <x v="0"/>
    <n v="31400000"/>
  </r>
  <r>
    <x v="3"/>
    <s v="SHIJIAZHUANG COAL MINING MACHINEY CO., LTD"/>
    <x v="1"/>
    <x v="4"/>
    <s v="DHS 15AP"/>
    <x v="0"/>
    <n v="31245009"/>
  </r>
  <r>
    <x v="3"/>
    <s v="SHIJIAZHUANG COAL MINING MACHINEY CO., LTD"/>
    <x v="1"/>
    <x v="4"/>
    <s v="DHS 15AP"/>
    <x v="0"/>
    <n v="30594299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0"/>
    <s v="현대캐피탈주식회사"/>
    <x v="0"/>
    <x v="0"/>
    <s v="DHS 930"/>
    <x v="0"/>
    <n v="30465000"/>
  </r>
  <r>
    <x v="5"/>
    <s v="현대캐피탈주식회사"/>
    <x v="0"/>
    <x v="0"/>
    <s v="동해이동정비탑차-K910695"/>
    <x v="2"/>
    <n v="30394000"/>
  </r>
  <r>
    <x v="5"/>
    <s v="현대캐피탈주식회사"/>
    <x v="0"/>
    <x v="0"/>
    <s v="동해이동정비탑차-K911219"/>
    <x v="2"/>
    <n v="30394000"/>
  </r>
  <r>
    <x v="5"/>
    <s v="현대캐피탈주식회사"/>
    <x v="0"/>
    <x v="0"/>
    <s v="동해이동정비탑차-K911549"/>
    <x v="2"/>
    <n v="30394000"/>
  </r>
  <r>
    <x v="5"/>
    <s v="현대캐피탈주식회사"/>
    <x v="0"/>
    <x v="0"/>
    <s v="동해이동정비탑차-K911550"/>
    <x v="2"/>
    <n v="30394000"/>
  </r>
  <r>
    <x v="5"/>
    <s v="현대캐피탈주식회사"/>
    <x v="0"/>
    <x v="0"/>
    <s v="동해이동정비탑차-K911551"/>
    <x v="2"/>
    <n v="30394000"/>
  </r>
  <r>
    <x v="5"/>
    <s v="현대캐피탈주식회사"/>
    <x v="0"/>
    <x v="0"/>
    <s v="동해이동정비탑차-K911552"/>
    <x v="2"/>
    <n v="30394000"/>
  </r>
  <r>
    <x v="5"/>
    <s v="현대캐피탈주식회사"/>
    <x v="0"/>
    <x v="0"/>
    <s v="동해이동정비탑차-K911553"/>
    <x v="2"/>
    <n v="30394000"/>
  </r>
  <r>
    <x v="5"/>
    <s v="현대캐피탈주식회사"/>
    <x v="0"/>
    <x v="0"/>
    <s v="동해이동정비탑차-K912097"/>
    <x v="2"/>
    <n v="30394000"/>
  </r>
  <r>
    <x v="5"/>
    <s v="현대캐피탈주식회사"/>
    <x v="0"/>
    <x v="0"/>
    <s v="동해이동정비탑차-K912101"/>
    <x v="2"/>
    <n v="30394000"/>
  </r>
  <r>
    <x v="5"/>
    <s v="현대캐피탈주식회사"/>
    <x v="0"/>
    <x v="0"/>
    <s v="동해이동정비탑차-K912102"/>
    <x v="2"/>
    <n v="30394000"/>
  </r>
  <r>
    <x v="5"/>
    <s v="현대캐피탈주식회사"/>
    <x v="0"/>
    <x v="0"/>
    <s v="동해이동정비탑차-K912100"/>
    <x v="2"/>
    <n v="30394000"/>
  </r>
  <r>
    <x v="5"/>
    <s v="상수도사업본부 송촌정수사업소"/>
    <x v="0"/>
    <x v="0"/>
    <s v="DHS 433L"/>
    <x v="2"/>
    <n v="30072728"/>
  </r>
  <r>
    <x v="5"/>
    <s v="서울시상수도사업본부"/>
    <x v="0"/>
    <x v="0"/>
    <s v="DHS 433L"/>
    <x v="2"/>
    <n v="30072727.5"/>
  </r>
  <r>
    <x v="5"/>
    <s v="서울시상수도사업본부"/>
    <x v="0"/>
    <x v="0"/>
    <s v="DHS 433L"/>
    <x v="2"/>
    <n v="30072727.5"/>
  </r>
  <r>
    <x v="3"/>
    <s v="PT. QUANTUM MARKETING"/>
    <x v="1"/>
    <x v="5"/>
    <s v="DHS 15AP"/>
    <x v="0"/>
    <n v="29861217"/>
  </r>
  <r>
    <x v="3"/>
    <s v="SHIJIAZHUANG COAL MINING MACHINEY CO., LTD"/>
    <x v="1"/>
    <x v="4"/>
    <s v="DHS 15AP"/>
    <x v="0"/>
    <n v="29149614"/>
  </r>
  <r>
    <x v="3"/>
    <s v="SHIJIAZHUANG COAL MINING MACHINEY CO., LTD"/>
    <x v="1"/>
    <x v="4"/>
    <s v="DHS 15AP"/>
    <x v="0"/>
    <n v="29149614"/>
  </r>
  <r>
    <x v="4"/>
    <s v="(주)동해기계항공"/>
    <x v="0"/>
    <x v="0"/>
    <s v="DHS 1800"/>
    <x v="0"/>
    <n v="27242800"/>
  </r>
  <r>
    <x v="5"/>
    <s v="성광건설산업(주)"/>
    <x v="0"/>
    <x v="0"/>
    <s v="BAK-12 설치공사"/>
    <x v="1"/>
    <n v="26245000"/>
  </r>
  <r>
    <x v="1"/>
    <s v="동해해양사업"/>
    <x v="0"/>
    <x v="0"/>
    <s v="DHM 1500S2"/>
    <x v="3"/>
    <n v="25400000"/>
  </r>
  <r>
    <x v="3"/>
    <s v="(주)한진디엔비"/>
    <x v="0"/>
    <x v="0"/>
    <s v="P3000 슬라이딩 실린더외 7건"/>
    <x v="1"/>
    <n v="24742000"/>
  </r>
  <r>
    <x v="0"/>
    <s v="SHIJIAZHUANG COAL MINING MACHINEY CO., LTD"/>
    <x v="1"/>
    <x v="4"/>
    <s v="DHS 1200L"/>
    <x v="0"/>
    <n v="24280989"/>
  </r>
  <r>
    <x v="1"/>
    <s v="동해해양사업"/>
    <x v="0"/>
    <x v="0"/>
    <s v="DHM 1300S2"/>
    <x v="3"/>
    <n v="23900000"/>
  </r>
  <r>
    <x v="0"/>
    <s v="누리통신"/>
    <x v="0"/>
    <x v="0"/>
    <s v="DHS 930-중고"/>
    <x v="0"/>
    <n v="22000000"/>
  </r>
  <r>
    <x v="0"/>
    <s v="혜우통신"/>
    <x v="0"/>
    <x v="0"/>
    <s v="중고장비(DHS 930)"/>
    <x v="0"/>
    <n v="22000000"/>
  </r>
  <r>
    <x v="3"/>
    <s v="(주)한진디엔비"/>
    <x v="0"/>
    <x v="0"/>
    <m/>
    <x v="0"/>
    <n v="19214000"/>
  </r>
  <r>
    <x v="5"/>
    <s v="두산지게차 호남전동판매"/>
    <x v="0"/>
    <x v="0"/>
    <s v="DHS 433L"/>
    <x v="2"/>
    <n v="18181818"/>
  </r>
  <r>
    <x v="5"/>
    <s v="관보토건(주)"/>
    <x v="0"/>
    <x v="0"/>
    <s v="DHS 433L"/>
    <x v="2"/>
    <n v="18000000"/>
  </r>
  <r>
    <x v="3"/>
    <s v="주식회사 중앙이앤씨"/>
    <x v="0"/>
    <x v="0"/>
    <s v="중고장비(DHS 950L)"/>
    <x v="0"/>
    <n v="18000000"/>
  </r>
  <r>
    <x v="4"/>
    <s v="서울특별시한강사업본부"/>
    <x v="0"/>
    <x v="0"/>
    <s v="DHS 433M"/>
    <x v="3"/>
    <n v="17280000"/>
  </r>
  <r>
    <x v="1"/>
    <s v="기아자동차온천대리점"/>
    <x v="0"/>
    <x v="0"/>
    <s v="1월 하반기 적재함보강 및 공구함 설치"/>
    <x v="1"/>
    <n v="17270000"/>
  </r>
  <r>
    <x v="0"/>
    <s v="금천씨스템(주)"/>
    <x v="0"/>
    <x v="0"/>
    <s v="DHS 870"/>
    <x v="0"/>
    <n v="17250000"/>
  </r>
  <r>
    <x v="0"/>
    <s v="금천씨스템(주)"/>
    <x v="0"/>
    <x v="0"/>
    <s v="DHS 870"/>
    <x v="0"/>
    <n v="17250000"/>
  </r>
  <r>
    <x v="5"/>
    <s v="이복열"/>
    <x v="0"/>
    <x v="0"/>
    <s v="DHS 433L"/>
    <x v="2"/>
    <n v="16950000"/>
  </r>
  <r>
    <x v="0"/>
    <s v="동원텔레콤(주)"/>
    <x v="0"/>
    <x v="0"/>
    <s v="중고장비"/>
    <x v="0"/>
    <n v="16856000"/>
  </r>
  <r>
    <x v="0"/>
    <s v="동원텔레콤(주)"/>
    <x v="0"/>
    <x v="0"/>
    <s v="중고장비"/>
    <x v="0"/>
    <n v="16856000"/>
  </r>
  <r>
    <x v="0"/>
    <s v="동원텔레콤(주)"/>
    <x v="0"/>
    <x v="0"/>
    <s v="중고장비"/>
    <x v="0"/>
    <n v="16856000"/>
  </r>
  <r>
    <x v="0"/>
    <s v="(주)건영정보통신"/>
    <x v="0"/>
    <x v="0"/>
    <s v="중고장비(DHS 950L)"/>
    <x v="0"/>
    <n v="16856000"/>
  </r>
  <r>
    <x v="0"/>
    <s v="동원텔레콤(주)"/>
    <x v="0"/>
    <x v="0"/>
    <s v="중고장비(DHS 930)"/>
    <x v="0"/>
    <n v="16856000"/>
  </r>
  <r>
    <x v="0"/>
    <s v="동원텔레콤(주)"/>
    <x v="0"/>
    <x v="0"/>
    <s v="중고장비(DHS 950L)"/>
    <x v="0"/>
    <n v="16856000"/>
  </r>
  <r>
    <x v="0"/>
    <s v="소망정보통신"/>
    <x v="0"/>
    <x v="0"/>
    <s v="중고장비(DHS 930)"/>
    <x v="0"/>
    <n v="16856000"/>
  </r>
  <r>
    <x v="0"/>
    <s v="(주)원테크"/>
    <x v="0"/>
    <x v="0"/>
    <s v="중고장비(DHS 930)"/>
    <x v="0"/>
    <n v="16856000"/>
  </r>
  <r>
    <x v="0"/>
    <s v="강진통신"/>
    <x v="0"/>
    <x v="0"/>
    <s v="중고장비(DHS 950L)"/>
    <x v="0"/>
    <n v="16856000"/>
  </r>
  <r>
    <x v="5"/>
    <s v="주식회사 대아산업"/>
    <x v="0"/>
    <x v="0"/>
    <s v="중고장비(DHS 930)"/>
    <x v="0"/>
    <n v="16856000"/>
  </r>
  <r>
    <x v="5"/>
    <s v="온양농업협동조합"/>
    <x v="0"/>
    <x v="0"/>
    <s v="DHS 433L"/>
    <x v="2"/>
    <n v="16810000"/>
  </r>
  <r>
    <x v="5"/>
    <s v="신산건설기계"/>
    <x v="0"/>
    <x v="0"/>
    <s v="DHS 433L"/>
    <x v="2"/>
    <n v="16800000"/>
  </r>
  <r>
    <x v="5"/>
    <s v="서귀포농업협동조합"/>
    <x v="0"/>
    <x v="0"/>
    <s v="DHS 433L"/>
    <x v="2"/>
    <n v="16760000"/>
  </r>
  <r>
    <x v="5"/>
    <s v="(주)무창"/>
    <x v="0"/>
    <x v="0"/>
    <s v="DHS 433L"/>
    <x v="2"/>
    <n v="16500000"/>
  </r>
  <r>
    <x v="5"/>
    <s v="신우티피에스 주식회사"/>
    <x v="0"/>
    <x v="0"/>
    <s v="DHS 433L"/>
    <x v="2"/>
    <n v="16500000"/>
  </r>
  <r>
    <x v="5"/>
    <s v="타이어월드(주)"/>
    <x v="0"/>
    <x v="0"/>
    <s v="DHS 433L"/>
    <x v="2"/>
    <n v="16500000"/>
  </r>
  <r>
    <x v="5"/>
    <s v="(주)이일엔지니어링"/>
    <x v="0"/>
    <x v="0"/>
    <s v="DHS 433L"/>
    <x v="2"/>
    <n v="16435455"/>
  </r>
  <r>
    <x v="0"/>
    <s v="우강정보통신"/>
    <x v="0"/>
    <x v="0"/>
    <s v="DHS 433M"/>
    <x v="2"/>
    <n v="16353636"/>
  </r>
  <r>
    <x v="5"/>
    <s v="군위군농업기술센터"/>
    <x v="0"/>
    <x v="0"/>
    <s v="DHS 433L"/>
    <x v="2"/>
    <n v="16350000"/>
  </r>
  <r>
    <x v="5"/>
    <s v="제주특별자치도 수자원본부"/>
    <x v="0"/>
    <x v="0"/>
    <s v="DHS 433"/>
    <x v="0"/>
    <n v="16164546"/>
  </r>
  <r>
    <x v="5"/>
    <s v="삼화타이어"/>
    <x v="0"/>
    <x v="0"/>
    <s v="DHS 433"/>
    <x v="0"/>
    <n v="16030000"/>
  </r>
  <r>
    <x v="5"/>
    <s v="태안군농업기술센터"/>
    <x v="0"/>
    <x v="0"/>
    <s v="DHS 433L"/>
    <x v="2"/>
    <n v="15727273"/>
  </r>
  <r>
    <x v="5"/>
    <s v="신화중기"/>
    <x v="0"/>
    <x v="0"/>
    <s v="DHS 433L"/>
    <x v="2"/>
    <n v="15700000"/>
  </r>
  <r>
    <x v="5"/>
    <s v="왜관종합전자"/>
    <x v="0"/>
    <x v="0"/>
    <s v="DHS 433L"/>
    <x v="2"/>
    <n v="15700000"/>
  </r>
  <r>
    <x v="5"/>
    <s v="마라리마을회"/>
    <x v="0"/>
    <x v="0"/>
    <s v="DHS 433"/>
    <x v="0"/>
    <n v="15672727"/>
  </r>
  <r>
    <x v="5"/>
    <s v="(주)삼화타이어"/>
    <x v="0"/>
    <x v="0"/>
    <s v="DHS 534"/>
    <x v="0"/>
    <n v="15600000"/>
  </r>
  <r>
    <x v="5"/>
    <s v="동호중기"/>
    <x v="0"/>
    <x v="0"/>
    <s v="DHS 534"/>
    <x v="0"/>
    <n v="15600000"/>
  </r>
  <r>
    <x v="5"/>
    <s v="삼화타이어"/>
    <x v="0"/>
    <x v="0"/>
    <s v="DHS 534"/>
    <x v="0"/>
    <n v="15600000"/>
  </r>
  <r>
    <x v="5"/>
    <s v="밀양시산림조합"/>
    <x v="0"/>
    <x v="0"/>
    <s v="DHS 534"/>
    <x v="0"/>
    <n v="15550000"/>
  </r>
  <r>
    <x v="5"/>
    <s v="주식회사광양테크"/>
    <x v="0"/>
    <x v="0"/>
    <s v="DHS 433L"/>
    <x v="2"/>
    <n v="15500000"/>
  </r>
  <r>
    <x v="5"/>
    <s v="이희영"/>
    <x v="0"/>
    <x v="0"/>
    <s v="DHS 433L"/>
    <x v="2"/>
    <n v="15454545"/>
  </r>
  <r>
    <x v="5"/>
    <s v="화성전기. 모터"/>
    <x v="0"/>
    <x v="0"/>
    <s v="DHS 433L"/>
    <x v="2"/>
    <n v="15450000"/>
  </r>
  <r>
    <x v="0"/>
    <s v="주식회사 제이에스통신"/>
    <x v="0"/>
    <x v="0"/>
    <s v="DHS 433M"/>
    <x v="3"/>
    <n v="15300000"/>
  </r>
  <r>
    <x v="0"/>
    <s v="주식회사 진명텔레콤"/>
    <x v="0"/>
    <x v="0"/>
    <s v="DHS 433M"/>
    <x v="3"/>
    <n v="15200000"/>
  </r>
  <r>
    <x v="5"/>
    <s v="삼화타이어"/>
    <x v="0"/>
    <x v="0"/>
    <s v="DHS 433"/>
    <x v="0"/>
    <n v="15160000"/>
  </r>
  <r>
    <x v="5"/>
    <s v="노화청해마린"/>
    <x v="0"/>
    <x v="0"/>
    <s v="DHS 433L"/>
    <x v="2"/>
    <n v="15145455"/>
  </r>
  <r>
    <x v="0"/>
    <s v="서부경남통신"/>
    <x v="0"/>
    <x v="0"/>
    <s v="DHS 433M"/>
    <x v="3"/>
    <n v="15100000"/>
  </r>
  <r>
    <x v="5"/>
    <s v="대성정밀"/>
    <x v="0"/>
    <x v="0"/>
    <s v="DHS 433L"/>
    <x v="2"/>
    <n v="15013636"/>
  </r>
  <r>
    <x v="5"/>
    <s v="(주)지엠펌프"/>
    <x v="0"/>
    <x v="0"/>
    <s v="DHS 433L"/>
    <x v="2"/>
    <n v="15000000"/>
  </r>
  <r>
    <x v="5"/>
    <s v="주식회사 영양수"/>
    <x v="0"/>
    <x v="0"/>
    <s v="DHS 433L"/>
    <x v="2"/>
    <n v="15000000"/>
  </r>
  <r>
    <x v="5"/>
    <s v="(주)하이엔텍"/>
    <x v="0"/>
    <x v="0"/>
    <s v="DHS 433L"/>
    <x v="2"/>
    <n v="15000000"/>
  </r>
  <r>
    <x v="5"/>
    <s v="영일기계"/>
    <x v="0"/>
    <x v="0"/>
    <s v="DHS 433L"/>
    <x v="2"/>
    <n v="15000000"/>
  </r>
  <r>
    <x v="5"/>
    <s v="한국마린"/>
    <x v="0"/>
    <x v="0"/>
    <s v="DHS 433L"/>
    <x v="2"/>
    <n v="15000000"/>
  </r>
  <r>
    <x v="5"/>
    <s v="대건전기"/>
    <x v="0"/>
    <x v="0"/>
    <s v="DHS 433L"/>
    <x v="2"/>
    <n v="15000000"/>
  </r>
  <r>
    <x v="1"/>
    <s v="임회식"/>
    <x v="0"/>
    <x v="0"/>
    <s v="DHS 433M"/>
    <x v="3"/>
    <n v="14853363"/>
  </r>
  <r>
    <x v="5"/>
    <s v="해양마린"/>
    <x v="0"/>
    <x v="0"/>
    <s v="DHS 433L"/>
    <x v="2"/>
    <n v="14800000"/>
  </r>
  <r>
    <x v="5"/>
    <s v="진성마린"/>
    <x v="0"/>
    <x v="0"/>
    <s v="DHS 433L"/>
    <x v="2"/>
    <n v="14800000"/>
  </r>
  <r>
    <x v="5"/>
    <s v="공주시청"/>
    <x v="0"/>
    <x v="0"/>
    <s v="DHS 433L"/>
    <x v="2"/>
    <n v="14793637"/>
  </r>
  <r>
    <x v="5"/>
    <s v="JB냉동산업"/>
    <x v="0"/>
    <x v="0"/>
    <s v="DHS 433L"/>
    <x v="2"/>
    <n v="14727272"/>
  </r>
  <r>
    <x v="5"/>
    <s v="제주용마린"/>
    <x v="0"/>
    <x v="0"/>
    <s v="DHS 534"/>
    <x v="0"/>
    <n v="14727272"/>
  </r>
  <r>
    <x v="5"/>
    <s v="대성마린"/>
    <x v="0"/>
    <x v="0"/>
    <s v="DHS 433L"/>
    <x v="2"/>
    <n v="14700000"/>
  </r>
  <r>
    <x v="5"/>
    <s v="전남프로펠러"/>
    <x v="0"/>
    <x v="0"/>
    <s v="DHS 433L"/>
    <x v="2"/>
    <n v="14650000"/>
  </r>
  <r>
    <x v="5"/>
    <s v="오향란"/>
    <x v="0"/>
    <x v="0"/>
    <s v="DHS 433L"/>
    <x v="2"/>
    <n v="14650000"/>
  </r>
  <r>
    <x v="5"/>
    <s v="화창마린"/>
    <x v="0"/>
    <x v="0"/>
    <s v="DHS 433L"/>
    <x v="2"/>
    <n v="14645455"/>
  </r>
  <r>
    <x v="5"/>
    <s v="제일모터"/>
    <x v="0"/>
    <x v="0"/>
    <s v="DHS 433L"/>
    <x v="2"/>
    <n v="14626363"/>
  </r>
  <r>
    <x v="1"/>
    <s v="(주)동해기계항공"/>
    <x v="0"/>
    <x v="0"/>
    <s v="KIA BONGOI"/>
    <x v="0"/>
    <n v="14547000"/>
  </r>
  <r>
    <x v="1"/>
    <s v="(주)동해기계항공"/>
    <x v="0"/>
    <x v="0"/>
    <s v="KIA BONGOI"/>
    <x v="0"/>
    <n v="14547000"/>
  </r>
  <r>
    <x v="1"/>
    <s v="(주)동해기계항공"/>
    <x v="0"/>
    <x v="0"/>
    <s v="KIA BONGOI"/>
    <x v="0"/>
    <n v="14547000"/>
  </r>
  <r>
    <x v="5"/>
    <s v="(주)한미엔텍"/>
    <x v="0"/>
    <x v="0"/>
    <s v="DHS 433L"/>
    <x v="2"/>
    <n v="14545455"/>
  </r>
  <r>
    <x v="5"/>
    <s v="예성마린"/>
    <x v="0"/>
    <x v="0"/>
    <s v="DHS 433L"/>
    <x v="2"/>
    <n v="14545455"/>
  </r>
  <r>
    <x v="0"/>
    <s v="(주)한백정보통신"/>
    <x v="0"/>
    <x v="0"/>
    <s v="DHS 433M"/>
    <x v="3"/>
    <n v="14500000"/>
  </r>
  <r>
    <x v="5"/>
    <s v="(주)현대건설장비 전북중부대리점"/>
    <x v="0"/>
    <x v="0"/>
    <s v="DHS 433L"/>
    <x v="2"/>
    <n v="14500000"/>
  </r>
  <r>
    <x v="5"/>
    <s v="성진마린"/>
    <x v="0"/>
    <x v="0"/>
    <s v="DHS 433L"/>
    <x v="2"/>
    <n v="14500000"/>
  </r>
  <r>
    <x v="5"/>
    <s v="수흥산업"/>
    <x v="0"/>
    <x v="0"/>
    <s v="DHS 433L"/>
    <x v="2"/>
    <n v="14500000"/>
  </r>
  <r>
    <x v="5"/>
    <s v="주식회사 지지케이산업개발"/>
    <x v="0"/>
    <x v="0"/>
    <s v="DHS 433L"/>
    <x v="2"/>
    <n v="14500000"/>
  </r>
  <r>
    <x v="5"/>
    <s v="홍스무역홍스공업사(주)"/>
    <x v="0"/>
    <x v="0"/>
    <s v="DHS 433L"/>
    <x v="2"/>
    <n v="14444545"/>
  </r>
  <r>
    <x v="0"/>
    <s v="(주)한국티씨"/>
    <x v="0"/>
    <x v="0"/>
    <s v="DHS 433M"/>
    <x v="3"/>
    <n v="14400000"/>
  </r>
  <r>
    <x v="5"/>
    <s v="신흥산업전기"/>
    <x v="0"/>
    <x v="0"/>
    <s v="DHS 433L"/>
    <x v="2"/>
    <n v="14399091"/>
  </r>
  <r>
    <x v="5"/>
    <s v="평화스크류"/>
    <x v="0"/>
    <x v="0"/>
    <s v="DHS 433L"/>
    <x v="2"/>
    <n v="14363636"/>
  </r>
  <r>
    <x v="5"/>
    <s v="(주)평화기전"/>
    <x v="0"/>
    <x v="0"/>
    <s v="DHS 433L"/>
    <x v="2"/>
    <n v="14363636"/>
  </r>
  <r>
    <x v="5"/>
    <s v="당진선외기"/>
    <x v="0"/>
    <x v="0"/>
    <s v="DHS 433L"/>
    <x v="2"/>
    <n v="14300000"/>
  </r>
  <r>
    <x v="5"/>
    <s v="코오롱워터앤에너지(주)"/>
    <x v="0"/>
    <x v="0"/>
    <s v="DHS 433L"/>
    <x v="2"/>
    <n v="14300000"/>
  </r>
  <r>
    <x v="5"/>
    <s v="대성스크류"/>
    <x v="0"/>
    <x v="0"/>
    <s v="DHS 433L"/>
    <x v="2"/>
    <n v="14300000"/>
  </r>
  <r>
    <x v="5"/>
    <s v="(주)황실타이어"/>
    <x v="0"/>
    <x v="0"/>
    <s v="DHS 433L"/>
    <x v="2"/>
    <n v="14300000"/>
  </r>
  <r>
    <x v="5"/>
    <s v="(주)세종철거산업"/>
    <x v="0"/>
    <x v="0"/>
    <s v="DHS 433L"/>
    <x v="2"/>
    <n v="14272727"/>
  </r>
  <r>
    <x v="5"/>
    <s v="현대캐피탈주식회사"/>
    <x v="0"/>
    <x v="0"/>
    <s v="DHS 433L"/>
    <x v="2"/>
    <n v="14254545"/>
  </r>
  <r>
    <x v="5"/>
    <s v="자청비료"/>
    <x v="0"/>
    <x v="0"/>
    <s v="DHS 433L"/>
    <x v="2"/>
    <n v="14227272"/>
  </r>
  <r>
    <x v="5"/>
    <s v="태양중기"/>
    <x v="0"/>
    <x v="0"/>
    <s v="DHS 433L"/>
    <x v="2"/>
    <n v="14200000"/>
  </r>
  <r>
    <x v="5"/>
    <s v="대성중기"/>
    <x v="0"/>
    <x v="0"/>
    <s v="DHS 433L"/>
    <x v="2"/>
    <n v="14200000"/>
  </r>
  <r>
    <x v="5"/>
    <s v="코오롱워터앤에너지(주)"/>
    <x v="0"/>
    <x v="0"/>
    <s v="DHS 433L"/>
    <x v="2"/>
    <n v="14200000"/>
  </r>
  <r>
    <x v="5"/>
    <s v="주식회사 유니온테크"/>
    <x v="0"/>
    <x v="0"/>
    <s v="DHS 534"/>
    <x v="0"/>
    <n v="14100000"/>
  </r>
  <r>
    <x v="5"/>
    <s v="피엠텍주식회사"/>
    <x v="0"/>
    <x v="0"/>
    <s v="DHS 433L"/>
    <x v="2"/>
    <n v="14100000"/>
  </r>
  <r>
    <x v="5"/>
    <s v="유신통신(주)"/>
    <x v="0"/>
    <x v="0"/>
    <s v="DHS 534"/>
    <x v="0"/>
    <n v="14035000"/>
  </r>
  <r>
    <x v="0"/>
    <s v="비케이시스템즈(주)"/>
    <x v="0"/>
    <x v="0"/>
    <s v="DHS 433M"/>
    <x v="3"/>
    <n v="14000000"/>
  </r>
  <r>
    <x v="5"/>
    <s v="현대지게차"/>
    <x v="0"/>
    <x v="0"/>
    <s v="DHS 433L"/>
    <x v="2"/>
    <n v="14000000"/>
  </r>
  <r>
    <x v="5"/>
    <s v="(주)에이치넷"/>
    <x v="0"/>
    <x v="0"/>
    <s v="DHS 534"/>
    <x v="0"/>
    <n v="14000000"/>
  </r>
  <r>
    <x v="5"/>
    <s v="두산건기 고양판매 주식회사"/>
    <x v="0"/>
    <x v="0"/>
    <s v="DHS 433L"/>
    <x v="2"/>
    <n v="14000000"/>
  </r>
  <r>
    <x v="5"/>
    <s v="현대씨즈올 주식회사"/>
    <x v="0"/>
    <x v="0"/>
    <s v="DHS 433L"/>
    <x v="2"/>
    <n v="14000000"/>
  </r>
  <r>
    <x v="5"/>
    <s v="유니온마린"/>
    <x v="0"/>
    <x v="0"/>
    <s v="DHS 433L"/>
    <x v="2"/>
    <n v="14000000"/>
  </r>
  <r>
    <x v="5"/>
    <s v="명성이엔지(주)"/>
    <x v="0"/>
    <x v="0"/>
    <s v="DHS 534"/>
    <x v="0"/>
    <n v="14000000"/>
  </r>
  <r>
    <x v="5"/>
    <s v="오양ENG"/>
    <x v="0"/>
    <x v="0"/>
    <s v="DHS 433L"/>
    <x v="2"/>
    <n v="14000000"/>
  </r>
  <r>
    <x v="5"/>
    <s v="주식회사 해림"/>
    <x v="0"/>
    <x v="0"/>
    <s v="DHS 433L"/>
    <x v="2"/>
    <n v="14000000"/>
  </r>
  <r>
    <x v="5"/>
    <s v="경남기업㈜"/>
    <x v="0"/>
    <x v="0"/>
    <s v="DHS 433L"/>
    <x v="2"/>
    <n v="13970000"/>
  </r>
  <r>
    <x v="5"/>
    <s v="양양군농업기술센터"/>
    <x v="0"/>
    <x v="0"/>
    <s v="DHS 433L"/>
    <x v="2"/>
    <n v="13913636"/>
  </r>
  <r>
    <x v="5"/>
    <s v="명인종합가스설비공사"/>
    <x v="0"/>
    <x v="0"/>
    <s v="DHS 433L"/>
    <x v="2"/>
    <n v="13909090"/>
  </r>
  <r>
    <x v="5"/>
    <s v="대기냉동공사"/>
    <x v="0"/>
    <x v="0"/>
    <s v="DHS 433L"/>
    <x v="2"/>
    <n v="13899090"/>
  </r>
  <r>
    <x v="5"/>
    <s v="동명유압중기공업사"/>
    <x v="0"/>
    <x v="0"/>
    <s v="DHS 433L"/>
    <x v="2"/>
    <n v="13862727"/>
  </r>
  <r>
    <x v="5"/>
    <s v="안동시설관리공단"/>
    <x v="0"/>
    <x v="0"/>
    <s v="DHS 433"/>
    <x v="0"/>
    <n v="13818182"/>
  </r>
  <r>
    <x v="5"/>
    <s v="충남전기"/>
    <x v="0"/>
    <x v="0"/>
    <s v="DHS 433L"/>
    <x v="2"/>
    <n v="13800000"/>
  </r>
  <r>
    <x v="5"/>
    <s v="삼흥선외기"/>
    <x v="0"/>
    <x v="0"/>
    <s v="DHS 534"/>
    <x v="0"/>
    <n v="13800000"/>
  </r>
  <r>
    <x v="5"/>
    <s v="베가마린"/>
    <x v="0"/>
    <x v="0"/>
    <s v="DHS 433L"/>
    <x v="2"/>
    <n v="13800000"/>
  </r>
  <r>
    <x v="5"/>
    <s v="서부쌀상회"/>
    <x v="0"/>
    <x v="0"/>
    <s v="DHS 534"/>
    <x v="0"/>
    <n v="13800000"/>
  </r>
  <r>
    <x v="5"/>
    <s v="서부쌀상회"/>
    <x v="0"/>
    <x v="0"/>
    <s v="DHS 534"/>
    <x v="0"/>
    <n v="13800000"/>
  </r>
  <r>
    <x v="5"/>
    <s v="아이호수"/>
    <x v="0"/>
    <x v="0"/>
    <s v="DHS 433L"/>
    <x v="2"/>
    <n v="13800000"/>
  </r>
  <r>
    <x v="5"/>
    <s v="용마린"/>
    <x v="0"/>
    <x v="0"/>
    <s v="DHS 534"/>
    <x v="0"/>
    <n v="13700000"/>
  </r>
  <r>
    <x v="0"/>
    <s v="가나통신"/>
    <x v="0"/>
    <x v="0"/>
    <s v="DHS 433M"/>
    <x v="2"/>
    <n v="13700000"/>
  </r>
  <r>
    <x v="0"/>
    <s v="서광통신"/>
    <x v="0"/>
    <x v="0"/>
    <s v="DHS 433M"/>
    <x v="3"/>
    <n v="13600000"/>
  </r>
  <r>
    <x v="0"/>
    <s v="(주)제일정보통신"/>
    <x v="0"/>
    <x v="0"/>
    <s v="DHS 433M"/>
    <x v="3"/>
    <n v="13600000"/>
  </r>
  <r>
    <x v="5"/>
    <s v="대양마린"/>
    <x v="0"/>
    <x v="0"/>
    <s v="DHS 433L"/>
    <x v="2"/>
    <n v="13600000"/>
  </r>
  <r>
    <x v="5"/>
    <s v="중앙마린"/>
    <x v="0"/>
    <x v="0"/>
    <s v="DHS 433L"/>
    <x v="2"/>
    <n v="13600000"/>
  </r>
  <r>
    <x v="5"/>
    <s v="바다마린레져"/>
    <x v="0"/>
    <x v="0"/>
    <s v="DHS 433L"/>
    <x v="2"/>
    <n v="13535454"/>
  </r>
  <r>
    <x v="5"/>
    <s v="주식회사 세아베스틸"/>
    <x v="0"/>
    <x v="0"/>
    <s v="DHS 433L"/>
    <x v="2"/>
    <n v="13500000"/>
  </r>
  <r>
    <x v="5"/>
    <s v="서해선외기"/>
    <x v="0"/>
    <x v="0"/>
    <s v="DHS 433L"/>
    <x v="2"/>
    <n v="13500000"/>
  </r>
  <r>
    <x v="5"/>
    <s v="신진유지건설(주)"/>
    <x v="0"/>
    <x v="0"/>
    <s v="DHS 433L"/>
    <x v="2"/>
    <n v="13500000"/>
  </r>
  <r>
    <x v="5"/>
    <s v="신진유지건설(주)"/>
    <x v="0"/>
    <x v="0"/>
    <s v="DHS 433L"/>
    <x v="2"/>
    <n v="13500000"/>
  </r>
  <r>
    <x v="5"/>
    <s v="주식회사 시온이앤씨"/>
    <x v="0"/>
    <x v="0"/>
    <s v="DHS 433L"/>
    <x v="2"/>
    <n v="13363636"/>
  </r>
  <r>
    <x v="5"/>
    <s v="주식회사 시온이앤씨"/>
    <x v="0"/>
    <x v="0"/>
    <s v="DHS 433L"/>
    <x v="2"/>
    <n v="13363636"/>
  </r>
  <r>
    <x v="5"/>
    <s v="현대석재"/>
    <x v="0"/>
    <x v="0"/>
    <s v="DHS 433L"/>
    <x v="2"/>
    <n v="13317272"/>
  </r>
  <r>
    <x v="5"/>
    <s v="중앙마린"/>
    <x v="0"/>
    <x v="0"/>
    <s v="DHS 433L"/>
    <x v="2"/>
    <n v="13300000"/>
  </r>
  <r>
    <x v="1"/>
    <s v="(주)동해중공업"/>
    <x v="0"/>
    <x v="0"/>
    <s v="DH SUPER 3000"/>
    <x v="3"/>
    <n v="13300000"/>
  </r>
  <r>
    <x v="1"/>
    <s v="(주)동해중공업"/>
    <x v="0"/>
    <x v="0"/>
    <s v="DH SUPER 3000(한진)"/>
    <x v="3"/>
    <n v="13300000"/>
  </r>
  <r>
    <x v="1"/>
    <s v="(주)동해중공업"/>
    <x v="0"/>
    <x v="0"/>
    <s v="DH SUPER 3000(한진)"/>
    <x v="3"/>
    <n v="13300000"/>
  </r>
  <r>
    <x v="1"/>
    <s v="(주)동해중공업"/>
    <x v="0"/>
    <x v="0"/>
    <s v="DH SUPER 3000"/>
    <x v="3"/>
    <n v="13300000"/>
  </r>
  <r>
    <x v="5"/>
    <s v="환영건설"/>
    <x v="0"/>
    <x v="0"/>
    <s v="DHS 433L"/>
    <x v="2"/>
    <n v="13200000"/>
  </r>
  <r>
    <x v="0"/>
    <s v="한진네트워크"/>
    <x v="0"/>
    <x v="0"/>
    <s v="DHS 433M"/>
    <x v="2"/>
    <n v="13200000"/>
  </r>
  <r>
    <x v="1"/>
    <s v="제이지"/>
    <x v="0"/>
    <x v="0"/>
    <s v="DHS 433M"/>
    <x v="2"/>
    <n v="13200000"/>
  </r>
  <r>
    <x v="0"/>
    <s v="대성통신"/>
    <x v="0"/>
    <x v="0"/>
    <s v="DHS 433M"/>
    <x v="2"/>
    <n v="13200000"/>
  </r>
  <r>
    <x v="5"/>
    <s v="대양선외기상사"/>
    <x v="0"/>
    <x v="0"/>
    <s v="DHS 433L"/>
    <x v="2"/>
    <n v="13181819"/>
  </r>
  <r>
    <x v="5"/>
    <s v="안면충남선외기"/>
    <x v="0"/>
    <x v="0"/>
    <s v="DHS 433L"/>
    <x v="2"/>
    <n v="13181818"/>
  </r>
  <r>
    <x v="5"/>
    <s v="대산씨엔지 주식회사"/>
    <x v="0"/>
    <x v="0"/>
    <s v="DHS 433L"/>
    <x v="2"/>
    <n v="13100000"/>
  </r>
  <r>
    <x v="1"/>
    <s v="기아자동차온천대리점"/>
    <x v="0"/>
    <x v="0"/>
    <s v="1월 상반기 적재함 보강 및 공구함 설치 35대"/>
    <x v="1"/>
    <n v="13040000"/>
  </r>
  <r>
    <x v="5"/>
    <s v="신도산기(주)"/>
    <x v="0"/>
    <x v="0"/>
    <s v="DHS 433L"/>
    <x v="2"/>
    <n v="13000000"/>
  </r>
  <r>
    <x v="5"/>
    <s v="주식회사 시온이앤씨"/>
    <x v="0"/>
    <x v="0"/>
    <s v="DHS 433L"/>
    <x v="2"/>
    <n v="13000000"/>
  </r>
  <r>
    <x v="0"/>
    <s v="금선통신"/>
    <x v="0"/>
    <x v="0"/>
    <s v="DHS 433M"/>
    <x v="3"/>
    <n v="12800000"/>
  </r>
  <r>
    <x v="4"/>
    <s v="장성군청"/>
    <x v="0"/>
    <x v="0"/>
    <s v="유압인출장치-DHS 15AP"/>
    <x v="1"/>
    <n v="12663636"/>
  </r>
  <r>
    <x v="0"/>
    <s v="비케이시스템즈(주)"/>
    <x v="0"/>
    <x v="0"/>
    <s v="DHS 433M"/>
    <x v="3"/>
    <n v="12500000"/>
  </r>
  <r>
    <x v="5"/>
    <s v="현대마린"/>
    <x v="0"/>
    <x v="0"/>
    <s v="DHS 433L"/>
    <x v="2"/>
    <n v="12381819"/>
  </r>
  <r>
    <x v="5"/>
    <s v="전옥자"/>
    <x v="0"/>
    <x v="0"/>
    <s v="DHS 534"/>
    <x v="0"/>
    <n v="12300000"/>
  </r>
  <r>
    <x v="0"/>
    <s v="상정정보시스템"/>
    <x v="0"/>
    <x v="0"/>
    <s v="DHS 433M"/>
    <x v="2"/>
    <n v="12162728"/>
  </r>
  <r>
    <x v="3"/>
    <s v="(주)한진디엔비"/>
    <x v="0"/>
    <x v="0"/>
    <s v="DHS 433 집게크레인"/>
    <x v="3"/>
    <n v="12000000"/>
  </r>
  <r>
    <x v="5"/>
    <s v="(주)한진디엔비"/>
    <x v="0"/>
    <x v="0"/>
    <s v="DHS 433HC"/>
    <x v="0"/>
    <n v="12000000"/>
  </r>
  <r>
    <x v="0"/>
    <s v="유창통신(주)"/>
    <x v="0"/>
    <x v="0"/>
    <s v="DHS 433M"/>
    <x v="2"/>
    <n v="12000000"/>
  </r>
  <r>
    <x v="5"/>
    <s v="(주)이산"/>
    <x v="0"/>
    <x v="0"/>
    <s v="DHS 433"/>
    <x v="0"/>
    <n v="11500000"/>
  </r>
  <r>
    <x v="0"/>
    <s v="(자)새한전기통신공사"/>
    <x v="0"/>
    <x v="0"/>
    <m/>
    <x v="0"/>
    <n v="9090909"/>
  </r>
  <r>
    <x v="5"/>
    <s v="(주)동해중공업"/>
    <x v="0"/>
    <x v="0"/>
    <s v="DHS 433HC"/>
    <x v="0"/>
    <n v="8400000"/>
  </r>
  <r>
    <x v="5"/>
    <s v="(주)동해중공업"/>
    <x v="0"/>
    <x v="0"/>
    <s v="DHS 433HC"/>
    <x v="0"/>
    <n v="8400000"/>
  </r>
  <r>
    <x v="1"/>
    <s v="(주)코엘"/>
    <x v="0"/>
    <x v="0"/>
    <s v="DHX 100"/>
    <x v="2"/>
    <n v="7300000"/>
  </r>
  <r>
    <x v="4"/>
    <s v="전주시 완산구청"/>
    <x v="0"/>
    <x v="0"/>
    <s v="고소작업차량 장착용 유압원거리 전기가위 구입"/>
    <x v="1"/>
    <n v="6418182"/>
  </r>
  <r>
    <x v="3"/>
    <s v="TRI-GLOBE TRANSPORT SERVICES AND TRADING INC"/>
    <x v="1"/>
    <x v="6"/>
    <s v="중고장비(DHS 930)"/>
    <x v="0"/>
    <n v="6355305"/>
  </r>
  <r>
    <x v="3"/>
    <s v="TRI-GLOBE TRANSPORT SERVICES AND TRADING INC"/>
    <x v="1"/>
    <x v="6"/>
    <s v="중고장비(DHS 930)"/>
    <x v="0"/>
    <n v="6355305"/>
  </r>
  <r>
    <x v="5"/>
    <s v="(주)동해중공업"/>
    <x v="0"/>
    <x v="0"/>
    <s v="DHS 433"/>
    <x v="0"/>
    <n v="5978000"/>
  </r>
  <r>
    <x v="3"/>
    <s v="SHANGHAI HENGXUN"/>
    <x v="1"/>
    <x v="4"/>
    <m/>
    <x v="0"/>
    <n v="5822664"/>
  </r>
  <r>
    <x v="1"/>
    <s v="기아자동차온천대리점"/>
    <x v="0"/>
    <x v="0"/>
    <s v="12월 적재함 보강 및 공구함 설치 15대"/>
    <x v="1"/>
    <n v="5650000"/>
  </r>
  <r>
    <x v="4"/>
    <s v="울산광역시시설관리공단"/>
    <x v="0"/>
    <x v="0"/>
    <s v="다음달 추가금액 잡아야 함"/>
    <x v="0"/>
    <n v="5400000"/>
  </r>
  <r>
    <x v="0"/>
    <s v="(주)광명네트워크"/>
    <x v="0"/>
    <x v="0"/>
    <s v="HWD 400"/>
    <x v="0"/>
    <n v="4400000"/>
  </r>
  <r>
    <x v="3"/>
    <s v="(유)미주계전"/>
    <x v="0"/>
    <x v="0"/>
    <s v="HWD-200"/>
    <x v="0"/>
    <n v="3600000"/>
  </r>
  <r>
    <x v="5"/>
    <s v="현대캐피탈주식회사 4-1"/>
    <x v="0"/>
    <x v="0"/>
    <s v="코란도이동정비차"/>
    <x v="0"/>
    <n v="3260000"/>
  </r>
  <r>
    <x v="5"/>
    <s v="현대캐피탈주식회사 4-2"/>
    <x v="0"/>
    <x v="0"/>
    <s v="코란도이동정비차"/>
    <x v="0"/>
    <n v="3260000"/>
  </r>
  <r>
    <x v="5"/>
    <s v="현대캐피탈주식회사 4-3"/>
    <x v="0"/>
    <x v="0"/>
    <s v="코란도이동정비차"/>
    <x v="0"/>
    <n v="3260000"/>
  </r>
  <r>
    <x v="5"/>
    <s v="현대캐피탈주식회사 4-4"/>
    <x v="0"/>
    <x v="0"/>
    <s v="코란도이동정비차"/>
    <x v="0"/>
    <n v="3260000"/>
  </r>
  <r>
    <x v="4"/>
    <s v="보령시청"/>
    <x v="0"/>
    <x v="0"/>
    <s v="다음달 추가금액 잡아야 함"/>
    <x v="0"/>
    <n v="2958182"/>
  </r>
  <r>
    <x v="3"/>
    <s v="WAIMEA TRUCK ＆ CRANE LTD"/>
    <x v="1"/>
    <x v="3"/>
    <m/>
    <x v="0"/>
    <n v="2867011"/>
  </r>
  <r>
    <x v="3"/>
    <s v="TRI-GLOBE TRANSPORT SERVICES AND TRADING INC"/>
    <x v="1"/>
    <x v="6"/>
    <s v="중고장비(DHS 870)"/>
    <x v="0"/>
    <n v="1717650"/>
  </r>
  <r>
    <x v="3"/>
    <s v="TRI-GLOBE TRANSPORT SERVICES AND TRADING INC"/>
    <x v="1"/>
    <x v="6"/>
    <s v="중고장비(DHS 870)"/>
    <x v="0"/>
    <n v="1717650"/>
  </r>
  <r>
    <x v="3"/>
    <s v="TRI-GLOBE TRANSPORT SERVICES AND TRADING INC"/>
    <x v="1"/>
    <x v="6"/>
    <s v="중고장비(DHS 870)"/>
    <x v="0"/>
    <n v="1717650"/>
  </r>
  <r>
    <x v="3"/>
    <s v="TRI-GLOBE TRANSPORT SERVICES AND TRADING INC"/>
    <x v="1"/>
    <x v="6"/>
    <s v="중고장비(DHS 870)"/>
    <x v="0"/>
    <n v="1717650"/>
  </r>
  <r>
    <x v="3"/>
    <s v="TRI-GLOBE TRANSPORT SERVICES AND TRADING INC"/>
    <x v="1"/>
    <x v="6"/>
    <s v="중고장비(DHS 870)"/>
    <x v="0"/>
    <n v="1717650"/>
  </r>
  <r>
    <x v="1"/>
    <s v="주식회사 한국차폐시스템"/>
    <x v="0"/>
    <x v="0"/>
    <m/>
    <x v="0"/>
    <n v="1500000"/>
  </r>
  <r>
    <x v="3"/>
    <s v="TRI-GLOBE TRANSPORT SERVICES AND TRADING INC"/>
    <x v="1"/>
    <x v="6"/>
    <m/>
    <x v="0"/>
    <n v="31313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74">
  <r>
    <x v="0"/>
    <s v="주식회사 수길정보통신"/>
    <x v="0"/>
    <x v="0"/>
    <s v="DHS 950L"/>
    <x v="0"/>
    <s v="손상혁"/>
    <d v="2016-01-04T00:00:00"/>
    <n v="34000000"/>
  </r>
  <r>
    <x v="1"/>
    <s v="호암엔지니어링(주)"/>
    <x v="0"/>
    <x v="0"/>
    <s v="DHS 534"/>
    <x v="0"/>
    <s v="신범식"/>
    <d v="2016-01-05T00:00:00"/>
    <n v="14545454"/>
  </r>
  <r>
    <x v="2"/>
    <s v="충주활선"/>
    <x v="0"/>
    <x v="0"/>
    <s v="DHT 150AS"/>
    <x v="1"/>
    <s v="박범정"/>
    <d v="2016-01-06T00:00:00"/>
    <n v="170000000"/>
  </r>
  <r>
    <x v="0"/>
    <s v="HJ통신"/>
    <x v="0"/>
    <x v="0"/>
    <s v="DHS 950L"/>
    <x v="0"/>
    <s v="오세만"/>
    <d v="2016-01-07T00:00:00"/>
    <n v="36363636"/>
  </r>
  <r>
    <x v="1"/>
    <s v="주식회사 세아베스틸"/>
    <x v="0"/>
    <x v="0"/>
    <s v="DHS 534"/>
    <x v="0"/>
    <s v="오세만"/>
    <d v="2016-01-07T00:00:00"/>
    <n v="13800000"/>
  </r>
  <r>
    <x v="2"/>
    <s v="한성전기"/>
    <x v="0"/>
    <x v="0"/>
    <s v="DHS 15AP"/>
    <x v="0"/>
    <s v="채일경"/>
    <d v="2016-01-07T00:00:00"/>
    <n v="50818182"/>
  </r>
  <r>
    <x v="1"/>
    <s v="현대선외기"/>
    <x v="0"/>
    <x v="0"/>
    <s v="DHS 433L"/>
    <x v="1"/>
    <s v="신범식"/>
    <d v="2016-01-08T00:00:00"/>
    <n v="14171818"/>
  </r>
  <r>
    <x v="1"/>
    <s v="신온마린"/>
    <x v="0"/>
    <x v="0"/>
    <s v="DHS 433L"/>
    <x v="1"/>
    <s v="김윤관"/>
    <d v="2016-01-08T00:00:00"/>
    <n v="14090909"/>
  </r>
  <r>
    <x v="0"/>
    <s v="주식회사 선우아이티"/>
    <x v="0"/>
    <x v="0"/>
    <s v="DHS 930"/>
    <x v="0"/>
    <s v="조석제"/>
    <d v="2016-01-08T00:00:00"/>
    <n v="32200000"/>
  </r>
  <r>
    <x v="0"/>
    <s v="YK네트워크"/>
    <x v="0"/>
    <x v="0"/>
    <s v="DHS 950L"/>
    <x v="0"/>
    <s v="정진우"/>
    <d v="2016-01-08T00:00:00"/>
    <n v="35500000"/>
  </r>
  <r>
    <x v="0"/>
    <s v="(주)KCTV제주방송"/>
    <x v="0"/>
    <x v="0"/>
    <s v="DHS 950L"/>
    <x v="0"/>
    <s v="강명효"/>
    <d v="2016-01-11T00:00:00"/>
    <n v="40000000"/>
  </r>
  <r>
    <x v="0"/>
    <s v="주식회사케이블웍스"/>
    <x v="0"/>
    <x v="0"/>
    <s v="DHS 950L"/>
    <x v="0"/>
    <s v="강명효"/>
    <d v="2016-01-11T00:00:00"/>
    <n v="40000000"/>
  </r>
  <r>
    <x v="0"/>
    <s v="주식회사 싸이토피아"/>
    <x v="0"/>
    <x v="0"/>
    <s v="DHS 950L"/>
    <x v="0"/>
    <s v="손상혁"/>
    <d v="2016-01-11T00:00:00"/>
    <n v="36000000"/>
  </r>
  <r>
    <x v="1"/>
    <s v="(자)미광계전"/>
    <x v="0"/>
    <x v="0"/>
    <s v="DHS 534"/>
    <x v="0"/>
    <s v="조석제"/>
    <d v="2016-01-11T00:00:00"/>
    <n v="13500000"/>
  </r>
  <r>
    <x v="0"/>
    <s v="선진통신"/>
    <x v="0"/>
    <x v="0"/>
    <s v="DHS 950L"/>
    <x v="0"/>
    <s v="조현제"/>
    <d v="2016-01-11T00:00:00"/>
    <n v="34180000"/>
  </r>
  <r>
    <x v="1"/>
    <s v="(주)동해중공업"/>
    <x v="0"/>
    <x v="0"/>
    <s v="DHS 433HC"/>
    <x v="0"/>
    <s v="오세만"/>
    <d v="2016-01-11T00:00:00"/>
    <n v="8400000"/>
  </r>
  <r>
    <x v="1"/>
    <s v="(주)동해중공업"/>
    <x v="0"/>
    <x v="0"/>
    <s v="DHS 433HC"/>
    <x v="0"/>
    <s v="오세만"/>
    <d v="2016-01-11T00:00:00"/>
    <n v="8400000"/>
  </r>
  <r>
    <x v="1"/>
    <s v="김은곤"/>
    <x v="0"/>
    <x v="0"/>
    <s v="DHS 534"/>
    <x v="0"/>
    <s v="김윤관"/>
    <d v="2016-01-12T00:00:00"/>
    <n v="14000000"/>
  </r>
  <r>
    <x v="0"/>
    <s v="주안전력(주)"/>
    <x v="0"/>
    <x v="0"/>
    <s v="DHS 1200L"/>
    <x v="0"/>
    <s v="김윤관"/>
    <d v="2016-01-12T00:00:00"/>
    <n v="41820000"/>
  </r>
  <r>
    <x v="0"/>
    <s v="에이치케이네트웍스"/>
    <x v="0"/>
    <x v="0"/>
    <s v="DHS 950L"/>
    <x v="0"/>
    <s v="이경일"/>
    <d v="2016-01-13T00:00:00"/>
    <n v="36600000"/>
  </r>
  <r>
    <x v="0"/>
    <s v="(주)대진전기소방"/>
    <x v="0"/>
    <x v="0"/>
    <s v="DHS 950L"/>
    <x v="0"/>
    <s v="채일경"/>
    <d v="2016-01-13T00:00:00"/>
    <n v="34500000"/>
  </r>
  <r>
    <x v="0"/>
    <s v="현대캐피탈주식회사"/>
    <x v="0"/>
    <x v="0"/>
    <s v="DHS 930"/>
    <x v="0"/>
    <s v="이병학"/>
    <d v="2016-01-13T00:00:00"/>
    <n v="30465000"/>
  </r>
  <r>
    <x v="0"/>
    <s v="현대캐피탈주식회사"/>
    <x v="0"/>
    <x v="0"/>
    <s v="DHS 930"/>
    <x v="0"/>
    <s v="이병학"/>
    <d v="2016-01-13T00:00:00"/>
    <n v="30465000"/>
  </r>
  <r>
    <x v="0"/>
    <s v="현대캐피탈주식회사"/>
    <x v="0"/>
    <x v="0"/>
    <s v="DHS 930"/>
    <x v="0"/>
    <s v="이병학"/>
    <d v="2016-01-13T00:00:00"/>
    <n v="30465000"/>
  </r>
  <r>
    <x v="0"/>
    <s v="현대캐피탈주식회사"/>
    <x v="0"/>
    <x v="0"/>
    <s v="DHS 930"/>
    <x v="0"/>
    <s v="이병학"/>
    <d v="2016-01-13T00:00:00"/>
    <n v="30465000"/>
  </r>
  <r>
    <x v="0"/>
    <s v="정네트웍"/>
    <x v="0"/>
    <x v="0"/>
    <s v="DHS 950L"/>
    <x v="0"/>
    <s v="최우성"/>
    <d v="2016-01-13T00:00:00"/>
    <n v="35454545"/>
  </r>
  <r>
    <x v="2"/>
    <s v="승주화물"/>
    <x v="0"/>
    <x v="0"/>
    <s v="DHT 160AS"/>
    <x v="1"/>
    <s v="김현승"/>
    <d v="2016-01-13T00:00:00"/>
    <n v="171000000"/>
  </r>
  <r>
    <x v="2"/>
    <s v="주식회사 신한이엔씨"/>
    <x v="0"/>
    <x v="0"/>
    <s v="DHS 15AP"/>
    <x v="0"/>
    <s v="배상우"/>
    <d v="2016-01-13T00:00:00"/>
    <n v="51000000"/>
  </r>
  <r>
    <x v="0"/>
    <s v="아이콘네트웍"/>
    <x v="0"/>
    <x v="0"/>
    <s v="DHS 950L"/>
    <x v="0"/>
    <s v="이경일"/>
    <d v="2016-01-13T00:00:00"/>
    <n v="36600000"/>
  </r>
  <r>
    <x v="0"/>
    <s v="디와이통신"/>
    <x v="0"/>
    <x v="0"/>
    <s v="DHS 950L"/>
    <x v="0"/>
    <s v="지석현"/>
    <d v="2016-01-14T00:00:00"/>
    <n v="35000000"/>
  </r>
  <r>
    <x v="2"/>
    <s v="주식회사 동일"/>
    <x v="0"/>
    <x v="0"/>
    <s v="DHS 15AP"/>
    <x v="0"/>
    <s v="안기수"/>
    <d v="2016-01-14T00:00:00"/>
    <n v="11000000"/>
  </r>
  <r>
    <x v="0"/>
    <s v="지음"/>
    <x v="0"/>
    <x v="0"/>
    <s v="DHS 950L"/>
    <x v="0"/>
    <s v="윤필상"/>
    <d v="2016-01-14T00:00:00"/>
    <n v="34500000"/>
  </r>
  <r>
    <x v="1"/>
    <s v="애은"/>
    <x v="0"/>
    <x v="0"/>
    <s v="DHS 433L"/>
    <x v="1"/>
    <s v="이영진"/>
    <d v="2016-01-15T00:00:00"/>
    <n v="15000000"/>
  </r>
  <r>
    <x v="0"/>
    <s v="주식회사 다온인테크"/>
    <x v="0"/>
    <x v="0"/>
    <s v="DHS 950L"/>
    <x v="0"/>
    <s v="김윤관"/>
    <d v="2016-01-18T00:00:00"/>
    <n v="36963636"/>
  </r>
  <r>
    <x v="0"/>
    <s v="주식회사 수길정보통신"/>
    <x v="0"/>
    <x v="0"/>
    <s v="DHS 950L"/>
    <x v="0"/>
    <s v="손상혁"/>
    <d v="2016-01-18T00:00:00"/>
    <n v="34000000"/>
  </r>
  <r>
    <x v="2"/>
    <s v="성원전기공사"/>
    <x v="0"/>
    <x v="0"/>
    <s v="DHS 15AP"/>
    <x v="0"/>
    <s v="최우성"/>
    <d v="2016-01-18T00:00:00"/>
    <n v="49500000"/>
  </r>
  <r>
    <x v="0"/>
    <s v="현대캐피탈주식회사"/>
    <x v="0"/>
    <x v="0"/>
    <s v="DHS 930"/>
    <x v="0"/>
    <s v="이병학"/>
    <d v="2016-01-18T00:00:00"/>
    <n v="30465000"/>
  </r>
  <r>
    <x v="0"/>
    <s v="피씨통신"/>
    <x v="0"/>
    <x v="0"/>
    <s v="DHS 950L"/>
    <x v="0"/>
    <s v="제광호"/>
    <d v="2016-01-19T00:00:00"/>
    <n v="36363636"/>
  </r>
  <r>
    <x v="0"/>
    <s v="중원정보통신(주)"/>
    <x v="0"/>
    <x v="0"/>
    <s v="DHS 930"/>
    <x v="0"/>
    <s v="김윤관"/>
    <d v="2016-01-19T00:00:00"/>
    <n v="34090909"/>
  </r>
  <r>
    <x v="0"/>
    <s v="(주)알앤아이"/>
    <x v="0"/>
    <x v="0"/>
    <s v="DHS 950L"/>
    <x v="0"/>
    <s v="제광호"/>
    <d v="2016-01-19T00:00:00"/>
    <n v="34000000"/>
  </r>
  <r>
    <x v="0"/>
    <s v="조아전자(주)"/>
    <x v="0"/>
    <x v="0"/>
    <s v="DHS 1200L"/>
    <x v="0"/>
    <s v="안기수"/>
    <d v="2016-01-19T00:00:00"/>
    <n v="44220000"/>
  </r>
  <r>
    <x v="0"/>
    <s v="재영네트웍스"/>
    <x v="0"/>
    <x v="0"/>
    <s v="DHS 950L"/>
    <x v="0"/>
    <s v="이경일"/>
    <d v="2016-01-19T00:00:00"/>
    <n v="36600000"/>
  </r>
  <r>
    <x v="0"/>
    <s v="창기네트웍스"/>
    <x v="0"/>
    <x v="0"/>
    <s v="DHS 950L"/>
    <x v="0"/>
    <s v="지석현"/>
    <d v="2016-01-20T00:00:00"/>
    <n v="35623636"/>
  </r>
  <r>
    <x v="0"/>
    <s v="유앤아이네트웍"/>
    <x v="0"/>
    <x v="0"/>
    <s v="DHS 950L"/>
    <x v="0"/>
    <s v="제광호"/>
    <d v="2016-01-20T00:00:00"/>
    <n v="32800000"/>
  </r>
  <r>
    <x v="0"/>
    <s v="유빈통신"/>
    <x v="0"/>
    <x v="0"/>
    <s v="DHS 1200L"/>
    <x v="0"/>
    <s v="김윤관"/>
    <d v="2016-01-20T00:00:00"/>
    <n v="43181818"/>
  </r>
  <r>
    <x v="2"/>
    <s v="동해활선"/>
    <x v="0"/>
    <x v="0"/>
    <s v="DHT 150AS"/>
    <x v="1"/>
    <s v="오세만"/>
    <d v="2016-01-20T00:00:00"/>
    <n v="163000000"/>
  </r>
  <r>
    <x v="1"/>
    <s v="목포청용마린"/>
    <x v="0"/>
    <x v="0"/>
    <s v="DHS 433L"/>
    <x v="1"/>
    <s v="김현승"/>
    <d v="2016-01-21T00:00:00"/>
    <n v="15013636"/>
  </r>
  <r>
    <x v="0"/>
    <s v="주식회사 메카넷"/>
    <x v="0"/>
    <x v="0"/>
    <s v="DHS 950L"/>
    <x v="0"/>
    <s v="윤필상"/>
    <d v="2016-01-21T00:00:00"/>
    <n v="36818181"/>
  </r>
  <r>
    <x v="0"/>
    <s v="한성정보통신"/>
    <x v="0"/>
    <x v="0"/>
    <s v="DHS 930(R)"/>
    <x v="0"/>
    <s v="김윤관"/>
    <d v="2016-01-21T00:00:00"/>
    <n v="16856000"/>
  </r>
  <r>
    <x v="0"/>
    <s v="트윈이엔씨"/>
    <x v="0"/>
    <x v="0"/>
    <s v="DHS 950L"/>
    <x v="0"/>
    <s v="채일경"/>
    <d v="2016-01-21T00:00:00"/>
    <n v="35000000"/>
  </r>
  <r>
    <x v="1"/>
    <s v="(주)이산"/>
    <x v="0"/>
    <x v="0"/>
    <s v="DHS 534"/>
    <x v="0"/>
    <s v="이윤겸"/>
    <d v="2016-01-21T00:00:00"/>
    <n v="12100000"/>
  </r>
  <r>
    <x v="0"/>
    <s v="JH통신"/>
    <x v="0"/>
    <x v="0"/>
    <s v="DHS 950L"/>
    <x v="0"/>
    <s v="손상혁"/>
    <d v="2016-01-25T00:00:00"/>
    <n v="33000000"/>
  </r>
  <r>
    <x v="2"/>
    <s v="윤종태"/>
    <x v="0"/>
    <x v="0"/>
    <s v="DHT 150AS"/>
    <x v="1"/>
    <s v="강갑수"/>
    <d v="2016-01-25T00:00:00"/>
    <n v="159000000"/>
  </r>
  <r>
    <x v="2"/>
    <s v="주식회사 진성"/>
    <x v="0"/>
    <x v="0"/>
    <s v="DHT 160AS"/>
    <x v="1"/>
    <s v="박범정"/>
    <d v="2016-01-25T00:00:00"/>
    <n v="169000000"/>
  </r>
  <r>
    <x v="0"/>
    <s v="(주)신호"/>
    <x v="0"/>
    <x v="0"/>
    <s v="DHS 950L"/>
    <x v="0"/>
    <s v="김윤관"/>
    <d v="2016-01-25T00:00:00"/>
    <n v="35690909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한국전력공사"/>
    <x v="0"/>
    <x v="0"/>
    <s v="DHT 105S"/>
    <x v="1"/>
    <s v="이병학"/>
    <d v="2016-01-25T00:00:00"/>
    <n v="94810000"/>
  </r>
  <r>
    <x v="2"/>
    <s v="구미활선(개별화물)"/>
    <x v="0"/>
    <x v="0"/>
    <s v="DHT 150S"/>
    <x v="0"/>
    <s v="문현수"/>
    <d v="2016-01-26T00:00:00"/>
    <n v="143500000"/>
  </r>
  <r>
    <x v="2"/>
    <s v="태양전력(유)"/>
    <x v="0"/>
    <x v="0"/>
    <s v="DHS 15AP"/>
    <x v="0"/>
    <s v="오세만"/>
    <d v="2016-01-26T00:00:00"/>
    <n v="50909091"/>
  </r>
  <r>
    <x v="2"/>
    <s v="명진전력"/>
    <x v="0"/>
    <x v="0"/>
    <s v="DHS 15AP"/>
    <x v="0"/>
    <s v="오세만"/>
    <d v="2016-01-26T00:00:00"/>
    <n v="50909091"/>
  </r>
  <r>
    <x v="0"/>
    <s v="(주)씨큐넷"/>
    <x v="0"/>
    <x v="0"/>
    <s v="DHS 950L"/>
    <x v="0"/>
    <s v="채일경"/>
    <d v="2016-01-26T00:00:00"/>
    <n v="34300000"/>
  </r>
  <r>
    <x v="0"/>
    <s v="주식회사 선우"/>
    <x v="0"/>
    <x v="0"/>
    <s v="DHS 950L"/>
    <x v="0"/>
    <s v="이경일"/>
    <d v="2016-01-27T00:00:00"/>
    <n v="35700000"/>
  </r>
  <r>
    <x v="0"/>
    <s v="제이 정보통신"/>
    <x v="0"/>
    <x v="0"/>
    <s v="DHS 950L"/>
    <x v="0"/>
    <s v="지석현"/>
    <d v="2016-01-27T00:00:00"/>
    <n v="35909090"/>
  </r>
  <r>
    <x v="0"/>
    <s v="보고정보통신(주)"/>
    <x v="0"/>
    <x v="0"/>
    <s v="DHS 950L"/>
    <x v="0"/>
    <s v="조현제"/>
    <d v="2016-01-27T00:00:00"/>
    <n v="37500000"/>
  </r>
  <r>
    <x v="2"/>
    <s v="(유)세광전기신호공사"/>
    <x v="0"/>
    <x v="0"/>
    <s v="DHS 15AP"/>
    <x v="0"/>
    <s v="김현승"/>
    <d v="2016-01-27T00:00:00"/>
    <n v="50909091"/>
  </r>
  <r>
    <x v="2"/>
    <s v="지수건설"/>
    <x v="0"/>
    <x v="0"/>
    <s v="DHS 15AP"/>
    <x v="0"/>
    <s v="이경일"/>
    <d v="2016-01-28T00:00:00"/>
    <n v="50000000"/>
  </r>
  <r>
    <x v="2"/>
    <s v="(유)은혜전기"/>
    <x v="0"/>
    <x v="0"/>
    <s v="DHS 15AP"/>
    <x v="0"/>
    <s v="오세만"/>
    <d v="2016-01-28T00:00:00"/>
    <n v="50909091"/>
  </r>
  <r>
    <x v="1"/>
    <s v="삼성마린레져"/>
    <x v="0"/>
    <x v="0"/>
    <s v="DHS 433L"/>
    <x v="1"/>
    <s v="문현수"/>
    <d v="2016-01-29T00:00:00"/>
    <n v="14000000"/>
  </r>
  <r>
    <x v="1"/>
    <s v="김포도시공사"/>
    <x v="0"/>
    <x v="0"/>
    <s v="DHS 433L"/>
    <x v="1"/>
    <s v="지석현"/>
    <d v="2016-01-29T00:00:00"/>
    <n v="31616818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롯데오토리스(주)"/>
    <x v="0"/>
    <x v="0"/>
    <s v="DHS 950L"/>
    <x v="0"/>
    <s v="이병학"/>
    <d v="2016-02-01T00:00:00"/>
    <n v="40833333"/>
  </r>
  <r>
    <x v="0"/>
    <s v="(주)예성이앤씨"/>
    <x v="0"/>
    <x v="0"/>
    <s v="DHS 1200L"/>
    <x v="0"/>
    <s v="오세만"/>
    <d v="2016-02-01T00:00:00"/>
    <n v="42272727"/>
  </r>
  <r>
    <x v="0"/>
    <s v="(주)예성이앤씨"/>
    <x v="0"/>
    <x v="0"/>
    <s v="DHS 930"/>
    <x v="0"/>
    <s v="오세만"/>
    <d v="2016-02-01T00:00:00"/>
    <n v="35000000"/>
  </r>
  <r>
    <x v="0"/>
    <s v="(주)예성이앤씨"/>
    <x v="0"/>
    <x v="0"/>
    <s v="DHS 930"/>
    <x v="0"/>
    <s v="오세만"/>
    <d v="2016-02-01T00:00:00"/>
    <n v="35000000"/>
  </r>
  <r>
    <x v="0"/>
    <s v="(주)예성이앤씨"/>
    <x v="0"/>
    <x v="0"/>
    <s v="DHS 930"/>
    <x v="0"/>
    <s v="오세만"/>
    <d v="2016-02-01T00:00:00"/>
    <n v="35000000"/>
  </r>
  <r>
    <x v="0"/>
    <s v="지도통신"/>
    <x v="0"/>
    <x v="0"/>
    <s v="DHS 930"/>
    <x v="0"/>
    <s v="조석제"/>
    <d v="2016-02-02T00:00:00"/>
    <n v="33500000"/>
  </r>
  <r>
    <x v="0"/>
    <s v="YS정보통신"/>
    <x v="0"/>
    <x v="0"/>
    <s v="DHS 930(R)"/>
    <x v="0"/>
    <s v="손상혁"/>
    <d v="2016-02-02T00:00:00"/>
    <n v="16856000"/>
  </r>
  <r>
    <x v="0"/>
    <s v="EVE MAQUINARIA SA DE CV"/>
    <x v="1"/>
    <x v="1"/>
    <s v="DHA 102AP"/>
    <x v="0"/>
    <s v="윤상필"/>
    <d v="2016-02-02T00:00:00"/>
    <n v="14863530"/>
  </r>
  <r>
    <x v="0"/>
    <s v="팔영통신"/>
    <x v="0"/>
    <x v="0"/>
    <s v="DHS 930"/>
    <x v="0"/>
    <s v="이영진"/>
    <d v="2016-02-03T00:00:00"/>
    <n v="36363636"/>
  </r>
  <r>
    <x v="0"/>
    <s v="보민정보"/>
    <x v="0"/>
    <x v="0"/>
    <s v="DHS 950L"/>
    <x v="0"/>
    <s v="문현수"/>
    <d v="2016-02-03T00:00:00"/>
    <n v="37000000"/>
  </r>
  <r>
    <x v="0"/>
    <s v="앰에스(MS)네트워크"/>
    <x v="0"/>
    <x v="0"/>
    <s v="DHS 950L"/>
    <x v="0"/>
    <s v="제광호"/>
    <d v="2016-02-03T00:00:00"/>
    <n v="34000000"/>
  </r>
  <r>
    <x v="0"/>
    <s v="연수네트워크"/>
    <x v="0"/>
    <x v="0"/>
    <s v="DHS 125AP"/>
    <x v="0"/>
    <s v="이영진"/>
    <d v="2016-02-03T00:00:00"/>
    <n v="42636364"/>
  </r>
  <r>
    <x v="0"/>
    <s v="창신정보통신(주)"/>
    <x v="0"/>
    <x v="0"/>
    <s v="DHS 105AP"/>
    <x v="0"/>
    <s v="김윤관"/>
    <d v="2016-02-03T00:00:00"/>
    <n v="41363636"/>
  </r>
  <r>
    <x v="0"/>
    <s v="스마트인포 주식회사"/>
    <x v="0"/>
    <x v="0"/>
    <s v="DHS 950L"/>
    <x v="0"/>
    <s v="신범식"/>
    <d v="2016-02-04T00:00:00"/>
    <n v="35690909"/>
  </r>
  <r>
    <x v="0"/>
    <s v="천호정보통신"/>
    <x v="0"/>
    <x v="0"/>
    <s v="DHS 950L"/>
    <x v="0"/>
    <s v="채일경"/>
    <d v="2016-02-04T00:00:00"/>
    <n v="35900000"/>
  </r>
  <r>
    <x v="0"/>
    <s v="한우리정보통신"/>
    <x v="0"/>
    <x v="0"/>
    <s v="DHS 950L"/>
    <x v="0"/>
    <s v="제광호"/>
    <d v="2016-02-04T00:00:00"/>
    <n v="33000000"/>
  </r>
  <r>
    <x v="0"/>
    <s v="주식회사 나노정보통신"/>
    <x v="0"/>
    <x v="0"/>
    <s v="DHS 125AP"/>
    <x v="0"/>
    <s v="이경일"/>
    <d v="2016-02-04T00:00:00"/>
    <n v="44000000"/>
  </r>
  <r>
    <x v="1"/>
    <s v="일호수중개발"/>
    <x v="0"/>
    <x v="0"/>
    <s v="DHS 433L"/>
    <x v="1"/>
    <s v="강갑수"/>
    <d v="2016-02-05T00:00:00"/>
    <n v="14800000"/>
  </r>
  <r>
    <x v="3"/>
    <s v="(주)새론"/>
    <x v="0"/>
    <x v="0"/>
    <s v="DHS 190SKY"/>
    <x v="0"/>
    <s v="제광호"/>
    <d v="2016-02-05T00:00:00"/>
    <n v="60450000"/>
  </r>
  <r>
    <x v="4"/>
    <s v="제3훈련비행단"/>
    <x v="0"/>
    <x v="0"/>
    <s v="사천비행장 공사"/>
    <x v="2"/>
    <s v="박세웅"/>
    <d v="2016-02-05T00:00:00"/>
    <n v="11689091"/>
  </r>
  <r>
    <x v="0"/>
    <s v="TJ네트워크"/>
    <x v="0"/>
    <x v="0"/>
    <s v="DHS 1200L"/>
    <x v="0"/>
    <s v="정진우"/>
    <d v="2016-02-05T00:00:00"/>
    <n v="40900000"/>
  </r>
  <r>
    <x v="0"/>
    <s v="(주)한국호이스트"/>
    <x v="0"/>
    <x v="0"/>
    <s v="DHS 1200L"/>
    <x v="0"/>
    <s v="조현제"/>
    <d v="2016-02-11T00:00:00"/>
    <n v="37000000"/>
  </r>
  <r>
    <x v="2"/>
    <s v="진형준"/>
    <x v="0"/>
    <x v="0"/>
    <s v="DHS 15AP"/>
    <x v="0"/>
    <s v="지석현"/>
    <d v="2016-02-11T00:00:00"/>
    <n v="50909090"/>
  </r>
  <r>
    <x v="1"/>
    <s v="(주)E1"/>
    <x v="0"/>
    <x v="0"/>
    <s v="DHS 433L"/>
    <x v="1"/>
    <s v="오세만"/>
    <d v="2016-02-12T00:00:00"/>
    <n v="14780000"/>
  </r>
  <r>
    <x v="0"/>
    <s v="창성통신"/>
    <x v="0"/>
    <x v="0"/>
    <s v="DHS 950L"/>
    <x v="0"/>
    <s v="정진우"/>
    <d v="2016-02-12T00:00:00"/>
    <n v="34020000"/>
  </r>
  <r>
    <x v="0"/>
    <s v="제일네트웍스"/>
    <x v="0"/>
    <x v="0"/>
    <s v="DHS 950L"/>
    <x v="0"/>
    <s v="강명효"/>
    <d v="2016-02-12T00:00:00"/>
    <n v="36363636"/>
  </r>
  <r>
    <x v="2"/>
    <s v="주식회사 일신전기"/>
    <x v="0"/>
    <x v="0"/>
    <s v="DHS 15AP"/>
    <x v="0"/>
    <s v="강명효"/>
    <d v="2016-02-12T00:00:00"/>
    <n v="50000000"/>
  </r>
  <r>
    <x v="0"/>
    <s v="일광전설(주)"/>
    <x v="0"/>
    <x v="0"/>
    <s v="DHS 1200L"/>
    <x v="0"/>
    <s v="김윤관"/>
    <d v="2016-02-15T00:00:00"/>
    <n v="40909091"/>
  </r>
  <r>
    <x v="2"/>
    <s v="두원건설(주)"/>
    <x v="0"/>
    <x v="0"/>
    <s v="DHS 15AP"/>
    <x v="0"/>
    <s v="정진우"/>
    <d v="2016-02-15T00:00:00"/>
    <n v="51818181"/>
  </r>
  <r>
    <x v="2"/>
    <s v="주식회사 가나"/>
    <x v="0"/>
    <x v="0"/>
    <s v="DHS 15AP"/>
    <x v="0"/>
    <s v="이경일"/>
    <d v="2016-02-15T00:00:00"/>
    <n v="51800000"/>
  </r>
  <r>
    <x v="0"/>
    <s v="아주통신(주)"/>
    <x v="0"/>
    <x v="0"/>
    <s v="DHS 950L"/>
    <x v="0"/>
    <s v="오세만"/>
    <d v="2016-02-16T00:00:00"/>
    <n v="35909091"/>
  </r>
  <r>
    <x v="0"/>
    <s v="아주통신(주)"/>
    <x v="0"/>
    <x v="0"/>
    <s v="DHS 950L"/>
    <x v="0"/>
    <s v="오세만"/>
    <d v="2016-02-16T00:00:00"/>
    <n v="35000000"/>
  </r>
  <r>
    <x v="0"/>
    <s v="아주통신(주)"/>
    <x v="0"/>
    <x v="0"/>
    <s v="DHS 950L"/>
    <x v="0"/>
    <s v="오세만"/>
    <d v="2016-02-16T00:00:00"/>
    <n v="35000000"/>
  </r>
  <r>
    <x v="2"/>
    <s v="주식회사 무창전력"/>
    <x v="0"/>
    <x v="0"/>
    <s v="DHS 15AP"/>
    <x v="0"/>
    <s v="김현승"/>
    <d v="2016-02-16T00:00:00"/>
    <n v="50909091"/>
  </r>
  <r>
    <x v="2"/>
    <s v="세운전기"/>
    <x v="0"/>
    <x v="0"/>
    <s v="DHS 15AP"/>
    <x v="0"/>
    <s v="윤필상"/>
    <d v="2016-02-16T00:00:00"/>
    <n v="51000000"/>
  </r>
  <r>
    <x v="0"/>
    <s v="세아통신"/>
    <x v="0"/>
    <x v="0"/>
    <s v="DHS 930(R)"/>
    <x v="0"/>
    <s v="지석현"/>
    <d v="2016-02-16T00:00:00"/>
    <n v="17765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2"/>
    <s v="한국전력공사"/>
    <x v="0"/>
    <x v="0"/>
    <s v="DHT 105S"/>
    <x v="1"/>
    <s v="이병학"/>
    <d v="2016-02-16T00:00:00"/>
    <n v="94810000"/>
  </r>
  <r>
    <x v="1"/>
    <s v="현대모터"/>
    <x v="0"/>
    <x v="0"/>
    <s v="DHS 433L"/>
    <x v="1"/>
    <s v="이영진"/>
    <d v="2016-02-17T00:00:00"/>
    <n v="15013636"/>
  </r>
  <r>
    <x v="0"/>
    <s v="주식회사 우정넷"/>
    <x v="0"/>
    <x v="0"/>
    <s v="DHS 1200L"/>
    <x v="0"/>
    <s v="김윤관"/>
    <d v="2016-02-17T00:00:00"/>
    <n v="39600000"/>
  </r>
  <r>
    <x v="1"/>
    <s v="이철용"/>
    <x v="0"/>
    <x v="0"/>
    <s v="DHS 433L"/>
    <x v="1"/>
    <s v="이영진"/>
    <d v="2016-02-18T00:00:00"/>
    <n v="15000000"/>
  </r>
  <r>
    <x v="0"/>
    <s v="경안정보기술(주)"/>
    <x v="0"/>
    <x v="0"/>
    <s v="DHS 930(R)"/>
    <x v="0"/>
    <s v="안기수"/>
    <d v="2016-02-18T00:00:00"/>
    <n v="16856000"/>
  </r>
  <r>
    <x v="1"/>
    <s v="마린랜드(주)"/>
    <x v="0"/>
    <x v="0"/>
    <s v="DHS 433L"/>
    <x v="1"/>
    <s v="김윤관"/>
    <d v="2016-02-18T00:00:00"/>
    <n v="14000000"/>
  </r>
  <r>
    <x v="0"/>
    <s v="정동정보통신"/>
    <x v="0"/>
    <x v="0"/>
    <s v="DHS 950L"/>
    <x v="0"/>
    <s v="문현수"/>
    <d v="2016-02-18T00:00:00"/>
    <n v="36700000"/>
  </r>
  <r>
    <x v="0"/>
    <s v="엘피제이(LPJ)정보통신"/>
    <x v="0"/>
    <x v="0"/>
    <s v="DHS 105AP"/>
    <x v="0"/>
    <s v="채일경"/>
    <d v="2016-02-19T00:00:00"/>
    <n v="39500000"/>
  </r>
  <r>
    <x v="0"/>
    <s v="티앤피"/>
    <x v="0"/>
    <x v="0"/>
    <s v="DHS 950L"/>
    <x v="0"/>
    <s v="문현수"/>
    <d v="2016-02-19T00:00:00"/>
    <n v="34000000"/>
  </r>
  <r>
    <x v="1"/>
    <s v="엄지타이어"/>
    <x v="0"/>
    <x v="0"/>
    <s v="DHS 433L"/>
    <x v="1"/>
    <s v="신범식"/>
    <d v="2016-02-19T00:00:00"/>
    <n v="14065455"/>
  </r>
  <r>
    <x v="0"/>
    <s v="주식회사 하이패스텔"/>
    <x v="0"/>
    <x v="0"/>
    <s v="DHS 1200L"/>
    <x v="0"/>
    <s v="채일경"/>
    <d v="2016-02-19T00:00:00"/>
    <n v="45300000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롯데오토리스(주)"/>
    <x v="0"/>
    <x v="0"/>
    <s v="DHS 950L(R)"/>
    <x v="0"/>
    <s v="이병학"/>
    <d v="2016-02-22T00:00:00"/>
    <n v="48094049"/>
  </r>
  <r>
    <x v="0"/>
    <s v="(주)대영네트웍"/>
    <x v="0"/>
    <x v="0"/>
    <s v="DHS 930(R)"/>
    <x v="0"/>
    <s v="지석현"/>
    <d v="2016-02-22T00:00:00"/>
    <n v="16856000"/>
  </r>
  <r>
    <x v="0"/>
    <s v="주식회사 대명전력"/>
    <x v="0"/>
    <x v="0"/>
    <s v="DHS 1200L"/>
    <x v="0"/>
    <s v="강갑수"/>
    <d v="2016-02-22T00:00:00"/>
    <n v="42000000"/>
  </r>
  <r>
    <x v="2"/>
    <s v="기업양승호"/>
    <x v="0"/>
    <x v="0"/>
    <s v="DHS 15AP"/>
    <x v="0"/>
    <s v="이윤겸"/>
    <d v="2016-02-22T00:00:00"/>
    <n v="50909090"/>
  </r>
  <r>
    <x v="0"/>
    <s v="컨텍"/>
    <x v="0"/>
    <x v="0"/>
    <s v="DHS 950L"/>
    <x v="0"/>
    <s v="김윤관"/>
    <d v="2016-02-22T00:00:00"/>
    <n v="35454545"/>
  </r>
  <r>
    <x v="0"/>
    <s v="진복통신"/>
    <x v="0"/>
    <x v="0"/>
    <s v="DHS 950L"/>
    <x v="0"/>
    <s v="손상혁"/>
    <d v="2016-02-22T00:00:00"/>
    <n v="33000000"/>
  </r>
  <r>
    <x v="0"/>
    <s v="대종통신건설(주)"/>
    <x v="0"/>
    <x v="0"/>
    <s v="DHS 950L"/>
    <x v="0"/>
    <s v="문현수"/>
    <d v="2016-02-22T00:00:00"/>
    <n v="36700000"/>
  </r>
  <r>
    <x v="0"/>
    <s v="쎈스통신"/>
    <x v="0"/>
    <x v="0"/>
    <s v="DHS 930(R)"/>
    <x v="0"/>
    <s v="오세만"/>
    <d v="2016-02-23T00:00:00"/>
    <n v="17765000"/>
  </r>
  <r>
    <x v="0"/>
    <s v="태경링크"/>
    <x v="0"/>
    <x v="0"/>
    <s v="DHS 950L"/>
    <x v="0"/>
    <s v="지석현"/>
    <d v="2016-02-23T00:00:00"/>
    <n v="36363636"/>
  </r>
  <r>
    <x v="0"/>
    <s v="중부네트웍스(주)"/>
    <x v="0"/>
    <x v="0"/>
    <s v="DHS 930"/>
    <x v="0"/>
    <s v="제광호"/>
    <d v="2016-02-24T00:00:00"/>
    <n v="34000000"/>
  </r>
  <r>
    <x v="2"/>
    <s v="주식회사 태현전력"/>
    <x v="0"/>
    <x v="0"/>
    <s v="DHS 15AP"/>
    <x v="0"/>
    <s v="이영진"/>
    <d v="2016-02-24T00:00:00"/>
    <n v="48390909"/>
  </r>
  <r>
    <x v="0"/>
    <s v="골드텔레콤"/>
    <x v="0"/>
    <x v="0"/>
    <s v="DHS 930"/>
    <x v="0"/>
    <s v="조현제"/>
    <d v="2016-02-24T00:00:00"/>
    <n v="33000000"/>
  </r>
  <r>
    <x v="2"/>
    <s v="(주)서흥전설"/>
    <x v="0"/>
    <x v="0"/>
    <s v="DHT 150S"/>
    <x v="0"/>
    <s v="조석제"/>
    <d v="2016-02-24T00:00:00"/>
    <n v="145500000"/>
  </r>
  <r>
    <x v="0"/>
    <s v="(주)유선통신"/>
    <x v="0"/>
    <x v="0"/>
    <s v="DHS 950L"/>
    <x v="0"/>
    <s v="최우성"/>
    <d v="2016-02-24T00:00:00"/>
    <n v="35909091"/>
  </r>
  <r>
    <x v="0"/>
    <s v="(주)유선통신"/>
    <x v="0"/>
    <x v="0"/>
    <s v="DHS 950L"/>
    <x v="0"/>
    <s v="최우성"/>
    <d v="2016-02-24T00:00:00"/>
    <n v="35909091"/>
  </r>
  <r>
    <x v="0"/>
    <s v="(주)유선통신"/>
    <x v="0"/>
    <x v="0"/>
    <s v="DHS 950L"/>
    <x v="0"/>
    <s v="최우성"/>
    <d v="2016-02-24T00:00:00"/>
    <n v="35909091"/>
  </r>
  <r>
    <x v="0"/>
    <s v="(주)씨큐넷"/>
    <x v="0"/>
    <x v="0"/>
    <s v="DHS 950L"/>
    <x v="0"/>
    <s v="채일경"/>
    <d v="2016-02-24T00:00:00"/>
    <n v="34300000"/>
  </r>
  <r>
    <x v="0"/>
    <s v="롯데오토리스(주)"/>
    <x v="0"/>
    <x v="0"/>
    <s v="DHS 950L(R)"/>
    <x v="0"/>
    <s v="이병학"/>
    <d v="2016-02-24T00:00:00"/>
    <n v="48094049"/>
  </r>
  <r>
    <x v="0"/>
    <s v="롯데오토리스(주)"/>
    <x v="0"/>
    <x v="0"/>
    <s v="DHS 950L(R)"/>
    <x v="0"/>
    <s v="이병학"/>
    <d v="2016-02-24T00:00:00"/>
    <n v="48094049"/>
  </r>
  <r>
    <x v="0"/>
    <s v="롯데오토리스(주)"/>
    <x v="0"/>
    <x v="0"/>
    <s v="DHS 950L(R)"/>
    <x v="0"/>
    <s v="이병학"/>
    <d v="2016-02-24T00:00:00"/>
    <n v="48094049"/>
  </r>
  <r>
    <x v="0"/>
    <s v="롯데오토리스(주)"/>
    <x v="0"/>
    <x v="0"/>
    <s v="DHS 950L(R)"/>
    <x v="0"/>
    <s v="이병학"/>
    <d v="2016-02-24T00:00:00"/>
    <n v="48094049"/>
  </r>
  <r>
    <x v="0"/>
    <s v="롯데오토리스(주)"/>
    <x v="0"/>
    <x v="0"/>
    <s v="DHS 950L(R)"/>
    <x v="0"/>
    <s v="이병학"/>
    <d v="2016-02-24T00:00:00"/>
    <n v="48094049"/>
  </r>
  <r>
    <x v="0"/>
    <s v="에스제이 네트워크"/>
    <x v="0"/>
    <x v="0"/>
    <s v="DHS 950L"/>
    <x v="0"/>
    <s v="지석현"/>
    <d v="2016-02-25T00:00:00"/>
    <n v="35909090"/>
  </r>
  <r>
    <x v="0"/>
    <s v="제이케이 네트워크(JK network)"/>
    <x v="0"/>
    <x v="0"/>
    <s v="DHS 950L"/>
    <x v="0"/>
    <s v="지석현"/>
    <d v="2016-02-25T00:00:00"/>
    <n v="35214545"/>
  </r>
  <r>
    <x v="2"/>
    <s v="주식회사 화영전설"/>
    <x v="0"/>
    <x v="0"/>
    <s v="DHS 15AP"/>
    <x v="0"/>
    <s v="최우성"/>
    <d v="2016-02-25T00:00:00"/>
    <n v="50300000"/>
  </r>
  <r>
    <x v="2"/>
    <s v="예원전기통신(주)"/>
    <x v="0"/>
    <x v="0"/>
    <s v="DHS 15AP"/>
    <x v="0"/>
    <s v="신범식"/>
    <d v="2016-02-25T00:00:00"/>
    <n v="49454545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2"/>
    <s v="한국전력공사"/>
    <x v="0"/>
    <x v="0"/>
    <s v="DHT 105S"/>
    <x v="1"/>
    <s v="이병학"/>
    <d v="2016-02-25T00:00:00"/>
    <n v="94810000"/>
  </r>
  <r>
    <x v="0"/>
    <s v="(주)광주텔레콤"/>
    <x v="0"/>
    <x v="0"/>
    <s v="DHS 930(R)"/>
    <x v="0"/>
    <s v="오세만"/>
    <d v="2016-02-26T00:00:00"/>
    <n v="17765000"/>
  </r>
  <r>
    <x v="0"/>
    <s v="(주)광주텔레콤"/>
    <x v="0"/>
    <x v="0"/>
    <s v="DHS 930(R)"/>
    <x v="0"/>
    <s v="오세만"/>
    <d v="2016-02-26T00:00:00"/>
    <n v="17765000"/>
  </r>
  <r>
    <x v="0"/>
    <s v="(주)광주텔레콤"/>
    <x v="0"/>
    <x v="0"/>
    <s v="DHS 930(R)"/>
    <x v="0"/>
    <s v="오세만"/>
    <d v="2016-02-26T00:00:00"/>
    <n v="17765000"/>
  </r>
  <r>
    <x v="0"/>
    <s v="(주)광주텔레콤"/>
    <x v="0"/>
    <x v="0"/>
    <s v="DHS 930(R)"/>
    <x v="0"/>
    <s v="오세만"/>
    <d v="2016-02-26T00:00:00"/>
    <n v="17765000"/>
  </r>
  <r>
    <x v="0"/>
    <s v="일광전설(주)"/>
    <x v="0"/>
    <x v="0"/>
    <s v="DHS 950L"/>
    <x v="0"/>
    <s v="김윤관"/>
    <d v="2016-02-26T00:00:00"/>
    <n v="35413636"/>
  </r>
  <r>
    <x v="0"/>
    <s v="(주)세진"/>
    <x v="0"/>
    <x v="0"/>
    <s v="DHS 1200L"/>
    <x v="0"/>
    <s v="강갑수"/>
    <d v="2016-02-26T00:00:00"/>
    <n v="44000000"/>
  </r>
  <r>
    <x v="0"/>
    <s v="(주)원전건설"/>
    <x v="0"/>
    <x v="0"/>
    <s v="DHS 1200L"/>
    <x v="0"/>
    <s v="강갑수"/>
    <d v="2016-02-26T00:00:00"/>
    <n v="44800000"/>
  </r>
  <r>
    <x v="2"/>
    <s v="주식회사 엠제이전력"/>
    <x v="0"/>
    <x v="0"/>
    <s v="DHT 150AS"/>
    <x v="1"/>
    <s v="조석제"/>
    <d v="2016-02-26T00:00:00"/>
    <n v="161000000"/>
  </r>
  <r>
    <x v="0"/>
    <s v="주식회사에쓰앤씨"/>
    <x v="0"/>
    <x v="0"/>
    <s v="DHS 950L"/>
    <x v="0"/>
    <s v="채일경"/>
    <d v="2016-02-26T00:00:00"/>
    <n v="33000000"/>
  </r>
  <r>
    <x v="0"/>
    <s v="주식회사 중앙이앤씨"/>
    <x v="0"/>
    <x v="0"/>
    <s v="DHS 930(R)"/>
    <x v="0"/>
    <s v="배상우"/>
    <d v="2016-02-26T00:00:00"/>
    <n v="17765000"/>
  </r>
  <r>
    <x v="0"/>
    <s v="(주)대영네트웍"/>
    <x v="0"/>
    <x v="0"/>
    <s v="DHS 930(R)"/>
    <x v="0"/>
    <s v="지석현"/>
    <d v="2016-03-02T00:00:00"/>
    <n v="16856000"/>
  </r>
  <r>
    <x v="0"/>
    <s v="(주)대영네트웍"/>
    <x v="0"/>
    <x v="0"/>
    <s v="DHS 930(R)"/>
    <x v="0"/>
    <s v="지석현"/>
    <d v="2016-03-02T00:00:00"/>
    <n v="16856000"/>
  </r>
  <r>
    <x v="0"/>
    <s v="대산호이스트"/>
    <x v="0"/>
    <x v="0"/>
    <s v="DHS 1200L"/>
    <x v="0"/>
    <s v="조현제"/>
    <d v="2016-03-02T00:00:00"/>
    <n v="41800000"/>
  </r>
  <r>
    <x v="0"/>
    <s v="수진상사"/>
    <x v="0"/>
    <x v="0"/>
    <s v="DHS 1200L"/>
    <x v="0"/>
    <s v="이경일"/>
    <d v="2016-03-02T00:00:00"/>
    <n v="43800000"/>
  </r>
  <r>
    <x v="0"/>
    <s v="광성통신"/>
    <x v="0"/>
    <x v="0"/>
    <s v="DHS 1200L"/>
    <x v="0"/>
    <s v="김윤관"/>
    <d v="2016-03-02T00:00:00"/>
    <n v="41818182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롯데오토리스(주)"/>
    <x v="0"/>
    <x v="0"/>
    <s v="DHS 950L(R)"/>
    <x v="0"/>
    <s v="이병학"/>
    <d v="2016-03-02T00:00:00"/>
    <n v="48094049"/>
  </r>
  <r>
    <x v="0"/>
    <s v="늘솜정보통신"/>
    <x v="0"/>
    <x v="0"/>
    <s v="DHS 950L"/>
    <x v="0"/>
    <s v="지석현"/>
    <d v="2016-03-03T00:00:00"/>
    <n v="35909090"/>
  </r>
  <r>
    <x v="1"/>
    <s v="효성이엔지"/>
    <x v="0"/>
    <x v="0"/>
    <s v="DHS 433L"/>
    <x v="1"/>
    <s v="김윤관"/>
    <d v="2016-03-03T00:00:00"/>
    <n v="14000000"/>
  </r>
  <r>
    <x v="0"/>
    <s v="썬더통신"/>
    <x v="0"/>
    <x v="0"/>
    <s v="DHS 950L"/>
    <x v="0"/>
    <s v="최우성"/>
    <d v="2016-03-03T00:00:00"/>
    <n v="36727273"/>
  </r>
  <r>
    <x v="0"/>
    <s v="(주)다인정보통신"/>
    <x v="0"/>
    <x v="0"/>
    <s v="DHS 950L"/>
    <x v="0"/>
    <s v="제광호"/>
    <d v="2016-03-03T00:00:00"/>
    <n v="34500000"/>
  </r>
  <r>
    <x v="0"/>
    <s v="(주)다인정보통신"/>
    <x v="0"/>
    <x v="0"/>
    <s v="DHS 950L"/>
    <x v="0"/>
    <s v="제광호"/>
    <d v="2016-03-03T00:00:00"/>
    <n v="34500000"/>
  </r>
  <r>
    <x v="2"/>
    <s v="(주)한백통신"/>
    <x v="0"/>
    <x v="0"/>
    <s v="DHS 15AP"/>
    <x v="0"/>
    <s v="오세만"/>
    <d v="2016-03-03T00:00:00"/>
    <n v="48181818"/>
  </r>
  <r>
    <x v="1"/>
    <s v="수정중기"/>
    <x v="0"/>
    <x v="0"/>
    <s v="DHS 433L"/>
    <x v="1"/>
    <s v="정진우"/>
    <d v="2016-03-03T00:00:00"/>
    <n v="14545455"/>
  </r>
  <r>
    <x v="0"/>
    <s v="진 텔콤"/>
    <x v="0"/>
    <x v="0"/>
    <s v="DHS 950L"/>
    <x v="0"/>
    <s v="정진우"/>
    <d v="2016-03-04T00:00:00"/>
    <n v="35500000"/>
  </r>
  <r>
    <x v="0"/>
    <s v="주식회사 에스엠엔네트워크"/>
    <x v="0"/>
    <x v="0"/>
    <s v="DHS 950L"/>
    <x v="0"/>
    <s v="윤필상"/>
    <d v="2016-03-04T00:00:00"/>
    <n v="31400000"/>
  </r>
  <r>
    <x v="0"/>
    <s v="주식회사 에스엠엔네트워크"/>
    <x v="0"/>
    <x v="0"/>
    <s v="DHS 950L"/>
    <x v="0"/>
    <s v="윤필상"/>
    <d v="2016-03-04T00:00:00"/>
    <n v="31400000"/>
  </r>
  <r>
    <x v="0"/>
    <s v="주식회사 에스엠엔네트워크"/>
    <x v="0"/>
    <x v="0"/>
    <s v="DHS 950L"/>
    <x v="0"/>
    <s v="윤필상"/>
    <d v="2016-03-04T00:00:00"/>
    <n v="31400000"/>
  </r>
  <r>
    <x v="1"/>
    <s v="형제엔지니어링"/>
    <x v="0"/>
    <x v="0"/>
    <s v="DHS 433L"/>
    <x v="1"/>
    <s v="신범식"/>
    <d v="2016-03-07T00:00:00"/>
    <n v="13717273"/>
  </r>
  <r>
    <x v="0"/>
    <s v="(주)신성글로벌네트워크"/>
    <x v="0"/>
    <x v="0"/>
    <s v="DHS 950L"/>
    <x v="0"/>
    <s v="제광호"/>
    <d v="2016-03-07T00:00:00"/>
    <n v="35500000"/>
  </r>
  <r>
    <x v="0"/>
    <s v="온리원네트웍스"/>
    <x v="0"/>
    <x v="0"/>
    <s v="DHS 950L"/>
    <x v="0"/>
    <s v="지석현"/>
    <d v="2016-03-07T00:00:00"/>
    <n v="34000000"/>
  </r>
  <r>
    <x v="0"/>
    <s v="누리통신"/>
    <x v="0"/>
    <x v="0"/>
    <s v="DHS 950L"/>
    <x v="0"/>
    <s v="손상혁"/>
    <d v="2016-03-07T00:00:00"/>
    <n v="34000000"/>
  </r>
  <r>
    <x v="0"/>
    <s v="남경통신"/>
    <x v="0"/>
    <x v="0"/>
    <s v="DHS 950L"/>
    <x v="0"/>
    <s v="문현수"/>
    <d v="2016-03-07T00:00:00"/>
    <n v="36363636"/>
  </r>
  <r>
    <x v="0"/>
    <s v="주식회사 삼주전자"/>
    <x v="0"/>
    <x v="0"/>
    <s v="DHS 950L"/>
    <x v="0"/>
    <s v="문현수"/>
    <d v="2016-03-07T00:00:00"/>
    <n v="35454545"/>
  </r>
  <r>
    <x v="0"/>
    <s v="유병용"/>
    <x v="0"/>
    <x v="0"/>
    <s v="DHS 1200L"/>
    <x v="0"/>
    <s v="김덕래"/>
    <d v="2016-03-08T00:00:00"/>
    <n v="45000000"/>
  </r>
  <r>
    <x v="2"/>
    <s v="한국전기산업주식회사"/>
    <x v="0"/>
    <x v="0"/>
    <s v="DHS 15AP"/>
    <x v="0"/>
    <s v="이경일"/>
    <d v="2016-03-08T00:00:00"/>
    <n v="52000000"/>
  </r>
  <r>
    <x v="0"/>
    <s v="(주)지앤에스기술"/>
    <x v="0"/>
    <x v="0"/>
    <s v="DHS 950L"/>
    <x v="0"/>
    <s v="이경일"/>
    <d v="2016-03-08T00:00:00"/>
    <n v="36000000"/>
  </r>
  <r>
    <x v="0"/>
    <s v="대북통신"/>
    <x v="0"/>
    <x v="0"/>
    <s v="DHS 950L"/>
    <x v="0"/>
    <s v="문현수"/>
    <d v="2016-03-08T00:00:00"/>
    <n v="37000000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0"/>
    <s v="롯데오토리스(주)"/>
    <x v="0"/>
    <x v="0"/>
    <s v="DHS 950L(R)"/>
    <x v="0"/>
    <s v="이병학"/>
    <d v="2016-03-09T00:00:00"/>
    <n v="48094049"/>
  </r>
  <r>
    <x v="2"/>
    <s v="부국전력공사"/>
    <x v="0"/>
    <x v="0"/>
    <s v="DHS 15AP"/>
    <x v="0"/>
    <s v="이윤겸"/>
    <d v="2016-03-09T00:00:00"/>
    <n v="51000000"/>
  </r>
  <r>
    <x v="0"/>
    <s v="일광전설(주)"/>
    <x v="0"/>
    <x v="0"/>
    <s v="DHS 950L"/>
    <x v="0"/>
    <s v="김윤관"/>
    <d v="2016-03-09T00:00:00"/>
    <n v="36363636"/>
  </r>
  <r>
    <x v="0"/>
    <s v="제이지"/>
    <x v="0"/>
    <x v="0"/>
    <s v="DHS 930"/>
    <x v="0"/>
    <s v="조석제"/>
    <d v="2016-03-09T00:00:00"/>
    <n v="35000000"/>
  </r>
  <r>
    <x v="0"/>
    <s v="제이지"/>
    <x v="0"/>
    <x v="0"/>
    <s v="DHS 930"/>
    <x v="0"/>
    <s v="조석제"/>
    <d v="2016-03-09T00:00:00"/>
    <n v="34500000"/>
  </r>
  <r>
    <x v="0"/>
    <s v="밀알통신"/>
    <x v="0"/>
    <x v="0"/>
    <s v="DHS 930"/>
    <x v="0"/>
    <s v="김윤관"/>
    <d v="2016-03-09T00:00:00"/>
    <n v="34545455"/>
  </r>
  <r>
    <x v="0"/>
    <s v="퍼스트텔레콤(주)"/>
    <x v="0"/>
    <x v="0"/>
    <s v="DHS 950L"/>
    <x v="0"/>
    <s v="채일경"/>
    <d v="2016-03-09T00:00:00"/>
    <n v="34000000"/>
  </r>
  <r>
    <x v="0"/>
    <s v="(주)나우리정보통신"/>
    <x v="0"/>
    <x v="0"/>
    <s v="DHS 950L"/>
    <x v="0"/>
    <s v="오세만"/>
    <d v="2016-03-10T00:00:00"/>
    <n v="35909091"/>
  </r>
  <r>
    <x v="0"/>
    <s v="(주)나우리정보통신"/>
    <x v="0"/>
    <x v="0"/>
    <s v="DHS 950L"/>
    <x v="0"/>
    <s v="오세만"/>
    <d v="2016-03-10T00:00:00"/>
    <n v="35000000"/>
  </r>
  <r>
    <x v="0"/>
    <s v="(주)나우리정보통신"/>
    <x v="0"/>
    <x v="0"/>
    <s v="DHS 930"/>
    <x v="0"/>
    <s v="오세만"/>
    <d v="2016-03-10T00:00:00"/>
    <n v="33636364"/>
  </r>
  <r>
    <x v="0"/>
    <s v="스피드통신"/>
    <x v="0"/>
    <x v="0"/>
    <s v="DHS 950L"/>
    <x v="0"/>
    <s v="김윤관"/>
    <d v="2016-03-10T00:00:00"/>
    <n v="36590909"/>
  </r>
  <r>
    <x v="2"/>
    <s v="(주)에이치케이전력"/>
    <x v="0"/>
    <x v="0"/>
    <s v="DHT 160AS"/>
    <x v="1"/>
    <s v="박범정"/>
    <d v="2016-03-10T00:00:00"/>
    <n v="170000000"/>
  </r>
  <r>
    <x v="2"/>
    <s v="(주)한성"/>
    <x v="0"/>
    <x v="0"/>
    <s v="DHS 15AP"/>
    <x v="0"/>
    <s v="강갑수"/>
    <d v="2016-03-10T00:00:00"/>
    <n v="50700000"/>
  </r>
  <r>
    <x v="2"/>
    <s v="성진케이블"/>
    <x v="0"/>
    <x v="0"/>
    <s v="DHS 15AP"/>
    <x v="0"/>
    <s v="조석제"/>
    <d v="2016-03-10T00:00:00"/>
    <n v="52000000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롯데오토리스(주)"/>
    <x v="0"/>
    <x v="0"/>
    <s v="DHS 950L(R)"/>
    <x v="0"/>
    <s v="이병학"/>
    <d v="2016-03-11T00:00:00"/>
    <n v="48094049"/>
  </r>
  <r>
    <x v="0"/>
    <s v="동숙통신"/>
    <x v="0"/>
    <x v="0"/>
    <s v="DHS 950L"/>
    <x v="0"/>
    <s v="오세만"/>
    <d v="2016-03-11T00:00:00"/>
    <n v="36545455"/>
  </r>
  <r>
    <x v="5"/>
    <s v="(주)스마트비전"/>
    <x v="0"/>
    <x v="0"/>
    <s v="DHS 1800"/>
    <x v="0"/>
    <s v="정진우"/>
    <d v="2016-03-11T00:00:00"/>
    <n v="101500000"/>
  </r>
  <r>
    <x v="2"/>
    <s v="우영활선"/>
    <x v="0"/>
    <x v="0"/>
    <s v="DHT 160S"/>
    <x v="0"/>
    <s v="박범정"/>
    <d v="2016-03-11T00:00:00"/>
    <n v="150000000"/>
  </r>
  <r>
    <x v="2"/>
    <s v="주식회사 성실전기"/>
    <x v="0"/>
    <x v="0"/>
    <s v="DHS 15AP"/>
    <x v="0"/>
    <s v="강명효"/>
    <d v="2016-03-14T00:00:00"/>
    <n v="48181818"/>
  </r>
  <r>
    <x v="2"/>
    <s v="최순희"/>
    <x v="0"/>
    <x v="0"/>
    <s v="DHS 15AP"/>
    <x v="0"/>
    <s v="강갑수"/>
    <d v="2016-03-14T00:00:00"/>
    <n v="50500000"/>
  </r>
  <r>
    <x v="2"/>
    <s v="유일전기(주)"/>
    <x v="0"/>
    <x v="0"/>
    <s v="DHS 15AP"/>
    <x v="0"/>
    <s v="채일경"/>
    <d v="2016-03-14T00:00:00"/>
    <n v="50000000"/>
  </r>
  <r>
    <x v="0"/>
    <s v="(주)한성이앤씨"/>
    <x v="0"/>
    <x v="0"/>
    <s v="DHS 1200L"/>
    <x v="0"/>
    <s v="이윤겸"/>
    <d v="2016-03-14T00:00:00"/>
    <n v="40000000"/>
  </r>
  <r>
    <x v="0"/>
    <s v="(주)다인정보통신"/>
    <x v="0"/>
    <x v="0"/>
    <s v="DHS 950L"/>
    <x v="0"/>
    <s v="제광호"/>
    <d v="2016-03-14T00:00:00"/>
    <n v="34500000"/>
  </r>
  <r>
    <x v="0"/>
    <s v="(주)신성글로벌네트워크"/>
    <x v="0"/>
    <x v="0"/>
    <s v="DHS 950L"/>
    <x v="0"/>
    <s v="제광호"/>
    <d v="2016-03-14T00:00:00"/>
    <n v="35000000"/>
  </r>
  <r>
    <x v="2"/>
    <s v="VIET TRUNG JOINT STOCK EQUIPMENT COMPANY"/>
    <x v="1"/>
    <x v="2"/>
    <s v="부품판매(수출)"/>
    <x v="2"/>
    <s v="배재철"/>
    <d v="2016-03-14T00:00:00"/>
    <n v="9815617"/>
  </r>
  <r>
    <x v="0"/>
    <s v="비더블류"/>
    <x v="0"/>
    <x v="0"/>
    <s v="DHS 950L"/>
    <x v="0"/>
    <s v="채일경"/>
    <d v="2016-03-14T00:00:00"/>
    <n v="35000000"/>
  </r>
  <r>
    <x v="0"/>
    <s v="(주)씨앤앰경기케이블티브이"/>
    <x v="0"/>
    <x v="0"/>
    <s v="DHS 1200L"/>
    <x v="0"/>
    <s v="윤필상"/>
    <d v="2016-03-15T00:00:00"/>
    <n v="46500000"/>
  </r>
  <r>
    <x v="0"/>
    <s v="(주)씨앤앰경동케이블티브이"/>
    <x v="0"/>
    <x v="0"/>
    <s v="DHS 1200L"/>
    <x v="0"/>
    <s v="윤필상"/>
    <d v="2016-03-15T00:00:00"/>
    <n v="46500000"/>
  </r>
  <r>
    <x v="0"/>
    <s v="(주)씨앤앰경동케이블티브이"/>
    <x v="0"/>
    <x v="0"/>
    <s v="DHS 1200L"/>
    <x v="0"/>
    <s v="윤필상"/>
    <d v="2016-03-15T00:00:00"/>
    <n v="46500000"/>
  </r>
  <r>
    <x v="0"/>
    <s v="(주)씨앤앰경기동부케이블티브이"/>
    <x v="0"/>
    <x v="0"/>
    <s v="DHS 1200L"/>
    <x v="0"/>
    <s v="윤필상"/>
    <d v="2016-03-15T00:00:00"/>
    <n v="46500000"/>
  </r>
  <r>
    <x v="0"/>
    <s v="(주)씨앤앰 송파케이블티브이"/>
    <x v="0"/>
    <x v="0"/>
    <s v="DHS 950L"/>
    <x v="0"/>
    <s v="윤필상"/>
    <d v="2016-03-15T00:00:00"/>
    <n v="39000000"/>
  </r>
  <r>
    <x v="0"/>
    <s v="(주)씨앤앰노원케이블티브이"/>
    <x v="0"/>
    <x v="0"/>
    <s v="DHS 950L"/>
    <x v="0"/>
    <s v="윤필상"/>
    <d v="2016-03-15T00:00:00"/>
    <n v="39000000"/>
  </r>
  <r>
    <x v="0"/>
    <s v="(주)씨앤앰 북부케이블티브이"/>
    <x v="0"/>
    <x v="0"/>
    <s v="DHS 950L"/>
    <x v="0"/>
    <s v="윤필상"/>
    <d v="2016-03-15T00:00:00"/>
    <n v="39000000"/>
  </r>
  <r>
    <x v="0"/>
    <s v="(주)씨앤앰 서서울케이블티브이"/>
    <x v="0"/>
    <x v="0"/>
    <s v="DHS 950L"/>
    <x v="0"/>
    <s v="윤필상"/>
    <d v="2016-03-15T00:00:00"/>
    <n v="39000000"/>
  </r>
  <r>
    <x v="0"/>
    <s v="(주)씨앤앰 용산케이블티브이"/>
    <x v="0"/>
    <x v="0"/>
    <s v="DHS 950L"/>
    <x v="0"/>
    <s v="윤필상"/>
    <d v="2016-03-15T00:00:00"/>
    <n v="39000000"/>
  </r>
  <r>
    <x v="0"/>
    <s v="엘케이테크넷(주)"/>
    <x v="0"/>
    <x v="0"/>
    <s v="DHS 950L"/>
    <x v="0"/>
    <s v="정진우"/>
    <d v="2016-03-15T00:00:00"/>
    <n v="33818182"/>
  </r>
  <r>
    <x v="0"/>
    <s v="엘케이테크넷(주)"/>
    <x v="0"/>
    <x v="0"/>
    <s v="DHS 950L"/>
    <x v="0"/>
    <s v="정진우"/>
    <d v="2016-03-15T00:00:00"/>
    <n v="33818182"/>
  </r>
  <r>
    <x v="0"/>
    <s v="엘케이테크넷(주)"/>
    <x v="0"/>
    <x v="0"/>
    <s v="DHS 950L"/>
    <x v="0"/>
    <s v="정진우"/>
    <d v="2016-03-15T00:00:00"/>
    <n v="33818182"/>
  </r>
  <r>
    <x v="0"/>
    <s v="엘케이테크넷(주)"/>
    <x v="0"/>
    <x v="0"/>
    <s v="DHS 950L"/>
    <x v="0"/>
    <s v="정진우"/>
    <d v="2016-03-15T00:00:00"/>
    <n v="33818182"/>
  </r>
  <r>
    <x v="0"/>
    <s v="(주)에스오에이텔레콤"/>
    <x v="0"/>
    <x v="0"/>
    <s v="DHS 950L"/>
    <x v="0"/>
    <s v="신범식"/>
    <d v="2016-03-15T00:00:00"/>
    <n v="35909091"/>
  </r>
  <r>
    <x v="0"/>
    <s v="(주)에스오에이텔레콤"/>
    <x v="0"/>
    <x v="0"/>
    <s v="DHS 950L"/>
    <x v="0"/>
    <s v="신범식"/>
    <d v="2016-03-15T00:00:00"/>
    <n v="35909091"/>
  </r>
  <r>
    <x v="0"/>
    <s v="(주)에스오에이텔레콤"/>
    <x v="0"/>
    <x v="0"/>
    <s v="DHS 950L"/>
    <x v="0"/>
    <s v="신범식"/>
    <d v="2016-03-15T00:00:00"/>
    <n v="35909091"/>
  </r>
  <r>
    <x v="1"/>
    <s v="(주)한일공업"/>
    <x v="0"/>
    <x v="0"/>
    <s v="DHS 433L"/>
    <x v="1"/>
    <s v="안기수"/>
    <d v="2016-03-16T00:00:00"/>
    <n v="14000000"/>
  </r>
  <r>
    <x v="1"/>
    <s v="(주)한일공업"/>
    <x v="0"/>
    <x v="0"/>
    <s v="DHS 433L"/>
    <x v="1"/>
    <s v="안기수"/>
    <d v="2016-03-16T00:00:00"/>
    <n v="14000000"/>
  </r>
  <r>
    <x v="2"/>
    <s v="주식회사 대명파워텍"/>
    <x v="0"/>
    <x v="0"/>
    <s v="DHS 15AP"/>
    <x v="0"/>
    <s v="김윤관"/>
    <d v="2016-03-16T00:00:00"/>
    <n v="50454546"/>
  </r>
  <r>
    <x v="2"/>
    <s v="일동종합전기"/>
    <x v="0"/>
    <x v="0"/>
    <s v="DHS 15AP"/>
    <x v="0"/>
    <s v="채일경"/>
    <d v="2016-03-16T00:00:00"/>
    <n v="49250000"/>
  </r>
  <r>
    <x v="0"/>
    <s v="주식회사 기가아이앤티"/>
    <x v="0"/>
    <x v="0"/>
    <s v="DHS 950L"/>
    <x v="0"/>
    <s v="정진우"/>
    <d v="2016-03-16T00:00:00"/>
    <n v="34000000"/>
  </r>
  <r>
    <x v="0"/>
    <s v="주식회사 기가아이앤티"/>
    <x v="0"/>
    <x v="0"/>
    <s v="DHS 950L"/>
    <x v="0"/>
    <s v="정진우"/>
    <d v="2016-03-16T00:00:00"/>
    <n v="34000000"/>
  </r>
  <r>
    <x v="0"/>
    <s v="주식회사 기가아이앤티"/>
    <x v="0"/>
    <x v="0"/>
    <s v="DHS 950L"/>
    <x v="0"/>
    <s v="정진우"/>
    <d v="2016-03-16T00:00:00"/>
    <n v="34000000"/>
  </r>
  <r>
    <x v="0"/>
    <s v="(주)씨앤앰구로금천케이블티브이"/>
    <x v="0"/>
    <x v="0"/>
    <s v="DHS 1200L"/>
    <x v="0"/>
    <s v="윤필상"/>
    <d v="2016-03-17T00:00:00"/>
    <n v="46500000"/>
  </r>
  <r>
    <x v="0"/>
    <s v="(주)씨앤앰구로금천케이블티브이"/>
    <x v="0"/>
    <x v="0"/>
    <s v="DHS 1200L"/>
    <x v="0"/>
    <s v="윤필상"/>
    <d v="2016-03-17T00:00:00"/>
    <n v="46500000"/>
  </r>
  <r>
    <x v="0"/>
    <s v="충청통신(자)"/>
    <x v="0"/>
    <x v="0"/>
    <s v="DHS 950L"/>
    <x v="0"/>
    <s v="김윤관"/>
    <d v="2016-03-18T00:00:00"/>
    <n v="36818182"/>
  </r>
  <r>
    <x v="2"/>
    <s v="크린애드"/>
    <x v="0"/>
    <x v="0"/>
    <s v="DHS 15AP"/>
    <x v="0"/>
    <s v="윤필상"/>
    <d v="2016-03-18T00:00:00"/>
    <n v="47800000"/>
  </r>
  <r>
    <x v="0"/>
    <s v="(주)바이텍코리아"/>
    <x v="0"/>
    <x v="0"/>
    <s v="DHS 1200L"/>
    <x v="0"/>
    <s v="이경일"/>
    <d v="2016-03-18T00:00:00"/>
    <n v="41600000"/>
  </r>
  <r>
    <x v="2"/>
    <s v="성진전기"/>
    <x v="0"/>
    <x v="0"/>
    <s v="DHT 150S"/>
    <x v="0"/>
    <s v="조석제"/>
    <d v="2016-03-18T00:00:00"/>
    <n v="144000000"/>
  </r>
  <r>
    <x v="2"/>
    <s v="(주)대명전기"/>
    <x v="0"/>
    <x v="0"/>
    <s v="DHT 150S"/>
    <x v="0"/>
    <s v="조석제"/>
    <d v="2016-03-18T00:00:00"/>
    <n v="145000000"/>
  </r>
  <r>
    <x v="2"/>
    <s v="태웅전기"/>
    <x v="0"/>
    <x v="0"/>
    <s v="DHT 150S"/>
    <x v="0"/>
    <s v="조석제"/>
    <d v="2016-03-18T00:00:00"/>
    <n v="145500000"/>
  </r>
  <r>
    <x v="1"/>
    <s v="롯데오토리스(주)"/>
    <x v="0"/>
    <x v="0"/>
    <s v="DHS 433L"/>
    <x v="1"/>
    <s v="지석현"/>
    <d v="2016-03-21T00:00:00"/>
    <n v="13900000"/>
  </r>
  <r>
    <x v="0"/>
    <s v="(주)에스오에이텔레콤"/>
    <x v="0"/>
    <x v="0"/>
    <s v="DHS 950L"/>
    <x v="0"/>
    <s v="김윤관"/>
    <d v="2016-03-21T00:00:00"/>
    <n v="35909090"/>
  </r>
  <r>
    <x v="2"/>
    <s v="김원현"/>
    <x v="0"/>
    <x v="0"/>
    <s v="DHT 150S"/>
    <x v="0"/>
    <s v="강갑수"/>
    <d v="2016-03-21T00:00:00"/>
    <n v="141000000"/>
  </r>
  <r>
    <x v="2"/>
    <s v="(자)장안전기"/>
    <x v="0"/>
    <x v="0"/>
    <s v="DHT 150AS"/>
    <x v="1"/>
    <s v="조석제"/>
    <d v="2016-03-21T00:00:00"/>
    <n v="161000000"/>
  </r>
  <r>
    <x v="2"/>
    <s v="주식회사 녹양전력"/>
    <x v="0"/>
    <x v="0"/>
    <s v="DHT 150AS"/>
    <x v="1"/>
    <s v="조석제"/>
    <d v="2016-03-21T00:00:00"/>
    <n v="160000000"/>
  </r>
  <r>
    <x v="0"/>
    <s v="(주)국제광엔지니어링"/>
    <x v="0"/>
    <x v="0"/>
    <s v="DHS 950L"/>
    <x v="0"/>
    <s v="김윤관"/>
    <d v="2016-03-21T00:00:00"/>
    <n v="37272727"/>
  </r>
  <r>
    <x v="0"/>
    <s v="(주)기가네트워크"/>
    <x v="0"/>
    <x v="0"/>
    <s v="DHS 950L"/>
    <x v="0"/>
    <s v="윤필상"/>
    <d v="2016-03-22T00:00:00"/>
    <n v="34500000"/>
  </r>
  <r>
    <x v="0"/>
    <s v="(주)기가네트워크"/>
    <x v="0"/>
    <x v="0"/>
    <s v="DHS 950L"/>
    <x v="0"/>
    <s v="윤필상"/>
    <d v="2016-03-22T00:00:00"/>
    <n v="35000000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롯데오토리스(주)"/>
    <x v="0"/>
    <x v="0"/>
    <s v="DH SUPER 3000A"/>
    <x v="3"/>
    <s v="이병학"/>
    <d v="2016-03-22T00:00:00"/>
    <n v="82261904"/>
  </r>
  <r>
    <x v="0"/>
    <s v="우주정보통신"/>
    <x v="0"/>
    <x v="0"/>
    <s v="DHS 950L"/>
    <x v="0"/>
    <s v="조현제"/>
    <d v="2016-03-23T00:00:00"/>
    <n v="33500000"/>
  </r>
  <r>
    <x v="2"/>
    <s v="글로벌활선"/>
    <x v="0"/>
    <x v="0"/>
    <s v="DHT 150S"/>
    <x v="0"/>
    <s v="조석제"/>
    <d v="2016-03-23T00:00:00"/>
    <n v="145000000"/>
  </r>
  <r>
    <x v="2"/>
    <s v="영성활선"/>
    <x v="0"/>
    <x v="0"/>
    <s v="DHT 160AS"/>
    <x v="1"/>
    <s v="배상우"/>
    <d v="2016-03-23T00:00:00"/>
    <n v="167000000"/>
  </r>
  <r>
    <x v="2"/>
    <s v="유진활선"/>
    <x v="0"/>
    <x v="0"/>
    <s v="DHT 160AS"/>
    <x v="1"/>
    <s v="배상우"/>
    <d v="2016-03-23T00:00:00"/>
    <n v="166000000"/>
  </r>
  <r>
    <x v="2"/>
    <s v="VIET TRUNG JOINT STOCK EQUIPMENT COMPANY"/>
    <x v="1"/>
    <x v="2"/>
    <s v="부품판매(수출)"/>
    <x v="2"/>
    <s v="배재철"/>
    <d v="2016-03-23T00:00:00"/>
    <n v="1676637"/>
  </r>
  <r>
    <x v="0"/>
    <s v="윈스로드(주)"/>
    <x v="0"/>
    <x v="0"/>
    <s v="DHS 950L"/>
    <x v="0"/>
    <s v="이윤겸"/>
    <d v="2016-03-24T00:00:00"/>
    <n v="34500000"/>
  </r>
  <r>
    <x v="0"/>
    <s v="(주)뉴젠스"/>
    <x v="0"/>
    <x v="0"/>
    <s v="DHS 950L"/>
    <x v="0"/>
    <s v="이경일"/>
    <d v="2016-03-24T00:00:00"/>
    <n v="36500000"/>
  </r>
  <r>
    <x v="0"/>
    <s v="(주)뉴젠스"/>
    <x v="0"/>
    <x v="0"/>
    <s v="DHS 950L"/>
    <x v="0"/>
    <s v="이경일"/>
    <d v="2016-03-24T00:00:00"/>
    <n v="36500000"/>
  </r>
  <r>
    <x v="0"/>
    <s v="주식회사 와이케이정보통신"/>
    <x v="0"/>
    <x v="0"/>
    <s v="DHS 950L"/>
    <x v="0"/>
    <s v="채일경"/>
    <d v="2016-03-24T00:00:00"/>
    <n v="34000000"/>
  </r>
  <r>
    <x v="0"/>
    <s v="금천전기"/>
    <x v="0"/>
    <x v="0"/>
    <s v="DHS 1200L"/>
    <x v="0"/>
    <s v="조석제"/>
    <d v="2016-03-24T00:00:00"/>
    <n v="39700000"/>
  </r>
  <r>
    <x v="0"/>
    <s v="(주)우주텔레콤"/>
    <x v="0"/>
    <x v="0"/>
    <s v="DHS 950L"/>
    <x v="0"/>
    <s v="지석현"/>
    <d v="2016-03-25T00:00:00"/>
    <n v="35300000"/>
  </r>
  <r>
    <x v="0"/>
    <s v="미래통신"/>
    <x v="0"/>
    <x v="0"/>
    <s v="DHS 950L"/>
    <x v="0"/>
    <s v="손상혁"/>
    <d v="2016-03-25T00:00:00"/>
    <n v="34500000"/>
  </r>
  <r>
    <x v="2"/>
    <s v="(주)평창전기"/>
    <x v="0"/>
    <x v="0"/>
    <s v="DHT 150AS"/>
    <x v="1"/>
    <s v="조석제"/>
    <d v="2016-03-25T00:00:00"/>
    <n v="161000000"/>
  </r>
  <r>
    <x v="2"/>
    <s v="(주)동훈전설"/>
    <x v="0"/>
    <x v="0"/>
    <s v="DHT 160AS"/>
    <x v="1"/>
    <s v="박범정"/>
    <d v="2016-03-25T00:00:00"/>
    <n v="168000000"/>
  </r>
  <r>
    <x v="1"/>
    <s v="대양엔바이오(주)"/>
    <x v="0"/>
    <x v="0"/>
    <s v="DHS 433L"/>
    <x v="1"/>
    <s v="제광호"/>
    <d v="2016-03-25T00:00:00"/>
    <n v="14500000"/>
  </r>
  <r>
    <x v="0"/>
    <s v="(주)에스엠케이정보통신"/>
    <x v="0"/>
    <x v="0"/>
    <s v="DHS 930"/>
    <x v="0"/>
    <s v="오세만"/>
    <d v="2016-03-28T00:00:00"/>
    <n v="36600000"/>
  </r>
  <r>
    <x v="0"/>
    <s v="(주)에이스정보통신"/>
    <x v="0"/>
    <x v="0"/>
    <s v="DHS 1200L"/>
    <x v="0"/>
    <s v="강명효"/>
    <d v="2016-03-28T00:00:00"/>
    <n v="44500000"/>
  </r>
  <r>
    <x v="1"/>
    <s v="에이전시중기"/>
    <x v="0"/>
    <x v="0"/>
    <s v="DHS 433L"/>
    <x v="1"/>
    <s v="제광호"/>
    <d v="2016-03-28T00:00:00"/>
    <n v="14500000"/>
  </r>
  <r>
    <x v="0"/>
    <s v="에스제이(서주)정보통신"/>
    <x v="0"/>
    <x v="0"/>
    <s v="DHS 950L"/>
    <x v="0"/>
    <s v="지석현"/>
    <d v="2016-03-28T00:00:00"/>
    <n v="36363636"/>
  </r>
  <r>
    <x v="0"/>
    <s v="주식회사 호덕아이앤씨"/>
    <x v="0"/>
    <x v="0"/>
    <s v="DHS 930"/>
    <x v="0"/>
    <s v="오세만"/>
    <d v="2016-03-28T00:00:00"/>
    <n v="34150000"/>
  </r>
  <r>
    <x v="0"/>
    <s v="주식회사 호덕아이앤씨"/>
    <x v="0"/>
    <x v="0"/>
    <s v="DHS 930"/>
    <x v="0"/>
    <s v="오세만"/>
    <d v="2016-03-28T00:00:00"/>
    <n v="34150000"/>
  </r>
  <r>
    <x v="2"/>
    <s v="주식회사 부강"/>
    <x v="0"/>
    <x v="0"/>
    <s v="DHS 15AP"/>
    <x v="0"/>
    <s v="문현수"/>
    <d v="2016-03-28T00:00:00"/>
    <n v="50909090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0"/>
    <s v="롯데오토리스(주)"/>
    <x v="0"/>
    <x v="0"/>
    <s v="DH SUPER 3000A"/>
    <x v="3"/>
    <s v="이병학"/>
    <d v="2016-03-28T00:00:00"/>
    <n v="82261904"/>
  </r>
  <r>
    <x v="1"/>
    <s v="성진선외기"/>
    <x v="0"/>
    <x v="0"/>
    <s v="DHS 433L"/>
    <x v="1"/>
    <s v="오세만"/>
    <d v="2016-03-29T00:00:00"/>
    <n v="15013636"/>
  </r>
  <r>
    <x v="2"/>
    <s v="정성전기"/>
    <x v="0"/>
    <x v="0"/>
    <s v="DHS 15AP"/>
    <x v="0"/>
    <s v="제광호"/>
    <d v="2016-03-29T00:00:00"/>
    <n v="47500000"/>
  </r>
  <r>
    <x v="2"/>
    <s v="명진ENG"/>
    <x v="0"/>
    <x v="0"/>
    <s v="DHT 150S"/>
    <x v="0"/>
    <s v="오세만"/>
    <d v="2016-03-29T00:00:00"/>
    <n v="140000000"/>
  </r>
  <r>
    <x v="1"/>
    <s v="대우라지에타"/>
    <x v="0"/>
    <x v="0"/>
    <s v="DHS 433L"/>
    <x v="1"/>
    <s v="안기수"/>
    <d v="2016-03-29T00:00:00"/>
    <n v="14000000"/>
  </r>
  <r>
    <x v="2"/>
    <s v="WAIMEA TRUCK ＆ CRANE LTD"/>
    <x v="1"/>
    <x v="3"/>
    <s v="부품판매(수출)"/>
    <x v="2"/>
    <s v="윤상필"/>
    <d v="2016-03-29T00:00:00"/>
    <n v="3190318"/>
  </r>
  <r>
    <x v="0"/>
    <s v="영남씨엔엠(주)"/>
    <x v="0"/>
    <x v="0"/>
    <s v="DHS 950L"/>
    <x v="0"/>
    <s v="배상우"/>
    <d v="2016-03-30T00:00:00"/>
    <n v="37060000"/>
  </r>
  <r>
    <x v="0"/>
    <s v="원진넷"/>
    <x v="0"/>
    <x v="0"/>
    <s v="DHS 950L"/>
    <x v="0"/>
    <s v="오세만"/>
    <d v="2016-03-30T00:00:00"/>
    <n v="37272727"/>
  </r>
  <r>
    <x v="0"/>
    <s v="중부네트웍스(주)"/>
    <x v="0"/>
    <x v="0"/>
    <s v="DHS 950L(R)"/>
    <x v="0"/>
    <s v="제광호"/>
    <d v="2016-03-30T00:00:00"/>
    <n v="16856000"/>
  </r>
  <r>
    <x v="0"/>
    <s v="(주)남양통신"/>
    <x v="0"/>
    <x v="0"/>
    <s v="DHS 930(R)"/>
    <x v="0"/>
    <s v="오세만"/>
    <d v="2016-03-30T00:00:00"/>
    <n v="17765000"/>
  </r>
  <r>
    <x v="2"/>
    <s v="민승"/>
    <x v="0"/>
    <x v="0"/>
    <s v="DHT 160AS"/>
    <x v="1"/>
    <s v="강갑수"/>
    <d v="2016-03-31T00:00:00"/>
    <n v="167000000"/>
  </r>
  <r>
    <x v="0"/>
    <s v="(주)국제산업개발"/>
    <x v="0"/>
    <x v="0"/>
    <s v="DHS 125AP"/>
    <x v="0"/>
    <s v="강갑수"/>
    <d v="2016-03-31T00:00:00"/>
    <n v="45800000"/>
  </r>
  <r>
    <x v="0"/>
    <s v="원광정보통신"/>
    <x v="0"/>
    <x v="0"/>
    <s v="DHS 950L"/>
    <x v="0"/>
    <s v="오세만"/>
    <d v="2016-03-31T00:00:00"/>
    <n v="37272727"/>
  </r>
  <r>
    <x v="0"/>
    <s v="유한회사 다다이엔지"/>
    <x v="0"/>
    <x v="0"/>
    <s v="DHS 950L"/>
    <x v="0"/>
    <s v="김현승"/>
    <d v="2016-03-31T00:00:00"/>
    <n v="35100000"/>
  </r>
  <r>
    <x v="0"/>
    <s v="주식회사 중앙이앤씨"/>
    <x v="0"/>
    <x v="0"/>
    <s v="DHS 950L"/>
    <x v="0"/>
    <s v="배상우"/>
    <d v="2016-03-31T00:00:00"/>
    <n v="36500000"/>
  </r>
  <r>
    <x v="2"/>
    <s v="(주)티피에이"/>
    <x v="0"/>
    <x v="0"/>
    <s v="DHT 150S"/>
    <x v="0"/>
    <s v="손상혁"/>
    <d v="2016-03-31T00:00:00"/>
    <n v="170000000"/>
  </r>
  <r>
    <x v="2"/>
    <s v="주식회사 미래이파워"/>
    <x v="0"/>
    <x v="0"/>
    <s v="DHT 160S"/>
    <x v="0"/>
    <s v="이영진"/>
    <d v="2016-03-31T00:00:00"/>
    <n v="153000000"/>
  </r>
  <r>
    <x v="2"/>
    <s v="영남특장"/>
    <x v="0"/>
    <x v="0"/>
    <s v="DHT 160AS"/>
    <x v="1"/>
    <s v="배상우"/>
    <d v="2016-03-31T00:00:00"/>
    <n v="166000000"/>
  </r>
  <r>
    <x v="0"/>
    <s v="(주)한샘정보통신"/>
    <x v="0"/>
    <x v="0"/>
    <s v="DHS 950L"/>
    <x v="0"/>
    <s v="배상우"/>
    <d v="2016-03-31T00:00:00"/>
    <n v="37000000"/>
  </r>
  <r>
    <x v="1"/>
    <s v="울산종합건설기계정비(주)"/>
    <x v="0"/>
    <x v="0"/>
    <s v="DHS 534"/>
    <x v="0"/>
    <s v="강갑수"/>
    <d v="2016-03-31T00:00:00"/>
    <n v="13000000"/>
  </r>
  <r>
    <x v="0"/>
    <s v="HM통신"/>
    <x v="0"/>
    <x v="0"/>
    <s v="DHS 125AP"/>
    <x v="0"/>
    <s v="김윤관"/>
    <d v="2016-04-01T00:00:00"/>
    <n v="44000000"/>
  </r>
  <r>
    <x v="0"/>
    <s v="천우건설"/>
    <x v="0"/>
    <x v="0"/>
    <s v="DHS 950L"/>
    <x v="0"/>
    <s v="김현승"/>
    <d v="2016-04-01T00:00:00"/>
    <n v="33636364"/>
  </r>
  <r>
    <x v="0"/>
    <s v="조용설"/>
    <x v="0"/>
    <x v="0"/>
    <s v="DHS 950L"/>
    <x v="0"/>
    <s v="조현제"/>
    <d v="2016-04-04T00:00:00"/>
    <n v="33000000"/>
  </r>
  <r>
    <x v="0"/>
    <s v="(주)에스오에이텔레콤"/>
    <x v="0"/>
    <x v="0"/>
    <s v="DHS 950L"/>
    <x v="0"/>
    <s v="김윤관"/>
    <d v="2016-04-05T00:00:00"/>
    <n v="35909091"/>
  </r>
  <r>
    <x v="0"/>
    <s v="온통신"/>
    <x v="0"/>
    <x v="0"/>
    <s v="DHS 950L"/>
    <x v="0"/>
    <s v="윤필상"/>
    <d v="2016-04-05T00:00:00"/>
    <n v="35000000"/>
  </r>
  <r>
    <x v="2"/>
    <s v="(주)씨아이피"/>
    <x v="0"/>
    <x v="0"/>
    <s v="DHS 15AP"/>
    <x v="0"/>
    <s v="지석현"/>
    <d v="2016-04-05T00:00:00"/>
    <n v="50909090"/>
  </r>
  <r>
    <x v="0"/>
    <s v="수진상사"/>
    <x v="0"/>
    <x v="0"/>
    <s v="DHS 1200L"/>
    <x v="0"/>
    <s v="김덕래"/>
    <d v="2016-04-05T00:00:00"/>
    <n v="42700000"/>
  </r>
  <r>
    <x v="0"/>
    <s v="J광통신"/>
    <x v="0"/>
    <x v="0"/>
    <s v="DHS 950L"/>
    <x v="0"/>
    <s v="오세만"/>
    <d v="2016-04-05T00:00:00"/>
    <n v="37272727"/>
  </r>
  <r>
    <x v="0"/>
    <s v="에프투텔레콤(주)"/>
    <x v="0"/>
    <x v="0"/>
    <s v="DHS 950L"/>
    <x v="0"/>
    <s v="이경일"/>
    <d v="2016-04-05T00:00:00"/>
    <n v="36900000"/>
  </r>
  <r>
    <x v="0"/>
    <s v="(주)대영네트웍"/>
    <x v="0"/>
    <x v="0"/>
    <s v="DHS 950L"/>
    <x v="0"/>
    <s v="강교수"/>
    <d v="2016-04-05T00:00:00"/>
    <n v="33818181"/>
  </r>
  <r>
    <x v="1"/>
    <s v="부산환경공단 강변사업소"/>
    <x v="0"/>
    <x v="0"/>
    <s v="DHS 433L"/>
    <x v="1"/>
    <s v="조현제"/>
    <d v="2016-04-05T00:00:00"/>
    <n v="15800000"/>
  </r>
  <r>
    <x v="0"/>
    <s v="크레인마트"/>
    <x v="0"/>
    <x v="0"/>
    <s v="DHS 930(R)"/>
    <x v="0"/>
    <s v="전대희"/>
    <d v="2016-04-06T00:00:00"/>
    <n v="14664000"/>
  </r>
  <r>
    <x v="0"/>
    <s v="엠지제이(MGJ)통신"/>
    <x v="0"/>
    <x v="0"/>
    <s v="DHS 930"/>
    <x v="0"/>
    <s v="지석현"/>
    <d v="2016-04-06T00:00:00"/>
    <n v="33636363"/>
  </r>
  <r>
    <x v="0"/>
    <s v="SH광통신"/>
    <x v="0"/>
    <x v="0"/>
    <s v="DHS 1200L"/>
    <x v="0"/>
    <s v="오세만"/>
    <d v="2016-04-06T00:00:00"/>
    <n v="42727273"/>
  </r>
  <r>
    <x v="0"/>
    <s v="수정보통신"/>
    <x v="0"/>
    <x v="0"/>
    <s v="DHS 950L"/>
    <x v="0"/>
    <s v="채일경"/>
    <d v="2016-04-06T00:00:00"/>
    <n v="33720000"/>
  </r>
  <r>
    <x v="0"/>
    <s v="은솔텔레콤㈜"/>
    <x v="0"/>
    <x v="0"/>
    <s v="DHS 950L(R)"/>
    <x v="0"/>
    <s v="채일경"/>
    <d v="2016-04-06T00:00:00"/>
    <n v="16900000"/>
  </r>
  <r>
    <x v="0"/>
    <s v="(주)광진"/>
    <x v="0"/>
    <x v="0"/>
    <s v="DHS 1200L"/>
    <x v="0"/>
    <s v="안기수"/>
    <d v="2016-04-06T00:00:00"/>
    <n v="40500000"/>
  </r>
  <r>
    <x v="0"/>
    <s v="대신네트웍스 주식회사"/>
    <x v="0"/>
    <x v="0"/>
    <s v="DHS 1200L"/>
    <x v="0"/>
    <s v="최우성"/>
    <d v="2016-04-06T00:00:00"/>
    <n v="40909091"/>
  </r>
  <r>
    <x v="5"/>
    <s v="AL CHAM INDUSTRIAL ＆ TRADING CO"/>
    <x v="1"/>
    <x v="4"/>
    <s v="DHS 1800"/>
    <x v="0"/>
    <s v="윤상필"/>
    <d v="2016-04-06T00:00:00"/>
    <n v="65389170"/>
  </r>
  <r>
    <x v="5"/>
    <s v="AL CHAM INDUSTRIAL ＆ TRADING CO"/>
    <x v="1"/>
    <x v="4"/>
    <s v="DHS 1800"/>
    <x v="0"/>
    <s v="윤상필"/>
    <d v="2016-04-06T00:00:00"/>
    <n v="65389170"/>
  </r>
  <r>
    <x v="0"/>
    <s v="(주)우호텔레콤"/>
    <x v="0"/>
    <x v="0"/>
    <s v="DHS 930(R)"/>
    <x v="0"/>
    <s v="윤필상"/>
    <d v="2016-04-07T00:00:00"/>
    <n v="16900000"/>
  </r>
  <r>
    <x v="0"/>
    <s v="(주)정강통신"/>
    <x v="0"/>
    <x v="0"/>
    <s v="DHS 950L"/>
    <x v="0"/>
    <s v="오세만"/>
    <d v="2016-04-07T00:00:00"/>
    <n v="37272727"/>
  </r>
  <r>
    <x v="0"/>
    <s v="제이에스"/>
    <x v="0"/>
    <x v="0"/>
    <s v="DHS 950L"/>
    <x v="0"/>
    <s v="정진우"/>
    <d v="2016-04-07T00:00:00"/>
    <n v="35000000"/>
  </r>
  <r>
    <x v="0"/>
    <s v="우일정보기술(주)"/>
    <x v="0"/>
    <x v="0"/>
    <s v="DHS 930(R)"/>
    <x v="0"/>
    <s v="윤필상"/>
    <d v="2016-04-07T00:00:00"/>
    <n v="16900000"/>
  </r>
  <r>
    <x v="0"/>
    <s v="우일정보기술(주)"/>
    <x v="0"/>
    <x v="0"/>
    <s v="DHS 950L(R)"/>
    <x v="0"/>
    <s v="윤필상"/>
    <d v="2016-04-07T00:00:00"/>
    <n v="16900000"/>
  </r>
  <r>
    <x v="0"/>
    <s v="우리넷"/>
    <x v="0"/>
    <x v="0"/>
    <s v="DHS 930(R)"/>
    <x v="0"/>
    <s v="최우성"/>
    <d v="2016-04-07T00:00:00"/>
    <n v="17765000"/>
  </r>
  <r>
    <x v="1"/>
    <s v="창흥상사"/>
    <x v="0"/>
    <x v="0"/>
    <s v="DHS 433L"/>
    <x v="1"/>
    <s v="강명효"/>
    <d v="2016-04-07T00:00:00"/>
    <n v="15150000"/>
  </r>
  <r>
    <x v="0"/>
    <s v="(주)파워텔레콤"/>
    <x v="0"/>
    <x v="0"/>
    <s v="DHS 930(R)"/>
    <x v="0"/>
    <s v="정진우"/>
    <d v="2016-04-08T00:00:00"/>
    <n v="16856000"/>
  </r>
  <r>
    <x v="0"/>
    <s v="(주)파워텔레콤"/>
    <x v="0"/>
    <x v="0"/>
    <s v="DHS 930(R)"/>
    <x v="0"/>
    <s v="정진우"/>
    <d v="2016-04-08T00:00:00"/>
    <n v="16856000"/>
  </r>
  <r>
    <x v="0"/>
    <s v="(주)파워텔레콤"/>
    <x v="0"/>
    <x v="0"/>
    <s v="DHS 930(R)"/>
    <x v="0"/>
    <s v="정진우"/>
    <d v="2016-04-08T00:00:00"/>
    <n v="16856000"/>
  </r>
  <r>
    <x v="2"/>
    <s v="(유)대원운수"/>
    <x v="0"/>
    <x v="0"/>
    <s v="DHT 160AS"/>
    <x v="1"/>
    <s v="박범정"/>
    <d v="2016-04-08T00:00:00"/>
    <n v="170000000"/>
  </r>
  <r>
    <x v="2"/>
    <s v="혜성활선"/>
    <x v="0"/>
    <x v="0"/>
    <s v="DHT 150AS"/>
    <x v="1"/>
    <s v="오세만"/>
    <d v="2016-04-08T00:00:00"/>
    <n v="163000000"/>
  </r>
  <r>
    <x v="1"/>
    <s v="해양레저마린"/>
    <x v="0"/>
    <x v="0"/>
    <s v="DHS 433L"/>
    <x v="1"/>
    <s v="김현승"/>
    <d v="2016-04-08T00:00:00"/>
    <n v="1463636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0"/>
    <s v="롯데오토리스(주)"/>
    <x v="0"/>
    <x v="0"/>
    <s v="DH SUPER 3000A"/>
    <x v="3"/>
    <s v="이병학"/>
    <d v="2016-04-08T00:00:00"/>
    <n v="82261904"/>
  </r>
  <r>
    <x v="2"/>
    <s v="현성활선"/>
    <x v="0"/>
    <x v="0"/>
    <s v="DHT 160AS"/>
    <x v="1"/>
    <s v="박범정"/>
    <d v="2016-04-12T00:00:00"/>
    <n v="170000000"/>
  </r>
  <r>
    <x v="2"/>
    <s v="동부활선"/>
    <x v="0"/>
    <x v="0"/>
    <s v="DHT 150AS"/>
    <x v="1"/>
    <s v="오세만"/>
    <d v="2016-04-12T00:00:00"/>
    <n v="163000000"/>
  </r>
  <r>
    <x v="1"/>
    <s v="에이원산업"/>
    <x v="0"/>
    <x v="0"/>
    <s v="DHS 433L"/>
    <x v="1"/>
    <s v="정진우"/>
    <d v="2016-04-12T00:00:00"/>
    <n v="15000000"/>
  </r>
  <r>
    <x v="0"/>
    <s v="주식회사 에스제이네트웍스"/>
    <x v="0"/>
    <x v="0"/>
    <s v="DHS 950L"/>
    <x v="0"/>
    <s v="신범식"/>
    <d v="2016-04-12T00:00:00"/>
    <n v="34272727"/>
  </r>
  <r>
    <x v="2"/>
    <s v="SYKT"/>
    <x v="0"/>
    <x v="0"/>
    <s v="DHS 15AP"/>
    <x v="0"/>
    <s v="윤상필"/>
    <d v="2016-04-12T00:00:00"/>
    <n v="27173409"/>
  </r>
  <r>
    <x v="2"/>
    <s v="SYKT"/>
    <x v="0"/>
    <x v="0"/>
    <s v="DHS 15AP"/>
    <x v="0"/>
    <s v="윤상필"/>
    <d v="2016-04-12T00:00:00"/>
    <n v="27173409"/>
  </r>
  <r>
    <x v="2"/>
    <s v="SYKT"/>
    <x v="0"/>
    <x v="0"/>
    <s v="DHS 15AP"/>
    <x v="0"/>
    <s v="윤상필"/>
    <d v="2016-04-12T00:00:00"/>
    <n v="27173408"/>
  </r>
  <r>
    <x v="2"/>
    <s v="SYKT"/>
    <x v="0"/>
    <x v="0"/>
    <s v="DHS 15AP"/>
    <x v="0"/>
    <s v="윤상필"/>
    <d v="2016-04-12T00:00:00"/>
    <n v="27173408"/>
  </r>
  <r>
    <x v="1"/>
    <s v="해양레저마린"/>
    <x v="0"/>
    <x v="0"/>
    <s v="DHS 433L"/>
    <x v="1"/>
    <s v="김현승"/>
    <d v="2016-04-13T00:00:00"/>
    <n v="14636364"/>
  </r>
  <r>
    <x v="0"/>
    <s v="유현통신"/>
    <x v="0"/>
    <x v="0"/>
    <s v="DHS 950L"/>
    <x v="0"/>
    <s v="지석현"/>
    <d v="2016-04-14T00:00:00"/>
    <n v="35500000"/>
  </r>
  <r>
    <x v="1"/>
    <s v="포마린"/>
    <x v="0"/>
    <x v="0"/>
    <s v="DHS 433L"/>
    <x v="1"/>
    <s v="이영진"/>
    <d v="2016-04-15T00:00:00"/>
    <n v="15013636"/>
  </r>
  <r>
    <x v="2"/>
    <s v="성인전업사"/>
    <x v="0"/>
    <x v="0"/>
    <s v="DHS 15AP"/>
    <x v="0"/>
    <s v="김윤관"/>
    <d v="2016-04-15T00:00:00"/>
    <n v="50909091"/>
  </r>
  <r>
    <x v="2"/>
    <s v="천둥 ENG"/>
    <x v="0"/>
    <x v="0"/>
    <s v="DHT 160S"/>
    <x v="0"/>
    <s v="오세만"/>
    <d v="2016-04-15T00:00:00"/>
    <n v="153000000"/>
  </r>
  <r>
    <x v="2"/>
    <s v="(주)신아전설"/>
    <x v="0"/>
    <x v="0"/>
    <s v="DHT 160S"/>
    <x v="0"/>
    <s v="배상우"/>
    <d v="2016-04-15T00:00:00"/>
    <n v="151000000"/>
  </r>
  <r>
    <x v="2"/>
    <s v="(주)동훈전설"/>
    <x v="0"/>
    <x v="0"/>
    <s v="DHT 160AS"/>
    <x v="1"/>
    <s v="박범정"/>
    <d v="2016-04-15T00:00:00"/>
    <n v="168000000"/>
  </r>
  <r>
    <x v="1"/>
    <s v="하동군청"/>
    <x v="0"/>
    <x v="0"/>
    <s v="DHS 433L"/>
    <x v="1"/>
    <s v="조석제"/>
    <d v="2016-04-15T00:00:00"/>
    <n v="15454546"/>
  </r>
  <r>
    <x v="3"/>
    <s v="SYKT"/>
    <x v="0"/>
    <x v="0"/>
    <s v="DHS 280AP"/>
    <x v="0"/>
    <s v="윤상필"/>
    <d v="2016-04-15T00:00:00"/>
    <n v="57481996"/>
  </r>
  <r>
    <x v="0"/>
    <s v="(주)수화텔"/>
    <x v="0"/>
    <x v="0"/>
    <s v="DHS 930(R)"/>
    <x v="0"/>
    <s v="정진우"/>
    <d v="2016-04-18T00:00:00"/>
    <n v="16856000"/>
  </r>
  <r>
    <x v="0"/>
    <s v="미래통신"/>
    <x v="0"/>
    <x v="0"/>
    <s v="DHS 950L"/>
    <x v="0"/>
    <s v="오세만"/>
    <d v="2016-04-18T00:00:00"/>
    <n v="37272727"/>
  </r>
  <r>
    <x v="0"/>
    <s v="미래통신"/>
    <x v="0"/>
    <x v="0"/>
    <s v="DHS 930"/>
    <x v="0"/>
    <s v="오세만"/>
    <d v="2016-04-18T00:00:00"/>
    <n v="35454545"/>
  </r>
  <r>
    <x v="0"/>
    <s v="현대파워텍(주)"/>
    <x v="0"/>
    <x v="0"/>
    <s v="DHS 930"/>
    <x v="0"/>
    <s v="이윤겸"/>
    <d v="2016-04-18T00:00:00"/>
    <n v="50909090"/>
  </r>
  <r>
    <x v="2"/>
    <s v="광성전력"/>
    <x v="0"/>
    <x v="0"/>
    <s v="DHS 15AP"/>
    <x v="0"/>
    <s v="이윤겸"/>
    <d v="2016-04-18T00:00:00"/>
    <n v="51818181"/>
  </r>
  <r>
    <x v="0"/>
    <s v="민준통신"/>
    <x v="0"/>
    <x v="0"/>
    <s v="DHS 950L"/>
    <x v="0"/>
    <s v="손상혁"/>
    <d v="2016-04-18T00:00:00"/>
    <n v="33000000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0"/>
    <s v="롯데오토리스(주)"/>
    <x v="0"/>
    <x v="0"/>
    <s v="DH SUPER 3000A"/>
    <x v="3"/>
    <s v="이병학"/>
    <d v="2016-04-18T00:00:00"/>
    <n v="82261904"/>
  </r>
  <r>
    <x v="2"/>
    <s v="보타리에너지(주)"/>
    <x v="0"/>
    <x v="0"/>
    <s v="DHT 150AS"/>
    <x v="1"/>
    <s v="강명효"/>
    <d v="2016-04-18T00:00:00"/>
    <n v="159090909"/>
  </r>
  <r>
    <x v="3"/>
    <s v="매직스카이"/>
    <x v="0"/>
    <x v="0"/>
    <s v="DHS 190SKY"/>
    <x v="0"/>
    <s v="손상혁"/>
    <d v="2016-04-18T00:00:00"/>
    <n v="60500000"/>
  </r>
  <r>
    <x v="0"/>
    <s v="거스토"/>
    <x v="0"/>
    <x v="0"/>
    <s v="DHS 950L"/>
    <x v="0"/>
    <s v="최우성"/>
    <d v="2016-04-20T00:00:00"/>
    <n v="35909091"/>
  </r>
  <r>
    <x v="0"/>
    <s v="(주)컴피아"/>
    <x v="0"/>
    <x v="0"/>
    <s v="DHS 950L"/>
    <x v="0"/>
    <s v="정진우"/>
    <d v="2016-04-20T00:00:00"/>
    <n v="34181818"/>
  </r>
  <r>
    <x v="0"/>
    <s v="(주)컴피아"/>
    <x v="0"/>
    <x v="0"/>
    <s v="DHS 950L"/>
    <x v="0"/>
    <s v="정진우"/>
    <d v="2016-04-20T00:00:00"/>
    <n v="33272727"/>
  </r>
  <r>
    <x v="0"/>
    <s v="(주)컴피아"/>
    <x v="0"/>
    <x v="0"/>
    <s v="DHS 950L"/>
    <x v="0"/>
    <s v="정진우"/>
    <d v="2016-04-20T00:00:00"/>
    <n v="33272727"/>
  </r>
  <r>
    <x v="0"/>
    <s v="(주)컴피아"/>
    <x v="0"/>
    <x v="0"/>
    <s v="DHS 950L"/>
    <x v="0"/>
    <s v="정진우"/>
    <d v="2016-04-20T00:00:00"/>
    <n v="33272727"/>
  </r>
  <r>
    <x v="0"/>
    <s v="(주)컴피아"/>
    <x v="0"/>
    <x v="0"/>
    <s v="DHS 950L"/>
    <x v="0"/>
    <s v="정진우"/>
    <d v="2016-04-20T00:00:00"/>
    <n v="33272727"/>
  </r>
  <r>
    <x v="0"/>
    <s v="진우통신"/>
    <x v="0"/>
    <x v="0"/>
    <s v="DHS 950L"/>
    <x v="0"/>
    <s v="윤필상"/>
    <d v="2016-04-21T00:00:00"/>
    <n v="35000000"/>
  </r>
  <r>
    <x v="0"/>
    <s v="소율정보통신"/>
    <x v="0"/>
    <x v="0"/>
    <s v="DHS 950L"/>
    <x v="0"/>
    <s v="이경일"/>
    <d v="2016-04-21T00:00:00"/>
    <n v="36818181"/>
  </r>
  <r>
    <x v="2"/>
    <s v="희망전기조명"/>
    <x v="0"/>
    <x v="0"/>
    <s v="DHS 15AP"/>
    <x v="0"/>
    <s v="김현승"/>
    <d v="2016-04-21T00:00:00"/>
    <n v="50909091"/>
  </r>
  <r>
    <x v="2"/>
    <s v="한서전기(주)"/>
    <x v="0"/>
    <x v="0"/>
    <s v="DHS 15AP"/>
    <x v="0"/>
    <s v="김윤관"/>
    <d v="2016-04-21T00:00:00"/>
    <n v="50909091"/>
  </r>
  <r>
    <x v="0"/>
    <s v="(주)코어넷"/>
    <x v="0"/>
    <x v="0"/>
    <s v="DHS 930(R)"/>
    <x v="0"/>
    <s v="정진우"/>
    <d v="2016-04-21T00:00:00"/>
    <n v="17765000"/>
  </r>
  <r>
    <x v="0"/>
    <s v="(주)코어넷"/>
    <x v="0"/>
    <x v="0"/>
    <s v="DHS 930(R)"/>
    <x v="0"/>
    <s v="정진우"/>
    <d v="2016-04-21T00:00:00"/>
    <n v="17765000"/>
  </r>
  <r>
    <x v="0"/>
    <s v="홍진통신"/>
    <x v="0"/>
    <x v="0"/>
    <s v="DHS 950L"/>
    <x v="0"/>
    <s v="채일경"/>
    <d v="2016-04-22T00:00:00"/>
    <n v="35000000"/>
  </r>
  <r>
    <x v="0"/>
    <s v="수도권서부고속도로(주)"/>
    <x v="0"/>
    <x v="0"/>
    <s v="DHS 1200L"/>
    <x v="0"/>
    <s v="제광호"/>
    <d v="2016-04-22T00:00:00"/>
    <n v="43500000"/>
  </r>
  <r>
    <x v="1"/>
    <s v="(주)동호선박"/>
    <x v="0"/>
    <x v="0"/>
    <s v="DHS 534"/>
    <x v="0"/>
    <s v="지석현"/>
    <d v="2016-04-25T00:00:00"/>
    <n v="13000000"/>
  </r>
  <r>
    <x v="0"/>
    <s v="정선종합상사"/>
    <x v="0"/>
    <x v="0"/>
    <s v="DHS 950L"/>
    <x v="0"/>
    <s v="최우성"/>
    <d v="2016-04-25T00:00:00"/>
    <n v="34636364"/>
  </r>
  <r>
    <x v="2"/>
    <s v="거성전력 주식회사"/>
    <x v="0"/>
    <x v="0"/>
    <s v="DHS 15AP"/>
    <x v="0"/>
    <s v="조석제"/>
    <d v="2016-04-25T00:00:00"/>
    <n v="49000000"/>
  </r>
  <r>
    <x v="2"/>
    <s v="남양이앤씨"/>
    <x v="0"/>
    <x v="0"/>
    <s v="DHS 17AP"/>
    <x v="0"/>
    <s v="윤필상"/>
    <d v="2016-04-25T00:00:00"/>
    <n v="52000000"/>
  </r>
  <r>
    <x v="2"/>
    <s v="(주)월드이엔씨"/>
    <x v="0"/>
    <x v="0"/>
    <s v="DHT 150AS"/>
    <x v="1"/>
    <s v="박범정"/>
    <d v="2016-04-25T00:00:00"/>
    <n v="183000000"/>
  </r>
  <r>
    <x v="0"/>
    <s v="(주)에스앤비라이팅"/>
    <x v="0"/>
    <x v="0"/>
    <s v="DHS 1200L"/>
    <x v="0"/>
    <s v="문현수"/>
    <d v="2016-04-26T00:00:00"/>
    <n v="38900000"/>
  </r>
  <r>
    <x v="0"/>
    <s v="신호정보통신"/>
    <x v="0"/>
    <x v="0"/>
    <s v="DHS 950L"/>
    <x v="0"/>
    <s v="채일경"/>
    <d v="2016-04-26T00:00:00"/>
    <n v="33800000"/>
  </r>
  <r>
    <x v="1"/>
    <s v="제일타이어"/>
    <x v="0"/>
    <x v="0"/>
    <s v="DHS 433L"/>
    <x v="1"/>
    <s v="신범식"/>
    <d v="2016-04-26T00:00:00"/>
    <n v="14509000"/>
  </r>
  <r>
    <x v="0"/>
    <s v="인천광역시 부평구 시설관리공단"/>
    <x v="0"/>
    <x v="0"/>
    <s v="DHS 950L"/>
    <x v="0"/>
    <s v="지석현"/>
    <d v="2016-04-26T00:00:00"/>
    <n v="39181819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0"/>
    <s v="현대캐피탈주식회사"/>
    <x v="0"/>
    <x v="0"/>
    <s v="DHS 930"/>
    <x v="0"/>
    <s v="이병학"/>
    <d v="2016-04-27T00:00:00"/>
    <n v="30465000"/>
  </r>
  <r>
    <x v="2"/>
    <s v="주식회사 창조전기"/>
    <x v="0"/>
    <x v="0"/>
    <s v="DHS 17AP"/>
    <x v="0"/>
    <s v="배상우"/>
    <d v="2016-04-27T00:00:00"/>
    <n v="53000000"/>
  </r>
  <r>
    <x v="2"/>
    <s v="성운ENG"/>
    <x v="0"/>
    <x v="0"/>
    <s v="DHT 150AS"/>
    <x v="1"/>
    <s v="오세만"/>
    <d v="2016-04-28T00:00:00"/>
    <n v="163000000"/>
  </r>
  <r>
    <x v="2"/>
    <s v="세계로 일렉트릭"/>
    <x v="0"/>
    <x v="0"/>
    <s v="DHT 160S"/>
    <x v="0"/>
    <s v="오세만"/>
    <d v="2016-04-28T00:00:00"/>
    <n v="153000000"/>
  </r>
  <r>
    <x v="0"/>
    <s v="(주)영남전기소방"/>
    <x v="0"/>
    <x v="0"/>
    <s v="DHS 1200L"/>
    <x v="0"/>
    <s v="배상우"/>
    <d v="2016-04-28T00:00:00"/>
    <n v="38500000"/>
  </r>
  <r>
    <x v="0"/>
    <s v="서빈전기(주)"/>
    <x v="0"/>
    <x v="0"/>
    <s v="DHS 1200L"/>
    <x v="0"/>
    <s v="김윤관"/>
    <d v="2016-04-28T00:00:00"/>
    <n v="38636364"/>
  </r>
  <r>
    <x v="0"/>
    <s v="(주)신우테크"/>
    <x v="0"/>
    <x v="0"/>
    <s v="DHS 1200L"/>
    <x v="0"/>
    <s v="이윤겸"/>
    <d v="2016-04-28T00:00:00"/>
    <n v="3760000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0"/>
    <s v="롯데오토리스(주)"/>
    <x v="0"/>
    <x v="0"/>
    <s v="DH SUPER 3000A(R)"/>
    <x v="3"/>
    <s v="이병학"/>
    <d v="2016-04-28T00:00:00"/>
    <n v="90069820"/>
  </r>
  <r>
    <x v="3"/>
    <s v="국제스카이"/>
    <x v="0"/>
    <x v="0"/>
    <s v="DHS 190SKY"/>
    <x v="0"/>
    <s v="김현승"/>
    <d v="2016-04-28T00:00:00"/>
    <n v="61000000"/>
  </r>
  <r>
    <x v="0"/>
    <s v="주식회사 우정넷"/>
    <x v="0"/>
    <x v="0"/>
    <s v="DHS 930"/>
    <x v="0"/>
    <s v="김윤관"/>
    <d v="2016-04-29T00:00:00"/>
    <n v="33700000"/>
  </r>
  <r>
    <x v="0"/>
    <s v="주식회사 우정넷"/>
    <x v="0"/>
    <x v="0"/>
    <s v="DHS 930"/>
    <x v="0"/>
    <s v="김윤관"/>
    <d v="2016-04-29T00:00:00"/>
    <n v="33700000"/>
  </r>
  <r>
    <x v="0"/>
    <s v="란 정보통신"/>
    <x v="0"/>
    <x v="0"/>
    <s v="DHS 1200L"/>
    <x v="0"/>
    <s v="김윤관"/>
    <d v="2016-04-29T00:00:00"/>
    <n v="38516364"/>
  </r>
  <r>
    <x v="0"/>
    <s v="(주)대동계전"/>
    <x v="0"/>
    <x v="0"/>
    <s v="DHS 1200L"/>
    <x v="0"/>
    <s v="강갑수"/>
    <d v="2016-04-29T00:00:00"/>
    <n v="40000000"/>
  </r>
  <r>
    <x v="0"/>
    <s v="부영전업사"/>
    <x v="0"/>
    <x v="0"/>
    <s v="DHS 1200L"/>
    <x v="0"/>
    <s v="강갑수"/>
    <d v="2016-04-29T00:00:00"/>
    <n v="40000000"/>
  </r>
  <r>
    <x v="0"/>
    <s v="문성네트웍스"/>
    <x v="0"/>
    <x v="0"/>
    <s v="DHAS 120AP"/>
    <x v="0"/>
    <s v="지석현"/>
    <d v="2016-04-29T00:00:00"/>
    <n v="46600000"/>
  </r>
  <r>
    <x v="0"/>
    <s v="(주)세화전자"/>
    <x v="0"/>
    <x v="0"/>
    <s v="DHAS 120AP"/>
    <x v="0"/>
    <s v="김윤관"/>
    <d v="2016-04-29T00:00:00"/>
    <n v="44538000"/>
  </r>
  <r>
    <x v="1"/>
    <s v="은혜축산기기"/>
    <x v="0"/>
    <x v="0"/>
    <s v="DHS 433L"/>
    <x v="1"/>
    <s v="채일경"/>
    <d v="2016-04-29T00:00:00"/>
    <n v="1500000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0"/>
    <s v="롯데오토리스(주)"/>
    <x v="0"/>
    <x v="0"/>
    <s v="DH SUPER 3000A(R)"/>
    <x v="3"/>
    <s v="이병학"/>
    <d v="2016-04-29T00:00:00"/>
    <n v="90069820"/>
  </r>
  <r>
    <x v="2"/>
    <s v="성민전력"/>
    <x v="0"/>
    <x v="0"/>
    <s v="DHT 150AS"/>
    <x v="1"/>
    <s v="강갑수"/>
    <d v="2016-04-29T00:00:00"/>
    <n v="159000000"/>
  </r>
  <r>
    <x v="0"/>
    <s v="연우통신(주)"/>
    <x v="0"/>
    <x v="0"/>
    <s v="DHS 950L(R)"/>
    <x v="0"/>
    <s v="지석현"/>
    <d v="2016-04-29T00:00:00"/>
    <n v="16856000"/>
  </r>
  <r>
    <x v="3"/>
    <s v="김종식"/>
    <x v="0"/>
    <x v="0"/>
    <s v="DHS 190SKY"/>
    <x v="0"/>
    <s v="채일경"/>
    <d v="2016-04-29T00:00:00"/>
    <n v="62727272"/>
  </r>
  <r>
    <x v="0"/>
    <s v="도영정보통신"/>
    <x v="0"/>
    <x v="0"/>
    <s v="DHS 950L"/>
    <x v="0"/>
    <s v="김현승"/>
    <d v="2016-05-02T00:00:00"/>
    <n v="37272727"/>
  </r>
  <r>
    <x v="2"/>
    <s v="WAIMEA TRUCK ＆ CRANE LTD"/>
    <x v="1"/>
    <x v="3"/>
    <s v="DHS 14"/>
    <x v="0"/>
    <s v="윤상필"/>
    <d v="2016-05-02T00:00:00"/>
    <n v="81943200"/>
  </r>
  <r>
    <x v="0"/>
    <s v="(주)에이에스케이블"/>
    <x v="0"/>
    <x v="0"/>
    <s v="DHS 950L"/>
    <x v="0"/>
    <s v="제광호"/>
    <d v="2016-05-03T00:00:00"/>
    <n v="33620000"/>
  </r>
  <r>
    <x v="2"/>
    <s v="대동활선"/>
    <x v="0"/>
    <x v="0"/>
    <s v="DHT 160AS"/>
    <x v="1"/>
    <s v="박범정"/>
    <d v="2016-05-03T00:00:00"/>
    <n v="170000000"/>
  </r>
  <r>
    <x v="0"/>
    <s v="진흥통신"/>
    <x v="0"/>
    <x v="0"/>
    <s v="DHS 105AP"/>
    <x v="0"/>
    <s v="김덕래"/>
    <d v="2016-05-03T00:00:00"/>
    <n v="50545455"/>
  </r>
  <r>
    <x v="2"/>
    <s v="홍익운수"/>
    <x v="0"/>
    <x v="0"/>
    <s v="DHT 160AS"/>
    <x v="1"/>
    <s v="강갑수"/>
    <d v="2016-05-04T00:00:00"/>
    <n v="167000000"/>
  </r>
  <r>
    <x v="0"/>
    <s v="YOUNG 네트워크"/>
    <x v="0"/>
    <x v="0"/>
    <s v="DHS 950L"/>
    <x v="0"/>
    <s v="채일경"/>
    <d v="2016-05-04T00:00:00"/>
    <n v="36090909"/>
  </r>
  <r>
    <x v="0"/>
    <s v="원 종합정보통신(O.S.C)"/>
    <x v="0"/>
    <x v="0"/>
    <s v="DHS 950L"/>
    <x v="0"/>
    <s v="지석현"/>
    <d v="2016-05-04T00:00:00"/>
    <n v="33000000"/>
  </r>
  <r>
    <x v="0"/>
    <s v="대성전력"/>
    <x v="0"/>
    <x v="0"/>
    <s v="DHS 1200L"/>
    <x v="0"/>
    <s v="배상우"/>
    <d v="2016-05-04T00:00:00"/>
    <n v="39000000"/>
  </r>
  <r>
    <x v="0"/>
    <s v="아주통신(주)"/>
    <x v="0"/>
    <x v="0"/>
    <s v="DHS 1200L"/>
    <x v="0"/>
    <s v="오세만"/>
    <d v="2016-05-04T00:00:00"/>
    <n v="43181818"/>
  </r>
  <r>
    <x v="0"/>
    <s v="아주통신(주)"/>
    <x v="0"/>
    <x v="0"/>
    <s v="DHS 1200L"/>
    <x v="0"/>
    <s v="오세만"/>
    <d v="2016-05-04T00:00:00"/>
    <n v="43181818"/>
  </r>
  <r>
    <x v="2"/>
    <s v="주식회사 세명전력"/>
    <x v="0"/>
    <x v="0"/>
    <s v="DHS 15AP"/>
    <x v="0"/>
    <s v="문현수"/>
    <d v="2016-05-04T00:00:00"/>
    <n v="51000000"/>
  </r>
  <r>
    <x v="2"/>
    <s v="남도운수"/>
    <x v="0"/>
    <x v="0"/>
    <s v="DHT 160S"/>
    <x v="0"/>
    <s v="배상우"/>
    <d v="2016-05-04T00:00:00"/>
    <n v="149000000"/>
  </r>
  <r>
    <x v="0"/>
    <s v="VIET TRUNG JOINT STOCK EQUIPMENT COMPANY"/>
    <x v="1"/>
    <x v="2"/>
    <s v="DHS 1200L"/>
    <x v="0"/>
    <s v="배재철"/>
    <d v="2016-05-04T00:00:00"/>
    <n v="57423550"/>
  </r>
  <r>
    <x v="0"/>
    <s v="VIET TRUNG JOINT STOCK EQUIPMENT COMPANY"/>
    <x v="1"/>
    <x v="2"/>
    <s v="DHS 1200L"/>
    <x v="0"/>
    <s v="배재철"/>
    <d v="2016-05-04T00:00:00"/>
    <n v="57423550"/>
  </r>
  <r>
    <x v="0"/>
    <s v="VIET TRUNG JOINT STOCK EQUIPMENT COMPANY"/>
    <x v="1"/>
    <x v="2"/>
    <s v="DHS 1200L"/>
    <x v="0"/>
    <s v="배재철"/>
    <d v="2016-05-04T00:00:00"/>
    <n v="57423550"/>
  </r>
  <r>
    <x v="0"/>
    <s v="VIET TRUNG JOINT STOCK EQUIPMENT COMPANY"/>
    <x v="1"/>
    <x v="2"/>
    <s v="DHS 1200L"/>
    <x v="0"/>
    <s v="배재철"/>
    <d v="2016-05-04T00:00:00"/>
    <n v="57423550"/>
  </r>
  <r>
    <x v="0"/>
    <s v="VIET TRUNG JOINT STOCK EQUIPMENT COMPANY"/>
    <x v="1"/>
    <x v="2"/>
    <s v="DHS 1200L"/>
    <x v="0"/>
    <s v="배재철"/>
    <d v="2016-05-04T00:00:00"/>
    <n v="57423550"/>
  </r>
  <r>
    <x v="2"/>
    <s v="아성전기주식회사"/>
    <x v="0"/>
    <x v="0"/>
    <s v="DHS 17AP"/>
    <x v="0"/>
    <s v="안기수"/>
    <d v="2016-05-06T00:00:00"/>
    <n v="54272727"/>
  </r>
  <r>
    <x v="2"/>
    <s v="무지개전력"/>
    <x v="0"/>
    <x v="0"/>
    <s v="DHS 17AP"/>
    <x v="0"/>
    <s v="채일경"/>
    <d v="2016-05-06T00:00:00"/>
    <n v="5480000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0"/>
    <s v="롯데오토리스(주)"/>
    <x v="0"/>
    <x v="0"/>
    <s v="DH SUPER 3000A(R)"/>
    <x v="3"/>
    <s v="이병학"/>
    <d v="2016-05-09T00:00:00"/>
    <n v="90069820"/>
  </r>
  <r>
    <x v="2"/>
    <s v="주식회사 재광전력"/>
    <x v="0"/>
    <x v="0"/>
    <s v="DHT 150AS"/>
    <x v="1"/>
    <s v="김현승"/>
    <d v="2016-05-10T00:00:00"/>
    <n v="163000000"/>
  </r>
  <r>
    <x v="0"/>
    <s v="A-Sung infocom"/>
    <x v="0"/>
    <x v="0"/>
    <s v="DHS 950L"/>
    <x v="0"/>
    <s v="정진우"/>
    <d v="2016-05-10T00:00:00"/>
    <n v="35000000"/>
  </r>
  <r>
    <x v="0"/>
    <s v="(주)제일정보통신"/>
    <x v="0"/>
    <x v="0"/>
    <s v="DHS 930"/>
    <x v="0"/>
    <s v="조석제"/>
    <d v="2016-05-10T00:00:00"/>
    <n v="35600000"/>
  </r>
  <r>
    <x v="2"/>
    <s v="VIET TRUNG JOINT STOCK EQUIPMENT COMPANY"/>
    <x v="1"/>
    <x v="2"/>
    <s v="부품판매(수출)"/>
    <x v="2"/>
    <s v="배재철"/>
    <d v="2016-05-10T00:00:00"/>
    <n v="1847214"/>
  </r>
  <r>
    <x v="0"/>
    <s v="대명정보통신"/>
    <x v="0"/>
    <x v="0"/>
    <s v="DHS 950L"/>
    <x v="0"/>
    <s v="조석제"/>
    <d v="2016-05-12T00:00:00"/>
    <n v="32000000"/>
  </r>
  <r>
    <x v="0"/>
    <s v="성휘통신"/>
    <x v="0"/>
    <x v="0"/>
    <s v="DHS 950L"/>
    <x v="0"/>
    <s v="최우성"/>
    <d v="2016-05-12T00:00:00"/>
    <n v="35909091"/>
  </r>
  <r>
    <x v="0"/>
    <s v="디에스(DS)"/>
    <x v="0"/>
    <x v="0"/>
    <s v="DHS 950L"/>
    <x v="0"/>
    <s v="지석현"/>
    <d v="2016-05-12T00:00:00"/>
    <n v="34500000"/>
  </r>
  <r>
    <x v="2"/>
    <s v="(주)경림이앤지"/>
    <x v="0"/>
    <x v="0"/>
    <s v="DHS 15AP"/>
    <x v="0"/>
    <s v="윤필상"/>
    <d v="2016-05-12T00:00:00"/>
    <n v="50909091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현대캐피탈주식회사"/>
    <x v="0"/>
    <x v="0"/>
    <s v="DHS 930"/>
    <x v="0"/>
    <s v="이병학"/>
    <d v="2016-05-12T00:00:00"/>
    <n v="30465000"/>
  </r>
  <r>
    <x v="0"/>
    <s v="밀알통신"/>
    <x v="0"/>
    <x v="0"/>
    <s v="DHS 1200L"/>
    <x v="0"/>
    <s v="신범식"/>
    <d v="2016-05-13T00:00:00"/>
    <n v="39818182"/>
  </r>
  <r>
    <x v="0"/>
    <s v="반도호이스트"/>
    <x v="0"/>
    <x v="0"/>
    <s v="DHS 1200L"/>
    <x v="0"/>
    <s v="조현제"/>
    <d v="2016-05-13T00:00:00"/>
    <n v="33900000"/>
  </r>
  <r>
    <x v="0"/>
    <s v="(주)아이온이엔지"/>
    <x v="0"/>
    <x v="0"/>
    <s v="DHS 1200L"/>
    <x v="0"/>
    <s v="배상우"/>
    <d v="2016-05-13T00:00:00"/>
    <n v="38000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현대캐피탈주식회사"/>
    <x v="0"/>
    <x v="0"/>
    <s v="DHS 930"/>
    <x v="0"/>
    <s v="이병학"/>
    <d v="2016-05-13T00:00:00"/>
    <n v="3046500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롯데오토리스(주)"/>
    <x v="0"/>
    <x v="0"/>
    <s v="DH SUPER 3000A(R)"/>
    <x v="3"/>
    <s v="이병학"/>
    <d v="2016-05-16T00:00:00"/>
    <n v="90069820"/>
  </r>
  <r>
    <x v="0"/>
    <s v="JT ENC"/>
    <x v="0"/>
    <x v="0"/>
    <s v="DHS 950L"/>
    <x v="0"/>
    <s v="윤필상"/>
    <d v="2016-05-16T00:00:00"/>
    <n v="34500000"/>
  </r>
  <r>
    <x v="0"/>
    <s v="태성텔레콤주식회사"/>
    <x v="0"/>
    <x v="0"/>
    <s v="DHS 950L"/>
    <x v="0"/>
    <s v="김덕래"/>
    <d v="2016-05-16T00:00:00"/>
    <n v="36181818"/>
  </r>
  <r>
    <x v="0"/>
    <s v="재건정보통신"/>
    <x v="0"/>
    <x v="0"/>
    <s v="DHS 950L"/>
    <x v="0"/>
    <s v="정진우"/>
    <d v="2016-05-16T00:00:00"/>
    <n v="36000000"/>
  </r>
  <r>
    <x v="0"/>
    <s v="(주)경남네트워크"/>
    <x v="0"/>
    <x v="0"/>
    <s v="DHS 950L"/>
    <x v="0"/>
    <s v="조현제"/>
    <d v="2016-05-17T00:00:00"/>
    <n v="33400000"/>
  </r>
  <r>
    <x v="0"/>
    <s v="경부통신"/>
    <x v="0"/>
    <x v="0"/>
    <s v="DHS 105AP"/>
    <x v="0"/>
    <s v="조석제"/>
    <d v="2016-05-17T00:00:00"/>
    <n v="41000000"/>
  </r>
  <r>
    <x v="0"/>
    <s v="미성엔지니어링"/>
    <x v="0"/>
    <x v="0"/>
    <s v="DHS 950L"/>
    <x v="0"/>
    <s v="정진우"/>
    <d v="2016-05-18T00:00:00"/>
    <n v="35909090"/>
  </r>
  <r>
    <x v="0"/>
    <s v="(주)성신"/>
    <x v="0"/>
    <x v="0"/>
    <s v="DHS 930"/>
    <x v="0"/>
    <s v="김윤관"/>
    <d v="2016-05-18T00:00:00"/>
    <n v="37700000"/>
  </r>
  <r>
    <x v="0"/>
    <s v="CJ＆M 네트워크"/>
    <x v="0"/>
    <x v="0"/>
    <s v="DHS 125AP"/>
    <x v="0"/>
    <s v="오세만"/>
    <d v="2016-05-18T00:00:00"/>
    <n v="43000000"/>
  </r>
  <r>
    <x v="0"/>
    <s v="제이엠통신"/>
    <x v="0"/>
    <x v="0"/>
    <s v="DHS 950L"/>
    <x v="0"/>
    <s v="지석현"/>
    <d v="2016-05-18T00:00:00"/>
    <n v="35909090"/>
  </r>
  <r>
    <x v="2"/>
    <s v="영인활선"/>
    <x v="0"/>
    <x v="0"/>
    <s v="DHT 160S"/>
    <x v="0"/>
    <s v="박범정"/>
    <d v="2016-05-19T00:00:00"/>
    <n v="157500000"/>
  </r>
  <r>
    <x v="1"/>
    <s v="부안선외기상사"/>
    <x v="0"/>
    <x v="0"/>
    <s v="DHS 433L"/>
    <x v="1"/>
    <s v="김현승"/>
    <d v="2016-05-19T00:00:00"/>
    <n v="14300000"/>
  </r>
  <r>
    <x v="2"/>
    <s v="공주시청"/>
    <x v="0"/>
    <x v="0"/>
    <s v="DHS 15AP"/>
    <x v="0"/>
    <s v="김윤관"/>
    <d v="2016-05-19T00:00:00"/>
    <n v="53516364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0"/>
    <s v="롯데오토리스(주)"/>
    <x v="0"/>
    <x v="0"/>
    <s v="DH SUPER 3000A(R)"/>
    <x v="3"/>
    <s v="이병학"/>
    <d v="2016-05-20T00:00:00"/>
    <n v="90069820"/>
  </r>
  <r>
    <x v="2"/>
    <s v="창원시 진해구청"/>
    <x v="0"/>
    <x v="0"/>
    <s v="DHS 15AP"/>
    <x v="0"/>
    <s v="조석제"/>
    <d v="2016-05-20T00:00:00"/>
    <n v="53636364"/>
  </r>
  <r>
    <x v="0"/>
    <s v="금천씨스템(주)"/>
    <x v="0"/>
    <x v="0"/>
    <s v="DHS 870"/>
    <x v="0"/>
    <s v="김윤관"/>
    <d v="2016-05-23T00:00:00"/>
    <n v="17250000"/>
  </r>
  <r>
    <x v="0"/>
    <s v="현대캐피탈주식회사"/>
    <x v="0"/>
    <x v="0"/>
    <s v="DHS 930"/>
    <x v="0"/>
    <s v="이병학"/>
    <d v="2016-05-23T00:00:00"/>
    <n v="30465000"/>
  </r>
  <r>
    <x v="0"/>
    <s v="현대캐피탈주식회사"/>
    <x v="0"/>
    <x v="0"/>
    <s v="DHS 930"/>
    <x v="0"/>
    <s v="이병학"/>
    <d v="2016-05-23T00:00:00"/>
    <n v="30465000"/>
  </r>
  <r>
    <x v="0"/>
    <s v="현대캐피탈주식회사"/>
    <x v="0"/>
    <x v="0"/>
    <s v="DHS 930"/>
    <x v="0"/>
    <s v="이병학"/>
    <d v="2016-05-23T00:00:00"/>
    <n v="30465000"/>
  </r>
  <r>
    <x v="0"/>
    <s v="현대캐피탈주식회사"/>
    <x v="0"/>
    <x v="0"/>
    <s v="DHS 930"/>
    <x v="0"/>
    <s v="이병학"/>
    <d v="2016-05-23T00:00:00"/>
    <n v="30465000"/>
  </r>
  <r>
    <x v="0"/>
    <s v="현대캐피탈주식회사"/>
    <x v="0"/>
    <x v="0"/>
    <s v="DHS 930"/>
    <x v="0"/>
    <s v="이병학"/>
    <d v="2016-05-23T00:00:00"/>
    <n v="30465000"/>
  </r>
  <r>
    <x v="2"/>
    <s v="(주)남경운수"/>
    <x v="0"/>
    <x v="0"/>
    <s v="DHS 15AP"/>
    <x v="0"/>
    <s v="문현수"/>
    <d v="2016-05-24T00:00:00"/>
    <n v="50500000"/>
  </r>
  <r>
    <x v="2"/>
    <s v="(주)남경운수"/>
    <x v="0"/>
    <x v="0"/>
    <s v="DHS 15AP"/>
    <x v="0"/>
    <s v="문현수"/>
    <d v="2016-05-24T00:00:00"/>
    <n v="50500000"/>
  </r>
  <r>
    <x v="2"/>
    <s v="우양이엔지(주)"/>
    <x v="0"/>
    <x v="0"/>
    <s v="DHS 15AP"/>
    <x v="0"/>
    <s v="김현승"/>
    <d v="2016-05-24T00:00:00"/>
    <n v="50909091"/>
  </r>
  <r>
    <x v="2"/>
    <s v="금영활선"/>
    <x v="0"/>
    <x v="0"/>
    <s v="DHT 150S"/>
    <x v="0"/>
    <s v="배상우"/>
    <d v="2016-05-24T00:00:00"/>
    <n v="143000000"/>
  </r>
  <r>
    <x v="1"/>
    <s v="주식회사 성진마린"/>
    <x v="0"/>
    <x v="0"/>
    <s v="DHS 433L"/>
    <x v="1"/>
    <s v="이윤겸"/>
    <d v="2016-05-24T00:00:00"/>
    <n v="15300000"/>
  </r>
  <r>
    <x v="2"/>
    <s v="광주 서구청"/>
    <x v="0"/>
    <x v="0"/>
    <s v="DHT 150S"/>
    <x v="0"/>
    <s v="오세만"/>
    <d v="2016-05-24T00:00:00"/>
    <n v="137818182"/>
  </r>
  <r>
    <x v="0"/>
    <s v="강릉시청"/>
    <x v="0"/>
    <x v="0"/>
    <s v="DHS 920"/>
    <x v="0"/>
    <s v="최우성"/>
    <d v="2016-05-24T00:00:00"/>
    <n v="42254546"/>
  </r>
  <r>
    <x v="0"/>
    <s v="(주)이산텔레콤"/>
    <x v="0"/>
    <x v="0"/>
    <s v="DHS 950L"/>
    <x v="0"/>
    <s v="지석현"/>
    <d v="2016-05-25T00:00:00"/>
    <n v="34500000"/>
  </r>
  <r>
    <x v="0"/>
    <s v="신길정보통신"/>
    <x v="0"/>
    <x v="0"/>
    <s v="DHS 1200L"/>
    <x v="0"/>
    <s v="제광호"/>
    <d v="2016-05-25T00:00:00"/>
    <n v="40000000"/>
  </r>
  <r>
    <x v="0"/>
    <s v="우리미래"/>
    <x v="0"/>
    <x v="0"/>
    <s v="DHS 105AP"/>
    <x v="0"/>
    <s v="윤필상"/>
    <d v="2016-05-25T00:00:00"/>
    <n v="40500000"/>
  </r>
  <r>
    <x v="1"/>
    <s v="한성마린선외기"/>
    <x v="0"/>
    <x v="0"/>
    <s v="DHS 433L"/>
    <x v="1"/>
    <s v="오세만"/>
    <d v="2016-05-25T00:00:00"/>
    <n v="15013636"/>
  </r>
  <r>
    <x v="2"/>
    <s v="완주군청"/>
    <x v="0"/>
    <x v="0"/>
    <s v="DHS 15AP"/>
    <x v="0"/>
    <s v="오세만"/>
    <d v="2016-05-25T00:00:00"/>
    <n v="56834547"/>
  </r>
  <r>
    <x v="0"/>
    <s v="한울전기통신(주)"/>
    <x v="0"/>
    <x v="0"/>
    <s v="DHS 930"/>
    <x v="0"/>
    <s v="채일경"/>
    <d v="2016-05-26T00:00:00"/>
    <n v="34000000"/>
  </r>
  <r>
    <x v="0"/>
    <s v="클린로드피아"/>
    <x v="0"/>
    <x v="0"/>
    <s v="DHAS 120AP"/>
    <x v="0"/>
    <s v="오세만"/>
    <d v="2016-05-26T00:00:00"/>
    <n v="44000000"/>
  </r>
  <r>
    <x v="0"/>
    <s v="클린로드피아"/>
    <x v="0"/>
    <x v="0"/>
    <s v="DHAS 120AP"/>
    <x v="0"/>
    <s v="오세만"/>
    <d v="2016-05-26T00:00:00"/>
    <n v="44000000"/>
  </r>
  <r>
    <x v="1"/>
    <s v="현대캐피탈주식회사"/>
    <x v="0"/>
    <x v="0"/>
    <s v="DHS 433L"/>
    <x v="1"/>
    <s v="전대희"/>
    <d v="2016-05-27T00:00:00"/>
    <n v="45940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3"/>
    <s v="현대캐피탈주식회사"/>
    <x v="0"/>
    <x v="0"/>
    <s v="이동정비탑차"/>
    <x v="2"/>
    <s v="전대희"/>
    <d v="2016-05-27T00:00:00"/>
    <n v="29986000"/>
  </r>
  <r>
    <x v="2"/>
    <s v="창원시 마산회원구청"/>
    <x v="0"/>
    <x v="0"/>
    <s v="DHT 105S"/>
    <x v="1"/>
    <s v="조석제"/>
    <d v="2016-05-27T00:00:00"/>
    <n v="100900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0"/>
    <s v="롯데오토리스(주)"/>
    <x v="0"/>
    <x v="0"/>
    <s v="DH SUPER 3000A(R)"/>
    <x v="3"/>
    <s v="이병학"/>
    <d v="2016-05-27T00:00:00"/>
    <n v="90069820"/>
  </r>
  <r>
    <x v="2"/>
    <s v="창원시 성산구청"/>
    <x v="0"/>
    <x v="0"/>
    <s v="DHS 15AP"/>
    <x v="0"/>
    <s v="조석제"/>
    <d v="2016-05-27T00:00:00"/>
    <n v="85454546"/>
  </r>
  <r>
    <x v="1"/>
    <s v="현대캐피탈주식회사"/>
    <x v="0"/>
    <x v="0"/>
    <s v="DHS 433L"/>
    <x v="1"/>
    <s v="전대희"/>
    <d v="2016-05-30T00:00:00"/>
    <n v="45940000"/>
  </r>
  <r>
    <x v="1"/>
    <s v="현대캐피탈주식회사"/>
    <x v="0"/>
    <x v="0"/>
    <s v="DHS 433L"/>
    <x v="1"/>
    <s v="전대희"/>
    <d v="2016-05-30T00:00:00"/>
    <n v="45940000"/>
  </r>
  <r>
    <x v="1"/>
    <s v="현대캐피탈주식회사"/>
    <x v="0"/>
    <x v="0"/>
    <s v="DHS 433L"/>
    <x v="1"/>
    <s v="전대희"/>
    <d v="2016-05-30T00:00:00"/>
    <n v="45940000"/>
  </r>
  <r>
    <x v="1"/>
    <s v="현대캐피탈주식회사"/>
    <x v="0"/>
    <x v="0"/>
    <s v="DHS 433L"/>
    <x v="1"/>
    <s v="전대희"/>
    <d v="2016-05-30T00:00:00"/>
    <n v="45940000"/>
  </r>
  <r>
    <x v="1"/>
    <s v="현대캐피탈주식회사"/>
    <x v="0"/>
    <x v="0"/>
    <s v="DHS 433L"/>
    <x v="1"/>
    <s v="전대희"/>
    <d v="2016-05-30T00:00:00"/>
    <n v="45940000"/>
  </r>
  <r>
    <x v="0"/>
    <s v="현대캐피탈주식회사"/>
    <x v="0"/>
    <x v="0"/>
    <s v="DHS 930"/>
    <x v="0"/>
    <s v="이병학"/>
    <d v="2016-05-30T00:00:00"/>
    <n v="30465000"/>
  </r>
  <r>
    <x v="0"/>
    <s v="현대캐피탈주식회사"/>
    <x v="0"/>
    <x v="0"/>
    <s v="DHS 930"/>
    <x v="0"/>
    <s v="이병학"/>
    <d v="2016-05-30T00:00:00"/>
    <n v="30465000"/>
  </r>
  <r>
    <x v="0"/>
    <s v="현대캐피탈주식회사"/>
    <x v="0"/>
    <x v="0"/>
    <s v="DHS 930"/>
    <x v="0"/>
    <s v="이병학"/>
    <d v="2016-05-30T00:00:00"/>
    <n v="30465000"/>
  </r>
  <r>
    <x v="0"/>
    <s v="현대캐피탈주식회사"/>
    <x v="0"/>
    <x v="0"/>
    <s v="DHS 930"/>
    <x v="0"/>
    <s v="이병학"/>
    <d v="2016-05-30T00:00:00"/>
    <n v="30465000"/>
  </r>
  <r>
    <x v="0"/>
    <s v="현대캐피탈주식회사"/>
    <x v="0"/>
    <x v="0"/>
    <s v="DHS 930"/>
    <x v="0"/>
    <s v="이병학"/>
    <d v="2016-05-30T00:00:00"/>
    <n v="30465000"/>
  </r>
  <r>
    <x v="0"/>
    <s v="사천시청"/>
    <x v="0"/>
    <x v="0"/>
    <s v="DHS 920"/>
    <x v="0"/>
    <s v="손상혁"/>
    <d v="2016-05-30T00:00:00"/>
    <n v="44443637"/>
  </r>
  <r>
    <x v="0"/>
    <s v="호복통신"/>
    <x v="0"/>
    <x v="0"/>
    <s v="DHS 950L"/>
    <x v="0"/>
    <s v="지석현"/>
    <d v="2016-05-31T00:00:00"/>
    <n v="36363636"/>
  </r>
  <r>
    <x v="2"/>
    <s v="주식회사국일"/>
    <x v="0"/>
    <x v="0"/>
    <s v="DHT 150S"/>
    <x v="0"/>
    <s v="김현승"/>
    <d v="2016-05-31T00:00:00"/>
    <n v="146363636"/>
  </r>
  <r>
    <x v="2"/>
    <s v="(주)대경산전"/>
    <x v="0"/>
    <x v="0"/>
    <s v="DHT 150S"/>
    <x v="0"/>
    <s v="김현승"/>
    <d v="2016-05-31T00:00:00"/>
    <n v="146363636"/>
  </r>
  <r>
    <x v="1"/>
    <s v="에스씨(SC)중공업"/>
    <x v="0"/>
    <x v="0"/>
    <s v="DHS 433L"/>
    <x v="1"/>
    <s v="제광호"/>
    <d v="2016-05-31T00:00:00"/>
    <n v="14750000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롯데오토리스(주)"/>
    <x v="0"/>
    <x v="0"/>
    <s v="DHS 950L"/>
    <x v="0"/>
    <s v="이병학"/>
    <d v="2016-05-31T00:00:00"/>
    <n v="43120653"/>
  </r>
  <r>
    <x v="0"/>
    <s v="동아전기"/>
    <x v="0"/>
    <x v="0"/>
    <s v="DHS 1200L"/>
    <x v="0"/>
    <s v="조현제"/>
    <d v="2016-05-31T00:00:00"/>
    <n v="39200000"/>
  </r>
  <r>
    <x v="1"/>
    <s v="영덕군 상하수도사업소"/>
    <x v="0"/>
    <x v="0"/>
    <s v="DHS 433L"/>
    <x v="1"/>
    <s v="강갑수"/>
    <d v="2016-05-31T00:00:00"/>
    <n v="3270000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롯데오토리스(주)"/>
    <x v="0"/>
    <x v="0"/>
    <s v="DH SUPER 3000A(R)"/>
    <x v="3"/>
    <s v="이병학"/>
    <d v="2016-06-02T00:00:00"/>
    <n v="90069820"/>
  </r>
  <r>
    <x v="0"/>
    <s v="파워콤"/>
    <x v="0"/>
    <x v="0"/>
    <s v="DHS 105AP"/>
    <x v="0"/>
    <s v="손상혁"/>
    <d v="2016-06-02T00:00:00"/>
    <n v="39400000"/>
  </r>
  <r>
    <x v="0"/>
    <s v="제이에스통신건설 주식회사"/>
    <x v="0"/>
    <x v="0"/>
    <s v="DHS 950L"/>
    <x v="0"/>
    <s v="김윤관"/>
    <d v="2016-06-02T00:00:00"/>
    <n v="36363636"/>
  </r>
  <r>
    <x v="0"/>
    <s v="(주)유선통신"/>
    <x v="0"/>
    <x v="0"/>
    <s v="DHS 950L"/>
    <x v="0"/>
    <s v="최우성"/>
    <d v="2016-06-02T00:00:00"/>
    <n v="35909091"/>
  </r>
  <r>
    <x v="2"/>
    <s v="일렉타임"/>
    <x v="0"/>
    <x v="0"/>
    <s v="DHS 15AP"/>
    <x v="0"/>
    <s v="지석현"/>
    <d v="2016-06-03T00:00:00"/>
    <n v="50500000"/>
  </r>
  <r>
    <x v="0"/>
    <s v="현대캐피탈주식회사"/>
    <x v="0"/>
    <x v="0"/>
    <s v="DHS 930"/>
    <x v="0"/>
    <s v="이병학"/>
    <d v="2016-06-03T00:00:00"/>
    <n v="30465000"/>
  </r>
  <r>
    <x v="0"/>
    <s v="현대캐피탈주식회사"/>
    <x v="0"/>
    <x v="0"/>
    <s v="DHS 930"/>
    <x v="0"/>
    <s v="이병학"/>
    <d v="2016-06-03T00:00:00"/>
    <n v="30465000"/>
  </r>
  <r>
    <x v="0"/>
    <s v="현대캐피탈주식회사"/>
    <x v="0"/>
    <x v="0"/>
    <s v="DHS 930"/>
    <x v="0"/>
    <s v="이병학"/>
    <d v="2016-06-03T00:00:00"/>
    <n v="30465000"/>
  </r>
  <r>
    <x v="0"/>
    <s v="안산시상록구청"/>
    <x v="0"/>
    <x v="0"/>
    <s v="DHS 1200L"/>
    <x v="0"/>
    <s v="제광호"/>
    <d v="2016-06-03T00:00:00"/>
    <n v="54793637"/>
  </r>
  <r>
    <x v="0"/>
    <s v="무주군청"/>
    <x v="0"/>
    <x v="0"/>
    <s v="DHS 1200L"/>
    <x v="0"/>
    <s v="오세만"/>
    <d v="2016-06-03T00:00:00"/>
    <n v="53281819"/>
  </r>
  <r>
    <x v="0"/>
    <s v="제이앤씨"/>
    <x v="0"/>
    <x v="0"/>
    <s v="DHS 105AP"/>
    <x v="0"/>
    <s v="손상혁"/>
    <d v="2016-06-07T00:00:00"/>
    <n v="39400000"/>
  </r>
  <r>
    <x v="2"/>
    <s v="주식회사 디오디"/>
    <x v="0"/>
    <x v="0"/>
    <s v="DHS 15AP"/>
    <x v="0"/>
    <s v="김현승"/>
    <d v="2016-06-07T00:00:00"/>
    <n v="50000000"/>
  </r>
  <r>
    <x v="2"/>
    <s v="(주)남경운수"/>
    <x v="0"/>
    <x v="0"/>
    <s v="DHS 15AP"/>
    <x v="0"/>
    <s v="문현수"/>
    <d v="2016-06-07T00:00:00"/>
    <n v="50500000"/>
  </r>
  <r>
    <x v="2"/>
    <s v="(주)남경운수"/>
    <x v="0"/>
    <x v="0"/>
    <s v="DHS 15AP"/>
    <x v="0"/>
    <s v="문현수"/>
    <d v="2016-06-07T00:00:00"/>
    <n v="50500000"/>
  </r>
  <r>
    <x v="1"/>
    <s v="김해시청"/>
    <x v="0"/>
    <x v="0"/>
    <s v="DHS 433L"/>
    <x v="1"/>
    <s v="조석제"/>
    <d v="2016-06-07T00:00:00"/>
    <n v="31400001"/>
  </r>
  <r>
    <x v="0"/>
    <s v="주식회사 에스이티"/>
    <x v="0"/>
    <x v="0"/>
    <s v="DHS 950L"/>
    <x v="0"/>
    <s v="윤상필"/>
    <d v="2016-06-07T00:00:00"/>
    <n v="17499180"/>
  </r>
  <r>
    <x v="0"/>
    <s v="주식회사 태영정보"/>
    <x v="0"/>
    <x v="0"/>
    <s v="DHS 1200L"/>
    <x v="0"/>
    <s v="강갑수"/>
    <d v="2016-06-08T00:00:00"/>
    <n v="37700000"/>
  </r>
  <r>
    <x v="0"/>
    <s v="(주)광영이엠씨"/>
    <x v="0"/>
    <x v="0"/>
    <s v="DHAS 120AP"/>
    <x v="0"/>
    <s v="오세만"/>
    <d v="2016-06-09T00:00:00"/>
    <n v="46363636"/>
  </r>
  <r>
    <x v="0"/>
    <s v="(주) 우성테크"/>
    <x v="0"/>
    <x v="0"/>
    <s v="DHS 1200L"/>
    <x v="0"/>
    <s v="조석제"/>
    <d v="2016-06-09T00:00:00"/>
    <n v="43000000"/>
  </r>
  <r>
    <x v="0"/>
    <s v="주식회사 충일전력"/>
    <x v="0"/>
    <x v="0"/>
    <s v="DHS 1200L"/>
    <x v="0"/>
    <s v="신범식"/>
    <d v="2016-06-10T00:00:00"/>
    <n v="36000000"/>
  </r>
  <r>
    <x v="2"/>
    <s v="(주)영현전기"/>
    <x v="0"/>
    <x v="0"/>
    <s v="DHS 15AP"/>
    <x v="0"/>
    <s v="윤필상"/>
    <d v="2016-06-10T00:00:00"/>
    <n v="51363636"/>
  </r>
  <r>
    <x v="1"/>
    <s v="(주)태산씨엠건설"/>
    <x v="0"/>
    <x v="0"/>
    <s v="해미비행장 공사"/>
    <x v="0"/>
    <s v="박세웅"/>
    <d v="2016-06-10T00:00:00"/>
    <n v="100000000"/>
  </r>
  <r>
    <x v="2"/>
    <s v="금천구청"/>
    <x v="0"/>
    <x v="0"/>
    <s v="DHS 15AP"/>
    <x v="0"/>
    <s v="제광호"/>
    <d v="2016-06-10T00:00:00"/>
    <n v="51931819"/>
  </r>
  <r>
    <x v="0"/>
    <s v="(유)대승네트웍스"/>
    <x v="0"/>
    <x v="0"/>
    <s v="DHS 950L"/>
    <x v="0"/>
    <s v="채일경"/>
    <d v="2016-06-10T00:00:00"/>
    <n v="34500000"/>
  </r>
  <r>
    <x v="0"/>
    <s v="진흥전력"/>
    <x v="0"/>
    <x v="0"/>
    <s v="DHS 1200L"/>
    <x v="0"/>
    <s v="강갑수"/>
    <d v="2016-06-13T00:00:00"/>
    <n v="40300000"/>
  </r>
  <r>
    <x v="1"/>
    <s v="김해시청"/>
    <x v="0"/>
    <x v="0"/>
    <s v="DHS 433L"/>
    <x v="1"/>
    <s v="조현제"/>
    <d v="2016-06-13T00:00:00"/>
    <n v="31400001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롯데오토리스(주)"/>
    <x v="0"/>
    <x v="0"/>
    <s v="DHS 950L"/>
    <x v="0"/>
    <s v="이병학"/>
    <d v="2016-06-14T00:00:00"/>
    <n v="43120653"/>
  </r>
  <r>
    <x v="0"/>
    <s v="광명전업사"/>
    <x v="0"/>
    <x v="0"/>
    <s v="DHS 1200L"/>
    <x v="0"/>
    <s v="정진우"/>
    <d v="2016-06-14T00:00:00"/>
    <n v="37909090"/>
  </r>
  <r>
    <x v="0"/>
    <s v="새한전자"/>
    <x v="0"/>
    <x v="0"/>
    <s v="DHS 930"/>
    <x v="0"/>
    <s v="신범식"/>
    <d v="2016-06-14T00:00:00"/>
    <n v="34545455"/>
  </r>
  <r>
    <x v="0"/>
    <s v="건길통신주식회사"/>
    <x v="0"/>
    <x v="0"/>
    <s v="DHS 930"/>
    <x v="0"/>
    <s v="오세만"/>
    <d v="2016-06-14T00:00:00"/>
    <n v="36100000"/>
  </r>
  <r>
    <x v="0"/>
    <s v="주식회사 혜성정보통신"/>
    <x v="0"/>
    <x v="0"/>
    <s v="DHS 1200L"/>
    <x v="0"/>
    <s v="배상우"/>
    <d v="2016-06-14T00:00:00"/>
    <n v="38500000"/>
  </r>
  <r>
    <x v="1"/>
    <s v="건길통신주식회사"/>
    <x v="0"/>
    <x v="0"/>
    <s v="HWD 400 "/>
    <x v="0"/>
    <s v="오세만"/>
    <d v="2016-06-14T00:00:00"/>
    <n v="4400000"/>
  </r>
  <r>
    <x v="0"/>
    <s v="에이치씨텔레콤(HCTELECOM)"/>
    <x v="0"/>
    <x v="0"/>
    <s v="DHS 950L"/>
    <x v="0"/>
    <s v="배상우"/>
    <d v="2016-06-14T00:00:00"/>
    <n v="35500000"/>
  </r>
  <r>
    <x v="0"/>
    <s v="은비통신공사"/>
    <x v="0"/>
    <x v="0"/>
    <s v="DHS 950L"/>
    <x v="0"/>
    <s v="이경일"/>
    <d v="2016-06-14T00:00:00"/>
    <n v="36100000"/>
  </r>
  <r>
    <x v="0"/>
    <s v="아이정보통신"/>
    <x v="0"/>
    <x v="0"/>
    <s v="DHS 950L"/>
    <x v="0"/>
    <s v="지석현"/>
    <d v="2016-06-15T00:00:00"/>
    <n v="36409090"/>
  </r>
  <r>
    <x v="1"/>
    <s v="(자)신기이엔씨"/>
    <x v="0"/>
    <x v="0"/>
    <s v="DHS 534"/>
    <x v="0"/>
    <s v="손상혁"/>
    <d v="2016-06-15T00:00:00"/>
    <n v="13000000"/>
  </r>
  <r>
    <x v="0"/>
    <s v="광명통신"/>
    <x v="0"/>
    <x v="0"/>
    <s v="DHS 105AP"/>
    <x v="0"/>
    <s v="손상혁"/>
    <d v="2016-06-15T00:00:00"/>
    <n v="40400000"/>
  </r>
  <r>
    <x v="0"/>
    <s v="윤이콤"/>
    <x v="0"/>
    <x v="0"/>
    <s v="DHS 950L"/>
    <x v="0"/>
    <s v="손상혁"/>
    <d v="2016-06-15T00:00:00"/>
    <n v="34000000"/>
  </r>
  <r>
    <x v="2"/>
    <s v="보배활선"/>
    <x v="0"/>
    <x v="0"/>
    <s v="DHT 160S"/>
    <x v="0"/>
    <s v="박범정"/>
    <d v="2016-06-16T00:00:00"/>
    <n v="155000000"/>
  </r>
  <r>
    <x v="0"/>
    <s v="대명오피콤"/>
    <x v="0"/>
    <x v="0"/>
    <s v="DHS 950L"/>
    <x v="0"/>
    <s v="제광호"/>
    <d v="2016-06-16T00:00:00"/>
    <n v="36363636"/>
  </r>
  <r>
    <x v="2"/>
    <s v="칠갑전기"/>
    <x v="0"/>
    <x v="0"/>
    <s v="DHS 15AP"/>
    <x v="0"/>
    <s v="신범식"/>
    <d v="2016-06-16T00:00:00"/>
    <n v="50000000"/>
  </r>
  <r>
    <x v="1"/>
    <s v="주식회사 성진마린"/>
    <x v="0"/>
    <x v="0"/>
    <s v="DHS 433L"/>
    <x v="1"/>
    <s v="이윤겸"/>
    <d v="2016-06-16T00:00:00"/>
    <n v="15300000"/>
  </r>
  <r>
    <x v="0"/>
    <s v="유니온정보통신"/>
    <x v="0"/>
    <x v="0"/>
    <s v="DHS 950L"/>
    <x v="0"/>
    <s v="제광호"/>
    <d v="2016-06-16T00:00:00"/>
    <n v="35000000"/>
  </r>
  <r>
    <x v="0"/>
    <s v="명성통신"/>
    <x v="0"/>
    <x v="0"/>
    <s v="DHS 950L"/>
    <x v="0"/>
    <s v="정진우"/>
    <d v="2016-06-17T00:00:00"/>
    <n v="36363636"/>
  </r>
  <r>
    <x v="0"/>
    <s v="은하수"/>
    <x v="0"/>
    <x v="0"/>
    <s v="DHS 950L"/>
    <x v="0"/>
    <s v="정진우"/>
    <d v="2016-06-17T00:00:00"/>
    <n v="36363636"/>
  </r>
  <r>
    <x v="1"/>
    <s v="원진선외기"/>
    <x v="0"/>
    <x v="0"/>
    <s v="DHS 433L"/>
    <x v="1"/>
    <s v="오세만"/>
    <d v="2016-06-17T00:00:00"/>
    <n v="15013636"/>
  </r>
  <r>
    <x v="2"/>
    <s v="(주)서광시스템"/>
    <x v="0"/>
    <x v="0"/>
    <s v="DHS 15AP"/>
    <x v="0"/>
    <s v="윤필상"/>
    <d v="2016-06-17T00:00:00"/>
    <n v="49700000"/>
  </r>
  <r>
    <x v="2"/>
    <s v="(주)동훈전설"/>
    <x v="0"/>
    <x v="0"/>
    <s v="DHS 706"/>
    <x v="3"/>
    <s v="박범정"/>
    <d v="2016-06-20T00:00:00"/>
    <n v="39000000"/>
  </r>
  <r>
    <x v="2"/>
    <s v="북부활선"/>
    <x v="0"/>
    <x v="0"/>
    <s v="DHT 160AS"/>
    <x v="1"/>
    <s v="박범정"/>
    <d v="2016-06-20T00:00:00"/>
    <n v="171000000"/>
  </r>
  <r>
    <x v="0"/>
    <s v="가나시스템"/>
    <x v="0"/>
    <x v="0"/>
    <s v="DHS 1200L"/>
    <x v="0"/>
    <s v="이경일"/>
    <d v="2016-06-20T00:00:00"/>
    <n v="36000000"/>
  </r>
  <r>
    <x v="2"/>
    <s v="성창활선"/>
    <x v="0"/>
    <x v="0"/>
    <s v="DHT 160AS"/>
    <x v="1"/>
    <s v="박범정"/>
    <d v="2016-06-21T00:00:00"/>
    <n v="172000000"/>
  </r>
  <r>
    <x v="0"/>
    <s v="(주)지오텍코리아"/>
    <x v="0"/>
    <x v="0"/>
    <s v="DHS 950L"/>
    <x v="0"/>
    <s v="임영훈"/>
    <d v="2016-06-21T00:00:00"/>
    <n v="34000000"/>
  </r>
  <r>
    <x v="0"/>
    <s v="(주)에이치에스정보통신"/>
    <x v="0"/>
    <x v="0"/>
    <s v="DHS 950L"/>
    <x v="0"/>
    <s v="김윤관"/>
    <d v="2016-06-21T00:00:00"/>
    <n v="35818182"/>
  </r>
  <r>
    <x v="5"/>
    <s v="신안군청"/>
    <x v="0"/>
    <x v="0"/>
    <s v="ALPHA 12000"/>
    <x v="3"/>
    <s v="김현승"/>
    <d v="2016-06-21T00:00:00"/>
    <n v="109736365"/>
  </r>
  <r>
    <x v="0"/>
    <s v="인천광역시시설관리공단"/>
    <x v="0"/>
    <x v="0"/>
    <s v="DHS 920"/>
    <x v="0"/>
    <s v="지석현"/>
    <d v="2016-06-21T00:00:00"/>
    <n v="43254546"/>
  </r>
  <r>
    <x v="3"/>
    <s v="신흥통상"/>
    <x v="0"/>
    <x v="0"/>
    <s v="DHS 250AP"/>
    <x v="0"/>
    <s v="배재철"/>
    <d v="2016-06-21T00:00:00"/>
    <n v="61068000"/>
  </r>
  <r>
    <x v="3"/>
    <s v="신흥통상"/>
    <x v="0"/>
    <x v="0"/>
    <s v="DHS 250AP"/>
    <x v="0"/>
    <s v="배재철"/>
    <d v="2016-06-21T00:00:00"/>
    <n v="61068000"/>
  </r>
  <r>
    <x v="0"/>
    <s v="현이통신"/>
    <x v="0"/>
    <x v="0"/>
    <s v="DHS 950L"/>
    <x v="0"/>
    <s v="임영훈"/>
    <d v="2016-06-22T00:00:00"/>
    <n v="36363636"/>
  </r>
  <r>
    <x v="0"/>
    <s v="(주)에이에스케이블"/>
    <x v="0"/>
    <x v="0"/>
    <s v="DHS 950L"/>
    <x v="0"/>
    <s v="제광호"/>
    <d v="2016-06-22T00:00:00"/>
    <n v="33620000"/>
  </r>
  <r>
    <x v="2"/>
    <s v="영진활선"/>
    <x v="0"/>
    <x v="0"/>
    <s v="DHT 150S"/>
    <x v="0"/>
    <s v="박범정"/>
    <d v="2016-06-22T00:00:00"/>
    <n v="145000000"/>
  </r>
  <r>
    <x v="1"/>
    <s v="주식회사 와이케이엠"/>
    <x v="0"/>
    <x v="0"/>
    <s v="DHS 433L"/>
    <x v="1"/>
    <s v="조현제"/>
    <d v="2016-06-22T00:00:00"/>
    <n v="15000000"/>
  </r>
  <r>
    <x v="0"/>
    <s v="강호통신"/>
    <x v="0"/>
    <x v="0"/>
    <s v="DHS 950L"/>
    <x v="0"/>
    <s v="정진우"/>
    <d v="2016-06-22T00:00:00"/>
    <n v="37272727"/>
  </r>
  <r>
    <x v="2"/>
    <s v="성일활선"/>
    <x v="0"/>
    <x v="0"/>
    <s v="DHT 150S"/>
    <x v="0"/>
    <s v="조석제"/>
    <d v="2016-06-22T00:00:00"/>
    <n v="148600000"/>
  </r>
  <r>
    <x v="2"/>
    <s v="구미시청"/>
    <x v="0"/>
    <x v="0"/>
    <s v="DHS 15AP"/>
    <x v="0"/>
    <s v="배상우"/>
    <d v="2016-06-22T00:00:00"/>
    <n v="55713637"/>
  </r>
  <r>
    <x v="0"/>
    <s v="우수정보통신"/>
    <x v="0"/>
    <x v="0"/>
    <s v="DHS 950L"/>
    <x v="0"/>
    <s v="손상혁"/>
    <d v="2016-06-22T00:00:00"/>
    <n v="34500000"/>
  </r>
  <r>
    <x v="0"/>
    <s v="스카이네트워크"/>
    <x v="0"/>
    <x v="0"/>
    <s v="DHS 950L(R)"/>
    <x v="0"/>
    <s v="지석현"/>
    <d v="2016-06-23T00:00:00"/>
    <n v="17765000"/>
  </r>
  <r>
    <x v="1"/>
    <s v="양재카"/>
    <x v="0"/>
    <x v="0"/>
    <s v="DHS 433L"/>
    <x v="1"/>
    <s v="김윤관"/>
    <d v="2016-06-23T00:00:00"/>
    <n v="15909091"/>
  </r>
  <r>
    <x v="0"/>
    <s v="이철진"/>
    <x v="0"/>
    <x v="0"/>
    <s v="DHS 950L"/>
    <x v="0"/>
    <s v="채일경"/>
    <d v="2016-06-23T00:00:00"/>
    <n v="35909090"/>
  </r>
  <r>
    <x v="0"/>
    <s v="신혜정보통신"/>
    <x v="0"/>
    <x v="0"/>
    <s v="DHS 950L"/>
    <x v="0"/>
    <s v="배상우"/>
    <d v="2016-06-23T00:00:00"/>
    <n v="36900000"/>
  </r>
  <r>
    <x v="0"/>
    <s v="세진ENC"/>
    <x v="0"/>
    <x v="0"/>
    <s v="DHS 950L"/>
    <x v="0"/>
    <s v="배상우"/>
    <d v="2016-06-23T00:00:00"/>
    <n v="36900000"/>
  </r>
  <r>
    <x v="2"/>
    <s v="신용활선"/>
    <x v="0"/>
    <x v="0"/>
    <s v="DHT 150S"/>
    <x v="0"/>
    <s v="조석제"/>
    <d v="2016-06-23T00:00:00"/>
    <n v="146600000"/>
  </r>
  <r>
    <x v="0"/>
    <s v="정화통신"/>
    <x v="0"/>
    <x v="0"/>
    <s v="DHS 950L"/>
    <x v="0"/>
    <s v="채일경"/>
    <d v="2016-06-23T00:00:00"/>
    <n v="34770000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롯데오토리스(주)"/>
    <x v="0"/>
    <x v="0"/>
    <s v="DHS 950L"/>
    <x v="0"/>
    <s v="이병학"/>
    <d v="2016-06-24T00:00:00"/>
    <n v="43120653"/>
  </r>
  <r>
    <x v="0"/>
    <s v="주식회사 푸른정보기술"/>
    <x v="0"/>
    <x v="0"/>
    <s v="DHS 125AP"/>
    <x v="0"/>
    <s v="강명효"/>
    <d v="2016-06-24T00:00:00"/>
    <n v="44818181"/>
  </r>
  <r>
    <x v="0"/>
    <s v="주식회사 디앤씨씨"/>
    <x v="0"/>
    <x v="0"/>
    <s v="DHS 950L(R)"/>
    <x v="0"/>
    <s v="김윤관"/>
    <d v="2016-06-24T00:00:00"/>
    <n v="16856000"/>
  </r>
  <r>
    <x v="1"/>
    <s v="주식회사 블루오앤엠"/>
    <x v="0"/>
    <x v="0"/>
    <s v="DHS 433L"/>
    <x v="1"/>
    <s v="강갑수"/>
    <d v="2016-06-24T00:00:00"/>
    <n v="14000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1557000"/>
  </r>
  <r>
    <x v="1"/>
    <s v="현대캐피탈주식회사"/>
    <x v="0"/>
    <x v="0"/>
    <s v="DHS 433L"/>
    <x v="1"/>
    <s v="전대희"/>
    <d v="2016-06-24T00:00:00"/>
    <n v="43102000"/>
  </r>
  <r>
    <x v="1"/>
    <s v="현대캐피탈주식회사"/>
    <x v="0"/>
    <x v="0"/>
    <s v="DHS 433L"/>
    <x v="1"/>
    <s v="전대희"/>
    <d v="2016-06-24T00:00:00"/>
    <n v="43102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3"/>
    <s v="현대캐피탈주식회사"/>
    <x v="0"/>
    <x v="0"/>
    <s v="이동정비탑차"/>
    <x v="2"/>
    <s v="전대희"/>
    <d v="2016-06-24T00:00:00"/>
    <n v="32234000"/>
  </r>
  <r>
    <x v="1"/>
    <s v="현대캐피탈주식회사"/>
    <x v="0"/>
    <x v="0"/>
    <s v="코란도이동정비차"/>
    <x v="2"/>
    <s v="전대희"/>
    <d v="2016-06-24T00:00:00"/>
    <n v="3218000"/>
  </r>
  <r>
    <x v="1"/>
    <s v="현대캐피탈주식회사"/>
    <x v="0"/>
    <x v="0"/>
    <s v="코란도이동정비차"/>
    <x v="2"/>
    <s v="전대희"/>
    <d v="2016-06-24T00:00:00"/>
    <n v="3218000"/>
  </r>
  <r>
    <x v="1"/>
    <s v="현대캐피탈주식회사"/>
    <x v="0"/>
    <x v="0"/>
    <s v="코란도이동정비차"/>
    <x v="2"/>
    <s v="전대희"/>
    <d v="2016-06-24T00:00:00"/>
    <n v="3218000"/>
  </r>
  <r>
    <x v="5"/>
    <s v="부산광역시 중구청"/>
    <x v="0"/>
    <x v="0"/>
    <s v="ALPHA 12000"/>
    <x v="3"/>
    <s v="조석제"/>
    <d v="2016-06-27T00:00:00"/>
    <n v="97659091"/>
  </r>
  <r>
    <x v="0"/>
    <s v="영통신"/>
    <x v="0"/>
    <x v="0"/>
    <s v="DHS 950L"/>
    <x v="0"/>
    <s v="정진우"/>
    <d v="2016-06-27T00:00:00"/>
    <n v="34545454"/>
  </r>
  <r>
    <x v="1"/>
    <s v="세븐마린"/>
    <x v="0"/>
    <x v="0"/>
    <s v="DHS 433L"/>
    <x v="1"/>
    <s v="오세만"/>
    <d v="2016-06-27T00:00:00"/>
    <n v="15013636"/>
  </r>
  <r>
    <x v="1"/>
    <s v="마린웍스코리아"/>
    <x v="0"/>
    <x v="0"/>
    <s v="DHS 433L"/>
    <x v="1"/>
    <s v="제광호"/>
    <d v="2016-06-28T00:00:00"/>
    <n v="14500000"/>
  </r>
  <r>
    <x v="0"/>
    <s v="예천군청"/>
    <x v="0"/>
    <x v="0"/>
    <s v="DHS 1200L"/>
    <x v="0"/>
    <s v="배상우"/>
    <d v="2016-06-28T00:00:00"/>
    <n v="54398182"/>
  </r>
  <r>
    <x v="2"/>
    <s v="임실군청"/>
    <x v="0"/>
    <x v="0"/>
    <s v="DHS 15AP"/>
    <x v="0"/>
    <s v="오세만"/>
    <d v="2016-06-28T00:00:00"/>
    <n v="90284546"/>
  </r>
  <r>
    <x v="0"/>
    <s v="(주)세종통신"/>
    <x v="0"/>
    <x v="0"/>
    <s v="DHS 950L(R)"/>
    <x v="0"/>
    <s v="김윤관"/>
    <d v="2016-06-29T00:00:00"/>
    <n v="17765000"/>
  </r>
  <r>
    <x v="2"/>
    <s v="남원활선"/>
    <x v="0"/>
    <x v="0"/>
    <s v="DHT 160S"/>
    <x v="0"/>
    <s v="오세만"/>
    <d v="2016-06-29T00:00:00"/>
    <n v="159500000"/>
  </r>
  <r>
    <x v="1"/>
    <s v="경원상사"/>
    <x v="0"/>
    <x v="0"/>
    <s v="DHS 433L"/>
    <x v="1"/>
    <s v="제광호"/>
    <d v="2016-06-29T00:00:00"/>
    <n v="15250000"/>
  </r>
  <r>
    <x v="0"/>
    <s v="(주)아이에스앤로드테크"/>
    <x v="0"/>
    <x v="0"/>
    <s v="DHS 1200L"/>
    <x v="0"/>
    <s v="채일경"/>
    <d v="2016-06-29T00:00:00"/>
    <n v="9090909"/>
  </r>
  <r>
    <x v="2"/>
    <s v="심우계전"/>
    <x v="0"/>
    <x v="0"/>
    <s v="DHS 15AP"/>
    <x v="0"/>
    <s v="조현제"/>
    <d v="2016-06-29T00:00:00"/>
    <n v="52250000"/>
  </r>
  <r>
    <x v="0"/>
    <s v="서진코리아"/>
    <x v="0"/>
    <x v="0"/>
    <s v="DHS 1200L"/>
    <x v="0"/>
    <s v="김윤관"/>
    <d v="2016-06-30T00:00:00"/>
    <n v="44000000"/>
  </r>
  <r>
    <x v="1"/>
    <s v="아세아펌프제어"/>
    <x v="0"/>
    <x v="0"/>
    <s v="DHS 433L"/>
    <x v="1"/>
    <s v="김현승"/>
    <d v="2016-06-30T00:00:00"/>
    <n v="13500000"/>
  </r>
  <r>
    <x v="0"/>
    <s v="(주)신성정보통신"/>
    <x v="0"/>
    <x v="0"/>
    <s v="DHS 1200L"/>
    <x v="0"/>
    <s v="김현승"/>
    <d v="2016-06-30T00:00:00"/>
    <n v="42250000"/>
  </r>
  <r>
    <x v="2"/>
    <s v="제이엔에스(JNS)"/>
    <x v="0"/>
    <x v="0"/>
    <s v="DHS 15AP"/>
    <x v="0"/>
    <s v="지석현"/>
    <d v="2016-06-30T00:00:00"/>
    <n v="50909090"/>
  </r>
  <r>
    <x v="2"/>
    <s v="재연전기"/>
    <x v="0"/>
    <x v="0"/>
    <s v="DHS 15AP"/>
    <x v="0"/>
    <s v="지석현"/>
    <d v="2016-06-30T00:00:00"/>
    <n v="50000000"/>
  </r>
  <r>
    <x v="2"/>
    <s v="주식회사 영도정보통신"/>
    <x v="0"/>
    <x v="0"/>
    <s v="DHS 15AP"/>
    <x v="0"/>
    <s v="배상우"/>
    <d v="2016-06-30T00:00:00"/>
    <n v="51500000"/>
  </r>
  <r>
    <x v="2"/>
    <s v="(주)가인전력"/>
    <x v="0"/>
    <x v="0"/>
    <s v="DHS 15AP"/>
    <x v="0"/>
    <s v="지석현"/>
    <d v="2016-06-30T00:00:00"/>
    <n v="50000000"/>
  </r>
  <r>
    <x v="1"/>
    <s v="전병존"/>
    <x v="0"/>
    <x v="0"/>
    <s v="DHS 433L"/>
    <x v="1"/>
    <s v="김윤관"/>
    <d v="2016-07-01T00:00:00"/>
    <n v="13505456"/>
  </r>
  <r>
    <x v="1"/>
    <s v="성용호"/>
    <x v="0"/>
    <x v="0"/>
    <s v="DHS 534"/>
    <x v="0"/>
    <s v="조석제"/>
    <d v="2016-07-01T00:00:00"/>
    <n v="15000000"/>
  </r>
  <r>
    <x v="1"/>
    <s v="타이어프로동두천지행역점"/>
    <x v="0"/>
    <x v="0"/>
    <s v="DHS 433L"/>
    <x v="1"/>
    <s v="임영훈"/>
    <d v="2016-07-01T00:00:00"/>
    <n v="15454545"/>
  </r>
  <r>
    <x v="0"/>
    <s v="성동구청"/>
    <x v="0"/>
    <x v="0"/>
    <s v="DHS 920"/>
    <x v="0"/>
    <s v="이경일"/>
    <d v="2016-07-01T00:00:00"/>
    <n v="49225455"/>
  </r>
  <r>
    <x v="0"/>
    <s v="주식회사 세원그룹"/>
    <x v="0"/>
    <x v="0"/>
    <s v="DHS 950L"/>
    <x v="0"/>
    <s v="김윤관"/>
    <d v="2016-07-04T00:00:00"/>
    <n v="38636364"/>
  </r>
  <r>
    <x v="0"/>
    <s v="주식회사 세원그룹"/>
    <x v="0"/>
    <x v="0"/>
    <s v="DHS 950L"/>
    <x v="0"/>
    <s v="김윤관"/>
    <d v="2016-07-04T00:00:00"/>
    <n v="38636364"/>
  </r>
  <r>
    <x v="0"/>
    <s v="주식회사 씨앤엘네트웍스"/>
    <x v="0"/>
    <x v="0"/>
    <s v="DHS 1200L"/>
    <x v="0"/>
    <s v="이경일"/>
    <d v="2016-07-04T00:00:00"/>
    <n v="38500000"/>
  </r>
  <r>
    <x v="0"/>
    <s v="경남전기"/>
    <x v="0"/>
    <x v="0"/>
    <s v="DHS 1200L"/>
    <x v="0"/>
    <s v="조석제"/>
    <d v="2016-07-04T00:00:00"/>
    <n v="39800000"/>
  </r>
  <r>
    <x v="0"/>
    <s v="한주통신"/>
    <x v="0"/>
    <x v="0"/>
    <s v="DHS 950L(R)"/>
    <x v="0"/>
    <s v="지석현"/>
    <d v="2016-07-04T00:00:00"/>
    <n v="17765000"/>
  </r>
  <r>
    <x v="0"/>
    <s v="(주)삼흥정보통신"/>
    <x v="0"/>
    <x v="0"/>
    <s v="DHS 1200L"/>
    <x v="0"/>
    <s v="정진우"/>
    <d v="2016-07-05T00:00:00"/>
    <n v="42000000"/>
  </r>
  <r>
    <x v="0"/>
    <s v="인스산업개발주식회사"/>
    <x v="0"/>
    <x v="0"/>
    <s v="DHS 1200L"/>
    <x v="0"/>
    <s v="신범식"/>
    <d v="2016-07-05T00:00:00"/>
    <n v="38181818"/>
  </r>
  <r>
    <x v="0"/>
    <s v="선진안전(주)"/>
    <x v="0"/>
    <x v="0"/>
    <s v="DHS 1200L"/>
    <x v="0"/>
    <s v="정진우"/>
    <d v="2016-07-05T00:00:00"/>
    <n v="38859091"/>
  </r>
  <r>
    <x v="2"/>
    <s v="(유)대성전력"/>
    <x v="0"/>
    <x v="0"/>
    <s v="DHS 15AP"/>
    <x v="0"/>
    <s v="김현승"/>
    <d v="2016-07-06T00:00:00"/>
    <n v="50909091"/>
  </r>
  <r>
    <x v="0"/>
    <s v="보림정보통신"/>
    <x v="0"/>
    <x v="0"/>
    <s v="DHS 950L"/>
    <x v="0"/>
    <s v="손상혁"/>
    <d v="2016-07-06T00:00:00"/>
    <n v="35000000"/>
  </r>
  <r>
    <x v="0"/>
    <s v="정우통신"/>
    <x v="0"/>
    <x v="0"/>
    <s v="DHS 950L"/>
    <x v="0"/>
    <s v="손상혁"/>
    <d v="2016-07-06T00:00:00"/>
    <n v="35500000"/>
  </r>
  <r>
    <x v="0"/>
    <s v="한별통신"/>
    <x v="0"/>
    <x v="0"/>
    <s v="DHS 125AP"/>
    <x v="0"/>
    <s v="김윤관"/>
    <d v="2016-07-07T00:00:00"/>
    <n v="44727273"/>
  </r>
  <r>
    <x v="0"/>
    <s v="동성통신"/>
    <x v="0"/>
    <x v="0"/>
    <s v="DHS 125AP"/>
    <x v="0"/>
    <s v="김윤관"/>
    <d v="2016-07-07T00:00:00"/>
    <n v="44727273"/>
  </r>
  <r>
    <x v="0"/>
    <s v="(주)경도전기"/>
    <x v="0"/>
    <x v="0"/>
    <s v="DHS 930"/>
    <x v="0"/>
    <s v="조석제"/>
    <d v="2016-07-07T00:00:00"/>
    <n v="31000000"/>
  </r>
  <r>
    <x v="0"/>
    <s v="임강정보통신"/>
    <x v="0"/>
    <x v="0"/>
    <s v="DHS 950L"/>
    <x v="0"/>
    <s v="윤필상"/>
    <d v="2016-07-07T00:00:00"/>
    <n v="35500000"/>
  </r>
  <r>
    <x v="0"/>
    <s v="임강정보통신"/>
    <x v="0"/>
    <x v="0"/>
    <s v="DHS 950L"/>
    <x v="0"/>
    <s v="윤필상"/>
    <d v="2016-07-07T00:00:00"/>
    <n v="35500000"/>
  </r>
  <r>
    <x v="2"/>
    <s v="경동활선"/>
    <x v="0"/>
    <x v="0"/>
    <s v="DHT 150S"/>
    <x v="0"/>
    <s v="강갑수"/>
    <d v="2016-07-07T00:00:00"/>
    <n v="145500000"/>
  </r>
  <r>
    <x v="1"/>
    <s v="경안종합중장비공업사"/>
    <x v="0"/>
    <x v="0"/>
    <s v="DHS 433L"/>
    <x v="1"/>
    <s v="제광호"/>
    <d v="2016-07-08T00:00:00"/>
    <n v="15750000"/>
  </r>
  <r>
    <x v="0"/>
    <s v="(주)호남통신"/>
    <x v="0"/>
    <x v="0"/>
    <s v="DHS 950L"/>
    <x v="0"/>
    <s v="오세만"/>
    <d v="2016-07-11T00:00:00"/>
    <n v="37000000"/>
  </r>
  <r>
    <x v="3"/>
    <s v="SYKT"/>
    <x v="0"/>
    <x v="0"/>
    <s v="DHS 19AP"/>
    <x v="0"/>
    <s v="윤상필"/>
    <d v="2016-07-11T00:00:00"/>
    <n v="38634156"/>
  </r>
  <r>
    <x v="3"/>
    <s v="SYKT"/>
    <x v="0"/>
    <x v="0"/>
    <s v="DHS 280AP"/>
    <x v="0"/>
    <s v="윤상필"/>
    <d v="2016-07-11T00:00:00"/>
    <n v="60001182"/>
  </r>
  <r>
    <x v="3"/>
    <s v="SYKT"/>
    <x v="0"/>
    <x v="0"/>
    <s v="DHS 280AP"/>
    <x v="0"/>
    <s v="윤상필"/>
    <d v="2016-07-11T00:00:00"/>
    <n v="60001182"/>
  </r>
  <r>
    <x v="2"/>
    <s v="윤학원"/>
    <x v="0"/>
    <x v="0"/>
    <s v="DHS 15AP"/>
    <x v="0"/>
    <s v="채일경"/>
    <d v="2016-07-12T00:00:00"/>
    <n v="50000000"/>
  </r>
  <r>
    <x v="2"/>
    <s v="우진전업(주)"/>
    <x v="0"/>
    <x v="0"/>
    <s v="DHS 15AP"/>
    <x v="0"/>
    <s v="김윤관"/>
    <d v="2016-07-12T00:00:00"/>
    <n v="50909091"/>
  </r>
  <r>
    <x v="2"/>
    <s v="(주)태영이엔씨"/>
    <x v="0"/>
    <x v="0"/>
    <s v="DHS 15AP"/>
    <x v="0"/>
    <s v="오세만"/>
    <d v="2016-07-12T00:00:00"/>
    <n v="50909091"/>
  </r>
  <r>
    <x v="0"/>
    <s v="미르텍 주식회사"/>
    <x v="0"/>
    <x v="0"/>
    <s v="DHS 1200L"/>
    <x v="0"/>
    <s v="김현승"/>
    <d v="2016-07-12T00:00:00"/>
    <n v="43181818"/>
  </r>
  <r>
    <x v="2"/>
    <s v="신아"/>
    <x v="0"/>
    <x v="0"/>
    <s v="DHS 15AP"/>
    <x v="0"/>
    <s v="이경일"/>
    <d v="2016-07-12T00:00:00"/>
    <n v="51500000"/>
  </r>
  <r>
    <x v="2"/>
    <s v="(유)강남전기"/>
    <x v="0"/>
    <x v="0"/>
    <s v="DHS 15AP"/>
    <x v="0"/>
    <s v="김현승"/>
    <d v="2016-07-13T00:00:00"/>
    <n v="50000000"/>
  </r>
  <r>
    <x v="0"/>
    <s v="풀빛네트웍"/>
    <x v="0"/>
    <x v="0"/>
    <s v="DHS 950L"/>
    <x v="0"/>
    <s v="이경일"/>
    <d v="2016-07-13T00:00:00"/>
    <n v="36000000"/>
  </r>
  <r>
    <x v="0"/>
    <s v="(주)시티컴"/>
    <x v="0"/>
    <x v="0"/>
    <s v="DHS 950L"/>
    <x v="0"/>
    <s v="이경일"/>
    <d v="2016-07-13T00:00:00"/>
    <n v="35655000"/>
  </r>
  <r>
    <x v="0"/>
    <s v="롯데오토리스(주)"/>
    <x v="0"/>
    <x v="0"/>
    <s v="DHS 950L"/>
    <x v="0"/>
    <s v="이경일"/>
    <d v="2016-07-13T00:00:00"/>
    <n v="37409091"/>
  </r>
  <r>
    <x v="2"/>
    <s v="주식회사 예스정보통신"/>
    <x v="0"/>
    <x v="0"/>
    <s v="DHS 15AP"/>
    <x v="0"/>
    <s v="문현수"/>
    <d v="2016-07-13T00:00:00"/>
    <n v="51000000"/>
  </r>
  <r>
    <x v="1"/>
    <s v="태풍타이어"/>
    <x v="0"/>
    <x v="0"/>
    <s v="DHS 433L"/>
    <x v="1"/>
    <s v="김현승"/>
    <d v="2016-07-14T00:00:00"/>
    <n v="14545455"/>
  </r>
  <r>
    <x v="0"/>
    <s v="(주)동해기계항공"/>
    <x v="0"/>
    <x v="0"/>
    <s v="DHS 950L(R)"/>
    <x v="0"/>
    <s v="배재철"/>
    <d v="2016-07-14T00:00:00"/>
    <n v="22360000"/>
  </r>
  <r>
    <x v="3"/>
    <s v="(주)동해기계항공"/>
    <x v="0"/>
    <x v="0"/>
    <s v="DHS 190SKY"/>
    <x v="0"/>
    <s v="배재철"/>
    <d v="2016-07-14T00:00:00"/>
    <n v="50237000"/>
  </r>
  <r>
    <x v="3"/>
    <s v="(주)동해기계항공"/>
    <x v="0"/>
    <x v="0"/>
    <s v="차량판매"/>
    <x v="0"/>
    <s v="배재철"/>
    <d v="2016-07-14T00:00:00"/>
    <n v="15088828"/>
  </r>
  <r>
    <x v="0"/>
    <s v="(주)동해기계항공"/>
    <x v="0"/>
    <x v="0"/>
    <s v="DHS 950L(R)"/>
    <x v="0"/>
    <s v="배재철"/>
    <d v="2016-07-14T00:00:00"/>
    <n v="23942000"/>
  </r>
  <r>
    <x v="3"/>
    <s v="(주)동해기계항공"/>
    <x v="0"/>
    <x v="0"/>
    <s v="차량판매"/>
    <x v="0"/>
    <s v="배재철"/>
    <d v="2016-07-14T00:00:00"/>
    <n v="12600909"/>
  </r>
  <r>
    <x v="0"/>
    <s v="한국호이스트"/>
    <x v="0"/>
    <x v="0"/>
    <s v="DHS 1200L"/>
    <x v="0"/>
    <s v="조현제"/>
    <d v="2016-07-15T00:00:00"/>
    <n v="35500000"/>
  </r>
  <r>
    <x v="1"/>
    <s v="자연환경(유)"/>
    <x v="0"/>
    <x v="0"/>
    <s v="DHS 433L"/>
    <x v="1"/>
    <s v="오세만"/>
    <d v="2016-07-18T00:00:00"/>
    <n v="15013636"/>
  </r>
  <r>
    <x v="0"/>
    <s v="TRI-GLOBE TRANSPORT SERVICES AND TRADING INC"/>
    <x v="1"/>
    <x v="5"/>
    <s v="DHS 1200L"/>
    <x v="0"/>
    <s v="윤상필"/>
    <d v="2016-07-18T00:00:00"/>
    <n v="34696866"/>
  </r>
  <r>
    <x v="2"/>
    <s v="해성파워텍"/>
    <x v="0"/>
    <x v="0"/>
    <s v="DHS 17AP"/>
    <x v="0"/>
    <s v="윤필상"/>
    <d v="2016-07-19T00:00:00"/>
    <n v="53636363"/>
  </r>
  <r>
    <x v="0"/>
    <s v="제일전기공사"/>
    <x v="0"/>
    <x v="0"/>
    <s v="DHS 1200L"/>
    <x v="0"/>
    <s v="배상우"/>
    <d v="2016-07-19T00:00:00"/>
    <n v="40000000"/>
  </r>
  <r>
    <x v="1"/>
    <s v="에이스건설기계매매상사"/>
    <x v="0"/>
    <x v="0"/>
    <s v="DHS 433L"/>
    <x v="1"/>
    <s v="정진우"/>
    <d v="2016-07-19T00:00:00"/>
    <n v="14500000"/>
  </r>
  <r>
    <x v="0"/>
    <s v="(주)성일기업"/>
    <x v="0"/>
    <x v="0"/>
    <s v="DHS 1200L"/>
    <x v="0"/>
    <s v="배상우"/>
    <d v="2016-07-19T00:00:00"/>
    <n v="40000000"/>
  </r>
  <r>
    <x v="2"/>
    <s v="대성통운(주)"/>
    <x v="0"/>
    <x v="0"/>
    <s v="DHT 160AS"/>
    <x v="1"/>
    <s v="박범정"/>
    <d v="2016-07-20T00:00:00"/>
    <n v="175000000"/>
  </r>
  <r>
    <x v="2"/>
    <s v="영림활선"/>
    <x v="0"/>
    <x v="0"/>
    <s v="DHT 160AS"/>
    <x v="1"/>
    <s v="박종배"/>
    <d v="2016-07-20T00:00:00"/>
    <n v="175000000"/>
  </r>
  <r>
    <x v="0"/>
    <s v="부덕정보통신"/>
    <x v="0"/>
    <x v="0"/>
    <s v="DHAS 120AP"/>
    <x v="0"/>
    <s v="오세만"/>
    <d v="2016-07-20T00:00:00"/>
    <n v="47272727"/>
  </r>
  <r>
    <x v="1"/>
    <s v="KJ해양마린"/>
    <x v="0"/>
    <x v="0"/>
    <s v="DHS 433L"/>
    <x v="1"/>
    <s v="김현승"/>
    <d v="2016-07-21T00:00:00"/>
    <n v="15013636"/>
  </r>
  <r>
    <x v="0"/>
    <s v="세종하이텍주식회사"/>
    <x v="0"/>
    <x v="0"/>
    <s v="DHS 1200L"/>
    <x v="0"/>
    <s v="오세만"/>
    <d v="2016-07-21T00:00:00"/>
    <n v="44545455"/>
  </r>
  <r>
    <x v="0"/>
    <s v="(주)아이에스앤로드테크"/>
    <x v="0"/>
    <x v="0"/>
    <s v="DHS 1200L"/>
    <x v="0"/>
    <s v="채일경"/>
    <d v="2016-07-21T00:00:00"/>
    <n v="30000000"/>
  </r>
  <r>
    <x v="1"/>
    <s v="대정농업협동조합"/>
    <x v="0"/>
    <x v="0"/>
    <s v="DHS 433L"/>
    <x v="1"/>
    <s v="강명효"/>
    <d v="2016-07-21T00:00:00"/>
    <n v="16150000"/>
  </r>
  <r>
    <x v="1"/>
    <s v="호남중기"/>
    <x v="0"/>
    <x v="0"/>
    <s v="DHS 433L"/>
    <x v="1"/>
    <s v="지석현"/>
    <d v="2016-07-22T00:00:00"/>
    <n v="14300000"/>
  </r>
  <r>
    <x v="0"/>
    <s v="주식회사 비츠로"/>
    <x v="0"/>
    <x v="0"/>
    <s v="DHS 1200L"/>
    <x v="0"/>
    <s v="김현승"/>
    <d v="2016-07-22T00:00:00"/>
    <n v="39090909"/>
  </r>
  <r>
    <x v="1"/>
    <s v="LG펌프상사"/>
    <x v="0"/>
    <x v="0"/>
    <s v="DHS 433L"/>
    <x v="1"/>
    <s v="조석제"/>
    <d v="2016-07-25T00:00:00"/>
    <n v="14300000"/>
  </r>
  <r>
    <x v="2"/>
    <s v="주식회사 서광종합건설"/>
    <x v="0"/>
    <x v="0"/>
    <s v="DHT 160AS"/>
    <x v="1"/>
    <s v="박범정"/>
    <d v="2016-07-25T00:00:00"/>
    <n v="175000000"/>
  </r>
  <r>
    <x v="2"/>
    <s v="주식회사 남해이엔지"/>
    <x v="0"/>
    <x v="0"/>
    <s v="DHS 15AP"/>
    <x v="0"/>
    <s v="박진웅"/>
    <d v="2016-07-25T00:00:00"/>
    <n v="51500000"/>
  </r>
  <r>
    <x v="0"/>
    <s v="(주)세명전기"/>
    <x v="0"/>
    <x v="0"/>
    <s v="DHS 1200L"/>
    <x v="0"/>
    <s v="조석제"/>
    <d v="2016-07-25T00:00:00"/>
    <n v="38500000"/>
  </r>
  <r>
    <x v="2"/>
    <s v="(주)복음전기"/>
    <x v="0"/>
    <x v="0"/>
    <s v="DHS 15AP"/>
    <x v="0"/>
    <s v="문현수"/>
    <d v="2016-07-25T00:00:00"/>
    <n v="51000000"/>
  </r>
  <r>
    <x v="5"/>
    <s v="부산광역시서구청"/>
    <x v="0"/>
    <x v="0"/>
    <s v="ALPHA 12000"/>
    <x v="3"/>
    <s v="조석제"/>
    <d v="2016-07-25T00:00:00"/>
    <n v="99986364"/>
  </r>
  <r>
    <x v="1"/>
    <s v="정명철"/>
    <x v="0"/>
    <x v="0"/>
    <s v="DHS 433L"/>
    <x v="1"/>
    <s v="오세만"/>
    <d v="2016-07-26T00:00:00"/>
    <n v="14650000"/>
  </r>
  <r>
    <x v="0"/>
    <s v="해성"/>
    <x v="0"/>
    <x v="0"/>
    <s v="DHS 1200L"/>
    <x v="0"/>
    <s v="조현제"/>
    <d v="2016-07-26T00:00:00"/>
    <n v="34000000"/>
  </r>
  <r>
    <x v="0"/>
    <s v="광원통신"/>
    <x v="0"/>
    <x v="0"/>
    <s v="DHS 950L"/>
    <x v="0"/>
    <s v="지석현"/>
    <d v="2016-07-26T00:00:00"/>
    <n v="35950000"/>
  </r>
  <r>
    <x v="2"/>
    <s v="동해활선"/>
    <x v="0"/>
    <x v="0"/>
    <s v="DHT 160S"/>
    <x v="0"/>
    <s v="박종배"/>
    <d v="2016-07-26T00:00:00"/>
    <n v="159000000"/>
  </r>
  <r>
    <x v="0"/>
    <s v="정(JOUNG)"/>
    <x v="0"/>
    <x v="0"/>
    <s v="DHAS 120AP"/>
    <x v="0"/>
    <s v="최우성"/>
    <d v="2016-07-27T00:00:00"/>
    <n v="46636364"/>
  </r>
  <r>
    <x v="0"/>
    <s v="아주통신(주)"/>
    <x v="0"/>
    <x v="0"/>
    <s v="DHS 950L"/>
    <x v="0"/>
    <s v="오세만"/>
    <d v="2016-07-27T00:00:00"/>
    <n v="37272727"/>
  </r>
  <r>
    <x v="0"/>
    <s v="JS정보통신"/>
    <x v="0"/>
    <x v="0"/>
    <s v="DHS 950L"/>
    <x v="0"/>
    <s v="채일경"/>
    <d v="2016-07-27T00:00:00"/>
    <n v="37000000"/>
  </r>
  <r>
    <x v="0"/>
    <s v="(주)동해정보통신"/>
    <x v="0"/>
    <x v="0"/>
    <s v="DHS 950L(R)"/>
    <x v="0"/>
    <s v="강갑수"/>
    <d v="2016-07-27T00:00:00"/>
    <n v="17765000"/>
  </r>
  <r>
    <x v="0"/>
    <s v="대진정보통신 주식회사"/>
    <x v="0"/>
    <x v="0"/>
    <s v="DHS 950L(R)"/>
    <x v="0"/>
    <s v="채일경"/>
    <d v="2016-07-27T00:00:00"/>
    <n v="18490000"/>
  </r>
  <r>
    <x v="2"/>
    <s v="강북구청"/>
    <x v="0"/>
    <x v="0"/>
    <s v="DHS 15AP"/>
    <x v="0"/>
    <s v="채일경"/>
    <d v="2016-07-27T00:00:00"/>
    <n v="52016364"/>
  </r>
  <r>
    <x v="0"/>
    <s v="안동시청"/>
    <x v="0"/>
    <x v="0"/>
    <s v="DHA 102AP"/>
    <x v="0"/>
    <s v="문현수"/>
    <d v="2016-07-27T00:00:00"/>
    <n v="41825455"/>
  </r>
  <r>
    <x v="5"/>
    <s v="서울특별시중구청"/>
    <x v="0"/>
    <x v="0"/>
    <s v="DHS 1800"/>
    <x v="0"/>
    <s v="윤필상"/>
    <d v="2016-07-28T00:00:00"/>
    <n v="94193637"/>
  </r>
  <r>
    <x v="3"/>
    <s v="경수고속도로(주)"/>
    <x v="0"/>
    <x v="0"/>
    <s v="DHS 280AP"/>
    <x v="0"/>
    <s v="제광호"/>
    <d v="2016-07-28T00:00:00"/>
    <n v="117640000"/>
  </r>
  <r>
    <x v="2"/>
    <s v="(주)삼흥일렉트릭"/>
    <x v="0"/>
    <x v="0"/>
    <s v="DHS 15AP"/>
    <x v="0"/>
    <s v="강갑수"/>
    <d v="2016-07-28T00:00:00"/>
    <n v="51000000"/>
  </r>
  <r>
    <x v="0"/>
    <s v="보광통신"/>
    <x v="0"/>
    <x v="0"/>
    <s v="DHS 950L"/>
    <x v="0"/>
    <s v="조석제"/>
    <d v="2016-07-28T00:00:00"/>
    <n v="32454546"/>
  </r>
  <r>
    <x v="0"/>
    <s v="로아정보통신"/>
    <x v="0"/>
    <x v="0"/>
    <s v="DHS 950L"/>
    <x v="0"/>
    <s v="윤필상"/>
    <d v="2016-07-28T00:00:00"/>
    <n v="36459091"/>
  </r>
  <r>
    <x v="0"/>
    <s v="(주)하나로"/>
    <x v="0"/>
    <x v="0"/>
    <s v="DHS 930"/>
    <x v="0"/>
    <s v="오세만"/>
    <d v="2016-07-28T00:00:00"/>
    <n v="35000000"/>
  </r>
  <r>
    <x v="0"/>
    <s v="재재통신"/>
    <x v="0"/>
    <x v="0"/>
    <s v="DHS 1200L"/>
    <x v="0"/>
    <s v="최우성"/>
    <d v="2016-07-28T00:00:00"/>
    <n v="39090909"/>
  </r>
  <r>
    <x v="0"/>
    <s v="재승정보통신"/>
    <x v="0"/>
    <x v="0"/>
    <s v="DHS 105AP"/>
    <x v="0"/>
    <s v="손상혁"/>
    <d v="2016-07-28T00:00:00"/>
    <n v="42000000"/>
  </r>
  <r>
    <x v="0"/>
    <s v="(주)에스제이네트웍스"/>
    <x v="0"/>
    <x v="0"/>
    <s v="DHS 1200L"/>
    <x v="0"/>
    <s v="김윤관"/>
    <d v="2016-07-28T00:00:00"/>
    <n v="40000000"/>
  </r>
  <r>
    <x v="0"/>
    <s v="(주)에스제이네트웍스"/>
    <x v="0"/>
    <x v="0"/>
    <s v="DHS 1200L"/>
    <x v="0"/>
    <s v="김윤관"/>
    <d v="2016-07-28T00:00:00"/>
    <n v="40000000"/>
  </r>
  <r>
    <x v="0"/>
    <s v="진성종합건설 주식회사"/>
    <x v="0"/>
    <x v="0"/>
    <s v="DHS 950L"/>
    <x v="0"/>
    <s v="오세만"/>
    <d v="2016-07-28T00:00:00"/>
    <n v="33636364"/>
  </r>
  <r>
    <x v="0"/>
    <s v="진성종합건설 주식회사"/>
    <x v="0"/>
    <x v="0"/>
    <s v="DHS 950L"/>
    <x v="0"/>
    <s v="오세만"/>
    <d v="2016-07-28T00:00:00"/>
    <n v="33636364"/>
  </r>
  <r>
    <x v="0"/>
    <s v="진성종합건설 주식회사"/>
    <x v="0"/>
    <x v="0"/>
    <s v="DHS 950L"/>
    <x v="0"/>
    <s v="오세만"/>
    <d v="2016-07-28T00:00:00"/>
    <n v="33636364"/>
  </r>
  <r>
    <x v="0"/>
    <s v="진성종합건설 주식회사"/>
    <x v="0"/>
    <x v="0"/>
    <s v="DHS 950L"/>
    <x v="0"/>
    <s v="오세만"/>
    <d v="2016-07-28T00:00:00"/>
    <n v="33636364"/>
  </r>
  <r>
    <x v="0"/>
    <s v="진성종합건설 주식회사"/>
    <x v="0"/>
    <x v="0"/>
    <s v="DHS 950L"/>
    <x v="0"/>
    <s v="오세만"/>
    <d v="2016-07-28T00:00:00"/>
    <n v="33636364"/>
  </r>
  <r>
    <x v="0"/>
    <s v="진성종합건설 주식회사"/>
    <x v="0"/>
    <x v="0"/>
    <s v="DHS 950L"/>
    <x v="0"/>
    <s v="오세만"/>
    <d v="2016-07-28T00:00:00"/>
    <n v="33636364"/>
  </r>
  <r>
    <x v="0"/>
    <s v="(유)미주계전"/>
    <x v="0"/>
    <x v="0"/>
    <s v="DHS 930(R)"/>
    <x v="0"/>
    <s v="김현승"/>
    <d v="2016-07-28T00:00:00"/>
    <n v="17765000"/>
  </r>
  <r>
    <x v="0"/>
    <s v="(유)미주계전"/>
    <x v="0"/>
    <x v="0"/>
    <s v="DHS 930(R)"/>
    <x v="0"/>
    <s v="김현승"/>
    <d v="2016-07-28T00:00:00"/>
    <n v="17765000"/>
  </r>
  <r>
    <x v="0"/>
    <s v="(유)나노정보통신"/>
    <x v="0"/>
    <x v="0"/>
    <s v="DHS 930(R)"/>
    <x v="0"/>
    <s v="오세만"/>
    <d v="2016-07-28T00:00:00"/>
    <n v="17765000"/>
  </r>
  <r>
    <x v="1"/>
    <s v="현대캐피탈주식회사"/>
    <x v="0"/>
    <x v="0"/>
    <s v="부품판매(내수)"/>
    <x v="2"/>
    <s v="전대희"/>
    <d v="2016-07-29T00:00:00"/>
    <n v="24080000"/>
  </r>
  <r>
    <x v="1"/>
    <s v="현대캐피탈주식회사"/>
    <x v="0"/>
    <x v="0"/>
    <s v="부품판매(내수)"/>
    <x v="2"/>
    <s v="전대희"/>
    <d v="2016-07-29T00:00:00"/>
    <n v="4760000"/>
  </r>
  <r>
    <x v="0"/>
    <s v="VIET TRUNG JOINT STOCK EQUIPMENT COMPANY"/>
    <x v="1"/>
    <x v="2"/>
    <s v="DHS 1200L"/>
    <x v="0"/>
    <s v="배재철"/>
    <d v="2016-08-08T00:00:00"/>
    <n v="56120650"/>
  </r>
  <r>
    <x v="0"/>
    <s v="VIET TRUNG JOINT STOCK EQUIPMENT COMPANY"/>
    <x v="1"/>
    <x v="2"/>
    <s v="DHS 1200L"/>
    <x v="0"/>
    <s v="배재철"/>
    <d v="2016-08-08T00:00:00"/>
    <n v="56120650"/>
  </r>
  <r>
    <x v="0"/>
    <s v="VIET TRUNG JOINT STOCK EQUIPMENT COMPANY"/>
    <x v="1"/>
    <x v="2"/>
    <s v="DHS 1200L"/>
    <x v="0"/>
    <s v="배재철"/>
    <d v="2016-08-08T00:00:00"/>
    <n v="56120650"/>
  </r>
  <r>
    <x v="0"/>
    <s v="JS정보통신"/>
    <x v="0"/>
    <x v="0"/>
    <s v="DHS 950L"/>
    <x v="0"/>
    <s v="채일경"/>
    <d v="2016-08-10T00:00:00"/>
    <n v="37000000"/>
  </r>
  <r>
    <x v="0"/>
    <s v="대월정보통신"/>
    <x v="0"/>
    <x v="0"/>
    <s v="DHS 950L"/>
    <x v="0"/>
    <s v="지석현"/>
    <d v="2016-08-10T00:00:00"/>
    <n v="37272727"/>
  </r>
  <r>
    <x v="0"/>
    <s v="(주)진웅텔레콤"/>
    <x v="0"/>
    <x v="0"/>
    <s v="DHS 950L"/>
    <x v="0"/>
    <s v="채일경"/>
    <d v="2016-08-10T00:00:00"/>
    <n v="34909091"/>
  </r>
  <r>
    <x v="2"/>
    <s v="SYKT"/>
    <x v="0"/>
    <x v="0"/>
    <s v="DHS 15AP"/>
    <x v="0"/>
    <s v="윤상필"/>
    <d v="2016-08-10T00:00:00"/>
    <n v="28684599"/>
  </r>
  <r>
    <x v="2"/>
    <s v="SYKT"/>
    <x v="0"/>
    <x v="0"/>
    <s v="DHS 15AP"/>
    <x v="0"/>
    <s v="윤상필"/>
    <d v="2016-08-10T00:00:00"/>
    <n v="28684599"/>
  </r>
  <r>
    <x v="2"/>
    <s v="SYKT"/>
    <x v="0"/>
    <x v="0"/>
    <s v="DHS 15AP"/>
    <x v="0"/>
    <s v="윤상필"/>
    <d v="2016-08-10T00:00:00"/>
    <n v="28684600"/>
  </r>
  <r>
    <x v="0"/>
    <s v="(주)에스오에이텔레콤"/>
    <x v="0"/>
    <x v="0"/>
    <s v="DHS 950L"/>
    <x v="0"/>
    <s v="김윤관"/>
    <d v="2016-08-11T00:00:00"/>
    <n v="37727273"/>
  </r>
  <r>
    <x v="0"/>
    <s v="(주)에스오에이텔레콤"/>
    <x v="0"/>
    <x v="0"/>
    <s v="DHS 950L"/>
    <x v="0"/>
    <s v="김윤관"/>
    <d v="2016-08-11T00:00:00"/>
    <n v="37727273"/>
  </r>
  <r>
    <x v="0"/>
    <s v="(주)에스오에이텔레콤"/>
    <x v="0"/>
    <x v="0"/>
    <s v="DHS 950L"/>
    <x v="0"/>
    <s v="김윤관"/>
    <d v="2016-08-11T00:00:00"/>
    <n v="37727273"/>
  </r>
  <r>
    <x v="0"/>
    <s v="성남시푸른도시사업소"/>
    <x v="0"/>
    <x v="0"/>
    <s v="DHA 102AP"/>
    <x v="0"/>
    <s v="이경일"/>
    <d v="2016-08-11T00:00:00"/>
    <n v="41575455"/>
  </r>
  <r>
    <x v="0"/>
    <s v="조일전기이엔지"/>
    <x v="0"/>
    <x v="0"/>
    <s v="DHS 950L"/>
    <x v="0"/>
    <s v="지석현"/>
    <d v="2016-08-11T00:00:00"/>
    <n v="34245000"/>
  </r>
  <r>
    <x v="0"/>
    <s v="제이케이정보통신"/>
    <x v="0"/>
    <x v="0"/>
    <s v="DHS 950L"/>
    <x v="0"/>
    <s v="채일경"/>
    <d v="2016-08-12T00:00:00"/>
    <n v="35288182"/>
  </r>
  <r>
    <x v="0"/>
    <s v="현대캐피탈주식회사"/>
    <x v="0"/>
    <x v="0"/>
    <s v="DHS 930"/>
    <x v="0"/>
    <s v="전대희"/>
    <d v="2016-08-16T00:00:00"/>
    <n v="30465000"/>
  </r>
  <r>
    <x v="1"/>
    <s v="청해마린"/>
    <x v="0"/>
    <x v="0"/>
    <s v="DHS 433L"/>
    <x v="1"/>
    <s v="김현승"/>
    <d v="2016-08-16T00:00:00"/>
    <n v="14500000"/>
  </r>
  <r>
    <x v="2"/>
    <s v="봉덕활선"/>
    <x v="0"/>
    <x v="0"/>
    <s v="DHT 160S"/>
    <x v="0"/>
    <s v="배상우"/>
    <d v="2016-08-16T00:00:00"/>
    <n v="154700000"/>
  </r>
  <r>
    <x v="1"/>
    <s v="주식회사 해성조선소"/>
    <x v="0"/>
    <x v="0"/>
    <s v="DHS 433L"/>
    <x v="1"/>
    <s v="김현승"/>
    <d v="2016-08-17T00:00:00"/>
    <n v="14500000"/>
  </r>
  <r>
    <x v="0"/>
    <s v="주식회사 본"/>
    <x v="0"/>
    <x v="0"/>
    <s v="DHS 950L"/>
    <x v="0"/>
    <s v="배상우"/>
    <d v="2016-08-17T00:00:00"/>
    <n v="34500000"/>
  </r>
  <r>
    <x v="0"/>
    <s v="주식회사 비젼"/>
    <x v="0"/>
    <x v="0"/>
    <s v="DHS 950L"/>
    <x v="0"/>
    <s v="지석현"/>
    <d v="2016-08-17T00:00:00"/>
    <n v="36363636"/>
  </r>
  <r>
    <x v="1"/>
    <s v="(주)티에스케이워터"/>
    <x v="0"/>
    <x v="0"/>
    <s v="DHS 433L"/>
    <x v="1"/>
    <s v="이경일"/>
    <d v="2016-08-17T00:00:00"/>
    <n v="14500000"/>
  </r>
  <r>
    <x v="2"/>
    <s v="삼호전기"/>
    <x v="0"/>
    <x v="0"/>
    <s v="DHS 15AP"/>
    <x v="0"/>
    <s v="제광호"/>
    <d v="2016-08-18T00:00:00"/>
    <n v="50000000"/>
  </r>
  <r>
    <x v="2"/>
    <s v="주식회사 창조전력"/>
    <x v="0"/>
    <x v="0"/>
    <s v="DHS 15AP"/>
    <x v="0"/>
    <s v="문현수"/>
    <d v="2016-08-18T00:00:00"/>
    <n v="51000000"/>
  </r>
  <r>
    <x v="3"/>
    <s v="풍일호이스트"/>
    <x v="0"/>
    <x v="0"/>
    <s v="DHS 190SKY"/>
    <x v="0"/>
    <s v="조석제"/>
    <d v="2016-08-18T00:00:00"/>
    <n v="57700000"/>
  </r>
  <r>
    <x v="0"/>
    <s v="엘통신"/>
    <x v="0"/>
    <x v="0"/>
    <s v="DHS 950L"/>
    <x v="0"/>
    <s v="정진우"/>
    <d v="2016-08-18T00:00:00"/>
    <n v="38181818"/>
  </r>
  <r>
    <x v="2"/>
    <s v="(유)신아전력"/>
    <x v="0"/>
    <x v="0"/>
    <s v="DHS 15AP"/>
    <x v="0"/>
    <s v="오세만"/>
    <d v="2016-08-19T00:00:00"/>
    <n v="50909091"/>
  </r>
  <r>
    <x v="0"/>
    <s v="해동호이스트"/>
    <x v="0"/>
    <x v="0"/>
    <s v="DHS 1200L"/>
    <x v="0"/>
    <s v="조현제"/>
    <d v="2016-08-22T00:00:00"/>
    <n v="40000000"/>
  </r>
  <r>
    <x v="0"/>
    <s v="명성이엔지"/>
    <x v="0"/>
    <x v="0"/>
    <s v="DHS 950L"/>
    <x v="0"/>
    <s v="안기수"/>
    <d v="2016-08-22T00:00:00"/>
    <n v="34500000"/>
  </r>
  <r>
    <x v="2"/>
    <s v="(자)하양전기"/>
    <x v="0"/>
    <x v="0"/>
    <s v="DHS 15AP"/>
    <x v="0"/>
    <s v="배상우"/>
    <d v="2016-08-22T00:00:00"/>
    <n v="51000000"/>
  </r>
  <r>
    <x v="2"/>
    <s v="이재호"/>
    <x v="0"/>
    <x v="0"/>
    <s v="DHS 17AP"/>
    <x v="0"/>
    <s v="제광호"/>
    <d v="2016-08-22T00:00:00"/>
    <n v="53181818"/>
  </r>
  <r>
    <x v="3"/>
    <s v="굳 스카이"/>
    <x v="0"/>
    <x v="0"/>
    <s v="DHS 190SKY"/>
    <x v="0"/>
    <s v="강갑수"/>
    <d v="2016-08-23T00:00:00"/>
    <n v="62000000"/>
  </r>
  <r>
    <x v="0"/>
    <s v="(주)바른이엔씨"/>
    <x v="0"/>
    <x v="0"/>
    <s v="DHS 1200L"/>
    <x v="0"/>
    <s v="윤필상"/>
    <d v="2016-08-23T00:00:00"/>
    <n v="39500000"/>
  </r>
  <r>
    <x v="2"/>
    <s v="주식회사 드림"/>
    <x v="0"/>
    <x v="0"/>
    <s v="DHS 15AP"/>
    <x v="0"/>
    <s v="김현승"/>
    <d v="2016-08-24T00:00:00"/>
    <n v="50909091"/>
  </r>
  <r>
    <x v="2"/>
    <s v="문경전기정보통신"/>
    <x v="0"/>
    <x v="0"/>
    <s v="DHS 17AP"/>
    <x v="0"/>
    <s v="배상우"/>
    <d v="2016-08-24T00:00:00"/>
    <n v="54000000"/>
  </r>
  <r>
    <x v="0"/>
    <s v="(주)나우리정보통신"/>
    <x v="0"/>
    <x v="0"/>
    <s v="DHS 930"/>
    <x v="0"/>
    <s v="오세만"/>
    <d v="2016-08-24T00:00:00"/>
    <n v="34090909"/>
  </r>
  <r>
    <x v="0"/>
    <s v="서부네트워크주식회사"/>
    <x v="0"/>
    <x v="0"/>
    <s v="DHS 950L"/>
    <x v="0"/>
    <s v="이경일"/>
    <d v="2016-08-24T00:00:00"/>
    <n v="36500000"/>
  </r>
  <r>
    <x v="0"/>
    <s v="동신전기"/>
    <x v="0"/>
    <x v="0"/>
    <s v="DHS 1200L"/>
    <x v="0"/>
    <s v="윤필상"/>
    <d v="2016-08-25T00:00:00"/>
    <n v="43000000"/>
  </r>
  <r>
    <x v="0"/>
    <s v="(주)우도전기"/>
    <x v="0"/>
    <x v="0"/>
    <s v="DHS 1200L"/>
    <x v="0"/>
    <s v="손상혁"/>
    <d v="2016-08-26T00:00:00"/>
    <n v="44500000"/>
  </r>
  <r>
    <x v="0"/>
    <s v="우진산업개발(주)"/>
    <x v="0"/>
    <x v="0"/>
    <s v="DHS 1200L"/>
    <x v="0"/>
    <s v="김윤관"/>
    <d v="2016-08-26T00:00:00"/>
    <n v="39090909"/>
  </r>
  <r>
    <x v="0"/>
    <s v="동성전력 주식회사"/>
    <x v="0"/>
    <x v="0"/>
    <s v="DHS 1200L"/>
    <x v="0"/>
    <s v="강명효"/>
    <d v="2016-08-26T00:00:00"/>
    <n v="37727272"/>
  </r>
  <r>
    <x v="2"/>
    <s v="원주시청"/>
    <x v="0"/>
    <x v="0"/>
    <s v="DHT 105S"/>
    <x v="1"/>
    <s v="김덕래"/>
    <d v="2016-08-26T00:00:00"/>
    <n v="97786365"/>
  </r>
  <r>
    <x v="0"/>
    <s v="화인 전기조명"/>
    <x v="0"/>
    <x v="0"/>
    <s v="DHS 1200L"/>
    <x v="0"/>
    <s v="강갑수"/>
    <d v="2016-08-29T00:00:00"/>
    <n v="38000000"/>
  </r>
  <r>
    <x v="0"/>
    <s v="화산"/>
    <x v="0"/>
    <x v="0"/>
    <s v="DHS 950L"/>
    <x v="0"/>
    <s v="김윤관"/>
    <d v="2016-08-29T00:00:00"/>
    <n v="36818182"/>
  </r>
  <r>
    <x v="0"/>
    <s v="덕수J,Y통신"/>
    <x v="0"/>
    <x v="0"/>
    <s v="DHS 105AP"/>
    <x v="0"/>
    <s v="오세만"/>
    <d v="2016-08-29T00:00:00"/>
    <n v="40909091"/>
  </r>
  <r>
    <x v="0"/>
    <s v="제이씨통신(J.C)"/>
    <x v="0"/>
    <x v="0"/>
    <s v="DHS 950L"/>
    <x v="0"/>
    <s v="김덕래"/>
    <d v="2016-08-29T00:00:00"/>
    <n v="35909091"/>
  </r>
  <r>
    <x v="2"/>
    <s v="대구시청"/>
    <x v="0"/>
    <x v="0"/>
    <s v="DHT 105S"/>
    <x v="1"/>
    <s v="문현수"/>
    <d v="2016-08-29T00:00:00"/>
    <n v="96536364"/>
  </r>
  <r>
    <x v="0"/>
    <s v="동작구립장애인보호작업장"/>
    <x v="0"/>
    <x v="0"/>
    <s v="DHS 950L"/>
    <x v="0"/>
    <s v="제광호"/>
    <d v="2016-08-29T00:00:00"/>
    <n v="37272728"/>
  </r>
  <r>
    <x v="1"/>
    <s v="대성마린"/>
    <x v="0"/>
    <x v="0"/>
    <s v="DHS 433L"/>
    <x v="1"/>
    <s v="오세만"/>
    <d v="2016-08-30T00:00:00"/>
    <n v="15013636"/>
  </r>
  <r>
    <x v="0"/>
    <s v="경방전기통신(주)"/>
    <x v="0"/>
    <x v="0"/>
    <s v="DHS 950L"/>
    <x v="0"/>
    <s v="윤필상"/>
    <d v="2016-08-30T00:00:00"/>
    <n v="36750000"/>
  </r>
  <r>
    <x v="1"/>
    <s v="금일종합마린"/>
    <x v="0"/>
    <x v="0"/>
    <s v="DHS 433L"/>
    <x v="1"/>
    <s v="오세만"/>
    <d v="2016-08-30T00:00:00"/>
    <n v="15013636"/>
  </r>
  <r>
    <x v="2"/>
    <s v="서울특별시성동도로사업소"/>
    <x v="0"/>
    <x v="0"/>
    <s v="DHT 105S"/>
    <x v="1"/>
    <s v="이경일"/>
    <d v="2016-08-30T00:00:00"/>
    <n v="96695455"/>
  </r>
  <r>
    <x v="2"/>
    <s v="서울시서부도로사업소"/>
    <x v="0"/>
    <x v="0"/>
    <s v="DHT 105S"/>
    <x v="1"/>
    <s v="이경일"/>
    <d v="2016-08-30T00:00:00"/>
    <n v="99013637"/>
  </r>
  <r>
    <x v="2"/>
    <s v="서울특별시남부도로사업소"/>
    <x v="0"/>
    <x v="0"/>
    <s v="DHT 105S"/>
    <x v="1"/>
    <s v="이경일"/>
    <d v="2016-08-31T00:00:00"/>
    <n v="96445455"/>
  </r>
  <r>
    <x v="2"/>
    <s v="북부도로사업소"/>
    <x v="0"/>
    <x v="0"/>
    <s v="DHT 105S"/>
    <x v="1"/>
    <s v="이경일"/>
    <d v="2016-08-31T00:00:00"/>
    <n v="99013637"/>
  </r>
  <r>
    <x v="2"/>
    <s v="서울특별시동부도로사업소"/>
    <x v="0"/>
    <x v="0"/>
    <s v="DHT 105S"/>
    <x v="1"/>
    <s v="이경일"/>
    <d v="2016-08-31T00:00:00"/>
    <n v="99013637"/>
  </r>
  <r>
    <x v="2"/>
    <s v="SHIANG PAI HYDRAULIC CRANE CO., LTD"/>
    <x v="1"/>
    <x v="6"/>
    <s v="DHS 7526"/>
    <x v="3"/>
    <s v="윤상필"/>
    <d v="2016-08-31T00:00:00"/>
    <n v="20133000"/>
  </r>
  <r>
    <x v="2"/>
    <s v="SHIANG PAI HYDRAULIC CRANE CO., LTD"/>
    <x v="1"/>
    <x v="6"/>
    <s v="DHS 7526"/>
    <x v="3"/>
    <s v="윤상필"/>
    <d v="2016-08-31T00:00:00"/>
    <n v="20133000"/>
  </r>
  <r>
    <x v="2"/>
    <s v="SHIANG PAI HYDRAULIC CRANE CO., LTD"/>
    <x v="1"/>
    <x v="6"/>
    <s v="DHS 7526"/>
    <x v="3"/>
    <s v="윤상필"/>
    <d v="2016-08-31T00:00:00"/>
    <n v="20133000"/>
  </r>
  <r>
    <x v="2"/>
    <s v="SHIANG PAI HYDRAULIC CRANE CO., LTD"/>
    <x v="1"/>
    <x v="6"/>
    <s v="DHS 7526"/>
    <x v="3"/>
    <s v="윤상필"/>
    <d v="2016-08-31T00:00:00"/>
    <n v="20133000"/>
  </r>
  <r>
    <x v="0"/>
    <s v="TRI-GLOBE TRANSPORT SERVICES AND TRADING INC"/>
    <x v="1"/>
    <x v="5"/>
    <s v="DHS 870"/>
    <x v="0"/>
    <s v="윤상필"/>
    <d v="2016-09-01T00:00:00"/>
    <n v="36149007"/>
  </r>
  <r>
    <x v="2"/>
    <s v="한국메가와트 주식회사"/>
    <x v="0"/>
    <x v="0"/>
    <s v="DHT 160AS"/>
    <x v="1"/>
    <s v="박종배"/>
    <d v="2016-09-02T00:00:00"/>
    <n v="174000000"/>
  </r>
  <r>
    <x v="5"/>
    <s v="창원시 진해구청"/>
    <x v="0"/>
    <x v="0"/>
    <s v="ALPHA 12000"/>
    <x v="3"/>
    <s v="조석제"/>
    <d v="2016-09-02T00:00:00"/>
    <n v="100184546"/>
  </r>
  <r>
    <x v="0"/>
    <s v="동대문구청"/>
    <x v="0"/>
    <x v="0"/>
    <s v="DHAS 120AP"/>
    <x v="0"/>
    <s v="윤필상"/>
    <d v="2016-09-02T00:00:00"/>
    <n v="48393637"/>
  </r>
  <r>
    <x v="2"/>
    <s v="서울특별시강서도로사업소"/>
    <x v="0"/>
    <x v="0"/>
    <s v="DHT 105S"/>
    <x v="1"/>
    <s v="이경일"/>
    <d v="2016-09-02T00:00:00"/>
    <n v="97831819"/>
  </r>
  <r>
    <x v="0"/>
    <s v="(유)구이앤금우통신"/>
    <x v="0"/>
    <x v="0"/>
    <s v="DHS 950L"/>
    <x v="0"/>
    <s v="오세만"/>
    <d v="2016-09-05T00:00:00"/>
    <n v="37272727"/>
  </r>
  <r>
    <x v="0"/>
    <s v="(주)대륭시스템즈"/>
    <x v="0"/>
    <x v="0"/>
    <s v="DHS 1200L"/>
    <x v="0"/>
    <s v="조석제"/>
    <d v="2016-09-05T00:00:00"/>
    <n v="40000000"/>
  </r>
  <r>
    <x v="0"/>
    <s v="다성통신"/>
    <x v="0"/>
    <x v="0"/>
    <s v="DHS 950L"/>
    <x v="0"/>
    <s v="지석현"/>
    <d v="2016-09-06T00:00:00"/>
    <n v="36818182"/>
  </r>
  <r>
    <x v="0"/>
    <s v="주식회사 씨앤엘네트웍스"/>
    <x v="0"/>
    <x v="0"/>
    <s v="DHS 1200L"/>
    <x v="0"/>
    <s v="이경일"/>
    <d v="2016-09-06T00:00:00"/>
    <n v="38181818"/>
  </r>
  <r>
    <x v="1"/>
    <s v="영산벽돌석재"/>
    <x v="0"/>
    <x v="0"/>
    <s v="DHS 433L"/>
    <x v="1"/>
    <s v="조현제"/>
    <d v="2016-09-06T00:00:00"/>
    <n v="14000000"/>
  </r>
  <r>
    <x v="0"/>
    <s v="캡틴통신"/>
    <x v="0"/>
    <x v="0"/>
    <s v="DHS 930"/>
    <x v="0"/>
    <s v="최우성"/>
    <d v="2016-09-07T00:00:00"/>
    <n v="33636364"/>
  </r>
  <r>
    <x v="0"/>
    <s v="세빌주식회사"/>
    <x v="0"/>
    <x v="0"/>
    <s v="DHS 950L"/>
    <x v="0"/>
    <s v="조현제"/>
    <d v="2016-09-07T00:00:00"/>
    <n v="37500000"/>
  </r>
  <r>
    <x v="1"/>
    <s v="영진테크"/>
    <x v="0"/>
    <x v="0"/>
    <s v="DHS 433L"/>
    <x v="1"/>
    <s v="김현승"/>
    <d v="2016-09-07T00:00:00"/>
    <n v="11400000"/>
  </r>
  <r>
    <x v="0"/>
    <s v="(주)파워텔레콤"/>
    <x v="0"/>
    <x v="0"/>
    <s v="DHS 950L"/>
    <x v="0"/>
    <s v="정진우"/>
    <d v="2016-09-08T00:00:00"/>
    <n v="37800000"/>
  </r>
  <r>
    <x v="0"/>
    <s v="이즈"/>
    <x v="0"/>
    <x v="0"/>
    <s v="DHS 930"/>
    <x v="0"/>
    <s v="임영훈"/>
    <d v="2016-09-08T00:00:00"/>
    <n v="34900000"/>
  </r>
  <r>
    <x v="3"/>
    <s v="서병교"/>
    <x v="0"/>
    <x v="0"/>
    <s v="DHS 190SKY"/>
    <x v="0"/>
    <s v="윤필상"/>
    <d v="2016-09-08T00:00:00"/>
    <n v="57500000"/>
  </r>
  <r>
    <x v="0"/>
    <s v="영성통신"/>
    <x v="0"/>
    <x v="0"/>
    <s v="DHS 950L"/>
    <x v="0"/>
    <s v="박진웅"/>
    <d v="2016-09-08T00:00:00"/>
    <n v="35000000"/>
  </r>
  <r>
    <x v="1"/>
    <s v="(주)동해중공업"/>
    <x v="0"/>
    <x v="0"/>
    <s v="DHS 433"/>
    <x v="0"/>
    <s v="오세만"/>
    <d v="2016-09-08T00:00:00"/>
    <n v="5978000"/>
  </r>
  <r>
    <x v="0"/>
    <s v="리더스텔"/>
    <x v="0"/>
    <x v="0"/>
    <s v="DHS 950L(R)"/>
    <x v="0"/>
    <s v="배상우"/>
    <d v="2016-09-09T00:00:00"/>
    <n v="17765000"/>
  </r>
  <r>
    <x v="0"/>
    <s v="디에이치"/>
    <x v="0"/>
    <x v="0"/>
    <s v="DHS 950L"/>
    <x v="0"/>
    <s v="손상혁"/>
    <d v="2016-09-09T00:00:00"/>
    <n v="34000000"/>
  </r>
  <r>
    <x v="1"/>
    <s v="조은석유. 설비"/>
    <x v="0"/>
    <x v="0"/>
    <s v="DHS 433L"/>
    <x v="1"/>
    <s v="조현제"/>
    <d v="2016-09-09T00:00:00"/>
    <n v="14000000"/>
  </r>
  <r>
    <x v="2"/>
    <s v="경동건설(주)"/>
    <x v="0"/>
    <x v="0"/>
    <s v="김해비행장 공사"/>
    <x v="2"/>
    <s v="박세웅"/>
    <d v="2016-09-09T00:00:00"/>
    <n v="230000000"/>
  </r>
  <r>
    <x v="1"/>
    <s v="대림산업(주)여수LHDPE공장"/>
    <x v="0"/>
    <x v="0"/>
    <s v="DHS 433L"/>
    <x v="1"/>
    <s v="김현승"/>
    <d v="2016-09-12T00:00:00"/>
    <n v="14700000"/>
  </r>
  <r>
    <x v="2"/>
    <s v="김포건업"/>
    <x v="0"/>
    <x v="0"/>
    <s v="DHS 15AP"/>
    <x v="0"/>
    <s v="지석현"/>
    <d v="2016-09-12T00:00:00"/>
    <n v="52363636"/>
  </r>
  <r>
    <x v="1"/>
    <s v="동하수중펌프"/>
    <x v="0"/>
    <x v="0"/>
    <s v="DHS 433L"/>
    <x v="1"/>
    <s v="제광호"/>
    <d v="2016-09-12T00:00:00"/>
    <n v="14000000"/>
  </r>
  <r>
    <x v="3"/>
    <s v="주식회사국제산업"/>
    <x v="0"/>
    <x v="0"/>
    <s v="차체지지대"/>
    <x v="2"/>
    <s v="정진우"/>
    <d v="2016-09-12T00:00:00"/>
    <n v="8000000"/>
  </r>
  <r>
    <x v="4"/>
    <s v="공군군수사령부"/>
    <x v="0"/>
    <x v="0"/>
    <s v="공군군수사 수리부속"/>
    <x v="2"/>
    <s v="박세웅"/>
    <d v="2016-09-12T00:00:00"/>
    <n v="528214900"/>
  </r>
  <r>
    <x v="2"/>
    <s v="주안전기"/>
    <x v="0"/>
    <x v="0"/>
    <s v="DHS 15AP"/>
    <x v="0"/>
    <s v="이경일"/>
    <d v="2016-09-13T00:00:00"/>
    <n v="50909090"/>
  </r>
  <r>
    <x v="1"/>
    <s v="압해마린"/>
    <x v="0"/>
    <x v="0"/>
    <s v="DHS 433L"/>
    <x v="1"/>
    <s v="오세만"/>
    <d v="2016-09-20T00:00:00"/>
    <n v="15013636"/>
  </r>
  <r>
    <x v="1"/>
    <s v="대한계량공사"/>
    <x v="0"/>
    <x v="0"/>
    <s v="DHS 433L"/>
    <x v="1"/>
    <s v="김현승"/>
    <d v="2016-09-20T00:00:00"/>
    <n v="15500000"/>
  </r>
  <r>
    <x v="0"/>
    <s v="남경전력공사"/>
    <x v="0"/>
    <x v="0"/>
    <s v="DHS 1200L"/>
    <x v="0"/>
    <s v="제광호"/>
    <d v="2016-09-21T00:00:00"/>
    <n v="40000000"/>
  </r>
  <r>
    <x v="0"/>
    <s v="세빌주식회사"/>
    <x v="0"/>
    <x v="0"/>
    <s v="DHS 950L"/>
    <x v="0"/>
    <s v="조현제"/>
    <d v="2016-09-21T00:00:00"/>
    <n v="37500000"/>
  </r>
  <r>
    <x v="0"/>
    <s v="수화통신"/>
    <x v="0"/>
    <x v="0"/>
    <s v="DHS 950L"/>
    <x v="0"/>
    <s v="지석현"/>
    <d v="2016-09-21T00:00:00"/>
    <n v="36000000"/>
  </r>
  <r>
    <x v="0"/>
    <s v="크레인마트"/>
    <x v="0"/>
    <x v="0"/>
    <s v="DHS 930(R)"/>
    <x v="0"/>
    <s v="전대희"/>
    <d v="2016-09-23T00:00:00"/>
    <n v="14664000"/>
  </r>
  <r>
    <x v="0"/>
    <s v="H＆Y네트워크"/>
    <x v="0"/>
    <x v="0"/>
    <s v="DHS 930(R)"/>
    <x v="0"/>
    <s v="정진우"/>
    <d v="2016-09-23T00:00:00"/>
    <n v="16856000"/>
  </r>
  <r>
    <x v="0"/>
    <s v="H＆Y네트워크"/>
    <x v="0"/>
    <x v="0"/>
    <s v="DHS 930(R)"/>
    <x v="0"/>
    <s v="정진우"/>
    <d v="2016-09-23T00:00:00"/>
    <n v="16856000"/>
  </r>
  <r>
    <x v="1"/>
    <s v="부민석재"/>
    <x v="0"/>
    <x v="0"/>
    <s v="DHS 433L"/>
    <x v="1"/>
    <s v="강명효"/>
    <d v="2016-09-23T00:00:00"/>
    <n v="14818181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0"/>
    <s v="한전케이디엔(주)"/>
    <x v="0"/>
    <x v="0"/>
    <s v="DHS 1200L"/>
    <x v="0"/>
    <s v="전대희"/>
    <d v="2016-09-23T00:00:00"/>
    <n v="43650000"/>
  </r>
  <r>
    <x v="1"/>
    <s v="미래레저마린"/>
    <x v="0"/>
    <x v="0"/>
    <s v="DHS 433L"/>
    <x v="1"/>
    <s v="윤필상"/>
    <d v="2016-09-26T00:00:00"/>
    <n v="13800000"/>
  </r>
  <r>
    <x v="1"/>
    <s v="아이지테크"/>
    <x v="0"/>
    <x v="0"/>
    <s v="DHS 433L"/>
    <x v="1"/>
    <s v="지석현"/>
    <d v="2016-09-26T00:00:00"/>
    <n v="14000000"/>
  </r>
  <r>
    <x v="1"/>
    <s v="신진유지건설(주)"/>
    <x v="0"/>
    <x v="0"/>
    <s v="DHS 433L"/>
    <x v="1"/>
    <s v="조현제"/>
    <d v="2016-09-26T00:00:00"/>
    <n v="13600000"/>
  </r>
  <r>
    <x v="2"/>
    <s v="개별화물"/>
    <x v="0"/>
    <x v="0"/>
    <s v="DHT 150S"/>
    <x v="0"/>
    <s v="조석제"/>
    <d v="2016-09-27T00:00:00"/>
    <n v="148200000"/>
  </r>
  <r>
    <x v="0"/>
    <s v="피앤씨텔레콤"/>
    <x v="0"/>
    <x v="0"/>
    <s v="DHS 950L"/>
    <x v="0"/>
    <s v="박진웅"/>
    <d v="2016-09-27T00:00:00"/>
    <n v="35000000"/>
  </r>
  <r>
    <x v="0"/>
    <s v="(주)진주네트워크"/>
    <x v="0"/>
    <x v="0"/>
    <s v="DHS 930"/>
    <x v="0"/>
    <s v="박진웅"/>
    <d v="2016-09-27T00:00:00"/>
    <n v="35430000"/>
  </r>
  <r>
    <x v="0"/>
    <s v="(주)진주네트워크"/>
    <x v="0"/>
    <x v="0"/>
    <s v="DHS 930"/>
    <x v="0"/>
    <s v="박진웅"/>
    <d v="2016-09-27T00:00:00"/>
    <n v="35430000"/>
  </r>
  <r>
    <x v="0"/>
    <s v="(주)진주네트워크"/>
    <x v="0"/>
    <x v="0"/>
    <s v="DHS 930"/>
    <x v="0"/>
    <s v="박진웅"/>
    <d v="2016-09-27T00:00:00"/>
    <n v="35430000"/>
  </r>
  <r>
    <x v="0"/>
    <s v="아림통신건설"/>
    <x v="0"/>
    <x v="0"/>
    <s v="DHS 1200L"/>
    <x v="0"/>
    <s v="김덕래"/>
    <d v="2016-09-27T00:00:00"/>
    <n v="41175000"/>
  </r>
  <r>
    <x v="0"/>
    <s v="HK정보시스템"/>
    <x v="0"/>
    <x v="0"/>
    <s v="DHS 1200L"/>
    <x v="0"/>
    <s v="오세만"/>
    <d v="2016-09-27T00:00:00"/>
    <n v="44545455"/>
  </r>
  <r>
    <x v="2"/>
    <s v="창조전기"/>
    <x v="0"/>
    <x v="0"/>
    <s v="DHS 15AP"/>
    <x v="0"/>
    <s v="배상우"/>
    <d v="2016-09-28T00:00:00"/>
    <n v="51000000"/>
  </r>
  <r>
    <x v="0"/>
    <s v="장무통신"/>
    <x v="0"/>
    <x v="0"/>
    <s v="DHS 1200L"/>
    <x v="0"/>
    <s v="채일경"/>
    <d v="2016-09-28T00:00:00"/>
    <n v="36818181"/>
  </r>
  <r>
    <x v="1"/>
    <s v="현대캐피탈주식회사"/>
    <x v="0"/>
    <x v="0"/>
    <s v="DHS 433L"/>
    <x v="1"/>
    <s v="전대희"/>
    <d v="2016-09-28T00:00:00"/>
    <n v="43056000"/>
  </r>
  <r>
    <x v="1"/>
    <s v="현대캐피탈주식회사"/>
    <x v="0"/>
    <x v="0"/>
    <s v="DHS 433L"/>
    <x v="1"/>
    <s v="전대희"/>
    <d v="2016-09-28T00:00:00"/>
    <n v="43056000"/>
  </r>
  <r>
    <x v="1"/>
    <s v="현대캐피탈주식회사"/>
    <x v="0"/>
    <x v="0"/>
    <s v="DHS 433L"/>
    <x v="1"/>
    <s v="전대희"/>
    <d v="2016-09-28T00:00:00"/>
    <n v="43056000"/>
  </r>
  <r>
    <x v="1"/>
    <s v="현대캐피탈주식회사"/>
    <x v="0"/>
    <x v="0"/>
    <s v="DHS 433L"/>
    <x v="1"/>
    <s v="전대희"/>
    <d v="2016-09-28T00:00:00"/>
    <n v="43056000"/>
  </r>
  <r>
    <x v="1"/>
    <s v="현대캐피탈주식회사"/>
    <x v="0"/>
    <x v="0"/>
    <s v="DHS 433L"/>
    <x v="1"/>
    <s v="전대희"/>
    <d v="2016-09-28T00:00:00"/>
    <n v="43056000"/>
  </r>
  <r>
    <x v="1"/>
    <s v="현대캐피탈주식회사"/>
    <x v="0"/>
    <x v="0"/>
    <s v="DHS 433L"/>
    <x v="1"/>
    <s v="전대희"/>
    <d v="2016-09-28T00:00:00"/>
    <n v="44493000"/>
  </r>
  <r>
    <x v="1"/>
    <s v="현대캐피탈주식회사"/>
    <x v="0"/>
    <x v="0"/>
    <s v="DHS 433L"/>
    <x v="1"/>
    <s v="전대희"/>
    <d v="2016-09-28T00:00:00"/>
    <n v="44493000"/>
  </r>
  <r>
    <x v="3"/>
    <s v="현대캐피탈주식회사"/>
    <x v="0"/>
    <x v="0"/>
    <s v="이동정비탑차"/>
    <x v="2"/>
    <s v="전대희"/>
    <d v="2016-09-28T00:00:00"/>
    <n v="33379000"/>
  </r>
  <r>
    <x v="3"/>
    <s v="현대캐피탈주식회사"/>
    <x v="0"/>
    <x v="0"/>
    <s v="이동정비탑차"/>
    <x v="2"/>
    <s v="전대희"/>
    <d v="2016-09-28T00:00:00"/>
    <n v="33379000"/>
  </r>
  <r>
    <x v="3"/>
    <s v="현대캐피탈주식회사"/>
    <x v="0"/>
    <x v="0"/>
    <s v="이동정비탑차"/>
    <x v="2"/>
    <s v="전대희"/>
    <d v="2016-09-28T00:00:00"/>
    <n v="33379000"/>
  </r>
  <r>
    <x v="3"/>
    <s v="현대캐피탈주식회사"/>
    <x v="0"/>
    <x v="0"/>
    <s v="이동정비탑차"/>
    <x v="2"/>
    <s v="전대희"/>
    <d v="2016-09-28T00:00:00"/>
    <n v="33379000"/>
  </r>
  <r>
    <x v="3"/>
    <s v="현대캐피탈주식회사"/>
    <x v="0"/>
    <x v="0"/>
    <s v="이동정비탑차"/>
    <x v="2"/>
    <s v="전대희"/>
    <d v="2016-09-28T00:00:00"/>
    <n v="33379000"/>
  </r>
  <r>
    <x v="3"/>
    <s v="현대캐피탈주식회사"/>
    <x v="0"/>
    <x v="0"/>
    <s v="이동정비탑차"/>
    <x v="2"/>
    <s v="전대희"/>
    <d v="2016-09-28T00:00:00"/>
    <n v="33379000"/>
  </r>
  <r>
    <x v="1"/>
    <s v="(유)신안산업개발"/>
    <x v="0"/>
    <x v="0"/>
    <s v="DHS 433L"/>
    <x v="1"/>
    <s v="김현승"/>
    <d v="2016-09-28T00:00:00"/>
    <n v="14150000"/>
  </r>
  <r>
    <x v="3"/>
    <s v="피에이치피네트워크"/>
    <x v="0"/>
    <x v="0"/>
    <s v="DHS 108SKY"/>
    <x v="0"/>
    <s v="채일경"/>
    <d v="2016-09-29T00:00:00"/>
    <n v="37772727"/>
  </r>
  <r>
    <x v="1"/>
    <s v="현대캐피탈주식회사"/>
    <x v="0"/>
    <x v="0"/>
    <s v="코란도이동정비차"/>
    <x v="2"/>
    <s v="전대희"/>
    <d v="2016-09-29T00:00:00"/>
    <n v="3598182"/>
  </r>
  <r>
    <x v="1"/>
    <s v="현대캐피탈주식회사"/>
    <x v="0"/>
    <x v="0"/>
    <s v="코란도이동정비차"/>
    <x v="2"/>
    <s v="전대희"/>
    <d v="2016-09-29T00:00:00"/>
    <n v="3598182"/>
  </r>
  <r>
    <x v="1"/>
    <s v="현대캐피탈주식회사"/>
    <x v="0"/>
    <x v="0"/>
    <s v="코란도이동정비차"/>
    <x v="2"/>
    <s v="전대희"/>
    <d v="2016-09-29T00:00:00"/>
    <n v="3598182"/>
  </r>
  <r>
    <x v="4"/>
    <s v="공군제20전투비행단"/>
    <x v="0"/>
    <x v="0"/>
    <s v="해미비행장 공사"/>
    <x v="0"/>
    <s v="박세웅"/>
    <d v="2016-09-30T00:00:00"/>
    <n v="5572727"/>
  </r>
  <r>
    <x v="0"/>
    <s v="주식회사 신정"/>
    <x v="0"/>
    <x v="0"/>
    <s v="DHS 930(R)"/>
    <x v="0"/>
    <s v="이경일"/>
    <d v="2016-09-30T00:00:00"/>
    <n v="17765000"/>
  </r>
  <r>
    <x v="0"/>
    <s v="신화전기"/>
    <x v="0"/>
    <x v="0"/>
    <s v="DHS 1200L"/>
    <x v="0"/>
    <s v="강갑수"/>
    <d v="2016-09-30T00:00:00"/>
    <n v="40100000"/>
  </r>
  <r>
    <x v="0"/>
    <s v="오광전기"/>
    <x v="0"/>
    <x v="0"/>
    <s v="DHS 1200L"/>
    <x v="0"/>
    <s v="신범식"/>
    <d v="2016-09-30T00:00:00"/>
    <n v="37000000"/>
  </r>
  <r>
    <x v="1"/>
    <s v="두산건기 강원판매(주)"/>
    <x v="0"/>
    <x v="0"/>
    <s v="DHS 433L"/>
    <x v="1"/>
    <s v="김덕래"/>
    <d v="2016-09-30T00:00:00"/>
    <n v="44223000"/>
  </r>
  <r>
    <x v="2"/>
    <s v="대구전업사"/>
    <x v="0"/>
    <x v="0"/>
    <s v="DHS 17AP"/>
    <x v="0"/>
    <s v="배상우"/>
    <d v="2016-09-30T00:00:00"/>
    <n v="53000000"/>
  </r>
  <r>
    <x v="1"/>
    <s v="(주)태산씨엠건설"/>
    <x v="0"/>
    <x v="0"/>
    <s v="해미비행장 공사"/>
    <x v="0"/>
    <s v="박세웅"/>
    <d v="2016-09-30T00:00:00"/>
    <n v="220000000"/>
  </r>
  <r>
    <x v="0"/>
    <s v="서경석"/>
    <x v="0"/>
    <x v="0"/>
    <s v="DHS 950L"/>
    <x v="0"/>
    <s v="윤필상"/>
    <d v="2016-09-30T00:00:00"/>
    <n v="36500000"/>
  </r>
  <r>
    <x v="2"/>
    <s v="부자전기"/>
    <x v="0"/>
    <x v="0"/>
    <s v="DHS 15AP"/>
    <x v="0"/>
    <s v="신범식"/>
    <d v="2016-10-04T00:00:00"/>
    <n v="50909091"/>
  </r>
  <r>
    <x v="2"/>
    <s v="주식회사 태경전기"/>
    <x v="0"/>
    <x v="0"/>
    <s v="DHS 17AP"/>
    <x v="0"/>
    <s v="신범식"/>
    <d v="2016-10-04T00:00:00"/>
    <n v="53181818"/>
  </r>
  <r>
    <x v="0"/>
    <s v="수성통신"/>
    <x v="0"/>
    <x v="0"/>
    <s v="DHS 130SKY"/>
    <x v="0"/>
    <s v="배상우"/>
    <d v="2016-10-05T00:00:00"/>
    <n v="40000000"/>
  </r>
  <r>
    <x v="0"/>
    <s v="(주)신한이에스"/>
    <x v="0"/>
    <x v="0"/>
    <s v="DHS 1200L"/>
    <x v="0"/>
    <s v="제광호"/>
    <d v="2016-10-05T00:00:00"/>
    <n v="39850000"/>
  </r>
  <r>
    <x v="2"/>
    <s v="인천국제공항공사"/>
    <x v="0"/>
    <x v="0"/>
    <s v="DHS 15AP"/>
    <x v="0"/>
    <s v="지석현"/>
    <d v="2016-10-05T00:00:00"/>
    <n v="52998182"/>
  </r>
  <r>
    <x v="2"/>
    <s v="(주)성원전기"/>
    <x v="0"/>
    <x v="0"/>
    <s v="DHS 15AP"/>
    <x v="0"/>
    <s v="문현수"/>
    <d v="2016-10-06T00:00:00"/>
    <n v="51500000"/>
  </r>
  <r>
    <x v="2"/>
    <s v="태양활선"/>
    <x v="0"/>
    <x v="0"/>
    <s v="DHT 160AS"/>
    <x v="1"/>
    <s v="박범정"/>
    <d v="2016-10-06T00:00:00"/>
    <n v="175000000"/>
  </r>
  <r>
    <x v="1"/>
    <s v="펌프테크샵"/>
    <x v="0"/>
    <x v="0"/>
    <s v="DHS 433L"/>
    <x v="1"/>
    <s v="손상혁"/>
    <d v="2016-10-06T00:00:00"/>
    <n v="14500000"/>
  </r>
  <r>
    <x v="1"/>
    <s v="이천시상하수도사업소"/>
    <x v="0"/>
    <x v="0"/>
    <s v="DHS 433L"/>
    <x v="1"/>
    <s v="이경일"/>
    <d v="2016-10-10T00:00:00"/>
    <n v="13950000"/>
  </r>
  <r>
    <x v="1"/>
    <s v="조도영석마린선외기"/>
    <x v="0"/>
    <x v="0"/>
    <s v="DHS 433L"/>
    <x v="1"/>
    <s v="김현승"/>
    <d v="2016-10-10T00:00:00"/>
    <n v="15013636"/>
  </r>
  <r>
    <x v="1"/>
    <s v="통영프로카"/>
    <x v="0"/>
    <x v="0"/>
    <s v="DHS 433L"/>
    <x v="1"/>
    <s v="조석제"/>
    <d v="2016-10-10T00:00:00"/>
    <n v="13350000"/>
  </r>
  <r>
    <x v="0"/>
    <s v="태호통신"/>
    <x v="0"/>
    <x v="0"/>
    <s v="DHS 950L"/>
    <x v="0"/>
    <s v="배상우"/>
    <d v="2016-10-10T00:00:00"/>
    <n v="36500000"/>
  </r>
  <r>
    <x v="0"/>
    <s v="엘젠테크(주)"/>
    <x v="0"/>
    <x v="0"/>
    <s v="DHS 1200L"/>
    <x v="0"/>
    <s v="정진우"/>
    <d v="2016-10-11T00:00:00"/>
    <n v="39090909"/>
  </r>
  <r>
    <x v="0"/>
    <s v="(주)에스엠넷"/>
    <x v="0"/>
    <x v="0"/>
    <s v="DHS 1200L"/>
    <x v="0"/>
    <s v="지석현"/>
    <d v="2016-10-11T00:00:00"/>
    <n v="36516000"/>
  </r>
  <r>
    <x v="0"/>
    <s v="(주)미래전기"/>
    <x v="0"/>
    <x v="0"/>
    <s v="DHS 1200L"/>
    <x v="0"/>
    <s v="박진웅"/>
    <d v="2016-10-11T00:00:00"/>
    <n v="41500000"/>
  </r>
  <r>
    <x v="2"/>
    <s v="VIET TRUNG JOINT STOCK EQUIPMENT COMPANY"/>
    <x v="1"/>
    <x v="2"/>
    <s v="부품판매(수출)"/>
    <x v="2"/>
    <s v="배재철"/>
    <d v="2016-10-11T00:00:00"/>
    <n v="607717"/>
  </r>
  <r>
    <x v="0"/>
    <s v="주식회사 성진전력"/>
    <x v="0"/>
    <x v="0"/>
    <s v="DHS 1200L"/>
    <x v="0"/>
    <s v="김현승"/>
    <d v="2016-10-12T00:00:00"/>
    <n v="42727273"/>
  </r>
  <r>
    <x v="0"/>
    <s v="삼백통신"/>
    <x v="0"/>
    <x v="0"/>
    <s v="DHS 950L"/>
    <x v="0"/>
    <s v="문현수"/>
    <d v="2016-10-12T00:00:00"/>
    <n v="38000000"/>
  </r>
  <r>
    <x v="0"/>
    <s v="유영통신"/>
    <x v="0"/>
    <x v="0"/>
    <s v="DHS 950L"/>
    <x v="0"/>
    <s v="문현수"/>
    <d v="2016-10-12T00:00:00"/>
    <n v="38000000"/>
  </r>
  <r>
    <x v="0"/>
    <s v="주식회사 누리아이티"/>
    <x v="0"/>
    <x v="0"/>
    <s v="DHS 1200L"/>
    <x v="0"/>
    <s v="조석제"/>
    <d v="2016-10-12T00:00:00"/>
    <n v="39500000"/>
  </r>
  <r>
    <x v="0"/>
    <s v="동아신호(주)"/>
    <x v="0"/>
    <x v="0"/>
    <s v="DHS 1200L"/>
    <x v="0"/>
    <s v="제광호"/>
    <d v="2016-10-13T00:00:00"/>
    <n v="41000000"/>
  </r>
  <r>
    <x v="2"/>
    <s v="(주)남경운수"/>
    <x v="0"/>
    <x v="0"/>
    <s v="DHS 15AP"/>
    <x v="0"/>
    <s v="문현수"/>
    <d v="2016-10-13T00:00:00"/>
    <n v="50500000"/>
  </r>
  <r>
    <x v="0"/>
    <s v="주식회사 선양정보통신"/>
    <x v="0"/>
    <x v="0"/>
    <s v="DHS 930"/>
    <x v="0"/>
    <s v="오세만"/>
    <d v="2016-10-14T00:00:00"/>
    <n v="35000000"/>
  </r>
  <r>
    <x v="2"/>
    <s v="문화천막공사"/>
    <x v="0"/>
    <x v="0"/>
    <s v="DHS 15AP"/>
    <x v="0"/>
    <s v="김덕래"/>
    <d v="2016-10-14T00:00:00"/>
    <n v="49500000"/>
  </r>
  <r>
    <x v="0"/>
    <s v="주식회사 태은"/>
    <x v="0"/>
    <x v="0"/>
    <s v="DHS 1200L"/>
    <x v="0"/>
    <s v="채일경"/>
    <d v="2016-10-14T00:00:00"/>
    <n v="37727272"/>
  </r>
  <r>
    <x v="0"/>
    <s v="동양전기"/>
    <x v="0"/>
    <x v="0"/>
    <s v="DHS 1200L"/>
    <x v="0"/>
    <s v="채일경"/>
    <d v="2016-10-17T00:00:00"/>
    <n v="40909091"/>
  </r>
  <r>
    <x v="0"/>
    <s v="주식회사 광명전력"/>
    <x v="0"/>
    <x v="0"/>
    <s v="DHS 1200L"/>
    <x v="0"/>
    <s v="김덕래"/>
    <d v="2016-10-17T00:00:00"/>
    <n v="37000000"/>
  </r>
  <r>
    <x v="0"/>
    <s v="남인천방송(주)"/>
    <x v="0"/>
    <x v="0"/>
    <s v="DHS 1200L"/>
    <x v="0"/>
    <s v="지석현"/>
    <d v="2016-10-17T00:00:00"/>
    <n v="39115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47940000"/>
  </r>
  <r>
    <x v="1"/>
    <s v="현대캐피탈주식회사"/>
    <x v="0"/>
    <x v="0"/>
    <s v="DHS 433L"/>
    <x v="1"/>
    <s v="전대희"/>
    <d v="2016-10-18T00:00:00"/>
    <n v="35000000"/>
  </r>
  <r>
    <x v="0"/>
    <s v="명송테크 주식회사"/>
    <x v="0"/>
    <x v="0"/>
    <s v="DHS 1200L"/>
    <x v="0"/>
    <s v="박진웅"/>
    <d v="2016-10-18T00:00:00"/>
    <n v="40500000"/>
  </r>
  <r>
    <x v="0"/>
    <s v="주식회사 링크로드"/>
    <x v="0"/>
    <x v="0"/>
    <s v="DHS 950L(R)"/>
    <x v="0"/>
    <s v="박진웅"/>
    <d v="2016-10-18T00:00:00"/>
    <n v="16856000"/>
  </r>
  <r>
    <x v="1"/>
    <s v="인용정밀"/>
    <x v="0"/>
    <x v="0"/>
    <s v="DHS 433L"/>
    <x v="1"/>
    <s v="지석현"/>
    <d v="2016-10-18T00:00:00"/>
    <n v="14000000"/>
  </r>
  <r>
    <x v="2"/>
    <s v="주식회사 태일전력기술"/>
    <x v="0"/>
    <x v="0"/>
    <s v="DHS 15AP"/>
    <x v="0"/>
    <s v="이경일"/>
    <d v="2016-10-18T00:00:00"/>
    <n v="50700000"/>
  </r>
  <r>
    <x v="0"/>
    <s v="삼인통신"/>
    <x v="0"/>
    <x v="0"/>
    <s v="DHS 1200L"/>
    <x v="0"/>
    <s v="김윤관"/>
    <d v="2016-10-19T00:00:00"/>
    <n v="39090909"/>
  </r>
  <r>
    <x v="0"/>
    <s v="(주)준하기업"/>
    <x v="0"/>
    <x v="0"/>
    <s v="DHS 950L(R)"/>
    <x v="0"/>
    <s v="이경일"/>
    <d v="2016-10-19T00:00:00"/>
    <n v="16856000"/>
  </r>
  <r>
    <x v="0"/>
    <s v="대화네트웍스"/>
    <x v="0"/>
    <x v="0"/>
    <s v="DHS 950L"/>
    <x v="0"/>
    <s v="정진우"/>
    <d v="2016-10-19T00:00:00"/>
    <n v="35900000"/>
  </r>
  <r>
    <x v="2"/>
    <s v="영진활선"/>
    <x v="0"/>
    <x v="0"/>
    <s v="DHT 160S"/>
    <x v="0"/>
    <s v="박범정"/>
    <d v="2016-10-19T00:00:00"/>
    <n v="159000000"/>
  </r>
  <r>
    <x v="1"/>
    <s v="중앙해양특수구조단"/>
    <x v="0"/>
    <x v="0"/>
    <s v="DHS 433L"/>
    <x v="1"/>
    <s v="박진웅"/>
    <d v="2016-10-19T00:00:00"/>
    <n v="47000000"/>
  </r>
  <r>
    <x v="3"/>
    <s v="배테랑 스카이"/>
    <x v="0"/>
    <x v="0"/>
    <s v="DHS 190SKY"/>
    <x v="0"/>
    <s v="김현승"/>
    <d v="2016-10-20T00:00:00"/>
    <n v="59000000"/>
  </r>
  <r>
    <x v="0"/>
    <s v="송만건설기업"/>
    <x v="0"/>
    <x v="0"/>
    <s v="DHS 950L"/>
    <x v="0"/>
    <s v="손상혁"/>
    <d v="2016-10-20T00:00:00"/>
    <n v="38000000"/>
  </r>
  <r>
    <x v="0"/>
    <s v="새한전자"/>
    <x v="0"/>
    <x v="0"/>
    <s v="DHS 1200L"/>
    <x v="0"/>
    <s v="신범식"/>
    <d v="2016-10-20T00:00:00"/>
    <n v="37727273"/>
  </r>
  <r>
    <x v="0"/>
    <s v="(주)달인"/>
    <x v="0"/>
    <x v="0"/>
    <s v="DHS 1200L"/>
    <x v="0"/>
    <s v="배상우"/>
    <d v="2016-10-20T00:00:00"/>
    <n v="40000000"/>
  </r>
  <r>
    <x v="2"/>
    <s v="명동전기공사"/>
    <x v="0"/>
    <x v="0"/>
    <s v="DHS 15AP"/>
    <x v="0"/>
    <s v="정진우"/>
    <d v="2016-10-20T00:00:00"/>
    <n v="49434000"/>
  </r>
  <r>
    <x v="2"/>
    <s v="(주)대우전력"/>
    <x v="0"/>
    <x v="0"/>
    <s v="DHS 15AP"/>
    <x v="0"/>
    <s v="문현수"/>
    <d v="2016-10-21T00:00:00"/>
    <n v="51000000"/>
  </r>
  <r>
    <x v="0"/>
    <s v="누리정보통신 주식회사"/>
    <x v="0"/>
    <x v="0"/>
    <s v="DHS 930"/>
    <x v="0"/>
    <s v="신범식"/>
    <d v="2016-10-24T00:00:00"/>
    <n v="35909091"/>
  </r>
  <r>
    <x v="2"/>
    <s v="(주)남경운수"/>
    <x v="0"/>
    <x v="0"/>
    <s v="DHS 15AP"/>
    <x v="0"/>
    <s v="문현수"/>
    <d v="2016-10-24T00:00:00"/>
    <n v="50500000"/>
  </r>
  <r>
    <x v="3"/>
    <s v="현대캐피탈주식회사"/>
    <x v="0"/>
    <x v="0"/>
    <s v="이동정비탑차"/>
    <x v="2"/>
    <s v="전대희"/>
    <d v="2016-10-24T00:00:00"/>
    <n v="33379000"/>
  </r>
  <r>
    <x v="3"/>
    <s v="현대캐피탈주식회사"/>
    <x v="0"/>
    <x v="0"/>
    <s v="이동정비탑차"/>
    <x v="2"/>
    <s v="전대희"/>
    <d v="2016-10-24T00:00:00"/>
    <n v="33379000"/>
  </r>
  <r>
    <x v="3"/>
    <s v="현대캐피탈주식회사"/>
    <x v="0"/>
    <x v="0"/>
    <s v="이동정비탑차"/>
    <x v="2"/>
    <s v="전대희"/>
    <d v="2016-10-24T00:00:00"/>
    <n v="33379000"/>
  </r>
  <r>
    <x v="3"/>
    <s v="현대캐피탈주식회사"/>
    <x v="0"/>
    <x v="0"/>
    <s v="이동정비탑차"/>
    <x v="2"/>
    <s v="전대희"/>
    <d v="2016-10-24T00:00:00"/>
    <n v="33379000"/>
  </r>
  <r>
    <x v="0"/>
    <s v="세범통신(K2-optical)"/>
    <x v="0"/>
    <x v="0"/>
    <s v="DHS 950L"/>
    <x v="0"/>
    <s v="김윤관"/>
    <d v="2016-10-24T00:00:00"/>
    <n v="36818182"/>
  </r>
  <r>
    <x v="2"/>
    <s v="WAIMEA TRUCK ＆ CRANE LTD"/>
    <x v="1"/>
    <x v="3"/>
    <s v="DHS 14"/>
    <x v="0"/>
    <s v="윤상필"/>
    <d v="2016-10-24T00:00:00"/>
    <n v="76396465"/>
  </r>
  <r>
    <x v="2"/>
    <s v="WAIMEA TRUCK ＆ CRANE LTD"/>
    <x v="1"/>
    <x v="3"/>
    <s v="DHT 150S"/>
    <x v="0"/>
    <s v="윤상필"/>
    <d v="2016-10-24T00:00:00"/>
    <n v="96371967"/>
  </r>
  <r>
    <x v="0"/>
    <s v="주식회사 아이씨피"/>
    <x v="0"/>
    <x v="0"/>
    <s v="DHS 950L"/>
    <x v="0"/>
    <s v="이경일"/>
    <d v="2016-10-25T00:00:00"/>
    <n v="35000000"/>
  </r>
  <r>
    <x v="0"/>
    <s v="백두현"/>
    <x v="0"/>
    <x v="0"/>
    <s v="DHS 930"/>
    <x v="0"/>
    <s v="김윤관"/>
    <d v="2016-10-25T00:00:00"/>
    <n v="35636364"/>
  </r>
  <r>
    <x v="0"/>
    <s v="이음네트웍스"/>
    <x v="0"/>
    <x v="0"/>
    <s v="DHS 950L"/>
    <x v="0"/>
    <s v="지석현"/>
    <d v="2016-10-25T00:00:00"/>
    <n v="37260000"/>
  </r>
  <r>
    <x v="0"/>
    <s v="신광천"/>
    <x v="0"/>
    <x v="0"/>
    <s v="DHS 950L"/>
    <x v="0"/>
    <s v="김덕래"/>
    <d v="2016-10-26T00:00:00"/>
    <n v="38727273"/>
  </r>
  <r>
    <x v="0"/>
    <s v="주식회사호은"/>
    <x v="0"/>
    <x v="0"/>
    <s v="DHS 1200L"/>
    <x v="0"/>
    <s v="조석제"/>
    <d v="2016-10-26T00:00:00"/>
    <n v="44800000"/>
  </r>
  <r>
    <x v="0"/>
    <s v="남경통신"/>
    <x v="0"/>
    <x v="0"/>
    <s v="DHS 950L"/>
    <x v="0"/>
    <s v="문현수"/>
    <d v="2016-10-26T00:00:00"/>
    <n v="38600000"/>
  </r>
  <r>
    <x v="0"/>
    <s v="(주)에스오에이텔레콤"/>
    <x v="0"/>
    <x v="0"/>
    <s v="DHS 950L"/>
    <x v="0"/>
    <s v="김윤관"/>
    <d v="2016-10-26T00:00:00"/>
    <n v="37727273"/>
  </r>
  <r>
    <x v="2"/>
    <s v="(주)넥스파시스템"/>
    <x v="0"/>
    <x v="0"/>
    <s v="DHS 15AP"/>
    <x v="0"/>
    <s v="윤필상"/>
    <d v="2016-10-27T00:00:00"/>
    <n v="50900000"/>
  </r>
  <r>
    <x v="0"/>
    <s v="반포정보통신"/>
    <x v="0"/>
    <x v="0"/>
    <s v="DHS 930"/>
    <x v="0"/>
    <s v="김윤관"/>
    <d v="2016-10-27T00:00:00"/>
    <n v="35454545"/>
  </r>
  <r>
    <x v="1"/>
    <s v="김해시청"/>
    <x v="0"/>
    <x v="0"/>
    <s v="DHS 433L"/>
    <x v="1"/>
    <s v="조현제"/>
    <d v="2016-10-27T00:00:00"/>
    <n v="31072728"/>
  </r>
  <r>
    <x v="2"/>
    <s v="이미경"/>
    <x v="0"/>
    <x v="0"/>
    <s v="DHT 160AS"/>
    <x v="1"/>
    <s v="강갑수"/>
    <d v="2016-10-28T00:00:00"/>
    <n v="171000000"/>
  </r>
  <r>
    <x v="0"/>
    <s v="다올산전 주식회사"/>
    <x v="0"/>
    <x v="0"/>
    <s v="DHS 1200L"/>
    <x v="0"/>
    <s v="강갑수"/>
    <d v="2016-10-28T00:00:00"/>
    <n v="38500000"/>
  </r>
  <r>
    <x v="0"/>
    <s v="미루마루"/>
    <x v="0"/>
    <x v="0"/>
    <s v="DHS 950L"/>
    <x v="0"/>
    <s v="김윤관"/>
    <d v="2016-10-28T00:00:00"/>
    <n v="38181818"/>
  </r>
  <r>
    <x v="2"/>
    <s v="(주)남경운수"/>
    <x v="0"/>
    <x v="0"/>
    <s v="DHS 15AP"/>
    <x v="0"/>
    <s v="배상우"/>
    <d v="2016-10-28T00:00:00"/>
    <n v="51000000"/>
  </r>
  <r>
    <x v="0"/>
    <s v="풀임통신"/>
    <x v="0"/>
    <x v="0"/>
    <s v="DHS 950L"/>
    <x v="0"/>
    <s v="윤필상"/>
    <d v="2016-10-28T00:00:00"/>
    <n v="37000000"/>
  </r>
  <r>
    <x v="1"/>
    <s v="양구군농업기술센터"/>
    <x v="0"/>
    <x v="0"/>
    <s v="DHS 433L"/>
    <x v="1"/>
    <s v="김덕래"/>
    <d v="2016-10-28T00:00:00"/>
    <n v="31381819"/>
  </r>
  <r>
    <x v="3"/>
    <s v="클린로드피아"/>
    <x v="0"/>
    <x v="0"/>
    <s v="DHAS 140SS"/>
    <x v="0"/>
    <s v="오세만"/>
    <d v="2016-10-31T00:00:00"/>
    <n v="40000000"/>
  </r>
  <r>
    <x v="1"/>
    <s v="한국환경공단본사"/>
    <x v="0"/>
    <x v="0"/>
    <s v="DHS 433L"/>
    <x v="1"/>
    <s v="조현제"/>
    <d v="2016-10-31T00:00:00"/>
    <n v="35759000"/>
  </r>
  <r>
    <x v="0"/>
    <s v="인터엠옥정"/>
    <x v="0"/>
    <x v="0"/>
    <s v="대구비행장 공사"/>
    <x v="2"/>
    <s v="박세웅"/>
    <d v="2016-11-01T00:00:00"/>
    <n v="35816000"/>
  </r>
  <r>
    <x v="0"/>
    <s v="이레이엔씨 주식회사"/>
    <x v="0"/>
    <x v="0"/>
    <s v="DHS 1200L"/>
    <x v="0"/>
    <s v="강갑수"/>
    <d v="2016-11-02T00:00:00"/>
    <n v="40500000"/>
  </r>
  <r>
    <x v="3"/>
    <s v="K9 METAL CO.,LTD"/>
    <x v="0"/>
    <x v="0"/>
    <s v="부품판매(수출)"/>
    <x v="2"/>
    <s v="배재철"/>
    <d v="2016-11-02T00:00:00"/>
    <n v="627990"/>
  </r>
  <r>
    <x v="0"/>
    <s v="(주)파워텔레콤"/>
    <x v="0"/>
    <x v="0"/>
    <s v="DHS 950L(R)"/>
    <x v="0"/>
    <s v="정진우"/>
    <d v="2016-11-03T00:00:00"/>
    <n v="16956000"/>
  </r>
  <r>
    <x v="0"/>
    <s v="유승정보통신"/>
    <x v="0"/>
    <x v="0"/>
    <s v="DHS 1200L"/>
    <x v="0"/>
    <s v="김윤관"/>
    <d v="2016-11-03T00:00:00"/>
    <n v="40181818"/>
  </r>
  <r>
    <x v="0"/>
    <s v="K9 METAL CO.,LTD"/>
    <x v="0"/>
    <x v="0"/>
    <s v="DHS 1200L"/>
    <x v="0"/>
    <s v="배재철"/>
    <d v="2016-11-03T00:00:00"/>
    <n v="21419149"/>
  </r>
  <r>
    <x v="0"/>
    <s v="K9 METAL CO.,LTD"/>
    <x v="0"/>
    <x v="0"/>
    <s v="DHS 1200L"/>
    <x v="0"/>
    <s v="배재철"/>
    <d v="2016-11-03T00:00:00"/>
    <n v="21419150"/>
  </r>
  <r>
    <x v="0"/>
    <s v="K9 METAL CO.,LTD"/>
    <x v="0"/>
    <x v="0"/>
    <s v="DHS 950L"/>
    <x v="0"/>
    <s v="배재철"/>
    <d v="2016-11-03T00:00:00"/>
    <n v="19006560"/>
  </r>
  <r>
    <x v="0"/>
    <s v="신흥정보통신(주)"/>
    <x v="0"/>
    <x v="0"/>
    <s v="DHS 950L"/>
    <x v="0"/>
    <s v="정진우"/>
    <d v="2016-11-04T00:00:00"/>
    <n v="36300000"/>
  </r>
  <r>
    <x v="1"/>
    <s v="주식회사 일진펌프"/>
    <x v="0"/>
    <x v="0"/>
    <s v="DHS 433L"/>
    <x v="1"/>
    <s v="김윤관"/>
    <d v="2016-11-04T00:00:00"/>
    <n v="14545454"/>
  </r>
  <r>
    <x v="0"/>
    <s v="엠엔와이(M＆Y)"/>
    <x v="0"/>
    <x v="0"/>
    <s v="DHS 1200L"/>
    <x v="0"/>
    <s v="채일경"/>
    <d v="2016-11-08T00:00:00"/>
    <n v="41363636"/>
  </r>
  <r>
    <x v="0"/>
    <s v="태성통신"/>
    <x v="0"/>
    <x v="0"/>
    <s v="DHS 950L"/>
    <x v="0"/>
    <s v="김윤관"/>
    <d v="2016-11-09T00:00:00"/>
    <n v="38181818"/>
  </r>
  <r>
    <x v="0"/>
    <s v="주식회사 중부보안"/>
    <x v="0"/>
    <x v="0"/>
    <s v="DHS 950L"/>
    <x v="0"/>
    <s v="신범식"/>
    <d v="2016-11-09T00:00:00"/>
    <n v="36818182"/>
  </r>
  <r>
    <x v="0"/>
    <s v="주식회사 지엠티"/>
    <x v="0"/>
    <x v="0"/>
    <s v="DHS 930(R)"/>
    <x v="0"/>
    <s v="강갑수"/>
    <d v="2016-11-09T00:00:00"/>
    <n v="17573000"/>
  </r>
  <r>
    <x v="2"/>
    <s v="동신전기사(주)"/>
    <x v="0"/>
    <x v="0"/>
    <s v="DHS 15AP"/>
    <x v="0"/>
    <s v="지석현"/>
    <d v="2016-11-10T00:00:00"/>
    <n v="50909090"/>
  </r>
  <r>
    <x v="0"/>
    <s v="대호정보통신"/>
    <x v="0"/>
    <x v="0"/>
    <s v="DHS 950L"/>
    <x v="0"/>
    <s v="문현수"/>
    <d v="2016-11-10T00:00:00"/>
    <n v="38500000"/>
  </r>
  <r>
    <x v="1"/>
    <s v="하지공업(주)"/>
    <x v="0"/>
    <x v="0"/>
    <s v="DHS 433L"/>
    <x v="1"/>
    <s v="이경일"/>
    <d v="2016-11-10T00:00:00"/>
    <n v="14400000"/>
  </r>
  <r>
    <x v="0"/>
    <s v="HUYNH THY TRADING SERVICES CO., LTD"/>
    <x v="1"/>
    <x v="2"/>
    <s v="DHS 950L"/>
    <x v="0"/>
    <s v="배재철"/>
    <d v="2016-11-10T00:00:00"/>
    <n v="49956880"/>
  </r>
  <r>
    <x v="0"/>
    <s v="태성이엔씨주식회사"/>
    <x v="0"/>
    <x v="0"/>
    <s v="DHS 950L(R)"/>
    <x v="0"/>
    <s v="배상우"/>
    <d v="2016-11-11T00:00:00"/>
    <n v="17573000"/>
  </r>
  <r>
    <x v="2"/>
    <s v="명일전기개별화물"/>
    <x v="0"/>
    <x v="0"/>
    <s v="DHT 150AS"/>
    <x v="1"/>
    <s v="김덕래"/>
    <d v="2016-11-11T00:00:00"/>
    <n v="165000000"/>
  </r>
  <r>
    <x v="0"/>
    <s v="준상정보통신 주식회사"/>
    <x v="0"/>
    <x v="0"/>
    <s v="DHS 1200L"/>
    <x v="0"/>
    <s v="오세만"/>
    <d v="2016-11-11T00:00:00"/>
    <n v="43159091"/>
  </r>
  <r>
    <x v="2"/>
    <s v="엘케이정보통신(LK정보통신)"/>
    <x v="0"/>
    <x v="0"/>
    <s v="DHS 15AP"/>
    <x v="0"/>
    <s v="윤필상"/>
    <d v="2016-11-11T00:00:00"/>
    <n v="48900000"/>
  </r>
  <r>
    <x v="0"/>
    <s v="하이눈정보통신"/>
    <x v="0"/>
    <x v="0"/>
    <s v="DHS 930"/>
    <x v="0"/>
    <s v="손상혁"/>
    <d v="2016-11-14T00:00:00"/>
    <n v="36500000"/>
  </r>
  <r>
    <x v="1"/>
    <s v="종합마린"/>
    <x v="0"/>
    <x v="0"/>
    <s v="DHS 534"/>
    <x v="0"/>
    <s v="김현승"/>
    <d v="2016-11-14T00:00:00"/>
    <n v="14000000"/>
  </r>
  <r>
    <x v="0"/>
    <s v="맥스정보"/>
    <x v="0"/>
    <x v="0"/>
    <s v="DHS 950L(R)"/>
    <x v="0"/>
    <s v="강갑수"/>
    <d v="2016-11-14T00:00:00"/>
    <n v="20144000"/>
  </r>
  <r>
    <x v="2"/>
    <s v="전국활선"/>
    <x v="0"/>
    <x v="0"/>
    <s v="DHT 160S"/>
    <x v="0"/>
    <s v="오세만"/>
    <d v="2016-11-14T00:00:00"/>
    <n v="160909091"/>
  </r>
  <r>
    <x v="2"/>
    <s v="승민활선"/>
    <x v="0"/>
    <x v="0"/>
    <s v="DHT 160S"/>
    <x v="0"/>
    <s v="오세만"/>
    <d v="2016-11-14T00:00:00"/>
    <n v="160909091"/>
  </r>
  <r>
    <x v="2"/>
    <s v="팔공특수종합물류(주)"/>
    <x v="0"/>
    <x v="0"/>
    <s v="DHT 160AS"/>
    <x v="1"/>
    <s v="박범정"/>
    <d v="2016-11-15T00:00:00"/>
    <n v="175000000"/>
  </r>
  <r>
    <x v="2"/>
    <s v="제이에이치일렉트릭(J.H electric)"/>
    <x v="0"/>
    <x v="0"/>
    <s v="DHT 160AS"/>
    <x v="1"/>
    <s v="강갑수"/>
    <d v="2016-11-15T00:00:00"/>
    <n v="171000000"/>
  </r>
  <r>
    <x v="1"/>
    <s v="연안종합중기"/>
    <x v="0"/>
    <x v="0"/>
    <s v="DHS 433L"/>
    <x v="1"/>
    <s v="지석현"/>
    <d v="2016-11-15T00:00:00"/>
    <n v="14900000"/>
  </r>
  <r>
    <x v="1"/>
    <s v="대한선외기"/>
    <x v="0"/>
    <x v="0"/>
    <s v="DHS 534"/>
    <x v="0"/>
    <s v="오세만"/>
    <d v="2016-11-15T00:00:00"/>
    <n v="14000000"/>
  </r>
  <r>
    <x v="0"/>
    <s v="GN Networks(지엔 네트웍스)"/>
    <x v="0"/>
    <x v="0"/>
    <s v="DHS 950L"/>
    <x v="0"/>
    <s v="강교수"/>
    <d v="2016-11-15T00:00:00"/>
    <n v="38300000"/>
  </r>
  <r>
    <x v="0"/>
    <s v="(주)광주텔레콤"/>
    <x v="0"/>
    <x v="0"/>
    <s v="DHS 950L(R)"/>
    <x v="0"/>
    <s v="오세만"/>
    <d v="2016-11-15T00:00:00"/>
    <n v="20144000"/>
  </r>
  <r>
    <x v="0"/>
    <s v="유림정보통신"/>
    <x v="0"/>
    <x v="0"/>
    <s v="DHS 950L"/>
    <x v="0"/>
    <s v="정진우"/>
    <d v="2016-11-15T00:00:00"/>
    <n v="39272727"/>
  </r>
  <r>
    <x v="0"/>
    <s v="한스정보통신"/>
    <x v="0"/>
    <x v="0"/>
    <s v="DHS 950L(R)"/>
    <x v="0"/>
    <s v="김윤관"/>
    <d v="2016-11-16T00:00:00"/>
    <n v="20144000"/>
  </r>
  <r>
    <x v="1"/>
    <s v="윌로펌프서비스"/>
    <x v="0"/>
    <x v="0"/>
    <s v="DHS 433L"/>
    <x v="1"/>
    <s v="김윤관"/>
    <d v="2016-11-16T00:00:00"/>
    <n v="12200000"/>
  </r>
  <r>
    <x v="1"/>
    <s v="국제모터공업"/>
    <x v="0"/>
    <x v="0"/>
    <s v="DHS 534"/>
    <x v="0"/>
    <s v="문현수"/>
    <d v="2016-11-16T00:00:00"/>
    <n v="14200000"/>
  </r>
  <r>
    <x v="2"/>
    <s v="VIET TRUNG JOINT STOCK EQUIPMENT COMPANY"/>
    <x v="1"/>
    <x v="2"/>
    <s v="부품판매(수출)"/>
    <x v="2"/>
    <s v="배재철"/>
    <d v="2016-11-16T00:00:00"/>
    <n v="701280"/>
  </r>
  <r>
    <x v="2"/>
    <s v="육군제1266부대"/>
    <x v="0"/>
    <x v="0"/>
    <s v="DHT 150S"/>
    <x v="0"/>
    <s v="전대희"/>
    <d v="2016-11-16T00:00:00"/>
    <n v="128636364"/>
  </r>
  <r>
    <x v="0"/>
    <s v="제이비(JB)네트웍스"/>
    <x v="0"/>
    <x v="0"/>
    <s v="DHS 950L"/>
    <x v="0"/>
    <s v="지석현"/>
    <d v="2016-11-17T00:00:00"/>
    <n v="35000000"/>
  </r>
  <r>
    <x v="2"/>
    <s v="선우전기공사"/>
    <x v="0"/>
    <x v="0"/>
    <s v="DHS 15AP"/>
    <x v="0"/>
    <s v="신범식"/>
    <d v="2016-11-17T00:00:00"/>
    <n v="51818182"/>
  </r>
  <r>
    <x v="0"/>
    <s v="주식회사 원전기"/>
    <x v="0"/>
    <x v="0"/>
    <s v="DHS 1200L"/>
    <x v="0"/>
    <s v="조현제"/>
    <d v="2016-11-17T00:00:00"/>
    <n v="45300000"/>
  </r>
  <r>
    <x v="1"/>
    <s v="태양마린"/>
    <x v="0"/>
    <x v="0"/>
    <s v="DHS 433L"/>
    <x v="1"/>
    <s v="문현수"/>
    <d v="2016-11-17T00:00:00"/>
    <n v="14200000"/>
  </r>
  <r>
    <x v="1"/>
    <s v="유니온마린"/>
    <x v="0"/>
    <x v="0"/>
    <s v="DHS 534"/>
    <x v="0"/>
    <s v="지석현"/>
    <d v="2016-11-17T00:00:00"/>
    <n v="13180000"/>
  </r>
  <r>
    <x v="0"/>
    <s v="(주)파워텔레콤"/>
    <x v="0"/>
    <x v="0"/>
    <s v="DHS 950L(R)"/>
    <x v="0"/>
    <s v="정진우"/>
    <d v="2016-11-18T00:00:00"/>
    <n v="16956000"/>
  </r>
  <r>
    <x v="0"/>
    <s v="(주)동아이앤씨"/>
    <x v="0"/>
    <x v="0"/>
    <s v="DHS 950L(R)"/>
    <x v="0"/>
    <s v="김현승"/>
    <d v="2016-11-18T00:00:00"/>
    <n v="20144000"/>
  </r>
  <r>
    <x v="0"/>
    <s v="주식회사 한솔텔레콤"/>
    <x v="0"/>
    <x v="0"/>
    <s v="DHS 1200L"/>
    <x v="0"/>
    <s v="최우성"/>
    <d v="2016-11-18T00:00:00"/>
    <n v="40450000"/>
  </r>
  <r>
    <x v="1"/>
    <s v="정진기계"/>
    <x v="0"/>
    <x v="0"/>
    <s v="DHS 433L"/>
    <x v="1"/>
    <s v="김현승"/>
    <d v="2016-11-21T00:00:00"/>
    <n v="14545455"/>
  </r>
  <r>
    <x v="1"/>
    <s v="엘림중기"/>
    <x v="0"/>
    <x v="0"/>
    <s v="DHS 433L"/>
    <x v="1"/>
    <s v="지석현"/>
    <d v="2016-11-21T00:00:00"/>
    <n v="14300000"/>
  </r>
  <r>
    <x v="2"/>
    <s v="(주)눈소프트"/>
    <x v="0"/>
    <x v="0"/>
    <s v="DHS 15AP"/>
    <x v="0"/>
    <s v="김윤관"/>
    <d v="2016-11-21T00:00:00"/>
    <n v="52409091"/>
  </r>
  <r>
    <x v="1"/>
    <s v="최고공구"/>
    <x v="0"/>
    <x v="0"/>
    <s v="DHS 433L"/>
    <x v="1"/>
    <s v="안인업"/>
    <d v="2016-11-22T00:00:00"/>
    <n v="15000000"/>
  </r>
  <r>
    <x v="0"/>
    <s v="에스앤지텔레콤(주)"/>
    <x v="0"/>
    <x v="0"/>
    <s v="DHS 950L(R)"/>
    <x v="0"/>
    <s v="오세만"/>
    <d v="2016-11-22T00:00:00"/>
    <n v="20144000"/>
  </r>
  <r>
    <x v="2"/>
    <s v="대왕활선"/>
    <x v="0"/>
    <x v="0"/>
    <s v="DHT 150S"/>
    <x v="0"/>
    <s v="조석제"/>
    <d v="2016-11-22T00:00:00"/>
    <n v="148200000"/>
  </r>
  <r>
    <x v="2"/>
    <s v="고흥전력(주)"/>
    <x v="0"/>
    <x v="0"/>
    <s v="DHT 160AS"/>
    <x v="1"/>
    <s v="오세만"/>
    <d v="2016-11-23T00:00:00"/>
    <n v="175000000"/>
  </r>
  <r>
    <x v="2"/>
    <s v="삼창"/>
    <x v="0"/>
    <x v="0"/>
    <s v="DHT 160AS"/>
    <x v="1"/>
    <s v="강갑수"/>
    <d v="2016-11-23T00:00:00"/>
    <n v="171000000"/>
  </r>
  <r>
    <x v="0"/>
    <s v="트인정보통신"/>
    <x v="0"/>
    <x v="0"/>
    <s v="DHS 950L"/>
    <x v="0"/>
    <s v="지석현"/>
    <d v="2016-11-24T00:00:00"/>
    <n v="37500000"/>
  </r>
  <r>
    <x v="3"/>
    <s v="주식회사 파로스넷"/>
    <x v="0"/>
    <x v="0"/>
    <s v="DHS 190SKY"/>
    <x v="0"/>
    <s v="윤필상"/>
    <d v="2016-11-24T00:00:00"/>
    <n v="60000000"/>
  </r>
  <r>
    <x v="0"/>
    <s v="TRI HONG DUC INDUSTRIES CO., LTD"/>
    <x v="1"/>
    <x v="2"/>
    <s v="DHS 950L"/>
    <x v="0"/>
    <s v="배재철"/>
    <d v="2016-11-24T00:00:00"/>
    <n v="27375170"/>
  </r>
  <r>
    <x v="0"/>
    <s v="국가보훈처88골프장"/>
    <x v="0"/>
    <x v="0"/>
    <s v="DHS 950L"/>
    <x v="0"/>
    <s v="이경일"/>
    <d v="2016-11-25T00:00:00"/>
    <n v="35000000"/>
  </r>
  <r>
    <x v="2"/>
    <s v="에이빗코리아주식회사"/>
    <x v="0"/>
    <x v="0"/>
    <s v="DHS 15AP"/>
    <x v="0"/>
    <s v="김윤관"/>
    <d v="2016-11-25T00:00:00"/>
    <n v="50909091"/>
  </r>
  <r>
    <x v="1"/>
    <s v="정덕화"/>
    <x v="0"/>
    <x v="0"/>
    <s v="DHS 433L"/>
    <x v="1"/>
    <s v="김현승"/>
    <d v="2016-11-28T00:00:00"/>
    <n v="13909091"/>
  </r>
  <r>
    <x v="2"/>
    <s v="신아전기"/>
    <x v="0"/>
    <x v="0"/>
    <s v="DHS 15AP"/>
    <x v="0"/>
    <s v="이경일"/>
    <d v="2016-11-28T00:00:00"/>
    <n v="51000000"/>
  </r>
  <r>
    <x v="2"/>
    <s v="(주)신우일렉트릭"/>
    <x v="0"/>
    <x v="0"/>
    <s v="DHT 150S"/>
    <x v="0"/>
    <s v="배상우"/>
    <d v="2016-11-28T00:00:00"/>
    <n v="144950000"/>
  </r>
  <r>
    <x v="2"/>
    <s v="WUHAN HANFU SPECIAL VEHICLE"/>
    <x v="1"/>
    <x v="7"/>
    <s v="DHS 15AP"/>
    <x v="0"/>
    <s v="윤상필"/>
    <d v="2016-11-28T00:00:00"/>
    <n v="31038079"/>
  </r>
  <r>
    <x v="0"/>
    <s v="주식회사 한울운수"/>
    <x v="0"/>
    <x v="0"/>
    <s v="DHS 950L(R)"/>
    <x v="0"/>
    <s v="오세만"/>
    <d v="2016-11-29T00:00:00"/>
    <n v="18373000"/>
  </r>
  <r>
    <x v="0"/>
    <s v="주식회사 한울운수"/>
    <x v="0"/>
    <x v="0"/>
    <s v="DHS 950L(R)"/>
    <x v="0"/>
    <s v="오세만"/>
    <d v="2016-11-29T00:00:00"/>
    <n v="18373000"/>
  </r>
  <r>
    <x v="0"/>
    <s v="(주)욱일정보통신"/>
    <x v="0"/>
    <x v="0"/>
    <s v="DHS 950L(R)"/>
    <x v="0"/>
    <s v="배상우"/>
    <d v="2016-11-30T00:00:00"/>
    <n v="17573000"/>
  </r>
  <r>
    <x v="0"/>
    <s v="건재통신"/>
    <x v="0"/>
    <x v="0"/>
    <s v="DHS 950L"/>
    <x v="0"/>
    <s v="김윤관"/>
    <d v="2016-11-30T00:00:00"/>
    <n v="38181818"/>
  </r>
  <r>
    <x v="0"/>
    <s v="고려통신"/>
    <x v="0"/>
    <x v="0"/>
    <s v="DHS 950L"/>
    <x v="0"/>
    <s v="오세만"/>
    <d v="2016-11-30T00:00:00"/>
    <n v="38181818"/>
  </r>
  <r>
    <x v="0"/>
    <s v="(주)케이씨"/>
    <x v="0"/>
    <x v="0"/>
    <s v="DHS 1200L"/>
    <x v="0"/>
    <s v="지석현"/>
    <d v="2016-11-30T00:00:00"/>
    <n v="41000000"/>
  </r>
  <r>
    <x v="1"/>
    <s v="영동군청"/>
    <x v="0"/>
    <x v="0"/>
    <s v="DHS 433L"/>
    <x v="1"/>
    <s v="김윤관"/>
    <d v="2016-11-30T00:00:00"/>
    <n v="14309091"/>
  </r>
  <r>
    <x v="1"/>
    <s v="환경관리 주식회사"/>
    <x v="0"/>
    <x v="0"/>
    <s v="DHS 433L"/>
    <x v="1"/>
    <s v="이경일"/>
    <d v="2016-12-01T00:00:00"/>
    <n v="12800000"/>
  </r>
  <r>
    <x v="0"/>
    <s v="호성통신"/>
    <x v="0"/>
    <x v="0"/>
    <s v="DHS 950L"/>
    <x v="0"/>
    <s v="지석현"/>
    <d v="2016-12-02T00:00:00"/>
    <n v="37727272"/>
  </r>
  <r>
    <x v="0"/>
    <s v="코스정보통신"/>
    <x v="0"/>
    <x v="0"/>
    <s v="DHS 130SKY"/>
    <x v="0"/>
    <s v="강갑수"/>
    <d v="2016-12-02T00:00:00"/>
    <n v="42700000"/>
  </r>
  <r>
    <x v="2"/>
    <s v="신대근"/>
    <x v="0"/>
    <x v="0"/>
    <s v="DHS 15AP"/>
    <x v="0"/>
    <s v="정진우"/>
    <d v="2016-12-02T00:00:00"/>
    <n v="48500000"/>
  </r>
  <r>
    <x v="0"/>
    <s v="우성정보통신"/>
    <x v="0"/>
    <x v="0"/>
    <s v="DHS 1200L"/>
    <x v="0"/>
    <s v="김윤관"/>
    <d v="2016-12-05T00:00:00"/>
    <n v="43636364"/>
  </r>
  <r>
    <x v="2"/>
    <s v="(주)설성전기공사"/>
    <x v="0"/>
    <x v="0"/>
    <s v="DHS 17AP"/>
    <x v="0"/>
    <s v="신범식"/>
    <d v="2016-12-05T00:00:00"/>
    <n v="54545455"/>
  </r>
  <r>
    <x v="0"/>
    <s v="주식회사 국민통신"/>
    <x v="0"/>
    <x v="0"/>
    <s v="DHS 950L(R)"/>
    <x v="0"/>
    <s v="오세만"/>
    <d v="2016-12-05T00:00:00"/>
    <n v="18373000"/>
  </r>
  <r>
    <x v="0"/>
    <s v="성운통신"/>
    <x v="0"/>
    <x v="0"/>
    <s v="DHS 950L"/>
    <x v="0"/>
    <s v="지석현"/>
    <d v="2016-12-05T00:00:00"/>
    <n v="37500000"/>
  </r>
  <r>
    <x v="4"/>
    <s v="공군제15특수임무비행단"/>
    <x v="0"/>
    <x v="0"/>
    <s v="성남비행장 공사"/>
    <x v="2"/>
    <s v="박세웅"/>
    <d v="2016-12-05T00:00:00"/>
    <n v="5079636"/>
  </r>
  <r>
    <x v="1"/>
    <s v="(유)웅진기계"/>
    <x v="0"/>
    <x v="0"/>
    <s v="DHS 433L"/>
    <x v="1"/>
    <s v="김현승"/>
    <d v="2016-12-06T00:00:00"/>
    <n v="14500000"/>
  </r>
  <r>
    <x v="0"/>
    <s v="(주)성보"/>
    <x v="0"/>
    <x v="0"/>
    <s v="DHS 950L(R)"/>
    <x v="0"/>
    <s v="제광호"/>
    <d v="2016-12-06T00:00:00"/>
    <n v="17803000"/>
  </r>
  <r>
    <x v="0"/>
    <s v="(주)성산정보시스템"/>
    <x v="0"/>
    <x v="0"/>
    <s v="DHS 950L(R)"/>
    <x v="0"/>
    <s v="채일경"/>
    <d v="2016-12-06T00:00:00"/>
    <n v="17803000"/>
  </r>
  <r>
    <x v="2"/>
    <s v="김낙준"/>
    <x v="0"/>
    <x v="0"/>
    <s v="DHT 150AS"/>
    <x v="1"/>
    <s v="강갑수"/>
    <d v="2016-12-07T00:00:00"/>
    <n v="163000000"/>
  </r>
  <r>
    <x v="0"/>
    <s v="JS통신"/>
    <x v="0"/>
    <x v="0"/>
    <s v="DHS 930"/>
    <x v="0"/>
    <s v="신범식"/>
    <d v="2016-12-07T00:00:00"/>
    <n v="35909091"/>
  </r>
  <r>
    <x v="0"/>
    <s v="도현정보통신"/>
    <x v="0"/>
    <x v="0"/>
    <s v="DHS 950L"/>
    <x v="0"/>
    <s v="김윤관"/>
    <d v="2016-12-07T00:00:00"/>
    <n v="38181818"/>
  </r>
  <r>
    <x v="0"/>
    <s v="원테크"/>
    <x v="0"/>
    <x v="0"/>
    <s v="DHS 950L(R)"/>
    <x v="0"/>
    <s v="조현제"/>
    <d v="2016-12-07T00:00:00"/>
    <n v="17600000"/>
  </r>
  <r>
    <x v="0"/>
    <s v="도경통신"/>
    <x v="0"/>
    <x v="0"/>
    <s v="DHS 950L"/>
    <x v="0"/>
    <s v="문현수"/>
    <d v="2016-12-08T00:00:00"/>
    <n v="38500000"/>
  </r>
  <r>
    <x v="2"/>
    <s v="(주)코원"/>
    <x v="0"/>
    <x v="0"/>
    <s v="DHT 160S"/>
    <x v="0"/>
    <s v="박종배"/>
    <d v="2016-12-08T00:00:00"/>
    <n v="155000000"/>
  </r>
  <r>
    <x v="1"/>
    <s v="주식회사 유아이테크"/>
    <x v="0"/>
    <x v="0"/>
    <s v="DHS 433L"/>
    <x v="1"/>
    <s v="제광호"/>
    <d v="2016-12-08T00:00:00"/>
    <n v="14500000"/>
  </r>
  <r>
    <x v="1"/>
    <s v="주식회사 유아이테크"/>
    <x v="0"/>
    <x v="0"/>
    <s v="DHS 433L"/>
    <x v="1"/>
    <s v="제광호"/>
    <d v="2016-12-08T00:00:00"/>
    <n v="14500000"/>
  </r>
  <r>
    <x v="1"/>
    <s v="주식회사 유아이테크"/>
    <x v="0"/>
    <x v="0"/>
    <s v="DHS 433L"/>
    <x v="1"/>
    <s v="제광호"/>
    <d v="2016-12-08T00:00:00"/>
    <n v="14500000"/>
  </r>
  <r>
    <x v="1"/>
    <s v="주식회사 유아이테크"/>
    <x v="0"/>
    <x v="0"/>
    <s v="DHS 433L"/>
    <x v="1"/>
    <s v="제광호"/>
    <d v="2016-12-08T00:00:00"/>
    <n v="14500000"/>
  </r>
  <r>
    <x v="1"/>
    <s v="주식회사 유아이테크"/>
    <x v="0"/>
    <x v="0"/>
    <s v="DHS 433L"/>
    <x v="1"/>
    <s v="제광호"/>
    <d v="2016-12-08T00:00:00"/>
    <n v="14500000"/>
  </r>
  <r>
    <x v="2"/>
    <s v="창조 ENG"/>
    <x v="0"/>
    <x v="0"/>
    <s v="DHT 160AS"/>
    <x v="1"/>
    <s v="오세만"/>
    <d v="2016-12-09T00:00:00"/>
    <n v="175000000"/>
  </r>
  <r>
    <x v="2"/>
    <s v="대진전력(주)"/>
    <x v="0"/>
    <x v="0"/>
    <s v="DHS 15AP"/>
    <x v="0"/>
    <s v="김윤관"/>
    <d v="2016-12-09T00:00:00"/>
    <n v="51181818"/>
  </r>
  <r>
    <x v="2"/>
    <s v="주식회사 미래공사"/>
    <x v="0"/>
    <x v="0"/>
    <s v="DHS 15AP"/>
    <x v="0"/>
    <s v="신범식"/>
    <d v="2016-12-09T00:00:00"/>
    <n v="50454545"/>
  </r>
  <r>
    <x v="1"/>
    <s v="(주)티에스케이워터"/>
    <x v="0"/>
    <x v="0"/>
    <s v="DHS 433L"/>
    <x v="1"/>
    <s v="이경일"/>
    <d v="2016-12-09T00:00:00"/>
    <n v="14500000"/>
  </r>
  <r>
    <x v="0"/>
    <s v="다대통신"/>
    <x v="0"/>
    <x v="0"/>
    <s v="DHS 130SKY"/>
    <x v="0"/>
    <s v="배상우"/>
    <d v="2016-12-09T00:00:00"/>
    <n v="41000000"/>
  </r>
  <r>
    <x v="0"/>
    <s v="주식회사비전정보통신"/>
    <x v="0"/>
    <x v="0"/>
    <s v="DHS 950L"/>
    <x v="0"/>
    <s v="김윤관"/>
    <d v="2016-12-12T00:00:00"/>
    <n v="36363636"/>
  </r>
  <r>
    <x v="0"/>
    <s v="유한회사 본테크"/>
    <x v="0"/>
    <x v="0"/>
    <s v="DHS 1200L"/>
    <x v="0"/>
    <s v="김현승"/>
    <d v="2016-12-12T00:00:00"/>
    <n v="39500000"/>
  </r>
  <r>
    <x v="2"/>
    <s v="더원"/>
    <x v="0"/>
    <x v="0"/>
    <s v="DHS 15AP"/>
    <x v="0"/>
    <s v="강갑수"/>
    <d v="2016-12-12T00:00:00"/>
    <n v="50500000"/>
  </r>
  <r>
    <x v="1"/>
    <s v="제주특별자치도 상하수도본부"/>
    <x v="0"/>
    <x v="0"/>
    <s v="DHS 433L"/>
    <x v="1"/>
    <s v="강명효"/>
    <d v="2016-12-12T00:00:00"/>
    <n v="16018182"/>
  </r>
  <r>
    <x v="2"/>
    <s v="(유)원창건설"/>
    <x v="0"/>
    <x v="0"/>
    <s v="DHT 150AS"/>
    <x v="1"/>
    <s v="오세만"/>
    <d v="2016-12-13T00:00:00"/>
    <n v="162000000"/>
  </r>
  <r>
    <x v="2"/>
    <s v="영광전업사"/>
    <x v="0"/>
    <x v="0"/>
    <s v="DHS 15AP"/>
    <x v="0"/>
    <s v="강갑수"/>
    <d v="2016-12-13T00:00:00"/>
    <n v="51000000"/>
  </r>
  <r>
    <x v="2"/>
    <s v="주식회사 태근이엔씨"/>
    <x v="0"/>
    <x v="0"/>
    <s v="DHT 150S"/>
    <x v="0"/>
    <s v="조석제"/>
    <d v="2016-12-13T00:00:00"/>
    <n v="144200000"/>
  </r>
  <r>
    <x v="2"/>
    <s v="VIET TRUNG JOINT STOCK EQUIPMENT COMPANY"/>
    <x v="1"/>
    <x v="2"/>
    <s v="DHT 180S"/>
    <x v="0"/>
    <s v="배재철"/>
    <d v="2016-12-13T00:00:00"/>
    <n v="279677800"/>
  </r>
  <r>
    <x v="2"/>
    <s v="VIET TRUNG JOINT STOCK EQUIPMENT COMPANY"/>
    <x v="1"/>
    <x v="2"/>
    <s v="DHT 180S"/>
    <x v="0"/>
    <s v="배재철"/>
    <d v="2016-12-13T00:00:00"/>
    <n v="279677800"/>
  </r>
  <r>
    <x v="2"/>
    <s v="VIET TRUNG JOINT STOCK EQUIPMENT COMPANY"/>
    <x v="1"/>
    <x v="2"/>
    <s v="DHT 180S"/>
    <x v="0"/>
    <s v="배재철"/>
    <d v="2016-12-13T00:00:00"/>
    <n v="279677800"/>
  </r>
  <r>
    <x v="2"/>
    <s v="VIET TRUNG JOINT STOCK EQUIPMENT COMPANY"/>
    <x v="1"/>
    <x v="2"/>
    <s v="DHT 180S"/>
    <x v="0"/>
    <s v="배재철"/>
    <d v="2016-12-13T00:00:00"/>
    <n v="279677800"/>
  </r>
  <r>
    <x v="2"/>
    <s v="VIET TRUNG JOINT STOCK EQUIPMENT COMPANY"/>
    <x v="1"/>
    <x v="2"/>
    <s v="DHT 180S"/>
    <x v="0"/>
    <s v="배재철"/>
    <d v="2016-12-13T00:00:00"/>
    <n v="279677800"/>
  </r>
  <r>
    <x v="2"/>
    <s v="VIET TRUNG JOINT STOCK EQUIPMENT COMPANY"/>
    <x v="1"/>
    <x v="2"/>
    <s v="DHT 180S"/>
    <x v="0"/>
    <s v="배재철"/>
    <d v="2016-12-13T00:00:00"/>
    <n v="279677800"/>
  </r>
  <r>
    <x v="0"/>
    <s v="유니넷텍(주)"/>
    <x v="0"/>
    <x v="0"/>
    <s v="DHS 950L(R)"/>
    <x v="0"/>
    <s v="윤필상"/>
    <d v="2016-12-14T00:00:00"/>
    <n v="17803000"/>
  </r>
  <r>
    <x v="0"/>
    <s v="에스엠기술단"/>
    <x v="0"/>
    <x v="0"/>
    <s v="DHS 1200L"/>
    <x v="0"/>
    <s v="정진우"/>
    <d v="2016-12-14T00:00:00"/>
    <n v="37700000"/>
  </r>
  <r>
    <x v="0"/>
    <s v="서한산업(주)"/>
    <x v="0"/>
    <x v="0"/>
    <s v="DHS 1200L"/>
    <x v="0"/>
    <s v="김윤관"/>
    <d v="2016-12-14T00:00:00"/>
    <n v="45454545"/>
  </r>
  <r>
    <x v="0"/>
    <s v="(주)대경하이텍"/>
    <x v="0"/>
    <x v="0"/>
    <s v="DHS 125AP"/>
    <x v="0"/>
    <s v="김윤관"/>
    <d v="2016-12-14T00:00:00"/>
    <n v="44090909"/>
  </r>
  <r>
    <x v="0"/>
    <s v="(주)엘에스케이네트워크(LsK Network Co, .Ltd)"/>
    <x v="0"/>
    <x v="0"/>
    <s v="DHS 950L(R)"/>
    <x v="0"/>
    <s v="지석현"/>
    <d v="2016-12-14T00:00:00"/>
    <n v="18373000"/>
  </r>
  <r>
    <x v="0"/>
    <s v="(주)성지정보통신"/>
    <x v="0"/>
    <x v="0"/>
    <s v="DHS 950L"/>
    <x v="0"/>
    <s v="신범식"/>
    <d v="2016-12-15T00:00:00"/>
    <n v="37000000"/>
  </r>
  <r>
    <x v="0"/>
    <s v="주식회사 가나"/>
    <x v="0"/>
    <x v="0"/>
    <s v="DHS 1200L"/>
    <x v="0"/>
    <s v="이경일"/>
    <d v="2016-12-15T00:00:00"/>
    <n v="40200000"/>
  </r>
  <r>
    <x v="2"/>
    <s v="(주)한남전설"/>
    <x v="0"/>
    <x v="0"/>
    <s v="DHT 160S"/>
    <x v="0"/>
    <s v="오세만"/>
    <d v="2016-12-15T00:00:00"/>
    <n v="160000000"/>
  </r>
  <r>
    <x v="0"/>
    <s v="티케이정보통신(주)"/>
    <x v="0"/>
    <x v="0"/>
    <s v="DHS 930"/>
    <x v="0"/>
    <s v="오세만"/>
    <d v="2016-12-15T00:00:00"/>
    <n v="34545454"/>
  </r>
  <r>
    <x v="0"/>
    <s v="신풍네트웍스"/>
    <x v="0"/>
    <x v="0"/>
    <s v="DHS 950L"/>
    <x v="0"/>
    <s v="채일경"/>
    <d v="2016-12-16T00:00:00"/>
    <n v="36772727"/>
  </r>
  <r>
    <x v="2"/>
    <s v="(주)원동전력"/>
    <x v="0"/>
    <x v="0"/>
    <s v="DHT 150S"/>
    <x v="0"/>
    <s v="조석제"/>
    <d v="2016-12-16T00:00:00"/>
    <n v="147300000"/>
  </r>
  <r>
    <x v="2"/>
    <s v="풍경주식회사"/>
    <x v="0"/>
    <x v="0"/>
    <s v="DHT 150AS"/>
    <x v="1"/>
    <s v="오세만"/>
    <d v="2016-12-16T00:00:00"/>
    <n v="162000000"/>
  </r>
  <r>
    <x v="2"/>
    <s v="(주)분성전기"/>
    <x v="0"/>
    <x v="0"/>
    <s v="DHT 150S"/>
    <x v="0"/>
    <s v="조석제"/>
    <d v="2016-12-16T00:00:00"/>
    <n v="147300000"/>
  </r>
  <r>
    <x v="1"/>
    <s v="대양선외기상사"/>
    <x v="0"/>
    <x v="0"/>
    <s v="DHS 433L"/>
    <x v="1"/>
    <s v="김현승"/>
    <d v="2016-12-19T00:00:00"/>
    <n v="14300000"/>
  </r>
  <r>
    <x v="1"/>
    <s v="(주)씨아이건설"/>
    <x v="0"/>
    <x v="0"/>
    <s v="DHS 433L"/>
    <x v="1"/>
    <s v="오세만"/>
    <d v="2016-12-19T00:00:00"/>
    <n v="14663636"/>
  </r>
  <r>
    <x v="1"/>
    <s v="푸른파주주식회사"/>
    <x v="0"/>
    <x v="0"/>
    <s v="DHS 433L"/>
    <x v="1"/>
    <s v="제광호"/>
    <d v="2016-12-19T00:00:00"/>
    <n v="15440000"/>
  </r>
  <r>
    <x v="0"/>
    <s v="씨앤에이"/>
    <x v="0"/>
    <x v="0"/>
    <s v="DHS 950L"/>
    <x v="0"/>
    <s v="김덕래"/>
    <d v="2016-12-19T00:00:00"/>
    <n v="38500000"/>
  </r>
  <r>
    <x v="2"/>
    <s v="VIET TRUNG JOINT STOCK EQUIPMENT COMPANY"/>
    <x v="1"/>
    <x v="2"/>
    <s v="부품판매(수출)"/>
    <x v="2"/>
    <s v="배재철"/>
    <d v="2016-12-19T00:00:00"/>
    <n v="605901"/>
  </r>
  <r>
    <x v="2"/>
    <s v="장수활선"/>
    <x v="0"/>
    <x v="0"/>
    <s v="DHT 160AS"/>
    <x v="1"/>
    <s v="오세만"/>
    <d v="2016-12-20T00:00:00"/>
    <n v="175000000"/>
  </r>
  <r>
    <x v="2"/>
    <s v="주식회사 대승"/>
    <x v="0"/>
    <x v="0"/>
    <s v="DHT 150S"/>
    <x v="0"/>
    <s v="김현승"/>
    <d v="2016-12-20T00:00:00"/>
    <n v="147272727"/>
  </r>
  <r>
    <x v="0"/>
    <s v="신화통신"/>
    <x v="0"/>
    <x v="0"/>
    <s v="DHS 1200L"/>
    <x v="0"/>
    <s v="김현승"/>
    <d v="2016-12-20T00:00:00"/>
    <n v="39090909"/>
  </r>
  <r>
    <x v="2"/>
    <s v="유한회사 한양전력"/>
    <x v="0"/>
    <x v="0"/>
    <s v="DHT 150AS"/>
    <x v="1"/>
    <s v="오세만"/>
    <d v="2016-12-21T00:00:00"/>
    <n v="166500000"/>
  </r>
  <r>
    <x v="0"/>
    <s v="(주)대웅정보통신"/>
    <x v="0"/>
    <x v="0"/>
    <s v="DHS 1200L"/>
    <x v="0"/>
    <s v="김현승"/>
    <d v="2016-12-21T00:00:00"/>
    <n v="44090909"/>
  </r>
  <r>
    <x v="0"/>
    <s v="선후"/>
    <x v="0"/>
    <x v="0"/>
    <s v="DHS 930(R)"/>
    <x v="0"/>
    <s v="지석현"/>
    <d v="2016-12-21T00:00:00"/>
    <n v="18373000"/>
  </r>
  <r>
    <x v="0"/>
    <s v="선우통신"/>
    <x v="0"/>
    <x v="0"/>
    <s v="DHS 930(R)"/>
    <x v="0"/>
    <s v="김윤관"/>
    <d v="2016-12-21T00:00:00"/>
    <n v="18373000"/>
  </r>
  <r>
    <x v="2"/>
    <s v="(주)동명산전"/>
    <x v="0"/>
    <x v="0"/>
    <s v="DHS 15AP"/>
    <x v="0"/>
    <s v="강갑수"/>
    <d v="2016-12-21T00:00:00"/>
    <n v="51000000"/>
  </r>
  <r>
    <x v="0"/>
    <s v="성진정보통신"/>
    <x v="0"/>
    <x v="0"/>
    <s v="DHS 950L"/>
    <x v="0"/>
    <s v="지석현"/>
    <d v="2016-12-21T00:00:00"/>
    <n v="37470000"/>
  </r>
  <r>
    <x v="2"/>
    <s v="(주)태산전기"/>
    <x v="0"/>
    <x v="0"/>
    <s v="DHT 160S"/>
    <x v="0"/>
    <s v="오세만"/>
    <d v="2016-12-21T00:00:00"/>
    <n v="159250000"/>
  </r>
  <r>
    <x v="2"/>
    <s v="기대전기주식회사"/>
    <x v="0"/>
    <x v="0"/>
    <s v="DHT 160AS"/>
    <x v="1"/>
    <s v="이윤겸"/>
    <d v="2016-12-22T00:00:00"/>
    <n v="175000000"/>
  </r>
  <r>
    <x v="0"/>
    <s v="DI net"/>
    <x v="0"/>
    <x v="0"/>
    <s v="DHS 950L"/>
    <x v="0"/>
    <s v="정진우"/>
    <d v="2016-12-22T00:00:00"/>
    <n v="38000000"/>
  </r>
  <r>
    <x v="0"/>
    <s v="(합)삼부전력"/>
    <x v="0"/>
    <x v="0"/>
    <s v="DHS 1200L"/>
    <x v="0"/>
    <s v="김윤관"/>
    <d v="2016-12-22T00:00:00"/>
    <n v="39000000"/>
  </r>
  <r>
    <x v="0"/>
    <s v="광통신"/>
    <x v="0"/>
    <x v="0"/>
    <s v="DHS 950L"/>
    <x v="0"/>
    <s v="이경일"/>
    <d v="2016-12-22T00:00:00"/>
    <n v="37500000"/>
  </r>
  <r>
    <x v="0"/>
    <s v="유정통신"/>
    <x v="0"/>
    <x v="0"/>
    <s v="DHS 930(R)"/>
    <x v="0"/>
    <s v="김덕래"/>
    <d v="2016-12-22T00:00:00"/>
    <n v="17573000"/>
  </r>
  <r>
    <x v="1"/>
    <s v="금천씨스템(주)"/>
    <x v="0"/>
    <x v="0"/>
    <s v="DHS 534"/>
    <x v="0"/>
    <s v="김윤관"/>
    <d v="2016-12-23T00:00:00"/>
    <n v="14500000"/>
  </r>
  <r>
    <x v="2"/>
    <s v="주식회사 이엔씨파워"/>
    <x v="0"/>
    <x v="0"/>
    <s v="DHS 15AP"/>
    <x v="0"/>
    <s v="김덕래"/>
    <d v="2016-12-23T00:00:00"/>
    <n v="53636364"/>
  </r>
  <r>
    <x v="0"/>
    <s v="일공일통신"/>
    <x v="0"/>
    <x v="0"/>
    <s v="DHS 950L"/>
    <x v="0"/>
    <s v="지석현"/>
    <d v="2016-12-23T00:00:00"/>
    <n v="37500000"/>
  </r>
  <r>
    <x v="2"/>
    <s v="대성"/>
    <x v="0"/>
    <x v="0"/>
    <s v="DHT 160AS"/>
    <x v="1"/>
    <s v="강갑수"/>
    <d v="2016-12-23T00:00:00"/>
    <n v="171000000"/>
  </r>
  <r>
    <x v="2"/>
    <s v="주식회사 청평엔지니어링"/>
    <x v="0"/>
    <x v="0"/>
    <s v="DHS 15AP"/>
    <x v="0"/>
    <s v="정진우"/>
    <d v="2016-12-23T00:00:00"/>
    <n v="50000000"/>
  </r>
  <r>
    <x v="2"/>
    <s v="도은전력"/>
    <x v="0"/>
    <x v="0"/>
    <s v="DHS 15AP"/>
    <x v="0"/>
    <s v="지석현"/>
    <d v="2016-12-23T00:00:00"/>
    <n v="51363636"/>
  </r>
  <r>
    <x v="3"/>
    <s v="금성모타펌프(의령청소나라)"/>
    <x v="0"/>
    <x v="0"/>
    <s v="DHS 534 "/>
    <x v="0"/>
    <s v="조현제"/>
    <d v="2016-12-26T00:00:00"/>
    <n v="14500000"/>
  </r>
  <r>
    <x v="2"/>
    <s v="서울시서부도로사업소"/>
    <x v="0"/>
    <x v="0"/>
    <s v="DHT 105S"/>
    <x v="1"/>
    <s v="제광호"/>
    <d v="2016-12-26T00:00:00"/>
    <n v="99013637"/>
  </r>
  <r>
    <x v="2"/>
    <s v="서울특별시동부도로사업소"/>
    <x v="0"/>
    <x v="0"/>
    <s v="DHT 105S"/>
    <x v="1"/>
    <s v="임영훈"/>
    <d v="2016-12-26T00:00:00"/>
    <n v="99013637"/>
  </r>
  <r>
    <x v="2"/>
    <s v="서울특별시강서도로사업소"/>
    <x v="0"/>
    <x v="0"/>
    <s v="DHT 105S"/>
    <x v="1"/>
    <s v="제광호"/>
    <d v="2016-12-26T00:00:00"/>
    <n v="99013637"/>
  </r>
  <r>
    <x v="2"/>
    <s v="WAIMEA TRUCK ＆ CRANE LTD"/>
    <x v="1"/>
    <x v="3"/>
    <s v="DHT 150AS"/>
    <x v="1"/>
    <s v="윤상필"/>
    <d v="2016-12-28T00:00:00"/>
    <n v="118795589"/>
  </r>
  <r>
    <x v="2"/>
    <s v="WAIMEA TRUCK ＆ CRANE LTD"/>
    <x v="1"/>
    <x v="3"/>
    <s v="DHT 150AS"/>
    <x v="1"/>
    <s v="윤상필"/>
    <d v="2016-12-28T00:00:00"/>
    <n v="118795589"/>
  </r>
  <r>
    <x v="0"/>
    <s v="선후"/>
    <x v="0"/>
    <x v="0"/>
    <s v="DHS 930"/>
    <x v="0"/>
    <s v="지석현"/>
    <d v="2016-12-27T00:00:00"/>
    <n v="18373000"/>
  </r>
  <r>
    <x v="0"/>
    <s v="오장균"/>
    <x v="0"/>
    <x v="0"/>
    <s v="DHS 950L"/>
    <x v="0"/>
    <s v="지석현"/>
    <d v="2016-12-27T00:00:00"/>
    <n v="18373000"/>
  </r>
  <r>
    <x v="2"/>
    <s v="(주)호윤전기"/>
    <x v="0"/>
    <x v="0"/>
    <s v="DHS 17AP"/>
    <x v="0"/>
    <s v="문현수"/>
    <d v="2016-12-27T00:00:00"/>
    <n v="54000000"/>
  </r>
  <r>
    <x v="0"/>
    <s v="당리통신"/>
    <x v="0"/>
    <x v="0"/>
    <s v="DHS 950L"/>
    <x v="0"/>
    <s v="조현제"/>
    <d v="2016-12-27T00:00:00"/>
    <n v="38788000"/>
  </r>
  <r>
    <x v="2"/>
    <s v="(주)미남전설"/>
    <x v="0"/>
    <x v="0"/>
    <s v="DHT 150S"/>
    <x v="0"/>
    <s v="조석제"/>
    <d v="2016-12-27T00:00:00"/>
    <n v="148500000"/>
  </r>
  <r>
    <x v="0"/>
    <s v="(주)세종보안시스템"/>
    <x v="0"/>
    <x v="0"/>
    <s v="DHS 950L"/>
    <x v="0"/>
    <s v="신범식"/>
    <d v="2016-12-27T00:00:00"/>
    <n v="36500000"/>
  </r>
  <r>
    <x v="0"/>
    <s v="거제시청"/>
    <x v="0"/>
    <x v="0"/>
    <s v="DHA 102AP"/>
    <x v="0"/>
    <s v="조석제"/>
    <d v="2016-12-27T00:00:00"/>
    <n v="41377273"/>
  </r>
  <r>
    <x v="3"/>
    <s v="S조명전기"/>
    <x v="0"/>
    <x v="0"/>
    <s v="DHS 190SKY"/>
    <x v="0"/>
    <s v="배상우"/>
    <d v="2016-12-28T00:00:00"/>
    <n v="63000000"/>
  </r>
  <r>
    <x v="1"/>
    <s v="(자)신기이엔씨"/>
    <x v="0"/>
    <x v="0"/>
    <s v="DHS 433L"/>
    <x v="1"/>
    <s v="손상혁"/>
    <d v="2016-12-28T00:00:00"/>
    <n v="13500000"/>
  </r>
  <r>
    <x v="0"/>
    <s v="현대캐피탈주식회사"/>
    <x v="0"/>
    <x v="0"/>
    <s v="DHS 125AP"/>
    <x v="0"/>
    <s v="오세만"/>
    <d v="2016-12-28T00:00:00"/>
    <n v="49230000"/>
  </r>
  <r>
    <x v="3"/>
    <s v="KIA MOTORS MONGOLIA LLC"/>
    <x v="0"/>
    <x v="0"/>
    <s v="부품판매(수출)"/>
    <x v="2"/>
    <s v="윤상필"/>
    <d v="2016-12-28T00:00:00"/>
    <n v="288067"/>
  </r>
  <r>
    <x v="0"/>
    <s v="한진"/>
    <x v="0"/>
    <x v="0"/>
    <s v="DHS 1200L"/>
    <x v="0"/>
    <s v="오세만"/>
    <d v="2016-12-28T00:00:00"/>
    <n v="40909091"/>
  </r>
  <r>
    <x v="2"/>
    <s v="연합활선"/>
    <x v="0"/>
    <x v="0"/>
    <s v="DHT 160S"/>
    <x v="0"/>
    <s v="오세만"/>
    <d v="2016-12-28T00:00:00"/>
    <n v="160909091"/>
  </r>
  <r>
    <x v="2"/>
    <s v="양평군청"/>
    <x v="0"/>
    <x v="0"/>
    <s v="DHS 15AP"/>
    <x v="0"/>
    <s v="윤필상"/>
    <d v="2016-12-28T00:00:00"/>
    <n v="54039091"/>
  </r>
  <r>
    <x v="2"/>
    <s v="양평군청"/>
    <x v="0"/>
    <x v="0"/>
    <s v="DHS 15AP"/>
    <x v="0"/>
    <s v="윤필상"/>
    <d v="2016-12-28T00:00:00"/>
    <n v="3154546"/>
  </r>
  <r>
    <x v="0"/>
    <s v="YK정보통신"/>
    <x v="0"/>
    <x v="0"/>
    <s v="DHS 930"/>
    <x v="0"/>
    <s v="오세만"/>
    <d v="2016-12-29T00:00:00"/>
    <n v="36363636"/>
  </r>
  <r>
    <x v="0"/>
    <s v="일진이앤씨주식회사"/>
    <x v="0"/>
    <x v="0"/>
    <s v="DHS 1200L"/>
    <x v="0"/>
    <s v="이경일"/>
    <d v="2016-12-29T00:00:00"/>
    <n v="37500000"/>
  </r>
  <r>
    <x v="2"/>
    <s v="우리운수"/>
    <x v="0"/>
    <x v="0"/>
    <s v="DHT 150AS"/>
    <x v="1"/>
    <s v="오세만"/>
    <d v="2016-12-29T00:00:00"/>
    <n v="162000000"/>
  </r>
  <r>
    <x v="2"/>
    <s v="대성이엔씨"/>
    <x v="0"/>
    <x v="0"/>
    <s v="DHT 150S"/>
    <x v="0"/>
    <s v="오세만"/>
    <d v="2016-12-29T00:00:00"/>
    <n v="151300000"/>
  </r>
  <r>
    <x v="0"/>
    <s v="NK BUILDER AND CONSTRUCTION INC."/>
    <x v="1"/>
    <x v="5"/>
    <s v="AUGER CRANE(5TON)"/>
    <x v="3"/>
    <s v="윤상필"/>
    <d v="2016-12-29T00:00:00"/>
    <n v="128790540"/>
  </r>
  <r>
    <x v="0"/>
    <s v="NS정보통신"/>
    <x v="0"/>
    <x v="0"/>
    <s v="DHS 950L"/>
    <x v="0"/>
    <s v="윤필상"/>
    <d v="2016-12-30T00:00:00"/>
    <n v="37500000"/>
  </r>
  <r>
    <x v="0"/>
    <s v="오성전력㈜"/>
    <x v="0"/>
    <x v="0"/>
    <s v="DHS 1200L"/>
    <x v="0"/>
    <s v="최우성"/>
    <d v="2016-12-30T00:00:00"/>
    <n v="40000000"/>
  </r>
  <r>
    <x v="0"/>
    <s v="㈜하이네트웍"/>
    <x v="0"/>
    <x v="0"/>
    <s v="DHS 950L(R)"/>
    <x v="0"/>
    <s v="배상우"/>
    <d v="2016-12-30T00:00:00"/>
    <n v="18373000"/>
  </r>
  <r>
    <x v="1"/>
    <s v="전북마린"/>
    <x v="0"/>
    <x v="0"/>
    <s v="DHS 433L"/>
    <x v="1"/>
    <s v="김현승"/>
    <d v="2016-12-30T00:00:00"/>
    <n v="13545454.545454545"/>
  </r>
  <r>
    <x v="2"/>
    <s v="인석천"/>
    <x v="0"/>
    <x v="0"/>
    <s v="DHT 160AS"/>
    <x v="1"/>
    <s v="배상우"/>
    <d v="2016-12-30T00:00:00"/>
    <n v="171950000"/>
  </r>
  <r>
    <x v="0"/>
    <s v="원테크"/>
    <x v="0"/>
    <x v="0"/>
    <s v="DHS 930"/>
    <x v="0"/>
    <s v="손상혁"/>
    <d v="2016-12-30T00:00:00"/>
    <n v="35500000"/>
  </r>
  <r>
    <x v="0"/>
    <s v="㈜에이스정보통신"/>
    <x v="0"/>
    <x v="0"/>
    <s v="DHS 534MAP"/>
    <x v="0"/>
    <s v="강명효"/>
    <d v="2016-12-30T00:00:00"/>
    <n v="30909090"/>
  </r>
  <r>
    <x v="0"/>
    <s v="형제전기통신"/>
    <x v="0"/>
    <x v="0"/>
    <s v="DHS 1200L"/>
    <x v="0"/>
    <s v="배상우"/>
    <d v="2016-12-30T00:00:00"/>
    <n v="41000000"/>
  </r>
  <r>
    <x v="2"/>
    <s v="유일산업 유한회사"/>
    <x v="0"/>
    <x v="0"/>
    <s v="DHS 15AP"/>
    <x v="0"/>
    <s v="오세만"/>
    <d v="2016-12-30T00:00:00"/>
    <n v="51818182"/>
  </r>
  <r>
    <x v="2"/>
    <s v="대흥활선"/>
    <x v="0"/>
    <x v="0"/>
    <s v="DHT 170AS"/>
    <x v="0"/>
    <s v="박범정"/>
    <d v="2017-12-30T00:00:00"/>
    <n v="202000000"/>
  </r>
  <r>
    <x v="0"/>
    <s v="(유)비츠"/>
    <x v="0"/>
    <x v="0"/>
    <s v="DHS 130SKY"/>
    <x v="0"/>
    <s v="김현승"/>
    <d v="2017-12-29T00:00:00"/>
    <n v="42900000"/>
  </r>
  <r>
    <x v="2"/>
    <s v="SENOK TRADE COMBINE PVT LT"/>
    <x v="1"/>
    <x v="8"/>
    <s v="부품판매(수출)"/>
    <x v="2"/>
    <s v="윤상필"/>
    <d v="2017-12-29T00:00:00"/>
    <n v="355034"/>
  </r>
  <r>
    <x v="2"/>
    <s v="현대전기㈜"/>
    <x v="0"/>
    <x v="0"/>
    <s v="DHS 17AP"/>
    <x v="0"/>
    <s v="이경일"/>
    <d v="2017-12-29T00:00:00"/>
    <n v="5000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5">
  <r>
    <s v="18/01/03-3"/>
    <s v="DHS 950L®"/>
    <x v="0"/>
    <x v="0"/>
    <s v="일성통신"/>
    <m/>
    <n v="18572730"/>
  </r>
  <r>
    <s v="18/01/03-5"/>
    <s v="DHS 17AP"/>
    <x v="0"/>
    <x v="1"/>
    <s v="(주)국보전기"/>
    <m/>
    <n v="53636363"/>
  </r>
  <r>
    <s v="18/01/03-6"/>
    <s v="DHS 534MAP"/>
    <x v="0"/>
    <x v="0"/>
    <s v="(주)하나로정보통신"/>
    <m/>
    <n v="31000000"/>
  </r>
  <r>
    <s v="18/01/03-19"/>
    <s v="DHS 950L"/>
    <x v="0"/>
    <x v="0"/>
    <s v="라인로드(Line Road)"/>
    <m/>
    <n v="37727273"/>
  </r>
  <r>
    <s v="18/01/04-3"/>
    <s v="DHS 930®"/>
    <x v="0"/>
    <x v="0"/>
    <s v="윤성만"/>
    <m/>
    <n v="19053000"/>
  </r>
  <r>
    <s v="18/01/04-4"/>
    <s v="DHT 170AS"/>
    <x v="0"/>
    <x v="1"/>
    <s v="에스엠활선"/>
    <m/>
    <n v="207000000"/>
  </r>
  <r>
    <s v="18/01/04-5"/>
    <s v="DHS 1200L"/>
    <x v="0"/>
    <x v="0"/>
    <s v="백수군서유선방송"/>
    <m/>
    <n v="43636364"/>
  </r>
  <r>
    <s v="18/01/04-6"/>
    <s v="DHS 15AP"/>
    <x v="0"/>
    <x v="1"/>
    <s v="(유) 대산전기"/>
    <m/>
    <n v="52000000"/>
  </r>
  <r>
    <s v="18/01/04-7"/>
    <s v="DHT 160S"/>
    <x v="0"/>
    <x v="1"/>
    <s v="태양활선"/>
    <m/>
    <n v="162000000"/>
  </r>
  <r>
    <s v="18/01/05-3"/>
    <s v="DHS 950L"/>
    <x v="0"/>
    <x v="0"/>
    <s v="서경"/>
    <m/>
    <n v="38200000"/>
  </r>
  <r>
    <s v="18/01/05-4"/>
    <s v="DHS 950L"/>
    <x v="0"/>
    <x v="0"/>
    <s v="서경"/>
    <m/>
    <n v="38200000"/>
  </r>
  <r>
    <s v="18/01/05-5"/>
    <s v="DHS 105AP"/>
    <x v="0"/>
    <x v="0"/>
    <s v="DS통신"/>
    <m/>
    <n v="38727273"/>
  </r>
  <r>
    <s v="18/01/05-6"/>
    <s v="DHS 15AP"/>
    <x v="0"/>
    <x v="1"/>
    <s v="(주)건국전기"/>
    <m/>
    <n v="51818182"/>
  </r>
  <r>
    <s v="18/01/08-6"/>
    <s v="DHS 15AP"/>
    <x v="0"/>
    <x v="1"/>
    <s v="영산전기(주)"/>
    <m/>
    <n v="51250000"/>
  </r>
  <r>
    <s v="18/01/08-7"/>
    <s v="DHS 433L"/>
    <x v="1"/>
    <x v="2"/>
    <s v="삼영기계유압호스"/>
    <m/>
    <n v="14100000"/>
  </r>
  <r>
    <s v="18/01/08-8"/>
    <s v="DHS 433L"/>
    <x v="1"/>
    <x v="2"/>
    <s v="일사천리카"/>
    <m/>
    <n v="14500000"/>
  </r>
  <r>
    <s v="18/01/08-9"/>
    <s v="DHS 1200L"/>
    <x v="0"/>
    <x v="0"/>
    <s v="(주)우진산업공사"/>
    <m/>
    <n v="42000000"/>
  </r>
  <r>
    <s v="18/01/08-10"/>
    <s v="DHS 1200L"/>
    <x v="0"/>
    <x v="0"/>
    <s v="(주)정수미디어"/>
    <m/>
    <n v="44545455"/>
  </r>
  <r>
    <s v="18/01/08-27"/>
    <s v="DHS 950L®"/>
    <x v="0"/>
    <x v="0"/>
    <s v="미래로정보통신"/>
    <m/>
    <n v="18373000"/>
  </r>
  <r>
    <s v="18/01/09-3"/>
    <s v="DHS 950L"/>
    <x v="0"/>
    <x v="0"/>
    <s v="제이케이 정보통신"/>
    <m/>
    <n v="38000000"/>
  </r>
  <r>
    <s v="18/01/09-4"/>
    <s v="DHS 433L"/>
    <x v="1"/>
    <x v="2"/>
    <s v="삼일모터펌프"/>
    <m/>
    <n v="14500000"/>
  </r>
  <r>
    <s v="18/01/09-5"/>
    <s v="DHS 15AP"/>
    <x v="0"/>
    <x v="1"/>
    <s v="대승전기 주식회사"/>
    <m/>
    <n v="51818182"/>
  </r>
  <r>
    <s v="18/01/09-6"/>
    <s v="DHS 15AP"/>
    <x v="0"/>
    <x v="1"/>
    <s v="윈윈전기"/>
    <m/>
    <n v="45454545"/>
  </r>
  <r>
    <s v="18/01/09-8"/>
    <s v="DHS 1200L"/>
    <x v="0"/>
    <x v="0"/>
    <s v="SH정보통신"/>
    <m/>
    <n v="41000000"/>
  </r>
  <r>
    <s v="18/01/09-13"/>
    <s v="DHS 950L"/>
    <x v="0"/>
    <x v="0"/>
    <s v="(주)아름방송네트워크"/>
    <m/>
    <n v="38500000"/>
  </r>
  <r>
    <s v="18/01/10-9"/>
    <s v="DHS 930®"/>
    <x v="0"/>
    <x v="0"/>
    <s v="(주)우담라이팅"/>
    <m/>
    <n v="18673000"/>
  </r>
  <r>
    <s v="18/01/10-10"/>
    <s v="DHS 190SKY"/>
    <x v="0"/>
    <x v="3"/>
    <s v="(주)건창강건"/>
    <m/>
    <n v="60909091"/>
  </r>
  <r>
    <s v="18/01/10-11"/>
    <s v="DHS 15AP"/>
    <x v="0"/>
    <x v="1"/>
    <s v="서동전기통신"/>
    <m/>
    <n v="45454545"/>
  </r>
  <r>
    <s v="18/01/10-12"/>
    <s v="DHS 1200L"/>
    <x v="0"/>
    <x v="0"/>
    <s v="현대전력 주식회사"/>
    <m/>
    <n v="43818182"/>
  </r>
  <r>
    <s v="18/01/10-13"/>
    <s v="DHS 1200L"/>
    <x v="0"/>
    <x v="0"/>
    <s v="(주)넥스파시스템"/>
    <m/>
    <n v="42418182"/>
  </r>
  <r>
    <s v="18/01/11-2"/>
    <s v="DHS 1200L"/>
    <x v="0"/>
    <x v="0"/>
    <s v="현대캐피탈주식회사"/>
    <m/>
    <n v="40000000"/>
  </r>
  <r>
    <s v="18/01/11-3"/>
    <s v="DHS 1200L"/>
    <x v="0"/>
    <x v="0"/>
    <s v="현대캐피탈주식회사"/>
    <m/>
    <n v="40000000"/>
  </r>
  <r>
    <s v="18/01/11-4"/>
    <s v="DHS 190SKY"/>
    <x v="0"/>
    <x v="3"/>
    <s v="천일상사"/>
    <m/>
    <n v="60000000"/>
  </r>
  <r>
    <s v="18/01/11-5"/>
    <s v="DHS 15AP"/>
    <x v="0"/>
    <x v="1"/>
    <s v="엄인상"/>
    <m/>
    <n v="52000000"/>
  </r>
  <r>
    <s v="18/01/12-1"/>
    <s v="DHS 534MAP"/>
    <x v="0"/>
    <x v="0"/>
    <s v="소망정보통신"/>
    <m/>
    <n v="30909090"/>
  </r>
  <r>
    <s v="18/01/12-3"/>
    <s v="DHS 534MAP"/>
    <x v="0"/>
    <x v="0"/>
    <s v="(주)영하아이앤티"/>
    <m/>
    <n v="31363636"/>
  </r>
  <r>
    <s v="18/01/12-4"/>
    <s v="DHS 930"/>
    <x v="0"/>
    <x v="0"/>
    <s v="천지성"/>
    <m/>
    <n v="35909091"/>
  </r>
  <r>
    <s v="18/01/12-5"/>
    <s v="DHS 1200L"/>
    <x v="0"/>
    <x v="0"/>
    <s v="(주)민주전력"/>
    <m/>
    <n v="40500000"/>
  </r>
  <r>
    <s v="18/01/12-6"/>
    <s v="DHS 1200L"/>
    <x v="0"/>
    <x v="0"/>
    <s v="권용국"/>
    <m/>
    <n v="38000000"/>
  </r>
  <r>
    <s v="18/01/15-3"/>
    <s v="DHS 433L"/>
    <x v="1"/>
    <x v="2"/>
    <s v="두산건기충남서부판매(주)"/>
    <m/>
    <n v="15200000"/>
  </r>
  <r>
    <s v="18/01/15-4"/>
    <s v="DHS 930"/>
    <x v="0"/>
    <x v="0"/>
    <s v="태양정보통신주식회사"/>
    <m/>
    <n v="36363637"/>
  </r>
  <r>
    <s v="18/01/15-5"/>
    <s v="DHS 1200L"/>
    <x v="0"/>
    <x v="0"/>
    <s v="(주)태영전기통신"/>
    <m/>
    <n v="44090909"/>
  </r>
  <r>
    <s v="18/01/15-6"/>
    <s v="DHS 534MAP"/>
    <x v="0"/>
    <x v="0"/>
    <s v="(주)선진정보통신"/>
    <m/>
    <n v="32000000"/>
  </r>
  <r>
    <s v="18/01/15-7"/>
    <s v="DHS 534MAP"/>
    <x v="0"/>
    <x v="0"/>
    <s v="천지성"/>
    <m/>
    <n v="30909090"/>
  </r>
  <r>
    <s v="18/01/15-11"/>
    <s v="HWD-400"/>
    <x v="0"/>
    <x v="3"/>
    <s v="(주)나우리정보통신"/>
    <m/>
    <n v="4400000"/>
  </r>
  <r>
    <s v="18/01/15-25"/>
    <s v="DHS 950L®"/>
    <x v="0"/>
    <x v="0"/>
    <s v="(주)유엔텍"/>
    <m/>
    <n v="18953000"/>
  </r>
  <r>
    <s v="18/01/16-8"/>
    <s v="DHS 433L"/>
    <x v="1"/>
    <x v="2"/>
    <s v="서해수중"/>
    <m/>
    <n v="14545455"/>
  </r>
  <r>
    <s v="18/01/16-9"/>
    <s v="DHS 950L"/>
    <x v="0"/>
    <x v="0"/>
    <s v="주식회사 서경엔지니어링"/>
    <m/>
    <n v="39100000"/>
  </r>
  <r>
    <s v="18/01/16-10"/>
    <s v="DHS 950L"/>
    <x v="0"/>
    <x v="0"/>
    <s v="명진통신"/>
    <m/>
    <n v="38500000"/>
  </r>
  <r>
    <s v="18/01/16-11"/>
    <s v="DHS 1200L"/>
    <x v="0"/>
    <x v="0"/>
    <s v="주빈통신"/>
    <m/>
    <n v="40909091"/>
  </r>
  <r>
    <s v="18/01/16-12"/>
    <s v="DHS 15AP"/>
    <x v="0"/>
    <x v="1"/>
    <s v="두루이엔지(주)"/>
    <m/>
    <n v="51818182"/>
  </r>
  <r>
    <s v="18/01/17-6"/>
    <s v="DHS 105AP"/>
    <x v="0"/>
    <x v="0"/>
    <s v="대국통신"/>
    <m/>
    <n v="39000000"/>
  </r>
  <r>
    <s v="18/01/17-7"/>
    <s v="DHS 15AP"/>
    <x v="0"/>
    <x v="1"/>
    <s v="한솔산전"/>
    <m/>
    <n v="52727273"/>
  </r>
  <r>
    <s v="18/01/17-20"/>
    <s v="DHS 950L"/>
    <x v="0"/>
    <x v="0"/>
    <s v="(주)이프라임"/>
    <m/>
    <n v="37272728"/>
  </r>
  <r>
    <s v="18/01/17-21"/>
    <s v="DHS 950L"/>
    <x v="0"/>
    <x v="0"/>
    <s v="(주)이프라임"/>
    <m/>
    <n v="37272728"/>
  </r>
  <r>
    <s v="18/01/18-3"/>
    <s v="DHS 1200L"/>
    <x v="0"/>
    <x v="0"/>
    <s v="(주)명신전기"/>
    <m/>
    <n v="39000000"/>
  </r>
  <r>
    <s v="18/01/19-8"/>
    <s v="DHS 534MAP"/>
    <x v="0"/>
    <x v="0"/>
    <s v="원진통신"/>
    <m/>
    <n v="31000000"/>
  </r>
  <r>
    <s v="18/01/19-9"/>
    <s v="DHS 534MAP"/>
    <x v="0"/>
    <x v="0"/>
    <s v="한길시스템에어컨"/>
    <m/>
    <n v="32000000"/>
  </r>
  <r>
    <s v="18/01/19-10"/>
    <s v="DHS 950L"/>
    <x v="0"/>
    <x v="0"/>
    <s v="주식회사 신라이앤씨"/>
    <m/>
    <n v="38500000"/>
  </r>
  <r>
    <s v="18/01/19-11"/>
    <s v="DHS 1200L"/>
    <x v="0"/>
    <x v="0"/>
    <s v="세진정보주식회사"/>
    <m/>
    <n v="38727272"/>
  </r>
  <r>
    <s v="18/01/19-12"/>
    <s v="DHS 930"/>
    <x v="0"/>
    <x v="0"/>
    <s v="태화통신(주)"/>
    <m/>
    <n v="36363636"/>
  </r>
  <r>
    <s v="18/01/19-13"/>
    <s v="DHS 190SKY"/>
    <x v="0"/>
    <x v="3"/>
    <s v="아트벨광고사"/>
    <m/>
    <n v="2050000"/>
  </r>
  <r>
    <s v="18/01/19-14"/>
    <s v="DHS 17AP"/>
    <x v="0"/>
    <x v="1"/>
    <s v="(주)대성전설"/>
    <m/>
    <n v="54545454"/>
  </r>
  <r>
    <s v="18/01/22-1"/>
    <s v="DHS 1200L"/>
    <x v="0"/>
    <x v="0"/>
    <s v="(주)동양기전"/>
    <m/>
    <n v="39000000"/>
  </r>
  <r>
    <s v="18/01/22-2"/>
    <s v="DHS 1200L"/>
    <x v="0"/>
    <x v="0"/>
    <s v="(주)동명이엔지"/>
    <m/>
    <n v="41818182"/>
  </r>
  <r>
    <s v="18/01/22-18"/>
    <s v="DHS 950L"/>
    <x v="0"/>
    <x v="0"/>
    <s v="P.A.T 정보통신"/>
    <m/>
    <n v="38500000"/>
  </r>
  <r>
    <s v="18/01/23-4"/>
    <s v="DHS 433L"/>
    <x v="1"/>
    <x v="2"/>
    <s v="홍스무역홍스공업사(주)"/>
    <m/>
    <n v="14545456"/>
  </r>
  <r>
    <s v="18/01/23-5"/>
    <s v="DHS 950L"/>
    <x v="0"/>
    <x v="0"/>
    <s v="도현전기"/>
    <m/>
    <n v="37000000"/>
  </r>
  <r>
    <s v="18/01/23-6"/>
    <s v="DHS 950L"/>
    <x v="0"/>
    <x v="0"/>
    <s v="석오에너텍"/>
    <m/>
    <n v="37000000"/>
  </r>
  <r>
    <s v="18/01/23-7"/>
    <s v="DHS 1200L"/>
    <x v="0"/>
    <x v="0"/>
    <s v="오름정보통신(주)"/>
    <m/>
    <n v="39000000"/>
  </r>
  <r>
    <s v="18/01/24-1"/>
    <s v="DHM 1300S2"/>
    <x v="2"/>
    <x v="3"/>
    <s v="동해기계해상크레인"/>
    <m/>
    <n v="21000000"/>
  </r>
  <r>
    <s v="18/01/24-2"/>
    <s v="DHS 1200L"/>
    <x v="0"/>
    <x v="0"/>
    <s v="(주)모아"/>
    <m/>
    <n v="42000000"/>
  </r>
  <r>
    <s v="18/01/24-3"/>
    <s v="DHS 15AP"/>
    <x v="0"/>
    <x v="1"/>
    <s v="주식회사 영진전기"/>
    <m/>
    <n v="53636363"/>
  </r>
  <r>
    <s v="18/01/24-4"/>
    <s v="DHS 15AP"/>
    <x v="0"/>
    <x v="1"/>
    <s v="주식회사 태광전기"/>
    <m/>
    <n v="52360000"/>
  </r>
  <r>
    <s v="18/01/24-5"/>
    <s v="DHS 950L"/>
    <x v="0"/>
    <x v="0"/>
    <s v="SJ통신"/>
    <m/>
    <n v="38000000"/>
  </r>
  <r>
    <s v="18/01/25-7"/>
    <s v="DHS 534MAP"/>
    <x v="0"/>
    <x v="0"/>
    <s v="주현통신"/>
    <m/>
    <n v="31818182"/>
  </r>
  <r>
    <s v="18/01/25-8"/>
    <s v="DHS 950L"/>
    <x v="0"/>
    <x v="0"/>
    <s v="한라테크 기남방송"/>
    <m/>
    <n v="37000000"/>
  </r>
  <r>
    <s v="18/01/25-9"/>
    <s v="DHS 950L"/>
    <x v="0"/>
    <x v="0"/>
    <s v="(주)엘에스케이네트워크(LsK Network Co, .Ltd)"/>
    <m/>
    <n v="36363636"/>
  </r>
  <r>
    <s v="18/01/25-10"/>
    <s v="DHS 15AP"/>
    <x v="0"/>
    <x v="1"/>
    <s v="주식회사 일화전설"/>
    <m/>
    <n v="51090909"/>
  </r>
  <r>
    <s v="18/01/25-11"/>
    <s v="DHS 17AP"/>
    <x v="0"/>
    <x v="1"/>
    <s v="(주)백운전기통신"/>
    <m/>
    <n v="54000000"/>
  </r>
  <r>
    <s v="18/01/26-3"/>
    <s v="DHS 433L"/>
    <x v="1"/>
    <x v="2"/>
    <s v="(주)에스에이치마린"/>
    <m/>
    <n v="14000000"/>
  </r>
  <r>
    <s v="18/01/26-4"/>
    <s v="DHS 950L"/>
    <x v="0"/>
    <x v="0"/>
    <s v="스카이네트워크"/>
    <m/>
    <n v="39000000"/>
  </r>
  <r>
    <s v="18/01/26-5"/>
    <s v="DHS 950L"/>
    <x v="0"/>
    <x v="0"/>
    <s v="주식회사엔클라우드"/>
    <m/>
    <n v="35909091"/>
  </r>
  <r>
    <s v="18/01/26-6"/>
    <s v="DHS 17AP"/>
    <x v="0"/>
    <x v="1"/>
    <s v="명일건설"/>
    <m/>
    <n v="54363636"/>
  </r>
  <r>
    <s v="18/01/26-7"/>
    <s v="DHS 1200L"/>
    <x v="0"/>
    <x v="0"/>
    <s v="OPTICAL(옵티칼)"/>
    <m/>
    <n v="4181818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995">
  <r>
    <x v="0"/>
    <s v="DHS 950L"/>
    <s v="선일정보통신"/>
    <m/>
    <n v="36883000"/>
    <n v="36883000"/>
  </r>
  <r>
    <x v="0"/>
    <s v="DHS 950L"/>
    <s v="(주)애플파워"/>
    <m/>
    <n v="38000000"/>
    <n v="74883000"/>
  </r>
  <r>
    <x v="0"/>
    <s v="DHS 433L"/>
    <s v="부여군청"/>
    <m/>
    <n v="12864000"/>
    <n v="87747000"/>
  </r>
  <r>
    <x v="0"/>
    <s v="DHS 950L"/>
    <s v="제이에이치정보통신"/>
    <m/>
    <n v="38500000"/>
    <n v="126247000"/>
  </r>
  <r>
    <x v="0"/>
    <s v="DHS433L"/>
    <s v="대영"/>
    <m/>
    <n v="13000000"/>
    <n v="139247000"/>
  </r>
  <r>
    <x v="0"/>
    <s v="DHS 1200L"/>
    <s v="(주)피닉스정보통신"/>
    <m/>
    <n v="41870000"/>
    <n v="181117000"/>
  </r>
  <r>
    <x v="0"/>
    <s v="DHS 433L"/>
    <s v="(주)태진코리아"/>
    <m/>
    <n v="12880000"/>
    <n v="193997000"/>
  </r>
  <r>
    <x v="0"/>
    <s v="DHS 950L"/>
    <s v="(유)나노정보통신"/>
    <m/>
    <n v="41818189"/>
    <n v="235815189"/>
  </r>
  <r>
    <x v="0"/>
    <s v="DHS 1200L"/>
    <s v="(주)세인전력"/>
    <m/>
    <n v="40300000"/>
    <n v="158207594.5"/>
  </r>
  <r>
    <x v="0"/>
    <s v="DHS 1200L"/>
    <s v="(주)세인전력"/>
    <m/>
    <n v="40300000"/>
    <n v="158207594.5"/>
  </r>
  <r>
    <x v="0"/>
    <s v="탐헤드 턴 실린더 외"/>
    <s v="(주)한진디엔비"/>
    <m/>
    <n v="51580000"/>
    <n v="367995189"/>
  </r>
  <r>
    <x v="0"/>
    <s v="DHS 950L"/>
    <s v="(유)나노정보통신"/>
    <m/>
    <n v="-41818182"/>
    <n v="326177007"/>
  </r>
  <r>
    <x v="0"/>
    <s v="DHS 950L"/>
    <s v="(유)나노정보통신"/>
    <m/>
    <n v="41818182"/>
    <n v="367995189"/>
  </r>
  <r>
    <x v="0"/>
    <s v="DHS 950L"/>
    <s v="(유)나노정보통신"/>
    <m/>
    <n v="-41818189"/>
    <n v="326177000"/>
  </r>
  <r>
    <x v="0"/>
    <s v="DHS 950L"/>
    <s v="(유)나노정보통신"/>
    <m/>
    <n v="41818182"/>
    <n v="367995182"/>
  </r>
  <r>
    <x v="0"/>
    <s v="DHS 950L"/>
    <s v="(주)진원통신"/>
    <m/>
    <n v="37500000"/>
    <n v="405495182"/>
  </r>
  <r>
    <x v="0"/>
    <s v="DHS 433M"/>
    <s v="(주)한국케이블TV전북방송"/>
    <m/>
    <n v="16220000"/>
    <n v="421715182"/>
  </r>
  <r>
    <x v="0"/>
    <s v="DHS 950L"/>
    <s v="유앤아이"/>
    <m/>
    <n v="38383000"/>
    <n v="460098182"/>
  </r>
  <r>
    <x v="0"/>
    <s v="DHT 145AS"/>
    <s v="동일전기개별화물"/>
    <m/>
    <n v="136000000"/>
    <n v="596098182"/>
  </r>
  <r>
    <x v="0"/>
    <s v="DHS 950L"/>
    <s v="동화통신"/>
    <m/>
    <n v="38181818"/>
    <n v="634280000"/>
  </r>
  <r>
    <x v="0"/>
    <s v="DHS 17AP"/>
    <s v="신아전업사"/>
    <m/>
    <n v="51000000"/>
    <n v="685280000"/>
  </r>
  <r>
    <x v="0"/>
    <s v="DHS 1200L"/>
    <s v="(주)삼원이엔씨"/>
    <m/>
    <n v="39690000"/>
    <n v="724970000"/>
  </r>
  <r>
    <x v="0"/>
    <s v="롯드랜들러 클램프 실린더 외 7종"/>
    <s v="(주)한진디엔비"/>
    <m/>
    <n v="19946000"/>
    <n v="744916000"/>
  </r>
  <r>
    <x v="0"/>
    <s v="크레인대금"/>
    <s v="재성정보통신"/>
    <m/>
    <n v="38181818"/>
    <n v="783097818"/>
  </r>
  <r>
    <x v="0"/>
    <s v="크레인대금"/>
    <s v="준정보통신"/>
    <m/>
    <n v="36500000"/>
    <n v="819597818"/>
  </r>
  <r>
    <x v="0"/>
    <s v="DHS 15AP"/>
    <s v="씨앤피유니온"/>
    <m/>
    <n v="54000000"/>
    <n v="463798909"/>
  </r>
  <r>
    <x v="0"/>
    <s v="DHS 15AP"/>
    <s v="씨앤피유니온"/>
    <m/>
    <n v="54000000"/>
    <n v="463798909"/>
  </r>
  <r>
    <x v="0"/>
    <s v="15CR 리프팅 실린더 외 ／ 담당자  오세만"/>
    <s v="(주)한진디엔비"/>
    <m/>
    <n v="4903000"/>
    <n v="932500818"/>
  </r>
  <r>
    <x v="0"/>
    <s v="동해고소작업차"/>
    <s v="(주)한울"/>
    <m/>
    <n v="44363636"/>
    <n v="976864454"/>
  </r>
  <r>
    <x v="0"/>
    <s v="크레인대금"/>
    <s v="(주)서림정보통신"/>
    <m/>
    <n v="42000000"/>
    <n v="1018864454"/>
  </r>
  <r>
    <x v="0"/>
    <s v="크레인대금"/>
    <s v="청룡스카이"/>
    <m/>
    <n v="60900000"/>
    <n v="1079764454"/>
  </r>
  <r>
    <x v="0"/>
    <s v="DHS 280AP "/>
    <s v="(주)동해기계항공"/>
    <m/>
    <n v="54495816"/>
    <n v="1134260270"/>
  </r>
  <r>
    <x v="0"/>
    <s v="DHS 15AP "/>
    <s v="(주)동해기계항공"/>
    <m/>
    <n v="40340907"/>
    <n v="1174601177"/>
  </r>
  <r>
    <x v="0"/>
    <s v="DHS 950L"/>
    <s v="박만서"/>
    <m/>
    <n v="37800000"/>
    <n v="1212401177"/>
  </r>
  <r>
    <x v="0"/>
    <s v="DHS 950L"/>
    <s v="제이에스(JS)네트웍스"/>
    <m/>
    <n v="38181818"/>
    <n v="1250582995"/>
  </r>
  <r>
    <x v="0"/>
    <s v="DHS 950L"/>
    <s v="칠성유선방송사"/>
    <m/>
    <n v="38333000"/>
    <n v="1288915995"/>
  </r>
  <r>
    <x v="0"/>
    <s v="DHS 950L"/>
    <s v="주식회사 티브로드 기남방송"/>
    <m/>
    <n v="45006000"/>
    <n v="1333921995"/>
  </r>
  <r>
    <x v="0"/>
    <s v="DHS 950L"/>
    <s v="주식회사 티브로드 기남방송"/>
    <m/>
    <n v="45006000"/>
    <n v="1378927995"/>
  </r>
  <r>
    <x v="0"/>
    <s v="DHS 950L"/>
    <s v="(주)티브로드도봉강북방송"/>
    <m/>
    <n v="45006000"/>
    <n v="1423933995"/>
  </r>
  <r>
    <x v="0"/>
    <s v="DHS 950L"/>
    <s v="(주)티브로드전주방송"/>
    <m/>
    <n v="45006000"/>
    <n v="1468939995"/>
  </r>
  <r>
    <x v="0"/>
    <s v="DHS 950L"/>
    <s v="(주)동성통신"/>
    <m/>
    <n v="38000000"/>
    <n v="1506939995"/>
  </r>
  <r>
    <x v="0"/>
    <s v="DHS 950L"/>
    <s v="대원정보통신"/>
    <m/>
    <n v="38181818"/>
    <n v="1545121813"/>
  </r>
  <r>
    <x v="0"/>
    <s v="DHS 15AP"/>
    <s v="(주)중부전설"/>
    <m/>
    <n v="48247000"/>
    <n v="1593368813"/>
  </r>
  <r>
    <x v="0"/>
    <s v="크레인대금"/>
    <s v="동해스카이"/>
    <m/>
    <n v="62500000"/>
    <n v="1655868813"/>
  </r>
  <r>
    <x v="0"/>
    <s v="와이어밸런스 실린더"/>
    <s v="(주)한진디엔비"/>
    <m/>
    <n v="4104000"/>
    <n v="1659972813"/>
  </r>
  <r>
    <x v="0"/>
    <s v="DHS 1200L"/>
    <s v="기연전기(주)"/>
    <m/>
    <n v="46270000"/>
    <n v="1706242813"/>
  </r>
  <r>
    <x v="0"/>
    <s v="DHS 17AP"/>
    <s v="수이건설(주)"/>
    <m/>
    <n v="54300000"/>
    <n v="1760542813"/>
  </r>
  <r>
    <x v="0"/>
    <s v="DHT 145S"/>
    <s v="(주)삼호건설"/>
    <m/>
    <n v="132950000"/>
    <n v="1893492813"/>
  </r>
  <r>
    <x v="0"/>
    <s v="DHT 145S"/>
    <s v="주식회사 명성전기"/>
    <m/>
    <n v="132950000"/>
    <n v="2026442813"/>
  </r>
  <r>
    <x v="0"/>
    <s v="DHS 17AP"/>
    <s v="일광전기"/>
    <m/>
    <n v="54300000"/>
    <n v="2080742813"/>
  </r>
  <r>
    <x v="0"/>
    <s v="DHS 15AP"/>
    <s v="거목전기"/>
    <m/>
    <n v="48300000"/>
    <n v="2129042813"/>
  </r>
  <r>
    <x v="0"/>
    <s v="DHS 15AP"/>
    <s v="문경전기정보통신"/>
    <m/>
    <n v="49000000"/>
    <n v="2178042813"/>
  </r>
  <r>
    <x v="0"/>
    <s v="DHS 930"/>
    <s v="에스앤지텔레콤(주)"/>
    <m/>
    <n v="39090909"/>
    <n v="2217133722"/>
  </r>
  <r>
    <x v="0"/>
    <s v="DHS 433L"/>
    <s v="삼협농산제주도총판"/>
    <m/>
    <n v="14727273"/>
    <n v="2231860995"/>
  </r>
  <r>
    <x v="0"/>
    <s v="DHS 433M"/>
    <s v="크레인마트"/>
    <m/>
    <n v="14517000"/>
    <n v="2246377995"/>
  </r>
  <r>
    <x v="0"/>
    <s v="DHS 950L"/>
    <s v="초심통신"/>
    <m/>
    <n v="39090909"/>
    <n v="2285468904"/>
  </r>
  <r>
    <x v="0"/>
    <s v="DHS 950L"/>
    <s v="F＆C Network"/>
    <m/>
    <n v="38000000"/>
    <n v="2323468904"/>
  </r>
  <r>
    <x v="0"/>
    <s v="DHS 950L"/>
    <s v="주식회사 넥젠미디어"/>
    <m/>
    <n v="36818181"/>
    <n v="2360287085"/>
  </r>
  <r>
    <x v="0"/>
    <s v="DHS 950L"/>
    <s v="현지통신"/>
    <m/>
    <n v="34772727"/>
    <n v="2395059812"/>
  </r>
  <r>
    <x v="0"/>
    <s v="DHS 950L"/>
    <s v="(주)뉴젠스"/>
    <m/>
    <n v="37383000"/>
    <n v="2432442812"/>
  </r>
  <r>
    <x v="0"/>
    <s v="DHS 1200L"/>
    <s v="(주)뉴젠스"/>
    <m/>
    <n v="41497000"/>
    <n v="2473939812"/>
  </r>
  <r>
    <x v="0"/>
    <s v="DHS 433L"/>
    <s v="(주)동해기계항공"/>
    <m/>
    <n v="11603520"/>
    <m/>
  </r>
  <r>
    <x v="0"/>
    <s v="DHS 433L"/>
    <s v="(주)동해기계항공"/>
    <m/>
    <n v="11603520"/>
    <m/>
  </r>
  <r>
    <x v="0"/>
    <s v="DHS 1800 "/>
    <s v="(주)동해기계항공"/>
    <m/>
    <n v="36995264"/>
    <n v="2534142116"/>
  </r>
  <r>
    <x v="0"/>
    <s v="DHS 433L"/>
    <s v="클린E＆T"/>
    <m/>
    <n v="15700000"/>
    <n v="2549842116"/>
  </r>
  <r>
    <x v="0"/>
    <s v="DHS 950L"/>
    <s v="다성정보통신"/>
    <m/>
    <n v="38454545"/>
    <n v="2588296661"/>
  </r>
  <r>
    <x v="0"/>
    <s v="DHS 1200L"/>
    <s v="삼성디지컴(주)"/>
    <m/>
    <n v="41272727"/>
    <n v="2629569388"/>
  </r>
  <r>
    <x v="0"/>
    <s v="DHS 950L"/>
    <s v="(주)제주네트웍스"/>
    <m/>
    <n v="42727273"/>
    <n v="2672296661"/>
  </r>
  <r>
    <x v="0"/>
    <s v="DHS 950L"/>
    <s v="케이피정보통신"/>
    <m/>
    <n v="37727273"/>
    <n v="2710023934"/>
  </r>
  <r>
    <x v="0"/>
    <s v="DHS 950L"/>
    <s v="(주)아미넷"/>
    <m/>
    <n v="37220000"/>
    <n v="2747243934"/>
  </r>
  <r>
    <x v="0"/>
    <s v="DHS 870"/>
    <s v="(주)아미넷"/>
    <m/>
    <n v="35820000"/>
    <n v="2783063934"/>
  </r>
  <r>
    <x v="0"/>
    <s v="DHS 1200L"/>
    <s v="(주)아진전설"/>
    <m/>
    <n v="44547000"/>
    <n v="2827610934"/>
  </r>
  <r>
    <x v="0"/>
    <s v="DHS 433L"/>
    <s v="코오롱워터앤에너지(주)"/>
    <m/>
    <n v="13700000"/>
    <n v="2841310934"/>
  </r>
  <r>
    <x v="0"/>
    <s v="DHS 950L"/>
    <s v="(주)카이젠"/>
    <m/>
    <n v="36483000"/>
    <n v="2877793934"/>
  </r>
  <r>
    <x v="0"/>
    <s v="S3000"/>
    <s v="(주)한진디엔비"/>
    <m/>
    <n v="19000000"/>
    <n v="2896793934"/>
  </r>
  <r>
    <x v="0"/>
    <s v="S3000"/>
    <s v="(주)한진디엔비"/>
    <m/>
    <n v="19000000"/>
    <n v="2915793934"/>
  </r>
  <r>
    <x v="0"/>
    <s v="실린더"/>
    <s v="(주)한진디엔비"/>
    <m/>
    <n v="37362000"/>
    <n v="2953155934"/>
  </r>
  <r>
    <x v="0"/>
    <s v="DHS 1200L"/>
    <s v="(주)대성전력"/>
    <m/>
    <n v="38636364"/>
    <n v="2991792298"/>
  </r>
  <r>
    <x v="0"/>
    <s v="DHS 433M"/>
    <s v="(주)신한정보통신"/>
    <m/>
    <n v="15385728"/>
    <n v="3007178026"/>
  </r>
  <r>
    <x v="0"/>
    <s v="DHS 433L "/>
    <s v="(주)동해기계항공"/>
    <m/>
    <n v="11965932"/>
    <n v="3019143958"/>
  </r>
  <r>
    <x v="0"/>
    <s v="DHS 1200L"/>
    <s v="(합자)진광전기소방"/>
    <m/>
    <n v="43368182"/>
    <n v="3062512140"/>
  </r>
  <r>
    <x v="0"/>
    <s v="DHS 870"/>
    <s v="한빛테크원(주)"/>
    <m/>
    <n v="34353000"/>
    <n v="3096865140"/>
  </r>
  <r>
    <x v="0"/>
    <s v="DHS 433L"/>
    <s v="신화중기"/>
    <m/>
    <n v="13700000"/>
    <n v="3110565140"/>
  </r>
  <r>
    <x v="0"/>
    <s v="DHS 950L"/>
    <s v="(주)한북테크"/>
    <m/>
    <n v="36363636"/>
    <n v="3146928776"/>
  </r>
  <r>
    <x v="0"/>
    <s v="DHS 433M"/>
    <s v="한국케이블티브이푸른방송(주)"/>
    <m/>
    <n v="13545455"/>
    <n v="3160474231"/>
  </r>
  <r>
    <x v="0"/>
    <s v="DHS 433M"/>
    <s v="에스엘엔(주)"/>
    <m/>
    <n v="12000000"/>
    <n v="3172474231"/>
  </r>
  <r>
    <x v="0"/>
    <s v="DHS 433M"/>
    <s v="오정오행복마을"/>
    <m/>
    <n v="13482727"/>
    <n v="3185956958"/>
  </r>
  <r>
    <x v="0"/>
    <s v="DHS 433M"/>
    <s v="서광미디어(주)"/>
    <m/>
    <n v="13517000"/>
    <n v="3199473958"/>
  </r>
  <r>
    <x v="0"/>
    <s v="DHS 950L"/>
    <s v="영희통신"/>
    <m/>
    <n v="38000000"/>
    <n v="3237473958"/>
  </r>
  <r>
    <x v="0"/>
    <s v="DHS 1200L"/>
    <s v="이동섭"/>
    <m/>
    <n v="43636364"/>
    <n v="3281110322"/>
  </r>
  <r>
    <x v="0"/>
    <s v="DHS 950L"/>
    <s v="마루정보통신"/>
    <m/>
    <n v="37500000"/>
    <n v="3318610322"/>
  </r>
  <r>
    <x v="0"/>
    <s v="DHS 433M"/>
    <s v="주식회사 한솔텔레콤"/>
    <m/>
    <n v="14785728"/>
    <n v="3333396050"/>
  </r>
  <r>
    <x v="0"/>
    <s v="DHS 433M"/>
    <s v="에스앤지텔레콤(주)"/>
    <m/>
    <n v="14698818"/>
    <n v="3348094868"/>
  </r>
  <r>
    <x v="0"/>
    <s v="DHS 185SKY"/>
    <s v="컴텍스카이"/>
    <m/>
    <n v="59090909"/>
    <n v="3407185777"/>
  </r>
  <r>
    <x v="0"/>
    <s v="DHS 433L"/>
    <s v="개별화물"/>
    <m/>
    <n v="14500000"/>
    <n v="3421685777"/>
  </r>
  <r>
    <x v="0"/>
    <s v="DHS 15AP"/>
    <s v="남양전기통신(주)"/>
    <m/>
    <n v="48181818"/>
    <n v="3469867595"/>
  </r>
  <r>
    <x v="0"/>
    <s v="실린더대금"/>
    <s v="(주)한진디엔비"/>
    <m/>
    <n v="5348000"/>
    <n v="3475215595"/>
  </r>
  <r>
    <x v="0"/>
    <s v="DHS 1200L"/>
    <s v="(주)태성이엔지"/>
    <m/>
    <n v="40800000"/>
    <n v="3516015595"/>
  </r>
  <r>
    <x v="0"/>
    <s v="DHS 433M"/>
    <s v="이영숙"/>
    <m/>
    <n v="13510000"/>
    <n v="3529525595"/>
  </r>
  <r>
    <x v="0"/>
    <s v="DHS 1200L"/>
    <s v="지오전기(주)"/>
    <m/>
    <n v="41000000"/>
    <n v="3570525595"/>
  </r>
  <r>
    <x v="0"/>
    <s v="DHS 1200L"/>
    <s v="아신정보통신"/>
    <m/>
    <n v="43000000"/>
    <n v="3613525595"/>
  </r>
  <r>
    <x v="0"/>
    <s v="DHS 15AP"/>
    <s v="대경전력(주)"/>
    <m/>
    <n v="48000000"/>
    <n v="3661525595"/>
  </r>
  <r>
    <x v="0"/>
    <s v="DHS 15AP"/>
    <s v="세운전기"/>
    <m/>
    <n v="49500000"/>
    <n v="3711025595"/>
  </r>
  <r>
    <x v="0"/>
    <s v="DHS 15AP"/>
    <s v="(주)세종보안시스템"/>
    <m/>
    <n v="49067000"/>
    <n v="3760092595"/>
  </r>
  <r>
    <x v="0"/>
    <s v="DHT 145AS"/>
    <s v="(주)상우특장"/>
    <m/>
    <n v="168000000"/>
    <n v="3928092595"/>
  </r>
  <r>
    <x v="0"/>
    <s v="DHS 950L"/>
    <s v="오산"/>
    <m/>
    <n v="41402427"/>
    <n v="3969495022"/>
  </r>
  <r>
    <x v="0"/>
    <s v="DHS 950L"/>
    <s v="중상통신"/>
    <m/>
    <n v="35770000"/>
    <n v="4005265022"/>
  </r>
  <r>
    <x v="0"/>
    <s v="DHS 950L"/>
    <s v="태경링크"/>
    <m/>
    <n v="37727273"/>
    <n v="4042992295"/>
  </r>
  <r>
    <x v="0"/>
    <s v="DHS 15AP"/>
    <s v="금호1주유소"/>
    <m/>
    <n v="48700000"/>
    <n v="4091692295"/>
  </r>
  <r>
    <x v="0"/>
    <s v="DHS 1200L"/>
    <s v="(주)태진전기"/>
    <m/>
    <n v="42000000"/>
    <n v="4133692295"/>
  </r>
  <r>
    <x v="0"/>
    <s v="DHS 950L"/>
    <s v="세진와이피"/>
    <m/>
    <n v="38400000"/>
    <n v="4172092295"/>
  </r>
  <r>
    <x v="0"/>
    <s v="DHS 950L"/>
    <s v="(주)아미넷"/>
    <m/>
    <n v="37220000"/>
    <n v="4209312295"/>
  </r>
  <r>
    <x v="0"/>
    <s v="DHS 1200L"/>
    <s v="(주)서희전력"/>
    <m/>
    <n v="45454546"/>
    <n v="4254766841"/>
  </r>
  <r>
    <x v="0"/>
    <s v="DHS 433"/>
    <s v="(주)포스화인"/>
    <m/>
    <n v="12150000"/>
    <n v="4266916841"/>
  </r>
  <r>
    <x v="0"/>
    <s v="DHS 950L"/>
    <s v="세로정보통신"/>
    <m/>
    <n v="38383000"/>
    <n v="4305299841"/>
  </r>
  <r>
    <x v="0"/>
    <s v="DHS 950L"/>
    <s v="주식회사 티에스에이아이비에스"/>
    <m/>
    <n v="36700000"/>
    <n v="4341999841"/>
  </r>
  <r>
    <x v="0"/>
    <s v="DHS 433L"/>
    <s v="코오롱워터앤에너지(주)"/>
    <m/>
    <n v="13700000"/>
    <n v="4355699841"/>
  </r>
  <r>
    <x v="0"/>
    <s v="DHS 950L"/>
    <s v="LCS"/>
    <m/>
    <n v="36363636"/>
    <n v="4392063477"/>
  </r>
  <r>
    <x v="0"/>
    <s v="DHS 1200L"/>
    <s v="(주)포올이앤씨"/>
    <m/>
    <n v="43227273"/>
    <n v="4435290750"/>
  </r>
  <r>
    <x v="0"/>
    <s v="DHS 1200L"/>
    <s v="(주)이원전력"/>
    <m/>
    <n v="44347000"/>
    <n v="4479637750"/>
  </r>
  <r>
    <x v="0"/>
    <s v="DHS 433M"/>
    <s v="아림통신건설"/>
    <m/>
    <n v="17445000"/>
    <n v="4497082750"/>
  </r>
  <r>
    <x v="0"/>
    <s v="DHS 1200L"/>
    <s v="(주)보고넷"/>
    <m/>
    <n v="43545455"/>
    <n v="4540628205"/>
  </r>
  <r>
    <x v="0"/>
    <s v="DHS 433L"/>
    <s v="출장빵구정비"/>
    <m/>
    <n v="16000000"/>
    <n v="4556628205"/>
  </r>
  <r>
    <x v="0"/>
    <s v="DHS 1800 "/>
    <s v="JORDAN REFRIGERATION CO.LLC"/>
    <m/>
    <n v="41699288"/>
    <n v="4598327493"/>
  </r>
  <r>
    <x v="0"/>
    <s v="DHS 920 추가계약"/>
    <s v="유성구청"/>
    <m/>
    <n v="4850000"/>
    <n v="4603177493"/>
  </r>
  <r>
    <x v="0"/>
    <s v="DHS 920"/>
    <s v="유성구청"/>
    <m/>
    <n v="41272728"/>
    <n v="4644450221"/>
  </r>
  <r>
    <x v="0"/>
    <s v="DHT 145S"/>
    <s v="서초구청"/>
    <m/>
    <n v="125090910"/>
    <n v="4769541131"/>
  </r>
  <r>
    <x v="0"/>
    <s v="DHS 433L"/>
    <s v="서울무역"/>
    <m/>
    <n v="13130230"/>
    <n v="2397900795.5"/>
  </r>
  <r>
    <x v="0"/>
    <s v="DHS 433L"/>
    <s v="서울무역"/>
    <m/>
    <n v="13130230"/>
    <n v="2397900795.5"/>
  </r>
  <r>
    <x v="0"/>
    <s v="DHS 433L"/>
    <s v="울산광역시북구청"/>
    <m/>
    <n v="15884000"/>
    <n v="4811685591"/>
  </r>
  <r>
    <x v="0"/>
    <s v="DHS 950L"/>
    <s v="조승현"/>
    <m/>
    <n v="38181818"/>
    <n v="4849867409"/>
  </r>
  <r>
    <x v="0"/>
    <s v="DHS 1200L"/>
    <s v="한국 CATV 나라방송"/>
    <m/>
    <n v="44000000"/>
    <n v="4893867409"/>
  </r>
  <r>
    <x v="0"/>
    <s v="DHS 433L"/>
    <s v="대아기계펌프"/>
    <m/>
    <n v="14000000"/>
    <n v="4907867409"/>
  </r>
  <r>
    <x v="0"/>
    <s v="DHS 1200L"/>
    <s v="일성정보통신"/>
    <m/>
    <n v="43000000"/>
    <n v="4950867409"/>
  </r>
  <r>
    <x v="0"/>
    <s v="DHS 950L"/>
    <s v="다온정보통신"/>
    <m/>
    <n v="38181818"/>
    <n v="4989049227"/>
  </r>
  <r>
    <x v="0"/>
    <s v="DHS 950L"/>
    <s v="(주)우정넷"/>
    <m/>
    <n v="35700000"/>
    <n v="5024749227"/>
  </r>
  <r>
    <x v="0"/>
    <s v="DHS 950L"/>
    <s v="(주)우정넷"/>
    <m/>
    <n v="35700000"/>
    <n v="5060449227"/>
  </r>
  <r>
    <x v="0"/>
    <s v="DHS 185SKY"/>
    <s v="스마트콜스카이"/>
    <m/>
    <n v="58636364"/>
    <n v="5119085591"/>
  </r>
  <r>
    <x v="0"/>
    <s v="DHS 950L"/>
    <s v="타이거정보통신"/>
    <m/>
    <n v="39500000"/>
    <n v="5158585591"/>
  </r>
  <r>
    <x v="0"/>
    <s v="DHS 433"/>
    <s v="(주)하나통신"/>
    <m/>
    <n v="13300000"/>
    <n v="5171885591"/>
  </r>
  <r>
    <x v="0"/>
    <s v="DHS 17AP"/>
    <s v="소연통신"/>
    <m/>
    <n v="52430000"/>
    <n v="5224315591"/>
  </r>
  <r>
    <x v="0"/>
    <s v="DHS 17AP"/>
    <s v="국제전기조명"/>
    <m/>
    <n v="52550000"/>
    <n v="5276865591"/>
  </r>
  <r>
    <x v="0"/>
    <s v="DHS 950L"/>
    <s v="미래정보통신"/>
    <m/>
    <n v="38636363"/>
    <n v="5315501954"/>
  </r>
  <r>
    <x v="0"/>
    <s v="DHS 1200L"/>
    <s v="주식회사 에스디엠엔씨"/>
    <m/>
    <n v="42727272"/>
    <n v="5358229226"/>
  </r>
  <r>
    <x v="0"/>
    <s v="DHS 930"/>
    <s v="대신정보"/>
    <m/>
    <n v="37050000"/>
    <n v="5395279226"/>
  </r>
  <r>
    <x v="0"/>
    <s v="DHS870 "/>
    <s v="EAST BOY ENGINEERING CO., LTD"/>
    <m/>
    <n v="201355280"/>
    <n v="5596634506"/>
  </r>
  <r>
    <x v="0"/>
    <s v="DHS 930"/>
    <s v="우일정보기술(주)"/>
    <m/>
    <n v="32700000"/>
    <n v="5629334506"/>
  </r>
  <r>
    <x v="0"/>
    <s v="DHS 1200L"/>
    <s v="성진전력(주)"/>
    <m/>
    <n v="38963000"/>
    <n v="5668297506"/>
  </r>
  <r>
    <x v="0"/>
    <s v="감속기 ASSY"/>
    <s v="(주)한진디엔비"/>
    <m/>
    <n v="13000000"/>
    <n v="5681297506"/>
  </r>
  <r>
    <x v="0"/>
    <s v="DHS 930"/>
    <s v="젊은기술(주)"/>
    <m/>
    <n v="32727272.5"/>
    <n v="2873376025.5"/>
  </r>
  <r>
    <x v="0"/>
    <s v="DHS 930"/>
    <s v="젊은기술(주)"/>
    <m/>
    <n v="32727272.5"/>
    <n v="2873376025.5"/>
  </r>
  <r>
    <x v="0"/>
    <s v="DHS 930"/>
    <s v="(주)우호텔레콤"/>
    <m/>
    <n v="32700000"/>
    <n v="5779452051"/>
  </r>
  <r>
    <x v="0"/>
    <s v="DHS 950L"/>
    <s v="(주)지원네트웍스"/>
    <m/>
    <n v="38500000"/>
    <n v="5817952051"/>
  </r>
  <r>
    <x v="0"/>
    <s v="DHM 1300S2"/>
    <s v="동해해양사업"/>
    <m/>
    <n v="22500000"/>
    <n v="5840452051"/>
  </r>
  <r>
    <x v="0"/>
    <s v="DHM 1300S2"/>
    <s v="동해해양사업"/>
    <m/>
    <n v="22500000"/>
    <n v="5862952051"/>
  </r>
  <r>
    <x v="0"/>
    <s v="오른유니트 및 전기시스템 조립체 등 34종"/>
    <s v="공군제2762부대"/>
    <m/>
    <n v="40118163"/>
    <n v="5903070214"/>
  </r>
  <r>
    <x v="0"/>
    <s v="DHS 433"/>
    <s v="사하구청"/>
    <m/>
    <n v="16363637"/>
    <n v="5919433851"/>
  </r>
  <r>
    <x v="0"/>
    <s v="DHS 15AP"/>
    <s v="중부전력공사"/>
    <m/>
    <n v="47800000"/>
    <n v="5967233851"/>
  </r>
  <r>
    <x v="0"/>
    <s v="DHS 930"/>
    <s v="(주)경기종합관리"/>
    <m/>
    <n v="32000000"/>
    <n v="5999233851"/>
  </r>
  <r>
    <x v="0"/>
    <s v="DHS 5024"/>
    <s v="유일산기"/>
    <m/>
    <n v="33040000"/>
    <n v="6032273851"/>
  </r>
  <r>
    <x v="0"/>
    <s v="DHS 5024"/>
    <s v="유일산기"/>
    <m/>
    <n v="-33040000"/>
    <n v="5999233851"/>
  </r>
  <r>
    <x v="0"/>
    <s v="DHS 5024"/>
    <s v="유일산기"/>
    <m/>
    <n v="30040000"/>
    <n v="6029273851"/>
  </r>
  <r>
    <x v="0"/>
    <s v="DHS 930"/>
    <s v="IT네트웍스"/>
    <m/>
    <n v="35000000"/>
    <n v="6064273851"/>
  </r>
  <r>
    <x v="0"/>
    <s v="DHS 950L"/>
    <s v="우주건축"/>
    <m/>
    <n v="38181818"/>
    <n v="6102455669"/>
  </r>
  <r>
    <x v="0"/>
    <s v="DHS 950L"/>
    <s v="뉴코리아전자통신(주)"/>
    <m/>
    <n v="37000000"/>
    <n v="6139455669"/>
  </r>
  <r>
    <x v="0"/>
    <s v="DHS 950L"/>
    <s v="(유)구이앤금우통신"/>
    <m/>
    <n v="39090909"/>
    <n v="6178546578"/>
  </r>
  <r>
    <x v="0"/>
    <s v="DHS 1200L"/>
    <s v="세아전기(주)"/>
    <m/>
    <n v="42000000"/>
    <n v="6220546578"/>
  </r>
  <r>
    <x v="0"/>
    <s v="DHS 930"/>
    <s v="미래정보통신"/>
    <m/>
    <n v="38181818"/>
    <n v="6258728396"/>
  </r>
  <r>
    <x v="0"/>
    <s v="DHS 1200L"/>
    <s v="(주)미디어테크"/>
    <m/>
    <n v="39090909"/>
    <n v="6297819305"/>
  </r>
  <r>
    <x v="0"/>
    <s v="DHS 433L"/>
    <s v="대웅기업 주식회사"/>
    <m/>
    <n v="15070000"/>
    <n v="6312889305"/>
  </r>
  <r>
    <x v="0"/>
    <s v="DHS 250AP "/>
    <s v="(주)동해기계항공"/>
    <m/>
    <n v="53559097"/>
    <n v="6366448402"/>
  </r>
  <r>
    <x v="0"/>
    <s v="DHS 250AP "/>
    <s v="(주)동해기계항공"/>
    <m/>
    <n v="44674835"/>
    <n v="6411123237"/>
  </r>
  <r>
    <x v="0"/>
    <s v="DHS 950L"/>
    <s v="문태식"/>
    <m/>
    <n v="38500000"/>
    <n v="6449623237"/>
  </r>
  <r>
    <x v="0"/>
    <s v="DHS 185SKY"/>
    <s v="(주)순천에코트랜스"/>
    <m/>
    <n v="6636364"/>
    <n v="6456259601"/>
  </r>
  <r>
    <x v="0"/>
    <s v="DHS 15AP"/>
    <s v="주식회사 한빛전력"/>
    <m/>
    <n v="48300000"/>
    <n v="6504559601"/>
  </r>
  <r>
    <x v="0"/>
    <s v="DHS 15AP"/>
    <s v="도연전기공사"/>
    <m/>
    <n v="49090909"/>
    <n v="6553650510"/>
  </r>
  <r>
    <x v="0"/>
    <s v="DHS 1200L-3대"/>
    <s v="(주)씨엠비광주방송"/>
    <m/>
    <n v="129545455"/>
    <n v="6683195965"/>
  </r>
  <r>
    <x v="0"/>
    <s v="DHS 433L"/>
    <s v="전영상사"/>
    <m/>
    <n v="13300000"/>
    <n v="6696495965"/>
  </r>
  <r>
    <x v="0"/>
    <s v="DHS 930"/>
    <s v="태현정보통신"/>
    <m/>
    <n v="34000000"/>
    <n v="6730495965"/>
  </r>
  <r>
    <x v="0"/>
    <s v="DHT 160AS"/>
    <s v="(주)황기전기"/>
    <m/>
    <n v="153950000"/>
    <n v="6884445965"/>
  </r>
  <r>
    <x v="0"/>
    <s v="DHS 17AP"/>
    <s v="보성크레인"/>
    <m/>
    <n v="57500000"/>
    <n v="6941945965"/>
  </r>
  <r>
    <x v="0"/>
    <s v="DHS 433M"/>
    <s v="(주)준영통신"/>
    <m/>
    <n v="17545455"/>
    <n v="6959491420"/>
  </r>
  <r>
    <x v="0"/>
    <s v="DHS 950L"/>
    <s v="원일정보통신 주식회사"/>
    <m/>
    <n v="38000000"/>
    <n v="6997491420"/>
  </r>
  <r>
    <x v="0"/>
    <s v="DHS 1800"/>
    <s v="대구광역시 시설관리공단"/>
    <m/>
    <n v="39090910"/>
    <n v="7036582330"/>
  </r>
  <r>
    <x v="0"/>
    <s v="DHS 433M"/>
    <s v="진흥씨앤씨(주)"/>
    <m/>
    <n v="13100000"/>
    <n v="7049682330"/>
  </r>
  <r>
    <x v="0"/>
    <s v="DHS 950L"/>
    <s v="엔씨정보통신주식회사"/>
    <m/>
    <n v="37500000"/>
    <n v="7087182330"/>
  </r>
  <r>
    <x v="0"/>
    <s v="DHS 950L"/>
    <s v="티케이정보통신(주)"/>
    <m/>
    <n v="39090909"/>
    <n v="7126273239"/>
  </r>
  <r>
    <x v="0"/>
    <s v="DHS 1200L"/>
    <s v="(주)에이치제이통신"/>
    <m/>
    <n v="40272727"/>
    <n v="7166545966"/>
  </r>
  <r>
    <x v="0"/>
    <s v="DHS 1200L"/>
    <s v="(주)샤인정보통신"/>
    <m/>
    <n v="42545455"/>
    <n v="7209091421"/>
  </r>
  <r>
    <x v="0"/>
    <s v="DHS 950L"/>
    <s v="김철수"/>
    <m/>
    <n v="38936000"/>
    <n v="7248027421"/>
  </r>
  <r>
    <x v="0"/>
    <s v="DHS 433M"/>
    <s v="진흥씨앤씨(주)"/>
    <m/>
    <n v="-13100000"/>
    <n v="7234927421"/>
  </r>
  <r>
    <x v="0"/>
    <s v="DHS 433M"/>
    <s v="진흥씨앤씨(주)"/>
    <m/>
    <n v="13100000"/>
    <n v="7248027421"/>
  </r>
  <r>
    <x v="0"/>
    <s v="DHS 15AP "/>
    <s v="(주)동해기계항공"/>
    <m/>
    <n v="28975109"/>
    <n v="7277002530"/>
  </r>
  <r>
    <x v="0"/>
    <s v="DHS 1200L"/>
    <s v="광진전기"/>
    <m/>
    <n v="43636363"/>
    <n v="7320638893"/>
  </r>
  <r>
    <x v="0"/>
    <s v="DHS 950L"/>
    <s v="(주)영대정보통신"/>
    <m/>
    <n v="37727273"/>
    <n v="7358366166"/>
  </r>
  <r>
    <x v="0"/>
    <s v="DHS 1200L"/>
    <s v="(주)화창기업"/>
    <m/>
    <n v="42181818"/>
    <n v="7400547984"/>
  </r>
  <r>
    <x v="0"/>
    <s v="풋 클램프 실린더 외"/>
    <s v="(주)한진디엔비"/>
    <m/>
    <n v="20535000"/>
    <n v="7421082984"/>
  </r>
  <r>
    <x v="0"/>
    <s v="DH SUPER 3000A"/>
    <s v="(주)케이티렌탈"/>
    <m/>
    <n v="201500000"/>
    <n v="7622582984"/>
  </r>
  <r>
    <x v="0"/>
    <s v="동해고소작업차-1306"/>
    <s v="(주)엘지유플러스"/>
    <m/>
    <n v="46377000"/>
    <n v="7668959984"/>
  </r>
  <r>
    <x v="0"/>
    <s v="DHS 433L"/>
    <s v="한일수중펌프"/>
    <m/>
    <n v="15100000"/>
    <n v="7684059984"/>
  </r>
  <r>
    <x v="0"/>
    <s v="DHS 870"/>
    <s v="하늘통신"/>
    <m/>
    <n v="36618182"/>
    <n v="7720678166"/>
  </r>
  <r>
    <x v="0"/>
    <s v="DHS 950L"/>
    <s v="하이눈정보통신"/>
    <m/>
    <n v="39700000"/>
    <n v="7760378166"/>
  </r>
  <r>
    <x v="0"/>
    <s v="DHS 433L"/>
    <s v="화목보일러 온풍기 종합전시장"/>
    <m/>
    <n v="13110000"/>
    <n v="7773488166"/>
  </r>
  <r>
    <x v="0"/>
    <s v="DHS 930"/>
    <s v="은성정보통신"/>
    <m/>
    <n v="33000000"/>
    <n v="7806488166"/>
  </r>
  <r>
    <x v="0"/>
    <s v="DHS 17AP"/>
    <s v="백송전기공사"/>
    <m/>
    <n v="50000000"/>
    <n v="7856488166"/>
  </r>
  <r>
    <x v="0"/>
    <s v="ALPHA 12000"/>
    <s v="영도구청"/>
    <m/>
    <n v="93636364"/>
    <n v="7950124530"/>
  </r>
  <r>
    <x v="0"/>
    <s v="DHS 920"/>
    <s v="대전시중구청"/>
    <m/>
    <n v="41272728"/>
    <n v="7991397258"/>
  </r>
  <r>
    <x v="0"/>
    <s v="DHS 920"/>
    <s v="김포시청"/>
    <m/>
    <n v="41272728"/>
    <n v="8032669986"/>
  </r>
  <r>
    <x v="0"/>
    <s v="펌프외"/>
    <s v="(주)동해기계항공"/>
    <m/>
    <n v="1970000"/>
    <n v="8034639986"/>
  </r>
  <r>
    <x v="0"/>
    <s v="대전중구청 추가계약"/>
    <s v="대전시중구청"/>
    <m/>
    <n v="3350000"/>
    <n v="8037989986"/>
  </r>
  <r>
    <x v="0"/>
    <s v="P3000틸팅 실린더외"/>
    <s v="(주)한진디엔비"/>
    <m/>
    <n v="11165000"/>
    <n v="8049154986"/>
  </r>
  <r>
    <x v="0"/>
    <s v="DHS 1200L"/>
    <s v="(주)자바네트웍스"/>
    <m/>
    <n v="46800000"/>
    <n v="8095954986"/>
  </r>
  <r>
    <x v="0"/>
    <s v="DHS 1200L 추가계약"/>
    <s v="남해군청"/>
    <m/>
    <n v="3636364"/>
    <n v="8099591350"/>
  </r>
  <r>
    <x v="0"/>
    <s v="DHS 1200L"/>
    <s v="남해군청"/>
    <m/>
    <n v="45363637"/>
    <n v="8144954987"/>
  </r>
  <r>
    <x v="0"/>
    <s v="DHS 280AP"/>
    <s v="동해스카이"/>
    <m/>
    <n v="104545455"/>
    <n v="8249500442"/>
  </r>
  <r>
    <x v="0"/>
    <s v="DHS 433L"/>
    <s v="진경자원"/>
    <m/>
    <n v="13517273"/>
    <n v="8263017715"/>
  </r>
  <r>
    <x v="0"/>
    <s v="DHS 1200L"/>
    <s v="진성전력주식회사"/>
    <m/>
    <n v="40909099"/>
    <n v="8303926814"/>
  </r>
  <r>
    <x v="0"/>
    <s v="DHS 950L"/>
    <s v="우리텔레콤"/>
    <m/>
    <n v="40300000"/>
    <n v="8344226814"/>
  </r>
  <r>
    <x v="0"/>
    <s v="DHS 930"/>
    <s v="중상통신"/>
    <m/>
    <n v="33000000"/>
    <n v="8377226814"/>
  </r>
  <r>
    <x v="0"/>
    <s v="DHS 950L"/>
    <s v="위드"/>
    <m/>
    <n v="38618182"/>
    <n v="8415844996"/>
  </r>
  <r>
    <x v="0"/>
    <s v="DHS 15AP"/>
    <s v="(주)성창전기"/>
    <m/>
    <n v="49500000"/>
    <n v="8465344996"/>
  </r>
  <r>
    <x v="0"/>
    <s v="DHS 433M"/>
    <s v="(주)피앤티정보통신"/>
    <m/>
    <n v="14998818"/>
    <n v="8480343814"/>
  </r>
  <r>
    <x v="0"/>
    <s v="DHS 15AP"/>
    <s v="(주)덕성전력"/>
    <m/>
    <n v="49767000"/>
    <n v="8530110814"/>
  </r>
  <r>
    <x v="0"/>
    <s v="DHS 1200L"/>
    <s v="(주)부천종합네트워크"/>
    <m/>
    <n v="42272727"/>
    <n v="8572383541"/>
  </r>
  <r>
    <x v="0"/>
    <s v="DHS 1200L"/>
    <s v="강건이앤씨(주)"/>
    <m/>
    <n v="43000000"/>
    <n v="8615383541"/>
  </r>
  <r>
    <x v="0"/>
    <s v="DHS 1200L"/>
    <s v="구미시청"/>
    <m/>
    <n v="45363637"/>
    <n v="8660747178"/>
  </r>
  <r>
    <x v="0"/>
    <s v="차고지 증명"/>
    <s v="(주)엘지유플러스"/>
    <m/>
    <n v="150000"/>
    <n v="8660897178"/>
  </r>
  <r>
    <x v="0"/>
    <s v="DHS 950L"/>
    <s v="용일정보통신"/>
    <m/>
    <n v="36500000"/>
    <n v="8697397178"/>
  </r>
  <r>
    <x v="0"/>
    <s v="DHS 1200L"/>
    <s v="우리전기"/>
    <m/>
    <n v="41000000"/>
    <n v="8738397178"/>
  </r>
  <r>
    <x v="0"/>
    <s v="광케이블 포설용윈치"/>
    <s v="(주)애플파워"/>
    <m/>
    <n v="1800000"/>
    <n v="8740197178"/>
  </r>
  <r>
    <x v="0"/>
    <s v="DHS 433L"/>
    <s v="주식회사이피에스솔루션"/>
    <m/>
    <n v="14899000"/>
    <n v="8755096178"/>
  </r>
  <r>
    <x v="0"/>
    <s v="DHS 950L"/>
    <s v="(주)이프라임"/>
    <m/>
    <n v="37272728"/>
    <n v="8792368906"/>
  </r>
  <r>
    <x v="0"/>
    <s v="DHS 930"/>
    <s v="(주)나우리정보통신"/>
    <m/>
    <n v="36818182"/>
    <n v="8829187088"/>
  </r>
  <r>
    <x v="0"/>
    <s v="DHS 950L"/>
    <s v="서정통신"/>
    <m/>
    <n v="35454546"/>
    <n v="8864641634"/>
  </r>
  <r>
    <x v="0"/>
    <s v="DHS 185SKY"/>
    <s v="(주)순천에코트랜스"/>
    <m/>
    <n v="60263636"/>
    <n v="8924905270"/>
  </r>
  <r>
    <x v="0"/>
    <s v="DHS 950L"/>
    <s v="동연통신"/>
    <m/>
    <n v="38000000"/>
    <n v="8962905270"/>
  </r>
  <r>
    <x v="0"/>
    <s v="DHS 950L"/>
    <s v="탁인호"/>
    <m/>
    <n v="38181819"/>
    <n v="9001087089"/>
  </r>
  <r>
    <x v="0"/>
    <s v="DHS 920"/>
    <s v="양천구청"/>
    <m/>
    <n v="41272728"/>
    <n v="9042359817"/>
  </r>
  <r>
    <x v="0"/>
    <s v="DHS 1200L"/>
    <s v="보은전업사"/>
    <m/>
    <n v="39583000"/>
    <n v="9081942817"/>
  </r>
  <r>
    <x v="0"/>
    <s v="DHS 17AP"/>
    <s v="부영전기공사"/>
    <m/>
    <n v="51270000"/>
    <n v="9133212817"/>
  </r>
  <r>
    <x v="0"/>
    <s v="제주도 항공기 박물관 항공기 고정 물품"/>
    <s v="터보라인"/>
    <m/>
    <n v="7904000"/>
    <n v="9141116817"/>
  </r>
  <r>
    <x v="0"/>
    <s v="DHS 950L"/>
    <s v="JT네트워크"/>
    <m/>
    <n v="38000000"/>
    <n v="9179116817"/>
  </r>
  <r>
    <x v="0"/>
    <s v="DHS 15AP"/>
    <s v="(주)태경이앤씨"/>
    <m/>
    <n v="50000000"/>
    <n v="9229116817"/>
  </r>
  <r>
    <x v="0"/>
    <s v="DHS 930"/>
    <s v="누리정보통신"/>
    <m/>
    <n v="33300000"/>
    <n v="9262416817"/>
  </r>
  <r>
    <x v="0"/>
    <s v="DHS 433M"/>
    <s v="대덕상사"/>
    <m/>
    <n v="12760000"/>
    <n v="9275176817"/>
  </r>
  <r>
    <x v="0"/>
    <s v="DHS 433"/>
    <s v="대덕상사"/>
    <m/>
    <n v="14300000"/>
    <n v="9289476817"/>
  </r>
  <r>
    <x v="0"/>
    <s v="실린더대금"/>
    <s v="(주)한진디엔비"/>
    <m/>
    <n v="51514000"/>
    <n v="9340990817"/>
  </r>
  <r>
    <x v="0"/>
    <s v="DHS 1200L"/>
    <s v="광테크"/>
    <m/>
    <n v="44545455"/>
    <n v="9385536272"/>
  </r>
  <r>
    <x v="0"/>
    <s v="DHS 433L"/>
    <s v="대림산업자원"/>
    <m/>
    <n v="14200000"/>
    <n v="9399736272"/>
  </r>
  <r>
    <x v="0"/>
    <s v="DHS 280AP "/>
    <s v="(주)동해기계항공"/>
    <m/>
    <n v="61182846"/>
    <n v="9460919118"/>
  </r>
  <r>
    <x v="0"/>
    <s v="DHS 950L"/>
    <s v="(주)경성네트웍"/>
    <m/>
    <n v="35000000"/>
    <n v="9495919118"/>
  </r>
  <r>
    <x v="0"/>
    <s v="DHS 950L"/>
    <s v="(주)전통"/>
    <m/>
    <n v="38181818"/>
    <n v="9534100936"/>
  </r>
  <r>
    <x v="0"/>
    <s v="DHS 930"/>
    <s v="타시마"/>
    <m/>
    <n v="33000000"/>
    <n v="9567100936"/>
  </r>
  <r>
    <x v="0"/>
    <s v="DHS 950L"/>
    <s v="(주)건아정보기술"/>
    <m/>
    <n v="35413637"/>
    <n v="9602514573"/>
  </r>
  <r>
    <x v="0"/>
    <s v="DHS 15AP"/>
    <s v="에스티에스통신(주)"/>
    <m/>
    <n v="48636364"/>
    <n v="9651150937"/>
  </r>
  <r>
    <x v="0"/>
    <s v="추가계약"/>
    <s v="구미시청"/>
    <m/>
    <n v="3790909"/>
    <n v="9654941846"/>
  </r>
  <r>
    <x v="0"/>
    <s v="DHS 1200L"/>
    <s v="뉴플러스 정보통신(주)"/>
    <m/>
    <n v="41000000"/>
    <n v="9695941846"/>
  </r>
  <r>
    <x v="0"/>
    <s v="DHS 433L"/>
    <s v="팔팔횟집"/>
    <m/>
    <n v="13500000"/>
    <n v="9709441846"/>
  </r>
  <r>
    <x v="0"/>
    <s v="DH 433M"/>
    <s v="주식회사 수길정보통신"/>
    <m/>
    <n v="14600000"/>
    <n v="9724041846"/>
  </r>
  <r>
    <x v="0"/>
    <s v="DHS 15AP"/>
    <s v="(주)기산전력"/>
    <m/>
    <n v="47272727"/>
    <n v="9771314573"/>
  </r>
  <r>
    <x v="0"/>
    <s v="DHS 433집게크레인-5대"/>
    <s v="(주)한진디엔비"/>
    <m/>
    <n v="60000000"/>
    <n v="9831314573"/>
  </r>
  <r>
    <x v="0"/>
    <s v="DHS 930"/>
    <s v="(주)지원정보통신"/>
    <m/>
    <n v="33636364"/>
    <n v="9864950937"/>
  </r>
  <r>
    <x v="0"/>
    <s v="DHS 433M"/>
    <s v="세진통신"/>
    <m/>
    <n v="13760000"/>
    <n v="9878710937"/>
  </r>
  <r>
    <x v="0"/>
    <s v="DHS 930"/>
    <s v="(주)지원정보통신"/>
    <m/>
    <n v="-33636364"/>
    <n v="9845074573"/>
  </r>
  <r>
    <x v="0"/>
    <s v="DHS 930"/>
    <s v="지원조명전기"/>
    <m/>
    <n v="33636364"/>
    <n v="9878710937"/>
  </r>
  <r>
    <x v="0"/>
    <s v="DHS 930"/>
    <s v="지원조명전기"/>
    <m/>
    <n v="-33636364"/>
    <n v="9845074573"/>
  </r>
  <r>
    <x v="0"/>
    <s v="DHS 930"/>
    <s v="(주)지원정보통신"/>
    <m/>
    <n v="33636364"/>
    <n v="9878710937"/>
  </r>
  <r>
    <x v="0"/>
    <s v="DHS 930"/>
    <s v="(주)지원정보통신"/>
    <m/>
    <n v="-33636364"/>
    <n v="9845074573"/>
  </r>
  <r>
    <x v="0"/>
    <s v="DHS 930"/>
    <s v="(주)지원정보통신"/>
    <m/>
    <n v="33636364"/>
    <n v="9878710937"/>
  </r>
  <r>
    <x v="0"/>
    <s v="DHS 930"/>
    <s v="(주)지원정보통신"/>
    <m/>
    <n v="-33636364"/>
    <n v="9845074573"/>
  </r>
  <r>
    <x v="0"/>
    <s v="DHS 930"/>
    <s v="(주)지원정보통신"/>
    <m/>
    <n v="33636364"/>
    <n v="9878710937"/>
  </r>
  <r>
    <x v="0"/>
    <s v="DHS 950L"/>
    <s v="이화통신(주)"/>
    <m/>
    <n v="37250000"/>
    <n v="9915960937"/>
  </r>
  <r>
    <x v="0"/>
    <s v="DHS 1200L"/>
    <s v="(주)나인정보시스템"/>
    <m/>
    <n v="43500000"/>
    <n v="9959460937"/>
  </r>
  <r>
    <x v="0"/>
    <s v="DHS 1200L"/>
    <s v="우리통신"/>
    <m/>
    <n v="40533000"/>
    <n v="9999993937"/>
  </r>
  <r>
    <x v="0"/>
    <s v="DHS 433M"/>
    <s v="(주)한국케이블TV전북방송"/>
    <m/>
    <n v="16220000"/>
    <n v="10016213937"/>
  </r>
  <r>
    <x v="0"/>
    <s v="DHS 433L"/>
    <s v="두산판매서비스"/>
    <m/>
    <n v="15454546"/>
    <n v="10031668483"/>
  </r>
  <r>
    <x v="0"/>
    <s v="DHS 920"/>
    <s v="김해시청"/>
    <m/>
    <n v="1200000"/>
    <n v="10032868483"/>
  </r>
  <r>
    <x v="0"/>
    <s v="DHS 433L"/>
    <s v="(주)월드펌프시스템"/>
    <m/>
    <n v="13273909"/>
    <n v="10046142392"/>
  </r>
  <r>
    <x v="0"/>
    <s v="DHS 185SKY"/>
    <s v="자금아크릴"/>
    <m/>
    <n v="58400000"/>
    <n v="10104542392"/>
  </r>
  <r>
    <x v="0"/>
    <s v="DHS 433L"/>
    <s v="부산환경공단 정관사업소"/>
    <m/>
    <n v="15181819"/>
    <n v="10119724211"/>
  </r>
  <r>
    <x v="0"/>
    <s v="DHS 433L"/>
    <s v="현대건설기계 창원대리점"/>
    <m/>
    <n v="14000000"/>
    <n v="10133724211"/>
  </r>
  <r>
    <x v="0"/>
    <s v="DHS 433"/>
    <s v="가가이지텍(주)"/>
    <m/>
    <n v="13486364"/>
    <n v="10147210575"/>
  </r>
  <r>
    <x v="0"/>
    <s v="DHS 920"/>
    <s v="김해시청"/>
    <m/>
    <n v="41272728"/>
    <n v="10188483303"/>
  </r>
  <r>
    <x v="0"/>
    <s v="DHS 433L"/>
    <s v="부산환경공단 정관사업소"/>
    <m/>
    <n v="-15181819"/>
    <n v="10173301484"/>
  </r>
  <r>
    <x v="0"/>
    <s v="ALPHA 5000"/>
    <s v="부산광역시 강서구청"/>
    <m/>
    <n v="60563637"/>
    <n v="10233865121"/>
  </r>
  <r>
    <x v="0"/>
    <s v="DHS 1200L"/>
    <s v="(주)하모니정보통신"/>
    <m/>
    <n v="40600000"/>
    <n v="10274465121"/>
  </r>
  <r>
    <x v="0"/>
    <s v="DHS 930"/>
    <s v="(주)한백정보통신"/>
    <m/>
    <n v="31370000"/>
    <n v="10305835121"/>
  </r>
  <r>
    <x v="0"/>
    <s v="DHS 950L"/>
    <s v="젊은기술(주)"/>
    <m/>
    <n v="37000000"/>
    <n v="10342835121"/>
  </r>
  <r>
    <x v="0"/>
    <s v="DHS 950L"/>
    <s v="신정보통신"/>
    <m/>
    <n v="36818182"/>
    <n v="10379653303"/>
  </r>
  <r>
    <x v="0"/>
    <s v="DHS 950L"/>
    <s v="한라정보통신(주)"/>
    <m/>
    <n v="37000000"/>
    <n v="10416653303"/>
  </r>
  <r>
    <x v="0"/>
    <s v="DHT 145S"/>
    <s v="가평군청"/>
    <m/>
    <n v="118636364"/>
    <n v="10535289667"/>
  </r>
  <r>
    <x v="0"/>
    <s v="DHS 433L"/>
    <s v="한성기업(주)"/>
    <m/>
    <n v="15500000"/>
    <n v="10550789667"/>
  </r>
  <r>
    <x v="0"/>
    <s v="DHS 15AP"/>
    <s v="광주 서구청"/>
    <m/>
    <n v="49709091"/>
    <n v="10600498758"/>
  </r>
  <r>
    <x v="0"/>
    <s v="DHS 1200L"/>
    <s v="유한회사 전북통신"/>
    <m/>
    <n v="42727273"/>
    <n v="10643226031"/>
  </r>
  <r>
    <x v="0"/>
    <s v="DHS 950L"/>
    <s v="성신정보통신"/>
    <m/>
    <n v="40500000"/>
    <n v="10683726031"/>
  </r>
  <r>
    <x v="0"/>
    <s v="DHS 433L"/>
    <s v="부산환경공단 정관사업소"/>
    <m/>
    <n v="15181819"/>
    <n v="10698907850"/>
  </r>
  <r>
    <x v="0"/>
    <s v="DHS 15AP"/>
    <s v="(주)한신전기"/>
    <m/>
    <n v="48181819"/>
    <n v="10747089669"/>
  </r>
  <r>
    <x v="0"/>
    <s v="유압 휠 드라이브 "/>
    <s v="아름통신"/>
    <m/>
    <n v="3500000"/>
    <n v="10750589669"/>
  </r>
  <r>
    <x v="0"/>
    <s v="DHS 17AP"/>
    <s v="정네트웍"/>
    <m/>
    <n v="52545455"/>
    <n v="10803135124"/>
  </r>
  <r>
    <x v="0"/>
    <s v="DHS 15AP"/>
    <s v="보성전기"/>
    <m/>
    <n v="47217000"/>
    <n v="10850352124"/>
  </r>
  <r>
    <x v="0"/>
    <s v="DHS 433L "/>
    <s v="(주)동해기계항공"/>
    <m/>
    <n v="12239533"/>
    <n v="10862591657"/>
  </r>
  <r>
    <x v="0"/>
    <s v="DHS 433L"/>
    <s v="(주)현대건설장비"/>
    <m/>
    <n v="13909091"/>
    <n v="10876500748"/>
  </r>
  <r>
    <x v="0"/>
    <s v="DHT 145S"/>
    <s v="무안군청"/>
    <m/>
    <n v="42863636"/>
    <n v="10919364384"/>
  </r>
  <r>
    <x v="0"/>
    <s v="DHT 145S"/>
    <s v="무안군청"/>
    <m/>
    <n v="118636364"/>
    <n v="11038000748"/>
  </r>
  <r>
    <x v="0"/>
    <s v="DHS 433M"/>
    <s v="갑을통신(주)"/>
    <m/>
    <n v="18000000"/>
    <n v="11056000748"/>
  </r>
  <r>
    <x v="0"/>
    <s v="DHS 433M"/>
    <s v="화인텔레콤(주)"/>
    <m/>
    <n v="15090000"/>
    <n v="11071090748"/>
  </r>
  <r>
    <x v="0"/>
    <s v="DHS 433L"/>
    <s v="케이티커머스(주)"/>
    <m/>
    <n v="27800000"/>
    <n v="11098890748"/>
  </r>
  <r>
    <x v="0"/>
    <s v="DHS 1800"/>
    <s v="대보정보통신 주식회사"/>
    <m/>
    <n v="31600000"/>
    <n v="11130490748"/>
  </r>
  <r>
    <x v="0"/>
    <s v="DHS 950L"/>
    <s v="(주)덕우산업"/>
    <m/>
    <n v="39000000"/>
    <n v="11169490748"/>
  </r>
  <r>
    <x v="0"/>
    <s v="DHS 950L"/>
    <s v="(주)광주통신공사"/>
    <m/>
    <n v="36818182"/>
    <n v="11206308930"/>
  </r>
  <r>
    <x v="0"/>
    <s v="DHS 433"/>
    <s v="영천시환경사업소"/>
    <m/>
    <n v="15536364"/>
    <n v="11221845294"/>
  </r>
  <r>
    <x v="0"/>
    <s v="DHS 433L"/>
    <s v="(주)한라발전기"/>
    <m/>
    <n v="13000000"/>
    <n v="11234845294"/>
  </r>
  <r>
    <x v="0"/>
    <s v="DHS 1200L"/>
    <s v="TAE WORKS(티에이이웍스)"/>
    <m/>
    <n v="40000000"/>
    <n v="11274845294"/>
  </r>
  <r>
    <x v="0"/>
    <s v="DHS 950L"/>
    <s v="진테크"/>
    <m/>
    <n v="38333000"/>
    <n v="11313178294"/>
  </r>
  <r>
    <x v="0"/>
    <s v="가와사키주탑 실린더 외"/>
    <s v="(주)한진디엔비"/>
    <m/>
    <n v="13576000"/>
    <n v="11326754294"/>
  </r>
  <r>
    <x v="0"/>
    <s v="DHS 1200L"/>
    <s v="(주)한일에스티엠"/>
    <m/>
    <n v="40000000"/>
    <n v="11366754294"/>
  </r>
  <r>
    <x v="0"/>
    <s v="DHS 433M"/>
    <s v="대덕상사"/>
    <m/>
    <n v="12760000"/>
    <n v="11379514294"/>
  </r>
  <r>
    <x v="0"/>
    <s v="DHS 433M"/>
    <s v="(주)정선통신"/>
    <m/>
    <n v="16517000"/>
    <n v="11396031294"/>
  </r>
  <r>
    <x v="0"/>
    <s v="DHT 145S"/>
    <s v="광덕전력(주)"/>
    <m/>
    <n v="143000000"/>
    <n v="11539031294"/>
  </r>
  <r>
    <x v="0"/>
    <s v="DHS 433L"/>
    <s v="면천농업협동조합"/>
    <m/>
    <n v="14110000"/>
    <n v="11553141294"/>
  </r>
  <r>
    <x v="0"/>
    <s v="DHS 433L"/>
    <s v="동경건기"/>
    <m/>
    <n v="15200000"/>
    <n v="11568341294"/>
  </r>
  <r>
    <x v="0"/>
    <s v="DHS 15AP"/>
    <s v="천광전기공사"/>
    <m/>
    <n v="49700000"/>
    <n v="11618041294"/>
  </r>
  <r>
    <x v="0"/>
    <s v="DHS 15AP"/>
    <s v="여주군청"/>
    <m/>
    <n v="49709091"/>
    <n v="11667750385"/>
  </r>
  <r>
    <x v="0"/>
    <s v="DHS 433L"/>
    <s v="자연환경(유)"/>
    <m/>
    <n v="16363636"/>
    <n v="11684114021"/>
  </r>
  <r>
    <x v="0"/>
    <s v="DHS 15AP"/>
    <s v="여주군청"/>
    <m/>
    <n v="4090909"/>
    <n v="11688204930"/>
  </r>
  <r>
    <x v="0"/>
    <s v="선적료"/>
    <s v="울릉군농업기술센터"/>
    <m/>
    <n v="300000"/>
    <n v="11688504930"/>
  </r>
  <r>
    <x v="0"/>
    <s v="추가계약"/>
    <s v="울릉군농업기술센터"/>
    <m/>
    <n v="1000000"/>
    <n v="11689504930"/>
  </r>
  <r>
    <x v="0"/>
    <s v="추가계약"/>
    <s v="울릉군농업기술센터"/>
    <m/>
    <n v="1818182"/>
    <n v="11691323112"/>
  </r>
  <r>
    <x v="0"/>
    <s v="DHS 433"/>
    <s v="울릉군농업기술센터"/>
    <m/>
    <n v="180000"/>
    <n v="11691503112"/>
  </r>
  <r>
    <x v="0"/>
    <s v="DHS 950L"/>
    <s v="(주)그린아이티코리아"/>
    <m/>
    <n v="36500000"/>
    <n v="11728003112"/>
  </r>
  <r>
    <x v="0"/>
    <s v="DHS 433M"/>
    <s v="제니스네트웍"/>
    <m/>
    <n v="12500000"/>
    <n v="11740503112"/>
  </r>
  <r>
    <x v="0"/>
    <s v="DHS 433L "/>
    <s v="(주)동해기계항공"/>
    <m/>
    <n v="12332662"/>
    <n v="11752835774"/>
  </r>
  <r>
    <x v="0"/>
    <s v="DHS 433"/>
    <s v="울릉군농업기술센터"/>
    <m/>
    <n v="29090910"/>
    <n v="11781926684"/>
  </r>
  <r>
    <x v="0"/>
    <s v="DHS 950L"/>
    <s v="파워통신"/>
    <m/>
    <n v="39090909"/>
    <n v="11821017593"/>
  </r>
  <r>
    <x v="0"/>
    <s v="DHS 950L"/>
    <s v="백길통신"/>
    <m/>
    <n v="38500000"/>
    <n v="11859517593"/>
  </r>
  <r>
    <x v="0"/>
    <s v="DHS 185SKY"/>
    <s v="두손"/>
    <m/>
    <n v="60000000"/>
    <n v="11919517593"/>
  </r>
  <r>
    <x v="0"/>
    <s v="유압 휠 드라이브 "/>
    <s v="아주통신(주)"/>
    <m/>
    <n v="3500000"/>
    <n v="11923017593"/>
  </r>
  <r>
    <x v="0"/>
    <s v="DHS 15AP"/>
    <s v="(주)논산전력"/>
    <m/>
    <n v="50000000"/>
    <n v="11973017593"/>
  </r>
  <r>
    <x v="0"/>
    <s v="DHS 950L"/>
    <s v="오룡통신"/>
    <m/>
    <n v="37727273"/>
    <n v="12010744866"/>
  </r>
  <r>
    <x v="0"/>
    <s v="DHS 17AP"/>
    <s v="(주)대한전기"/>
    <m/>
    <n v="53000000"/>
    <n v="12063744866"/>
  </r>
  <r>
    <x v="0"/>
    <s v="DHS 15AP"/>
    <s v="정우전기(주)"/>
    <m/>
    <n v="48181819"/>
    <n v="12111926685"/>
  </r>
  <r>
    <x v="0"/>
    <s v="DHS 433L"/>
    <s v="현대중장비용인판매(주)"/>
    <m/>
    <n v="14727273"/>
    <n v="12126653958"/>
  </r>
  <r>
    <x v="0"/>
    <s v="DHS 930"/>
    <s v="다솔렌탈"/>
    <m/>
    <n v="33500000"/>
    <n v="12160153958"/>
  </r>
  <r>
    <x v="0"/>
    <s v="ALPHA 5000"/>
    <s v="부산광역시 기장군청"/>
    <m/>
    <n v="29545455"/>
    <n v="12189699413"/>
  </r>
  <r>
    <x v="0"/>
    <s v="DHS 15AP"/>
    <s v="남원시청"/>
    <m/>
    <n v="8066364"/>
    <n v="12197765777"/>
  </r>
  <r>
    <x v="0"/>
    <s v="HWD 200"/>
    <s v="서광미디어(주)"/>
    <m/>
    <n v="3500000"/>
    <n v="12201265777"/>
  </r>
  <r>
    <x v="0"/>
    <s v="DHS 17AP"/>
    <s v="(주)태원전력"/>
    <m/>
    <n v="52500000"/>
    <n v="12253765777"/>
  </r>
  <r>
    <x v="0"/>
    <s v="DHS 5024"/>
    <s v="풍진수산"/>
    <m/>
    <n v="30000000"/>
    <n v="12283765777"/>
  </r>
  <r>
    <x v="0"/>
    <s v="DHS 433"/>
    <s v="국제마린"/>
    <m/>
    <n v="13636364"/>
    <n v="12297402141"/>
  </r>
  <r>
    <x v="0"/>
    <s v="DHS 433M"/>
    <s v="(주)우성통신"/>
    <m/>
    <n v="14181818"/>
    <n v="12311583959"/>
  </r>
  <r>
    <x v="0"/>
    <s v="DHS 15AP "/>
    <s v="GENERAL AUTOMOBILES"/>
    <m/>
    <n v="60046503"/>
    <n v="12371630462"/>
  </r>
  <r>
    <x v="0"/>
    <s v="DHS 433L"/>
    <s v="한성기업(주)"/>
    <m/>
    <n v="-15500000"/>
    <n v="12356130462"/>
  </r>
  <r>
    <x v="0"/>
    <s v="DHS 930"/>
    <s v="네트워크아이"/>
    <m/>
    <n v="34272728"/>
    <n v="12390403190"/>
  </r>
  <r>
    <x v="0"/>
    <s v="DHS 15AP"/>
    <s v="남원시청"/>
    <m/>
    <n v="72727273"/>
    <n v="12463130463"/>
  </r>
  <r>
    <x v="0"/>
    <s v="DHS 19AP "/>
    <s v="SYKT.PEMBEKALAN ＆ PERKHIDMATANLEZAN"/>
    <m/>
    <n v="50044799"/>
    <n v="12513175262"/>
  </r>
  <r>
    <x v="0"/>
    <s v="DHS 1200L"/>
    <s v="한솔정보통신(주)"/>
    <m/>
    <n v="40000000"/>
    <n v="12553175262"/>
  </r>
  <r>
    <x v="0"/>
    <s v="DHS 433L"/>
    <s v="출장빵구신광"/>
    <m/>
    <n v="15983636"/>
    <n v="12569158898"/>
  </r>
  <r>
    <x v="0"/>
    <s v="P3000 잭실린더 외"/>
    <s v="(주)한진디엔비"/>
    <m/>
    <n v="9730000"/>
    <n v="12578888898"/>
  </r>
  <r>
    <x v="0"/>
    <s v="DHS 920-추가계약"/>
    <s v="여수시청"/>
    <m/>
    <n v="3951818"/>
    <n v="12582840716"/>
  </r>
  <r>
    <x v="0"/>
    <s v="DHS 15AP"/>
    <s v="하이텍"/>
    <m/>
    <n v="46981818"/>
    <n v="12629822534"/>
  </r>
  <r>
    <x v="0"/>
    <s v="DHS 433"/>
    <s v="에스엠통신"/>
    <m/>
    <n v="15000000"/>
    <n v="12644822534"/>
  </r>
  <r>
    <x v="0"/>
    <s v="DHS 1800-추가계약"/>
    <s v="대구광역시 시설관리공단"/>
    <m/>
    <n v="9000000"/>
    <n v="12653822534"/>
  </r>
  <r>
    <x v="0"/>
    <s v="DHS 920"/>
    <s v="여수시청"/>
    <m/>
    <n v="41272728"/>
    <n v="12695095262"/>
  </r>
  <r>
    <x v="0"/>
    <s v="DHS 1800"/>
    <s v="대구광역시 시설관리공단"/>
    <m/>
    <n v="39181819"/>
    <n v="12734277081"/>
  </r>
  <r>
    <x v="0"/>
    <s v="DHS 950L"/>
    <s v="스마일정보통신"/>
    <m/>
    <n v="37272728"/>
    <n v="12771549809"/>
  </r>
  <r>
    <x v="0"/>
    <s v="DHS 950L"/>
    <s v="정인통신"/>
    <m/>
    <n v="37272728"/>
    <n v="12808822537"/>
  </r>
  <r>
    <x v="0"/>
    <s v="DHS 950L"/>
    <s v="대원정보통신"/>
    <m/>
    <n v="37272727"/>
    <n v="12846095264"/>
  </r>
  <r>
    <x v="0"/>
    <s v="DHS 950L"/>
    <s v="제이에스네트웍"/>
    <m/>
    <n v="38000000"/>
    <n v="12884095264"/>
  </r>
  <r>
    <x v="0"/>
    <s v="DHS 433"/>
    <s v="거성기계산업"/>
    <m/>
    <n v="13636364"/>
    <n v="12897731628"/>
  </r>
  <r>
    <x v="0"/>
    <s v="DHS 15AP"/>
    <s v="장수군청"/>
    <m/>
    <n v="72727273"/>
    <n v="12970458901"/>
  </r>
  <r>
    <x v="0"/>
    <s v="DHT 160S"/>
    <s v="진용전력(주)"/>
    <m/>
    <n v="133000000"/>
    <n v="13103458901"/>
  </r>
  <r>
    <x v="0"/>
    <s v="DHT 45S"/>
    <s v="진용전력(주)"/>
    <m/>
    <n v="-133000000"/>
    <n v="12970458901"/>
  </r>
  <r>
    <x v="0"/>
    <s v="DHS 433L"/>
    <s v="알바목형산업"/>
    <m/>
    <n v="13800000"/>
    <n v="12984258901"/>
  </r>
  <r>
    <x v="0"/>
    <s v="DHS 15AP"/>
    <s v="장수군청"/>
    <m/>
    <n v="2990000"/>
    <n v="12987248901"/>
  </r>
  <r>
    <x v="0"/>
    <s v="DHS 930"/>
    <s v="제이엠이엔지"/>
    <m/>
    <n v="33500000"/>
    <n v="13020748901"/>
  </r>
  <r>
    <x v="0"/>
    <s v="DHS 433M"/>
    <s v="안전마린"/>
    <m/>
    <n v="16254545"/>
    <n v="13037003446"/>
  </r>
  <r>
    <x v="0"/>
    <s v="HWD 200"/>
    <s v="주식회사 예스정보통신"/>
    <m/>
    <n v="3600000"/>
    <n v="13040603446"/>
  </r>
  <r>
    <x v="0"/>
    <s v="HWD 200"/>
    <s v="남경통신"/>
    <m/>
    <n v="3600000"/>
    <n v="13044203446"/>
  </r>
  <r>
    <x v="0"/>
    <s v="DHS 185SKY"/>
    <s v="동서남북"/>
    <m/>
    <n v="60000000"/>
    <n v="13104203446"/>
  </r>
  <r>
    <x v="0"/>
    <s v="DHS 950L"/>
    <s v="(주)제일네트웍스"/>
    <m/>
    <n v="36000000"/>
    <n v="13140203446"/>
  </r>
  <r>
    <x v="0"/>
    <s v="DHS 950L"/>
    <s v="청우통신(주)"/>
    <m/>
    <n v="38181818"/>
    <n v="13178385264"/>
  </r>
  <r>
    <x v="0"/>
    <s v="DHS 950L"/>
    <s v="(주)제일네트웍스"/>
    <m/>
    <n v="-36000000"/>
    <n v="13142385264"/>
  </r>
  <r>
    <x v="0"/>
    <s v="DHS 950L"/>
    <s v="(주)제일네트웍스"/>
    <m/>
    <n v="36000000"/>
    <n v="13178385264"/>
  </r>
  <r>
    <x v="0"/>
    <s v="HWD 200"/>
    <s v="(주)나모스텔레콤"/>
    <m/>
    <n v="3600000"/>
    <n v="13181985264"/>
  </r>
  <r>
    <x v="0"/>
    <s v="7000 틸팅 실린더 외"/>
    <s v="(주)한진디엔비"/>
    <m/>
    <n v="11464000"/>
    <n v="13193449264"/>
  </r>
  <r>
    <x v="0"/>
    <s v="DHT 145S"/>
    <s v="가평군청"/>
    <m/>
    <n v="7760000"/>
    <n v="13201209264"/>
  </r>
  <r>
    <x v="0"/>
    <s v="DHS 3524"/>
    <s v="프로무역"/>
    <m/>
    <n v="22200000"/>
    <n v="13223409264"/>
  </r>
  <r>
    <x v="0"/>
    <s v="DHS 433M "/>
    <s v="(주)동해기계항공"/>
    <m/>
    <n v="14368609"/>
    <n v="13237777873"/>
  </r>
  <r>
    <x v="0"/>
    <s v="DHS 185SKY"/>
    <s v="대광안전스카이"/>
    <m/>
    <n v="60350000"/>
    <n v="13298127873"/>
  </r>
  <r>
    <x v="0"/>
    <s v="DHS 950L"/>
    <s v="아가페 네트웍스"/>
    <m/>
    <n v="35909091"/>
    <n v="13334036964"/>
  </r>
  <r>
    <x v="0"/>
    <s v="HWD 200"/>
    <s v="대성전기통신"/>
    <m/>
    <n v="3600000"/>
    <n v="13337636964"/>
  </r>
  <r>
    <x v="0"/>
    <s v="DHS 1200L"/>
    <s v="(주)거성전력"/>
    <m/>
    <n v="39583000"/>
    <n v="13377219964"/>
  </r>
  <r>
    <x v="0"/>
    <s v="DHS 1800외 "/>
    <s v="카토스엔터프라이즈"/>
    <m/>
    <n v="133182339"/>
    <n v="13510402303"/>
  </r>
  <r>
    <x v="0"/>
    <s v="DHS 433M"/>
    <s v="삼백온실(주)"/>
    <m/>
    <n v="15000000"/>
    <n v="13525402303"/>
  </r>
  <r>
    <x v="0"/>
    <s v="DHS 930"/>
    <s v="(주)삼원홀딩스"/>
    <m/>
    <n v="33300000"/>
    <n v="13558702303"/>
  </r>
  <r>
    <x v="0"/>
    <s v="DHS 1200L"/>
    <s v="(주)삼보전자통신"/>
    <m/>
    <n v="42600000"/>
    <n v="13601302303"/>
  </r>
  <r>
    <x v="0"/>
    <s v="HWD 200"/>
    <s v="(주)삼보전자통신"/>
    <m/>
    <n v="3600000"/>
    <n v="13604902303"/>
  </r>
  <r>
    <x v="0"/>
    <s v="DHS 433M"/>
    <s v="(주)서해방송"/>
    <m/>
    <n v="13000000"/>
    <n v="13617902303"/>
  </r>
  <r>
    <x v="0"/>
    <s v="P4000 홀더 턴 실린더외"/>
    <s v="(주)한진디엔비"/>
    <m/>
    <n v="16108000"/>
    <n v="13634010303"/>
  </r>
  <r>
    <x v="0"/>
    <s v="DHS 15AP"/>
    <s v="공주시청"/>
    <m/>
    <n v="49709091"/>
    <n v="13683719394"/>
  </r>
  <r>
    <x v="0"/>
    <s v="DHS 433L외 "/>
    <s v="KIA MOTORS MONGOLIA LLC"/>
    <m/>
    <n v="26669396"/>
    <n v="13710388790"/>
  </r>
  <r>
    <x v="0"/>
    <s v="DHS 15AP "/>
    <s v="(주)동해기계항공"/>
    <m/>
    <n v="29256262"/>
    <n v="13739645052"/>
  </r>
  <r>
    <x v="0"/>
    <s v="DHS 433"/>
    <s v="강화군농업기술센터"/>
    <m/>
    <n v="14545454"/>
    <n v="13754190506"/>
  </r>
  <r>
    <x v="0"/>
    <s v="DHS 15AP"/>
    <s v="주식회사 청우이앤씨"/>
    <m/>
    <n v="50000000"/>
    <n v="13804190506"/>
  </r>
  <r>
    <x v="0"/>
    <s v="DHS 433L"/>
    <s v="(주)해양FRP조선소"/>
    <m/>
    <n v="14200000"/>
    <n v="13818390506"/>
  </r>
  <r>
    <x v="0"/>
    <s v="DHS 1200L"/>
    <s v="정진전기"/>
    <m/>
    <n v="42272727"/>
    <n v="13860663233"/>
  </r>
  <r>
    <x v="0"/>
    <s v="DHS 1200L"/>
    <s v="(주)넥스파시스템"/>
    <m/>
    <n v="43940000"/>
    <n v="13904603233"/>
  </r>
  <r>
    <x v="0"/>
    <s v="DHS 950L"/>
    <s v="휴먼네트워크"/>
    <m/>
    <n v="37200000"/>
    <n v="13941803233"/>
  </r>
  <r>
    <x v="0"/>
    <s v="코아드릴 붐실린더 외"/>
    <s v="(주)한진디엔비"/>
    <m/>
    <n v="4788000"/>
    <n v="13946591233"/>
  </r>
  <r>
    <x v="0"/>
    <s v="크레인대금"/>
    <s v="(주)한진디엔비"/>
    <m/>
    <n v="19000000"/>
    <n v="13965591233"/>
  </r>
  <r>
    <x v="0"/>
    <s v="DHS 15AP "/>
    <s v="KIA MOTORS MONGOLIA LLC"/>
    <m/>
    <n v="29140587"/>
    <n v="13994731820"/>
  </r>
  <r>
    <x v="0"/>
    <s v="DHS 433L"/>
    <s v="(주)코리아이노"/>
    <m/>
    <n v="13879842"/>
    <n v="14008611662"/>
  </r>
  <r>
    <x v="0"/>
    <s v="크레인대금"/>
    <s v="중앙자동차폐차장"/>
    <m/>
    <n v="14209091"/>
    <n v="14022820753"/>
  </r>
  <r>
    <x v="0"/>
    <s v="DHS 433L"/>
    <s v="삼흥선외기"/>
    <m/>
    <n v="13500000"/>
    <n v="14036320753"/>
  </r>
  <r>
    <x v="0"/>
    <s v="DHS 920"/>
    <s v="함안지방공사"/>
    <m/>
    <n v="41272728"/>
    <n v="14077593481"/>
  </r>
  <r>
    <x v="0"/>
    <s v="DHT 160AS"/>
    <s v="진용전력(주)"/>
    <m/>
    <n v="156000000"/>
    <n v="14233593481"/>
  </r>
  <r>
    <x v="0"/>
    <s v="DHS 950L"/>
    <s v="(주)용두애브컴"/>
    <m/>
    <n v="38318182"/>
    <n v="14271911663"/>
  </r>
  <r>
    <x v="0"/>
    <s v="DHS 17AP"/>
    <s v="주식회사 대영전력"/>
    <m/>
    <n v="50454545"/>
    <n v="14322366208"/>
  </r>
  <r>
    <x v="0"/>
    <s v="DHS 1800-7EA "/>
    <s v="SYKT.PEMBEKALAN ＆ PERKHIDMATANLEZAN"/>
    <m/>
    <n v="233360201"/>
    <n v="14555726409"/>
  </r>
  <r>
    <x v="0"/>
    <s v="DHS 950L"/>
    <s v="리더스텔"/>
    <m/>
    <n v="38045455"/>
    <n v="14593771864"/>
  </r>
  <r>
    <x v="0"/>
    <s v="DHS 950L"/>
    <s v="(주)천양네트웍스"/>
    <m/>
    <n v="37520000"/>
    <n v="14631291864"/>
  </r>
  <r>
    <x v="0"/>
    <s v="DHS 950L"/>
    <s v="(자)미래통신공사"/>
    <m/>
    <n v="45526400"/>
    <n v="14676818264"/>
  </r>
  <r>
    <x v="0"/>
    <s v="DHS 950L"/>
    <s v="(자)미래통신공사"/>
    <m/>
    <n v="-45526400"/>
    <n v="14631291864"/>
  </r>
  <r>
    <x v="0"/>
    <s v="DHS 950L"/>
    <s v="(자)미래통신공사"/>
    <m/>
    <n v="41926400"/>
    <n v="14673218264"/>
  </r>
  <r>
    <x v="0"/>
    <s v="HWD 200"/>
    <s v="(자)미래통신공사"/>
    <m/>
    <n v="3600000"/>
    <n v="14676818264"/>
  </r>
  <r>
    <x v="0"/>
    <s v="DHS 950L"/>
    <s v="(주)아이티이즈넷"/>
    <m/>
    <n v="38000000"/>
    <n v="14714818264"/>
  </r>
  <r>
    <x v="0"/>
    <s v="DHS 1200L"/>
    <s v="(주)유에이종합통신"/>
    <m/>
    <n v="41000000"/>
    <n v="14755818264"/>
  </r>
  <r>
    <x v="0"/>
    <s v="DHS 17AP"/>
    <s v="대진ENG"/>
    <m/>
    <n v="49090909"/>
    <n v="14804909173"/>
  </r>
  <r>
    <x v="0"/>
    <s v="DHS 950L"/>
    <s v="(주)다남산업"/>
    <m/>
    <n v="36500000"/>
    <n v="14841409173"/>
  </r>
  <r>
    <x v="0"/>
    <s v="DHS 1200L"/>
    <s v="(주)씨앤앰 용산케이블티브이"/>
    <m/>
    <n v="45630000"/>
    <n v="14887039173"/>
  </r>
  <r>
    <x v="0"/>
    <s v="DHS 1200L"/>
    <s v="(주)씨앤앰 우리케이블티브이"/>
    <m/>
    <n v="45630000"/>
    <n v="7489149586.5"/>
  </r>
  <r>
    <x v="0"/>
    <s v="DHS 1200L"/>
    <s v="(주)씨앤앰 우리케이블티브이"/>
    <m/>
    <n v="45630000"/>
    <n v="7489149586.5"/>
  </r>
  <r>
    <x v="0"/>
    <s v="무선리모컨추가"/>
    <s v="유일산기"/>
    <m/>
    <n v="11850000"/>
    <n v="14990149173"/>
  </r>
  <r>
    <x v="0"/>
    <s v="DHS 17AP"/>
    <s v="베가네트워크"/>
    <m/>
    <n v="52545455"/>
    <n v="15042694628"/>
  </r>
  <r>
    <x v="0"/>
    <s v="DHS 950L"/>
    <s v="유니온정보통신"/>
    <m/>
    <n v="35000000"/>
    <n v="15077694628"/>
  </r>
  <r>
    <x v="0"/>
    <s v="DHS 930"/>
    <s v="(주)신천지리조트"/>
    <m/>
    <n v="35000000"/>
    <n v="15112694628"/>
  </r>
  <r>
    <x v="0"/>
    <s v="DHS 930"/>
    <s v="(주)창성통신"/>
    <m/>
    <n v="35000000"/>
    <n v="15147694628"/>
  </r>
  <r>
    <x v="0"/>
    <s v="DHS 433L"/>
    <s v="해양경찰청"/>
    <m/>
    <n v="43181819"/>
    <n v="15190876447"/>
  </r>
  <r>
    <x v="0"/>
    <s v="DHS 15AP"/>
    <s v="디오이엔지(주)"/>
    <m/>
    <n v="48017000"/>
    <n v="15238893447"/>
  </r>
  <r>
    <x v="0"/>
    <s v="DHT 145S"/>
    <s v="성운 주식회사"/>
    <m/>
    <n v="132000000"/>
    <n v="15370893447"/>
  </r>
  <r>
    <x v="0"/>
    <s v="DHS 15AP"/>
    <s v="엔투알테크놀로지(주)"/>
    <m/>
    <n v="49545455"/>
    <n v="15420438902"/>
  </r>
  <r>
    <x v="0"/>
    <s v="DHS 15AP"/>
    <s v="한창건설"/>
    <m/>
    <n v="49500000"/>
    <n v="15469938902"/>
  </r>
  <r>
    <x v="0"/>
    <s v="DHS 433M"/>
    <s v="가람정보통신"/>
    <m/>
    <n v="14500000"/>
    <n v="15484438902"/>
  </r>
  <r>
    <x v="0"/>
    <s v="DHS 930"/>
    <s v="가람정보통신"/>
    <m/>
    <n v="34500000"/>
    <n v="15518938902"/>
  </r>
  <r>
    <x v="0"/>
    <s v="DHS 15AP"/>
    <s v="(주)태화전기"/>
    <m/>
    <n v="49300000"/>
    <n v="15568238902"/>
  </r>
  <r>
    <x v="0"/>
    <s v="차고지 증명"/>
    <s v="(주)엘지유플러스"/>
    <m/>
    <n v="450000"/>
    <n v="15568688902"/>
  </r>
  <r>
    <x v="0"/>
    <s v="차고지 증명"/>
    <s v="(주)엘지유플러스"/>
    <m/>
    <n v="450000"/>
    <n v="15569138902"/>
  </r>
  <r>
    <x v="0"/>
    <s v="차고지 증명"/>
    <s v="(주)엘지유플러스"/>
    <m/>
    <n v="900000"/>
    <n v="15570038902"/>
  </r>
  <r>
    <x v="0"/>
    <s v="차고지 증명"/>
    <s v="(주)엘지유플러스"/>
    <m/>
    <n v="750000"/>
    <n v="15570788902"/>
  </r>
  <r>
    <x v="0"/>
    <s v="차고지 증명"/>
    <s v="(주)엘지유플러스"/>
    <m/>
    <n v="750000"/>
    <n v="15571538902"/>
  </r>
  <r>
    <x v="0"/>
    <s v="DHS 433L"/>
    <s v="(주)엘지화학"/>
    <m/>
    <n v="15000000"/>
    <n v="15586538902"/>
  </r>
  <r>
    <x v="0"/>
    <s v="DHS 433M"/>
    <s v="주식회사 세종네트워크"/>
    <m/>
    <n v="14310000"/>
    <n v="15600848902"/>
  </r>
  <r>
    <x v="0"/>
    <s v="DHS 950L"/>
    <s v="시온전기통신"/>
    <m/>
    <n v="38636364"/>
    <n v="15639485266"/>
  </r>
  <r>
    <x v="0"/>
    <s v="S3000-집게크레인"/>
    <s v="(주)한진디엔비"/>
    <m/>
    <n v="19000000"/>
    <n v="15658485266"/>
  </r>
  <r>
    <x v="0"/>
    <s v="S3000-집게크레인"/>
    <s v="(주)한진디엔비"/>
    <m/>
    <n v="19000000"/>
    <n v="15677485266"/>
  </r>
  <r>
    <x v="0"/>
    <s v="동해고소작업차-1312"/>
    <s v="(주)엘지유플러스"/>
    <m/>
    <n v="93900000"/>
    <n v="15771385266"/>
  </r>
  <r>
    <x v="0"/>
    <s v="동해고소작업차-1312"/>
    <s v="(주)엘지유플러스"/>
    <m/>
    <n v="93900000"/>
    <n v="15865285266"/>
  </r>
  <r>
    <x v="0"/>
    <s v="동해고소작업차-1306"/>
    <s v="(주)엘지유플러스"/>
    <m/>
    <n v="89600000"/>
    <n v="15954885266"/>
  </r>
  <r>
    <x v="0"/>
    <s v="동해고소작업차-1312"/>
    <s v="(주)엘지유플러스"/>
    <m/>
    <n v="125200000"/>
    <n v="16080085266"/>
  </r>
  <r>
    <x v="0"/>
    <s v="동해고소작업차-1306"/>
    <s v="(주)엘지유플러스"/>
    <m/>
    <n v="89600000"/>
    <n v="16169685266"/>
  </r>
  <r>
    <x v="0"/>
    <s v="동해고소작업차-1312"/>
    <s v="(주)엘지유플러스"/>
    <m/>
    <n v="93900000"/>
    <n v="16263585266"/>
  </r>
  <r>
    <x v="0"/>
    <s v="동해고소작업차-1306"/>
    <s v="(주)엘지유플러스"/>
    <m/>
    <n v="134400000"/>
    <n v="16397985266"/>
  </r>
  <r>
    <x v="0"/>
    <s v="동해고소작업차-1312"/>
    <s v="(주)엘지유플러스"/>
    <m/>
    <n v="62600000"/>
    <n v="16460585266"/>
  </r>
  <r>
    <x v="0"/>
    <s v="DHS 433M"/>
    <s v="(주)우리넷"/>
    <m/>
    <n v="11363636"/>
    <n v="16471948902"/>
  </r>
  <r>
    <x v="0"/>
    <s v="DHS 930"/>
    <s v="(주)태림이엔지"/>
    <m/>
    <n v="35545455"/>
    <n v="16507494357"/>
  </r>
  <r>
    <x v="0"/>
    <s v="DHS 950L"/>
    <s v="뉴게이트"/>
    <m/>
    <n v="39090909"/>
    <n v="16546585266"/>
  </r>
  <r>
    <x v="0"/>
    <s v="DHS 15AP"/>
    <s v="태창전기"/>
    <m/>
    <n v="47900000"/>
    <n v="16594485266"/>
  </r>
  <r>
    <x v="0"/>
    <s v="DHS 950L"/>
    <s v="한웅석"/>
    <m/>
    <n v="37500000"/>
    <n v="16631985266"/>
  </r>
  <r>
    <x v="0"/>
    <s v="DHS 433L"/>
    <s v="죤슨대리점"/>
    <m/>
    <n v="14200000"/>
    <n v="16646185266"/>
  </r>
  <r>
    <x v="0"/>
    <s v="DHS 950L"/>
    <s v="YS통신"/>
    <m/>
    <n v="38181818"/>
    <n v="16684367084"/>
  </r>
  <r>
    <x v="0"/>
    <s v="DHS 433L"/>
    <s v="청해마린"/>
    <m/>
    <n v="13636364"/>
    <n v="16698003448"/>
  </r>
  <r>
    <x v="0"/>
    <s v="DHS 433M"/>
    <s v="유일"/>
    <m/>
    <n v="13681819"/>
    <n v="16711685267"/>
  </r>
  <r>
    <x v="0"/>
    <s v="DHS 433M"/>
    <s v="유일"/>
    <m/>
    <n v="13681819"/>
    <n v="16725367086"/>
  </r>
  <r>
    <x v="0"/>
    <s v="DHS 930"/>
    <s v="하나정보통신(주)"/>
    <m/>
    <n v="38727273"/>
    <n v="16764094359"/>
  </r>
  <r>
    <x v="0"/>
    <s v="DHS 433M"/>
    <s v="유일"/>
    <m/>
    <n v="-13681819"/>
    <n v="16750412540"/>
  </r>
  <r>
    <x v="0"/>
    <s v="DHS 433M"/>
    <s v="유일"/>
    <m/>
    <n v="13681819"/>
    <n v="16764094359"/>
  </r>
  <r>
    <x v="0"/>
    <s v="DHS 950L"/>
    <s v="썬.넷"/>
    <m/>
    <n v="40318000"/>
    <n v="16804412359"/>
  </r>
  <r>
    <x v="0"/>
    <s v="DHS 950L"/>
    <s v="썬테크"/>
    <m/>
    <n v="40318000"/>
    <n v="16844730359"/>
  </r>
  <r>
    <x v="0"/>
    <s v="DHS 950L"/>
    <s v="(주)아이영남"/>
    <m/>
    <n v="35000000"/>
    <n v="16879730359"/>
  </r>
  <r>
    <x v="0"/>
    <s v="DHS 950L"/>
    <s v="(주)빅스타건설"/>
    <m/>
    <n v="38000000"/>
    <n v="16917730359"/>
  </r>
  <r>
    <x v="0"/>
    <s v="DHS 950L"/>
    <s v="보민정보"/>
    <m/>
    <n v="38454545"/>
    <n v="16956184904"/>
  </r>
  <r>
    <x v="0"/>
    <s v="DHS 950L"/>
    <s v="(주)세진통신"/>
    <m/>
    <n v="39545455"/>
    <n v="16995730359"/>
  </r>
  <r>
    <x v="0"/>
    <s v="DHS 15AP"/>
    <s v="금오전기"/>
    <m/>
    <n v="48181818"/>
    <n v="17043912177"/>
  </r>
  <r>
    <x v="0"/>
    <s v="DHS 950L"/>
    <s v="파워텔"/>
    <m/>
    <n v="38636363"/>
    <n v="17082548540"/>
  </r>
  <r>
    <x v="0"/>
    <s v="DHS 433M"/>
    <s v="다원"/>
    <m/>
    <n v="12500000"/>
    <n v="17095048540"/>
  </r>
  <r>
    <x v="0"/>
    <s v="DHS 950L"/>
    <s v="(주)아름"/>
    <m/>
    <n v="37713000"/>
    <n v="17132761540"/>
  </r>
  <r>
    <x v="0"/>
    <s v="DHS 17AP"/>
    <s v="지벡"/>
    <m/>
    <n v="52545455"/>
    <n v="17185306995"/>
  </r>
  <r>
    <x v="0"/>
    <s v="7000 틸팅 실린더외"/>
    <s v="(주)한진디엔비"/>
    <m/>
    <n v="40590000"/>
    <n v="17225896995"/>
  </r>
  <r>
    <x v="0"/>
    <s v="DHS 433"/>
    <s v="광림특장"/>
    <m/>
    <n v="13500000"/>
    <n v="17239396995"/>
  </r>
  <r>
    <x v="0"/>
    <s v="DHS 433M"/>
    <s v="(주)나우리정보통신"/>
    <m/>
    <n v="14699091"/>
    <n v="17254096086"/>
  </r>
  <r>
    <x v="0"/>
    <s v="DHS 1200L"/>
    <s v="피엠(PM)통신"/>
    <m/>
    <n v="39400000"/>
    <n v="17293496086"/>
  </r>
  <r>
    <x v="0"/>
    <s v="DHS 15AP"/>
    <s v="(주)세명전기통신"/>
    <m/>
    <n v="49000000"/>
    <n v="17342496086"/>
  </r>
  <r>
    <x v="0"/>
    <s v="DHS 433L"/>
    <s v="신명모터"/>
    <m/>
    <n v="14661739"/>
    <n v="17357157825"/>
  </r>
  <r>
    <x v="0"/>
    <s v="DHS 1200L"/>
    <s v="미래정보통신(주)"/>
    <m/>
    <n v="42727272"/>
    <n v="17399885097"/>
  </r>
  <r>
    <x v="0"/>
    <s v="DHS 433L"/>
    <s v="중앙라듸에터"/>
    <m/>
    <n v="13800000"/>
    <n v="17413685097"/>
  </r>
  <r>
    <x v="0"/>
    <s v="DHS 185SKY"/>
    <s v="대성"/>
    <m/>
    <n v="58000000"/>
    <n v="17471685097"/>
  </r>
  <r>
    <x v="0"/>
    <s v="DHS 930"/>
    <s v="신광"/>
    <m/>
    <n v="38600000"/>
    <n v="17510285097"/>
  </r>
  <r>
    <x v="0"/>
    <s v="DHS 433M"/>
    <s v="주식회사 한솔텔레콤"/>
    <m/>
    <n v="14789727"/>
    <n v="17525074824"/>
  </r>
  <r>
    <x v="0"/>
    <s v="DHT 160S"/>
    <s v="신현승"/>
    <m/>
    <n v="137000000"/>
    <n v="17662074824"/>
  </r>
  <r>
    <x v="0"/>
    <s v="DHT 145AS"/>
    <s v="주식회사 거산"/>
    <m/>
    <n v="148000000"/>
    <n v="17810074824"/>
  </r>
  <r>
    <x v="0"/>
    <s v="DHS 950L"/>
    <s v="광신네트워크"/>
    <m/>
    <n v="37500000"/>
    <n v="17847574824"/>
  </r>
  <r>
    <x v="0"/>
    <s v="DHS 433L"/>
    <s v="(자)삼성건기영서총판"/>
    <m/>
    <n v="13909091"/>
    <n v="17861483915"/>
  </r>
  <r>
    <x v="0"/>
    <s v="DHS 1200L"/>
    <s v="삼광전설"/>
    <m/>
    <n v="42000000"/>
    <n v="17903483915"/>
  </r>
  <r>
    <x v="0"/>
    <s v="DHS 1200L"/>
    <s v="강은용"/>
    <m/>
    <n v="41513000"/>
    <n v="17944996915"/>
  </r>
  <r>
    <x v="0"/>
    <s v="DHS 15AP"/>
    <s v="삼송"/>
    <m/>
    <n v="49363636"/>
    <n v="17994360551"/>
  </r>
  <r>
    <x v="0"/>
    <s v="DHS 7526+ "/>
    <s v="(주)딘엑스크레인"/>
    <m/>
    <n v="109527000"/>
    <n v="18103887551"/>
  </r>
  <r>
    <x v="0"/>
    <s v="DHX 100"/>
    <s v="(주)코엘"/>
    <m/>
    <n v="8200000"/>
    <n v="18112087551"/>
  </r>
  <r>
    <x v="0"/>
    <s v="DHS 433L"/>
    <s v="개별화물"/>
    <m/>
    <n v="28000000"/>
    <n v="18140087551"/>
  </r>
  <r>
    <x v="0"/>
    <s v="DHS 185SKY"/>
    <s v="경남스카이"/>
    <m/>
    <n v="59545455"/>
    <n v="18199633006"/>
  </r>
  <r>
    <x v="0"/>
    <s v="DHS 1200L"/>
    <s v="(주)대운전설"/>
    <m/>
    <n v="39000000"/>
    <n v="18238633006"/>
  </r>
  <r>
    <x v="0"/>
    <s v="DHS 930"/>
    <s v="맥정보통신(주)"/>
    <m/>
    <n v="35454545"/>
    <n v="18274087551"/>
  </r>
  <r>
    <x v="0"/>
    <s v="DHS 1200L"/>
    <s v="리건네트웍스"/>
    <m/>
    <n v="41818182"/>
    <n v="18315905733"/>
  </r>
  <r>
    <x v="0"/>
    <s v="DHS 870"/>
    <s v="형제통신"/>
    <m/>
    <n v="33000000"/>
    <n v="18348905733"/>
  </r>
  <r>
    <x v="0"/>
    <s v="DHS 930"/>
    <s v="(주)오성정보통신"/>
    <m/>
    <n v="35000000"/>
    <n v="18383905733"/>
  </r>
  <r>
    <x v="0"/>
    <s v="DHS 1800"/>
    <s v="대보정보통신 주식회사"/>
    <m/>
    <n v="47400000"/>
    <n v="18431305733"/>
  </r>
  <r>
    <x v="0"/>
    <s v="SOLENOID VALVE외 "/>
    <s v="SHANGHAI AVION M ＆ E ENGINEERING CO"/>
    <m/>
    <n v="11083978"/>
    <n v="18442389711"/>
  </r>
  <r>
    <x v="0"/>
    <s v="기계설비 외"/>
    <s v="금호산업(주)"/>
    <m/>
    <n v="395000000"/>
    <n v="18837389711"/>
  </r>
  <r>
    <x v="0"/>
    <s v="DHS 15AP "/>
    <s v="(주)동해기계항공"/>
    <m/>
    <n v="54680585"/>
    <n v="18892070296"/>
  </r>
  <r>
    <x v="0"/>
    <s v="DHS 17AP외 "/>
    <s v="(주)동해기계항공"/>
    <m/>
    <n v="43365659"/>
    <n v="18935435955"/>
  </r>
  <r>
    <x v="0"/>
    <s v="봉고 1.2톤외"/>
    <s v="(주)동해기계항공"/>
    <m/>
    <n v="30559999"/>
    <n v="18965995954"/>
  </r>
  <r>
    <x v="0"/>
    <s v="DHS 930"/>
    <s v="중원정보통신(주)"/>
    <m/>
    <n v="34643000"/>
    <n v="19000638954"/>
  </r>
  <r>
    <x v="0"/>
    <s v="DHS 1200L"/>
    <s v="(주)케이원전기"/>
    <m/>
    <n v="42818181"/>
    <n v="19043457135"/>
  </r>
  <r>
    <x v="0"/>
    <s v="DHS 433L"/>
    <s v="부강유압"/>
    <m/>
    <n v="14000000"/>
    <n v="19057457135"/>
  </r>
  <r>
    <x v="0"/>
    <s v="DHS 433L"/>
    <s v="태안군상하수도사업소"/>
    <m/>
    <n v="14000000"/>
    <n v="19071457135"/>
  </r>
  <r>
    <x v="0"/>
    <s v="DHS 950L"/>
    <s v="가인통신"/>
    <m/>
    <n v="38300000"/>
    <n v="19109757135"/>
  </r>
  <r>
    <x v="0"/>
    <s v="DHS 433M"/>
    <s v="태영정보통신"/>
    <m/>
    <n v="17244273"/>
    <n v="19127001408"/>
  </r>
  <r>
    <x v="0"/>
    <s v="DHS 1200L"/>
    <s v="드림네트웍스(주)"/>
    <m/>
    <n v="43000000"/>
    <n v="19170001408"/>
  </r>
  <r>
    <x v="0"/>
    <s v="DHS 950L"/>
    <s v="KT네트웍스"/>
    <m/>
    <n v="39740909"/>
    <n v="19209742317"/>
  </r>
  <r>
    <x v="0"/>
    <s v="DHS 433M"/>
    <s v="서이통신"/>
    <m/>
    <n v="14500000"/>
    <n v="19224242317"/>
  </r>
  <r>
    <x v="0"/>
    <s v="DHS 1200L"/>
    <s v="한마루정보통신"/>
    <m/>
    <n v="43636364"/>
    <n v="19267878681"/>
  </r>
  <r>
    <x v="0"/>
    <s v="DHS 17AP"/>
    <s v="(주)세광산업조명"/>
    <m/>
    <n v="49500000"/>
    <n v="19317378681"/>
  </r>
  <r>
    <x v="0"/>
    <s v="DHS 250AP "/>
    <s v="(주)동해기계항공"/>
    <m/>
    <n v="60358233"/>
    <n v="19377736914"/>
  </r>
  <r>
    <x v="0"/>
    <s v="DHS 250AP"/>
    <s v="(주)동해기계항공"/>
    <m/>
    <n v="-60358233"/>
    <n v="19317378681"/>
  </r>
  <r>
    <x v="0"/>
    <s v="DHS 250AP"/>
    <s v="(주)동해기계항공"/>
    <m/>
    <n v="60358233"/>
    <n v="19377736914"/>
  </r>
  <r>
    <x v="0"/>
    <s v="DHS 950L"/>
    <s v="(주)씨앤앰 북부케이블티브이"/>
    <m/>
    <n v="40630000"/>
    <n v="19418366914"/>
  </r>
  <r>
    <x v="0"/>
    <s v="DHS 950L"/>
    <s v="(주)씨앤앰중앙케이블티브이"/>
    <m/>
    <n v="40630000"/>
    <n v="19458996914"/>
  </r>
  <r>
    <x v="0"/>
    <s v="DHS 950L"/>
    <s v="(주)씨앤앰중랑케이블티브이"/>
    <m/>
    <n v="40630000"/>
    <n v="19499626914"/>
  </r>
  <r>
    <x v="0"/>
    <s v="DHS 950L"/>
    <s v="(주)씨앤앰 강동케이블티브이"/>
    <m/>
    <n v="40630000"/>
    <n v="19540256914"/>
  </r>
  <r>
    <x v="0"/>
    <s v="DHS 950L"/>
    <s v="RS 정보통신"/>
    <m/>
    <n v="37500000"/>
    <n v="19577756914"/>
  </r>
  <r>
    <x v="0"/>
    <s v="DHS 433M"/>
    <s v="청우통신(주)"/>
    <m/>
    <n v="12700000"/>
    <n v="19590456914"/>
  </r>
  <r>
    <x v="0"/>
    <s v="DHT 160AS "/>
    <s v="XUZHOU CONSTRUCTION MACHINERY GROUP"/>
    <m/>
    <n v="111614378"/>
    <n v="19702071292"/>
  </r>
  <r>
    <x v="0"/>
    <s v="DHS 185SKY"/>
    <s v="(주)해동"/>
    <m/>
    <n v="58200000"/>
    <n v="19760271292"/>
  </r>
  <r>
    <x v="0"/>
    <s v="크레인대금"/>
    <s v="(주)삼보전자통신"/>
    <m/>
    <n v="39800000"/>
    <n v="19800071292"/>
  </r>
  <r>
    <x v="0"/>
    <s v="크레인대금"/>
    <s v="대성시스템"/>
    <m/>
    <n v="41818182"/>
    <n v="19841889474"/>
  </r>
  <r>
    <x v="0"/>
    <s v="실린더대금"/>
    <s v="(주)한진디엔비"/>
    <m/>
    <n v="21820000"/>
    <n v="19863709474"/>
  </r>
  <r>
    <x v="0"/>
    <s v="크레인대금"/>
    <s v="한경옥"/>
    <m/>
    <n v="37500000"/>
    <n v="19901209474"/>
  </r>
  <r>
    <x v="0"/>
    <s v="크레인대금"/>
    <s v="(주)다산통신"/>
    <m/>
    <n v="37000000"/>
    <n v="19938209474"/>
  </r>
  <r>
    <x v="0"/>
    <s v="크레인대감"/>
    <s v="세광전력(주)"/>
    <m/>
    <n v="48480000"/>
    <n v="19986689474"/>
  </r>
  <r>
    <x v="0"/>
    <s v="크레인대금"/>
    <s v="한국케이블티브이푸른방송(주)"/>
    <m/>
    <n v="12636364"/>
    <n v="19999325838"/>
  </r>
  <r>
    <x v="0"/>
    <s v="DHS 15AP"/>
    <s v="부안군청"/>
    <m/>
    <n v="72727273"/>
    <n v="20072053111"/>
  </r>
  <r>
    <x v="0"/>
    <s v="크레인대금"/>
    <s v="(주)건화서비스"/>
    <m/>
    <n v="32000000"/>
    <n v="20104053111"/>
  </r>
  <r>
    <x v="0"/>
    <s v="크레인대금"/>
    <s v="태승"/>
    <m/>
    <n v="60850000"/>
    <n v="20164903111"/>
  </r>
  <r>
    <x v="0"/>
    <s v="DHS 930"/>
    <s v="링크맥스 주식회사"/>
    <m/>
    <n v="32727273"/>
    <n v="20197630384"/>
  </r>
  <r>
    <x v="0"/>
    <s v="DHS 930"/>
    <s v="링크맥스 주식회사"/>
    <m/>
    <n v="32727273"/>
    <n v="20230357657"/>
  </r>
  <r>
    <x v="0"/>
    <s v="DHS 433M"/>
    <s v="서광미디어(주)"/>
    <m/>
    <n v="14080909"/>
    <n v="20244438566"/>
  </r>
  <r>
    <x v="0"/>
    <s v="DHS 433L"/>
    <s v="홍스무역홍스공업사(주)"/>
    <m/>
    <n v="15460000"/>
    <n v="20259898566"/>
  </r>
  <r>
    <x v="0"/>
    <s v="DHS 185SKY"/>
    <s v="공간인테리어"/>
    <m/>
    <n v="60000000"/>
    <n v="20319898566"/>
  </r>
  <r>
    <x v="0"/>
    <s v="DHS 433L"/>
    <s v="홍스무역홍스공업사(주)"/>
    <m/>
    <n v="-15460000"/>
    <n v="20304438566"/>
  </r>
  <r>
    <x v="0"/>
    <s v="DHS 433L"/>
    <s v="홍스무역홍스공업사(주)"/>
    <m/>
    <n v="15160000"/>
    <n v="20319598566"/>
  </r>
  <r>
    <x v="0"/>
    <s v="DHS 15AP"/>
    <s v="(주)이제이텍"/>
    <m/>
    <n v="47000000"/>
    <n v="20366598566"/>
  </r>
  <r>
    <x v="0"/>
    <s v="DHS 1200L"/>
    <s v="(주)태극"/>
    <m/>
    <n v="41280000"/>
    <n v="20407878566"/>
  </r>
  <r>
    <x v="0"/>
    <s v="DHS 433L"/>
    <s v="창흥건설종합기계"/>
    <m/>
    <n v="16363636"/>
    <n v="20424242202"/>
  </r>
  <r>
    <x v="0"/>
    <s v="DHS 433"/>
    <s v="벽제농협발효퇴비공장"/>
    <m/>
    <n v="16300000"/>
    <n v="20440542202"/>
  </r>
  <r>
    <x v="0"/>
    <s v="DHS 930"/>
    <s v="(합자회사)동양아이텍"/>
    <m/>
    <n v="34909091"/>
    <n v="20475451293"/>
  </r>
  <r>
    <x v="0"/>
    <s v="DHS 433L "/>
    <s v="LANDSKY ENGINEERS PVT.LTD"/>
    <m/>
    <n v="25990968"/>
    <n v="20501442261"/>
  </r>
  <r>
    <x v="0"/>
    <s v="DHS 433M"/>
    <s v="주식회사 한솔텔레콤"/>
    <m/>
    <n v="14590909"/>
    <n v="20516033170"/>
  </r>
  <r>
    <x v="0"/>
    <s v="DHS 433L"/>
    <s v="(재)성산공원"/>
    <m/>
    <n v="15350000"/>
    <n v="20531383170"/>
  </r>
  <r>
    <x v="0"/>
    <s v="DHS 950L"/>
    <s v="현대자동차(주)울산공장"/>
    <m/>
    <n v="43000000"/>
    <n v="20574383170"/>
  </r>
  <r>
    <x v="0"/>
    <s v="DHS 105AP"/>
    <s v="프리라인"/>
    <m/>
    <n v="40550000"/>
    <n v="20614933170"/>
  </r>
  <r>
    <x v="0"/>
    <s v="파이프렌치실린더"/>
    <s v="(주)한진디엔비"/>
    <m/>
    <n v="1600000"/>
    <n v="20616533170"/>
  </r>
  <r>
    <x v="0"/>
    <s v="DHS 950L-3대"/>
    <s v="덕성정보통신(주)"/>
    <m/>
    <n v="114000000"/>
    <n v="20730533170"/>
  </r>
  <r>
    <x v="0"/>
    <s v="DHS 433M"/>
    <s v="(주)넥스원"/>
    <m/>
    <n v="13636363"/>
    <n v="20744169533"/>
  </r>
  <r>
    <x v="0"/>
    <s v="롯드핸들러 턴 실린더 외"/>
    <s v="(주)한진디엔비"/>
    <m/>
    <n v="14640000"/>
    <n v="20758809533"/>
  </r>
  <r>
    <x v="0"/>
    <s v="DHS 105AP"/>
    <s v="(주)제일정보통신"/>
    <m/>
    <n v="42000000"/>
    <n v="20800809533"/>
  </r>
  <r>
    <x v="0"/>
    <s v="DHS 1200L"/>
    <s v="산청군농업기술센터"/>
    <m/>
    <n v="45363637"/>
    <n v="20846173170"/>
  </r>
  <r>
    <x v="0"/>
    <s v="추가계약"/>
    <s v="산청군농업기술센터"/>
    <m/>
    <n v="5572727"/>
    <n v="20851745897"/>
  </r>
  <r>
    <x v="0"/>
    <s v="DHS 105AP"/>
    <s v="누리통신"/>
    <m/>
    <n v="40870000"/>
    <n v="20892615897"/>
  </r>
  <r>
    <x v="0"/>
    <s v="DHS 1200L-2EA "/>
    <s v="PT. QUANTUM MARKETING"/>
    <m/>
    <n v="39314480"/>
    <n v="20931930377"/>
  </r>
  <r>
    <x v="0"/>
    <s v="DHS 105AP"/>
    <s v="거해정보통신"/>
    <m/>
    <n v="40800000"/>
    <n v="20972730377"/>
  </r>
  <r>
    <x v="0"/>
    <s v="DHS 950L"/>
    <s v="주식회사 진성네트워크"/>
    <m/>
    <n v="39431818"/>
    <n v="21012162195"/>
  </r>
  <r>
    <x v="0"/>
    <s v="DHT-160AS "/>
    <s v="WAIMEA TRUCK ＆ CRANE LTD"/>
    <m/>
    <n v="214380986"/>
    <n v="21226543181"/>
  </r>
  <r>
    <x v="0"/>
    <s v="BUCKET "/>
    <s v="LANDSKY ENGINEERS PVT.LTD"/>
    <m/>
    <n v="545005"/>
    <n v="21227088186"/>
  </r>
  <r>
    <x v="0"/>
    <s v="DHS 950L"/>
    <s v="(주)티브로드 전주방송"/>
    <m/>
    <n v="45006000"/>
    <n v="21272094186"/>
  </r>
  <r>
    <x v="0"/>
    <s v="DHS 105AP"/>
    <s v="한미사"/>
    <m/>
    <n v="40818182"/>
    <n v="21312912368"/>
  </r>
  <r>
    <x v="0"/>
    <s v="DHS 105AP"/>
    <s v="(주)지에스엠텍"/>
    <m/>
    <n v="40200000"/>
    <n v="21353112368"/>
  </r>
  <r>
    <x v="0"/>
    <s v="DHS 15AP"/>
    <s v="광성전기"/>
    <m/>
    <n v="49400000"/>
    <n v="21402512368"/>
  </r>
  <r>
    <x v="0"/>
    <s v="DHS 17AP"/>
    <s v="(주)성업전기"/>
    <m/>
    <n v="52727273"/>
    <n v="21455239641"/>
  </r>
  <r>
    <x v="0"/>
    <s v="DHS 15AP-추가계약"/>
    <s v="부안군청"/>
    <m/>
    <n v="14155000"/>
    <n v="21469394641"/>
  </r>
  <r>
    <x v="0"/>
    <s v="DHS 950L"/>
    <s v="(주)메카넷"/>
    <m/>
    <n v="36363637"/>
    <n v="21505758278"/>
  </r>
  <r>
    <x v="0"/>
    <s v="DHS 105AP"/>
    <s v="한라정보통신(주)"/>
    <m/>
    <n v="38636363"/>
    <n v="21544394641"/>
  </r>
  <r>
    <x v="0"/>
    <s v="DHS 105AP"/>
    <s v="가람통신"/>
    <m/>
    <n v="40500000"/>
    <n v="21584894641"/>
  </r>
  <r>
    <x v="0"/>
    <s v="DHS 105AP"/>
    <s v="온통신"/>
    <m/>
    <n v="39000000"/>
    <n v="21623894641"/>
  </r>
  <r>
    <x v="0"/>
    <s v="DHS 433L"/>
    <s v="중앙마린"/>
    <m/>
    <n v="14400000"/>
    <n v="21638294641"/>
  </r>
  <r>
    <x v="0"/>
    <s v="DHS 1200L"/>
    <s v="(주)한길엔지니어링"/>
    <m/>
    <n v="42480000"/>
    <n v="21680774641"/>
  </r>
  <r>
    <x v="0"/>
    <s v="DHS 950L"/>
    <s v="최영헌"/>
    <m/>
    <n v="36750000"/>
    <n v="21717524641"/>
  </r>
  <r>
    <x v="0"/>
    <s v="DHS 15AP"/>
    <s v="금산읍사무소"/>
    <m/>
    <n v="49709091"/>
    <n v="21767233732"/>
  </r>
  <r>
    <x v="0"/>
    <s v="DHS 433"/>
    <s v="서귀포농업기술원"/>
    <m/>
    <n v="29090910"/>
    <n v="21796324642"/>
  </r>
  <r>
    <x v="0"/>
    <s v="DHS 1200L"/>
    <s v="태극전기통신"/>
    <m/>
    <n v="40700000"/>
    <n v="21837024642"/>
  </r>
  <r>
    <x v="0"/>
    <s v="DHS 1200L"/>
    <s v="인켈전기통신(주)"/>
    <m/>
    <n v="43636364"/>
    <n v="21880661006"/>
  </r>
  <r>
    <x v="0"/>
    <s v="DHS 1200L외 "/>
    <s v="SYKT.PEMBEKALAN ＆ PERKHIDMATANLEZAN"/>
    <m/>
    <n v="60986989"/>
    <n v="21941647995"/>
  </r>
  <r>
    <x v="0"/>
    <s v="DHS 1200L "/>
    <s v="DUC HUY MOTORS COMPANY"/>
    <m/>
    <n v="66114048"/>
    <n v="22007762043"/>
  </r>
  <r>
    <x v="0"/>
    <s v="DHS16AP외 "/>
    <s v="VIET TRUNG EQUIPMENT JOINT"/>
    <m/>
    <n v="155625600"/>
    <n v="22163387643"/>
  </r>
  <r>
    <x v="0"/>
    <s v="DHS 930"/>
    <s v="주식회사  띠앗정보통신"/>
    <m/>
    <n v="33754363"/>
    <n v="22197142006"/>
  </r>
  <r>
    <x v="0"/>
    <s v="DHT 145AS"/>
    <s v="송순근"/>
    <m/>
    <n v="159000000"/>
    <n v="22356142006"/>
  </r>
  <r>
    <x v="0"/>
    <s v="DHS 930"/>
    <s v="(주)용진통신"/>
    <m/>
    <n v="35400000"/>
    <n v="22391542006"/>
  </r>
  <r>
    <x v="0"/>
    <s v="DHS 433"/>
    <s v="대광마린"/>
    <m/>
    <n v="14580909"/>
    <n v="22406122915"/>
  </r>
  <r>
    <x v="0"/>
    <s v="DHS 105AP"/>
    <s v="엠파이어정보통신"/>
    <m/>
    <n v="40000000"/>
    <n v="22446122915"/>
  </r>
  <r>
    <x v="0"/>
    <s v="DHS 105AP"/>
    <s v="진텔콤"/>
    <m/>
    <n v="39500000"/>
    <n v="22485622915"/>
  </r>
  <r>
    <x v="0"/>
    <s v="실린더"/>
    <s v="(주)한진디엔비"/>
    <m/>
    <n v="13764000"/>
    <n v="22499386915"/>
  </r>
  <r>
    <x v="0"/>
    <s v="DHS 105AP"/>
    <s v="지엠테크"/>
    <m/>
    <n v="40700000"/>
    <n v="22540086915"/>
  </r>
  <r>
    <x v="0"/>
    <s v="DHS 105AP"/>
    <s v="어서와통신"/>
    <m/>
    <n v="39000000"/>
    <n v="22579086915"/>
  </r>
  <r>
    <x v="0"/>
    <s v="DHS 105AP"/>
    <s v="민구통신"/>
    <m/>
    <n v="40000000"/>
    <n v="22619086915"/>
  </r>
  <r>
    <x v="0"/>
    <s v="DHS 105AP"/>
    <s v="휴먼네트워크"/>
    <m/>
    <n v="41000000"/>
    <n v="22660086915"/>
  </r>
  <r>
    <x v="0"/>
    <s v="DHS 105AP"/>
    <s v="주식회사 국일이앤씨"/>
    <m/>
    <n v="43000000"/>
    <n v="22703086915"/>
  </r>
  <r>
    <x v="0"/>
    <s v="DHS 950L"/>
    <s v="동원텔레콤(주)"/>
    <m/>
    <n v="38633000"/>
    <n v="22741719915"/>
  </r>
  <r>
    <x v="0"/>
    <s v="DHS 105AP"/>
    <s v="(주)신화전력개발"/>
    <m/>
    <n v="39272727"/>
    <n v="22780992642"/>
  </r>
  <r>
    <x v="0"/>
    <s v="DHS 105AP"/>
    <s v="(주)신화전력개발"/>
    <m/>
    <n v="39272727"/>
    <n v="22820265369"/>
  </r>
  <r>
    <x v="0"/>
    <s v="DHS 433L"/>
    <s v="에스텍마린(주)"/>
    <m/>
    <n v="12499091"/>
    <n v="22832764460"/>
  </r>
  <r>
    <x v="0"/>
    <s v="DHS 950L"/>
    <s v="파도 네트워크"/>
    <m/>
    <n v="36000000"/>
    <n v="22868764460"/>
  </r>
  <r>
    <x v="0"/>
    <s v="DHS 105AP"/>
    <s v="주니통신"/>
    <m/>
    <n v="40500000"/>
    <n v="22909264460"/>
  </r>
  <r>
    <x v="0"/>
    <s v="DHS 105AP"/>
    <s v="광접속"/>
    <m/>
    <n v="40500000"/>
    <n v="22949764460"/>
  </r>
  <r>
    <x v="0"/>
    <s v="DHS 950L"/>
    <s v="이화통신(주)"/>
    <m/>
    <n v="37250000"/>
    <n v="22987014460"/>
  </r>
  <r>
    <x v="0"/>
    <s v="DHS 433M"/>
    <s v="크레인마스타"/>
    <m/>
    <n v="12480000"/>
    <n v="22999494460"/>
  </r>
  <r>
    <x v="0"/>
    <s v="DHS 105AP"/>
    <s v="고경통신"/>
    <m/>
    <n v="40100000"/>
    <n v="23039594460"/>
  </r>
  <r>
    <x v="0"/>
    <s v="DHS 433M"/>
    <s v="대덕상사"/>
    <m/>
    <n v="13300000"/>
    <n v="23052894460"/>
  </r>
  <r>
    <x v="0"/>
    <s v="사천비행장"/>
    <s v="서광종합개발(주)"/>
    <m/>
    <n v="16876000"/>
    <n v="23069770460"/>
  </r>
  <r>
    <x v="0"/>
    <s v="DHS 21AP "/>
    <s v="VIET TRUNG EQUIPMENT JOINT"/>
    <m/>
    <n v="238465920"/>
    <n v="23308236380"/>
  </r>
  <r>
    <x v="0"/>
    <s v="DHS 105AP"/>
    <s v="거진통신"/>
    <m/>
    <n v="41500000"/>
    <n v="23349736380"/>
  </r>
  <r>
    <x v="0"/>
    <s v="수지코 앞 잭 실린더 외"/>
    <s v="(주)한진디엔비"/>
    <m/>
    <n v="84722000"/>
    <n v="23434458380"/>
  </r>
  <r>
    <x v="0"/>
    <s v="DHS 105AP"/>
    <s v="온누리환경(주)"/>
    <m/>
    <n v="40000000"/>
    <n v="23474458380"/>
  </r>
  <r>
    <x v="0"/>
    <s v="DHS 105AP"/>
    <s v="부덕정보통신"/>
    <m/>
    <n v="40909091"/>
    <n v="23515367471"/>
  </r>
  <r>
    <x v="0"/>
    <s v="DHS 105AP"/>
    <s v="수화통신"/>
    <m/>
    <n v="40454546"/>
    <n v="23555822017"/>
  </r>
  <r>
    <x v="0"/>
    <s v="DHS 950L"/>
    <s v="블루정보통신"/>
    <m/>
    <n v="37500000"/>
    <n v="23593322017"/>
  </r>
  <r>
    <x v="0"/>
    <s v="DHS 105AP"/>
    <s v="제타통신"/>
    <m/>
    <n v="40500000"/>
    <n v="23633822017"/>
  </r>
  <r>
    <x v="0"/>
    <s v="DHS 185SKY"/>
    <s v="사인플러스 앤 그녀의작업실"/>
    <m/>
    <n v="60500000"/>
    <n v="23694322017"/>
  </r>
  <r>
    <x v="0"/>
    <s v="활주로 초과저지 자재"/>
    <s v="공군군수사령부"/>
    <m/>
    <n v="31999909"/>
    <n v="23726321926"/>
  </r>
  <r>
    <x v="0"/>
    <s v="DHS 185SKY"/>
    <s v="제일스카이"/>
    <m/>
    <n v="60168181"/>
    <n v="23786490107"/>
  </r>
  <r>
    <x v="0"/>
    <s v="DHS 433L"/>
    <s v="광신중전기"/>
    <m/>
    <n v="14000000"/>
    <n v="23800490107"/>
  </r>
  <r>
    <x v="0"/>
    <s v="DHS 433L"/>
    <s v="삼태미공업사"/>
    <m/>
    <n v="16100000"/>
    <n v="23816590107"/>
  </r>
  <r>
    <x v="0"/>
    <s v="DHS 15AP"/>
    <s v="나라산전"/>
    <m/>
    <n v="50000000"/>
    <n v="23866590107"/>
  </r>
  <r>
    <x v="0"/>
    <s v="DHS 105AP"/>
    <s v="유준네트웍스"/>
    <m/>
    <n v="39500000"/>
    <n v="23906090107"/>
  </r>
  <r>
    <x v="0"/>
    <s v="DHS 433L"/>
    <s v="금강리모델링. 설비"/>
    <m/>
    <n v="14500000"/>
    <n v="23920590107"/>
  </r>
  <r>
    <x v="0"/>
    <s v="DHS 15AP-추가계약"/>
    <s v="창원시 의창구청"/>
    <m/>
    <n v="4250000"/>
    <n v="23924840107"/>
  </r>
  <r>
    <x v="0"/>
    <s v="DHS 433L"/>
    <s v="운창건설기계부품"/>
    <m/>
    <n v="13500000"/>
    <n v="23938340107"/>
  </r>
  <r>
    <x v="0"/>
    <s v="DHS 433M"/>
    <s v="김준용"/>
    <m/>
    <n v="13800000"/>
    <n v="23952140107"/>
  </r>
  <r>
    <x v="0"/>
    <s v="DHS 15AP"/>
    <s v="창원시 의창구청"/>
    <m/>
    <n v="49709091"/>
    <n v="24001849198"/>
  </r>
  <r>
    <x v="0"/>
    <s v="적재함 바닥"/>
    <s v="진도군농업기술센터"/>
    <m/>
    <n v="300000"/>
    <n v="24002149198"/>
  </r>
  <r>
    <x v="0"/>
    <s v="DHS 105AP"/>
    <s v="(주)나우리정보통신"/>
    <m/>
    <n v="40909091"/>
    <n v="24043058289"/>
  </r>
  <r>
    <x v="0"/>
    <s v="DHS 17AP"/>
    <s v="성우산업개발"/>
    <m/>
    <n v="54000000"/>
    <n v="24097058289"/>
  </r>
  <r>
    <x v="0"/>
    <s v="DHS 950L"/>
    <s v="수(SU)정보통신"/>
    <m/>
    <n v="36363636"/>
    <n v="24133421925"/>
  </r>
  <r>
    <x v="0"/>
    <s v="DHS 433L"/>
    <s v="대정정보통신"/>
    <m/>
    <n v="16218182"/>
    <n v="24149640107"/>
  </r>
  <r>
    <x v="0"/>
    <s v="DHS 105AP"/>
    <s v="현정보통신"/>
    <m/>
    <n v="40500000"/>
    <n v="24190140107"/>
  </r>
  <r>
    <x v="0"/>
    <s v="DGS 433"/>
    <s v="진도군농업기술센터"/>
    <m/>
    <n v="29090910"/>
    <n v="24219231017"/>
  </r>
  <r>
    <x v="0"/>
    <s v="DHS 105AP"/>
    <s v="우주정보통신"/>
    <m/>
    <n v="40909090"/>
    <n v="24260140107"/>
  </r>
  <r>
    <x v="0"/>
    <s v="DHM 750S"/>
    <s v="고성양식제81호"/>
    <m/>
    <n v="16600000"/>
    <n v="24276740107"/>
  </r>
  <r>
    <x v="0"/>
    <s v="HWD 200"/>
    <s v="대정정보통신"/>
    <m/>
    <n v="3600000"/>
    <n v="24280340107"/>
  </r>
  <r>
    <x v="0"/>
    <s v="지열작업판 롯드렌지 실린더"/>
    <s v="(주)한진디엔비"/>
    <m/>
    <n v="2940000"/>
    <n v="24283280107"/>
  </r>
  <r>
    <x v="0"/>
    <s v="DJS 950L"/>
    <s v="세진와이피"/>
    <m/>
    <n v="38400000"/>
    <n v="24321680107"/>
  </r>
  <r>
    <x v="0"/>
    <s v="DHS 433L"/>
    <s v="대덕상사"/>
    <m/>
    <n v="14000000"/>
    <n v="24335680107"/>
  </r>
  <r>
    <x v="0"/>
    <s v="DHS 17AP"/>
    <s v="(주)하나로전기"/>
    <m/>
    <n v="50800000"/>
    <n v="24386480107"/>
  </r>
  <r>
    <x v="0"/>
    <s v="DHS 433L"/>
    <s v="(주)자동기"/>
    <m/>
    <n v="13900000"/>
    <n v="24400380107"/>
  </r>
  <r>
    <x v="0"/>
    <s v="DHS 105AP"/>
    <s v="엠파이어정보통신"/>
    <m/>
    <n v="40000000"/>
    <n v="24440380107"/>
  </r>
  <r>
    <x v="0"/>
    <s v="크레인 수리비"/>
    <s v="(주)티브로드도봉강북방송"/>
    <m/>
    <n v="-485000"/>
    <n v="24439895107"/>
  </r>
  <r>
    <x v="0"/>
    <s v="DHS 105AP"/>
    <s v="주식회사 수길정보통신"/>
    <m/>
    <n v="40500000"/>
    <n v="24480395107"/>
  </r>
  <r>
    <x v="0"/>
    <s v="DHS 105AP"/>
    <s v="모토콤"/>
    <m/>
    <n v="40500000"/>
    <n v="24520895107"/>
  </r>
  <r>
    <x v="0"/>
    <s v="DHS 920"/>
    <s v="문성네트웍스"/>
    <m/>
    <n v="41053637"/>
    <n v="24561948744"/>
  </r>
  <r>
    <x v="0"/>
    <s v="DHS 950L"/>
    <s v="케이앤통신"/>
    <m/>
    <n v="38450000"/>
    <n v="24600398744"/>
  </r>
  <r>
    <x v="0"/>
    <s v="DHS 433L"/>
    <s v="(주)무창"/>
    <m/>
    <n v="15000000"/>
    <n v="24615398744"/>
  </r>
  <r>
    <x v="0"/>
    <s v="DHT 160AS"/>
    <s v="WAIMEA TRUCK ＆ CRANE LTD"/>
    <m/>
    <n v="109141876"/>
    <n v="24724540620"/>
  </r>
  <r>
    <x v="0"/>
    <s v="DHS 105AP"/>
    <s v="트윈통신"/>
    <m/>
    <n v="39300000"/>
    <n v="24763840620"/>
  </r>
  <r>
    <x v="0"/>
    <s v="DHS 105AP"/>
    <s v="인월 정보통신"/>
    <m/>
    <n v="40000000"/>
    <n v="24803840620"/>
  </r>
  <r>
    <x v="0"/>
    <s v="DHS 105AP"/>
    <s v="(주)정강통신"/>
    <m/>
    <n v="40909091"/>
    <n v="24844749711"/>
  </r>
  <r>
    <x v="0"/>
    <s v="DHS 1800"/>
    <s v="(주)성광"/>
    <m/>
    <n v="81700000"/>
    <n v="24926449711"/>
  </r>
  <r>
    <x v="0"/>
    <s v="DHS 1200L"/>
    <s v="(주)넥스파시스템"/>
    <m/>
    <n v="44194545"/>
    <n v="24970644256"/>
  </r>
  <r>
    <x v="0"/>
    <s v="DHS 105AP"/>
    <s v="유성네트워크"/>
    <m/>
    <n v="39500000"/>
    <n v="25010144256"/>
  </r>
  <r>
    <x v="0"/>
    <s v="DHS 105AP"/>
    <s v="(주)신성네트웍스"/>
    <m/>
    <n v="38500000"/>
    <n v="25048644256"/>
  </r>
  <r>
    <x v="0"/>
    <s v="DHS 870"/>
    <s v="송언한"/>
    <m/>
    <n v="36000000"/>
    <n v="25084644256"/>
  </r>
  <r>
    <x v="0"/>
    <s v="DHS 433M"/>
    <s v="최종원"/>
    <m/>
    <n v="12500000"/>
    <n v="25097144256"/>
  </r>
  <r>
    <x v="0"/>
    <s v="DHS 17AP"/>
    <s v="웅진보안시스템(주)"/>
    <m/>
    <n v="52000000"/>
    <n v="25149144256"/>
  </r>
  <r>
    <x v="0"/>
    <s v="DHS 105AP"/>
    <s v="MHTC"/>
    <m/>
    <n v="40500000"/>
    <n v="25189644256"/>
  </r>
  <r>
    <x v="0"/>
    <s v="DHS 105AP"/>
    <s v="MHTC"/>
    <m/>
    <n v="40500000"/>
    <n v="25230144256"/>
  </r>
  <r>
    <x v="0"/>
    <s v="DHS 433M"/>
    <s v="(주)대천정보통신"/>
    <m/>
    <n v="14200000"/>
    <n v="25244344256"/>
  </r>
  <r>
    <x v="0"/>
    <s v="DHS 433M"/>
    <s v="(주)신화전력개발"/>
    <m/>
    <n v="13200000"/>
    <n v="25257544256"/>
  </r>
  <r>
    <x v="0"/>
    <s v="DHS 433M"/>
    <s v="정도네트웍"/>
    <m/>
    <n v="14320000"/>
    <n v="25271864256"/>
  </r>
  <r>
    <x v="0"/>
    <s v="DHS 433M-SP"/>
    <s v="익산농기계"/>
    <m/>
    <n v="10750000"/>
    <n v="25282614256"/>
  </r>
  <r>
    <x v="0"/>
    <s v="DHS 433L"/>
    <s v="코리아마린"/>
    <m/>
    <n v="15035455"/>
    <n v="25297649711"/>
  </r>
  <r>
    <x v="0"/>
    <s v="DHS 433L"/>
    <s v="두산에스엘공업주식회사"/>
    <m/>
    <n v="15000000"/>
    <n v="25312649711"/>
  </r>
  <r>
    <x v="0"/>
    <s v="활주로방해시설"/>
    <s v="국방부본부"/>
    <m/>
    <n v="6041818"/>
    <n v="25318691529"/>
  </r>
  <r>
    <x v="0"/>
    <s v="DHS 105AP"/>
    <s v="(주)제이엔테크"/>
    <m/>
    <n v="40909091"/>
    <n v="25359600620"/>
  </r>
  <r>
    <x v="0"/>
    <s v="DHS 950L"/>
    <s v="케이앤통신"/>
    <m/>
    <n v="38450000"/>
    <n v="25398050620"/>
  </r>
  <r>
    <x v="0"/>
    <s v="DHS 433M"/>
    <s v="최봉식"/>
    <m/>
    <n v="14272727"/>
    <n v="25412323347"/>
  </r>
  <r>
    <x v="0"/>
    <s v="DHS 1200L"/>
    <s v="경진"/>
    <m/>
    <n v="43636363"/>
    <n v="25455959710"/>
  </r>
  <r>
    <x v="0"/>
    <s v="DHS 105AP"/>
    <s v="주식회사캔텔"/>
    <m/>
    <n v="41141000"/>
    <n v="25497100710"/>
  </r>
  <r>
    <x v="0"/>
    <s v="DHS 950L"/>
    <s v="케이앤통신"/>
    <m/>
    <n v="-38450000"/>
    <n v="25458650710"/>
  </r>
  <r>
    <x v="0"/>
    <s v="DHS 280AP"/>
    <s v="울산광고물협동조합"/>
    <m/>
    <n v="108000000"/>
    <n v="25566650710"/>
  </r>
  <r>
    <x v="0"/>
    <s v="DHS 17AP"/>
    <s v="(주)국제전력"/>
    <m/>
    <n v="53000000"/>
    <n v="25619650710"/>
  </r>
  <r>
    <x v="0"/>
    <s v="DHS 105AP"/>
    <s v="제일정보통신"/>
    <m/>
    <n v="40909091"/>
    <n v="25660559801"/>
  </r>
  <r>
    <x v="0"/>
    <s v="DHS 105AP"/>
    <s v="하나통신"/>
    <m/>
    <n v="40500000"/>
    <n v="25701059801"/>
  </r>
  <r>
    <x v="0"/>
    <s v="DHS 105AP"/>
    <s v="(주)시열정보통신"/>
    <m/>
    <n v="40454545"/>
    <n v="25741514346"/>
  </r>
  <r>
    <x v="0"/>
    <s v="DHS 15AP"/>
    <s v="칠성전력"/>
    <m/>
    <n v="50000000"/>
    <n v="25791514346"/>
  </r>
  <r>
    <x v="0"/>
    <s v="DHS 185SKY"/>
    <s v="주식회사 피누스이앤씨"/>
    <m/>
    <n v="60500000"/>
    <n v="25852014346"/>
  </r>
  <r>
    <x v="0"/>
    <s v="DHM 1500S2"/>
    <s v="동해해양사업"/>
    <m/>
    <n v="25150000"/>
    <n v="25877164346"/>
  </r>
  <r>
    <x v="0"/>
    <s v="수지코 롯드받침 실린더 외"/>
    <s v="(주)한진디엔비"/>
    <m/>
    <n v="6418000"/>
    <n v="25883582346"/>
  </r>
  <r>
    <x v="0"/>
    <s v="서울기지 시설보완공사현장 MA-1A 자재납품 설치기성금"/>
    <s v="롯데건설(주)"/>
    <m/>
    <n v="130160000"/>
    <n v="26013742346"/>
  </r>
  <r>
    <x v="0"/>
    <s v="DHS 433M"/>
    <s v="제니스네트웍"/>
    <m/>
    <n v="13600000"/>
    <n v="26027342346"/>
  </r>
  <r>
    <x v="0"/>
    <s v="크레인대금 "/>
    <s v="에스케이씨앤씨(주)"/>
    <m/>
    <n v="8907409"/>
    <n v="26036249755"/>
  </r>
  <r>
    <x v="0"/>
    <s v="DHS 870"/>
    <s v="에스케이씨앤씨(주)"/>
    <m/>
    <n v="-8907409"/>
    <n v="26027342346"/>
  </r>
  <r>
    <x v="0"/>
    <s v="DHS 870"/>
    <s v="에스케이씨앤씨(주)"/>
    <m/>
    <n v="8907409"/>
    <n v="26036249755"/>
  </r>
  <r>
    <x v="0"/>
    <s v="DHS 433L"/>
    <s v="이종길"/>
    <m/>
    <n v="16190000"/>
    <n v="26052439755"/>
  </r>
  <r>
    <x v="0"/>
    <s v="특장차대금"/>
    <s v="(주)동해기계항공"/>
    <m/>
    <n v="60112724"/>
    <n v="26112552479"/>
  </r>
  <r>
    <x v="0"/>
    <s v="성남비행장 MA-1A 이전설치건"/>
    <s v="금호산업(주)"/>
    <m/>
    <n v="18266000"/>
    <n v="26130818479"/>
  </r>
  <r>
    <x v="0"/>
    <s v="DHS 433L"/>
    <s v="이지에버텍"/>
    <m/>
    <n v="14260000"/>
    <n v="26145078479"/>
  </r>
  <r>
    <x v="0"/>
    <s v="DHS 105AP"/>
    <s v="(주)아미넷"/>
    <m/>
    <n v="37727273"/>
    <n v="26182805752"/>
  </r>
  <r>
    <x v="0"/>
    <s v="P3000 틸팅실린더 외"/>
    <s v="(주)한진디엔비"/>
    <m/>
    <n v="25250000"/>
    <n v="26208055752"/>
  </r>
  <r>
    <x v="0"/>
    <s v="DHS 1200L "/>
    <s v="PT. QUANTUM MARKETING"/>
    <m/>
    <n v="23559146"/>
    <n v="26231614898"/>
  </r>
  <r>
    <x v="0"/>
    <s v="DHS 15AP"/>
    <s v="DONGHAE VIETNAM/Mr. VUTHANG"/>
    <m/>
    <n v="73041025"/>
    <n v="26304655923"/>
  </r>
  <r>
    <x v="0"/>
    <s v="DHS 105AP"/>
    <s v="지구별통신"/>
    <m/>
    <n v="40909091"/>
    <n v="26345565014"/>
  </r>
  <r>
    <x v="0"/>
    <s v="DHS 105AP"/>
    <s v="하이스트(Highest)"/>
    <m/>
    <n v="38800000"/>
    <n v="26384365014"/>
  </r>
  <r>
    <x v="0"/>
    <s v="DHS 105AP"/>
    <s v="윤정미"/>
    <m/>
    <n v="39272727"/>
    <n v="26423637741"/>
  </r>
  <r>
    <x v="0"/>
    <s v="DHS 105AP"/>
    <s v="김순철"/>
    <m/>
    <n v="39272727"/>
    <n v="26462910468"/>
  </r>
  <r>
    <x v="0"/>
    <s v="DHS 105AP"/>
    <s v="위은지"/>
    <m/>
    <n v="39272727"/>
    <n v="26502183195"/>
  </r>
  <r>
    <x v="0"/>
    <s v="DHS 105AP"/>
    <s v="김용국"/>
    <m/>
    <n v="39090909"/>
    <n v="26541274104"/>
  </r>
  <r>
    <x v="0"/>
    <s v="DHS 950L"/>
    <s v="(주)시열정보통신"/>
    <m/>
    <n v="39090909"/>
    <n v="26580365013"/>
  </r>
  <r>
    <x v="0"/>
    <s v="HWD-200"/>
    <s v="진오통신"/>
    <m/>
    <n v="3600000"/>
    <n v="26583965013"/>
  </r>
  <r>
    <x v="0"/>
    <s v="DHS 105AP"/>
    <s v="관우통신"/>
    <m/>
    <n v="39000000"/>
    <n v="26622965013"/>
  </r>
  <r>
    <x v="0"/>
    <s v="DHS 950L"/>
    <s v="(주)흥도통신"/>
    <m/>
    <n v="40636364"/>
    <n v="26663601377"/>
  </r>
  <r>
    <x v="0"/>
    <s v="크레인대금"/>
    <s v="진흥통신"/>
    <m/>
    <n v="50272727"/>
    <n v="26713874104"/>
  </r>
  <r>
    <x v="0"/>
    <s v="DHS 105AP"/>
    <s v="기가테크넷"/>
    <m/>
    <n v="40500000"/>
    <n v="26754374104"/>
  </r>
  <r>
    <x v="0"/>
    <s v="DHS 1200L"/>
    <s v="(주)경봉"/>
    <m/>
    <n v="41818182"/>
    <n v="26796192286"/>
  </r>
  <r>
    <x v="0"/>
    <s v="DHS 105AP"/>
    <s v="나은정보통신"/>
    <m/>
    <n v="40000000"/>
    <n v="26836192286"/>
  </r>
  <r>
    <x v="0"/>
    <s v="DHS 1200L"/>
    <s v="수진상사"/>
    <m/>
    <n v="39454545"/>
    <n v="26875646831"/>
  </r>
  <r>
    <x v="0"/>
    <s v="DHS 105AP"/>
    <s v="SM텔레콤"/>
    <m/>
    <n v="40525363"/>
    <n v="26916172194"/>
  </r>
  <r>
    <x v="0"/>
    <s v="DHS 433M"/>
    <s v="엘프통신"/>
    <m/>
    <n v="13000000"/>
    <n v="26929172194"/>
  </r>
  <r>
    <x v="0"/>
    <s v="DHS 21AP"/>
    <s v="DONGHAE VIETNAM/Mr. VUTHANG"/>
    <m/>
    <n v="235562880"/>
    <n v="27164735074"/>
  </r>
  <r>
    <x v="0"/>
    <s v="DHS 433L"/>
    <s v="동우인더스(주)"/>
    <m/>
    <n v="1000000"/>
    <n v="27165735074"/>
  </r>
  <r>
    <x v="0"/>
    <s v="DHS 15AP"/>
    <s v="EL전기조명공사"/>
    <m/>
    <n v="50000000"/>
    <n v="27215735074"/>
  </r>
  <r>
    <x v="0"/>
    <s v="DHS 105AP"/>
    <s v="새누리정보통신"/>
    <m/>
    <n v="38000000"/>
    <n v="27253735074"/>
  </r>
  <r>
    <x v="0"/>
    <s v="DHS 15AP외"/>
    <s v="(주)동해기계항공"/>
    <m/>
    <n v="149541928"/>
    <n v="27403277002"/>
  </r>
  <r>
    <x v="0"/>
    <s v="DHS 433"/>
    <s v="명성아이티"/>
    <m/>
    <n v="12200000"/>
    <n v="27415477002"/>
  </r>
  <r>
    <x v="0"/>
    <s v="DHS 930"/>
    <s v="삼성텔레콤"/>
    <m/>
    <n v="32500000"/>
    <n v="27447977002"/>
  </r>
  <r>
    <x v="0"/>
    <s v="부품대금"/>
    <s v="동해해양사업"/>
    <m/>
    <n v="9000000"/>
    <n v="27456977002"/>
  </r>
  <r>
    <x v="0"/>
    <s v="실린더대금"/>
    <s v="(주)한진디엔비"/>
    <m/>
    <n v="1740000"/>
    <n v="27458717002"/>
  </r>
  <r>
    <x v="0"/>
    <s v="DHS 15AP"/>
    <s v="(주)승달전력"/>
    <m/>
    <n v="49300000"/>
    <n v="27508017002"/>
  </r>
  <r>
    <x v="0"/>
    <s v="DHS 433L"/>
    <s v="연상우"/>
    <m/>
    <n v="13363636"/>
    <n v="27521380638"/>
  </r>
  <r>
    <x v="0"/>
    <s v="DHS 17AP"/>
    <s v="금강벤딩"/>
    <m/>
    <n v="50000000"/>
    <n v="27571380638"/>
  </r>
  <r>
    <x v="0"/>
    <s v="DHS 433M"/>
    <s v="주식회사 푸른넷"/>
    <m/>
    <n v="15181000"/>
    <n v="27586561638"/>
  </r>
  <r>
    <x v="0"/>
    <s v="탑헤드 턴 실린더외"/>
    <s v="(주)한진디엔비"/>
    <m/>
    <n v="21114000"/>
    <n v="27607675638"/>
  </r>
  <r>
    <x v="0"/>
    <s v="DHS 105AP"/>
    <s v="성림정보산업"/>
    <m/>
    <n v="40909091"/>
    <n v="27648584729"/>
  </r>
  <r>
    <x v="0"/>
    <s v="DHS 1800"/>
    <s v="방위사업청"/>
    <m/>
    <n v="78272728"/>
    <n v="27726857457"/>
  </r>
  <r>
    <x v="0"/>
    <s v="DHS 280AP"/>
    <s v="(주)동해기계항공"/>
    <m/>
    <n v="57035900"/>
    <n v="27783893357"/>
  </r>
  <r>
    <x v="0"/>
    <s v="DHS 1800,DHS 15AP"/>
    <s v="SYKT.PEMBEKALAN ＆ PERKHIDMATANLEZAN"/>
    <m/>
    <n v="71440158"/>
    <n v="27855333515"/>
  </r>
  <r>
    <x v="0"/>
    <s v="DHS 280AP"/>
    <s v="학산광고크레인"/>
    <m/>
    <n v="103000000"/>
    <n v="27958333515"/>
  </r>
  <r>
    <x v="0"/>
    <s v="DHS 105AP"/>
    <s v="주식회사 성화"/>
    <m/>
    <n v="40909090"/>
    <n v="27999242605"/>
  </r>
  <r>
    <x v="0"/>
    <s v="DHT 145S"/>
    <s v="제일전설주식회사"/>
    <m/>
    <n v="132000000"/>
    <n v="28131242605"/>
  </r>
  <r>
    <x v="0"/>
    <s v="DHS 1800"/>
    <s v="인천국제공항공사"/>
    <m/>
    <n v="78272728"/>
    <n v="28209515333"/>
  </r>
  <r>
    <x v="0"/>
    <s v="DHS 1800"/>
    <s v="인천국제공항공사"/>
    <m/>
    <n v="-78272728"/>
    <n v="28131242605"/>
  </r>
  <r>
    <x v="0"/>
    <s v="DHS 920"/>
    <s v="영천시청"/>
    <m/>
    <n v="41272728"/>
    <n v="28172515333"/>
  </r>
  <r>
    <x v="0"/>
    <s v="DHS 433L"/>
    <s v="동우인더스(주)"/>
    <m/>
    <n v="10000000"/>
    <n v="28182515333"/>
  </r>
  <r>
    <x v="0"/>
    <s v="DHS 15AP"/>
    <s v="(주)청록"/>
    <m/>
    <n v="51500000"/>
    <n v="28234015333"/>
  </r>
  <r>
    <x v="0"/>
    <s v="DHS 433L"/>
    <s v="(주)티에스케이워터"/>
    <m/>
    <n v="14000000"/>
    <n v="28248015333"/>
  </r>
  <r>
    <x v="0"/>
    <s v="DHS 950L"/>
    <s v="우리네트웍스"/>
    <m/>
    <n v="38181818"/>
    <n v="28286197151"/>
  </r>
  <r>
    <x v="0"/>
    <s v="DHS 1200L"/>
    <s v="수진상사"/>
    <m/>
    <n v="39454545"/>
    <n v="28325651696"/>
  </r>
  <r>
    <x v="0"/>
    <s v="DHS 433L"/>
    <s v="(주)티에스케이워터"/>
    <m/>
    <n v="-14000000"/>
    <n v="28311651696"/>
  </r>
  <r>
    <x v="0"/>
    <s v="DHS 105AP"/>
    <s v="SH통신"/>
    <m/>
    <n v="40000000"/>
    <n v="28351651696"/>
  </r>
  <r>
    <x v="0"/>
    <s v="HWD 200"/>
    <s v="태영정보통신"/>
    <m/>
    <n v="3600000"/>
    <n v="28355251696"/>
  </r>
  <r>
    <x v="0"/>
    <s v="P4000 표준 홀더 실린더 외"/>
    <s v="(주)한진디엔비"/>
    <m/>
    <n v="20627000"/>
    <n v="28375878696"/>
  </r>
  <r>
    <x v="0"/>
    <s v="S3000"/>
    <s v="(주)한진디엔비"/>
    <m/>
    <n v="19000000"/>
    <n v="28394878696"/>
  </r>
  <r>
    <x v="0"/>
    <s v="DHS 950L"/>
    <s v="제이에이치"/>
    <m/>
    <n v="38070000"/>
    <n v="28432948696"/>
  </r>
  <r>
    <x v="0"/>
    <s v="DHS 105AP"/>
    <s v="유진테크"/>
    <m/>
    <n v="39500000"/>
    <n v="28472448696"/>
  </r>
  <r>
    <x v="0"/>
    <s v="DHS 15AP"/>
    <s v="(주)티피에이"/>
    <m/>
    <n v="72000000"/>
    <n v="28544448696"/>
  </r>
  <r>
    <x v="0"/>
    <s v="DHS 920"/>
    <s v="경상남도 양산시 웅상출장소"/>
    <m/>
    <n v="41272728"/>
    <n v="28585721424"/>
  </r>
  <r>
    <x v="0"/>
    <s v="DHS 920"/>
    <s v="광주광역시도시철도공사"/>
    <m/>
    <n v="41272728"/>
    <n v="28626994152"/>
  </r>
  <r>
    <x v="0"/>
    <s v="DHS 1800"/>
    <s v="인천국제공항공사"/>
    <m/>
    <n v="78272728"/>
    <n v="28705266880"/>
  </r>
  <r>
    <x v="0"/>
    <s v="DHS 105AP"/>
    <s v="태원정보통신"/>
    <m/>
    <n v="40500000"/>
    <n v="28745766880"/>
  </r>
  <r>
    <x v="0"/>
    <s v="DHS 433M"/>
    <s v="이만희"/>
    <m/>
    <n v="14580909"/>
    <n v="28760347789"/>
  </r>
  <r>
    <x v="0"/>
    <s v="DHS 105AP"/>
    <s v="주은정보통신"/>
    <m/>
    <n v="40909091"/>
    <n v="28801256880"/>
  </r>
  <r>
    <x v="0"/>
    <s v="DHS 920-추가계약"/>
    <s v="경상남도 양산시 웅상출장소"/>
    <m/>
    <n v="2350000"/>
    <n v="28803606880"/>
  </r>
  <r>
    <x v="0"/>
    <s v="DHS 105AP"/>
    <s v="구골플렉스"/>
    <m/>
    <n v="40600000"/>
    <n v="28844206880"/>
  </r>
  <r>
    <x v="0"/>
    <s v="DHS 105AP"/>
    <s v="KT네트웍스"/>
    <m/>
    <n v="40454545"/>
    <n v="28884661425"/>
  </r>
  <r>
    <x v="0"/>
    <s v="DHS 15AP"/>
    <s v="(주)동해기계항공"/>
    <m/>
    <n v="41760200"/>
    <n v="28926421625"/>
  </r>
  <r>
    <x v="0"/>
    <s v="DHS 433M"/>
    <s v="세아통신"/>
    <m/>
    <n v="12727272"/>
    <n v="28939148897"/>
  </r>
  <r>
    <x v="0"/>
    <s v="차체지지대 설치"/>
    <s v="주식회사 에이스원테크"/>
    <m/>
    <n v="9730000"/>
    <n v="28948878897"/>
  </r>
  <r>
    <x v="0"/>
    <s v="DHS 433L"/>
    <s v="대한바닥미장"/>
    <m/>
    <n v="13400000"/>
    <n v="28962278897"/>
  </r>
  <r>
    <x v="0"/>
    <s v="DHS 433L"/>
    <s v="법환어촌계"/>
    <m/>
    <n v="18000000"/>
    <n v="28980278897"/>
  </r>
  <r>
    <x v="0"/>
    <s v="지열홀더 실린더외"/>
    <s v="(주)한진디엔비"/>
    <m/>
    <n v="12650000"/>
    <n v="28992928897"/>
  </r>
  <r>
    <x v="0"/>
    <s v="DHS 930"/>
    <s v="(주)명광"/>
    <m/>
    <n v="35000000"/>
    <n v="29027928897"/>
  </r>
  <r>
    <x v="0"/>
    <s v="DHS 433M"/>
    <s v="한별텔레콤"/>
    <m/>
    <n v="14000000"/>
    <n v="29041928897"/>
  </r>
  <r>
    <x v="0"/>
    <s v="ALPHA 5000"/>
    <s v="서천군청"/>
    <m/>
    <n v="63181819"/>
    <n v="29105110716"/>
  </r>
  <r>
    <x v="0"/>
    <s v="크레인대금"/>
    <s v="DONGHAE VIETNAM/Mr. VUTHANG"/>
    <m/>
    <n v="235397120"/>
    <n v="29340507836"/>
  </r>
  <r>
    <x v="0"/>
    <s v="DHS 433L"/>
    <s v="(주)티에스케이워터"/>
    <m/>
    <n v="14000000"/>
    <n v="29354507836"/>
  </r>
  <r>
    <x v="0"/>
    <s v="DHS 930"/>
    <s v="성광정보통신"/>
    <m/>
    <n v="34500000"/>
    <n v="29389007836"/>
  </r>
  <r>
    <x v="0"/>
    <s v="DHS 930"/>
    <s v="성광정보통신"/>
    <m/>
    <n v="34500000"/>
    <n v="29423507836"/>
  </r>
  <r>
    <x v="0"/>
    <s v="HWD 200"/>
    <s v="성광정보통신"/>
    <m/>
    <n v="3600000"/>
    <n v="29427107836"/>
  </r>
  <r>
    <x v="0"/>
    <s v="DHS 105AP"/>
    <s v="LK정보통신"/>
    <m/>
    <n v="39500000"/>
    <n v="29466607836"/>
  </r>
  <r>
    <x v="0"/>
    <s v="DHS 105AP"/>
    <s v="인터뱅크"/>
    <m/>
    <n v="39090909"/>
    <n v="29505698745"/>
  </r>
  <r>
    <x v="0"/>
    <s v="DHS 15AP"/>
    <s v="대구시청"/>
    <m/>
    <n v="72727273"/>
    <n v="29578426018"/>
  </r>
  <r>
    <x v="0"/>
    <s v="DHS 17AP"/>
    <s v="주식회사 네트워크아이"/>
    <m/>
    <n v="53181818"/>
    <n v="29631607836"/>
  </r>
  <r>
    <x v="0"/>
    <s v="DHS 1200L"/>
    <s v="(주)에이앤비정보기술"/>
    <m/>
    <n v="43181818"/>
    <n v="29674789654"/>
  </r>
  <r>
    <x v="0"/>
    <s v="DHS 15AP-추가계약"/>
    <s v="해운대구청"/>
    <m/>
    <n v="10260000"/>
    <n v="29685049654"/>
  </r>
  <r>
    <x v="0"/>
    <s v="DHS 15AP"/>
    <s v="두성전력공사"/>
    <m/>
    <n v="48000000"/>
    <n v="29733049654"/>
  </r>
  <r>
    <x v="0"/>
    <s v="DHS 17AP"/>
    <s v="동해크레인"/>
    <m/>
    <n v="52000000"/>
    <n v="29785049654"/>
  </r>
  <r>
    <x v="0"/>
    <s v="DHS 105AP"/>
    <s v="주식회사 수길정보통신"/>
    <m/>
    <n v="40500000"/>
    <n v="29825549654"/>
  </r>
  <r>
    <x v="0"/>
    <s v="DHS 15AP"/>
    <s v="해운대구청"/>
    <m/>
    <n v="72727273"/>
    <n v="29898276927"/>
  </r>
  <r>
    <x v="0"/>
    <s v="DHM 1500S-2"/>
    <s v="동해해양사업"/>
    <m/>
    <n v="25150000"/>
    <n v="29923426927"/>
  </r>
  <r>
    <x v="0"/>
    <s v="DHS 105AP"/>
    <s v="CJ＆M 네트워크"/>
    <m/>
    <n v="40909091"/>
    <n v="29964336018"/>
  </r>
  <r>
    <x v="0"/>
    <s v="DHS 105AP"/>
    <s v="에스유통신"/>
    <m/>
    <n v="40909091"/>
    <n v="30005245109"/>
  </r>
  <r>
    <x v="0"/>
    <s v="DHS 1200L"/>
    <s v="(주)정창개발공사"/>
    <m/>
    <n v="43181818"/>
    <n v="30048426927"/>
  </r>
  <r>
    <x v="0"/>
    <s v="DHS 15AP"/>
    <s v="주식회사 정호전력"/>
    <m/>
    <n v="50000000"/>
    <n v="30098426927"/>
  </r>
  <r>
    <x v="0"/>
    <s v="클램프실린더"/>
    <s v="(주)한진디엔비"/>
    <m/>
    <n v="880000"/>
    <n v="30099306927"/>
  </r>
  <r>
    <x v="0"/>
    <s v="DHS 930"/>
    <s v="남광정보통신(주)"/>
    <m/>
    <n v="39090909"/>
    <n v="30138397836"/>
  </r>
  <r>
    <x v="0"/>
    <s v="DHS 433"/>
    <s v="(주)제이엠테크놀로지"/>
    <m/>
    <n v="13000000"/>
    <n v="30151397836"/>
  </r>
  <r>
    <x v="0"/>
    <s v="DHS 185SKY"/>
    <s v="보성스카이"/>
    <m/>
    <n v="61000000"/>
    <n v="30212397836"/>
  </r>
  <r>
    <x v="0"/>
    <s v="H3 HELICOPER TURBOCHARGER SET"/>
    <s v="DYNALI S.A HELLCOPTERES"/>
    <m/>
    <n v="2151780"/>
    <n v="30214549616"/>
  </r>
  <r>
    <x v="0"/>
    <s v="DHS 105AP"/>
    <s v="주식회사 수길정보통신"/>
    <m/>
    <n v="40500000"/>
    <n v="30255049616"/>
  </r>
  <r>
    <x v="0"/>
    <s v="DHS 15AP"/>
    <s v="청양군청"/>
    <m/>
    <n v="72727273"/>
    <n v="30327776889"/>
  </r>
  <r>
    <x v="0"/>
    <s v="DHS 15AP"/>
    <s v="HYUNDAI MOTOR (THAILAND)CO., LTD"/>
    <m/>
    <n v="107087882"/>
    <n v="30434864771"/>
  </r>
  <r>
    <x v="0"/>
    <s v="DHT 145S"/>
    <s v="전국활선"/>
    <m/>
    <n v="133000000"/>
    <n v="30567864771"/>
  </r>
  <r>
    <x v="0"/>
    <s v="DHS 15AP-추가계약"/>
    <s v="청양군청"/>
    <m/>
    <n v="9430000"/>
    <n v="30577294771"/>
  </r>
  <r>
    <x v="0"/>
    <s v="DHS 105AP"/>
    <s v="(주)대경텔레콤"/>
    <m/>
    <n v="40909090"/>
    <n v="30618203861"/>
  </r>
  <r>
    <x v="0"/>
    <s v="DHS 1200L"/>
    <s v="(주)씨엠비광주방송"/>
    <m/>
    <n v="44750000"/>
    <n v="30662953861"/>
  </r>
  <r>
    <x v="0"/>
    <s v="DHS 433M"/>
    <s v="가람통신"/>
    <m/>
    <n v="16399091"/>
    <n v="30679352952"/>
  </r>
  <r>
    <x v="0"/>
    <s v="DHS 433M"/>
    <s v="(주)전통"/>
    <m/>
    <n v="14035455"/>
    <n v="30693388407"/>
  </r>
  <r>
    <x v="0"/>
    <s v="ALPHA 5000"/>
    <s v="영암군청"/>
    <m/>
    <n v="29920000"/>
    <n v="30723308407"/>
  </r>
  <r>
    <x v="0"/>
    <s v="실린더대금"/>
    <s v="(주)한진디엔비"/>
    <m/>
    <n v="1920000"/>
    <n v="30725228407"/>
  </r>
  <r>
    <x v="0"/>
    <s v="DHS 105AP"/>
    <s v="대불통신"/>
    <m/>
    <n v="41363636"/>
    <n v="30766592043"/>
  </r>
  <r>
    <x v="0"/>
    <s v="DHS 15AP"/>
    <s v="스마일전기"/>
    <m/>
    <n v="47800000"/>
    <n v="30814392043"/>
  </r>
  <r>
    <x v="0"/>
    <s v="DHS 433M"/>
    <s v="(주)신라이앤씨"/>
    <m/>
    <n v="12727273"/>
    <n v="30827119316"/>
  </r>
  <r>
    <x v="0"/>
    <s v="DHS 105AP"/>
    <s v="제이텔콤"/>
    <m/>
    <n v="40550000"/>
    <n v="30867669316"/>
  </r>
  <r>
    <x v="0"/>
    <s v="DHS 105AP"/>
    <s v="제이텔콤"/>
    <m/>
    <n v="-40550000"/>
    <n v="30827119316"/>
  </r>
  <r>
    <x v="0"/>
    <s v="DHS 105AP"/>
    <s v="(주)전통"/>
    <m/>
    <n v="40000000"/>
    <n v="30867119316"/>
  </r>
  <r>
    <x v="0"/>
    <s v="DHS 433L"/>
    <s v="현대중장비용인판매(주)"/>
    <m/>
    <n v="14000000"/>
    <n v="30881119316"/>
  </r>
  <r>
    <x v="0"/>
    <s v="DHS 930"/>
    <s v="주식회사 나라네트워크"/>
    <m/>
    <n v="34818182"/>
    <n v="30915937498"/>
  </r>
  <r>
    <x v="0"/>
    <s v="DHS 105AP"/>
    <s v="(주)정우통신"/>
    <m/>
    <n v="40909090"/>
    <n v="30956846588"/>
  </r>
  <r>
    <x v="0"/>
    <s v="DHS 105AP"/>
    <s v="주식회사 에스디앤"/>
    <m/>
    <n v="40700000"/>
    <n v="30997546588"/>
  </r>
  <r>
    <x v="0"/>
    <s v="DHS 15AP"/>
    <s v="주식회사 해동전기소방"/>
    <m/>
    <n v="48000000"/>
    <n v="31045546588"/>
  </r>
  <r>
    <x v="0"/>
    <s v="DHS 930"/>
    <s v="성우전자산업(주)"/>
    <m/>
    <n v="32750000"/>
    <n v="31078296588"/>
  </r>
  <r>
    <x v="0"/>
    <s v="DHS 930"/>
    <s v="진네트워크"/>
    <m/>
    <n v="33000000"/>
    <n v="31111296588"/>
  </r>
  <r>
    <x v="0"/>
    <s v="DHS 930"/>
    <s v="성우전자산업(주)"/>
    <m/>
    <n v="-32750000"/>
    <n v="31078546588"/>
  </r>
  <r>
    <x v="0"/>
    <s v="DHS 15AP"/>
    <s v="FAXMATEL IMPORTACIONES S.A."/>
    <m/>
    <n v="150608301"/>
    <n v="31229154889"/>
  </r>
  <r>
    <x v="0"/>
    <s v="DHS 433L"/>
    <s v="AJ렌터카 주식회사"/>
    <m/>
    <n v="45110000"/>
    <n v="31274264889"/>
  </r>
  <r>
    <x v="0"/>
    <s v="DHS 433L"/>
    <s v="AJ렌터카 주식회사"/>
    <m/>
    <n v="45110000"/>
    <n v="31319374889"/>
  </r>
  <r>
    <x v="0"/>
    <s v="DHS 433L"/>
    <s v="AJ렌터카 주식회사"/>
    <m/>
    <n v="45110000"/>
    <n v="31364484889"/>
  </r>
  <r>
    <x v="0"/>
    <s v="DHS 433L"/>
    <s v="AJ렌터카 주식회사"/>
    <m/>
    <n v="45110000"/>
    <n v="31409594889"/>
  </r>
  <r>
    <x v="0"/>
    <s v="DHS 433L"/>
    <s v="AJ렌터카 주식회사"/>
    <m/>
    <n v="45110000"/>
    <n v="31454704889"/>
  </r>
  <r>
    <x v="0"/>
    <s v="DHS 433L"/>
    <s v="AJ렌터카 주식회사"/>
    <m/>
    <n v="45110000"/>
    <n v="31499814889"/>
  </r>
  <r>
    <x v="0"/>
    <s v="DHS 15AP"/>
    <s v="보광전기"/>
    <m/>
    <n v="49454545"/>
    <n v="31549269434"/>
  </r>
  <r>
    <x v="0"/>
    <s v="DHS 105AP"/>
    <s v="훈정보통신"/>
    <m/>
    <n v="39500000"/>
    <n v="31588769434"/>
  </r>
  <r>
    <x v="0"/>
    <s v="DHS 433L"/>
    <s v="AJ렌터카 주식회사"/>
    <m/>
    <n v="-45110000"/>
    <n v="31543659434"/>
  </r>
  <r>
    <x v="0"/>
    <s v="DHS 433L"/>
    <s v="AJ렌터카 주식회사"/>
    <m/>
    <n v="-45110000"/>
    <n v="31498549434"/>
  </r>
  <r>
    <x v="0"/>
    <s v="DHS 433L"/>
    <s v="AJ렌터카 주식회사"/>
    <m/>
    <n v="-45110000"/>
    <n v="31453439434"/>
  </r>
  <r>
    <x v="0"/>
    <s v="DHS 433L"/>
    <s v="AJ렌터카 주식회사"/>
    <m/>
    <n v="-45110000"/>
    <n v="31408329434"/>
  </r>
  <r>
    <x v="0"/>
    <s v="DHS 433L"/>
    <s v="AJ렌터카 주식회사"/>
    <m/>
    <n v="-45110000"/>
    <n v="31363219434"/>
  </r>
  <r>
    <x v="0"/>
    <s v="DHS 433L"/>
    <s v="AJ렌터카 주식회사"/>
    <m/>
    <n v="-45110000"/>
    <n v="31318109434"/>
  </r>
  <r>
    <x v="0"/>
    <s v="DHS 433L"/>
    <s v="AJ인베스트먼트파트너스 주식회사"/>
    <m/>
    <n v="45110000"/>
    <n v="31363219434"/>
  </r>
  <r>
    <x v="0"/>
    <s v="DHS 433L"/>
    <s v="AJ인베스트먼트파트너스 주식회사"/>
    <m/>
    <n v="45110000"/>
    <n v="31408329434"/>
  </r>
  <r>
    <x v="0"/>
    <s v="DHS 433L"/>
    <s v="AJ인베스트먼트파트너스 주식회사"/>
    <m/>
    <n v="45110000"/>
    <n v="31453439434"/>
  </r>
  <r>
    <x v="0"/>
    <s v="DHS 433L"/>
    <s v="AJ인베스트먼트파트너스 주식회사"/>
    <m/>
    <n v="45110000"/>
    <n v="31498549434"/>
  </r>
  <r>
    <x v="0"/>
    <s v="DHS 433L"/>
    <s v="AJ인베스트먼트파트너스 주식회사"/>
    <m/>
    <n v="45110000"/>
    <n v="31543659434"/>
  </r>
  <r>
    <x v="0"/>
    <s v="DHS 433L"/>
    <s v="AJ인베스트먼트파트너스 주식회사"/>
    <m/>
    <n v="45110000"/>
    <n v="31588769434"/>
  </r>
  <r>
    <x v="0"/>
    <s v="DHS 433"/>
    <s v="대정농업협동조합"/>
    <m/>
    <n v="13636364"/>
    <n v="31602405798"/>
  </r>
  <r>
    <x v="0"/>
    <s v="HWD 200"/>
    <s v="(유)동화전력"/>
    <m/>
    <n v="3600000"/>
    <n v="31606005798"/>
  </r>
  <r>
    <x v="0"/>
    <s v="DHS 433M"/>
    <s v="에스디(SD)정보통신"/>
    <m/>
    <n v="14000000"/>
    <n v="31620005798"/>
  </r>
  <r>
    <x v="0"/>
    <s v="DHS 1200L"/>
    <s v="동아전력공사"/>
    <m/>
    <n v="43636363"/>
    <n v="31663642161"/>
  </r>
  <r>
    <x v="0"/>
    <s v="DHS 433L"/>
    <s v="보트코리아"/>
    <m/>
    <n v="13000000"/>
    <n v="31676642161"/>
  </r>
  <r>
    <x v="0"/>
    <s v="DHS 105AP"/>
    <s v="준네트웍스"/>
    <m/>
    <n v="40909090"/>
    <n v="31717551251"/>
  </r>
  <r>
    <x v="0"/>
    <s v="DHS 1200L"/>
    <s v="백광운"/>
    <m/>
    <n v="40500000"/>
    <n v="31758051251"/>
  </r>
  <r>
    <x v="0"/>
    <s v="DHS 930"/>
    <s v="진훈네트웍스"/>
    <m/>
    <n v="33000000"/>
    <n v="31791051251"/>
  </r>
  <r>
    <x v="0"/>
    <s v="DHS 17AP"/>
    <s v="금영전기(주)"/>
    <m/>
    <n v="50000000"/>
    <n v="31841051251"/>
  </r>
  <r>
    <x v="0"/>
    <s v="DHS 15AP"/>
    <s v="금영전기(주)"/>
    <m/>
    <n v="-50000000"/>
    <n v="31791051251"/>
  </r>
  <r>
    <x v="0"/>
    <s v="DHS 433M"/>
    <s v="한국케이블티브이푸른방송(주)"/>
    <m/>
    <n v="13400000"/>
    <n v="31804451251"/>
  </r>
  <r>
    <x v="0"/>
    <s v="DHS 105AP"/>
    <s v="퍼스트텔레콤(주)"/>
    <m/>
    <n v="38000000"/>
    <n v="31842451251"/>
  </r>
  <r>
    <x v="0"/>
    <s v="DHS 433M"/>
    <s v="(주)서경정보통신"/>
    <m/>
    <n v="15200909"/>
    <n v="31857652160"/>
  </r>
  <r>
    <x v="0"/>
    <s v="DHS 15AP"/>
    <s v="주식회사 사강전업사"/>
    <m/>
    <n v="48636363"/>
    <n v="31906288523"/>
  </r>
  <r>
    <x v="0"/>
    <s v="DHS 930"/>
    <s v="효원엔지니어링"/>
    <m/>
    <n v="32727273"/>
    <n v="31939015796"/>
  </r>
  <r>
    <x v="0"/>
    <s v="DHS 433L"/>
    <s v="극동건설기계종합정비공장"/>
    <m/>
    <n v="15929091"/>
    <n v="31954944887"/>
  </r>
  <r>
    <x v="0"/>
    <s v="DHS 870"/>
    <s v="에스케이씨앤씨(주)"/>
    <m/>
    <n v="35629637"/>
    <n v="31990574524"/>
  </r>
  <r>
    <x v="0"/>
    <s v="DHS 105AP"/>
    <s v="제이피네트워크"/>
    <m/>
    <n v="40000000"/>
    <n v="32030574524"/>
  </r>
  <r>
    <x v="0"/>
    <s v="DHS 870"/>
    <s v="에스케이씨앤씨(주)"/>
    <m/>
    <n v="-35629637"/>
    <n v="31994944887"/>
  </r>
  <r>
    <x v="0"/>
    <s v="DHS 870"/>
    <s v="에스케이씨앤씨(주)"/>
    <m/>
    <n v="26722227"/>
    <n v="32021667114"/>
  </r>
  <r>
    <x v="0"/>
    <s v="DHS 1200L"/>
    <s v="DUC HUY MOTORS COMPANY"/>
    <m/>
    <n v="64708336"/>
    <n v="32086375450"/>
  </r>
  <r>
    <x v="0"/>
    <s v="DHS 105AP"/>
    <s v="미래통신"/>
    <m/>
    <n v="39000000"/>
    <n v="32125375450"/>
  </r>
  <r>
    <x v="1"/>
    <s v="DHS 433M"/>
    <s v="인성통신"/>
    <m/>
    <n v="14035455"/>
    <n v="32139410905"/>
  </r>
  <r>
    <x v="1"/>
    <s v="DHS 930"/>
    <s v="케인통신"/>
    <m/>
    <n v="33000000"/>
    <n v="32172410905"/>
  </r>
  <r>
    <x v="1"/>
    <s v="DHS 930"/>
    <s v="주식회사 월드아이"/>
    <m/>
    <n v="33750000"/>
    <n v="32206160905"/>
  </r>
  <r>
    <x v="1"/>
    <s v="DHS 930"/>
    <s v="성우전자산업(주)"/>
    <m/>
    <n v="32750000"/>
    <n v="32238910905"/>
  </r>
  <r>
    <x v="1"/>
    <s v="DHS 433M"/>
    <s v="(주)영하아이앤티"/>
    <m/>
    <n v="13710000"/>
    <n v="32252620905"/>
  </r>
  <r>
    <x v="1"/>
    <s v="수지코 뒤 잭 실린더 외"/>
    <s v="(주)한진디엔비"/>
    <m/>
    <n v="26254000"/>
    <n v="32278874905"/>
  </r>
  <r>
    <x v="1"/>
    <s v="DHS 105AP"/>
    <s v="에스제이테크(주)"/>
    <m/>
    <n v="40000000"/>
    <n v="32318874905"/>
  </r>
  <r>
    <x v="1"/>
    <s v="DHS 950L"/>
    <s v="투빈넷"/>
    <m/>
    <n v="38500000"/>
    <n v="32357374905"/>
  </r>
  <r>
    <x v="1"/>
    <s v="DHS 105AP"/>
    <s v="준정보통신"/>
    <m/>
    <n v="40181818"/>
    <n v="32397556723"/>
  </r>
  <r>
    <x v="1"/>
    <s v="DHS 433M"/>
    <s v="진흥정보통신(주)"/>
    <m/>
    <n v="13000000"/>
    <n v="32410556723"/>
  </r>
  <r>
    <x v="1"/>
    <s v="DHS 433M"/>
    <s v="김분녀"/>
    <m/>
    <n v="14272727"/>
    <n v="32424829450"/>
  </r>
  <r>
    <x v="1"/>
    <s v="DHS 433M"/>
    <s v="(주)타키온네트워크"/>
    <m/>
    <n v="15300000"/>
    <n v="32440129450"/>
  </r>
  <r>
    <x v="1"/>
    <s v="DHS 105AP"/>
    <s v="(주)엠아이네트웍스"/>
    <m/>
    <n v="40000000"/>
    <n v="32480129450"/>
  </r>
  <r>
    <x v="1"/>
    <s v="DHS 433M"/>
    <s v="(주)세종정보통신"/>
    <m/>
    <n v="15300000"/>
    <n v="32495429450"/>
  </r>
  <r>
    <x v="1"/>
    <s v="DHS 433L"/>
    <s v="오토시스템"/>
    <m/>
    <n v="15300000"/>
    <n v="32510729450"/>
  </r>
  <r>
    <x v="1"/>
    <s v="DHS 433M"/>
    <s v="크레인마트"/>
    <m/>
    <n v="12800000"/>
    <n v="32523529450"/>
  </r>
  <r>
    <x v="1"/>
    <s v="DHS 280AP"/>
    <s v="(주)동해기계항공"/>
    <m/>
    <n v="55178000"/>
    <n v="32578707450"/>
  </r>
  <r>
    <x v="1"/>
    <s v="DH 105AP"/>
    <s v="제이텔콤"/>
    <m/>
    <n v="40550000"/>
    <n v="32619257450"/>
  </r>
  <r>
    <x v="1"/>
    <s v="DHS 105AP"/>
    <s v="재승정보통신"/>
    <m/>
    <n v="41500000"/>
    <n v="32660757450"/>
  </r>
  <r>
    <x v="1"/>
    <s v="DHS 17AP "/>
    <s v="VIET TRUNG JOINT STOCK EQUIPMENT COMPANY"/>
    <m/>
    <n v="205282350"/>
    <n v="32866039800"/>
  </r>
  <r>
    <x v="1"/>
    <s v="DHS 433M"/>
    <s v="(주)은하정보통신"/>
    <m/>
    <n v="14545455"/>
    <n v="32880585255"/>
  </r>
  <r>
    <x v="1"/>
    <s v="HWD 200"/>
    <s v="(주)서경정보통신"/>
    <m/>
    <n v="3600000"/>
    <n v="32884185255"/>
  </r>
  <r>
    <x v="1"/>
    <s v="DHS 1200L"/>
    <s v="우리전력(주)"/>
    <m/>
    <n v="43700000"/>
    <n v="32927885255"/>
  </r>
  <r>
    <x v="1"/>
    <s v="DHS 433L"/>
    <s v="코리아엔텍(주)"/>
    <m/>
    <n v="15000000"/>
    <n v="32942885255"/>
  </r>
  <r>
    <x v="1"/>
    <s v="DHS 105AP"/>
    <s v="스피드광통신"/>
    <m/>
    <n v="40909091"/>
    <n v="32983794346"/>
  </r>
  <r>
    <x v="1"/>
    <s v="DHS 433M"/>
    <s v="용평유선방송공사"/>
    <m/>
    <n v="15699091"/>
    <n v="32999493437"/>
  </r>
  <r>
    <x v="1"/>
    <s v="DHS 950L"/>
    <s v="영희통신"/>
    <m/>
    <n v="38181818"/>
    <n v="33037675255"/>
  </r>
  <r>
    <x v="1"/>
    <s v="DHS 105AP"/>
    <s v="하나글로벌통신"/>
    <m/>
    <n v="40000000"/>
    <n v="33077675255"/>
  </r>
  <r>
    <x v="1"/>
    <s v="DHS 930"/>
    <s v="나래솔루션"/>
    <m/>
    <n v="34200000"/>
    <n v="33111875255"/>
  </r>
  <r>
    <x v="1"/>
    <s v="DHS 433L"/>
    <s v="동해마린"/>
    <m/>
    <n v="14545455"/>
    <n v="33126420710"/>
  </r>
  <r>
    <x v="1"/>
    <s v="DHS 105AP"/>
    <s v="성광정보통신"/>
    <m/>
    <n v="39090910"/>
    <n v="33165511620"/>
  </r>
  <r>
    <x v="1"/>
    <s v="DHS 930"/>
    <s v="태성"/>
    <m/>
    <n v="32727272"/>
    <n v="33198238892"/>
  </r>
  <r>
    <x v="1"/>
    <s v="DHS 930"/>
    <s v="예원통신"/>
    <m/>
    <n v="32727272"/>
    <n v="33230966164"/>
  </r>
  <r>
    <x v="1"/>
    <s v="DHS 433L"/>
    <s v="원강정보통신 주식회사"/>
    <m/>
    <n v="13200000"/>
    <n v="33244166164"/>
  </r>
  <r>
    <x v="1"/>
    <s v="DHS 105AP"/>
    <s v="광진통신"/>
    <m/>
    <n v="39500000"/>
    <n v="33283666164"/>
  </r>
  <r>
    <x v="1"/>
    <s v="DHS 15AP"/>
    <s v="PT. QUANTUM MARKETING"/>
    <m/>
    <n v="67464202"/>
    <n v="33351130366"/>
  </r>
  <r>
    <x v="1"/>
    <s v="DHS 105AP"/>
    <s v="(주)정우정보통신"/>
    <m/>
    <n v="40909091"/>
    <n v="33392039457"/>
  </r>
  <r>
    <x v="1"/>
    <s v="DHS 105AP"/>
    <s v="배영텔레콤(주)"/>
    <m/>
    <n v="40500000"/>
    <n v="33432539457"/>
  </r>
  <r>
    <x v="1"/>
    <s v="DHS 433M"/>
    <s v="(주)선진정보통신"/>
    <m/>
    <n v="14099000"/>
    <n v="33446638457"/>
  </r>
  <r>
    <x v="1"/>
    <s v="DHS 105AP"/>
    <s v="SH정보통신"/>
    <m/>
    <n v="40909090"/>
    <n v="33487547547"/>
  </r>
  <r>
    <x v="1"/>
    <s v="DHS 433M"/>
    <s v="영진통신"/>
    <m/>
    <n v="13399091"/>
    <n v="33500946638"/>
  </r>
  <r>
    <x v="1"/>
    <s v="DHS 930"/>
    <s v="대신정보"/>
    <m/>
    <n v="37000000"/>
    <n v="33537946638"/>
  </r>
  <r>
    <x v="1"/>
    <s v="DHS 433M"/>
    <s v="(주)부경네티존"/>
    <m/>
    <n v="15550000"/>
    <n v="33553496638"/>
  </r>
  <r>
    <x v="1"/>
    <s v="DHS 433M"/>
    <s v="세기정보통신"/>
    <m/>
    <n v="14000000"/>
    <n v="33567496638"/>
  </r>
  <r>
    <x v="1"/>
    <s v="DHS 1200L"/>
    <s v="아라통신"/>
    <m/>
    <n v="45272727"/>
    <n v="33612769365"/>
  </r>
  <r>
    <x v="1"/>
    <s v="DHS 433M"/>
    <s v="박정희"/>
    <m/>
    <n v="12899091"/>
    <n v="33625668456"/>
  </r>
  <r>
    <x v="1"/>
    <s v="DHS 950L"/>
    <s v="구골플렉스"/>
    <m/>
    <n v="38000000"/>
    <n v="33663668456"/>
  </r>
  <r>
    <x v="1"/>
    <s v="DHS 433L"/>
    <s v="태송건업"/>
    <m/>
    <n v="16300000"/>
    <n v="33679968456"/>
  </r>
  <r>
    <x v="1"/>
    <s v="DHS 17AP "/>
    <s v="(주)동해기계항공"/>
    <m/>
    <n v="46107400"/>
    <n v="33726075856"/>
  </r>
  <r>
    <x v="1"/>
    <s v="활주로 초과 저지자재"/>
    <s v="공군군수사령부"/>
    <m/>
    <n v="133284090"/>
    <n v="33859359946"/>
  </r>
  <r>
    <x v="1"/>
    <s v="DHS 105AP"/>
    <s v="광접속"/>
    <m/>
    <n v="40500000"/>
    <n v="33899859946"/>
  </r>
  <r>
    <x v="1"/>
    <s v="DHS 105AP"/>
    <s v="이익원"/>
    <m/>
    <n v="40500000"/>
    <n v="33940359946"/>
  </r>
  <r>
    <x v="1"/>
    <s v="DHS 17AP"/>
    <s v="진한이엔지"/>
    <m/>
    <n v="51500000"/>
    <n v="33991859946"/>
  </r>
  <r>
    <x v="1"/>
    <s v="DHS 105AP"/>
    <s v="대경통신"/>
    <m/>
    <n v="39600000"/>
    <n v="34031459946"/>
  </r>
  <r>
    <x v="1"/>
    <s v="DHS 17AP"/>
    <s v="진호축산"/>
    <m/>
    <n v="55000000"/>
    <n v="34086459946"/>
  </r>
  <r>
    <x v="1"/>
    <s v="DHS 950L"/>
    <s v="이레통신"/>
    <m/>
    <n v="37272727"/>
    <n v="34123732673"/>
  </r>
  <r>
    <x v="1"/>
    <s v="DHS 105AP"/>
    <s v="(주)광주텔레콤"/>
    <m/>
    <n v="40909091"/>
    <n v="34164641764"/>
  </r>
  <r>
    <x v="1"/>
    <s v="DHS 105AP"/>
    <s v="제이에이치네트웍스"/>
    <m/>
    <n v="40000000"/>
    <n v="34204641764"/>
  </r>
  <r>
    <x v="1"/>
    <s v="DHS 105AP"/>
    <s v="배영텔레콤(주)"/>
    <m/>
    <n v="40500000"/>
    <n v="34245141764"/>
  </r>
  <r>
    <x v="1"/>
    <s v="DHS 433M"/>
    <s v="인성통신"/>
    <m/>
    <n v="14035455"/>
    <n v="34259177219"/>
  </r>
  <r>
    <x v="1"/>
    <s v="기어박스 스라이딩 CYL ASSY"/>
    <s v="(주)한진디엔비"/>
    <m/>
    <n v="4280000"/>
    <n v="34263457219"/>
  </r>
  <r>
    <x v="1"/>
    <s v="DHT 160AS외 "/>
    <s v="WAIMEA TRUCK ＆ CRANE LTD"/>
    <m/>
    <n v="237716756"/>
    <n v="34501173975"/>
  </r>
  <r>
    <x v="1"/>
    <s v="DHS 15AP"/>
    <s v="금영전기(주)"/>
    <m/>
    <n v="50000000"/>
    <n v="34551173975"/>
  </r>
  <r>
    <x v="1"/>
    <s v="DHT 145S"/>
    <s v="최순화"/>
    <m/>
    <n v="132000000"/>
    <n v="34683173975"/>
  </r>
  <r>
    <x v="1"/>
    <s v="DHS 950L"/>
    <s v="대건정보통신"/>
    <m/>
    <n v="38600000"/>
    <n v="34721773975"/>
  </r>
  <r>
    <x v="1"/>
    <s v="DHS 950L"/>
    <s v="F＆C Network"/>
    <m/>
    <n v="38300000"/>
    <n v="34760073975"/>
  </r>
  <r>
    <x v="1"/>
    <s v="DHS 105AP"/>
    <s v="주식회사 엠에스정보통신"/>
    <m/>
    <n v="40000000"/>
    <n v="34800073975"/>
  </r>
  <r>
    <x v="1"/>
    <s v="DHS 950L"/>
    <s v="젊은기술(주)"/>
    <m/>
    <n v="37272727"/>
    <n v="34837346702"/>
  </r>
  <r>
    <x v="1"/>
    <s v="DHS 433L"/>
    <s v="지아그로"/>
    <m/>
    <n v="13545455"/>
    <n v="34850892157"/>
  </r>
  <r>
    <x v="1"/>
    <s v="DHS 1200L"/>
    <s v="영범정보통신"/>
    <m/>
    <n v="41720000"/>
    <n v="34892612157"/>
  </r>
  <r>
    <x v="1"/>
    <s v="DHS 105AP"/>
    <s v="주하네트웍스"/>
    <m/>
    <n v="40909091"/>
    <n v="34933521248"/>
  </r>
  <r>
    <x v="1"/>
    <s v="DHS 1200L"/>
    <s v="(주)정우이엔지"/>
    <m/>
    <n v="45454545"/>
    <n v="34978975793"/>
  </r>
  <r>
    <x v="1"/>
    <s v="DHS 105AP"/>
    <s v="(주)한샘정보통신"/>
    <m/>
    <n v="40500000"/>
    <n v="35019475793"/>
  </r>
  <r>
    <x v="1"/>
    <s v="DHS 950L"/>
    <s v="(주)제이피파워정보통신"/>
    <m/>
    <n v="37727273"/>
    <n v="35057203066"/>
  </r>
  <r>
    <x v="1"/>
    <s v="DHS 433"/>
    <s v="블루마린"/>
    <m/>
    <n v="13636364"/>
    <n v="35070839430"/>
  </r>
  <r>
    <x v="1"/>
    <s v="DHS 15AP"/>
    <s v="하이원전기(주)"/>
    <m/>
    <n v="49000000"/>
    <n v="35119839430"/>
  </r>
  <r>
    <x v="1"/>
    <s v="DHS 250AP "/>
    <s v="MACHINE COMPLETE CORPORATION"/>
    <m/>
    <n v="77420639"/>
    <n v="35197260069"/>
  </r>
  <r>
    <x v="1"/>
    <s v="DHS 15AP"/>
    <s v="(주)영하아이앤티"/>
    <m/>
    <n v="49321000"/>
    <n v="35246581069"/>
  </r>
  <r>
    <x v="1"/>
    <s v="DHS 15AP"/>
    <s v="대성전력(주)"/>
    <m/>
    <n v="50818182"/>
    <n v="35297399251"/>
  </r>
  <r>
    <x v="1"/>
    <s v="DHS 950L"/>
    <s v="(주)천양네트웍스"/>
    <m/>
    <n v="38181818"/>
    <n v="35335581069"/>
  </r>
  <r>
    <x v="1"/>
    <s v="DHS 105AP"/>
    <s v="(주)천양네트웍스"/>
    <m/>
    <n v="40000000"/>
    <n v="35375581069"/>
  </r>
  <r>
    <x v="1"/>
    <s v="DHS 15AP"/>
    <s v="(주)동해기계항공"/>
    <m/>
    <n v="40776564"/>
    <n v="35416357633"/>
  </r>
  <r>
    <x v="1"/>
    <s v="S3000"/>
    <s v="(주)한진디엔비"/>
    <m/>
    <n v="19000000"/>
    <n v="35435357633"/>
  </r>
  <r>
    <x v="1"/>
    <s v="S3000"/>
    <s v="(주)한진디엔비"/>
    <m/>
    <n v="19000000"/>
    <n v="35454357633"/>
  </r>
  <r>
    <x v="1"/>
    <s v="기어박스 슬라이딩 실린더외"/>
    <s v="(주)한진디엔비"/>
    <m/>
    <n v="18140000"/>
    <n v="35472497633"/>
  </r>
  <r>
    <x v="1"/>
    <s v="DHS 930"/>
    <s v="(주)국제미디어"/>
    <m/>
    <n v="33100000"/>
    <n v="35505597633"/>
  </r>
  <r>
    <x v="1"/>
    <s v="DHS 105AP"/>
    <s v="정민통신"/>
    <m/>
    <n v="39550000"/>
    <n v="35545147633"/>
  </r>
  <r>
    <x v="1"/>
    <s v="DHS 105AP"/>
    <s v="진복통신"/>
    <m/>
    <n v="39400000"/>
    <n v="35584547633"/>
  </r>
  <r>
    <x v="1"/>
    <s v="DHS 433L"/>
    <s v="금영전기(주)"/>
    <m/>
    <n v="11818182"/>
    <n v="35596365815"/>
  </r>
  <r>
    <x v="1"/>
    <s v="DHS 433M"/>
    <s v="셀테크"/>
    <m/>
    <n v="15909090"/>
    <n v="35612274905"/>
  </r>
  <r>
    <x v="1"/>
    <s v="DHS 433M"/>
    <s v="우림텍"/>
    <m/>
    <n v="13000000"/>
    <n v="35625274905"/>
  </r>
  <r>
    <x v="1"/>
    <s v="DHS 105AP"/>
    <s v="(주)나우시스템"/>
    <m/>
    <n v="39090909"/>
    <n v="35664365814"/>
  </r>
  <r>
    <x v="1"/>
    <s v="DHS 280AP"/>
    <s v="예인광고"/>
    <m/>
    <n v="105500000"/>
    <n v="35769865814"/>
  </r>
  <r>
    <x v="1"/>
    <s v="DHS 433"/>
    <s v="에스엠통신"/>
    <m/>
    <n v="14000000"/>
    <n v="35783865814"/>
  </r>
  <r>
    <x v="1"/>
    <s v="DHS 433"/>
    <s v="블루마린"/>
    <m/>
    <n v="13636364"/>
    <n v="35797502178"/>
  </r>
  <r>
    <x v="1"/>
    <s v="DHS 433M"/>
    <s v="가우리정보통신"/>
    <m/>
    <n v="14035455"/>
    <n v="35811537633"/>
  </r>
  <r>
    <x v="1"/>
    <s v="DHS 105AP"/>
    <s v="에이치 정보통신"/>
    <m/>
    <n v="40000000"/>
    <n v="35851537633"/>
  </r>
  <r>
    <x v="1"/>
    <s v="DHS 105AP"/>
    <s v="KT네트웍스"/>
    <m/>
    <n v="41272727"/>
    <n v="35892810360"/>
  </r>
  <r>
    <x v="1"/>
    <s v="DHS 930"/>
    <s v="윤정남"/>
    <m/>
    <n v="34000000"/>
    <n v="35926810360"/>
  </r>
  <r>
    <x v="1"/>
    <s v="DHS 433"/>
    <s v="블루마린"/>
    <m/>
    <n v="-13636364"/>
    <n v="35913173996"/>
  </r>
  <r>
    <x v="1"/>
    <s v="크레인대금"/>
    <s v="(주)케이티렌탈"/>
    <m/>
    <n v="505700000"/>
    <n v="36418873996"/>
  </r>
  <r>
    <x v="1"/>
    <s v="DHS 105AP"/>
    <s v="주주통신"/>
    <m/>
    <n v="39500000"/>
    <n v="36458373996"/>
  </r>
  <r>
    <x v="1"/>
    <s v="DHS 1200L"/>
    <s v="(주)태영시스템"/>
    <m/>
    <n v="39090909"/>
    <n v="36497464905"/>
  </r>
  <r>
    <x v="1"/>
    <s v="DHS 1200L"/>
    <s v="애드원"/>
    <m/>
    <n v="40000000"/>
    <n v="36537464905"/>
  </r>
  <r>
    <x v="1"/>
    <s v="DHS 15AP"/>
    <s v="(주)가온산업"/>
    <m/>
    <n v="47800000"/>
    <n v="36585264905"/>
  </r>
  <r>
    <x v="1"/>
    <s v="DHS 433M"/>
    <s v="(주)영인이엔씨"/>
    <m/>
    <n v="13000000"/>
    <n v="36598264905"/>
  </r>
  <r>
    <x v="1"/>
    <s v="DHS 1200L"/>
    <s v="주식회사 다이나맥스"/>
    <m/>
    <n v="43700000"/>
    <n v="36641964905"/>
  </r>
  <r>
    <x v="1"/>
    <s v="DHS 17AP "/>
    <s v="VIET TRUNG JOINT STOCK EQUIPMENT COMPANY"/>
    <m/>
    <n v="508411200"/>
    <n v="37150376105"/>
  </r>
  <r>
    <x v="1"/>
    <s v="DHS 870"/>
    <s v="EAST BOY ENGINEERING CO., LTD"/>
    <m/>
    <n v="128936257"/>
    <n v="37279312362"/>
  </r>
  <r>
    <x v="1"/>
    <s v="DHS 15AP"/>
    <s v="원전사"/>
    <m/>
    <n v="50000000"/>
    <n v="37329312362"/>
  </r>
  <r>
    <x v="1"/>
    <s v="DHS 433L"/>
    <s v="인양수산"/>
    <m/>
    <n v="16363636"/>
    <n v="37345675998"/>
  </r>
  <r>
    <x v="1"/>
    <s v="DHS 433L"/>
    <s v="대성전기"/>
    <m/>
    <n v="14350000"/>
    <n v="37360025998"/>
  </r>
  <r>
    <x v="1"/>
    <s v="DHS 1200L"/>
    <s v="(주)씨엔아이텔레콤"/>
    <m/>
    <n v="44545455"/>
    <n v="37404571453"/>
  </r>
  <r>
    <x v="1"/>
    <s v="DHS 930"/>
    <s v="(주)서호이앤씨"/>
    <m/>
    <n v="33800000"/>
    <n v="37438371453"/>
  </r>
  <r>
    <x v="1"/>
    <s v="DHS 433M"/>
    <s v="주식회사 선우아이티"/>
    <m/>
    <n v="13800000"/>
    <n v="37452171453"/>
  </r>
  <r>
    <x v="1"/>
    <s v="DHS 433M"/>
    <s v="주식회사 선우아이티"/>
    <m/>
    <n v="13800000"/>
    <n v="37465971453"/>
  </r>
  <r>
    <x v="1"/>
    <s v="DHS 105AP"/>
    <s v="SM엔지니어링"/>
    <m/>
    <n v="40000000"/>
    <n v="37505971453"/>
  </r>
  <r>
    <x v="1"/>
    <s v="DHS 105AP"/>
    <s v="천지"/>
    <m/>
    <n v="40400000"/>
    <n v="37546371453"/>
  </r>
  <r>
    <x v="1"/>
    <s v="DHS 1200L"/>
    <s v="렉스젠(주)"/>
    <m/>
    <n v="42000000"/>
    <n v="37588371453"/>
  </r>
  <r>
    <x v="1"/>
    <s v="DHS 105AP"/>
    <s v="(주)영대정보통신"/>
    <m/>
    <n v="40909091"/>
    <n v="37629280544"/>
  </r>
  <r>
    <x v="1"/>
    <s v="DHS 17AP"/>
    <s v="다인정보기술(주)"/>
    <m/>
    <n v="52000000"/>
    <n v="37681280544"/>
  </r>
  <r>
    <x v="1"/>
    <s v="DHS 433M"/>
    <s v="만주통신"/>
    <m/>
    <n v="13000000"/>
    <n v="37694280544"/>
  </r>
  <r>
    <x v="1"/>
    <s v="DHS 433M"/>
    <s v="한백통신"/>
    <m/>
    <n v="14200000"/>
    <n v="37708480544"/>
  </r>
  <r>
    <x v="1"/>
    <s v="DHS 930"/>
    <s v="(주)사삼정보통신"/>
    <m/>
    <n v="36363636"/>
    <n v="37744844180"/>
  </r>
  <r>
    <x v="1"/>
    <s v="DHS 15AP"/>
    <s v="예원전기통신(주)"/>
    <m/>
    <n v="49500000"/>
    <n v="37794344180"/>
  </r>
  <r>
    <x v="1"/>
    <s v="DHS 1200L"/>
    <s v="주식회사 에이치에스네트워크"/>
    <m/>
    <n v="40000000"/>
    <n v="37834344180"/>
  </r>
  <r>
    <x v="1"/>
    <s v="DHS 433M"/>
    <s v="주식회사 선우아이티"/>
    <m/>
    <n v="13800000"/>
    <n v="37848144180"/>
  </r>
  <r>
    <x v="1"/>
    <s v="DHS 433M"/>
    <s v="주식회사 선우아이티"/>
    <m/>
    <n v="13800000"/>
    <n v="37861944180"/>
  </r>
  <r>
    <x v="1"/>
    <s v="DHS 930"/>
    <s v="(주)건화서비스"/>
    <m/>
    <n v="32000000"/>
    <n v="37893944180"/>
  </r>
  <r>
    <x v="1"/>
    <s v="DHS 105AP"/>
    <s v="효통신"/>
    <m/>
    <n v="40000000"/>
    <n v="37933944180"/>
  </r>
  <r>
    <x v="1"/>
    <s v="DHS 433M"/>
    <s v="동신통신"/>
    <m/>
    <n v="13500000"/>
    <n v="37947444180"/>
  </r>
  <r>
    <x v="1"/>
    <s v="DHS 280AP "/>
    <s v="(주)동해기계항공"/>
    <m/>
    <n v="55628000"/>
    <n v="38003072180"/>
  </r>
  <r>
    <x v="1"/>
    <s v="DHS 17AP "/>
    <s v="(주)동해기계항공"/>
    <m/>
    <n v="47515400"/>
    <n v="38050587580"/>
  </r>
  <r>
    <x v="1"/>
    <s v="DHS 15AP"/>
    <s v="아주통신(주)"/>
    <m/>
    <n v="50000000"/>
    <n v="38100587580"/>
  </r>
  <r>
    <x v="1"/>
    <s v="ALPHA 1200"/>
    <s v="주식회사 동원유지"/>
    <m/>
    <n v="96800000"/>
    <n v="38197387580"/>
  </r>
  <r>
    <x v="1"/>
    <s v="DHS 105AP"/>
    <s v="가람정보통신"/>
    <m/>
    <n v="40000000"/>
    <n v="38237387580"/>
  </r>
  <r>
    <x v="1"/>
    <s v="DHS 433L"/>
    <s v="천지산업기술"/>
    <m/>
    <n v="13600000"/>
    <n v="38250987580"/>
  </r>
  <r>
    <x v="1"/>
    <s v="DHS 433M"/>
    <s v="일군통신"/>
    <m/>
    <n v="15909091"/>
    <n v="38266896671"/>
  </r>
  <r>
    <x v="1"/>
    <s v="DHS 1200L"/>
    <s v="국보전기(주)"/>
    <m/>
    <n v="44090909"/>
    <n v="38310987580"/>
  </r>
  <r>
    <x v="1"/>
    <s v="DHS 1200L"/>
    <s v="일광전기(주)"/>
    <m/>
    <n v="43000000"/>
    <n v="38353987580"/>
  </r>
  <r>
    <x v="1"/>
    <s v="DHS 105AP"/>
    <s v="동성정보"/>
    <m/>
    <n v="40909091"/>
    <n v="38394896671"/>
  </r>
  <r>
    <x v="1"/>
    <s v="DHS 105AP"/>
    <s v="피오네트웍스"/>
    <m/>
    <n v="40930000"/>
    <n v="38435826671"/>
  </r>
  <r>
    <x v="1"/>
    <s v="DHS 433M"/>
    <s v="익산농기계"/>
    <m/>
    <n v="10750000"/>
    <n v="38446576671"/>
  </r>
  <r>
    <x v="1"/>
    <s v="DHS 105AP"/>
    <s v="하영산업"/>
    <m/>
    <n v="38236363"/>
    <n v="38484813034"/>
  </r>
  <r>
    <x v="1"/>
    <s v="DHS 17AP"/>
    <s v="주식회사 대아전력"/>
    <m/>
    <n v="54545454"/>
    <n v="38539358488"/>
  </r>
  <r>
    <x v="1"/>
    <s v="DHS 105AP"/>
    <s v="대북통신"/>
    <m/>
    <n v="39545455"/>
    <n v="38578903943"/>
  </r>
  <r>
    <x v="1"/>
    <s v="DHS 950L"/>
    <s v="임하산업개발"/>
    <m/>
    <n v="38500000"/>
    <n v="38617403943"/>
  </r>
  <r>
    <x v="1"/>
    <s v="DHS 15AP"/>
    <s v="아림통신건설"/>
    <m/>
    <n v="50454545"/>
    <n v="38667858488"/>
  </r>
  <r>
    <x v="1"/>
    <s v="PS4000SD 주탑실린더 외"/>
    <s v="(주)한진디엔비"/>
    <m/>
    <n v="27210000"/>
    <n v="38695068488"/>
  </r>
  <r>
    <x v="1"/>
    <s v="DHS 1200L"/>
    <s v="주식회사 우경엔지니어링"/>
    <m/>
    <n v="42200000"/>
    <n v="38737268488"/>
  </r>
  <r>
    <x v="1"/>
    <s v="DHS 1200L"/>
    <s v="주식회사 영보정보통신"/>
    <m/>
    <n v="42400000"/>
    <n v="38779668488"/>
  </r>
  <r>
    <x v="1"/>
    <s v="DHS 105AP"/>
    <s v="건수정보통신(주)"/>
    <m/>
    <n v="39700000"/>
    <n v="38819368488"/>
  </r>
  <r>
    <x v="1"/>
    <s v="DHS 433M"/>
    <s v="주식회사 광파통신"/>
    <m/>
    <n v="14909091"/>
    <n v="38834277579"/>
  </r>
  <r>
    <x v="1"/>
    <s v="DHS 950L"/>
    <s v="(주)삼흥정보통신"/>
    <m/>
    <n v="37748000"/>
    <n v="38872025579"/>
  </r>
  <r>
    <x v="1"/>
    <s v="DHS 433"/>
    <s v="(주)한진중공업 건설부문"/>
    <m/>
    <n v="13500000"/>
    <n v="38885525579"/>
  </r>
  <r>
    <x v="1"/>
    <s v="DHS 15AP"/>
    <s v="비호토탈"/>
    <m/>
    <n v="50000000"/>
    <n v="38935525579"/>
  </r>
  <r>
    <x v="1"/>
    <s v="DHS 105AP"/>
    <s v="세철통신"/>
    <m/>
    <n v="39500000"/>
    <n v="38975025579"/>
  </r>
  <r>
    <x v="1"/>
    <s v="DHS 105AP"/>
    <s v="창성공사"/>
    <m/>
    <n v="38000000"/>
    <n v="39013025579"/>
  </r>
  <r>
    <x v="1"/>
    <s v="DHS 160S"/>
    <s v="HIAB MIDDLE EAST L.L.C"/>
    <m/>
    <n v="285564034"/>
    <n v="39298589613"/>
  </r>
  <r>
    <x v="1"/>
    <s v="실린더대금"/>
    <s v="(주)한진디엔비"/>
    <m/>
    <n v="49592000"/>
    <n v="39348181613"/>
  </r>
  <r>
    <x v="1"/>
    <s v="DHS 433L"/>
    <s v="포항시 건설환경사업소"/>
    <m/>
    <n v="14263636"/>
    <n v="39362445249"/>
  </r>
  <r>
    <x v="1"/>
    <s v="크레인대금"/>
    <s v="포항시 건설환경사업소"/>
    <m/>
    <n v="-14263636"/>
    <n v="39348181613"/>
  </r>
  <r>
    <x v="1"/>
    <s v="DHS 433L"/>
    <s v="포항시 건설환경사업소"/>
    <m/>
    <n v="14263636"/>
    <n v="39362445249"/>
  </r>
  <r>
    <x v="1"/>
    <s v="DHS 15AP"/>
    <s v="동아전기공사"/>
    <m/>
    <n v="49500000"/>
    <n v="39411945249"/>
  </r>
  <r>
    <x v="1"/>
    <s v="DHS 15AP"/>
    <s v="(주)사라다"/>
    <m/>
    <n v="50900000"/>
    <n v="39462845249"/>
  </r>
  <r>
    <x v="1"/>
    <s v="DHS 433"/>
    <s v="가가이지텍(주)"/>
    <m/>
    <n v="14308182"/>
    <n v="39477153431"/>
  </r>
  <r>
    <x v="1"/>
    <s v="DHS 433L"/>
    <s v="(주)씨앰디"/>
    <m/>
    <n v="15454545"/>
    <n v="39492607976"/>
  </r>
  <r>
    <x v="1"/>
    <s v="DHS 433L"/>
    <s v="현풍타이어"/>
    <m/>
    <n v="15000000"/>
    <n v="39507607976"/>
  </r>
  <r>
    <x v="1"/>
    <s v="DHS 433M"/>
    <s v="(주)대한이엔씨"/>
    <m/>
    <n v="12700000"/>
    <n v="39520307976"/>
  </r>
  <r>
    <x v="1"/>
    <s v="DHS 930"/>
    <s v="(주)자바네트웍스"/>
    <m/>
    <n v="34090909"/>
    <n v="39554398885"/>
  </r>
  <r>
    <x v="1"/>
    <s v="DHS 105AP"/>
    <s v="(주)애플파워"/>
    <m/>
    <n v="40909091"/>
    <n v="39595307976"/>
  </r>
  <r>
    <x v="1"/>
    <s v="DHS 920"/>
    <s v="(주)이든정보기술"/>
    <m/>
    <n v="40454545"/>
    <n v="39635762521"/>
  </r>
  <r>
    <x v="1"/>
    <s v="DHS 1200L"/>
    <s v="준정보통신"/>
    <m/>
    <n v="41636364"/>
    <n v="39677398885"/>
  </r>
  <r>
    <x v="1"/>
    <s v="DHS 950L"/>
    <s v="젊은기술(주)"/>
    <m/>
    <n v="36818181"/>
    <n v="39714217066"/>
  </r>
  <r>
    <x v="1"/>
    <s v="실린더대금"/>
    <s v="(주)한진디엔비"/>
    <m/>
    <n v="13750000"/>
    <n v="39727967066"/>
  </r>
  <r>
    <x v="1"/>
    <s v="DHS 105AP"/>
    <s v="삼성전력공사"/>
    <m/>
    <n v="39090909"/>
    <n v="39767057975"/>
  </r>
  <r>
    <x v="1"/>
    <s v="DHS 1200L"/>
    <s v="M＆T네트웍스"/>
    <m/>
    <n v="41818181"/>
    <n v="39808876156"/>
  </r>
  <r>
    <x v="1"/>
    <s v="DHS 433"/>
    <s v="크레인마트"/>
    <m/>
    <n v="14900000"/>
    <n v="39823776156"/>
  </r>
  <r>
    <x v="1"/>
    <s v="DHS 15AP"/>
    <s v="주식회사 에스디전력"/>
    <m/>
    <n v="48636364"/>
    <n v="39872412520"/>
  </r>
  <r>
    <x v="1"/>
    <s v="DHS 1200L"/>
    <s v="타이어뱅크(주)"/>
    <m/>
    <n v="42051000"/>
    <n v="39914463520"/>
  </r>
  <r>
    <x v="1"/>
    <s v="DHS 17AP"/>
    <s v="(주)금성전력"/>
    <m/>
    <n v="53900000"/>
    <n v="39968363520"/>
  </r>
  <r>
    <x v="1"/>
    <s v="DHS 105AP"/>
    <s v="(주)하이원텔레콤"/>
    <m/>
    <n v="40000000"/>
    <n v="40008363520"/>
  </r>
  <r>
    <x v="1"/>
    <s v="DHS 105AP"/>
    <s v="SK네트웍스(주)카티즌"/>
    <m/>
    <n v="41818182"/>
    <n v="40050181702"/>
  </r>
  <r>
    <x v="1"/>
    <s v="DHS 1200L"/>
    <s v="현대전기소방건설공사"/>
    <m/>
    <n v="42727272"/>
    <n v="40092908974"/>
  </r>
  <r>
    <x v="1"/>
    <s v="DHS 950L"/>
    <s v="엠에스온(주)"/>
    <m/>
    <n v="37500000"/>
    <n v="40130408974"/>
  </r>
  <r>
    <x v="1"/>
    <s v="DHS 433M"/>
    <s v="인터뱅크"/>
    <m/>
    <n v="14150000"/>
    <n v="40144558974"/>
  </r>
  <r>
    <x v="1"/>
    <s v="DHS 433M"/>
    <s v="CN(씨엔)"/>
    <m/>
    <n v="14035455"/>
    <n v="40158594429"/>
  </r>
  <r>
    <x v="1"/>
    <s v="DHS 433M"/>
    <s v="(주)우솔정보통신"/>
    <m/>
    <n v="17800000"/>
    <n v="40176394429"/>
  </r>
  <r>
    <x v="1"/>
    <s v="DHS 105AP"/>
    <s v="근오엔지니어링"/>
    <m/>
    <n v="40454545"/>
    <n v="40216848974"/>
  </r>
  <r>
    <x v="1"/>
    <s v="DHS 950L"/>
    <s v="민영정보통신"/>
    <m/>
    <n v="38181818"/>
    <n v="40255030792"/>
  </r>
  <r>
    <x v="1"/>
    <s v="DHS 105AP"/>
    <s v="지우네트웍스"/>
    <m/>
    <n v="39800000"/>
    <n v="40294830792"/>
  </r>
  <r>
    <x v="1"/>
    <s v="DHS 105AP"/>
    <s v="해광통신"/>
    <m/>
    <n v="40909090"/>
    <n v="40335739882"/>
  </r>
  <r>
    <x v="1"/>
    <s v="DHS 105AP"/>
    <s v="엘케이테크넷(주)"/>
    <m/>
    <n v="39500000"/>
    <n v="40375239882"/>
  </r>
  <r>
    <x v="1"/>
    <s v="DHS 15AP"/>
    <s v="(주)동해기계항공"/>
    <m/>
    <n v="40657200"/>
    <n v="40415897082"/>
  </r>
  <r>
    <x v="1"/>
    <s v="DHS 280AP"/>
    <s v="(주)동해기계항공"/>
    <m/>
    <n v="55628000"/>
    <n v="40471525082"/>
  </r>
  <r>
    <x v="1"/>
    <s v="DHS 433M"/>
    <s v="(주)유진통신"/>
    <m/>
    <n v="11800000"/>
    <n v="40483325082"/>
  </r>
  <r>
    <x v="1"/>
    <s v="DHS 433L"/>
    <s v="온양농업협동조합"/>
    <m/>
    <n v="15080000"/>
    <n v="40498405082"/>
  </r>
  <r>
    <x v="1"/>
    <s v="DHS 15AP"/>
    <s v="크린파워"/>
    <m/>
    <n v="47000000"/>
    <n v="40545405082"/>
  </r>
  <r>
    <x v="1"/>
    <s v="DHS 105AP"/>
    <s v="경보통신"/>
    <m/>
    <n v="40454545"/>
    <n v="40585859627"/>
  </r>
  <r>
    <x v="1"/>
    <s v="DHS 950L"/>
    <s v="준네트워크"/>
    <m/>
    <n v="39000000"/>
    <n v="40624859627"/>
  </r>
  <r>
    <x v="1"/>
    <s v="DHS 930"/>
    <s v="(주)티와이씨엔"/>
    <m/>
    <n v="33909090"/>
    <n v="40658768717"/>
  </r>
  <r>
    <x v="1"/>
    <s v="DHS 15AP"/>
    <s v="(주)서광시스템"/>
    <m/>
    <n v="49000000"/>
    <n v="40707768717"/>
  </r>
  <r>
    <x v="1"/>
    <s v="CORE BACKING PLATE외 "/>
    <s v="VICTOR BALATA BELTING COMPANY"/>
    <m/>
    <n v="2911704"/>
    <n v="40710680421"/>
  </r>
  <r>
    <x v="1"/>
    <s v="DHS 433L"/>
    <s v="(주)삼화타이어"/>
    <m/>
    <n v="16000000"/>
    <n v="40726680421"/>
  </r>
  <r>
    <x v="1"/>
    <s v="DHS 15AP"/>
    <s v="금오이엔시(주)"/>
    <m/>
    <n v="49000000"/>
    <n v="40775680421"/>
  </r>
  <r>
    <x v="1"/>
    <s v="DHS 1200L"/>
    <s v="금호전기"/>
    <m/>
    <n v="41818180"/>
    <n v="40817498601"/>
  </r>
  <r>
    <x v="1"/>
    <s v="DHS 15AP"/>
    <s v="(주)한빛전기"/>
    <m/>
    <n v="49090909"/>
    <n v="40866589510"/>
  </r>
  <r>
    <x v="1"/>
    <s v="DHS 433M"/>
    <s v="(주)진주네트워크"/>
    <m/>
    <n v="16768727"/>
    <n v="40883358237"/>
  </r>
  <r>
    <x v="1"/>
    <s v="DHS 433M"/>
    <s v="(주)함양케이블텔레비젼"/>
    <m/>
    <n v="16358000"/>
    <n v="40899716237"/>
  </r>
  <r>
    <x v="1"/>
    <s v="DHS 433M"/>
    <s v="정민통신"/>
    <m/>
    <n v="12600000"/>
    <n v="40912316237"/>
  </r>
  <r>
    <x v="1"/>
    <s v="크레인대금3／14"/>
    <s v="주식회사 모든정보통신"/>
    <m/>
    <n v="42300000"/>
    <n v="40954616237"/>
  </r>
  <r>
    <x v="1"/>
    <s v="DHS 433L"/>
    <s v="영양군농업기술센터"/>
    <m/>
    <n v="13670000"/>
    <n v="40968286237"/>
  </r>
  <r>
    <x v="1"/>
    <s v="DHS 105AP"/>
    <s v="(주)송우인포텍"/>
    <m/>
    <n v="39090909"/>
    <n v="41007377146"/>
  </r>
  <r>
    <x v="1"/>
    <s v="DHS 105AP"/>
    <s v="아가페 네트웍스"/>
    <m/>
    <n v="40909091"/>
    <n v="41048286237"/>
  </r>
  <r>
    <x v="1"/>
    <s v="DHS 105AP"/>
    <s v="성연정보통신"/>
    <m/>
    <n v="40000000"/>
    <n v="41088286237"/>
  </r>
  <r>
    <x v="1"/>
    <s v="DHS 105AP"/>
    <s v="유준네트웍스"/>
    <m/>
    <n v="38000000"/>
    <n v="41126286237"/>
  </r>
  <r>
    <x v="1"/>
    <s v="DHS 1200L"/>
    <s v="에이디텔레콤(주)"/>
    <m/>
    <n v="43636364"/>
    <n v="41169922601"/>
  </r>
  <r>
    <x v="1"/>
    <s v="DHS 105AP"/>
    <s v="유준네트웍스"/>
    <m/>
    <n v="38000000"/>
    <n v="41207922601"/>
  </r>
  <r>
    <x v="1"/>
    <s v="DHS 105AP"/>
    <s v="유준네트웍스"/>
    <m/>
    <n v="-38000000"/>
    <n v="41169922601"/>
  </r>
  <r>
    <x v="1"/>
    <s v="DHS 105AP"/>
    <s v="현정보통신"/>
    <m/>
    <n v="39454545"/>
    <n v="41209377146"/>
  </r>
  <r>
    <x v="1"/>
    <s v="DHS 15AP"/>
    <s v="남구청"/>
    <m/>
    <n v="49963637"/>
    <n v="41259340783"/>
  </r>
  <r>
    <x v="1"/>
    <s v="DHS 930"/>
    <s v="RS정보통신"/>
    <m/>
    <n v="34000000"/>
    <n v="41293340783"/>
  </r>
  <r>
    <x v="1"/>
    <s v="DHS 1200L"/>
    <s v="썬더통신"/>
    <m/>
    <n v="42272727"/>
    <n v="41335613510"/>
  </r>
  <r>
    <x v="1"/>
    <s v="실린더대금"/>
    <s v="(주)한진디엔비"/>
    <m/>
    <n v="6500000"/>
    <n v="41342113510"/>
  </r>
  <r>
    <x v="1"/>
    <s v="DHS 433L"/>
    <s v="중기타이어"/>
    <m/>
    <n v="15000000"/>
    <n v="41357113510"/>
  </r>
  <r>
    <x v="1"/>
    <s v="DHS 105AP"/>
    <s v="남경통신"/>
    <m/>
    <n v="42527000"/>
    <n v="41399640510"/>
  </r>
  <r>
    <x v="1"/>
    <s v="DHS 105AP"/>
    <s v="아라네트웍스"/>
    <m/>
    <n v="40454545"/>
    <n v="41440095055"/>
  </r>
  <r>
    <x v="1"/>
    <s v="DHS 930"/>
    <s v="(주)예성전기통신"/>
    <m/>
    <n v="35500000"/>
    <n v="41475595055"/>
  </r>
  <r>
    <x v="1"/>
    <s v="DHS 15AP-추가계약"/>
    <s v="남구청"/>
    <m/>
    <n v="3910000"/>
    <n v="41479505055"/>
  </r>
  <r>
    <x v="1"/>
    <s v="DHS 433L"/>
    <s v="(유)한마루에너지"/>
    <m/>
    <n v="15000000"/>
    <n v="41494505055"/>
  </r>
  <r>
    <x v="1"/>
    <s v="DHS 17AP외 "/>
    <s v="FAXMATEL IMPORTACIONES S.A."/>
    <m/>
    <n v="107227635"/>
    <n v="41601732690"/>
  </r>
  <r>
    <x v="1"/>
    <s v="크레인부품대금"/>
    <s v="하동군청"/>
    <m/>
    <n v="1350000"/>
    <n v="41603082690"/>
  </r>
  <r>
    <x v="1"/>
    <s v="DHS 433M"/>
    <s v="제일정보통신(주)"/>
    <m/>
    <n v="13300000"/>
    <n v="41616382690"/>
  </r>
  <r>
    <x v="1"/>
    <s v="DHS 105AP"/>
    <s v="에이디텔레콤(주)"/>
    <m/>
    <n v="42818182"/>
    <n v="41659200872"/>
  </r>
  <r>
    <x v="1"/>
    <s v="DHS 15AP"/>
    <s v="KL전기"/>
    <m/>
    <n v="49545454"/>
    <n v="41708746326"/>
  </r>
  <r>
    <x v="1"/>
    <s v="DHS 15AP"/>
    <s v="제일창호"/>
    <m/>
    <n v="47000000"/>
    <n v="41755746326"/>
  </r>
  <r>
    <x v="1"/>
    <s v="DHS 17AP"/>
    <s v="(주)동해기계항공"/>
    <m/>
    <n v="45227400"/>
    <n v="41800973726"/>
  </r>
  <r>
    <x v="1"/>
    <s v="DHS 280AP"/>
    <s v="(주)동해기계항공"/>
    <m/>
    <n v="55090000"/>
    <n v="41856063726"/>
  </r>
  <r>
    <x v="1"/>
    <s v="선금급"/>
    <s v="함안군청"/>
    <m/>
    <n v="44545455"/>
    <n v="41900609181"/>
  </r>
  <r>
    <x v="1"/>
    <s v="선금급"/>
    <s v="함안군청"/>
    <m/>
    <n v="-44545455"/>
    <n v="41856063726"/>
  </r>
  <r>
    <x v="1"/>
    <s v="DHS 15AP"/>
    <s v="제일창호"/>
    <m/>
    <n v="-47000000"/>
    <n v="41809063726"/>
  </r>
  <r>
    <x v="1"/>
    <s v="DHS 15AP"/>
    <s v="최인천"/>
    <m/>
    <n v="47000000"/>
    <n v="41856063726"/>
  </r>
  <r>
    <x v="1"/>
    <s v="DHS 433L"/>
    <s v="영진유압"/>
    <m/>
    <n v="14000000"/>
    <n v="41870063726"/>
  </r>
  <r>
    <x v="1"/>
    <s v="DHS 870"/>
    <s v="이지통신"/>
    <m/>
    <n v="36500000"/>
    <n v="41906563726"/>
  </r>
  <r>
    <x v="1"/>
    <s v="DHS 950L"/>
    <s v="(유)서진아이티씨"/>
    <m/>
    <n v="38181818"/>
    <n v="41944745544"/>
  </r>
  <r>
    <x v="1"/>
    <s v="DHS 433M"/>
    <s v="아라정보기술"/>
    <m/>
    <n v="13000000"/>
    <n v="41957745544"/>
  </r>
  <r>
    <x v="1"/>
    <s v="DHS 1200L"/>
    <s v="(주)타코스텔레콤"/>
    <m/>
    <n v="42300000"/>
    <n v="42000045544"/>
  </r>
  <r>
    <x v="1"/>
    <s v="DHS 950L"/>
    <s v="케이지시스템"/>
    <m/>
    <n v="37000000"/>
    <n v="42037045544"/>
  </r>
  <r>
    <x v="1"/>
    <s v="DHS 433L"/>
    <s v="진성개발"/>
    <m/>
    <n v="15272727"/>
    <n v="42052318271"/>
  </r>
  <r>
    <x v="1"/>
    <s v="DHS 950L"/>
    <s v="태백통신"/>
    <m/>
    <n v="36000000"/>
    <n v="42088318271"/>
  </r>
  <r>
    <x v="1"/>
    <s v="DHS 950L"/>
    <s v="시온네트워크"/>
    <m/>
    <n v="37000000"/>
    <n v="42125318271"/>
  </r>
  <r>
    <x v="1"/>
    <s v="DHS7526+외"/>
    <s v="(주)딘엑스크레인"/>
    <m/>
    <n v="108107000"/>
    <n v="42233425271"/>
  </r>
  <r>
    <x v="1"/>
    <s v="선금급"/>
    <s v="함안군청"/>
    <m/>
    <n v="44545455"/>
    <n v="42277970726"/>
  </r>
  <r>
    <x v="1"/>
    <s v="DHS 920"/>
    <s v="동대문구청"/>
    <m/>
    <n v="41390910"/>
    <n v="42319361636"/>
  </r>
  <r>
    <x v="1"/>
    <s v="DHS 930"/>
    <s v="주식회사 월드멀티넷"/>
    <m/>
    <n v="33290909"/>
    <n v="42352652545"/>
  </r>
  <r>
    <x v="1"/>
    <s v="DHS 433M"/>
    <s v="(주)화인이앤씨"/>
    <m/>
    <n v="15890000"/>
    <n v="42368542545"/>
  </r>
  <r>
    <x v="1"/>
    <s v="DHS 105AP"/>
    <s v="(주)삼흥정보통신"/>
    <m/>
    <n v="40909091"/>
    <n v="42409451636"/>
  </r>
  <r>
    <x v="1"/>
    <s v="DHS 105AP"/>
    <s v="(주)삼흥정보통신"/>
    <m/>
    <n v="40909091"/>
    <n v="42450360727"/>
  </r>
  <r>
    <x v="1"/>
    <s v="DHS 105AP"/>
    <s v="가온통신"/>
    <m/>
    <n v="40000000"/>
    <n v="42490360727"/>
  </r>
  <r>
    <x v="1"/>
    <s v="DHS 105AP"/>
    <s v="KM정보통신"/>
    <m/>
    <n v="40090909"/>
    <n v="42530451636"/>
  </r>
  <r>
    <x v="1"/>
    <s v="DHS 105AP"/>
    <s v="노블테크(주)"/>
    <m/>
    <n v="39631000"/>
    <n v="42570082636"/>
  </r>
  <r>
    <x v="1"/>
    <s v="DHS 950L"/>
    <s v="한서정보통신주식회사"/>
    <m/>
    <n v="38727273"/>
    <n v="42608809909"/>
  </r>
  <r>
    <x v="1"/>
    <s v="추가계약"/>
    <s v="진성개발"/>
    <m/>
    <n v="545455"/>
    <n v="42609355364"/>
  </r>
  <r>
    <x v="1"/>
    <s v="HWD 200"/>
    <s v="(주)에이스정보통신"/>
    <m/>
    <n v="3600000"/>
    <n v="42612955364"/>
  </r>
  <r>
    <x v="1"/>
    <s v="DHS 105AP"/>
    <s v="피오네트웍스"/>
    <m/>
    <n v="40000000"/>
    <n v="42652955364"/>
  </r>
  <r>
    <x v="1"/>
    <s v="DHS 433L"/>
    <s v="(주)흥아"/>
    <m/>
    <n v="15400000"/>
    <n v="42668355364"/>
  </r>
  <r>
    <x v="1"/>
    <s v="DHS 433M"/>
    <s v="(주)진주네트워크"/>
    <m/>
    <n v="16768727"/>
    <n v="42685124091"/>
  </r>
  <r>
    <x v="1"/>
    <s v="BRAKE REPAIR KIT "/>
    <s v="VICTOR BALATA BELTING COMPANY"/>
    <m/>
    <n v="109372732"/>
    <n v="42794496823"/>
  </r>
  <r>
    <x v="1"/>
    <s v="DHS 105AP"/>
    <s v="주식회사 유니온테크"/>
    <m/>
    <n v="40500000"/>
    <n v="42834996823"/>
  </r>
  <r>
    <x v="1"/>
    <s v="DHS 433M"/>
    <s v="셀테크"/>
    <m/>
    <n v="16200000"/>
    <n v="42851196823"/>
  </r>
  <r>
    <x v="1"/>
    <s v="DHS 105AP"/>
    <s v="(주)세종정보통신"/>
    <m/>
    <n v="40500000"/>
    <n v="42891696823"/>
  </r>
  <r>
    <x v="1"/>
    <s v="DHS 433L"/>
    <s v="형제마린"/>
    <m/>
    <n v="13880909"/>
    <n v="42905577732"/>
  </r>
  <r>
    <x v="1"/>
    <s v="DHS 950L"/>
    <s v="뉴코리아전자통신(주)"/>
    <m/>
    <n v="37200000"/>
    <n v="42942777732"/>
  </r>
  <r>
    <x v="1"/>
    <s v="DHS 105AP"/>
    <s v="벤져스"/>
    <m/>
    <n v="38050000"/>
    <n v="42980827732"/>
  </r>
  <r>
    <x v="1"/>
    <s v="DHS 950L"/>
    <s v="이레통신"/>
    <m/>
    <n v="37450000"/>
    <n v="43018277732"/>
  </r>
  <r>
    <x v="1"/>
    <s v="DHS 950L"/>
    <s v="건영정보통신(주)"/>
    <m/>
    <n v="38500000"/>
    <n v="43056777732"/>
  </r>
  <r>
    <x v="1"/>
    <s v="DHS 105AP"/>
    <s v="주식회사 애버커스엔지니어링"/>
    <m/>
    <n v="41618182"/>
    <n v="43098395914"/>
  </r>
  <r>
    <x v="1"/>
    <s v="DHS 950L"/>
    <s v="제이앤제이정보통신(주)"/>
    <m/>
    <n v="37500000"/>
    <n v="43135895914"/>
  </r>
  <r>
    <x v="1"/>
    <s v="DHS 950L"/>
    <s v="(주)제이넷통신"/>
    <m/>
    <n v="38636364"/>
    <n v="43174532278"/>
  </r>
  <r>
    <x v="1"/>
    <s v="DHS 930"/>
    <s v="주식회사  띠앗정보통신"/>
    <m/>
    <n v="33500000"/>
    <n v="43208032278"/>
  </r>
  <r>
    <x v="1"/>
    <s v="DHS 950L"/>
    <s v="장동범"/>
    <m/>
    <n v="39090909"/>
    <n v="43247123187"/>
  </r>
  <r>
    <x v="1"/>
    <s v="DHS 930"/>
    <s v="유나정보통신"/>
    <m/>
    <n v="33181818"/>
    <n v="43280305005"/>
  </r>
  <r>
    <x v="1"/>
    <s v="DHS 105AP"/>
    <s v="상하이통신"/>
    <m/>
    <n v="40500000"/>
    <n v="43320805005"/>
  </r>
  <r>
    <x v="1"/>
    <s v="DHS 105AP"/>
    <s v="손광원"/>
    <m/>
    <n v="40000000"/>
    <n v="43360805005"/>
  </r>
  <r>
    <x v="1"/>
    <s v="수지코 틸팅 다단실린더외"/>
    <s v="(주)한진디엔비"/>
    <m/>
    <n v="50488000"/>
    <n v="43411293005"/>
  </r>
  <r>
    <x v="1"/>
    <s v="DHS 1200L"/>
    <s v="평창군청"/>
    <m/>
    <n v="45618182"/>
    <n v="43456911187"/>
  </r>
  <r>
    <x v="1"/>
    <s v="DHS 15AP-추가계약"/>
    <s v="창원시 마산회원구청"/>
    <m/>
    <n v="6509091"/>
    <n v="43463420278"/>
  </r>
  <r>
    <x v="1"/>
    <s v="탁송료"/>
    <s v="창원시 마산회원구청"/>
    <m/>
    <n v="272727"/>
    <n v="43463693005"/>
  </r>
  <r>
    <x v="1"/>
    <s v="DHS 15AP"/>
    <s v="강남이엔지(주)"/>
    <m/>
    <n v="50909091"/>
    <n v="43514602096"/>
  </r>
  <r>
    <x v="1"/>
    <s v="DHS 15AP"/>
    <s v="창원시 마산회원구청"/>
    <m/>
    <n v="49963637"/>
    <n v="43564565733"/>
  </r>
  <r>
    <x v="1"/>
    <s v="DHS 15AP"/>
    <s v="(주)남부전기"/>
    <m/>
    <n v="51180000"/>
    <n v="43615745733"/>
  </r>
  <r>
    <x v="1"/>
    <s v="DHS 1200L"/>
    <s v="밀성전기(주)"/>
    <m/>
    <n v="44500000"/>
    <n v="43660245733"/>
  </r>
  <r>
    <x v="1"/>
    <s v="DHS 433M"/>
    <s v="토네이도정보통신"/>
    <m/>
    <n v="14380000"/>
    <n v="43674625733"/>
  </r>
  <r>
    <x v="1"/>
    <s v="DHS 433L"/>
    <s v="(주)이산"/>
    <m/>
    <n v="12585000"/>
    <n v="43687210733"/>
  </r>
  <r>
    <x v="1"/>
    <s v="DHS 1200L-추가계약"/>
    <s v="평창군청"/>
    <m/>
    <n v="5636364"/>
    <n v="43692847097"/>
  </r>
  <r>
    <x v="1"/>
    <s v="DHS 1200L"/>
    <s v="흥원통신"/>
    <m/>
    <n v="44090909"/>
    <n v="43736938006"/>
  </r>
  <r>
    <x v="1"/>
    <s v="DHS 433L"/>
    <s v="동양마린"/>
    <m/>
    <n v="14545454"/>
    <n v="43751483460"/>
  </r>
  <r>
    <x v="1"/>
    <s v="DHS 950L"/>
    <s v="에이텍(주)"/>
    <m/>
    <n v="38500000"/>
    <n v="43789983460"/>
  </r>
  <r>
    <x v="1"/>
    <s v="DHS 433L"/>
    <s v="하동군청"/>
    <m/>
    <n v="13363636"/>
    <n v="43803347096"/>
  </r>
  <r>
    <x v="1"/>
    <s v="DHS 950L"/>
    <s v="권이완"/>
    <m/>
    <n v="38000000"/>
    <n v="43841347096"/>
  </r>
  <r>
    <x v="1"/>
    <s v="DHS 1200L"/>
    <s v="대광정보통신"/>
    <m/>
    <n v="44750000"/>
    <n v="43886097096"/>
  </r>
  <r>
    <x v="1"/>
    <s v="DHS 105AP"/>
    <s v="충북건기"/>
    <m/>
    <n v="40909090"/>
    <n v="43927006186"/>
  </r>
  <r>
    <x v="1"/>
    <s v="DHS 15AP"/>
    <s v="대양전력주식회사"/>
    <m/>
    <n v="49000000"/>
    <n v="43976006186"/>
  </r>
  <r>
    <x v="1"/>
    <s v="DHS 1200L"/>
    <s v="(주)성광"/>
    <m/>
    <n v="40800000"/>
    <n v="44016806186"/>
  </r>
  <r>
    <x v="1"/>
    <s v="DHS 7526+ "/>
    <s v="(주)딘엑스크레인"/>
    <m/>
    <n v="109560000"/>
    <n v="44126366186"/>
  </r>
  <r>
    <x v="1"/>
    <s v="DHS 433L"/>
    <s v="알뜰산업"/>
    <m/>
    <n v="15000000"/>
    <n v="44141366186"/>
  </r>
  <r>
    <x v="1"/>
    <s v="DHS 433M"/>
    <s v="(주)셀콤"/>
    <m/>
    <n v="15500000"/>
    <n v="44156866186"/>
  </r>
  <r>
    <x v="1"/>
    <s v="크레인대금"/>
    <s v="제이지"/>
    <m/>
    <n v="34000000"/>
    <n v="44190866186"/>
  </r>
  <r>
    <x v="1"/>
    <s v="DHS 1200L"/>
    <s v="(주)윈투스시스템"/>
    <m/>
    <n v="42300000"/>
    <n v="44233166186"/>
  </r>
  <r>
    <x v="1"/>
    <s v="DHS 433M"/>
    <s v="(주)유선통신"/>
    <m/>
    <n v="13035455"/>
    <n v="44246201641"/>
  </r>
  <r>
    <x v="1"/>
    <s v="DHS 17AP"/>
    <s v="한성애드"/>
    <m/>
    <n v="51527272"/>
    <n v="44297728913"/>
  </r>
  <r>
    <x v="1"/>
    <s v="DHS 105AP"/>
    <s v="스피드 네트웍"/>
    <m/>
    <n v="39000000"/>
    <n v="44336728913"/>
  </r>
  <r>
    <x v="1"/>
    <s v="DHS 105AP"/>
    <s v="주영통신"/>
    <m/>
    <n v="40909091"/>
    <n v="44377638004"/>
  </r>
  <r>
    <x v="1"/>
    <s v="실린더대금"/>
    <s v="(주)한진디엔비"/>
    <m/>
    <n v="3060000"/>
    <n v="44380698004"/>
  </r>
  <r>
    <x v="1"/>
    <s v="크레인대금"/>
    <s v="연천군청"/>
    <m/>
    <n v="4300000"/>
    <n v="44384998004"/>
  </r>
  <r>
    <x v="1"/>
    <s v="DHS 950L"/>
    <s v="삼부통신"/>
    <m/>
    <n v="37400000"/>
    <n v="44422398004"/>
  </r>
  <r>
    <x v="1"/>
    <s v="DHS 433L"/>
    <s v="삼성중공업(주)거제조선소"/>
    <m/>
    <n v="16710000"/>
    <n v="44439108004"/>
  </r>
  <r>
    <x v="1"/>
    <s v="DHT 145S"/>
    <s v="연천군청"/>
    <m/>
    <n v="119354546"/>
    <n v="44558462550"/>
  </r>
  <r>
    <x v="1"/>
    <s v="DHS 433L"/>
    <s v="테마가공영농조합법인"/>
    <m/>
    <n v="19383636"/>
    <n v="44577846186"/>
  </r>
  <r>
    <x v="1"/>
    <s v="DHS 1200L"/>
    <s v="(주)대륙전기"/>
    <m/>
    <n v="41500000"/>
    <n v="44619346186"/>
  </r>
  <r>
    <x v="1"/>
    <s v="DHT 145S"/>
    <s v="춘천시생활민원처리사업소"/>
    <m/>
    <n v="119354546"/>
    <n v="44738700732"/>
  </r>
  <r>
    <x v="1"/>
    <s v="DHS 1200L"/>
    <s v="(주)씨앤앰 우리케이블티브이"/>
    <m/>
    <n v="46030000"/>
    <n v="44784730732"/>
  </r>
  <r>
    <x v="1"/>
    <s v="DHS 105AP"/>
    <s v="이중균"/>
    <m/>
    <n v="39000000"/>
    <n v="44823730732"/>
  </r>
  <r>
    <x v="1"/>
    <s v="DHS 105AP"/>
    <s v="주식회사 충청라인"/>
    <m/>
    <n v="39700000"/>
    <n v="44863430732"/>
  </r>
  <r>
    <x v="1"/>
    <s v="DHS 433L"/>
    <s v="미아중기"/>
    <m/>
    <n v="14500000"/>
    <n v="44877930732"/>
  </r>
  <r>
    <x v="1"/>
    <s v="DHT 145S-추가계약"/>
    <s v="춘천시생활민원처리사업소"/>
    <m/>
    <n v="2715273"/>
    <n v="44880646005"/>
  </r>
  <r>
    <x v="1"/>
    <s v="DHS 105AP"/>
    <s v="득진네트웍"/>
    <m/>
    <n v="39700000"/>
    <n v="44920346005"/>
  </r>
  <r>
    <x v="1"/>
    <s v="DHS 433M"/>
    <s v="거성"/>
    <m/>
    <n v="11000000"/>
    <n v="44931346005"/>
  </r>
  <r>
    <x v="1"/>
    <s v="JACK CYLINDER ASSY 외"/>
    <s v="(주)한진디엔비"/>
    <m/>
    <n v="18350000"/>
    <n v="44949696005"/>
  </r>
  <r>
    <x v="1"/>
    <s v="DHS 1200L"/>
    <s v="(주)굿네트웍스"/>
    <m/>
    <n v="40300000"/>
    <n v="44989996005"/>
  </r>
  <r>
    <x v="1"/>
    <s v="DHS 920"/>
    <s v="시흥시청"/>
    <m/>
    <n v="41390910"/>
    <n v="45031386915"/>
  </r>
  <r>
    <x v="1"/>
    <s v="DHS 920-추가계약"/>
    <s v="시흥시청"/>
    <m/>
    <n v="3456000"/>
    <n v="45034842915"/>
  </r>
  <r>
    <x v="1"/>
    <s v="DHS 433M"/>
    <s v="황군"/>
    <m/>
    <n v="12708182"/>
    <n v="45047551097"/>
  </r>
  <r>
    <x v="1"/>
    <s v="DHS 950L"/>
    <s v="배배통신"/>
    <m/>
    <n v="38500000"/>
    <n v="45086051097"/>
  </r>
  <r>
    <x v="1"/>
    <s v="DHS 105AP"/>
    <s v="S.B넷"/>
    <m/>
    <n v="42545455"/>
    <n v="45128596552"/>
  </r>
  <r>
    <x v="1"/>
    <s v="임대장비 탁송료"/>
    <s v="(주)나래씨앤디"/>
    <m/>
    <n v="454545"/>
    <n v="45129051097"/>
  </r>
  <r>
    <x v="1"/>
    <s v="DHS 190SKY"/>
    <s v="(주)동해기계항공"/>
    <m/>
    <n v="57731000"/>
    <n v="45186782097"/>
  </r>
  <r>
    <x v="1"/>
    <s v="DHS 930"/>
    <s v="(주)남양통신"/>
    <m/>
    <n v="35909091"/>
    <n v="45222691188"/>
  </r>
  <r>
    <x v="1"/>
    <s v="DHS 433M"/>
    <s v="당리통신"/>
    <m/>
    <n v="11100000"/>
    <n v="45233791188"/>
  </r>
  <r>
    <x v="1"/>
    <s v="DHS 15AP"/>
    <s v="주식회사 전국엔지니어링"/>
    <m/>
    <n v="48181818"/>
    <n v="45281973006"/>
  </r>
  <r>
    <x v="1"/>
    <s v="DHS 105AP"/>
    <s v="엠와이씨기술"/>
    <m/>
    <n v="41000000"/>
    <n v="45322973006"/>
  </r>
  <r>
    <x v="1"/>
    <s v="DHS 433M"/>
    <s v="LK통신"/>
    <m/>
    <n v="13545454"/>
    <n v="45336518460"/>
  </r>
  <r>
    <x v="1"/>
    <s v="부품대금"/>
    <s v="동해해양사업"/>
    <m/>
    <n v="4500000"/>
    <n v="45341018460"/>
  </r>
  <r>
    <x v="1"/>
    <s v="DHS 433M"/>
    <s v="에이텍(주)"/>
    <m/>
    <n v="13944545"/>
    <n v="45354963005"/>
  </r>
  <r>
    <x v="1"/>
    <s v="DHS 433M"/>
    <s v="가온통신"/>
    <m/>
    <n v="13000000"/>
    <n v="45367963005"/>
  </r>
  <r>
    <x v="1"/>
    <s v="DHS 433"/>
    <s v="국제마린"/>
    <m/>
    <n v="13363636"/>
    <n v="45381326641"/>
  </r>
  <r>
    <x v="1"/>
    <s v="DHS 950L"/>
    <s v="이레넷"/>
    <m/>
    <n v="39000000"/>
    <n v="45420326641"/>
  </r>
  <r>
    <x v="1"/>
    <s v="DHS 15AP"/>
    <s v="(주)동해기계항공"/>
    <m/>
    <n v="40849760"/>
    <n v="45461176401"/>
  </r>
  <r>
    <x v="1"/>
    <s v="DHS 105AP"/>
    <s v="제이제이정보통신"/>
    <m/>
    <n v="39000000"/>
    <n v="45500176401"/>
  </r>
  <r>
    <x v="1"/>
    <s v="DHS 930"/>
    <s v="젊은기술(주)"/>
    <m/>
    <n v="33454545"/>
    <n v="45533630946"/>
  </r>
  <r>
    <x v="1"/>
    <s v="DHS 433L"/>
    <s v="양평지방공사"/>
    <m/>
    <n v="13820000"/>
    <n v="45547450946"/>
  </r>
  <r>
    <x v="1"/>
    <s v="실린더대금"/>
    <s v="(주)한진디엔비"/>
    <m/>
    <n v="14948000"/>
    <n v="45562398946"/>
  </r>
  <r>
    <x v="1"/>
    <s v="크레인대금"/>
    <s v="(주)한진디엔비"/>
    <m/>
    <n v="12000000"/>
    <n v="45574398946"/>
  </r>
  <r>
    <x v="1"/>
    <s v="크레인대금"/>
    <s v="(주)한진디엔비"/>
    <m/>
    <n v="12000000"/>
    <n v="45586398946"/>
  </r>
  <r>
    <x v="1"/>
    <s v="크레인대금"/>
    <s v="(주)한진디엔비"/>
    <m/>
    <n v="12000000"/>
    <n v="45598398946"/>
  </r>
  <r>
    <x v="1"/>
    <s v="크레인대금"/>
    <s v="(주)한진디엔비"/>
    <m/>
    <n v="12000000"/>
    <n v="45610398946"/>
  </r>
  <r>
    <x v="1"/>
    <s v="DHS 433"/>
    <s v="(주)정강통신"/>
    <m/>
    <n v="14308182"/>
    <n v="45624707128"/>
  </r>
  <r>
    <x v="1"/>
    <s v="DHS 1200L"/>
    <s v="보민정보"/>
    <m/>
    <n v="44427273"/>
    <n v="45669134401"/>
  </r>
  <r>
    <x v="1"/>
    <s v="DHS 105AP"/>
    <s v="은성통신"/>
    <m/>
    <n v="40909091"/>
    <n v="45710043492"/>
  </r>
  <r>
    <x v="1"/>
    <s v="DHS 15AP"/>
    <s v="동원조명전기"/>
    <m/>
    <n v="48500000"/>
    <n v="45758543492"/>
  </r>
  <r>
    <x v="1"/>
    <s v="DHS 950L"/>
    <s v="지니정보통신"/>
    <m/>
    <n v="39090909"/>
    <n v="45797634401"/>
  </r>
  <r>
    <x v="1"/>
    <s v="DHS 280AP-4EA"/>
    <s v="(주)동해기계항공"/>
    <m/>
    <n v="220712000"/>
    <n v="46018346401"/>
  </r>
  <r>
    <x v="1"/>
    <s v="DHS 250AP외"/>
    <s v="(주)동해기계항공"/>
    <m/>
    <n v="110754000"/>
    <n v="46129100401"/>
  </r>
  <r>
    <x v="1"/>
    <s v="포크리프트"/>
    <s v="진성개발"/>
    <m/>
    <n v="13000000"/>
    <n v="46142100401"/>
  </r>
  <r>
    <x v="1"/>
    <s v="DHT 1800"/>
    <s v="AL-KASID GROUP DUBAI HQ"/>
    <m/>
    <n v="63630758"/>
    <n v="46205731159"/>
  </r>
  <r>
    <x v="1"/>
    <s v="크레인대금"/>
    <s v="주식회사 동원유지"/>
    <m/>
    <n v="43700000"/>
    <n v="46249431159"/>
  </r>
  <r>
    <x v="1"/>
    <s v="DHS 105AP"/>
    <s v="다성정보통신"/>
    <m/>
    <n v="39727272"/>
    <n v="46289158431"/>
  </r>
  <r>
    <x v="1"/>
    <s v="ALPHA 12000"/>
    <s v="인제군청"/>
    <m/>
    <n v="89090910"/>
    <n v="46378249341"/>
  </r>
  <r>
    <x v="1"/>
    <s v="DHS 433M"/>
    <s v="주식회사 대아산업"/>
    <m/>
    <n v="14500000"/>
    <n v="46392749341"/>
  </r>
  <r>
    <x v="1"/>
    <s v="DHS 433L"/>
    <s v="(주)이산"/>
    <m/>
    <n v="13120000"/>
    <n v="46405869341"/>
  </r>
  <r>
    <x v="1"/>
    <s v="DHS 433L"/>
    <s v="외동석재"/>
    <m/>
    <n v="15150000"/>
    <n v="46421019341"/>
  </r>
  <r>
    <x v="1"/>
    <s v="DHS 433M"/>
    <s v="선남통신"/>
    <m/>
    <n v="15700000"/>
    <n v="46436719341"/>
  </r>
  <r>
    <x v="1"/>
    <s v="DHS 433L"/>
    <s v="(주)동해기계항공"/>
    <m/>
    <n v="26627073"/>
    <n v="46463346414"/>
  </r>
  <r>
    <x v="1"/>
    <s v="DHS 1200L "/>
    <s v="(주)동해기계항공"/>
    <m/>
    <n v="37987200"/>
    <n v="46501333614"/>
  </r>
  <r>
    <x v="1"/>
    <s v="DHS 930"/>
    <s v="경남이엔지"/>
    <m/>
    <n v="35000000"/>
    <n v="46536333614"/>
  </r>
  <r>
    <x v="1"/>
    <s v="DHS 433L"/>
    <s v="(주)동해기계항공"/>
    <m/>
    <n v="24626164"/>
    <n v="46560959778"/>
  </r>
  <r>
    <x v="1"/>
    <s v="ALPHA 12000"/>
    <s v="동구청"/>
    <m/>
    <n v="89090910"/>
    <n v="46650050688"/>
  </r>
  <r>
    <x v="1"/>
    <s v="DHS 433L"/>
    <s v="(주)건양기술공사건축사사무소"/>
    <m/>
    <n v="14210000"/>
    <n v="46664260688"/>
  </r>
  <r>
    <x v="1"/>
    <s v="DHS 105AP"/>
    <s v="맥정보통신(주)"/>
    <m/>
    <n v="40909091"/>
    <n v="46705169779"/>
  </r>
  <r>
    <x v="1"/>
    <s v="DHS 950L"/>
    <s v="(유)테마이엔씨"/>
    <m/>
    <n v="36363636"/>
    <n v="46741533415"/>
  </r>
  <r>
    <x v="1"/>
    <s v="DHS 950L"/>
    <s v="월드정보통신"/>
    <m/>
    <n v="37727272"/>
    <n v="46779260687"/>
  </r>
  <r>
    <x v="1"/>
    <s v="DHS 950L"/>
    <s v="주식회사영동네트웍스"/>
    <m/>
    <n v="38500000"/>
    <n v="46817760687"/>
  </r>
  <r>
    <x v="1"/>
    <s v="실린더대금"/>
    <s v="(주)한진디엔비"/>
    <m/>
    <n v="45229000"/>
    <n v="46862989687"/>
  </r>
  <r>
    <x v="1"/>
    <s v="DHS 950L"/>
    <s v="영호정보"/>
    <m/>
    <n v="34910000"/>
    <n v="46897899687"/>
  </r>
  <r>
    <x v="1"/>
    <s v="DHS 105AP"/>
    <s v="정도네트웍"/>
    <m/>
    <n v="40181818"/>
    <n v="46938081505"/>
  </r>
  <r>
    <x v="1"/>
    <s v="DHS 930"/>
    <s v="(주)불스브로드밴드"/>
    <m/>
    <n v="36000000"/>
    <n v="46974081505"/>
  </r>
  <r>
    <x v="1"/>
    <s v="HWD 200"/>
    <s v="(주)충남네트웍스"/>
    <m/>
    <n v="3600000"/>
    <n v="46977681505"/>
  </r>
  <r>
    <x v="1"/>
    <s v="DHS 433L"/>
    <s v="미래중공업"/>
    <m/>
    <n v="13929090"/>
    <n v="46991610595"/>
  </r>
  <r>
    <x v="1"/>
    <s v="DHS 930"/>
    <s v="(주)포앤텍"/>
    <m/>
    <n v="33800000"/>
    <n v="47025410595"/>
  </r>
  <r>
    <x v="1"/>
    <s v="DHS 1200L"/>
    <s v="백경이엔지(주)"/>
    <m/>
    <n v="42000000"/>
    <n v="47067410595"/>
  </r>
  <r>
    <x v="1"/>
    <s v="DHS 433L"/>
    <s v="서부아크릴.넥산"/>
    <m/>
    <n v="16000000"/>
    <n v="47083410595"/>
  </r>
  <r>
    <x v="1"/>
    <s v="DHS 433L"/>
    <s v="펜타코리아군산대리점"/>
    <m/>
    <n v="14300000"/>
    <n v="47097710595"/>
  </r>
  <r>
    <x v="1"/>
    <s v="DHS 433M"/>
    <s v="대명정보통신"/>
    <m/>
    <n v="13000000"/>
    <n v="47110710595"/>
  </r>
  <r>
    <x v="1"/>
    <s v="DHS 17AP"/>
    <s v="(주)부창전기"/>
    <m/>
    <n v="51000000"/>
    <n v="47161710595"/>
  </r>
  <r>
    <x v="1"/>
    <s v="DHS 433M"/>
    <s v="태영정보통신"/>
    <m/>
    <n v="15300000"/>
    <n v="47177010595"/>
  </r>
  <r>
    <x v="1"/>
    <s v="DHS 1200L"/>
    <s v="문산방송사"/>
    <m/>
    <n v="41000000"/>
    <n v="47218010595"/>
  </r>
  <r>
    <x v="1"/>
    <s v="DHS 7526+"/>
    <s v="(주)딘엑스크레인"/>
    <m/>
    <n v="109560000"/>
    <n v="47327570595"/>
  </r>
  <r>
    <x v="1"/>
    <s v="DHS 105AP"/>
    <s v="성원통신"/>
    <m/>
    <n v="40500000"/>
    <n v="47368070595"/>
  </r>
  <r>
    <x v="1"/>
    <s v="DHS 1200L"/>
    <s v="서광정보통신(주)"/>
    <m/>
    <n v="42363636"/>
    <n v="47410434231"/>
  </r>
  <r>
    <x v="1"/>
    <s v="DHS 950L"/>
    <s v="동성정밀"/>
    <m/>
    <n v="39090909"/>
    <n v="47449525140"/>
  </r>
  <r>
    <x v="1"/>
    <s v="DHS 433M"/>
    <s v="주식회사 수길정보통신"/>
    <m/>
    <n v="13700000"/>
    <n v="47463225140"/>
  </r>
  <r>
    <x v="1"/>
    <s v="DHS 15AP"/>
    <s v="(주)유에이종합통신"/>
    <m/>
    <n v="49090909"/>
    <n v="47512316049"/>
  </r>
  <r>
    <x v="1"/>
    <s v="DHS 950L"/>
    <s v="주식회사 아이에스인텍"/>
    <m/>
    <n v="38000000"/>
    <n v="47550316049"/>
  </r>
  <r>
    <x v="1"/>
    <s v="DHS 433M"/>
    <s v="나래텔레콤"/>
    <m/>
    <n v="14780909"/>
    <n v="47565096958"/>
  </r>
  <r>
    <x v="1"/>
    <s v="DHS 950L"/>
    <s v="에스에스통신"/>
    <m/>
    <n v="37727273"/>
    <n v="47602824231"/>
  </r>
  <r>
    <x v="1"/>
    <s v="DHS 433L"/>
    <s v="유동수"/>
    <m/>
    <n v="15500000"/>
    <n v="47618324231"/>
  </r>
  <r>
    <x v="1"/>
    <s v="DHS 1200L"/>
    <s v="드림네트웍스(주)"/>
    <m/>
    <n v="40909090.5"/>
    <n v="23850071206"/>
  </r>
  <r>
    <x v="1"/>
    <s v="DHS 1200L"/>
    <s v="드림네트웍스(주)"/>
    <m/>
    <n v="40909090.5"/>
    <n v="23850071206"/>
  </r>
  <r>
    <x v="1"/>
    <s v="크레인대금"/>
    <s v="인제군청"/>
    <m/>
    <n v="4073637"/>
    <n v="47704216049"/>
  </r>
  <r>
    <x v="1"/>
    <s v="DHS 433L"/>
    <s v="훌루테크"/>
    <m/>
    <n v="11500000"/>
    <n v="47715716049"/>
  </r>
  <r>
    <x v="1"/>
    <s v="DHS 1200L"/>
    <s v="(주)경림이앤지"/>
    <m/>
    <n v="43000000"/>
    <n v="47758716049"/>
  </r>
  <r>
    <x v="1"/>
    <s v="DHS 190SKY"/>
    <s v="(주)나래씨앤디"/>
    <m/>
    <n v="64545454"/>
    <n v="47823261503"/>
  </r>
  <r>
    <x v="1"/>
    <s v="DHS 280AP "/>
    <s v="(주)동해기계항공"/>
    <m/>
    <n v="50868000"/>
    <n v="47874129503"/>
  </r>
  <r>
    <x v="1"/>
    <s v="DHS 280AP "/>
    <s v="(주)동해기계항공"/>
    <m/>
    <n v="55178000"/>
    <n v="47929307503"/>
  </r>
  <r>
    <x v="1"/>
    <s v="DHS 433L"/>
    <s v="훌루테크"/>
    <m/>
    <n v="-11500000"/>
    <n v="47917807503"/>
  </r>
  <r>
    <x v="1"/>
    <s v="DHS 433L"/>
    <s v="훌루테크"/>
    <m/>
    <n v="12409091"/>
    <n v="47930216594"/>
  </r>
  <r>
    <x v="1"/>
    <s v="크레인대금"/>
    <s v="(주)케이티렌탈"/>
    <m/>
    <n v="1498500000"/>
    <n v="49428716594"/>
  </r>
  <r>
    <x v="1"/>
    <s v="ALPHA 12000-추가계약"/>
    <s v="동구청"/>
    <m/>
    <n v="3720000"/>
    <n v="49432436594"/>
  </r>
  <r>
    <x v="1"/>
    <s v="DHS 15AP"/>
    <s v="예성전력주식회사"/>
    <m/>
    <n v="50000000"/>
    <n v="49482436594"/>
  </r>
  <r>
    <x v="1"/>
    <s v="DHS 1200L"/>
    <s v="서진전기"/>
    <m/>
    <n v="41000000"/>
    <n v="49523436594"/>
  </r>
  <r>
    <x v="1"/>
    <s v="용역수수료"/>
    <s v="(주)케이티렌탈"/>
    <m/>
    <n v="8000"/>
    <n v="49523444594"/>
  </r>
  <r>
    <x v="1"/>
    <s v="DHS 15AP"/>
    <s v="(주)대우전기건설공사"/>
    <m/>
    <n v="47272727"/>
    <n v="49570717321"/>
  </r>
  <r>
    <x v="1"/>
    <s v="DHS 1200L"/>
    <s v="(주)구구이앤씨"/>
    <m/>
    <n v="39700000"/>
    <n v="49610417321"/>
  </r>
  <r>
    <x v="1"/>
    <s v="DHS 105AP"/>
    <s v="해피콤(주)"/>
    <m/>
    <n v="40181818"/>
    <n v="49650599139"/>
  </r>
  <r>
    <x v="1"/>
    <s v="DHS 1200L"/>
    <s v="(주)화성"/>
    <m/>
    <n v="44450000"/>
    <n v="49695049139"/>
  </r>
  <r>
    <x v="1"/>
    <s v="실린더대금"/>
    <s v="(주)한진디엔비"/>
    <m/>
    <n v="11130000"/>
    <n v="49706179139"/>
  </r>
  <r>
    <x v="1"/>
    <s v="DHT 145AS "/>
    <s v="WAIMEA TRUCK ＆ CRANE LTD"/>
    <m/>
    <n v="213775240"/>
    <n v="49919954379"/>
  </r>
  <r>
    <x v="1"/>
    <s v="DHS 433L"/>
    <s v="박흥국"/>
    <m/>
    <n v="14000000"/>
    <n v="49933954379"/>
  </r>
  <r>
    <x v="1"/>
    <s v="DHS 1200L"/>
    <s v="제일정보통신(주)"/>
    <m/>
    <n v="43227272"/>
    <n v="49977181651"/>
  </r>
  <r>
    <x v="1"/>
    <s v="DHS 930"/>
    <s v="엠파이어정보통신"/>
    <m/>
    <n v="33500000"/>
    <n v="50010681651"/>
  </r>
  <r>
    <x v="1"/>
    <s v="DHS 930"/>
    <s v="엠파이어정보통신"/>
    <m/>
    <n v="34120000"/>
    <n v="50044801651"/>
  </r>
  <r>
    <x v="1"/>
    <s v="DHS 105AP"/>
    <s v="엠파이어정보통신"/>
    <m/>
    <n v="40000000"/>
    <n v="50084801651"/>
  </r>
  <r>
    <x v="1"/>
    <s v="DHS 105AP"/>
    <s v="엠파이어정보통신"/>
    <m/>
    <n v="40000000"/>
    <n v="50124801651"/>
  </r>
  <r>
    <x v="1"/>
    <s v="DHS 15AP"/>
    <s v="(주)만양"/>
    <m/>
    <n v="48000000"/>
    <n v="50172801651"/>
  </r>
  <r>
    <x v="1"/>
    <s v="DHS 1200L"/>
    <s v="리건네트웍스"/>
    <m/>
    <n v="41818182"/>
    <n v="50214619833"/>
  </r>
  <r>
    <x v="1"/>
    <s v="DHS 433"/>
    <s v="장보고마린"/>
    <m/>
    <n v="13140000"/>
    <n v="50227759833"/>
  </r>
  <r>
    <x v="1"/>
    <s v="DHS 433M"/>
    <s v="(주)엘지화학"/>
    <m/>
    <n v="15000000"/>
    <n v="50242759833"/>
  </r>
  <r>
    <x v="1"/>
    <s v="DHS 433L"/>
    <s v="동광석재"/>
    <m/>
    <n v="14000000"/>
    <n v="50256759833"/>
  </r>
  <r>
    <x v="1"/>
    <s v="DHS 433L"/>
    <s v="올림픽마린"/>
    <m/>
    <n v="14272727"/>
    <n v="50271032560"/>
  </r>
  <r>
    <x v="1"/>
    <s v="DHS 433L"/>
    <s v="마린랜드(주)"/>
    <m/>
    <n v="13590909"/>
    <n v="50284623469"/>
  </r>
  <r>
    <x v="1"/>
    <s v="추가계약"/>
    <s v="대구광역시 시설관리공단"/>
    <m/>
    <n v="10500000"/>
    <n v="50295123469"/>
  </r>
  <r>
    <x v="1"/>
    <s v="DHS 433L"/>
    <s v="코오롱워터앤에너지(주)"/>
    <m/>
    <n v="13500000"/>
    <n v="50308623469"/>
  </r>
  <r>
    <x v="1"/>
    <s v="DHS 1800"/>
    <s v="대구광역시 시설관리공단"/>
    <m/>
    <n v="78990910"/>
    <n v="50387614379"/>
  </r>
  <r>
    <x v="1"/>
    <s v="DHS 433"/>
    <s v="화천군농업기술센터"/>
    <m/>
    <n v="13527272"/>
    <n v="50401141651"/>
  </r>
  <r>
    <x v="1"/>
    <s v="DHS 433L"/>
    <s v="(주)예산에너지"/>
    <m/>
    <n v="16000000"/>
    <n v="50417141651"/>
  </r>
  <r>
    <x v="1"/>
    <s v="DHS 433L"/>
    <s v="태건건설(주)"/>
    <m/>
    <n v="16350000"/>
    <n v="50433491651"/>
  </r>
  <r>
    <x v="1"/>
    <s v="DHS 930"/>
    <s v="맥스정보"/>
    <m/>
    <n v="35200000"/>
    <n v="50468691651"/>
  </r>
  <r>
    <x v="1"/>
    <s v="선금급"/>
    <s v="울진군청"/>
    <m/>
    <n v="42045455"/>
    <n v="50510737106"/>
  </r>
  <r>
    <x v="1"/>
    <s v="선금급"/>
    <s v="보령시청"/>
    <m/>
    <n v="41818182"/>
    <n v="50552555288"/>
  </r>
  <r>
    <x v="1"/>
    <s v="DHS 433L"/>
    <s v="현대타이어"/>
    <m/>
    <n v="13950000"/>
    <n v="50566505288"/>
  </r>
  <r>
    <x v="1"/>
    <s v="DHS 1200L"/>
    <s v="(주)한미전기"/>
    <m/>
    <n v="40909090"/>
    <n v="50607414378"/>
  </r>
  <r>
    <x v="1"/>
    <s v="DHS 105AP"/>
    <s v="에스제이테크(주)"/>
    <m/>
    <n v="40000000"/>
    <n v="50647414378"/>
  </r>
  <r>
    <x v="1"/>
    <s v="DHS 433M"/>
    <s v="(주)동아티엔씨"/>
    <m/>
    <n v="15300000"/>
    <n v="50662714378"/>
  </r>
  <r>
    <x v="1"/>
    <s v="DHS 433M"/>
    <s v="(주)명신하이넷"/>
    <m/>
    <n v="13720000"/>
    <n v="50676434378"/>
  </r>
  <r>
    <x v="1"/>
    <s v="DHS 433M"/>
    <s v="(주)동아티엔씨"/>
    <m/>
    <n v="-15300000"/>
    <n v="50661134378"/>
  </r>
  <r>
    <x v="1"/>
    <s v="DHS 190SKY"/>
    <s v="성일광고"/>
    <m/>
    <n v="63181818"/>
    <n v="50724316196"/>
  </r>
  <r>
    <x v="1"/>
    <s v="DHS 433M"/>
    <s v="도원통신"/>
    <m/>
    <n v="12800000"/>
    <n v="50737116196"/>
  </r>
  <r>
    <x v="1"/>
    <s v="DHS 1200L"/>
    <s v="(주)제이에이치전력"/>
    <m/>
    <n v="40700000"/>
    <n v="50777816196"/>
  </r>
  <r>
    <x v="1"/>
    <s v="DHS 1200L"/>
    <s v="(주)광일전기통신"/>
    <m/>
    <n v="44000000"/>
    <n v="50821816196"/>
  </r>
  <r>
    <x v="1"/>
    <s v="DHS 17AP"/>
    <s v="가나전기"/>
    <m/>
    <n v="53600000"/>
    <n v="50875416196"/>
  </r>
  <r>
    <x v="1"/>
    <s v="DHS 433L"/>
    <s v="연일정미소"/>
    <m/>
    <n v="16000000"/>
    <n v="50891416196"/>
  </r>
  <r>
    <x v="1"/>
    <s v="DHS 433M"/>
    <s v="(주)동아티엔씨"/>
    <m/>
    <n v="15060000"/>
    <n v="50906476196"/>
  </r>
  <r>
    <x v="1"/>
    <s v="DHS 433L"/>
    <s v="크레인마트"/>
    <m/>
    <n v="13500000"/>
    <n v="50919976196"/>
  </r>
  <r>
    <x v="1"/>
    <s v="DHS 950L"/>
    <s v="(주)테라파워"/>
    <m/>
    <n v="35324000"/>
    <n v="50955300196"/>
  </r>
  <r>
    <x v="1"/>
    <s v="DHS 433L "/>
    <s v="주식회사태웅씨비아이티"/>
    <m/>
    <n v="13630725"/>
    <n v="50968930921"/>
  </r>
  <r>
    <x v="1"/>
    <s v="DHS 190SKY"/>
    <s v="광원"/>
    <m/>
    <n v="60000000"/>
    <n v="51028930921"/>
  </r>
  <r>
    <x v="1"/>
    <s v="DH SUPER 3000"/>
    <s v="대웅기건"/>
    <m/>
    <n v="45200000"/>
    <n v="51074130921"/>
  </r>
  <r>
    <x v="1"/>
    <s v="DHS 1200L"/>
    <s v="시온네트워크"/>
    <m/>
    <n v="40000000"/>
    <n v="51114130921"/>
  </r>
  <r>
    <x v="1"/>
    <s v="DHS 1200L"/>
    <s v="(주)대경인트라넷"/>
    <m/>
    <n v="42000000"/>
    <n v="51156130921"/>
  </r>
  <r>
    <x v="1"/>
    <s v="추가계약"/>
    <s v="함안군청"/>
    <m/>
    <n v="4266364"/>
    <n v="51160397285"/>
  </r>
  <r>
    <x v="1"/>
    <s v="ALPHA 12000"/>
    <s v="함안군청"/>
    <m/>
    <n v="44545455"/>
    <n v="51204942740"/>
  </r>
  <r>
    <x v="1"/>
    <s v="DHS 1200L"/>
    <s v="유성구청"/>
    <m/>
    <n v="72545455"/>
    <n v="51277488195"/>
  </r>
  <r>
    <x v="1"/>
    <s v="DHS 950L"/>
    <s v="주식회사 선우"/>
    <m/>
    <n v="35300000"/>
    <n v="51312788195"/>
  </r>
  <r>
    <x v="1"/>
    <s v="DHS 950L"/>
    <s v="부덕정보통신"/>
    <m/>
    <n v="36363636"/>
    <n v="51349151831"/>
  </r>
  <r>
    <x v="1"/>
    <s v="DHS 950L"/>
    <s v="J＆J"/>
    <m/>
    <n v="33200000"/>
    <n v="51382351831"/>
  </r>
  <r>
    <x v="1"/>
    <s v="추가계약"/>
    <s v="유성구청"/>
    <m/>
    <n v="6417000"/>
    <n v="51388768831"/>
  </r>
  <r>
    <x v="1"/>
    <s v="ALPHA 12000"/>
    <s v="공군19전투비행단"/>
    <m/>
    <n v="87090909"/>
    <n v="51475859740"/>
  </r>
  <r>
    <x v="1"/>
    <s v="DHS 433L"/>
    <s v="(주)금호조선"/>
    <m/>
    <n v="15500000"/>
    <n v="51491359740"/>
  </r>
  <r>
    <x v="1"/>
    <s v="DHS 1200L"/>
    <s v="서림전기공사 "/>
    <m/>
    <n v="45000000"/>
    <n v="51536359740"/>
  </r>
  <r>
    <x v="1"/>
    <s v="DHS 950L"/>
    <s v="다인정보통신"/>
    <m/>
    <n v="35200000"/>
    <n v="51571559740"/>
  </r>
  <r>
    <x v="1"/>
    <s v="실린더대금"/>
    <s v="(주)한진디엔비"/>
    <m/>
    <n v="80360000"/>
    <n v="51651919740"/>
  </r>
  <r>
    <x v="1"/>
    <s v="DHS 15AP"/>
    <s v="(주)동해기계항공"/>
    <m/>
    <n v="38534800"/>
    <n v="51690454540"/>
  </r>
  <r>
    <x v="1"/>
    <s v="DHS 105AP"/>
    <s v="유나이티드 제이앤씨"/>
    <m/>
    <n v="39000000"/>
    <n v="51729454540"/>
  </r>
  <r>
    <x v="1"/>
    <s v="DHS 433 집게크레인"/>
    <s v="(주)한진디엔비"/>
    <m/>
    <n v="12000000"/>
    <n v="51741454540"/>
  </r>
  <r>
    <x v="1"/>
    <s v="DHS 433 집게크레인"/>
    <s v="(주)한진디엔비"/>
    <m/>
    <n v="12000000"/>
    <n v="51753454540"/>
  </r>
  <r>
    <x v="1"/>
    <s v="DHS 433 집게크레인"/>
    <s v="(주)한진디엔비"/>
    <m/>
    <n v="12000000"/>
    <n v="51765454540"/>
  </r>
  <r>
    <x v="1"/>
    <s v="DHS 433 집게크레인"/>
    <s v="(주)한진디엔비"/>
    <m/>
    <n v="12000000"/>
    <n v="51777454540"/>
  </r>
  <r>
    <x v="1"/>
    <s v="DHS 433 집게크레인"/>
    <s v="(주)한진디엔비"/>
    <m/>
    <n v="12000000"/>
    <n v="51789454540"/>
  </r>
  <r>
    <x v="1"/>
    <s v="실린더대금"/>
    <s v="(주)한진디엔비"/>
    <m/>
    <n v="35880000"/>
    <n v="51825334540"/>
  </r>
  <r>
    <x v="1"/>
    <s v="DHS 250AP "/>
    <s v="SHIJIAZHUANG COAL MINING MACHINEY CO., LTD"/>
    <m/>
    <n v="149759573"/>
    <n v="51975094113"/>
  </r>
  <r>
    <x v="1"/>
    <s v="DHT 145AS "/>
    <s v="WAIMEA TRUCK ＆ CRANE LTD"/>
    <m/>
    <n v="204512110"/>
    <n v="52179606223"/>
  </r>
  <r>
    <x v="1"/>
    <s v="실린더대금"/>
    <s v="(주)한진디엔비"/>
    <m/>
    <n v="21236000"/>
    <n v="52200842223"/>
  </r>
  <r>
    <x v="1"/>
    <s v="실린더대금"/>
    <s v="(주)한진디엔비"/>
    <m/>
    <n v="22302000"/>
    <n v="52223144223"/>
  </r>
  <r>
    <x v="1"/>
    <s v="DHS 433L"/>
    <s v="영동자원"/>
    <m/>
    <n v="13818180"/>
    <n v="52236962403"/>
  </r>
  <r>
    <x v="1"/>
    <s v="DHS 15AP-추각계약"/>
    <s v="해남군청"/>
    <m/>
    <n v="3282727"/>
    <n v="52240245130"/>
  </r>
  <r>
    <x v="1"/>
    <s v="DHS 15AP"/>
    <s v="홍천군청"/>
    <m/>
    <n v="49963637"/>
    <n v="52290208767"/>
  </r>
  <r>
    <x v="1"/>
    <s v="DHS 125AP"/>
    <s v="(주)나우리정보통신"/>
    <m/>
    <n v="46363636"/>
    <n v="52336572403"/>
  </r>
  <r>
    <x v="1"/>
    <s v="DHS 950L"/>
    <s v="명덕정보통신"/>
    <m/>
    <n v="34000000"/>
    <n v="52370572403"/>
  </r>
  <r>
    <x v="1"/>
    <s v="DHS 950L"/>
    <s v="아라네트웍스"/>
    <m/>
    <n v="34400000"/>
    <n v="52404972403"/>
  </r>
  <r>
    <x v="1"/>
    <s v="DHS 15AP"/>
    <s v="해남군청"/>
    <m/>
    <n v="72727273"/>
    <n v="52477699676"/>
  </r>
  <r>
    <x v="1"/>
    <s v="DHS 15AP"/>
    <s v="해남군청"/>
    <m/>
    <n v="-72727273"/>
    <n v="52404972403"/>
  </r>
  <r>
    <x v="1"/>
    <s v="크레인대금"/>
    <s v="해남군청"/>
    <m/>
    <n v="72727273"/>
    <n v="52477699676"/>
  </r>
  <r>
    <x v="1"/>
    <s v="DHS 950L"/>
    <s v="이지정보통신"/>
    <m/>
    <n v="33181818"/>
    <n v="52510881494"/>
  </r>
  <r>
    <x v="1"/>
    <s v="DHS 950L"/>
    <s v="(주)서진아이티씨"/>
    <m/>
    <n v="35363636"/>
    <n v="52546245130"/>
  </r>
  <r>
    <x v="1"/>
    <s v="실린더대금"/>
    <s v="(주)한진디엔비"/>
    <m/>
    <n v="14076000"/>
    <n v="52560321130"/>
  </r>
  <r>
    <x v="1"/>
    <s v="DHS 950L"/>
    <s v="류네트웍"/>
    <m/>
    <n v="33450000"/>
    <n v="52593771130"/>
  </r>
  <r>
    <x v="1"/>
    <s v="크레인대금"/>
    <s v="(유)건진건설기계"/>
    <m/>
    <n v="14000000"/>
    <n v="52607771130"/>
  </r>
  <r>
    <x v="1"/>
    <s v="DHS 15AP-추가계약"/>
    <s v="청주시청"/>
    <m/>
    <n v="2316364"/>
    <n v="52610087494"/>
  </r>
  <r>
    <x v="1"/>
    <s v="초과저지장비"/>
    <s v="공군제10전투비행단"/>
    <m/>
    <n v="14337209"/>
    <n v="52624424703"/>
  </r>
  <r>
    <x v="1"/>
    <s v="HYDRAULIC PUMP외 "/>
    <s v="HYUNDAI MOTOR (THAILAND)CO., LTD"/>
    <m/>
    <n v="4822106"/>
    <n v="52629246809"/>
  </r>
  <r>
    <x v="1"/>
    <s v="DHS 1200L"/>
    <s v="제이앤제이정보통신(주)"/>
    <m/>
    <n v="41545454"/>
    <n v="52670792263"/>
  </r>
  <r>
    <x v="1"/>
    <s v="DHS 950L"/>
    <s v="링크시스콤"/>
    <m/>
    <n v="34000000"/>
    <n v="52704792263"/>
  </r>
  <r>
    <x v="1"/>
    <s v="DHS 950L"/>
    <s v="동두천케이블"/>
    <m/>
    <n v="33720000"/>
    <n v="52738512263"/>
  </r>
  <r>
    <x v="1"/>
    <s v="DHS 950L"/>
    <s v="에이스통신"/>
    <m/>
    <n v="35000000"/>
    <n v="52773512263"/>
  </r>
  <r>
    <x v="1"/>
    <s v="DHS 950L"/>
    <s v="(주)청해정보통신"/>
    <m/>
    <n v="32909091"/>
    <n v="52806421354"/>
  </r>
  <r>
    <x v="1"/>
    <s v="DHS 950L"/>
    <s v="나라통신"/>
    <m/>
    <n v="34200000"/>
    <n v="52840621354"/>
  </r>
  <r>
    <x v="1"/>
    <s v="DHS 1200L"/>
    <s v="미래통신"/>
    <m/>
    <n v="40500000"/>
    <n v="52881121354"/>
  </r>
  <r>
    <x v="1"/>
    <s v="DHS 433M"/>
    <s v="해주통신"/>
    <m/>
    <n v="14317000"/>
    <n v="52895438354"/>
  </r>
  <r>
    <x v="1"/>
    <s v="DHS 1200L"/>
    <s v="세경"/>
    <m/>
    <n v="41000000"/>
    <n v="52936438354"/>
  </r>
  <r>
    <x v="1"/>
    <s v="DHS 433L"/>
    <s v="(주)하이엔텍"/>
    <m/>
    <n v="14100000"/>
    <n v="52950538354"/>
  </r>
  <r>
    <x v="1"/>
    <s v="DHS 190SKY"/>
    <s v="홍익디자인협동조합"/>
    <m/>
    <n v="61820000"/>
    <n v="53012358354"/>
  </r>
  <r>
    <x v="1"/>
    <s v="DHS 433M"/>
    <s v="크레인마트"/>
    <m/>
    <n v="13181818"/>
    <n v="53025540172"/>
  </r>
  <r>
    <x v="1"/>
    <s v="DHS 930"/>
    <s v="Young System"/>
    <m/>
    <n v="33300000"/>
    <n v="53058840172"/>
  </r>
  <r>
    <x v="1"/>
    <s v="DHS 433M"/>
    <s v="(주)충남네트웍스"/>
    <m/>
    <n v="13800000"/>
    <n v="53072640172"/>
  </r>
  <r>
    <x v="1"/>
    <s v="DHS 15AP"/>
    <s v="청주시청"/>
    <m/>
    <n v="72727273"/>
    <n v="53145367445"/>
  </r>
  <r>
    <x v="1"/>
    <s v="DHS 950L"/>
    <s v="재인네트워크"/>
    <m/>
    <n v="35000000"/>
    <n v="53180367445"/>
  </r>
  <r>
    <x v="1"/>
    <s v="DHS 950L"/>
    <s v="AY통신"/>
    <m/>
    <n v="36363636"/>
    <n v="53216731081"/>
  </r>
  <r>
    <x v="1"/>
    <s v="DHS 950L"/>
    <s v="의리네트워크"/>
    <m/>
    <n v="34545454"/>
    <n v="53251276535"/>
  </r>
  <r>
    <x v="1"/>
    <s v="DHS 950L"/>
    <s v="양백이앤씨"/>
    <m/>
    <n v="35000000"/>
    <n v="53286276535"/>
  </r>
  <r>
    <x v="1"/>
    <s v="DHS 15AP-추가계약"/>
    <s v="홍천군청"/>
    <m/>
    <n v="12000000"/>
    <n v="53298276535"/>
  </r>
  <r>
    <x v="1"/>
    <s v="DHS 15AP"/>
    <s v="(주)비전정보통신"/>
    <m/>
    <n v="45454545"/>
    <n v="53343731080"/>
  </r>
  <r>
    <x v="1"/>
    <s v="DHS 125AP"/>
    <s v="JJ통신"/>
    <m/>
    <n v="42000000"/>
    <n v="53385731080"/>
  </r>
  <r>
    <x v="1"/>
    <s v="DHS 105AP"/>
    <s v="세인텔레콤"/>
    <m/>
    <n v="40070000"/>
    <n v="53425801080"/>
  </r>
  <r>
    <x v="1"/>
    <s v="DHS 930"/>
    <s v="(주)정우정보통신"/>
    <m/>
    <n v="36363636"/>
    <n v="53462164716"/>
  </r>
  <r>
    <x v="1"/>
    <s v="DHS 15AP"/>
    <s v="에스디매직싸인"/>
    <m/>
    <n v="47400000"/>
    <n v="53509564716"/>
  </r>
  <r>
    <x v="1"/>
    <s v="DHS 950L"/>
    <s v="OS통신"/>
    <m/>
    <n v="34500000"/>
    <n v="53544064716"/>
  </r>
  <r>
    <x v="1"/>
    <s v="DHT 105S"/>
    <s v="울진군청"/>
    <m/>
    <n v="42045455"/>
    <n v="53586110171"/>
  </r>
  <r>
    <x v="1"/>
    <s v="DHS 105AP"/>
    <s v="민수통신"/>
    <m/>
    <n v="40000000"/>
    <n v="53626110171"/>
  </r>
  <r>
    <x v="1"/>
    <s v="DHS 15AP"/>
    <s v="케이에스오전기(주)"/>
    <m/>
    <n v="49500000"/>
    <n v="53675610171"/>
  </r>
  <r>
    <x v="1"/>
    <s v="DHS 125AP"/>
    <s v="포원정보통신(주)"/>
    <m/>
    <n v="46363636"/>
    <n v="53721973807"/>
  </r>
  <r>
    <x v="1"/>
    <s v="DHS 1200L"/>
    <s v="청하통신"/>
    <m/>
    <n v="40909091"/>
    <n v="53762882898"/>
  </r>
  <r>
    <x v="1"/>
    <s v="DHS 1200L"/>
    <s v="(주)서신엔지니어링"/>
    <m/>
    <n v="38500000"/>
    <n v="53801382898"/>
  </r>
  <r>
    <x v="1"/>
    <s v="DHS 1800 "/>
    <s v="(주)동해기계항공"/>
    <m/>
    <n v="33934800"/>
    <n v="53835317698"/>
  </r>
  <r>
    <x v="1"/>
    <s v="DHS 15AP "/>
    <s v="(주)동해기계항공"/>
    <m/>
    <n v="39850059"/>
    <n v="53875167757"/>
  </r>
  <r>
    <x v="1"/>
    <s v="DHS 17AP"/>
    <s v="(주)대성전력공사"/>
    <m/>
    <n v="53181818"/>
    <n v="53928349575"/>
  </r>
  <r>
    <x v="1"/>
    <s v="DHS 433L"/>
    <s v="해양경찰청"/>
    <m/>
    <n v="46450000"/>
    <n v="53974799575"/>
  </r>
  <r>
    <x v="1"/>
    <s v="DHS 433L"/>
    <s v="원척어촌계원"/>
    <m/>
    <n v="13500000"/>
    <n v="53988299575"/>
  </r>
  <r>
    <x v="1"/>
    <s v="DHS 950L"/>
    <s v="(유)나노정보통신"/>
    <m/>
    <n v="33000000"/>
    <n v="54021299575"/>
  </r>
  <r>
    <x v="1"/>
    <s v="DHS 950L"/>
    <s v="중원정보통신(주)"/>
    <m/>
    <n v="34000000"/>
    <n v="54055299575"/>
  </r>
  <r>
    <x v="1"/>
    <s v="DHS 950L"/>
    <s v="태영텔레콤"/>
    <m/>
    <n v="33363636"/>
    <n v="54088663211"/>
  </r>
  <r>
    <x v="1"/>
    <s v="DHS 105AP"/>
    <s v="대일정보통신"/>
    <m/>
    <n v="40909090"/>
    <n v="54129572301"/>
  </r>
  <r>
    <x v="1"/>
    <s v="DHS 433M"/>
    <s v="(주)창흥통신"/>
    <m/>
    <n v="13217273"/>
    <n v="54142789574"/>
  </r>
  <r>
    <x v="1"/>
    <s v="크레인대금"/>
    <s v="대웅기건"/>
    <m/>
    <n v="20000000"/>
    <n v="54162789574"/>
  </r>
  <r>
    <x v="1"/>
    <s v="DHS 1800외 "/>
    <s v="SYKT.PEMBEKALAN ＆ PERKHIDMATANLEZAN"/>
    <m/>
    <n v="195578341"/>
    <n v="54358367915"/>
  </r>
  <r>
    <x v="1"/>
    <s v="DHS 1200L"/>
    <s v="전주시 완산구청"/>
    <m/>
    <n v="72545455"/>
    <n v="54430913370"/>
  </r>
  <r>
    <x v="1"/>
    <s v="DHS 433L"/>
    <s v="왕성유압"/>
    <m/>
    <n v="14200000"/>
    <n v="54445113370"/>
  </r>
  <r>
    <x v="1"/>
    <s v="DHS 1200L"/>
    <s v="천하통신"/>
    <m/>
    <n v="40500000"/>
    <n v="54485613370"/>
  </r>
  <r>
    <x v="1"/>
    <s v="DHS 1200L"/>
    <s v="(합자회사)동양아이텍"/>
    <m/>
    <n v="40500000"/>
    <n v="54526113370"/>
  </r>
  <r>
    <x v="1"/>
    <s v="DHS 15AP"/>
    <s v="(주)세븐전자코리아"/>
    <m/>
    <n v="49636363"/>
    <n v="54575749733"/>
  </r>
  <r>
    <x v="1"/>
    <s v="DHS 433"/>
    <s v="대양마린"/>
    <m/>
    <n v="13412727"/>
    <n v="54589162460"/>
  </r>
  <r>
    <x v="1"/>
    <s v="DHS 433M"/>
    <s v="한성정보통신"/>
    <m/>
    <n v="14126364"/>
    <n v="54603288824"/>
  </r>
  <r>
    <x v="1"/>
    <s v="DHS 950L"/>
    <s v="(주)에스디정보통신"/>
    <m/>
    <n v="36363636"/>
    <n v="54639652460"/>
  </r>
  <r>
    <x v="1"/>
    <s v="DHS 280AP외 "/>
    <s v="SHIJIAZHUANG COAL MINING MACHINEY CO., LTD"/>
    <m/>
    <n v="77271549"/>
    <n v="54716924009"/>
  </r>
  <r>
    <x v="1"/>
    <s v="크레인대금"/>
    <s v="주식회사 세원그룹"/>
    <m/>
    <n v="33636364"/>
    <n v="54750560373"/>
  </r>
  <r>
    <x v="1"/>
    <s v="DHS 433L"/>
    <s v="스피드방통"/>
    <m/>
    <n v="14000000"/>
    <n v="54764560373"/>
  </r>
  <r>
    <x v="1"/>
    <s v="DHS 950L"/>
    <s v="YS정보통신"/>
    <m/>
    <n v="33200000"/>
    <n v="54797760373"/>
  </r>
  <r>
    <x v="1"/>
    <s v="DHS 433L "/>
    <s v="(주)동해기계항공"/>
    <m/>
    <n v="26085800"/>
    <n v="54823846173"/>
  </r>
  <r>
    <x v="1"/>
    <s v="DHS 15AP "/>
    <s v="(주)동해기계항공"/>
    <m/>
    <n v="41932200"/>
    <n v="54865778373"/>
  </r>
  <r>
    <x v="1"/>
    <s v="DHS 950L"/>
    <s v="(주)평화통신"/>
    <m/>
    <n v="34000000"/>
    <n v="54899778373"/>
  </r>
  <r>
    <x v="1"/>
    <s v="DHS 950L"/>
    <s v="연우통신(주)"/>
    <m/>
    <n v="35000000"/>
    <n v="54934778373"/>
  </r>
  <r>
    <x v="1"/>
    <s v="DHS 988외 "/>
    <s v="SYKT.PEMBEKALAN ＆ PERKHIDMATANLEZAN"/>
    <m/>
    <n v="72799037"/>
    <n v="55007577410"/>
  </r>
  <r>
    <x v="1"/>
    <s v="크레인대금"/>
    <s v="YS정보통신"/>
    <m/>
    <n v="-33200000"/>
    <n v="54974377410"/>
  </r>
  <r>
    <x v="1"/>
    <s v="DHS 950L／지석현"/>
    <s v="YS정보통신"/>
    <m/>
    <n v="33200000"/>
    <n v="55007577410"/>
  </r>
  <r>
    <x v="1"/>
    <s v="크레인대금"/>
    <s v="(주)혜인"/>
    <m/>
    <n v="14254545"/>
    <n v="55021831955"/>
  </r>
  <r>
    <x v="1"/>
    <s v="크레인대금"/>
    <s v="(주)해상"/>
    <m/>
    <n v="38500000"/>
    <n v="55060331955"/>
  </r>
  <r>
    <x v="1"/>
    <s v="크레인대금"/>
    <s v="전주시 완산구청"/>
    <m/>
    <n v="2890800"/>
    <n v="55063222755"/>
  </r>
  <r>
    <x v="1"/>
    <s v="크레인대금"/>
    <s v="(주)혜인"/>
    <m/>
    <n v="-14254545"/>
    <n v="55048968210"/>
  </r>
  <r>
    <x v="1"/>
    <s v="크레인대금"/>
    <s v="현대캐피탈주식회사"/>
    <m/>
    <n v="14254545"/>
    <n v="55063222755"/>
  </r>
  <r>
    <x v="1"/>
    <s v="크레인대금"/>
    <s v="LIS"/>
    <m/>
    <n v="53000000"/>
    <n v="55116222755"/>
  </r>
  <r>
    <x v="1"/>
    <m/>
    <s v="(주)한진디엔비"/>
    <m/>
    <n v="31282000"/>
    <n v="55147504755"/>
  </r>
  <r>
    <x v="1"/>
    <s v="크레인대금"/>
    <s v="라온정보통신"/>
    <m/>
    <n v="34500000"/>
    <n v="55182004755"/>
  </r>
  <r>
    <x v="1"/>
    <s v="크레인대금"/>
    <s v="(주)한국벨트산업테크"/>
    <m/>
    <n v="15200000"/>
    <n v="55197204755"/>
  </r>
  <r>
    <x v="1"/>
    <s v="크레인대금"/>
    <s v="아트시스"/>
    <m/>
    <n v="62000000"/>
    <n v="55259204755"/>
  </r>
  <r>
    <x v="1"/>
    <s v="적재함 보강 및 공구함 설치"/>
    <s v="기아자동차온천대리점"/>
    <m/>
    <n v="6370000"/>
    <n v="55265574755"/>
  </r>
  <r>
    <x v="1"/>
    <s v="DHS 950L "/>
    <s v="(주)한화"/>
    <m/>
    <n v="34390118"/>
    <n v="55299964873"/>
  </r>
  <r>
    <x v="1"/>
    <s v="크레인대금"/>
    <s v="다인정보통신"/>
    <m/>
    <n v="34000000"/>
    <n v="55333964873"/>
  </r>
  <r>
    <x v="1"/>
    <s v="크레인대금"/>
    <s v="현대위성네트워크(주)"/>
    <m/>
    <n v="34800000"/>
    <n v="55368764873"/>
  </r>
  <r>
    <x v="1"/>
    <s v="크레인대금"/>
    <s v="김연숙"/>
    <m/>
    <n v="35000000"/>
    <n v="55403764873"/>
  </r>
  <r>
    <x v="1"/>
    <s v="크레인대금"/>
    <s v="경우전력(주)"/>
    <m/>
    <n v="40000000"/>
    <n v="55443764873"/>
  </r>
  <r>
    <x v="1"/>
    <s v="크레인대금"/>
    <s v="삼덕전기주식회사"/>
    <m/>
    <n v="13200000"/>
    <n v="55456964873"/>
  </r>
  <r>
    <x v="1"/>
    <s v="크레인대금"/>
    <s v="서울대공원"/>
    <m/>
    <n v="72727273"/>
    <n v="55529692146"/>
  </r>
  <r>
    <x v="1"/>
    <s v="LEVEL CYLINDER외-스리랑카 무상 A／S"/>
    <s v="SENOK TRADE COMBINE PVT LT"/>
    <m/>
    <n v="673978"/>
    <n v="55530366124"/>
  </r>
  <r>
    <x v="1"/>
    <s v="DHT 145AS "/>
    <s v="WAIMEA TRUCK ＆ CRANE LTD"/>
    <m/>
    <n v="207091219"/>
    <n v="55737457343"/>
  </r>
  <r>
    <x v="1"/>
    <s v="크레인대금"/>
    <s v="복개전기공사"/>
    <m/>
    <n v="43000000"/>
    <n v="55780457343"/>
  </r>
  <r>
    <x v="1"/>
    <s v="크레인대금"/>
    <s v="혜연통신"/>
    <m/>
    <n v="39000000"/>
    <n v="55819457343"/>
  </r>
  <r>
    <x v="1"/>
    <s v="크레인대금"/>
    <s v="중원정보통신(주)"/>
    <m/>
    <n v="34000000"/>
    <n v="55853457343"/>
  </r>
  <r>
    <x v="1"/>
    <s v="크레인대금"/>
    <s v="김제시청"/>
    <m/>
    <n v="72727273"/>
    <n v="55926184616"/>
  </r>
  <r>
    <x v="1"/>
    <s v="크레인대금"/>
    <s v="주식회사 흥일전기"/>
    <m/>
    <n v="41818182"/>
    <n v="55968002798"/>
  </r>
  <r>
    <x v="1"/>
    <s v="크레인대금"/>
    <s v="창화이지텍 주식회사"/>
    <m/>
    <n v="13500000"/>
    <n v="55981502798"/>
  </r>
  <r>
    <x v="1"/>
    <s v="크레인대금"/>
    <s v="유환 정보통신"/>
    <m/>
    <n v="15000000"/>
    <n v="55996502798"/>
  </r>
  <r>
    <x v="1"/>
    <s v="김제시청 추가부품대금"/>
    <s v="김제시청"/>
    <m/>
    <n v="5290909"/>
    <n v="56001793707"/>
  </r>
  <r>
    <x v="1"/>
    <s v="크레인대금"/>
    <s v="김종국"/>
    <m/>
    <n v="43460000"/>
    <n v="56045253707"/>
  </r>
  <r>
    <x v="1"/>
    <s v="크레인 구성품 외"/>
    <s v="대웅기건"/>
    <m/>
    <n v="25200000"/>
    <n v="56070453707"/>
  </r>
  <r>
    <x v="1"/>
    <s v="크레인대금"/>
    <s v="에이포테크"/>
    <m/>
    <n v="33400000"/>
    <n v="56103853707"/>
  </r>
  <r>
    <x v="1"/>
    <s v="크레인대금"/>
    <s v="남경통신"/>
    <m/>
    <n v="41000000"/>
    <n v="56144853707"/>
  </r>
  <r>
    <x v="1"/>
    <s v="크레인대금"/>
    <s v="주식회사금강케이블넷"/>
    <m/>
    <n v="34454545"/>
    <n v="56179308252"/>
  </r>
  <r>
    <x v="1"/>
    <s v="크레인대금"/>
    <s v="파워넷"/>
    <m/>
    <n v="35000000"/>
    <n v="56214308252"/>
  </r>
  <r>
    <x v="1"/>
    <s v="크레인대금"/>
    <s v="(주)엔엠엑스이엔씨"/>
    <m/>
    <n v="34200000"/>
    <n v="56248508252"/>
  </r>
  <r>
    <x v="1"/>
    <s v="크레인대금"/>
    <s v="박욱재"/>
    <m/>
    <n v="33200000"/>
    <n v="56281708252"/>
  </r>
  <r>
    <x v="1"/>
    <s v="크레인대금"/>
    <s v="(주)경진전력"/>
    <m/>
    <n v="43300000"/>
    <n v="56325008252"/>
  </r>
  <r>
    <x v="1"/>
    <s v="크레인대금"/>
    <s v="(주)지와이텐트"/>
    <m/>
    <n v="52000000"/>
    <n v="56377008252"/>
  </r>
  <r>
    <x v="1"/>
    <s v="DHT 145AS "/>
    <s v="HIAB MIDDLE EAST L.L.C"/>
    <m/>
    <n v="93059542"/>
    <n v="56470067794"/>
  </r>
  <r>
    <x v="1"/>
    <s v="크레인대금"/>
    <s v="현대캐피탈주식회사"/>
    <m/>
    <n v="41714200"/>
    <n v="56511781994"/>
  </r>
  <r>
    <x v="1"/>
    <s v="크레인대금"/>
    <s v="현대캐피탈주식회사"/>
    <m/>
    <n v="41714200"/>
    <n v="56553496194"/>
  </r>
  <r>
    <x v="1"/>
    <s v="크레인대금"/>
    <s v="현대캐피탈주식회사"/>
    <m/>
    <n v="41714200"/>
    <n v="56595210394"/>
  </r>
  <r>
    <x v="1"/>
    <s v="크레인대금"/>
    <s v="현대캐피탈주식회사"/>
    <m/>
    <n v="41714200"/>
    <n v="56636924594"/>
  </r>
  <r>
    <x v="1"/>
    <s v="크레인대금"/>
    <s v="현대캐피탈주식회사"/>
    <m/>
    <n v="32081600"/>
    <n v="56669006194"/>
  </r>
  <r>
    <x v="1"/>
    <s v="크레인대금"/>
    <s v="현대캐피탈주식회사"/>
    <m/>
    <n v="32081600"/>
    <n v="56701087794"/>
  </r>
  <r>
    <x v="1"/>
    <s v="크레인대금"/>
    <s v="현대캐피탈주식회사"/>
    <m/>
    <n v="32081600"/>
    <n v="56733169394"/>
  </r>
  <r>
    <x v="1"/>
    <s v="크레인대금"/>
    <s v="현대캐피탈주식회사"/>
    <m/>
    <n v="32081600"/>
    <n v="56765250994"/>
  </r>
  <r>
    <x v="1"/>
    <s v="크레인대금"/>
    <s v="현대캐피탈주식회사"/>
    <m/>
    <n v="32081600"/>
    <n v="56797332594"/>
  </r>
  <r>
    <x v="1"/>
    <s v="크레인대금"/>
    <s v="현대캐피탈주식회사"/>
    <m/>
    <n v="32081600"/>
    <n v="56829414194"/>
  </r>
  <r>
    <x v="1"/>
    <s v="크레인대금"/>
    <s v="현대캐피탈주식회사"/>
    <m/>
    <n v="32081600"/>
    <n v="56861495794"/>
  </r>
  <r>
    <x v="1"/>
    <s v="크레인대금"/>
    <s v="현대캐피탈주식회사"/>
    <m/>
    <n v="32081600"/>
    <n v="56893577394"/>
  </r>
  <r>
    <x v="1"/>
    <s v="크레인대금"/>
    <s v="현대캐피탈주식회사"/>
    <m/>
    <n v="32081600"/>
    <n v="56925658994"/>
  </r>
  <r>
    <x v="1"/>
    <s v="크레인대금"/>
    <s v="현대캐피탈주식회사"/>
    <m/>
    <n v="32081600"/>
    <n v="56957740594"/>
  </r>
  <r>
    <x v="1"/>
    <s v="크레인대금"/>
    <s v="현대캐피탈주식회사"/>
    <m/>
    <n v="32081600"/>
    <n v="56989822194"/>
  </r>
  <r>
    <x v="1"/>
    <s v="크레인대금"/>
    <s v="현대캐피탈주식회사"/>
    <m/>
    <n v="32081600"/>
    <n v="57021903794"/>
  </r>
  <r>
    <x v="1"/>
    <s v="크레인대금"/>
    <s v="현대캐피탈주식회사"/>
    <m/>
    <n v="32081600"/>
    <n v="57053985394"/>
  </r>
  <r>
    <x v="1"/>
    <s v="크레인대금"/>
    <s v="우리네트워크"/>
    <m/>
    <n v="42727272"/>
    <n v="57096712666"/>
  </r>
  <r>
    <x v="1"/>
    <s v="크레인대금"/>
    <s v="익산농기계"/>
    <m/>
    <n v="10750000"/>
    <n v="57107462666"/>
  </r>
  <r>
    <x v="1"/>
    <s v="크레인대금"/>
    <s v="신중승"/>
    <m/>
    <n v="34454545"/>
    <n v="57141917211"/>
  </r>
  <r>
    <x v="1"/>
    <s v="크레인대금"/>
    <s v="태흥네트웍스"/>
    <m/>
    <n v="36363636"/>
    <n v="57178280847"/>
  </r>
  <r>
    <x v="1"/>
    <s v="크레인대금"/>
    <s v="대영네트웍"/>
    <m/>
    <n v="34000000"/>
    <n v="57212280847"/>
  </r>
  <r>
    <x v="1"/>
    <s v="크레인대금"/>
    <s v="(주)충남네트웍스"/>
    <m/>
    <n v="13853636"/>
    <n v="57226134483"/>
  </r>
  <r>
    <x v="1"/>
    <s v="크레인대금"/>
    <s v="가인중기"/>
    <m/>
    <n v="16500000"/>
    <n v="57242634483"/>
  </r>
  <r>
    <x v="1"/>
    <s v="크레인대금"/>
    <s v="연합자원"/>
    <m/>
    <n v="25213637"/>
    <n v="57267848120"/>
  </r>
  <r>
    <x v="1"/>
    <s v="크레인대금"/>
    <s v="정애드"/>
    <m/>
    <n v="61000000"/>
    <n v="57328848120"/>
  </r>
  <r>
    <x v="1"/>
    <s v="크레인대금"/>
    <s v="일광ENC"/>
    <m/>
    <n v="32000000"/>
    <n v="57360848120"/>
  </r>
  <r>
    <x v="1"/>
    <s v="크레인대금"/>
    <s v="(주)세진통신"/>
    <m/>
    <n v="34800000"/>
    <n v="57395648120"/>
  </r>
  <r>
    <x v="1"/>
    <s v="적재함 보강 및 공구함 설치"/>
    <s v="기아자동차온천대리점"/>
    <m/>
    <n v="6750000"/>
    <n v="57402398120"/>
  </r>
  <r>
    <x v="1"/>
    <s v="크레인대금"/>
    <s v="미소통신"/>
    <m/>
    <n v="34000000"/>
    <n v="57436398120"/>
  </r>
  <r>
    <x v="1"/>
    <s v="크레인대금"/>
    <s v="한국케이블티브이푸른방송(주)"/>
    <m/>
    <n v="12636364"/>
    <n v="57449034484"/>
  </r>
  <r>
    <x v="1"/>
    <s v="크레인대금"/>
    <s v="미래통신"/>
    <m/>
    <n v="33500000"/>
    <n v="57482534484"/>
  </r>
  <r>
    <x v="1"/>
    <s v="크레인대금"/>
    <s v="(유)구이앤금우통신"/>
    <m/>
    <n v="33000000"/>
    <n v="57515534484"/>
  </r>
  <r>
    <x v="1"/>
    <s v="크레인대금"/>
    <s v="성남통신"/>
    <m/>
    <n v="33100000"/>
    <n v="57548634484"/>
  </r>
  <r>
    <x v="1"/>
    <s v="실린더판매"/>
    <s v="(주)한진디엔비"/>
    <m/>
    <n v="22618000"/>
    <n v="57571252484"/>
  </r>
  <r>
    <x v="1"/>
    <s v="크레인대금"/>
    <s v="당리통신"/>
    <m/>
    <n v="13800000"/>
    <n v="57585052484"/>
  </r>
  <r>
    <x v="1"/>
    <s v="크레인대금"/>
    <s v="SY안전"/>
    <m/>
    <n v="16000000"/>
    <n v="57601052484"/>
  </r>
  <r>
    <x v="1"/>
    <s v="크레인대금"/>
    <s v="대유통신(주)"/>
    <m/>
    <n v="35000000"/>
    <n v="57636052484"/>
  </r>
  <r>
    <x v="1"/>
    <s v="크레인대금"/>
    <s v="(주)알앤아이"/>
    <m/>
    <n v="35000000"/>
    <n v="57671052484"/>
  </r>
  <r>
    <x v="1"/>
    <s v="크레인대금"/>
    <s v="(주)한진디엔비"/>
    <m/>
    <n v="12000000"/>
    <n v="57683052484"/>
  </r>
  <r>
    <x v="1"/>
    <s v="크레인대금"/>
    <s v="전주통신"/>
    <m/>
    <n v="34500000"/>
    <n v="57717552484"/>
  </r>
  <r>
    <x v="1"/>
    <s v="크레인대금"/>
    <s v="(유)정안정보"/>
    <m/>
    <n v="33000000"/>
    <n v="57750552484"/>
  </r>
  <r>
    <x v="1"/>
    <s v="크레인대금"/>
    <s v="김진희"/>
    <m/>
    <n v="32000000"/>
    <n v="57782552484"/>
  </r>
  <r>
    <x v="1"/>
    <s v="크레인대금"/>
    <s v="세기정보통신"/>
    <m/>
    <n v="34200000"/>
    <n v="57816752484"/>
  </r>
  <r>
    <x v="1"/>
    <s v="크레인대금"/>
    <s v="한라정보통신(주)"/>
    <m/>
    <n v="34272727"/>
    <n v="57851025211"/>
  </r>
  <r>
    <x v="1"/>
    <s v="크레인대금"/>
    <s v="제일정보통신"/>
    <m/>
    <n v="34200000"/>
    <n v="57885225211"/>
  </r>
  <r>
    <x v="1"/>
    <s v="크레인대금"/>
    <s v="진복통신"/>
    <m/>
    <n v="34500000"/>
    <n v="57919725211"/>
  </r>
  <r>
    <x v="1"/>
    <s v="적재함 보강 및 공구함 설치"/>
    <s v="기아자동차온천대리점"/>
    <m/>
    <n v="9790000"/>
    <n v="57929515211"/>
  </r>
  <r>
    <x v="1"/>
    <s v="DHS 15AP"/>
    <s v="(주)동해기계항공"/>
    <m/>
    <n v="40128200"/>
    <n v="57969643411"/>
  </r>
  <r>
    <x v="1"/>
    <s v="DHS 17AP "/>
    <s v="(주)동해기계항공"/>
    <m/>
    <n v="45409400"/>
    <n v="58015052811"/>
  </r>
  <r>
    <x v="1"/>
    <s v="크레인대금"/>
    <s v="제이엠"/>
    <m/>
    <n v="32000000"/>
    <n v="58047052811"/>
  </r>
  <r>
    <x v="1"/>
    <s v="크레인대금"/>
    <s v="덕성정보통신(주)"/>
    <m/>
    <n v="35000000"/>
    <n v="58082052811"/>
  </r>
  <r>
    <x v="1"/>
    <s v="크레인대금"/>
    <s v="(주)한진디엔비"/>
    <m/>
    <n v="7790000"/>
    <n v="58089842811"/>
  </r>
  <r>
    <x v="1"/>
    <s v="크레인대금"/>
    <s v="(주)한진디엔비"/>
    <m/>
    <n v="7790000"/>
    <n v="58097632811"/>
  </r>
  <r>
    <x v="1"/>
    <s v="크레인대금"/>
    <s v="(주)한진디엔비"/>
    <m/>
    <n v="7790000"/>
    <n v="58105422811"/>
  </r>
  <r>
    <x v="1"/>
    <s v="크레인대금"/>
    <s v="매일이앤씨(주)"/>
    <m/>
    <n v="33000000"/>
    <n v="58138422811"/>
  </r>
  <r>
    <x v="1"/>
    <s v="크레인대금"/>
    <s v="이지통신"/>
    <m/>
    <n v="33500000"/>
    <n v="58171922811"/>
  </r>
  <r>
    <x v="1"/>
    <s v="크레인대금"/>
    <s v="엄문섭"/>
    <m/>
    <n v="34000000"/>
    <n v="58205922811"/>
  </r>
  <r>
    <x v="1"/>
    <s v="크레인대금"/>
    <s v="영진이앤지"/>
    <m/>
    <n v="13200000"/>
    <n v="58219122811"/>
  </r>
  <r>
    <x v="1"/>
    <s v="크레인대금"/>
    <s v="코리아엔텍(주)"/>
    <m/>
    <n v="15000000"/>
    <n v="58234122811"/>
  </r>
  <r>
    <x v="1"/>
    <s v="크레인대금"/>
    <s v="G＆S통신"/>
    <m/>
    <n v="12000000"/>
    <n v="58246122811"/>
  </r>
  <r>
    <x v="1"/>
    <s v="크레인대금"/>
    <s v="칠성통신"/>
    <m/>
    <n v="14817273"/>
    <n v="58260940084"/>
  </r>
  <r>
    <x v="1"/>
    <s v="크레인대금"/>
    <s v="아림통신건설"/>
    <m/>
    <n v="15500000"/>
    <n v="58276440084"/>
  </r>
  <r>
    <x v="1"/>
    <s v="크레인대금"/>
    <s v="아림통신건설"/>
    <m/>
    <n v="15500000"/>
    <n v="58291940084"/>
  </r>
  <r>
    <x v="1"/>
    <s v="크레인대금"/>
    <s v="금강엔지니어링(주)"/>
    <m/>
    <n v="17800000"/>
    <n v="58309740084"/>
  </r>
  <r>
    <x v="1"/>
    <s v="크레인대금"/>
    <s v="인천광역시남구시설관리공단"/>
    <m/>
    <n v="49963637"/>
    <n v="58359703721"/>
  </r>
  <r>
    <x v="1"/>
    <s v="DHS 280AP "/>
    <s v="(주)동해기계항공"/>
    <m/>
    <n v="54878000"/>
    <n v="58414581721"/>
  </r>
  <r>
    <x v="1"/>
    <s v="크레인대금"/>
    <s v="(주)창대전력"/>
    <m/>
    <n v="49090909"/>
    <n v="58463672630"/>
  </r>
  <r>
    <x v="1"/>
    <s v="DHS 15AP"/>
    <s v="(주)동해기계항공"/>
    <m/>
    <n v="25457000"/>
    <n v="58489129630"/>
  </r>
  <r>
    <x v="1"/>
    <s v="실린더대금"/>
    <s v="(주)한진디엔비"/>
    <m/>
    <n v="13640000"/>
    <n v="58502769630"/>
  </r>
  <r>
    <x v="1"/>
    <s v="크레인대금"/>
    <s v="다인정보통신"/>
    <m/>
    <n v="34545454"/>
    <n v="58537315084"/>
  </r>
  <r>
    <x v="1"/>
    <s v="크레인대금"/>
    <s v="다인정보통신"/>
    <m/>
    <n v="33636363"/>
    <n v="58570951447"/>
  </r>
  <r>
    <x v="1"/>
    <s v="크레인대금"/>
    <s v="대성커뮤니케이션"/>
    <m/>
    <n v="35272727"/>
    <n v="58606224174"/>
  </r>
  <r>
    <x v="1"/>
    <s v="크레인대금"/>
    <s v="(주)알파인테크"/>
    <m/>
    <n v="35545454"/>
    <n v="58641769628"/>
  </r>
  <r>
    <x v="1"/>
    <s v="크레인대금"/>
    <s v="대호정보통신"/>
    <m/>
    <n v="44090909"/>
    <n v="58685860537"/>
  </r>
  <r>
    <x v="1"/>
    <s v="크레인대금"/>
    <s v="큰솔정보통신"/>
    <m/>
    <n v="40500000"/>
    <n v="58726360537"/>
  </r>
  <r>
    <x v="1"/>
    <s v="크레인대금"/>
    <s v="주식회사 에스디앤"/>
    <m/>
    <n v="34000000"/>
    <n v="58760360537"/>
  </r>
  <r>
    <x v="1"/>
    <s v="크레인대금"/>
    <s v="(재)현대공원"/>
    <m/>
    <n v="15000000"/>
    <n v="58775360537"/>
  </r>
  <r>
    <x v="1"/>
    <s v="크레인대금"/>
    <s v="강성건설"/>
    <m/>
    <n v="61000000"/>
    <n v="58836360537"/>
  </r>
  <r>
    <x v="1"/>
    <s v="크레인대금"/>
    <s v="한신공압기계"/>
    <m/>
    <n v="52200000"/>
    <n v="58888560537"/>
  </r>
  <r>
    <x v="1"/>
    <s v="크레인대금"/>
    <s v="득호에프알피조선소"/>
    <m/>
    <n v="14545454"/>
    <n v="58903105991"/>
  </r>
  <r>
    <x v="1"/>
    <s v="DHT 160AS "/>
    <s v="WAIMEA TRUCK ＆ CRANE LTD"/>
    <m/>
    <n v="95661373"/>
    <n v="58998767364"/>
  </r>
  <r>
    <x v="1"/>
    <s v="크레인대금"/>
    <s v="DK정보통신"/>
    <m/>
    <n v="35818181"/>
    <n v="59034585545"/>
  </r>
  <r>
    <x v="1"/>
    <s v="크레인대금"/>
    <s v="한마음협동조합"/>
    <m/>
    <n v="61400000"/>
    <n v="59095985545"/>
  </r>
  <r>
    <x v="1"/>
    <s v="크레인대금"/>
    <s v="(주)선진정밀"/>
    <m/>
    <n v="34200000"/>
    <n v="59130185545"/>
  </r>
  <r>
    <x v="1"/>
    <s v="크레인대금"/>
    <s v="금강통신"/>
    <m/>
    <n v="33909091"/>
    <n v="59164094636"/>
  </r>
  <r>
    <x v="1"/>
    <s v="9월 적재함 보강 및 공구함 설치 24대"/>
    <s v="기아자동차온천대리점"/>
    <m/>
    <n v="8910000"/>
    <n v="59173004636"/>
  </r>
  <r>
    <x v="1"/>
    <s v="크레인대금"/>
    <s v="주식회사 맥스정보통신"/>
    <m/>
    <n v="40000000"/>
    <n v="59213004636"/>
  </r>
  <r>
    <x v="1"/>
    <s v="크레인대금"/>
    <s v="주식회사 세원씨앤에스"/>
    <m/>
    <n v="33000000"/>
    <n v="59246004636"/>
  </r>
  <r>
    <x v="1"/>
    <s v="크레인대금"/>
    <s v="부완윤"/>
    <m/>
    <n v="13363636"/>
    <n v="59259368272"/>
  </r>
  <r>
    <x v="1"/>
    <s v="DHS 250AP외 "/>
    <s v="현대종합상사(주)"/>
    <m/>
    <n v="103319466"/>
    <n v="59362687738"/>
  </r>
  <r>
    <x v="1"/>
    <s v="ALPHA 5000외 "/>
    <s v="SYKT.PEMBEKALAN ＆ PERKHIDMATANLEZAN"/>
    <m/>
    <n v="31264260"/>
    <n v="59393951998"/>
  </r>
  <r>
    <x v="1"/>
    <s v="크레인대금"/>
    <s v="에이에스에이피"/>
    <m/>
    <n v="34318181"/>
    <n v="59428270179"/>
  </r>
  <r>
    <x v="1"/>
    <s v="유압휠드라이브"/>
    <s v="(주)다성프로페셔널"/>
    <m/>
    <n v="3600000"/>
    <n v="59431870179"/>
  </r>
  <r>
    <x v="1"/>
    <s v="크레인대금"/>
    <s v="동광크랑크공업"/>
    <m/>
    <n v="13818181"/>
    <n v="59445688360"/>
  </r>
  <r>
    <x v="1"/>
    <s v="크레인대금"/>
    <s v="금강마린"/>
    <m/>
    <n v="13600000"/>
    <n v="59459288360"/>
  </r>
  <r>
    <x v="1"/>
    <s v="실린더대금"/>
    <s v="(주)한진디엔비"/>
    <m/>
    <n v="54582000"/>
    <n v="59513870360"/>
  </r>
  <r>
    <x v="1"/>
    <s v="크레인대금"/>
    <s v="최은준"/>
    <m/>
    <n v="36272727"/>
    <n v="59550143087"/>
  </r>
  <r>
    <x v="1"/>
    <s v="크레인대금"/>
    <s v="사필환"/>
    <m/>
    <n v="40909090"/>
    <n v="59591052177"/>
  </r>
  <r>
    <x v="1"/>
    <s v="크레인대금"/>
    <s v="세진통신"/>
    <m/>
    <n v="41272727"/>
    <n v="59632324904"/>
  </r>
  <r>
    <x v="1"/>
    <s v="크레인대금"/>
    <s v="K네트워크"/>
    <m/>
    <n v="38500000"/>
    <n v="59670824904"/>
  </r>
  <r>
    <x v="1"/>
    <s v="크레인대금"/>
    <s v="사필환"/>
    <m/>
    <n v="-40909090"/>
    <n v="59629915814"/>
  </r>
  <r>
    <x v="1"/>
    <s v="크레인대금"/>
    <s v="최은준"/>
    <m/>
    <n v="-36272727"/>
    <n v="59593643087"/>
  </r>
  <r>
    <x v="1"/>
    <s v="크레인대금"/>
    <s v="사랑정보통신"/>
    <m/>
    <n v="40909090"/>
    <n v="59634552177"/>
  </r>
  <r>
    <x v="1"/>
    <s v="크레인대금"/>
    <s v="성원통신"/>
    <m/>
    <n v="36272727"/>
    <n v="59670824904"/>
  </r>
  <r>
    <x v="1"/>
    <s v="DH SUPER 3000A"/>
    <s v="(주)동해기계항공"/>
    <m/>
    <n v="46158000"/>
    <n v="59716982904"/>
  </r>
  <r>
    <x v="1"/>
    <s v="크레인대금"/>
    <s v="한신전기"/>
    <m/>
    <n v="33636364"/>
    <n v="59750619268"/>
  </r>
  <r>
    <x v="1"/>
    <s v="크레인대금"/>
    <s v="정원통신"/>
    <m/>
    <n v="33636364"/>
    <n v="59784255632"/>
  </r>
  <r>
    <x v="1"/>
    <s v="크레인대금"/>
    <s v="이영숙"/>
    <m/>
    <n v="35000000"/>
    <n v="59819255632"/>
  </r>
  <r>
    <x v="1"/>
    <s v="크레인대금"/>
    <s v="당리통신"/>
    <m/>
    <n v="13000000"/>
    <n v="59832255632"/>
  </r>
  <r>
    <x v="1"/>
    <s v="크레인대금"/>
    <s v="대광전력"/>
    <m/>
    <n v="48900000"/>
    <n v="59881155632"/>
  </r>
  <r>
    <x v="1"/>
    <s v="크레인대금"/>
    <s v="당리통신"/>
    <m/>
    <n v="13000000"/>
    <n v="59894155632"/>
  </r>
  <r>
    <x v="1"/>
    <s v="공군군사사령부 2014년 본조"/>
    <s v="공군군수사령부"/>
    <m/>
    <n v="24022000"/>
    <n v="59918177632"/>
  </r>
  <r>
    <x v="1"/>
    <s v="DHS 280AP "/>
    <s v="현대종합상사(주)"/>
    <m/>
    <n v="64330954"/>
    <n v="59982508586"/>
  </r>
  <r>
    <x v="1"/>
    <s v="DHS 15AP"/>
    <s v="(주)동해기계항공"/>
    <m/>
    <n v="40148200"/>
    <n v="60022656786"/>
  </r>
  <r>
    <x v="1"/>
    <s v="크레인대금"/>
    <s v="성우계전"/>
    <m/>
    <n v="43000000"/>
    <n v="60065656786"/>
  </r>
  <r>
    <x v="1"/>
    <s v="크레인대금"/>
    <s v="신광전설주식회사"/>
    <m/>
    <n v="33500000"/>
    <n v="60099156786"/>
  </r>
  <r>
    <x v="1"/>
    <s v="크레인대금"/>
    <s v="벤져스"/>
    <m/>
    <n v="32500000"/>
    <n v="60131656786"/>
  </r>
  <r>
    <x v="1"/>
    <s v="크레인대금"/>
    <s v="SMJ 네트웍스"/>
    <m/>
    <n v="35000000"/>
    <n v="60166656786"/>
  </r>
  <r>
    <x v="1"/>
    <s v="크레인대금"/>
    <s v="신성이엔지"/>
    <m/>
    <n v="39000000"/>
    <n v="60205656786"/>
  </r>
  <r>
    <x v="1"/>
    <s v="TELES COPIC CYLINDER외 "/>
    <s v="PT Karya Energi Indonesia"/>
    <m/>
    <n v="926028"/>
    <n v="60206582814"/>
  </r>
  <r>
    <x v="1"/>
    <s v="크레인대금"/>
    <s v="대경펌프공업"/>
    <m/>
    <n v="14800000"/>
    <n v="60221382814"/>
  </r>
  <r>
    <x v="1"/>
    <s v="크레인대금"/>
    <s v="경일네트웍스"/>
    <m/>
    <n v="33454545"/>
    <n v="60254837359"/>
  </r>
  <r>
    <x v="1"/>
    <s v="크레인대금"/>
    <s v="다르정보통신"/>
    <m/>
    <n v="42000000"/>
    <n v="60296837359"/>
  </r>
  <r>
    <x v="1"/>
    <s v="크레인대금"/>
    <s v="링통신"/>
    <m/>
    <n v="33000000"/>
    <n v="60329837359"/>
  </r>
  <r>
    <x v="1"/>
    <s v="크레인대금"/>
    <s v="엘림전기공사"/>
    <m/>
    <n v="50000000"/>
    <n v="60379837359"/>
  </r>
  <r>
    <x v="1"/>
    <s v="크레인대금"/>
    <s v="제주특별자치도 수자원본부"/>
    <m/>
    <n v="15454545"/>
    <n v="60395291904"/>
  </r>
  <r>
    <x v="1"/>
    <s v="DHS 190SKY"/>
    <s v="(주)동해기계항공"/>
    <m/>
    <n v="56107000"/>
    <n v="60451398904"/>
  </r>
  <r>
    <x v="1"/>
    <s v="크레인대금"/>
    <s v="엔제이네트웍스(NJ networks)"/>
    <m/>
    <n v="35454545"/>
    <n v="60486853449"/>
  </r>
  <r>
    <x v="1"/>
    <s v="크레인대금"/>
    <s v="이상훈"/>
    <m/>
    <n v="33000000"/>
    <n v="60519853449"/>
  </r>
  <r>
    <x v="1"/>
    <s v="크레인대금"/>
    <s v="이앤비정보통신(주)"/>
    <m/>
    <n v="3600000"/>
    <n v="60523453449"/>
  </r>
  <r>
    <x v="1"/>
    <s v="크레인대금"/>
    <s v="(주)신평통신"/>
    <m/>
    <n v="35000000"/>
    <n v="60558453449"/>
  </r>
  <r>
    <x v="1"/>
    <s v="크레인대금"/>
    <s v="태광텔레콤(주)"/>
    <m/>
    <n v="34050000"/>
    <n v="60592503449"/>
  </r>
  <r>
    <x v="1"/>
    <s v="크레인대금"/>
    <s v="우성활선"/>
    <m/>
    <n v="150000000"/>
    <n v="60742503449"/>
  </r>
  <r>
    <x v="1"/>
    <s v="JACK CYLINDER ASSY외 2건"/>
    <s v="(주)한진디엔비"/>
    <m/>
    <n v="14630000"/>
    <n v="60757133449"/>
  </r>
  <r>
    <x v="1"/>
    <s v="크레인대금"/>
    <s v="디디네트워크"/>
    <m/>
    <n v="40000000"/>
    <n v="60797133449"/>
  </r>
  <r>
    <x v="1"/>
    <s v="DHS 280AP "/>
    <s v="(주)대우인터내셔널"/>
    <m/>
    <n v="67344018"/>
    <n v="60864477467"/>
  </r>
  <r>
    <x v="1"/>
    <s v="크레인대금"/>
    <s v="굴렁쇠"/>
    <m/>
    <n v="13500000"/>
    <n v="60877977467"/>
  </r>
  <r>
    <x v="1"/>
    <s v="크레인대금"/>
    <s v="에이스정보통신"/>
    <m/>
    <n v="34450000"/>
    <n v="60912427467"/>
  </r>
  <r>
    <x v="1"/>
    <s v="크레인대금"/>
    <s v="에스엘엔(주)"/>
    <m/>
    <n v="34000000"/>
    <n v="60946427467"/>
  </r>
  <r>
    <x v="1"/>
    <s v="크레인대금"/>
    <s v="한빛전기(주)"/>
    <m/>
    <n v="49500000"/>
    <n v="60995927467"/>
  </r>
  <r>
    <x v="1"/>
    <s v="크레인대금"/>
    <s v="삼일전기(주)"/>
    <m/>
    <n v="51000000"/>
    <n v="61046927467"/>
  </r>
  <r>
    <x v="1"/>
    <s v="크레인대금"/>
    <s v="(주)새론"/>
    <m/>
    <n v="58500000"/>
    <n v="61105427467"/>
  </r>
  <r>
    <x v="1"/>
    <s v="크레인대금"/>
    <s v="동해해양사업"/>
    <m/>
    <n v="23220000"/>
    <n v="61128647467"/>
  </r>
  <r>
    <x v="1"/>
    <s v="DHS 870 "/>
    <s v="QUANTUM GLOBALINO"/>
    <m/>
    <n v="19813236"/>
    <n v="61148460703"/>
  </r>
  <r>
    <x v="1"/>
    <s v="크레인대금"/>
    <s v="(주)현진네트웍스"/>
    <m/>
    <n v="13517000"/>
    <n v="61161977703"/>
  </r>
  <r>
    <x v="1"/>
    <s v="DHS 15AP외 "/>
    <s v="SHIJIAZHUANG COAL MINING MACHINEY CO., LTD"/>
    <m/>
    <n v="53158093"/>
    <n v="61215135796"/>
  </r>
  <r>
    <x v="1"/>
    <s v="크레인대금"/>
    <s v="제우스통신"/>
    <m/>
    <n v="34363636"/>
    <n v="61249499432"/>
  </r>
  <r>
    <x v="1"/>
    <s v="크레인대금"/>
    <s v="(주)전통"/>
    <m/>
    <n v="40000000"/>
    <n v="61289499432"/>
  </r>
  <r>
    <x v="1"/>
    <s v="크레인대금"/>
    <s v="진호통신"/>
    <m/>
    <n v="40909090"/>
    <n v="61330408522"/>
  </r>
  <r>
    <x v="1"/>
    <s v="크레인대금"/>
    <s v="문화체육관리사업소"/>
    <m/>
    <n v="5545455"/>
    <n v="61335953977"/>
  </r>
  <r>
    <x v="1"/>
    <s v="크레인대금"/>
    <s v="문화체육관리사업소"/>
    <m/>
    <n v="41818182"/>
    <n v="61377772159"/>
  </r>
  <r>
    <x v="1"/>
    <s v="크레인대금"/>
    <s v="한라경기센타"/>
    <m/>
    <n v="15400000"/>
    <n v="61393172159"/>
  </r>
  <r>
    <x v="1"/>
    <s v="크레인대금"/>
    <s v="일진정보통신"/>
    <m/>
    <n v="35418181"/>
    <n v="61428590340"/>
  </r>
  <r>
    <x v="1"/>
    <s v="크레인대금"/>
    <s v="우정통신"/>
    <m/>
    <n v="35818182"/>
    <n v="61464408522"/>
  </r>
  <r>
    <x v="1"/>
    <s v="크레인대금"/>
    <s v="선일정보통신"/>
    <m/>
    <n v="32500000"/>
    <n v="61496908522"/>
  </r>
  <r>
    <x v="1"/>
    <s v="크레인대금"/>
    <s v="다운정보통신"/>
    <m/>
    <n v="34700000"/>
    <n v="61531608522"/>
  </r>
  <r>
    <x v="1"/>
    <s v="크레인대금"/>
    <s v="전대열"/>
    <m/>
    <n v="34000000"/>
    <n v="61565608522"/>
  </r>
  <r>
    <x v="1"/>
    <s v="크레인대금"/>
    <s v="크레인마트"/>
    <m/>
    <n v="12800000"/>
    <n v="61578408522"/>
  </r>
  <r>
    <x v="1"/>
    <s v="크레인대금"/>
    <s v="가인통신"/>
    <m/>
    <n v="35400000"/>
    <n v="61613808522"/>
  </r>
  <r>
    <x v="1"/>
    <s v="크레인대금"/>
    <s v="(주)광고백화점 트인"/>
    <m/>
    <n v="60000000"/>
    <n v="61673808522"/>
  </r>
  <r>
    <x v="1"/>
    <s v="크레인대금"/>
    <s v="케이티커머스(주)"/>
    <m/>
    <n v="13900000"/>
    <n v="61687708522"/>
  </r>
  <r>
    <x v="1"/>
    <s v="크레인대금"/>
    <s v="세원통신"/>
    <m/>
    <n v="45909091"/>
    <n v="61733617613"/>
  </r>
  <r>
    <x v="1"/>
    <s v="10월 적재함 보강 및 공구함 설치 2대"/>
    <s v="기아자동차온천대리점"/>
    <m/>
    <n v="740000"/>
    <n v="61734357613"/>
  </r>
  <r>
    <x v="1"/>
    <s v="크레인대금"/>
    <s v="인천광역시경제자유구역청"/>
    <m/>
    <n v="13233500"/>
    <n v="61747591113"/>
  </r>
  <r>
    <x v="1"/>
    <s v="FILTER외 "/>
    <s v="SHANGHAI AVION M ＆ E ENGINEERING CO"/>
    <m/>
    <n v="4409944"/>
    <n v="61752001057"/>
  </r>
  <r>
    <x v="1"/>
    <s v="크레인대금"/>
    <s v="한밭정보통신"/>
    <m/>
    <n v="35418181"/>
    <n v="61787419238"/>
  </r>
  <r>
    <x v="1"/>
    <s v="크레인대금"/>
    <s v="(주)건영네트워크"/>
    <m/>
    <n v="43000000"/>
    <n v="61830419238"/>
  </r>
  <r>
    <x v="1"/>
    <s v="크레인대금"/>
    <s v="(주)화성정보통신"/>
    <m/>
    <n v="41500000"/>
    <n v="61871919238"/>
  </r>
  <r>
    <x v="1"/>
    <s v="DHS 280AP"/>
    <s v="(주)동해기계항공"/>
    <m/>
    <n v="55043200"/>
    <n v="61926962438"/>
  </r>
  <r>
    <x v="1"/>
    <s v="크레인대금"/>
    <s v="영통신"/>
    <m/>
    <n v="34000000"/>
    <n v="61960962438"/>
  </r>
  <r>
    <x v="1"/>
    <s v="크레인대금"/>
    <s v="(주)엔씨디지넷"/>
    <m/>
    <n v="34000000"/>
    <n v="61994962438"/>
  </r>
  <r>
    <x v="1"/>
    <s v="크레인대금"/>
    <s v="(주)정훈기계"/>
    <m/>
    <n v="13700000"/>
    <n v="62008662438"/>
  </r>
  <r>
    <x v="1"/>
    <s v="크레인대금"/>
    <s v="(주)하이네트웍"/>
    <m/>
    <n v="33000000"/>
    <n v="62041662438"/>
  </r>
  <r>
    <x v="1"/>
    <s v="크레인대금"/>
    <s v="부산마린"/>
    <m/>
    <n v="13300000"/>
    <n v="62054962438"/>
  </r>
  <r>
    <x v="1"/>
    <s v="크레인대금"/>
    <s v="권영희"/>
    <m/>
    <n v="16500000"/>
    <n v="62071462438"/>
  </r>
  <r>
    <x v="1"/>
    <s v="크레인대금"/>
    <s v="현대전력"/>
    <m/>
    <n v="49300000"/>
    <n v="62120762438"/>
  </r>
  <r>
    <x v="1"/>
    <s v="DHS 15AP "/>
    <s v="(주)동해기계항공"/>
    <m/>
    <n v="40148200"/>
    <n v="62160910638"/>
  </r>
  <r>
    <x v="1"/>
    <s v="크레인대금"/>
    <s v="(주)매크로미디어넷"/>
    <m/>
    <n v="14217273"/>
    <n v="62175127911"/>
  </r>
  <r>
    <x v="1"/>
    <s v="크레인대금"/>
    <s v="(주)매크로미디어넷"/>
    <m/>
    <n v="35000000"/>
    <n v="62210127911"/>
  </r>
  <r>
    <x v="1"/>
    <s v="크레인대금"/>
    <s v="강진통신"/>
    <m/>
    <n v="35000000"/>
    <n v="62245127911"/>
  </r>
  <r>
    <x v="1"/>
    <s v="크레인대금"/>
    <s v="김재호"/>
    <m/>
    <n v="42000000"/>
    <n v="62287127911"/>
  </r>
  <r>
    <x v="1"/>
    <s v="크레인대금"/>
    <s v="(주)제일정보통신"/>
    <m/>
    <n v="13600000"/>
    <n v="62300727911"/>
  </r>
  <r>
    <x v="1"/>
    <s v="크레인대금"/>
    <s v="주식회사 코어인프라"/>
    <m/>
    <n v="32000000"/>
    <n v="62332727911"/>
  </r>
  <r>
    <x v="1"/>
    <s v="크레인대금"/>
    <s v="주식회사 새로운"/>
    <m/>
    <n v="51300000"/>
    <n v="62384027911"/>
  </r>
  <r>
    <x v="1"/>
    <s v="크레인대금"/>
    <s v="씨엠정보통신(주)"/>
    <m/>
    <n v="35000000"/>
    <n v="62419027911"/>
  </r>
  <r>
    <x v="1"/>
    <s v="크레인대금"/>
    <s v="씨엠정보통신(주)"/>
    <m/>
    <n v="40000000"/>
    <n v="62459027911"/>
  </r>
  <r>
    <x v="1"/>
    <s v="P6000 주탑 실린더 외"/>
    <s v="(주)한진디엔비"/>
    <m/>
    <n v="54420000"/>
    <n v="62513447911"/>
  </r>
  <r>
    <x v="1"/>
    <s v="크레인대금"/>
    <s v="제이엠"/>
    <m/>
    <n v="32500000"/>
    <n v="62545947911"/>
  </r>
  <r>
    <x v="1"/>
    <s v="크레인대금"/>
    <s v="(주)그린이엔지"/>
    <m/>
    <n v="49090909"/>
    <n v="62595038820"/>
  </r>
  <r>
    <x v="1"/>
    <s v="크레인대금"/>
    <s v="세아"/>
    <m/>
    <n v="33000000"/>
    <n v="62628038820"/>
  </r>
  <r>
    <x v="1"/>
    <s v="11월 상반기 적재함 보강 및 공구함 설치 2대"/>
    <s v="기아자동차온천대리점"/>
    <m/>
    <n v="8160000"/>
    <n v="62636198820"/>
  </r>
  <r>
    <x v="1"/>
    <s v="P3000 잭실린더-전시용"/>
    <s v="(주)한진디엔비"/>
    <m/>
    <n v="2320000"/>
    <n v="62638518820"/>
  </r>
  <r>
    <x v="1"/>
    <s v="휠드라이브"/>
    <s v="하늘통신"/>
    <m/>
    <n v="4400000"/>
    <n v="62642918820"/>
  </r>
  <r>
    <x v="1"/>
    <s v="크레인대금"/>
    <s v="하늘통신"/>
    <m/>
    <n v="13635455"/>
    <n v="62656554275"/>
  </r>
  <r>
    <x v="1"/>
    <s v="크레인대금"/>
    <s v="(주)에이치넷"/>
    <m/>
    <n v="14300000"/>
    <n v="62670854275"/>
  </r>
  <r>
    <x v="1"/>
    <s v="크레인대금"/>
    <s v="에스에이치테크(주)"/>
    <m/>
    <n v="33181818"/>
    <n v="62704036093"/>
  </r>
  <r>
    <x v="1"/>
    <s v="크레인대금"/>
    <s v="동해해양사업"/>
    <m/>
    <n v="20400000"/>
    <n v="62724436093"/>
  </r>
  <r>
    <x v="1"/>
    <s v="크레인대금"/>
    <s v="이지통신"/>
    <m/>
    <n v="32681818"/>
    <n v="62757117911"/>
  </r>
  <r>
    <x v="1"/>
    <s v="크레인대금"/>
    <s v="컨텍"/>
    <m/>
    <n v="35454545"/>
    <n v="62792572456"/>
  </r>
  <r>
    <x v="1"/>
    <s v="크레인대금"/>
    <s v="승진통신"/>
    <m/>
    <n v="36363636"/>
    <n v="62828936092"/>
  </r>
  <r>
    <x v="1"/>
    <s v="크레인대금"/>
    <s v="이동철공소"/>
    <m/>
    <n v="13490000"/>
    <n v="62842426092"/>
  </r>
  <r>
    <x v="1"/>
    <s v="크레인대금"/>
    <s v="동해해양사업"/>
    <m/>
    <n v="23500000"/>
    <n v="62865926092"/>
  </r>
  <r>
    <x v="1"/>
    <s v="크레인대금"/>
    <s v="티엠지정보통신"/>
    <m/>
    <n v="34090909"/>
    <n v="62900017001"/>
  </r>
  <r>
    <x v="1"/>
    <s v="크레인대금"/>
    <s v="(주)동양이이씨"/>
    <m/>
    <n v="35500000"/>
    <n v="62935517001"/>
  </r>
  <r>
    <x v="1"/>
    <s v="크레인대금"/>
    <s v="주식회사 신아"/>
    <m/>
    <n v="50000000"/>
    <n v="62985517001"/>
  </r>
  <r>
    <x v="1"/>
    <s v="크레인대금"/>
    <s v="영남씨엔엠(주)"/>
    <m/>
    <n v="36280000"/>
    <n v="63021797001"/>
  </r>
  <r>
    <x v="1"/>
    <s v="크레인대금"/>
    <s v="(주)신양"/>
    <m/>
    <n v="33000000"/>
    <n v="63054797001"/>
  </r>
  <r>
    <x v="1"/>
    <s v="크레인대금"/>
    <s v="주식회사 국도전력"/>
    <m/>
    <n v="41818182"/>
    <n v="63096615183"/>
  </r>
  <r>
    <x v="1"/>
    <s v="크레인대금"/>
    <s v="주식회사 국도전력"/>
    <m/>
    <n v="-41818182"/>
    <n v="63054797001"/>
  </r>
  <r>
    <x v="1"/>
    <s v="크레인대금"/>
    <s v="신성통신공사"/>
    <m/>
    <n v="14308182"/>
    <n v="63069105183"/>
  </r>
  <r>
    <x v="1"/>
    <s v="크레인대금"/>
    <s v="시온네트워크"/>
    <m/>
    <n v="14308182"/>
    <n v="63083413365"/>
  </r>
  <r>
    <x v="1"/>
    <s v="크레인대금"/>
    <s v="용인조경화훼총판장"/>
    <m/>
    <n v="35000000"/>
    <n v="63118413365"/>
  </r>
  <r>
    <x v="1"/>
    <s v="크레인대금"/>
    <s v="아름기획"/>
    <m/>
    <n v="61000000"/>
    <n v="63179413365"/>
  </r>
  <r>
    <x v="1"/>
    <s v="크레인대금"/>
    <s v="서윤전기건설공사"/>
    <m/>
    <n v="52000000"/>
    <n v="63231413365"/>
  </r>
  <r>
    <x v="1"/>
    <s v="크레인대금"/>
    <s v="삼영정보통신"/>
    <m/>
    <n v="42200000"/>
    <n v="63273613365"/>
  </r>
  <r>
    <x v="1"/>
    <s v="크레인대금"/>
    <s v="(주)한진전력"/>
    <m/>
    <n v="40500000"/>
    <n v="63314113365"/>
  </r>
  <r>
    <x v="1"/>
    <s v="11월 하반기 적재함 보강 및 공구함 설치 49대"/>
    <s v="기아자동차온천대리점"/>
    <m/>
    <n v="18160000"/>
    <n v="63332273365"/>
  </r>
  <r>
    <x v="1"/>
    <s v="크레인대금"/>
    <s v="(주)그린정보시스템"/>
    <m/>
    <n v="13700000"/>
    <n v="63345973365"/>
  </r>
  <r>
    <x v="1"/>
    <s v="크레인대금"/>
    <s v="리더스 씨씨티브이"/>
    <m/>
    <n v="33181818"/>
    <n v="63379155183"/>
  </r>
  <r>
    <x v="1"/>
    <s v="크레인대금"/>
    <s v="주원정보통신"/>
    <m/>
    <n v="33000000"/>
    <n v="63412155183"/>
  </r>
  <r>
    <x v="1"/>
    <s v="크레인대금"/>
    <s v="명성개발"/>
    <m/>
    <n v="31000000"/>
    <n v="63443155183"/>
  </r>
  <r>
    <x v="1"/>
    <s v="크레인대금"/>
    <s v="유일산기"/>
    <m/>
    <n v="18740000"/>
    <n v="63461895183"/>
  </r>
  <r>
    <x v="1"/>
    <s v="크레인대금"/>
    <s v="정범통신"/>
    <m/>
    <n v="35645454"/>
    <n v="63497540637"/>
  </r>
  <r>
    <x v="1"/>
    <s v="크레인대금"/>
    <s v="(주)동해기계항공"/>
    <m/>
    <n v="41640200"/>
    <n v="63539180837"/>
  </r>
  <r>
    <x v="1"/>
    <s v="크레인대금"/>
    <s v="주식회사 하동정보통신"/>
    <m/>
    <n v="32600000"/>
    <n v="63571780837"/>
  </r>
  <r>
    <x v="1"/>
    <s v="크레인대금"/>
    <s v="(주) 향수정보통신"/>
    <m/>
    <n v="33236363"/>
    <n v="63605017200"/>
  </r>
  <r>
    <x v="1"/>
    <s v="크레인대금"/>
    <s v="대아정보통신주식회사"/>
    <m/>
    <n v="33600000"/>
    <n v="63638617200"/>
  </r>
  <r>
    <x v="1"/>
    <s v="크레인대금"/>
    <s v="우성종합전기"/>
    <m/>
    <n v="45454545"/>
    <n v="63684071745"/>
  </r>
  <r>
    <x v="1"/>
    <s v="크레인대금"/>
    <s v="도신관"/>
    <m/>
    <n v="142000000"/>
    <n v="63826071745"/>
  </r>
  <r>
    <x v="1"/>
    <s v="크레인대금"/>
    <s v="이송산업"/>
    <m/>
    <n v="13800000"/>
    <n v="63839871745"/>
  </r>
  <r>
    <x v="1"/>
    <s v="크레인대금"/>
    <s v="(주)대영전기"/>
    <m/>
    <n v="49000000"/>
    <n v="63888871745"/>
  </r>
  <r>
    <x v="1"/>
    <s v="크레인대금"/>
    <s v="진성전력"/>
    <m/>
    <n v="42000000"/>
    <n v="63930871745"/>
  </r>
  <r>
    <x v="1"/>
    <s v="D&amp;B-250 OG 틸팅실린더 외 9종"/>
    <s v="(주)한진디엔비"/>
    <m/>
    <n v="72200000"/>
    <n v="64003071745"/>
  </r>
  <r>
    <x v="1"/>
    <s v="DHS 15AP외 "/>
    <s v="SYKT.PEMBEKALAN ＆ PERKHIDMATANLEZAN"/>
    <m/>
    <n v="78781890"/>
    <n v="64081853635"/>
  </r>
  <r>
    <x v="1"/>
    <s v="크레인대금"/>
    <s v="금강협동조합"/>
    <m/>
    <n v="63900000"/>
    <n v="64145753635"/>
  </r>
  <r>
    <x v="1"/>
    <s v="크레인대금"/>
    <s v="(주)미광전기"/>
    <m/>
    <n v="53636364"/>
    <n v="64199389999"/>
  </r>
  <r>
    <x v="1"/>
    <s v="크레인대금"/>
    <s v="경동보일러귀뚜라미보일러삼천리보일러"/>
    <m/>
    <n v="33000000"/>
    <n v="64232389999"/>
  </r>
  <r>
    <x v="1"/>
    <s v="크레인대금"/>
    <s v="(주)태일전기"/>
    <m/>
    <n v="49090909"/>
    <n v="64281480908"/>
  </r>
  <r>
    <x v="1"/>
    <s v="크레인대금"/>
    <s v="주식회사 국도전력"/>
    <m/>
    <n v="50000000"/>
    <n v="64331480908"/>
  </r>
  <r>
    <x v="1"/>
    <s v="크레인대금"/>
    <s v="나린통신"/>
    <m/>
    <n v="42363636"/>
    <n v="64373844544"/>
  </r>
  <r>
    <x v="1"/>
    <s v="크레인대금"/>
    <s v="코어네트웍스"/>
    <m/>
    <n v="14000000"/>
    <n v="64387844544"/>
  </r>
  <r>
    <x v="1"/>
    <s v="크레인대금"/>
    <s v="비니정보통신"/>
    <m/>
    <n v="14000000"/>
    <n v="64401844544"/>
  </r>
  <r>
    <x v="1"/>
    <s v="크레인대금"/>
    <s v="김병준"/>
    <m/>
    <n v="138000000"/>
    <n v="64539844544"/>
  </r>
  <r>
    <x v="1"/>
    <s v="크레인대금"/>
    <s v="소현통신"/>
    <m/>
    <n v="40909090"/>
    <n v="64580753634"/>
  </r>
  <r>
    <x v="1"/>
    <s v="크레인대금"/>
    <s v="유진구내식당"/>
    <m/>
    <n v="32000000"/>
    <n v="64612753634"/>
  </r>
  <r>
    <x v="1"/>
    <s v="크레인대금"/>
    <s v="횡성군청"/>
    <m/>
    <n v="41390910"/>
    <n v="64654144544"/>
  </r>
  <r>
    <x v="1"/>
    <s v="크레인대금"/>
    <s v="월림전력"/>
    <m/>
    <n v="137000000"/>
    <n v="64791144544"/>
  </r>
  <r>
    <x v="1"/>
    <s v="크레인대금"/>
    <s v="(주)창흥통신"/>
    <m/>
    <n v="13217273"/>
    <n v="64804361817"/>
  </r>
  <r>
    <x v="1"/>
    <s v="크레인대금"/>
    <s v="우신건업(주)"/>
    <m/>
    <n v="35000000"/>
    <n v="64839361817"/>
  </r>
  <r>
    <x v="1"/>
    <s v="리모컨외 3종 추가계약건 "/>
    <s v="횡성군청"/>
    <m/>
    <n v="2385455"/>
    <n v="64841747272"/>
  </r>
  <r>
    <x v="1"/>
    <s v="크레인대금"/>
    <s v="(주)삼표 송파지점"/>
    <m/>
    <n v="14000000"/>
    <n v="64855747272"/>
  </r>
  <r>
    <x v="1"/>
    <s v="크레인대금"/>
    <s v="에스제이모터스"/>
    <m/>
    <n v="40727272"/>
    <n v="64896474544"/>
  </r>
  <r>
    <x v="1"/>
    <s v="크레인대금"/>
    <s v="제이통신"/>
    <m/>
    <n v="41600000"/>
    <n v="64938074544"/>
  </r>
  <r>
    <x v="1"/>
    <s v="활주로초과저지장비"/>
    <s v="제16전투비행단"/>
    <m/>
    <n v="233126364"/>
    <n v="65171200908"/>
  </r>
  <r>
    <x v="1"/>
    <s v="크레인대금"/>
    <s v="한국전력공사"/>
    <m/>
    <n v="95500000"/>
    <n v="65266700908"/>
  </r>
  <r>
    <x v="1"/>
    <s v="크레인대금"/>
    <s v="한국전력공사"/>
    <m/>
    <n v="1623500000"/>
    <n v="66890200908"/>
  </r>
  <r>
    <x v="1"/>
    <s v="크레인대금"/>
    <s v="한국전력공사"/>
    <m/>
    <n v="-95500000"/>
    <n v="66794700908"/>
  </r>
  <r>
    <x v="1"/>
    <s v="크레인대금"/>
    <s v="한국전력공사"/>
    <m/>
    <n v="-1623500000"/>
    <n v="65171200908"/>
  </r>
  <r>
    <x v="1"/>
    <s v="크레인대금"/>
    <s v="한국전력공사"/>
    <m/>
    <n v="1623500000"/>
    <n v="66794700908"/>
  </r>
  <r>
    <x v="1"/>
    <s v="크레인대금"/>
    <s v="한국전력공사"/>
    <m/>
    <n v="95500000"/>
    <n v="66890200908"/>
  </r>
  <r>
    <x v="1"/>
    <s v="크레인대금"/>
    <s v="한밭통신"/>
    <m/>
    <n v="35254545"/>
    <n v="66925455453"/>
  </r>
  <r>
    <x v="1"/>
    <s v="크레인대금"/>
    <s v="주식회사 하이네트워크"/>
    <m/>
    <n v="34000000"/>
    <n v="66959455453"/>
  </r>
  <r>
    <x v="1"/>
    <s v="크레인대금"/>
    <s v="진성정보통신"/>
    <m/>
    <n v="32700000"/>
    <n v="66992155453"/>
  </r>
  <r>
    <x v="1"/>
    <s v="크레인대금"/>
    <s v="공주컴텍1톤스카이"/>
    <m/>
    <n v="104909091"/>
    <n v="67097064544"/>
  </r>
  <r>
    <x v="1"/>
    <s v="크레인대금"/>
    <s v="공주컴텍1톤스카이"/>
    <m/>
    <n v="-104909091"/>
    <n v="66992155453"/>
  </r>
  <r>
    <x v="1"/>
    <s v="크레인대금"/>
    <s v="컴텍스카이"/>
    <m/>
    <n v="104909091"/>
    <n v="67097064544"/>
  </r>
  <r>
    <x v="1"/>
    <s v="크레인대금"/>
    <s v="정도네트웍"/>
    <m/>
    <n v="33300000"/>
    <n v="67130364544"/>
  </r>
  <r>
    <x v="1"/>
    <s v="크레인대금"/>
    <s v="가람"/>
    <m/>
    <n v="35000000"/>
    <n v="67165364544"/>
  </r>
  <r>
    <x v="1"/>
    <s v="크레인대금"/>
    <s v="다도해해상국립공원서부사무소"/>
    <m/>
    <n v="16363636"/>
    <n v="67181728180"/>
  </r>
  <r>
    <x v="1"/>
    <s v="크레인대금"/>
    <s v="두산건설기계충북판매(주)"/>
    <m/>
    <n v="17580273"/>
    <n v="67199308453"/>
  </r>
  <r>
    <x v="1"/>
    <s v="크레인대금"/>
    <s v="한국전력공사"/>
    <m/>
    <n v="79500000"/>
    <n v="67278808453"/>
  </r>
  <r>
    <x v="1"/>
    <s v="크레인대금"/>
    <s v="한국전력공사"/>
    <m/>
    <n v="1351500000"/>
    <n v="68630308453"/>
  </r>
  <r>
    <x v="1"/>
    <s v="크레인대금"/>
    <s v="주식회사 세원그룹"/>
    <m/>
    <n v="33856363"/>
    <n v="68664164816"/>
  </r>
  <r>
    <x v="1"/>
    <s v="크레인대금"/>
    <s v="한국전력공사"/>
    <m/>
    <n v="-79500000"/>
    <n v="68584664816"/>
  </r>
  <r>
    <x v="1"/>
    <s v="크레인대금"/>
    <s v="한국전력공사"/>
    <m/>
    <n v="-1351500000"/>
    <n v="67233164816"/>
  </r>
  <r>
    <x v="1"/>
    <s v="크레인대금"/>
    <s v="한국전력공사"/>
    <m/>
    <n v="1431000000"/>
    <n v="68664164816"/>
  </r>
  <r>
    <x v="1"/>
    <s v="크레인대금"/>
    <s v="광속통신"/>
    <m/>
    <n v="40127273"/>
    <n v="68704292089"/>
  </r>
  <r>
    <x v="1"/>
    <s v="크레인대금"/>
    <s v="주식회사 현대전업사"/>
    <m/>
    <n v="50000000"/>
    <n v="68754292089"/>
  </r>
  <r>
    <x v="1"/>
    <s v="크레인대금"/>
    <s v="우리전력주식회사"/>
    <m/>
    <n v="49170000"/>
    <n v="68803462089"/>
  </r>
  <r>
    <x v="1"/>
    <s v="크레인대금"/>
    <s v="대광전기주식회사"/>
    <m/>
    <n v="51000000"/>
    <n v="68854462089"/>
  </r>
  <r>
    <x v="1"/>
    <s v="DHS 1800 "/>
    <s v="SYKT.PEMBEKALAN ＆ PERKHIDMATANLEZAN"/>
    <m/>
    <n v="107500264"/>
    <n v="68961962353"/>
  </r>
  <r>
    <x v="1"/>
    <s v="크레인대금"/>
    <s v="천지석물"/>
    <m/>
    <n v="15000000"/>
    <n v="68976962353"/>
  </r>
  <r>
    <x v="1"/>
    <s v="크레인대금"/>
    <s v="은솔텔레콤㈜"/>
    <m/>
    <n v="35000000"/>
    <n v="69011962353"/>
  </r>
  <r>
    <x v="1"/>
    <s v="크레인대금"/>
    <s v="원 종합정보통신(O.S.C)"/>
    <m/>
    <n v="33636363"/>
    <n v="69045598716"/>
  </r>
  <r>
    <x v="1"/>
    <s v="크레인대금"/>
    <s v="(주)선진정밀"/>
    <m/>
    <n v="35000000"/>
    <n v="69080598716"/>
  </r>
  <r>
    <x v="1"/>
    <s v="BIB자동장치&lt;13호기&gt;"/>
    <s v="선테스트코리아(주)"/>
    <m/>
    <n v="98000000"/>
    <n v="69178598716"/>
  </r>
  <r>
    <x v="1"/>
    <s v="크레인대금"/>
    <s v="순천시청"/>
    <m/>
    <n v="72545455"/>
    <n v="69251144171"/>
  </r>
  <r>
    <x v="1"/>
    <s v="크레인대금"/>
    <s v="영천전기"/>
    <m/>
    <n v="52890910"/>
    <n v="69304035081"/>
  </r>
  <r>
    <x v="1"/>
    <s v="크레인대금"/>
    <s v="(주)대영엔지니어링"/>
    <m/>
    <n v="14650000"/>
    <n v="69318685081"/>
  </r>
  <r>
    <x v="1"/>
    <s v="크레인대금"/>
    <s v="해양선외기"/>
    <m/>
    <n v="15000000"/>
    <n v="69333685081"/>
  </r>
  <r>
    <x v="1"/>
    <s v="크레인대금"/>
    <s v="화성전기건설사"/>
    <m/>
    <n v="40700000"/>
    <n v="69374385081"/>
  </r>
  <r>
    <x v="1"/>
    <s v="크레인대금"/>
    <s v="(주)경운전력"/>
    <m/>
    <n v="140000000"/>
    <n v="69514385081"/>
  </r>
  <r>
    <x v="1"/>
    <s v="순천시청 추가 물품구입 및 설치 "/>
    <s v="순천시청"/>
    <m/>
    <n v="12690000"/>
    <n v="69527075081"/>
  </r>
  <r>
    <x v="1"/>
    <s v="ROPE WINDING DRUM외 "/>
    <s v="DALIAN TAIDA INTERNATIONAL TRADE CO., LTD"/>
    <m/>
    <n v="5263630"/>
    <n v="69532338711"/>
  </r>
  <r>
    <x v="1"/>
    <s v="크레인대금"/>
    <s v="주식회사 소명"/>
    <m/>
    <n v="41000000"/>
    <n v="69573338711"/>
  </r>
  <r>
    <x v="1"/>
    <s v="크레인대금"/>
    <s v="일성OA통신"/>
    <m/>
    <n v="12700000"/>
    <n v="69586038711"/>
  </r>
  <r>
    <x v="1"/>
    <s v="크레인대금"/>
    <s v="거양전기(주)"/>
    <m/>
    <n v="54000000"/>
    <n v="69640038711"/>
  </r>
  <r>
    <x v="1"/>
    <s v="크레인대금"/>
    <s v="(주)계룡전력"/>
    <m/>
    <n v="51000000"/>
    <n v="69691038711"/>
  </r>
  <r>
    <x v="1"/>
    <s v="계약금"/>
    <s v="(주)이원"/>
    <m/>
    <n v="18181819"/>
    <n v="69709220530"/>
  </r>
  <r>
    <x v="1"/>
    <s v="크레인대금"/>
    <s v="(주)경도전기"/>
    <m/>
    <n v="53800000"/>
    <n v="69763020530"/>
  </r>
  <r>
    <x v="1"/>
    <s v="크레인대금"/>
    <s v="제트마린"/>
    <m/>
    <n v="13400000"/>
    <n v="69776420530"/>
  </r>
  <r>
    <x v="1"/>
    <s v="크레인대금"/>
    <s v="젊은기술(주)"/>
    <m/>
    <n v="33500000"/>
    <n v="69809920530"/>
  </r>
  <r>
    <x v="1"/>
    <s v="크레인대금"/>
    <s v="고경통신"/>
    <m/>
    <n v="36000000"/>
    <n v="69845920530"/>
  </r>
  <r>
    <x v="1"/>
    <s v="크레인대금"/>
    <s v="세진통신"/>
    <m/>
    <n v="14900000"/>
    <n v="69860820530"/>
  </r>
  <r>
    <x v="1"/>
    <s v="크레인대금"/>
    <s v="세진통신"/>
    <m/>
    <n v="-14900000"/>
    <n v="69845920530"/>
  </r>
  <r>
    <x v="1"/>
    <s v="크레인대금"/>
    <s v="이현정"/>
    <m/>
    <n v="14900000"/>
    <n v="69860820530"/>
  </r>
  <r>
    <x v="2"/>
    <s v="크레인대금"/>
    <s v="마라리마을회"/>
    <m/>
    <n v="15581818"/>
    <n v="69876402348"/>
  </r>
  <r>
    <x v="2"/>
    <s v="크레인대금"/>
    <s v="한결네트웍스"/>
    <m/>
    <n v="47181818"/>
    <n v="69923584166"/>
  </r>
  <r>
    <x v="2"/>
    <s v="크레인대금"/>
    <s v="마라리마을회"/>
    <m/>
    <n v="-15581818"/>
    <n v="69908002348"/>
  </r>
  <r>
    <x v="2"/>
    <s v="크레인대금"/>
    <s v="마라리마을회"/>
    <m/>
    <n v="15672727"/>
    <n v="69923675075"/>
  </r>
  <r>
    <x v="2"/>
    <s v="12월 적재함 보강 및 공구함 설치 15대"/>
    <s v="기아자동차온천대리점"/>
    <m/>
    <n v="5650000"/>
    <n v="69929325075"/>
  </r>
  <r>
    <x v="2"/>
    <s v="크레인대금"/>
    <s v="인광전력 주식회사"/>
    <m/>
    <n v="147000000"/>
    <n v="70076325075"/>
  </r>
  <r>
    <x v="2"/>
    <s v="크레인대금"/>
    <s v="인광전력 주식회사"/>
    <m/>
    <n v="147000000"/>
    <n v="70223325075"/>
  </r>
  <r>
    <x v="2"/>
    <s v="크레인대금"/>
    <s v="현대캐피탈주식회사"/>
    <m/>
    <n v="32081600"/>
    <n v="70255406675"/>
  </r>
  <r>
    <x v="2"/>
    <s v="크레인대금"/>
    <s v="중앙통신"/>
    <m/>
    <n v="42500000"/>
    <n v="70297906675"/>
  </r>
  <r>
    <x v="2"/>
    <s v="크레인대금"/>
    <s v="대기냉동공사"/>
    <m/>
    <n v="13899090"/>
    <n v="70311805765"/>
  </r>
  <r>
    <x v="2"/>
    <s v="크레인대금"/>
    <s v="안태훈"/>
    <m/>
    <n v="34000000"/>
    <n v="70345805765"/>
  </r>
  <r>
    <x v="2"/>
    <s v="크레인대금"/>
    <s v="하이패스텔"/>
    <m/>
    <n v="33500000"/>
    <n v="70379305765"/>
  </r>
  <r>
    <x v="2"/>
    <s v="크레인대금"/>
    <s v="(주)명광전력"/>
    <m/>
    <n v="155000000"/>
    <n v="70534305765"/>
  </r>
  <r>
    <x v="2"/>
    <s v="크레인대금"/>
    <s v="김학영"/>
    <m/>
    <n v="40500000"/>
    <n v="70574805765"/>
  </r>
  <r>
    <x v="2"/>
    <s v="크레인대금"/>
    <s v="피케이정보통신"/>
    <m/>
    <n v="40509091"/>
    <n v="70615314856"/>
  </r>
  <r>
    <x v="2"/>
    <s v="크레인대금"/>
    <s v="서광통신"/>
    <m/>
    <n v="13600000"/>
    <n v="70628914856"/>
  </r>
  <r>
    <x v="2"/>
    <s v="크레인대금"/>
    <s v="에이스정보통신"/>
    <m/>
    <n v="33000000"/>
    <n v="70661914856"/>
  </r>
  <r>
    <x v="2"/>
    <s v="크레인대금"/>
    <s v="은성전력"/>
    <m/>
    <n v="44768909"/>
    <n v="70706683765"/>
  </r>
  <r>
    <x v="2"/>
    <s v="크레인대금"/>
    <s v="한국메가와트 주식회사"/>
    <m/>
    <n v="126000000"/>
    <n v="70832683765"/>
  </r>
  <r>
    <x v="2"/>
    <s v="크레인대금"/>
    <s v="한국메가와트 주식회사"/>
    <m/>
    <n v="126000000"/>
    <n v="70958683765"/>
  </r>
  <r>
    <x v="2"/>
    <s v="350W 틸팅 실린더 외 6건"/>
    <s v="(주)한진디엔비"/>
    <m/>
    <n v="38155000"/>
    <n v="70996838765"/>
  </r>
  <r>
    <x v="2"/>
    <s v="DHS 17AP "/>
    <s v="VIET TRUNG JOINT STOCK EQUIPMENT COMPANY"/>
    <m/>
    <n v="212947800"/>
    <n v="71209786565"/>
  </r>
  <r>
    <x v="2"/>
    <s v="크레인대금"/>
    <s v="이복열"/>
    <m/>
    <n v="16950000"/>
    <n v="71226736565"/>
  </r>
  <r>
    <x v="2"/>
    <s v="크레인대금"/>
    <s v="엄태연"/>
    <m/>
    <n v="34000000"/>
    <n v="71260736565"/>
  </r>
  <r>
    <x v="2"/>
    <s v="크레인대금"/>
    <s v="충남전기"/>
    <m/>
    <n v="13800000"/>
    <n v="71274536565"/>
  </r>
  <r>
    <x v="2"/>
    <s v="크레인대금"/>
    <s v="조혜숙"/>
    <m/>
    <n v="49800000"/>
    <n v="71324336565"/>
  </r>
  <r>
    <x v="2"/>
    <s v="1월 상반기 적재함 보강 및 공구함 설치 35대"/>
    <s v="기아자동차온천대리점"/>
    <m/>
    <n v="13040000"/>
    <n v="71337376565"/>
  </r>
  <r>
    <x v="2"/>
    <s v="크레인대금"/>
    <s v="(주)명성전력"/>
    <m/>
    <n v="140000000"/>
    <n v="71477376565"/>
  </r>
  <r>
    <x v="2"/>
    <s v="크레인대금"/>
    <s v="거진통신"/>
    <m/>
    <n v="38500000"/>
    <n v="71515876565"/>
  </r>
  <r>
    <x v="2"/>
    <s v="크레인대금"/>
    <s v="키움스카이"/>
    <m/>
    <n v="60454545"/>
    <n v="71576331110"/>
  </r>
  <r>
    <x v="2"/>
    <s v="크레인대금"/>
    <s v="미래컴퓨터"/>
    <m/>
    <n v="33000000"/>
    <n v="71609331110"/>
  </r>
  <r>
    <x v="2"/>
    <s v="크레인대금"/>
    <s v="주식회사 청림"/>
    <m/>
    <n v="49000000"/>
    <n v="71658331110"/>
  </r>
  <r>
    <x v="2"/>
    <s v="크레인대금"/>
    <s v="(주)경기종합관리"/>
    <m/>
    <n v="47000000"/>
    <n v="71705331110"/>
  </r>
  <r>
    <x v="2"/>
    <s v="크레인대금"/>
    <s v="두성"/>
    <m/>
    <n v="42000000"/>
    <n v="71747331110"/>
  </r>
  <r>
    <x v="2"/>
    <s v="크레인대금"/>
    <s v="개별화물"/>
    <m/>
    <n v="140000000"/>
    <n v="71887331110"/>
  </r>
  <r>
    <x v="2"/>
    <s v="크레인대금"/>
    <s v="(주)호남전력"/>
    <m/>
    <n v="128000000"/>
    <n v="72015331110"/>
  </r>
  <r>
    <x v="2"/>
    <s v="크레인대금"/>
    <s v="(주)하나로"/>
    <m/>
    <n v="34545455"/>
    <n v="72049876565"/>
  </r>
  <r>
    <x v="2"/>
    <s v="크레인대금"/>
    <s v="호원건설(주)"/>
    <m/>
    <n v="132000000"/>
    <n v="72181876565"/>
  </r>
  <r>
    <x v="2"/>
    <s v="크레인대금"/>
    <s v="세종전력(주)"/>
    <m/>
    <n v="50909090"/>
    <n v="72232785655"/>
  </r>
  <r>
    <x v="2"/>
    <s v="크레인대금"/>
    <s v="백호이엔지"/>
    <m/>
    <n v="128000000"/>
    <n v="72360785655"/>
  </r>
  <r>
    <x v="2"/>
    <s v="크레인대금"/>
    <s v="광성전기"/>
    <m/>
    <n v="150000000"/>
    <n v="72510785655"/>
  </r>
  <r>
    <x v="2"/>
    <s v="크레인대금"/>
    <s v="서부경남통신"/>
    <m/>
    <n v="15100000"/>
    <n v="72525885655"/>
  </r>
  <r>
    <x v="2"/>
    <s v="크레인대금"/>
    <s v="대흥광고공사"/>
    <m/>
    <n v="50000000"/>
    <n v="72575885655"/>
  </r>
  <r>
    <x v="2"/>
    <s v="크레인대금"/>
    <s v="신도산기(주)"/>
    <m/>
    <n v="13000000"/>
    <n v="72588885655"/>
  </r>
  <r>
    <x v="2"/>
    <s v="크레인대금"/>
    <s v="(주)광주텔레콤"/>
    <m/>
    <n v="36363636"/>
    <n v="72625249291"/>
  </r>
  <r>
    <x v="2"/>
    <s v="크레인대금"/>
    <s v="선진건설주식회사"/>
    <m/>
    <n v="34500000"/>
    <n v="72659749291"/>
  </r>
  <r>
    <x v="2"/>
    <s v="크레인대금"/>
    <s v="양산정보통신(주)"/>
    <m/>
    <n v="34500000"/>
    <n v="72694249291"/>
  </r>
  <r>
    <x v="2"/>
    <s v="크레인대금"/>
    <s v="다성정보통신"/>
    <m/>
    <n v="35400000"/>
    <n v="72729649291"/>
  </r>
  <r>
    <x v="2"/>
    <s v="크레인대금"/>
    <s v="민정보통신"/>
    <m/>
    <n v="34000000"/>
    <n v="72763649291"/>
  </r>
  <r>
    <x v="2"/>
    <s v="크레인대금"/>
    <s v="소정보통신"/>
    <m/>
    <n v="36363636"/>
    <n v="72800012927"/>
  </r>
  <r>
    <x v="2"/>
    <s v="크레인대금"/>
    <s v="으뜸정보통신"/>
    <m/>
    <n v="40000000"/>
    <n v="72840012927"/>
  </r>
  <r>
    <x v="2"/>
    <s v="크레인대금"/>
    <s v="삼성g2b주식회사"/>
    <m/>
    <n v="43500000"/>
    <n v="72883512927"/>
  </r>
  <r>
    <x v="2"/>
    <s v="크레인대금"/>
    <s v="신성전력"/>
    <m/>
    <n v="44000000"/>
    <n v="72927512927"/>
  </r>
  <r>
    <x v="2"/>
    <s v="크레인대금"/>
    <s v="글사랑광고"/>
    <m/>
    <n v="53800000"/>
    <n v="72981312927"/>
  </r>
  <r>
    <x v="2"/>
    <s v="크레인대금"/>
    <s v="(주)경도전기"/>
    <m/>
    <n v="53800000"/>
    <n v="73035112927"/>
  </r>
  <r>
    <x v="2"/>
    <s v="크레인대금"/>
    <s v="(주)경도전기"/>
    <m/>
    <n v="-53800000"/>
    <n v="72981312927"/>
  </r>
  <r>
    <x v="2"/>
    <s v="크레인대금"/>
    <s v="태화정보통신(주)"/>
    <m/>
    <n v="35000000"/>
    <n v="73016312927"/>
  </r>
  <r>
    <x v="2"/>
    <s v="크레인대금"/>
    <s v="명진전기"/>
    <m/>
    <n v="40000000"/>
    <n v="73056312927"/>
  </r>
  <r>
    <x v="2"/>
    <s v="크레인대금"/>
    <s v="(주)한백정보통신"/>
    <m/>
    <n v="14500000"/>
    <n v="73070812927"/>
  </r>
  <r>
    <x v="2"/>
    <s v="크레인대금"/>
    <s v="청마통신"/>
    <m/>
    <n v="41750000"/>
    <n v="73112562927"/>
  </r>
  <r>
    <x v="2"/>
    <s v="크레인대금"/>
    <s v="원플러스텔레콤(주)"/>
    <m/>
    <n v="34500000"/>
    <n v="73147062927"/>
  </r>
  <r>
    <x v="2"/>
    <s v="크레인대금"/>
    <s v="임회식"/>
    <m/>
    <n v="14853363"/>
    <n v="73161916290"/>
  </r>
  <r>
    <x v="2"/>
    <s v="크레인대금"/>
    <s v="민정보통신"/>
    <m/>
    <n v="34000000"/>
    <n v="73195916290"/>
  </r>
  <r>
    <x v="2"/>
    <s v="크레인대금"/>
    <s v="스피드정보통신"/>
    <m/>
    <n v="34090909"/>
    <n v="73230007199"/>
  </r>
  <r>
    <x v="2"/>
    <s v="부품반환 "/>
    <s v="이복열"/>
    <m/>
    <n v="-909091"/>
    <n v="73229098108"/>
  </r>
  <r>
    <x v="2"/>
    <s v="크레인대금"/>
    <s v="아이티솔루션"/>
    <m/>
    <n v="43636363"/>
    <n v="73272734471"/>
  </r>
  <r>
    <x v="2"/>
    <s v="크레인대금"/>
    <s v="김동훈"/>
    <m/>
    <n v="44000000"/>
    <n v="73316734471"/>
  </r>
  <r>
    <x v="2"/>
    <s v="크레인대금"/>
    <s v="(주)아이콘텍"/>
    <m/>
    <n v="36000000"/>
    <n v="73352734471"/>
  </r>
  <r>
    <x v="2"/>
    <s v="크레인대금"/>
    <s v="주식회사 진명텔레콤"/>
    <m/>
    <n v="15200000"/>
    <n v="73367934471"/>
  </r>
  <r>
    <x v="2"/>
    <s v="1월 하반기 적재함 보강 및 공구함 설치 35대"/>
    <s v="기아자동차온천대리점"/>
    <m/>
    <n v="17270000"/>
    <n v="73385204471"/>
  </r>
  <r>
    <x v="2"/>
    <s v="크레인대금"/>
    <s v="유진구내식당"/>
    <m/>
    <n v="32000000"/>
    <n v="73417204471"/>
  </r>
  <r>
    <x v="2"/>
    <s v="크레인대금"/>
    <s v="(주)이안네트워크"/>
    <m/>
    <n v="34000000"/>
    <n v="73451204471"/>
  </r>
  <r>
    <x v="2"/>
    <s v="크레인대금"/>
    <s v="(주)강동미디어"/>
    <m/>
    <n v="43500000"/>
    <n v="73494704471"/>
  </r>
  <r>
    <x v="2"/>
    <s v="P4000 주탑 실린더 외 14건"/>
    <s v="(주)한진디엔비"/>
    <m/>
    <n v="98946000"/>
    <n v="73593650471"/>
  </r>
  <r>
    <x v="2"/>
    <s v="크레인대금"/>
    <s v="(주)성광에너지"/>
    <m/>
    <n v="43636363"/>
    <n v="73637286834"/>
  </r>
  <r>
    <x v="2"/>
    <s v="크레인대금"/>
    <s v="(주)케이티오토리스"/>
    <m/>
    <n v="42790000"/>
    <n v="73680076834"/>
  </r>
  <r>
    <x v="2"/>
    <s v="고소작업차량 장착용 유압원거리 전기가위 구입"/>
    <s v="전주시 완산구청"/>
    <m/>
    <n v="6418182"/>
    <n v="73686495016"/>
  </r>
  <r>
    <x v="2"/>
    <s v="크레인대금"/>
    <s v="신화전기"/>
    <m/>
    <n v="50000000"/>
    <n v="73736495016"/>
  </r>
  <r>
    <x v="2"/>
    <s v="크레인대금"/>
    <s v="주식회사 희성"/>
    <m/>
    <n v="50909091"/>
    <n v="73787404107"/>
  </r>
  <r>
    <x v="2"/>
    <s v="크레인대금"/>
    <s v="주식회사 경동전력"/>
    <m/>
    <n v="51500000"/>
    <n v="73838904107"/>
  </r>
  <r>
    <x v="2"/>
    <s v="크레인대금"/>
    <s v="한림전기"/>
    <m/>
    <n v="43000000"/>
    <n v="73881904107"/>
  </r>
  <r>
    <x v="2"/>
    <s v="크레인대금"/>
    <s v="(주)현대건설장비 전북중부대리점"/>
    <m/>
    <n v="14500000"/>
    <n v="73896404107"/>
  </r>
  <r>
    <x v="2"/>
    <s v="크레인대금"/>
    <s v="(주)원성"/>
    <m/>
    <n v="49950000"/>
    <n v="73946354107"/>
  </r>
  <r>
    <x v="2"/>
    <s v="크레인대금"/>
    <s v="(주)동방이엔씨"/>
    <m/>
    <n v="129000000"/>
    <n v="74075354107"/>
  </r>
  <r>
    <x v="2"/>
    <s v="DHT 160AS "/>
    <s v="HIAB MIDDLE EAST L.L.C"/>
    <m/>
    <n v="315573720"/>
    <n v="74390927827"/>
  </r>
  <r>
    <x v="2"/>
    <s v="크레인대금"/>
    <s v="금강전기(주)"/>
    <m/>
    <n v="50909090"/>
    <n v="74441836917"/>
  </r>
  <r>
    <x v="2"/>
    <s v="크레인대금"/>
    <s v="오성전력"/>
    <m/>
    <n v="56000000"/>
    <n v="74497836917"/>
  </r>
  <r>
    <x v="2"/>
    <s v="동해이동정비탑차-담당저 전대희 "/>
    <s v="현대캐피탈주식회사"/>
    <m/>
    <n v="30394000"/>
    <n v="74528230917"/>
  </r>
  <r>
    <x v="2"/>
    <s v="동해이동정비탑차-담당저 전대희 "/>
    <s v="현대캐피탈주식회사"/>
    <m/>
    <n v="30394000"/>
    <n v="74558624917"/>
  </r>
  <r>
    <x v="2"/>
    <s v="동해이동정비탑차-담당저 전대희 "/>
    <s v="현대캐피탈주식회사"/>
    <m/>
    <n v="30394000"/>
    <n v="74589018917"/>
  </r>
  <r>
    <x v="2"/>
    <s v="동해이동정비탑차-담당저 전대희 "/>
    <s v="현대캐피탈주식회사"/>
    <m/>
    <n v="30394000"/>
    <n v="74619412917"/>
  </r>
  <r>
    <x v="2"/>
    <s v="동해이동정비탑차-담당저 전대희 "/>
    <s v="현대캐피탈주식회사"/>
    <m/>
    <n v="30394000"/>
    <n v="74649806917"/>
  </r>
  <r>
    <x v="2"/>
    <s v="동해이동정비탑차-담당저 전대희 "/>
    <s v="현대캐피탈주식회사"/>
    <m/>
    <n v="30394000"/>
    <n v="74680200917"/>
  </r>
  <r>
    <x v="2"/>
    <s v="동해이동정비탑차-담당저 전대희 "/>
    <s v="현대캐피탈주식회사"/>
    <m/>
    <n v="30394000"/>
    <n v="74710594917"/>
  </r>
  <r>
    <x v="2"/>
    <s v="동해이동정비탑차-담당저 전대희 "/>
    <s v="현대캐피탈주식회사"/>
    <m/>
    <n v="30394000"/>
    <n v="74740988917"/>
  </r>
  <r>
    <x v="2"/>
    <s v="동해이동정비탑차-담당저 전대희 "/>
    <s v="현대캐피탈주식회사"/>
    <m/>
    <n v="30394000"/>
    <n v="74771382917"/>
  </r>
  <r>
    <x v="2"/>
    <s v="동해이동정비탑차-담당저 전대희 "/>
    <s v="현대캐피탈주식회사"/>
    <m/>
    <n v="30394000"/>
    <n v="74801776917"/>
  </r>
  <r>
    <x v="2"/>
    <s v="동해이동정비탑차-담당저 전대희 "/>
    <s v="현대캐피탈주식회사"/>
    <m/>
    <n v="30394000"/>
    <n v="74832170917"/>
  </r>
  <r>
    <x v="2"/>
    <s v="동해이동정비차 DHS 433L／담당자 전대희 "/>
    <s v="현대캐피탈주식회사"/>
    <m/>
    <n v="49744000"/>
    <n v="74881914917"/>
  </r>
  <r>
    <x v="2"/>
    <s v="동해이동정비차 DHS 433L／담당자 전대희 "/>
    <s v="현대캐피탈주식회사"/>
    <m/>
    <n v="49744000"/>
    <n v="74931658917"/>
  </r>
  <r>
    <x v="2"/>
    <s v="동해이동정비차 DHS 433L／담당자 전대희 "/>
    <s v="현대캐피탈주식회사"/>
    <m/>
    <n v="49744000"/>
    <n v="74981402917"/>
  </r>
  <r>
    <x v="2"/>
    <s v="동해이동정비차 DHS 433L／담당자 전대희 "/>
    <s v="현대캐피탈주식회사"/>
    <m/>
    <n v="49744000"/>
    <n v="75031146917"/>
  </r>
  <r>
    <x v="2"/>
    <s v="동해이동정비차 DHS 433L／담당자 전대희 "/>
    <s v="현대캐피탈주식회사"/>
    <m/>
    <n v="49744000"/>
    <n v="75080890917"/>
  </r>
  <r>
    <x v="2"/>
    <s v="동해이동정비차 DHS 433L／담당자 전대희 "/>
    <s v="현대캐피탈주식회사"/>
    <m/>
    <n v="49744000"/>
    <n v="75130634917"/>
  </r>
  <r>
    <x v="2"/>
    <s v="동해이동정비차 DHS 433L／담당자 전대희 "/>
    <s v="현대캐피탈주식회사"/>
    <m/>
    <n v="49744000"/>
    <n v="75180378917"/>
  </r>
  <r>
    <x v="2"/>
    <s v="동해이동정비차 DHS 433L／담당자 전대희 "/>
    <s v="현대캐피탈주식회사"/>
    <m/>
    <n v="49744000"/>
    <n v="75230122917"/>
  </r>
  <r>
    <x v="2"/>
    <s v="동해이동정비차 DHS 433L／담당자 전대희 "/>
    <s v="현대캐피탈주식회사"/>
    <m/>
    <n v="49744000"/>
    <n v="75279866917"/>
  </r>
  <r>
    <x v="2"/>
    <s v="동해이동정비차 DHS 433L／담당자 전대희 "/>
    <s v="현대캐피탈주식회사"/>
    <m/>
    <n v="49744000"/>
    <n v="75329610917"/>
  </r>
  <r>
    <x v="2"/>
    <s v="동해이동정비차 DHS 433L／담당자 전대희 "/>
    <s v="현대캐피탈주식회사"/>
    <m/>
    <n v="49744000"/>
    <n v="75379354917"/>
  </r>
  <r>
    <x v="2"/>
    <s v="크레인대금"/>
    <s v="한바다"/>
    <m/>
    <n v="36909090"/>
    <n v="75416264007"/>
  </r>
  <r>
    <x v="2"/>
    <s v="동해이동정비탑차-담당저 전대희 "/>
    <s v="현대캐피탈주식회사"/>
    <m/>
    <n v="-30394000"/>
    <n v="75385870007"/>
  </r>
  <r>
    <x v="2"/>
    <s v="동해이동정비탑차-담당저 전대희 "/>
    <s v="현대캐피탈주식회사"/>
    <m/>
    <n v="-30394000"/>
    <n v="75355476007"/>
  </r>
  <r>
    <x v="2"/>
    <s v="크레인대금"/>
    <s v="제일모터"/>
    <m/>
    <n v="14626363"/>
    <n v="75370102370"/>
  </r>
  <r>
    <x v="2"/>
    <s v="크레인대금"/>
    <s v="금선통신"/>
    <m/>
    <n v="12800000"/>
    <n v="75382902370"/>
  </r>
  <r>
    <x v="2"/>
    <s v="크레인대금"/>
    <s v="진솔 주식회사"/>
    <m/>
    <n v="35727273"/>
    <n v="75418629643"/>
  </r>
  <r>
    <x v="2"/>
    <s v="크레인대금"/>
    <s v="주식회사 우림아이씨티"/>
    <m/>
    <n v="42327272"/>
    <n v="75460956915"/>
  </r>
  <r>
    <x v="2"/>
    <s v="크레인대금"/>
    <s v="준정보기술"/>
    <m/>
    <n v="35090909"/>
    <n v="75496047824"/>
  </r>
  <r>
    <x v="2"/>
    <s v="동해이동정비탑차-담당저 전대희 "/>
    <s v="현대캐피탈주식회사"/>
    <m/>
    <n v="30394000"/>
    <n v="75526441824"/>
  </r>
  <r>
    <x v="2"/>
    <s v="동해이동정비탑차-담당저 전대희 "/>
    <s v="현대캐피탈주식회사"/>
    <m/>
    <n v="30394000"/>
    <n v="75556835824"/>
  </r>
  <r>
    <x v="2"/>
    <s v="동해이동정비탑차-담당저 전대희 "/>
    <s v="현대캐피탈주식회사"/>
    <m/>
    <n v="-30394000"/>
    <n v="75526441824"/>
  </r>
  <r>
    <x v="2"/>
    <s v="동해이동정비탑차-담당저 전대희 "/>
    <s v="현대캐피탈주식회사"/>
    <m/>
    <n v="-30394000"/>
    <n v="75496047824"/>
  </r>
  <r>
    <x v="2"/>
    <s v="크레인대금"/>
    <s v="주식회사 예인이엔지"/>
    <m/>
    <n v="47000000"/>
    <n v="75543047824"/>
  </r>
  <r>
    <x v="2"/>
    <s v="크레인대금"/>
    <s v="유한회사 주성산업"/>
    <m/>
    <n v="37000000"/>
    <n v="75580047824"/>
  </r>
  <r>
    <x v="2"/>
    <s v="크레인대금"/>
    <s v="한라정보통신(주)"/>
    <m/>
    <n v="34818182"/>
    <n v="75614866006"/>
  </r>
  <r>
    <x v="2"/>
    <s v="크레인대금"/>
    <s v="스카이네트워크"/>
    <m/>
    <n v="35454545"/>
    <n v="75650320551"/>
  </r>
  <r>
    <x v="2"/>
    <s v="동해이동정비탑차-담당저 전대희 "/>
    <s v="현대캐피탈주식회사"/>
    <m/>
    <n v="30394000"/>
    <n v="75680714551"/>
  </r>
  <r>
    <x v="2"/>
    <s v="동해이동정비탑차-담당저 전대희 "/>
    <s v="현대캐피탈주식회사"/>
    <m/>
    <n v="30394000"/>
    <n v="75711108551"/>
  </r>
  <r>
    <x v="2"/>
    <s v="크레인대금"/>
    <s v="SH정보통신"/>
    <m/>
    <n v="35454545"/>
    <n v="75746563096"/>
  </r>
  <r>
    <x v="2"/>
    <s v="크레인대금"/>
    <s v="비케이시스템즈(주)"/>
    <m/>
    <n v="14000000"/>
    <n v="75760563096"/>
  </r>
  <r>
    <x v="2"/>
    <s v="크레인대금"/>
    <s v="서귀포농업협동조합"/>
    <m/>
    <n v="16760000"/>
    <n v="75777323096"/>
  </r>
  <r>
    <x v="2"/>
    <s v="크레인대금"/>
    <s v="천호전력 주식회사"/>
    <m/>
    <n v="128000000"/>
    <n v="75905323096"/>
  </r>
  <r>
    <x v="2"/>
    <s v="크레인대금"/>
    <s v="(주)케이티렌탈"/>
    <m/>
    <n v="1420930000"/>
    <n v="77326253096"/>
  </r>
  <r>
    <x v="2"/>
    <s v="크레인대금"/>
    <s v="(주)케이티렌탈"/>
    <m/>
    <n v="766740000"/>
    <n v="78092993096"/>
  </r>
  <r>
    <x v="2"/>
    <s v="크레인대금"/>
    <s v="태일이엔아이(주)"/>
    <m/>
    <n v="50750000"/>
    <n v="78143743096"/>
  </r>
  <r>
    <x v="2"/>
    <s v="크레인대금"/>
    <s v="중앙마린"/>
    <m/>
    <n v="13300000"/>
    <n v="78157043096"/>
  </r>
  <r>
    <x v="2"/>
    <s v="DHS 280AP "/>
    <s v="MIESCOR CO."/>
    <m/>
    <n v="127548600"/>
    <n v="78284591696"/>
  </r>
  <r>
    <x v="2"/>
    <s v="DHS 1800 "/>
    <s v="SYKT.PEMBEKALAN ＆ PERKHIDMATANLEZAN"/>
    <m/>
    <n v="37182316"/>
    <n v="78321774012"/>
  </r>
  <r>
    <x v="2"/>
    <s v="크레인대금"/>
    <s v="(주)성빛"/>
    <m/>
    <n v="50500000"/>
    <n v="78372274012"/>
  </r>
  <r>
    <x v="2"/>
    <s v="크레인대금"/>
    <s v="관보토건(주)"/>
    <m/>
    <n v="18000000"/>
    <n v="78390274012"/>
  </r>
  <r>
    <x v="2"/>
    <s v="크레인대금"/>
    <s v="케이엔에이치"/>
    <m/>
    <n v="38000000"/>
    <n v="78428274012"/>
  </r>
  <r>
    <x v="2"/>
    <s v="크레인대금"/>
    <s v="(주)네이처테크"/>
    <m/>
    <n v="50359091"/>
    <n v="78478633103"/>
  </r>
  <r>
    <x v="2"/>
    <s v="크레인대금"/>
    <s v="한일전기"/>
    <m/>
    <n v="50500000"/>
    <n v="78529133103"/>
  </r>
  <r>
    <x v="2"/>
    <s v="크레인대금"/>
    <s v="태성이엔지"/>
    <m/>
    <n v="50454545"/>
    <n v="78579587648"/>
  </r>
  <r>
    <x v="2"/>
    <s v="P3000 슬라이딩 실린더 외 7건 "/>
    <s v="(주)한진디엔비"/>
    <m/>
    <n v="24742000"/>
    <n v="78604329648"/>
  </r>
  <r>
    <x v="2"/>
    <s v="크레인대금"/>
    <s v="(주)동훈전설"/>
    <m/>
    <n v="144000000"/>
    <n v="78748329648"/>
  </r>
  <r>
    <x v="2"/>
    <s v="크레인대금"/>
    <s v="세븐스카이"/>
    <m/>
    <n v="60500000"/>
    <n v="78808829648"/>
  </r>
  <r>
    <x v="2"/>
    <s v="크레인대금"/>
    <s v="태흥공사"/>
    <m/>
    <n v="60909091"/>
    <n v="78869738739"/>
  </r>
  <r>
    <x v="2"/>
    <s v="크레인대금"/>
    <s v="(주)제일정보통신"/>
    <m/>
    <n v="13600000"/>
    <n v="78883338739"/>
  </r>
  <r>
    <x v="2"/>
    <s v="DHS433 집게크레인 "/>
    <s v="(주)한진디엔비"/>
    <m/>
    <n v="12000000"/>
    <n v="78895338739"/>
  </r>
  <r>
    <x v="2"/>
    <s v="크레인대금"/>
    <s v="당진선외기"/>
    <m/>
    <n v="14300000"/>
    <n v="78909638739"/>
  </r>
  <r>
    <x v="2"/>
    <s v="크레인대금"/>
    <s v="(주)서림"/>
    <m/>
    <n v="128000000"/>
    <n v="79037638739"/>
  </r>
  <r>
    <x v="2"/>
    <s v="크레인대금"/>
    <s v="주식회사 이지스"/>
    <m/>
    <n v="42727273"/>
    <n v="79080366012"/>
  </r>
  <r>
    <x v="2"/>
    <s v="크레인대금"/>
    <s v="주식회사 태오"/>
    <m/>
    <n v="39327273"/>
    <n v="79119693285"/>
  </r>
  <r>
    <x v="2"/>
    <s v="크레인대금"/>
    <s v="대양선외기상사"/>
    <m/>
    <n v="13181819"/>
    <n v="79132875104"/>
  </r>
  <r>
    <x v="2"/>
    <s v="크레인대금"/>
    <s v="주식회사 천일로직스"/>
    <m/>
    <n v="133000000"/>
    <n v="79265875104"/>
  </r>
  <r>
    <x v="2"/>
    <s v="크레인대금"/>
    <s v="화창마린"/>
    <m/>
    <n v="14645455"/>
    <n v="79280520559"/>
  </r>
  <r>
    <x v="2"/>
    <s v="크레인대금"/>
    <s v="(주)넥스모어시스템즈"/>
    <m/>
    <n v="36400000"/>
    <n v="79316920559"/>
  </r>
  <r>
    <x v="2"/>
    <s v="크레인대금"/>
    <s v="(주)일렉콤"/>
    <m/>
    <n v="36000000"/>
    <n v="79352920559"/>
  </r>
  <r>
    <x v="2"/>
    <s v="크레인대금"/>
    <s v="한라정보통신(주)"/>
    <m/>
    <n v="33909091"/>
    <n v="79386829650"/>
  </r>
  <r>
    <x v="2"/>
    <s v="크레인대금"/>
    <s v="태성전력 주식회사"/>
    <m/>
    <n v="43000000"/>
    <n v="79429829650"/>
  </r>
  <r>
    <x v="2"/>
    <s v="DHS 15AP-4UNIT "/>
    <s v="SHIJIAZHUANG COAL MINING MACHINEY CO., LTD"/>
    <m/>
    <n v="120138536"/>
    <n v="79549968186"/>
  </r>
  <r>
    <x v="2"/>
    <s v="크레인대금"/>
    <s v="(주)대진전력"/>
    <m/>
    <n v="41500000"/>
    <n v="79591468186"/>
  </r>
  <r>
    <x v="2"/>
    <s v="크레인대금"/>
    <s v="주식회사 삼익전설"/>
    <m/>
    <n v="42400000"/>
    <n v="79633868186"/>
  </r>
  <r>
    <x v="2"/>
    <s v="DHS 21AP-W "/>
    <s v="주식회사 대우인터내셔널"/>
    <m/>
    <n v="97588500"/>
    <n v="79731456686"/>
  </r>
  <r>
    <x v="2"/>
    <s v="크레인대금"/>
    <s v="영성정보통신"/>
    <m/>
    <n v="41590909"/>
    <n v="79773047595"/>
  </r>
  <r>
    <x v="2"/>
    <s v="크레인대금"/>
    <s v="(주)광명텔레콤"/>
    <m/>
    <n v="50500000"/>
    <n v="79823547595"/>
  </r>
  <r>
    <x v="2"/>
    <s v="크레인대금"/>
    <s v="현진통신"/>
    <m/>
    <n v="40750000"/>
    <n v="79864297595"/>
  </r>
  <r>
    <x v="2"/>
    <s v="크레인대금"/>
    <s v="비케이시스템즈(주)"/>
    <m/>
    <n v="12500000"/>
    <n v="79876797595"/>
  </r>
  <r>
    <x v="2"/>
    <s v="P3000 주탑실린더 외 4건 "/>
    <s v="(주)한진디엔비"/>
    <m/>
    <n v="19214000"/>
    <n v="79896011595"/>
  </r>
  <r>
    <x v="2"/>
    <s v="DHS433 집게크레인"/>
    <s v="(주)한진디엔비"/>
    <m/>
    <n v="12000000"/>
    <n v="79908011595"/>
  </r>
  <r>
    <x v="2"/>
    <s v="크레인대금"/>
    <s v="진광전력(주)"/>
    <m/>
    <n v="53500000"/>
    <n v="79961511595"/>
  </r>
  <r>
    <x v="2"/>
    <s v="크레인대금"/>
    <s v="KT네트웍스"/>
    <m/>
    <n v="35800000"/>
    <n v="79997311595"/>
  </r>
  <r>
    <x v="2"/>
    <s v="크레인대금"/>
    <s v="(주)알파아이엔씨"/>
    <m/>
    <n v="37272727"/>
    <n v="80034584322"/>
  </r>
  <r>
    <x v="2"/>
    <s v="크레인대금"/>
    <s v="나은"/>
    <m/>
    <n v="37272727"/>
    <n v="80071857049"/>
  </r>
  <r>
    <x v="2"/>
    <s v="크레인대금"/>
    <s v="대광전기"/>
    <m/>
    <n v="49750000"/>
    <n v="80121607049"/>
  </r>
  <r>
    <x v="2"/>
    <s v="크레인계약금 "/>
    <s v="(주)평화기전"/>
    <m/>
    <n v="909091"/>
    <n v="80122516140"/>
  </r>
  <r>
    <x v="2"/>
    <s v="크레인대금"/>
    <s v="공주시청"/>
    <m/>
    <n v="14793637"/>
    <n v="80137309777"/>
  </r>
  <r>
    <x v="2"/>
    <s v="크레인대금"/>
    <s v="웹정보통신"/>
    <m/>
    <n v="35000000"/>
    <n v="80172309777"/>
  </r>
  <r>
    <x v="2"/>
    <s v="크레인대금"/>
    <s v="상원전기"/>
    <m/>
    <n v="52450000"/>
    <n v="80224759777"/>
  </r>
  <r>
    <x v="2"/>
    <s v="DHS 15AP "/>
    <s v="우람"/>
    <m/>
    <n v="49545455"/>
    <n v="80274305232"/>
  </r>
  <r>
    <x v="2"/>
    <s v="DHS 15AP "/>
    <s v="(주)월산이앤씨"/>
    <m/>
    <n v="50359091"/>
    <n v="80324664323"/>
  </r>
  <r>
    <x v="2"/>
    <s v="DHS 15AP "/>
    <s v="PT. QUANTUM MARKETING"/>
    <m/>
    <n v="29861217"/>
    <n v="80354525540"/>
  </r>
  <r>
    <x v="2"/>
    <s v="DHS 950L "/>
    <s v="주식회사 네트워크아이"/>
    <m/>
    <n v="36500000"/>
    <n v="80391025540"/>
  </r>
  <r>
    <x v="2"/>
    <s v="DHS 1200L "/>
    <s v="주식회사 네트워크아이"/>
    <m/>
    <n v="44500000"/>
    <n v="80435525540"/>
  </r>
  <r>
    <x v="2"/>
    <s v="DHS 433L "/>
    <s v="현대마린"/>
    <m/>
    <n v="12381819"/>
    <n v="80447907359"/>
  </r>
  <r>
    <x v="2"/>
    <s v="DHS 433L "/>
    <s v="안면충남선외기"/>
    <m/>
    <n v="13181818"/>
    <n v="80461089177"/>
  </r>
  <r>
    <x v="2"/>
    <s v="활주로초과저지장비"/>
    <s v="제5공중기동비행단"/>
    <m/>
    <n v="642928745"/>
    <n v="81104017922"/>
  </r>
  <r>
    <x v="2"/>
    <s v="활주로초과저지장비"/>
    <s v="제5공중기동비행단"/>
    <m/>
    <n v="-642928745"/>
    <n v="80461089177"/>
  </r>
  <r>
    <x v="2"/>
    <s v="활주로초과저지장비"/>
    <s v="제16전투비행단"/>
    <m/>
    <n v="642928745"/>
    <n v="81104017922"/>
  </r>
  <r>
    <x v="2"/>
    <s v="DHS 250AP외 "/>
    <s v="SHIJIAZHUANG COAL MINING MACHINEY CO., LTD"/>
    <m/>
    <n v="253504199"/>
    <n v="81357522121"/>
  </r>
  <r>
    <x v="2"/>
    <s v="크레인계약금"/>
    <s v="(합)새한전기통신공사"/>
    <m/>
    <n v="9090909"/>
    <n v="81366613030"/>
  </r>
  <r>
    <x v="2"/>
    <s v="DHS 433L "/>
    <s v="온양농업협동조합"/>
    <m/>
    <n v="16810000"/>
    <n v="81383423030"/>
  </r>
  <r>
    <x v="2"/>
    <s v="DHS 433L "/>
    <s v="평화스크류"/>
    <m/>
    <n v="14363636"/>
    <n v="81397786666"/>
  </r>
  <r>
    <x v="2"/>
    <s v="DHS 950L "/>
    <s v="(주)에스엠엔네트워크"/>
    <m/>
    <n v="32000000"/>
    <n v="81429786666"/>
  </r>
  <r>
    <x v="2"/>
    <s v="DHS 950L "/>
    <s v="(주)에스엠엔네트워크"/>
    <m/>
    <n v="32000000"/>
    <n v="81461786666"/>
  </r>
  <r>
    <x v="2"/>
    <s v="DHS 950L "/>
    <s v="(주)에스엠엔네트워크"/>
    <m/>
    <n v="32000000"/>
    <n v="81493786666"/>
  </r>
  <r>
    <x v="2"/>
    <s v="DHS 105AP "/>
    <s v="진서통신"/>
    <m/>
    <n v="40730000"/>
    <n v="81534516666"/>
  </r>
  <r>
    <x v="2"/>
    <s v="DHS 433L "/>
    <s v="신화중기"/>
    <m/>
    <n v="15700000"/>
    <n v="81550216666"/>
  </r>
  <r>
    <x v="2"/>
    <s v="DHS 950L "/>
    <s v="(주)케이탑솔루션"/>
    <m/>
    <n v="36363636"/>
    <n v="81586580302"/>
  </r>
  <r>
    <x v="2"/>
    <s v="DHS 15AP "/>
    <s v="신창전력주식회사"/>
    <m/>
    <n v="49545454"/>
    <n v="81636125756"/>
  </r>
  <r>
    <x v="2"/>
    <s v="DHS 15AP "/>
    <s v="재성전설(주)"/>
    <m/>
    <n v="50909091"/>
    <n v="81687034847"/>
  </r>
  <r>
    <x v="2"/>
    <s v="ALPHA 5000 "/>
    <s v="주식회사 동원유지"/>
    <m/>
    <n v="66278000"/>
    <n v="81753312847"/>
  </r>
  <r>
    <x v="2"/>
    <s v="DHS 15AP "/>
    <s v="성일전기(주)"/>
    <m/>
    <n v="55181818"/>
    <n v="81808494665"/>
  </r>
  <r>
    <x v="2"/>
    <s v="DHS 950L "/>
    <s v="(주)대한정보통신"/>
    <m/>
    <n v="35963636"/>
    <n v="81844458301"/>
  </r>
  <r>
    <x v="2"/>
    <s v="DHS 433L "/>
    <s v="(주)평화기전"/>
    <m/>
    <n v="14363636"/>
    <n v="81858821937"/>
  </r>
  <r>
    <x v="2"/>
    <s v="DHS 433L "/>
    <s v="(주)평화기전"/>
    <m/>
    <n v="-14363636"/>
    <n v="81844458301"/>
  </r>
  <r>
    <x v="2"/>
    <s v="DHS 433L "/>
    <s v="(주)평화기전"/>
    <m/>
    <n v="13454545"/>
    <n v="81857912846"/>
  </r>
  <r>
    <x v="2"/>
    <s v="DHS 1200L "/>
    <s v="(주)남성전력"/>
    <m/>
    <n v="45700000"/>
    <n v="81903612846"/>
  </r>
  <r>
    <x v="2"/>
    <s v="DHT 145AS "/>
    <s v="WAIMEA TRUCK ＆ CRANE LTD"/>
    <m/>
    <n v="217558794"/>
    <n v="82121171640"/>
  </r>
  <r>
    <x v="2"/>
    <s v="DHS 950L "/>
    <s v="링크텔"/>
    <m/>
    <n v="37272727"/>
    <n v="82158444367"/>
  </r>
  <r>
    <x v="2"/>
    <s v="DHS 950L "/>
    <s v="정화통신"/>
    <m/>
    <n v="35000000"/>
    <n v="82193444367"/>
  </r>
  <r>
    <x v="2"/>
    <s v="DHS 125AP "/>
    <s v="고일선"/>
    <m/>
    <n v="43181818"/>
    <n v="82236626185"/>
  </r>
  <r>
    <x v="2"/>
    <s v="DHM 750S "/>
    <s v="동해해양사업"/>
    <m/>
    <n v="12000000"/>
    <n v="82248626185"/>
  </r>
  <r>
    <x v="2"/>
    <s v="DHM 750S 장비 환입"/>
    <s v="동해해양사업"/>
    <m/>
    <n v="-12000000"/>
    <n v="82236626185"/>
  </r>
  <r>
    <x v="2"/>
    <s v="DHS 950L "/>
    <s v="에스엠정보통신"/>
    <m/>
    <n v="36500000"/>
    <n v="82273126185"/>
  </r>
  <r>
    <x v="2"/>
    <s v="DHS 950L "/>
    <s v="우진정보통신"/>
    <m/>
    <n v="36363636"/>
    <n v="82309489821"/>
  </r>
  <r>
    <x v="2"/>
    <s v="DHS 1200L "/>
    <s v="신흥전기건설공사"/>
    <m/>
    <n v="42727272"/>
    <n v="82352217093"/>
  </r>
  <r>
    <x v="2"/>
    <s v="DHS 433LM "/>
    <s v="두산지게차 호남전동판매"/>
    <m/>
    <n v="18181818"/>
    <n v="82370398911"/>
  </r>
  <r>
    <x v="2"/>
    <s v="DHS 1200L "/>
    <s v="주식회사 참솔조경개발"/>
    <m/>
    <n v="40600000"/>
    <n v="82410998911"/>
  </r>
  <r>
    <x v="2"/>
    <s v="DHS 1200L "/>
    <s v="조은기업"/>
    <m/>
    <n v="45000000"/>
    <n v="82455998911"/>
  </r>
  <r>
    <x v="2"/>
    <s v="DHS 15AP "/>
    <s v="뉴월드전력"/>
    <m/>
    <n v="48181818"/>
    <n v="82504180729"/>
  </r>
  <r>
    <x v="2"/>
    <s v="DHS 534 "/>
    <s v="용마린"/>
    <m/>
    <n v="13700000"/>
    <n v="82517880729"/>
  </r>
  <r>
    <x v="2"/>
    <s v="DHS 433M "/>
    <s v="서울특별시한강사업본부"/>
    <m/>
    <n v="17280000"/>
    <n v="82535160729"/>
  </r>
  <r>
    <x v="2"/>
    <s v="DHS 544L "/>
    <s v="현대지게차"/>
    <m/>
    <n v="14000000"/>
    <n v="82549160729"/>
  </r>
  <r>
    <x v="2"/>
    <s v="DHS 433M "/>
    <s v="주식회사 제이에스통신"/>
    <m/>
    <n v="15300000"/>
    <n v="82564460729"/>
  </r>
  <r>
    <x v="2"/>
    <s v="DHS 433M "/>
    <s v="(주)한국티씨"/>
    <m/>
    <n v="14400000"/>
    <n v="82578860729"/>
  </r>
  <r>
    <x v="2"/>
    <s v="DHS 930 "/>
    <s v="젊은기술(주)"/>
    <m/>
    <n v="34181818"/>
    <n v="82613042547"/>
  </r>
  <r>
    <x v="2"/>
    <s v="DHS 1200L "/>
    <s v="주식회사 삼영"/>
    <m/>
    <n v="40709090"/>
    <n v="82653751637"/>
  </r>
  <r>
    <x v="2"/>
    <s v="DHS 105AP "/>
    <s v="(주)시열정보통신"/>
    <m/>
    <n v="41700000"/>
    <n v="82695451637"/>
  </r>
  <r>
    <x v="2"/>
    <s v="DHS 950L "/>
    <s v="KD네트워크"/>
    <m/>
    <n v="35500000"/>
    <n v="82730951637"/>
  </r>
  <r>
    <x v="2"/>
    <s v="DHS 1200L "/>
    <s v="케이에스아이(주)"/>
    <m/>
    <n v="43636363"/>
    <n v="82774588000"/>
  </r>
  <r>
    <x v="2"/>
    <s v="DHS 105AP "/>
    <s v="(주)영하아이앤티"/>
    <m/>
    <n v="41418181"/>
    <n v="82816006181"/>
  </r>
  <r>
    <x v="2"/>
    <s v="DHS 15AP "/>
    <s v="두진통신산업주식회사"/>
    <m/>
    <n v="51500000"/>
    <n v="82867506181"/>
  </r>
  <r>
    <x v="2"/>
    <s v="DHS 15AP "/>
    <s v="주식회사 명성"/>
    <m/>
    <n v="50909091"/>
    <n v="82918415272"/>
  </r>
  <r>
    <x v="2"/>
    <s v="DHS 15AP "/>
    <s v="(합)새한전기통신공사"/>
    <m/>
    <n v="41818182"/>
    <n v="82960233454"/>
  </r>
  <r>
    <x v="2"/>
    <s v="DHS 17AP "/>
    <s v="광진광고"/>
    <m/>
    <n v="53181818"/>
    <n v="83013415272"/>
  </r>
  <r>
    <x v="2"/>
    <s v="DHT 145AS "/>
    <s v="(주)이원"/>
    <m/>
    <n v="129218182"/>
    <n v="83142633454"/>
  </r>
  <r>
    <x v="2"/>
    <s v="DHS 534 "/>
    <s v="(주)에이치넷"/>
    <m/>
    <n v="14000000"/>
    <n v="83156633454"/>
  </r>
  <r>
    <x v="2"/>
    <s v="DHS 534 "/>
    <s v="전옥자"/>
    <m/>
    <n v="12300000"/>
    <n v="83168933454"/>
  </r>
  <r>
    <x v="2"/>
    <s v="DHS 125AP "/>
    <s v="코아네트웍"/>
    <m/>
    <n v="42727273"/>
    <n v="83211660727"/>
  </r>
  <r>
    <x v="2"/>
    <s v="DHS 125AP "/>
    <s v="아트네트웍"/>
    <m/>
    <n v="42727273"/>
    <n v="83254388000"/>
  </r>
  <r>
    <x v="2"/>
    <s v="DHS 125AP "/>
    <s v="제이에스정보통신"/>
    <m/>
    <n v="42152727"/>
    <n v="83296540727"/>
  </r>
  <r>
    <x v="2"/>
    <s v="크레인대금"/>
    <s v="(사)영동군장애인협의회 영동군장애인보호작업장"/>
    <m/>
    <n v="62454546"/>
    <n v="83358995273"/>
  </r>
  <r>
    <x v="2"/>
    <s v="DHS 190SKY "/>
    <s v="신도종합기획"/>
    <m/>
    <n v="61363636"/>
    <n v="83420358909"/>
  </r>
  <r>
    <x v="2"/>
    <s v="DHS 21AP "/>
    <s v="주식회사 대우인터내셔널"/>
    <m/>
    <n v="195444000"/>
    <n v="83615802909"/>
  </r>
  <r>
    <x v="2"/>
    <s v="DHS 1200L "/>
    <s v="주식회사 삼영"/>
    <m/>
    <n v="40709090"/>
    <n v="83656511999"/>
  </r>
  <r>
    <x v="2"/>
    <s v="DHS 433L "/>
    <s v="(주)세종철거산업"/>
    <m/>
    <n v="14272727"/>
    <n v="83670784726"/>
  </r>
  <r>
    <x v="2"/>
    <s v="DHS 15AP "/>
    <s v="미산이엔지"/>
    <m/>
    <n v="50909091"/>
    <n v="83721693817"/>
  </r>
  <r>
    <x v="2"/>
    <s v="DHS 1200L "/>
    <s v="주식회사 다윈"/>
    <m/>
    <n v="43500000"/>
    <n v="83765193817"/>
  </r>
  <r>
    <x v="2"/>
    <s v="DHS 950L "/>
    <s v="정화통신(주)"/>
    <m/>
    <n v="36181818"/>
    <n v="83801375635"/>
  </r>
  <r>
    <x v="2"/>
    <s v="DHS 1200L "/>
    <s v="주식회사 삼영"/>
    <m/>
    <n v="-40709090"/>
    <n v="83760666545"/>
  </r>
  <r>
    <x v="2"/>
    <s v="DHS 534 "/>
    <s v="유신통신(주)"/>
    <m/>
    <n v="14035000"/>
    <n v="83774701545"/>
  </r>
  <r>
    <x v="2"/>
    <s v="DHS 950L "/>
    <s v="서형종"/>
    <m/>
    <n v="35500000"/>
    <n v="83810201545"/>
  </r>
  <r>
    <x v="2"/>
    <s v="DHS 1200L "/>
    <s v="명운일렉트로닉스"/>
    <m/>
    <n v="42727273"/>
    <n v="83852928818"/>
  </r>
  <r>
    <x v="2"/>
    <s v="DHS 1200L "/>
    <s v="주식회사 우림아이씨티"/>
    <m/>
    <n v="41872728"/>
    <n v="83894801546"/>
  </r>
  <r>
    <x v="2"/>
    <s v="DHS 433L "/>
    <s v="군위군농업기술센터"/>
    <m/>
    <n v="16350000"/>
    <n v="83911151546"/>
  </r>
  <r>
    <x v="2"/>
    <s v="DHS 950L "/>
    <s v="중원정보통신(주)"/>
    <m/>
    <n v="35268182"/>
    <n v="83946419728"/>
  </r>
  <r>
    <x v="2"/>
    <s v="DHS 1200L "/>
    <s v="홍영주"/>
    <m/>
    <n v="45370000"/>
    <n v="83991789728"/>
  </r>
  <r>
    <x v="2"/>
    <s v="DHS 1200L "/>
    <s v="세명전기"/>
    <m/>
    <n v="40500000"/>
    <n v="84032289728"/>
  </r>
  <r>
    <x v="2"/>
    <s v="DHM 1100S2 "/>
    <s v="동해해양사업"/>
    <m/>
    <n v="20620000"/>
    <n v="84052909728"/>
  </r>
  <r>
    <x v="2"/>
    <s v="DHM 1100S2 장비 환입"/>
    <s v="동해해양사업"/>
    <m/>
    <n v="-20620000"/>
    <n v="84032289728"/>
  </r>
  <r>
    <x v="2"/>
    <s v="DHS 433L "/>
    <s v="왜관종합전자"/>
    <m/>
    <n v="15700000"/>
    <n v="84047989728"/>
  </r>
  <r>
    <x v="2"/>
    <s v="DHS 950L "/>
    <s v="(주)이화텔레콤"/>
    <m/>
    <n v="33000000"/>
    <n v="84080989728"/>
  </r>
  <r>
    <x v="2"/>
    <s v="DHS 950L "/>
    <s v="(주)두원전자통신"/>
    <m/>
    <n v="34727273"/>
    <n v="84115717001"/>
  </r>
  <r>
    <x v="2"/>
    <s v="DHS 17AP "/>
    <s v="대명종합전기"/>
    <m/>
    <n v="55750000"/>
    <n v="84171467001"/>
  </r>
  <r>
    <x v="2"/>
    <s v="DHS 950L "/>
    <s v="아르니온"/>
    <m/>
    <n v="35000000"/>
    <n v="84206467001"/>
  </r>
  <r>
    <x v="2"/>
    <s v="DHX 100 "/>
    <s v="(주)코엘"/>
    <m/>
    <n v="7300000"/>
    <n v="84213767001"/>
  </r>
  <r>
    <x v="2"/>
    <s v="DHS 950L "/>
    <s v="(주)한미석유"/>
    <m/>
    <n v="33000000"/>
    <n v="84246767001"/>
  </r>
  <r>
    <x v="2"/>
    <s v="DHS 950L-2014 "/>
    <s v="우석텔레콤"/>
    <m/>
    <n v="35000000"/>
    <n v="84281767001"/>
  </r>
  <r>
    <x v="2"/>
    <s v="DHS 433M "/>
    <s v="상정정보시스템"/>
    <m/>
    <n v="12162728"/>
    <n v="84293929729"/>
  </r>
  <r>
    <x v="2"/>
    <s v="DHS 950L "/>
    <s v="국제시스템(주)"/>
    <m/>
    <n v="33200000"/>
    <n v="84327129729"/>
  </r>
  <r>
    <x v="2"/>
    <s v="DHS 433L "/>
    <s v="코오롱워터앤에너지(주)"/>
    <m/>
    <n v="14300000"/>
    <n v="84341429729"/>
  </r>
  <r>
    <x v="2"/>
    <s v="DHS 433L "/>
    <s v="주식회사 세아베스틸"/>
    <m/>
    <n v="13500000"/>
    <n v="84354929729"/>
  </r>
  <r>
    <x v="2"/>
    <s v="DHS 534 "/>
    <s v="주식회사 유니온테크"/>
    <m/>
    <n v="14100000"/>
    <n v="84369029729"/>
  </r>
  <r>
    <x v="2"/>
    <s v="DHS 950L-2014 "/>
    <s v="신아통신"/>
    <m/>
    <n v="37272727"/>
    <n v="84406302456"/>
  </r>
  <r>
    <x v="2"/>
    <s v="DHS 950L-2014 "/>
    <s v="하나넷"/>
    <m/>
    <n v="35300000"/>
    <n v="84441602456"/>
  </r>
  <r>
    <x v="2"/>
    <s v="DHS 433L "/>
    <s v="현대캐피탈주식회사"/>
    <m/>
    <n v="14254545"/>
    <n v="84455857001"/>
  </r>
  <r>
    <x v="2"/>
    <s v="DHS 433L "/>
    <s v="주식회사 세아베스틸"/>
    <m/>
    <n v="-13500000"/>
    <n v="84442357001"/>
  </r>
  <r>
    <x v="2"/>
    <s v="DHS 433L "/>
    <s v="주식회사 세아베스틸"/>
    <m/>
    <n v="13500000"/>
    <n v="84455857001"/>
  </r>
  <r>
    <x v="2"/>
    <s v="DHS 950L-2014 "/>
    <s v="(주)아이엔아이"/>
    <m/>
    <n v="33000000"/>
    <n v="84488857001"/>
  </r>
  <r>
    <x v="2"/>
    <s v="DHS 105AP "/>
    <s v="트러스트 맨"/>
    <m/>
    <n v="42000000"/>
    <n v="84530857001"/>
  </r>
  <r>
    <x v="2"/>
    <s v="DHS 15AP "/>
    <s v="(주)두배라"/>
    <m/>
    <n v="50454545"/>
    <n v="84581311546"/>
  </r>
  <r>
    <x v="2"/>
    <s v="DHS 15AP "/>
    <s v="대한전설(주)"/>
    <m/>
    <n v="50000000"/>
    <n v="84631311546"/>
  </r>
  <r>
    <x v="2"/>
    <s v="DHS 15AP "/>
    <s v="(주)두원전자통신"/>
    <m/>
    <n v="48727272"/>
    <n v="84680038818"/>
  </r>
  <r>
    <x v="2"/>
    <s v="DHS 950L-2014 "/>
    <s v="상승정보통신"/>
    <m/>
    <n v="35500000"/>
    <n v="84715538818"/>
  </r>
  <r>
    <x v="2"/>
    <s v="DHS 15AP "/>
    <s v="(주)넥스파시스템"/>
    <m/>
    <n v="49400000"/>
    <n v="84764938818"/>
  </r>
  <r>
    <x v="2"/>
    <s v="DHS 433L "/>
    <s v="화성전기. 모터"/>
    <m/>
    <n v="15450000"/>
    <n v="84780388818"/>
  </r>
  <r>
    <x v="2"/>
    <s v="DHS 1200L "/>
    <s v="광림전기"/>
    <m/>
    <n v="42000000"/>
    <n v="84822388818"/>
  </r>
  <r>
    <x v="2"/>
    <s v="남원시청 추가물품 장착 "/>
    <s v="남원시청"/>
    <m/>
    <n v="1754545"/>
    <n v="84824143363"/>
  </r>
  <r>
    <x v="2"/>
    <s v="DHS 15AP "/>
    <s v="남원시청"/>
    <m/>
    <n v="80636364"/>
    <n v="84904779727"/>
  </r>
  <r>
    <x v="2"/>
    <s v="남원시청 추가물품 장착 "/>
    <s v="남원시청"/>
    <m/>
    <n v="-1754545"/>
    <n v="84903025182"/>
  </r>
  <r>
    <x v="2"/>
    <s v="DHS 950L-2014 "/>
    <s v="명은통신"/>
    <m/>
    <n v="37500000"/>
    <n v="84940525182"/>
  </r>
  <r>
    <x v="2"/>
    <s v="DHS 950L-2014 "/>
    <s v="광신네트워크"/>
    <m/>
    <n v="35800000"/>
    <n v="84976325182"/>
  </r>
  <r>
    <x v="2"/>
    <s v="DHS 1200L "/>
    <s v="케이에스아이(주)"/>
    <m/>
    <n v="43636363"/>
    <n v="85019961545"/>
  </r>
  <r>
    <x v="2"/>
    <s v="DHS 105AP "/>
    <s v="(주)한샘정보통신"/>
    <m/>
    <n v="40800000"/>
    <n v="85060761545"/>
  </r>
  <r>
    <x v="2"/>
    <s v="DHS 15AP "/>
    <s v="하윤이앤지"/>
    <m/>
    <n v="50454545"/>
    <n v="85111216090"/>
  </r>
  <r>
    <x v="2"/>
    <s v="DHS 433L "/>
    <s v="대양마린"/>
    <m/>
    <n v="13600000"/>
    <n v="85124816090"/>
  </r>
  <r>
    <x v="2"/>
    <s v="DHS 433L "/>
    <s v="환영건설"/>
    <m/>
    <n v="13200000"/>
    <n v="85138016090"/>
  </r>
  <r>
    <x v="2"/>
    <s v="DHS 433 "/>
    <s v="제주특별자치도 수자원본부"/>
    <m/>
    <n v="16164546"/>
    <n v="85154180636"/>
  </r>
  <r>
    <x v="2"/>
    <s v="DHS 930 "/>
    <s v="성광정보통신"/>
    <m/>
    <n v="33200000"/>
    <n v="85187380636"/>
  </r>
  <r>
    <x v="2"/>
    <s v="DHS 950L-2014 "/>
    <s v="YES정보통신"/>
    <m/>
    <n v="35000000"/>
    <n v="85222380636"/>
  </r>
  <r>
    <x v="2"/>
    <s v="DHS 105AP "/>
    <s v="해피콤(주)"/>
    <m/>
    <n v="40909091"/>
    <n v="85263289727"/>
  </r>
  <r>
    <x v="2"/>
    <s v="DHS 950L-2014 "/>
    <s v="거산통신건설"/>
    <m/>
    <n v="36409091"/>
    <n v="85299698818"/>
  </r>
  <r>
    <x v="2"/>
    <s v="DHS 15AP "/>
    <s v="경주전력"/>
    <m/>
    <n v="50500000"/>
    <n v="85350198818"/>
  </r>
  <r>
    <x v="2"/>
    <s v="DHS 15AP "/>
    <s v="혁정전력주식회사"/>
    <m/>
    <n v="50909091"/>
    <n v="85401107909"/>
  </r>
  <r>
    <x v="2"/>
    <s v="남원시청 추가물품 장착 "/>
    <s v="남원시청"/>
    <m/>
    <n v="1754545"/>
    <n v="85402862454"/>
  </r>
  <r>
    <x v="2"/>
    <s v="DHS 433L "/>
    <s v="주식회사 시온이앤씨"/>
    <m/>
    <n v="13363636"/>
    <n v="85416226090"/>
  </r>
  <r>
    <x v="2"/>
    <s v="DHS 433 "/>
    <s v="삼화타이어"/>
    <m/>
    <n v="15160000"/>
    <n v="85431386090"/>
  </r>
  <r>
    <x v="2"/>
    <s v="크레인대금"/>
    <s v="전남프로펠러"/>
    <m/>
    <n v="14650000"/>
    <n v="85446036090"/>
  </r>
  <r>
    <x v="2"/>
    <s v="DHS 433L "/>
    <s v="바다마린레져"/>
    <m/>
    <n v="13535454"/>
    <n v="85459571544"/>
  </r>
  <r>
    <x v="2"/>
    <s v="DHS 433M "/>
    <s v="한진네트워크"/>
    <m/>
    <n v="13200000"/>
    <n v="85472771544"/>
  </r>
  <r>
    <x v="2"/>
    <s v="DHS 433M "/>
    <s v="우강정보통신"/>
    <m/>
    <n v="16353636"/>
    <n v="85489125180"/>
  </r>
  <r>
    <x v="2"/>
    <s v="DHS 1200L "/>
    <s v="(주)태양전기통신"/>
    <m/>
    <n v="41000000"/>
    <n v="85530125180"/>
  </r>
  <r>
    <x v="2"/>
    <s v="DHS 15AP "/>
    <s v="제일클린"/>
    <m/>
    <n v="48050000"/>
    <n v="85578175180"/>
  </r>
  <r>
    <x v="2"/>
    <s v="DHS 433L "/>
    <s v="(주)지엠펌프"/>
    <m/>
    <n v="15000000"/>
    <n v="85593175180"/>
  </r>
  <r>
    <x v="2"/>
    <s v="DHS 950L-2014 "/>
    <s v="에스앤씨통신"/>
    <m/>
    <n v="33000000"/>
    <n v="85626175180"/>
  </r>
  <r>
    <x v="2"/>
    <s v="DHT 145AS "/>
    <s v="WAIMEA TRUCK ＆ CRANE LTD"/>
    <m/>
    <n v="209150852"/>
    <n v="85835326032"/>
  </r>
  <r>
    <x v="2"/>
    <s v="DHS 950L-2014 "/>
    <s v="지한정보"/>
    <m/>
    <n v="36818182"/>
    <n v="85872144214"/>
  </r>
  <r>
    <x v="2"/>
    <s v="DHS 950L-2014 "/>
    <s v="디에스(DS)"/>
    <m/>
    <n v="35000000"/>
    <n v="85907144214"/>
  </r>
  <r>
    <x v="2"/>
    <s v="DHS 950L-2014 "/>
    <s v="태흥정보통신"/>
    <m/>
    <n v="36363636"/>
    <n v="85943507850"/>
  </r>
  <r>
    <x v="2"/>
    <s v="DHS 15AP "/>
    <s v="(주)두원전기"/>
    <m/>
    <n v="51500000"/>
    <n v="85995007850"/>
  </r>
  <r>
    <x v="2"/>
    <s v="DHS 433L "/>
    <s v="대성스크류"/>
    <m/>
    <n v="14300000"/>
    <n v="86009307850"/>
  </r>
  <r>
    <x v="2"/>
    <s v="DHS 15AP "/>
    <s v="양평군청"/>
    <m/>
    <n v="59933637"/>
    <n v="86069241487"/>
  </r>
  <r>
    <x v="2"/>
    <s v="DHS 433L "/>
    <s v="중앙마린"/>
    <m/>
    <n v="13600000"/>
    <n v="86082841487"/>
  </r>
  <r>
    <x v="2"/>
    <s v="DHS 15AP "/>
    <s v="영규전력공사"/>
    <m/>
    <n v="50136364"/>
    <n v="86132977851"/>
  </r>
  <r>
    <x v="2"/>
    <s v="DHS 433L 장비 환입"/>
    <s v="왜관종합전자"/>
    <m/>
    <n v="-15700000"/>
    <n v="86117277851"/>
  </r>
  <r>
    <x v="2"/>
    <s v="DHS 950L "/>
    <s v="(주)한화"/>
    <m/>
    <n v="73620565"/>
    <n v="86190898416"/>
  </r>
  <r>
    <x v="2"/>
    <s v="DHS 433L "/>
    <s v="(주)성보전력"/>
    <m/>
    <n v="42200000"/>
    <n v="86233098416"/>
  </r>
  <r>
    <x v="2"/>
    <s v="DHS 950L-2014 "/>
    <s v="주식회사 제이엠정보통신"/>
    <m/>
    <n v="34545455"/>
    <n v="86267643871"/>
  </r>
  <r>
    <x v="2"/>
    <s v="SUB FRONT OUTRIGGER AND PARTS "/>
    <s v="SHIJIAZHUANG COAL MINING MACHINEY CO., LTD"/>
    <m/>
    <n v="481050"/>
    <n v="86268124921"/>
  </r>
  <r>
    <x v="2"/>
    <s v="DHS 433L "/>
    <s v="두산건기 고양판매 주식회사"/>
    <m/>
    <n v="14000000"/>
    <n v="86282124921"/>
  </r>
  <r>
    <x v="2"/>
    <s v="DHS 1200L "/>
    <s v="에프투텔레콤(주)"/>
    <m/>
    <n v="42000000"/>
    <n v="86324124921"/>
  </r>
  <r>
    <x v="2"/>
    <s v="DHS 950L-2014 "/>
    <s v="최병덕"/>
    <m/>
    <n v="34000000"/>
    <n v="86358124921"/>
  </r>
  <r>
    <x v="2"/>
    <s v="DHS 105AP "/>
    <s v="대성정보통신"/>
    <m/>
    <n v="40500000"/>
    <n v="86398624921"/>
  </r>
  <r>
    <x v="2"/>
    <s v="DHS 950L-2014 "/>
    <s v="SM정보통신"/>
    <m/>
    <n v="36700000"/>
    <n v="86435324921"/>
  </r>
  <r>
    <x v="2"/>
    <s v="DHS 950L-2014 "/>
    <s v="(주)장대"/>
    <m/>
    <n v="35500000"/>
    <n v="86470824921"/>
  </r>
  <r>
    <x v="2"/>
    <s v="DHS 433L "/>
    <s v="주식회사 시온이앤씨"/>
    <m/>
    <n v="13363636"/>
    <n v="86484188557"/>
  </r>
  <r>
    <x v="2"/>
    <s v="DHS 950L-2014 "/>
    <s v="지은텔레콤"/>
    <m/>
    <n v="35500000"/>
    <n v="86519688557"/>
  </r>
  <r>
    <x v="2"/>
    <s v="DHS 1200L "/>
    <s v="미래통신"/>
    <m/>
    <n v="44545455"/>
    <n v="86564234012"/>
  </r>
  <r>
    <x v="2"/>
    <s v="DHS 433M "/>
    <s v="제이지"/>
    <m/>
    <n v="13200000"/>
    <n v="86577434012"/>
  </r>
  <r>
    <x v="2"/>
    <s v="DHS 950L "/>
    <s v="(주)정강통신"/>
    <m/>
    <n v="37000000"/>
    <n v="86614434012"/>
  </r>
  <r>
    <x v="2"/>
    <s v="DHS 950L "/>
    <s v="(주)남양통신"/>
    <m/>
    <n v="37000000"/>
    <n v="86651434012"/>
  </r>
  <r>
    <x v="2"/>
    <s v="DHS 125AP "/>
    <s v="(주)씨유정보통신"/>
    <m/>
    <n v="42545455"/>
    <n v="86693979467"/>
  </r>
  <r>
    <x v="2"/>
    <s v="BOOM 조립체 외 "/>
    <s v="(주)동해중공업"/>
    <m/>
    <n v="8400000"/>
    <n v="86702379467"/>
  </r>
  <r>
    <x v="2"/>
    <s v="BOOM 조립체 외 "/>
    <s v="(주)동해중공업"/>
    <m/>
    <n v="8400000"/>
    <n v="86710779467"/>
  </r>
  <r>
    <x v="2"/>
    <s v="칼럼 조립체 외 "/>
    <s v="(주)동해중공업"/>
    <m/>
    <n v="13300000"/>
    <n v="86724079467"/>
  </r>
  <r>
    <x v="2"/>
    <s v="DHS 105AP "/>
    <s v="주식회사 성창엔지니어링"/>
    <m/>
    <n v="40000000"/>
    <n v="86764079467"/>
  </r>
  <r>
    <x v="2"/>
    <s v="DHS 190SKY "/>
    <s v="에스케이(SK)사인플랜"/>
    <m/>
    <n v="61000000"/>
    <n v="86825079467"/>
  </r>
  <r>
    <x v="2"/>
    <s v="DHS 1200L "/>
    <s v="주식회사 세미이엔씨"/>
    <m/>
    <n v="41500000"/>
    <n v="86866579467"/>
  </r>
  <r>
    <x v="2"/>
    <s v="DHS 17AP "/>
    <s v="더좋은생활 주식회사"/>
    <m/>
    <n v="52200000"/>
    <n v="86918779467"/>
  </r>
  <r>
    <x v="2"/>
    <s v="DHS 1200L "/>
    <s v="키퍼스"/>
    <m/>
    <n v="40500000"/>
    <n v="86959279467"/>
  </r>
  <r>
    <x v="2"/>
    <s v="DHS 433L "/>
    <s v="노화청해마린"/>
    <m/>
    <n v="15145455"/>
    <n v="86974424922"/>
  </r>
  <r>
    <x v="2"/>
    <s v="DHS 950L "/>
    <s v="화명통신"/>
    <m/>
    <n v="36636363"/>
    <n v="87011061285"/>
  </r>
  <r>
    <x v="2"/>
    <s v="DHS 950L "/>
    <s v="시화기계유통단지조합"/>
    <m/>
    <n v="33000000"/>
    <n v="87044061285"/>
  </r>
  <r>
    <x v="2"/>
    <s v="DHS 1200L "/>
    <s v="(주)자바네트웍스"/>
    <m/>
    <n v="44181818"/>
    <n v="87088243103"/>
  </r>
  <r>
    <x v="2"/>
    <s v="DHS 534 "/>
    <s v="삼흥선외기"/>
    <m/>
    <n v="13800000"/>
    <n v="87102043103"/>
  </r>
  <r>
    <x v="2"/>
    <s v="DHS 930 "/>
    <s v="젊은기술(주)"/>
    <m/>
    <n v="32300000"/>
    <n v="87134343103"/>
  </r>
  <r>
    <x v="2"/>
    <s v="DHS 930 "/>
    <s v="젊은기술(주)"/>
    <m/>
    <n v="32300000"/>
    <n v="87166643103"/>
  </r>
  <r>
    <x v="2"/>
    <s v="DHS 930 "/>
    <s v="(주)효원이엔지"/>
    <m/>
    <n v="32300000"/>
    <n v="87198943103"/>
  </r>
  <r>
    <x v="2"/>
    <s v="DHS 433L "/>
    <s v="JB냉동산업"/>
    <m/>
    <n v="14727272"/>
    <n v="87213670375"/>
  </r>
  <r>
    <x v="2"/>
    <s v="DHT 150S "/>
    <s v="부산광역시 금정구"/>
    <m/>
    <n v="90363637"/>
    <n v="87304034012"/>
  </r>
  <r>
    <x v="2"/>
    <s v="DHS 950L "/>
    <s v="대흥정보통신"/>
    <m/>
    <n v="35800000"/>
    <n v="87339834012"/>
  </r>
  <r>
    <x v="2"/>
    <s v="DHS 1200L "/>
    <s v="케이에스아이(주)"/>
    <m/>
    <n v="43636363"/>
    <n v="87383470375"/>
  </r>
  <r>
    <x v="2"/>
    <s v="DHS 1200L "/>
    <s v="TJ네트워크"/>
    <m/>
    <n v="40000000"/>
    <n v="87423470375"/>
  </r>
  <r>
    <x v="2"/>
    <s v="DHS 950L "/>
    <s v="TJ네트워크"/>
    <m/>
    <n v="33500000"/>
    <n v="87456970375"/>
  </r>
  <r>
    <x v="2"/>
    <s v="DHS 433M "/>
    <s v="가나통신"/>
    <m/>
    <n v="13700000"/>
    <n v="87470670375"/>
  </r>
  <r>
    <x v="2"/>
    <s v="DHS 950L "/>
    <s v="(주)경림이앤지"/>
    <m/>
    <n v="36720000"/>
    <n v="87507390375"/>
  </r>
  <r>
    <x v="2"/>
    <s v="DHS 17AP "/>
    <s v="한손전력"/>
    <m/>
    <n v="52400000"/>
    <n v="87559790375"/>
  </r>
  <r>
    <x v="2"/>
    <s v="DHS 433L "/>
    <s v="베가마린"/>
    <m/>
    <n v="13800000"/>
    <n v="87573590375"/>
  </r>
  <r>
    <x v="2"/>
    <s v="DHS 433L "/>
    <s v="상수도사업본부 송촌정수사업소"/>
    <m/>
    <n v="30072728"/>
    <n v="87603663103"/>
  </r>
  <r>
    <x v="2"/>
    <s v="밀양시청 추가계약건 "/>
    <s v="경상남도 밀양시청"/>
    <m/>
    <n v="2000000"/>
    <n v="87605663103"/>
  </r>
  <r>
    <x v="2"/>
    <s v="DHS 1200L "/>
    <s v="경상남도 밀양시청"/>
    <m/>
    <n v="46390910"/>
    <n v="87652054013"/>
  </r>
  <r>
    <x v="2"/>
    <s v="보령시청 추가계약건 "/>
    <s v="보령시청"/>
    <m/>
    <n v="2958182"/>
    <n v="87655012195"/>
  </r>
  <r>
    <x v="2"/>
    <s v="울산광역시시설관리공단 추가계약건"/>
    <s v="울산광역시시설관리공단"/>
    <m/>
    <n v="5400000"/>
    <n v="87660412195"/>
  </r>
  <r>
    <x v="2"/>
    <s v="MA-1A 철거 및 설치비 외"/>
    <s v="금호산업(주)"/>
    <m/>
    <n v="1305639000"/>
    <n v="88966051195"/>
  </r>
  <r>
    <x v="2"/>
    <s v="DHS 433M "/>
    <s v="대성통신"/>
    <m/>
    <n v="13200000"/>
    <n v="88979251195"/>
  </r>
  <r>
    <x v="2"/>
    <s v="부산북구청 선금급-샤시구매"/>
    <s v="부산북구청"/>
    <m/>
    <n v="48045455"/>
    <n v="89027296650"/>
  </r>
  <r>
    <x v="2"/>
    <s v="DHS 950L "/>
    <s v="보령시청"/>
    <m/>
    <n v="37272728"/>
    <n v="89064569378"/>
  </r>
  <r>
    <x v="2"/>
    <s v="HWD-200 "/>
    <s v="(유)미주계전"/>
    <m/>
    <n v="3600000"/>
    <n v="89068169378"/>
  </r>
  <r>
    <x v="2"/>
    <s v="DHS 950L "/>
    <s v="서해디지털"/>
    <m/>
    <n v="33636363"/>
    <n v="89101805741"/>
  </r>
  <r>
    <x v="2"/>
    <s v="DHS 433L "/>
    <s v="(주)이일엔지니어링"/>
    <m/>
    <n v="16435455"/>
    <n v="89118241196"/>
  </r>
  <r>
    <x v="2"/>
    <s v="DHS 15AP "/>
    <s v="울산광역시시설관리공단"/>
    <m/>
    <n v="50736364"/>
    <n v="89168977560"/>
  </r>
  <r>
    <x v="2"/>
    <s v="DHS 433 "/>
    <s v="안동시설관리공단"/>
    <m/>
    <n v="13818182"/>
    <n v="89182795742"/>
  </r>
  <r>
    <x v="2"/>
    <s v="DHS 433 "/>
    <s v="(주)이산"/>
    <m/>
    <n v="11500000"/>
    <n v="89194295742"/>
  </r>
  <r>
    <x v="2"/>
    <s v="DHS 950L "/>
    <s v="득진통신(주)"/>
    <m/>
    <n v="34500000"/>
    <n v="89228795742"/>
  </r>
  <r>
    <x v="2"/>
    <s v="DHS 950L "/>
    <s v="(주)사삼정보통신"/>
    <m/>
    <n v="34545455"/>
    <n v="89263341197"/>
  </r>
  <r>
    <x v="2"/>
    <s v="DHS 433M "/>
    <s v="유창통신(주)"/>
    <m/>
    <n v="12000000"/>
    <n v="89275341197"/>
  </r>
  <r>
    <x v="2"/>
    <s v="DHS 102AP "/>
    <s v="아주통신(주)"/>
    <m/>
    <n v="41490000"/>
    <n v="89316831197"/>
  </r>
  <r>
    <x v="2"/>
    <s v="DHS 15AP "/>
    <s v="인제군청"/>
    <m/>
    <n v="50736364"/>
    <n v="89367567561"/>
  </r>
  <r>
    <x v="2"/>
    <s v="인제군청 추가계약건 "/>
    <s v="인제군청"/>
    <m/>
    <n v="2116364"/>
    <n v="89369683925"/>
  </r>
  <r>
    <x v="2"/>
    <s v="KIA BONGOIII 1TON 4WD"/>
    <s v="(주)동해기계항공"/>
    <m/>
    <n v="43641000"/>
    <n v="89413324925"/>
  </r>
  <r>
    <x v="2"/>
    <s v="DHS 190SKY "/>
    <s v="삼삼종합기획"/>
    <m/>
    <n v="65000000"/>
    <n v="89478324925"/>
  </r>
  <r>
    <x v="2"/>
    <s v="DHS 1200L "/>
    <s v="(주)해동기업"/>
    <m/>
    <n v="40909090"/>
    <n v="89519234015"/>
  </r>
  <r>
    <x v="2"/>
    <s v="크레인선급금"/>
    <s v="(주)경봉"/>
    <m/>
    <n v="9711450"/>
    <n v="89528945465"/>
  </r>
  <r>
    <x v="2"/>
    <s v="DHS 534 "/>
    <s v="명성이엔지(주)"/>
    <m/>
    <n v="14000000"/>
    <n v="89542945465"/>
  </r>
  <r>
    <x v="2"/>
    <s v="DHS 433L "/>
    <s v="유니온마린"/>
    <m/>
    <n v="14000000"/>
    <n v="89556945465"/>
  </r>
  <r>
    <x v="2"/>
    <s v="DHS 930 "/>
    <s v="(주)스마트비전"/>
    <m/>
    <n v="33500000"/>
    <n v="89590445465"/>
  </r>
  <r>
    <x v="2"/>
    <s v="DHS 950L "/>
    <s v="원플러스텔레콤(주)"/>
    <m/>
    <n v="34000000"/>
    <n v="89624445465"/>
  </r>
  <r>
    <x v="2"/>
    <s v="DHS 125AP "/>
    <s v="경기통신"/>
    <m/>
    <n v="40909090"/>
    <n v="89665354555"/>
  </r>
  <r>
    <x v="2"/>
    <s v="DHS 433L "/>
    <s v="태양중기"/>
    <m/>
    <n v="14200000"/>
    <n v="89679554555"/>
  </r>
  <r>
    <x v="2"/>
    <s v="부산동래구청 추가계약건 "/>
    <s v="동래구청"/>
    <m/>
    <n v="1527273"/>
    <n v="89681081828"/>
  </r>
  <r>
    <x v="2"/>
    <s v="DHS 950L "/>
    <s v="한별정보통신"/>
    <m/>
    <n v="35454545"/>
    <n v="89716536373"/>
  </r>
  <r>
    <x v="2"/>
    <s v="DHS 433L "/>
    <s v="동래구청"/>
    <m/>
    <n v="30072728"/>
    <n v="89746609101"/>
  </r>
  <r>
    <x v="2"/>
    <s v="DH WONDER 21 "/>
    <s v="DONG TAN HUNG CO.,LTD"/>
    <m/>
    <n v="45067610"/>
    <n v="89791676711"/>
  </r>
  <r>
    <x v="2"/>
    <s v="DHT 150S "/>
    <s v="동현테크 주식회사"/>
    <m/>
    <n v="138950000"/>
    <n v="89930626711"/>
  </r>
  <r>
    <x v="2"/>
    <s v="DHS 1200L "/>
    <s v="부산진구청"/>
    <m/>
    <n v="75090910"/>
    <n v="90005717621"/>
  </r>
  <r>
    <x v="2"/>
    <s v="크레인 선금급 "/>
    <s v="상주시청"/>
    <m/>
    <n v="32473637"/>
    <n v="90038191258"/>
  </r>
  <r>
    <x v="2"/>
    <s v="BIB자동장치&lt;14호기&gt;"/>
    <s v="선테스트코리아(주)"/>
    <m/>
    <n v="98000000"/>
    <n v="90136191258"/>
  </r>
  <r>
    <x v="2"/>
    <s v="DHS 930 "/>
    <s v="현대캐피탈주식회사"/>
    <m/>
    <n v="32763600"/>
    <n v="90168954858"/>
  </r>
  <r>
    <x v="2"/>
    <s v="DHS 950L "/>
    <s v="H. K. 정보통신"/>
    <m/>
    <n v="35454545"/>
    <n v="90204409403"/>
  </r>
  <r>
    <x v="2"/>
    <s v="DHS 950L "/>
    <s v="SB정보통신"/>
    <m/>
    <n v="36363636"/>
    <n v="90240773039"/>
  </r>
  <r>
    <x v="2"/>
    <s v="DHS 950L "/>
    <s v="VIET TRUNG JOINT STOCK EQUIPMENT COMPANY"/>
    <m/>
    <n v="205596960"/>
    <n v="90446369999"/>
  </r>
  <r>
    <x v="2"/>
    <s v="DHS 433L "/>
    <s v="태안군농업기술센터"/>
    <m/>
    <n v="15727273"/>
    <n v="90462097272"/>
  </r>
  <r>
    <x v="2"/>
    <s v="크레인계약금"/>
    <s v="(주)솔인텍"/>
    <m/>
    <n v="18181818"/>
    <n v="90480279090"/>
  </r>
  <r>
    <x v="2"/>
    <s v="DHT 150S "/>
    <s v="동성운수"/>
    <m/>
    <n v="139636364"/>
    <n v="90619915454"/>
  </r>
  <r>
    <x v="2"/>
    <s v="DHS 433L "/>
    <s v="주식회사 시온이앤씨"/>
    <m/>
    <n v="13000000"/>
    <n v="90632915454"/>
  </r>
  <r>
    <x v="2"/>
    <s v="DHT 150AS "/>
    <s v="신라활선"/>
    <m/>
    <n v="160000000"/>
    <n v="90792915454"/>
  </r>
  <r>
    <x v="2"/>
    <s v="DHS 433L "/>
    <s v="서해선외기"/>
    <m/>
    <n v="13500000"/>
    <n v="90806415454"/>
  </r>
  <r>
    <x v="2"/>
    <s v="DHS 203 "/>
    <s v="미래시스템(주)"/>
    <m/>
    <n v="33000000"/>
    <n v="90839415454"/>
  </r>
  <r>
    <x v="2"/>
    <s v="DHT 150AS "/>
    <s v="(주)대영전기"/>
    <m/>
    <n v="160400000"/>
    <n v="90999815454"/>
  </r>
  <r>
    <x v="2"/>
    <s v="DHT 150S "/>
    <s v="(주)평창전기"/>
    <m/>
    <n v="142400000"/>
    <n v="91142215454"/>
  </r>
  <r>
    <x v="2"/>
    <s v="활주로초과저지장비"/>
    <s v="제16전투비행단"/>
    <m/>
    <n v="275540890"/>
    <n v="91417756344"/>
  </r>
  <r>
    <x v="2"/>
    <s v="DHT 150S "/>
    <s v="운화이엔지"/>
    <m/>
    <n v="140227273"/>
    <n v="91557983617"/>
  </r>
  <r>
    <x v="2"/>
    <s v="DHT 160AS "/>
    <s v="(주)라이트제림"/>
    <m/>
    <n v="161636364"/>
    <n v="91719619981"/>
  </r>
  <r>
    <x v="2"/>
    <s v="DHS 950L "/>
    <s v="SB정보통신"/>
    <m/>
    <n v="36363636"/>
    <n v="91755983617"/>
  </r>
  <r>
    <x v="2"/>
    <s v="DHS 950L "/>
    <s v="MH"/>
    <m/>
    <n v="33800000"/>
    <n v="91789783617"/>
  </r>
  <r>
    <x v="2"/>
    <s v="DHS 950L "/>
    <s v="(주)원플러스서비스"/>
    <m/>
    <n v="35500000"/>
    <n v="91825283617"/>
  </r>
  <r>
    <x v="2"/>
    <s v="DHS 1200L "/>
    <s v="신영산전(주)"/>
    <m/>
    <n v="43350000"/>
    <n v="91868633617"/>
  </r>
  <r>
    <x v="2"/>
    <s v="DHT 160AS "/>
    <s v="(주)대림운수"/>
    <m/>
    <n v="161636364"/>
    <n v="92030269981"/>
  </r>
  <r>
    <x v="2"/>
    <s v="DHS 950L "/>
    <s v="(주)원플러스서비스"/>
    <m/>
    <n v="-35500000"/>
    <n v="91994769981"/>
  </r>
  <r>
    <x v="2"/>
    <s v="DHS 950L "/>
    <s v="(주)원플러스서비스"/>
    <m/>
    <n v="35500000"/>
    <n v="92030269981"/>
  </r>
  <r>
    <x v="2"/>
    <s v="DHS 930 "/>
    <s v="현대캐피탈주식회사"/>
    <m/>
    <n v="32763600"/>
    <n v="92063033581"/>
  </r>
  <r>
    <x v="2"/>
    <s v="DHS 930 "/>
    <s v="현대캐피탈주식회사"/>
    <m/>
    <n v="32763600"/>
    <n v="92095797181"/>
  </r>
  <r>
    <x v="2"/>
    <s v="DHS 930 "/>
    <s v="현대캐피탈주식회사"/>
    <m/>
    <n v="32763600"/>
    <n v="92128560781"/>
  </r>
  <r>
    <x v="2"/>
    <s v="DHS 930 "/>
    <s v="현대캐피탈주식회사"/>
    <m/>
    <n v="32763600"/>
    <n v="92161324381"/>
  </r>
  <r>
    <x v="2"/>
    <s v="DHS 930 "/>
    <s v="현대캐피탈주식회사"/>
    <m/>
    <n v="32763600"/>
    <n v="92194087981"/>
  </r>
  <r>
    <x v="2"/>
    <s v="DHS 930 "/>
    <s v="현대캐피탈주식회사"/>
    <m/>
    <n v="32763600"/>
    <n v="92226851581"/>
  </r>
  <r>
    <x v="2"/>
    <s v="DHS 930 "/>
    <s v="현대캐피탈주식회사"/>
    <m/>
    <n v="32763600"/>
    <n v="92259615181"/>
  </r>
  <r>
    <x v="2"/>
    <s v="DHS 930 "/>
    <s v="현대캐피탈주식회사"/>
    <m/>
    <n v="32763600"/>
    <n v="92292378781"/>
  </r>
  <r>
    <x v="2"/>
    <s v="DHS 930 "/>
    <s v="현대캐피탈주식회사"/>
    <m/>
    <n v="32763600"/>
    <n v="92325142381"/>
  </r>
  <r>
    <x v="2"/>
    <s v="DHS 930 "/>
    <s v="현대캐피탈주식회사"/>
    <m/>
    <n v="32763600"/>
    <n v="92357905981"/>
  </r>
  <r>
    <x v="2"/>
    <s v="DHS 930 "/>
    <s v="현대캐피탈주식회사"/>
    <m/>
    <n v="32763600"/>
    <n v="92390669581"/>
  </r>
  <r>
    <x v="2"/>
    <s v="DHS 930 "/>
    <s v="현대캐피탈주식회사"/>
    <m/>
    <n v="32763600"/>
    <n v="92423433181"/>
  </r>
  <r>
    <x v="2"/>
    <s v="DHS 930 "/>
    <s v="현대캐피탈주식회사"/>
    <m/>
    <n v="32763600"/>
    <n v="92456196781"/>
  </r>
  <r>
    <x v="2"/>
    <s v="DHS 930 "/>
    <s v="현대캐피탈주식회사"/>
    <m/>
    <n v="32763600"/>
    <n v="92488960381"/>
  </r>
  <r>
    <x v="2"/>
    <s v="DHS 930 "/>
    <s v="현대캐피탈주식회사"/>
    <m/>
    <n v="32763600"/>
    <n v="92521723981"/>
  </r>
  <r>
    <x v="2"/>
    <s v="DHS 930 "/>
    <s v="현대캐피탈주식회사"/>
    <m/>
    <n v="32763600"/>
    <n v="92554487581"/>
  </r>
  <r>
    <x v="2"/>
    <s v="DHS 930 "/>
    <s v="현대캐피탈주식회사"/>
    <m/>
    <n v="32763600"/>
    <n v="92587251181"/>
  </r>
  <r>
    <x v="2"/>
    <s v="DHS 930 "/>
    <s v="현대캐피탈주식회사"/>
    <m/>
    <n v="32763600"/>
    <n v="92620014781"/>
  </r>
  <r>
    <x v="2"/>
    <s v="DHS 870 "/>
    <s v="(주)경봉"/>
    <m/>
    <n v="22660050"/>
    <n v="92642674831"/>
  </r>
  <r>
    <x v="2"/>
    <s v="DHS 870 "/>
    <s v="(주)경봉"/>
    <m/>
    <n v="-22660050"/>
    <n v="92620014781"/>
  </r>
  <r>
    <x v="2"/>
    <s v="DHS 870 "/>
    <s v="(주)경봉"/>
    <m/>
    <n v="22660050"/>
    <n v="92642674831"/>
  </r>
  <r>
    <x v="2"/>
    <s v="DHS 15AP "/>
    <s v="진안군청"/>
    <m/>
    <n v="50736364"/>
    <n v="92693411195"/>
  </r>
  <r>
    <x v="2"/>
    <s v="추가계약건"/>
    <s v="진안군청"/>
    <m/>
    <n v="5454545"/>
    <n v="92698865740"/>
  </r>
  <r>
    <x v="2"/>
    <s v="DHS 950L "/>
    <s v="서령통신"/>
    <m/>
    <n v="36690909"/>
    <n v="92735556649"/>
  </r>
  <r>
    <x v="2"/>
    <s v="DHT 160AS "/>
    <s v="영진활선"/>
    <m/>
    <n v="167636363"/>
    <n v="92903193012"/>
  </r>
  <r>
    <x v="2"/>
    <s v="DHS 1200L "/>
    <s v="창원시 의창구청"/>
    <m/>
    <n v="46390910"/>
    <n v="92949583922"/>
  </r>
  <r>
    <x v="2"/>
    <s v="추가계약건"/>
    <s v="창원시 의창구청"/>
    <m/>
    <n v="3217500"/>
    <n v="92952801422"/>
  </r>
  <r>
    <x v="2"/>
    <s v="DHT 150AS "/>
    <s v="(주)삼화전력"/>
    <m/>
    <n v="158036363"/>
    <n v="93110837785"/>
  </r>
  <r>
    <x v="2"/>
    <s v="DHT 160AS "/>
    <s v="대광기업(주)"/>
    <m/>
    <n v="165636364"/>
    <n v="93276474149"/>
  </r>
  <r>
    <x v="2"/>
    <s v="DHS 433L "/>
    <s v="현대씨즈올 주식회사"/>
    <m/>
    <n v="14000000"/>
    <n v="93290474149"/>
  </r>
  <r>
    <x v="2"/>
    <s v="DHM 1100S2 장비환입"/>
    <s v="동해해양사업"/>
    <m/>
    <n v="-20400000"/>
    <n v="93270074149"/>
  </r>
  <r>
    <x v="2"/>
    <s v="DHM 1300S2 "/>
    <s v="동해해양사업"/>
    <m/>
    <n v="23900000"/>
    <n v="93293974149"/>
  </r>
  <r>
    <x v="2"/>
    <s v="DHT 150AS "/>
    <s v="(주)동훈전설"/>
    <m/>
    <n v="162636364"/>
    <n v="93456610513"/>
  </r>
  <r>
    <x v="2"/>
    <s v="DHS 433L "/>
    <s v="경남기업(주)"/>
    <m/>
    <n v="13970000"/>
    <n v="93470580513"/>
  </r>
  <r>
    <x v="2"/>
    <s v="BAK-12 설치공사 05월 06월 기성청구"/>
    <s v="성광건설산업(주)"/>
    <m/>
    <n v="41057100"/>
    <n v="93511637613"/>
  </r>
  <r>
    <x v="2"/>
    <s v="DHS 950L "/>
    <s v="티케이정보통신(주)"/>
    <m/>
    <n v="37272727"/>
    <n v="93548910340"/>
  </r>
  <r>
    <x v="2"/>
    <s v="DHS 1200L "/>
    <s v="(주)천안케이블네트웍"/>
    <m/>
    <n v="42727273"/>
    <n v="93591637613"/>
  </r>
  <r>
    <x v="2"/>
    <s v="DHS 1200L "/>
    <s v="주식회사 윌테크"/>
    <m/>
    <n v="42727272"/>
    <n v="93634364885"/>
  </r>
  <r>
    <x v="2"/>
    <s v="DSH 1200L "/>
    <s v="드림네트웍스(주)"/>
    <m/>
    <n v="41777273"/>
    <n v="93676142158"/>
  </r>
  <r>
    <x v="2"/>
    <s v="DHS 1200L "/>
    <s v="성남시분당구청"/>
    <m/>
    <n v="46390910"/>
    <n v="93722533068"/>
  </r>
  <r>
    <x v="2"/>
    <s v="DHS 950L "/>
    <s v="성은"/>
    <m/>
    <n v="36000000"/>
    <n v="93758533068"/>
  </r>
  <r>
    <x v="2"/>
    <s v="DHT 150S "/>
    <s v="다연이엔지"/>
    <m/>
    <n v="141454545"/>
    <n v="93899987613"/>
  </r>
  <r>
    <x v="2"/>
    <s v="DHT 150S "/>
    <s v="진성이엔지"/>
    <m/>
    <n v="141454545"/>
    <n v="94041442158"/>
  </r>
  <r>
    <x v="2"/>
    <s v="DHS 15AP "/>
    <s v="(주)성보전력"/>
    <m/>
    <n v="51000000"/>
    <n v="94092442158"/>
  </r>
  <r>
    <x v="2"/>
    <s v="DHS 920 "/>
    <s v="춘천시생활민원처리사업소"/>
    <m/>
    <n v="42254546"/>
    <n v="94134696704"/>
  </r>
  <r>
    <x v="2"/>
    <s v="크레인대금"/>
    <s v="현대캐피탈주식회사"/>
    <m/>
    <n v="32763600"/>
    <n v="94167460304"/>
  </r>
  <r>
    <x v="2"/>
    <s v="크레인대금"/>
    <s v="현대캐피탈주식회사"/>
    <m/>
    <n v="32763600"/>
    <n v="94200223904"/>
  </r>
  <r>
    <x v="2"/>
    <s v="크레인대금"/>
    <s v="현대캐피탈주식회사"/>
    <m/>
    <n v="32763600"/>
    <n v="94232987504"/>
  </r>
  <r>
    <x v="2"/>
    <s v="크레인대금"/>
    <s v="현대캐피탈주식회사"/>
    <m/>
    <n v="32763600"/>
    <n v="94265751104"/>
  </r>
  <r>
    <x v="2"/>
    <s v="DHS 930 "/>
    <s v="동신통신"/>
    <m/>
    <n v="33200000"/>
    <n v="94298951104"/>
  </r>
  <r>
    <x v="2"/>
    <s v="BOOM 조립체 외 "/>
    <s v="(주)동해중공업"/>
    <m/>
    <n v="8400000"/>
    <n v="94307351104"/>
  </r>
  <r>
    <x v="2"/>
    <s v="옵션추가계약건 "/>
    <s v="성남시분당구청"/>
    <m/>
    <n v="1000000"/>
    <n v="94308351104"/>
  </r>
  <r>
    <x v="2"/>
    <s v="BOOM 조립체 외 "/>
    <s v="(주)동해중공업"/>
    <m/>
    <n v="-8400000"/>
    <n v="94299951104"/>
  </r>
  <r>
    <x v="2"/>
    <s v="BOOM 조립체 외 "/>
    <s v="(주)동해중공업"/>
    <m/>
    <n v="5978000"/>
    <n v="94305929104"/>
  </r>
  <r>
    <x v="2"/>
    <s v="DHS 433L "/>
    <s v="예성마린"/>
    <m/>
    <n v="14545455"/>
    <n v="94320474559"/>
  </r>
  <r>
    <x v="2"/>
    <s v="DHT 150S "/>
    <s v="백두전기(주)"/>
    <m/>
    <n v="140000000"/>
    <n v="94460474559"/>
  </r>
  <r>
    <x v="2"/>
    <s v="DHS 920 "/>
    <s v="달성군청"/>
    <m/>
    <n v="42254546"/>
    <n v="94502729105"/>
  </r>
  <r>
    <x v="2"/>
    <s v="DHS 950L "/>
    <s v="여름이야기"/>
    <m/>
    <n v="35454545"/>
    <n v="94538183650"/>
  </r>
  <r>
    <x v="2"/>
    <s v="DHS 950L "/>
    <s v="에스에이치 정보통신"/>
    <m/>
    <n v="38181818"/>
    <n v="94576365468"/>
  </r>
  <r>
    <x v="2"/>
    <s v="DHS 920 "/>
    <s v="유리넷"/>
    <m/>
    <n v="41000000"/>
    <n v="94617365468"/>
  </r>
  <r>
    <x v="2"/>
    <s v="DHS 1200L "/>
    <s v="태평양시스템(주)"/>
    <m/>
    <n v="42800000"/>
    <n v="94660165468"/>
  </r>
  <r>
    <x v="2"/>
    <s v="추가계약건"/>
    <s v="춘천시생활민원처리사업소"/>
    <m/>
    <n v="2160000"/>
    <n v="94662325468"/>
  </r>
  <r>
    <x v="2"/>
    <s v="DHS 950L-18대 "/>
    <s v="VIET TRUNG JOINT STOCK EQUIPMENT COMPANY"/>
    <m/>
    <n v="630316800"/>
    <n v="95292642268"/>
  </r>
  <r>
    <x v="2"/>
    <s v="DHS 15PA "/>
    <s v="대림전기"/>
    <m/>
    <n v="50454545"/>
    <n v="95343096813"/>
  </r>
  <r>
    <x v="2"/>
    <s v="DHT 160AS "/>
    <s v="티앤제이건설 주식회사"/>
    <m/>
    <n v="166500000"/>
    <n v="95509596813"/>
  </r>
  <r>
    <x v="2"/>
    <s v="DHT 160S "/>
    <s v="티앤제이건설 주식회사"/>
    <m/>
    <n v="149500000"/>
    <n v="95659096813"/>
  </r>
  <r>
    <x v="2"/>
    <s v="DHT 160S "/>
    <s v="티앤제이건설 주식회사"/>
    <m/>
    <n v="149500000"/>
    <n v="95808596813"/>
  </r>
  <r>
    <x v="2"/>
    <s v="DHS 17AP "/>
    <s v="(주)한독전력"/>
    <m/>
    <n v="53600000"/>
    <n v="95862196813"/>
  </r>
  <r>
    <x v="2"/>
    <s v="추가계약건"/>
    <s v="상주시청"/>
    <m/>
    <n v="4227273"/>
    <n v="95866424086"/>
  </r>
  <r>
    <x v="2"/>
    <s v="DHS 1200L "/>
    <s v="상주시청"/>
    <m/>
    <n v="13917273"/>
    <n v="95880341359"/>
  </r>
  <r>
    <x v="2"/>
    <s v="DHT 160AS "/>
    <s v="주식회사 고운전기"/>
    <m/>
    <n v="166500000"/>
    <n v="96046841359"/>
  </r>
  <r>
    <x v="2"/>
    <s v="DHS 15AP "/>
    <s v="주식회사 태현전력"/>
    <m/>
    <n v="50909091"/>
    <n v="96097750450"/>
  </r>
  <r>
    <x v="2"/>
    <s v="DHS 433L "/>
    <s v="(주)무창"/>
    <m/>
    <n v="16500000"/>
    <n v="96114250450"/>
  </r>
  <r>
    <x v="2"/>
    <s v="DHT 150AS "/>
    <s v="김응관"/>
    <m/>
    <n v="160000000"/>
    <n v="96274250450"/>
  </r>
  <r>
    <x v="2"/>
    <s v="DHT 160AS "/>
    <s v="대구98사 1272"/>
    <m/>
    <n v="167000000"/>
    <n v="96441250450"/>
  </r>
  <r>
    <x v="2"/>
    <s v="DHT 150S "/>
    <s v="나현전기"/>
    <m/>
    <n v="138400000"/>
    <n v="96579650450"/>
  </r>
  <r>
    <x v="2"/>
    <s v="DHM 1500S2 "/>
    <s v="동해해양사업"/>
    <m/>
    <n v="25400000"/>
    <n v="96605050450"/>
  </r>
  <r>
    <x v="2"/>
    <s v="DHS 950L "/>
    <s v="주식회사이노탑"/>
    <m/>
    <n v="35454545"/>
    <n v="96640504995"/>
  </r>
  <r>
    <x v="2"/>
    <s v="DHS 950L "/>
    <s v="성림정보통신"/>
    <m/>
    <n v="34545454"/>
    <n v="96675050449"/>
  </r>
  <r>
    <x v="2"/>
    <s v="DHS 950L "/>
    <s v="참 통신기술"/>
    <m/>
    <n v="34181818"/>
    <n v="96709232267"/>
  </r>
  <r>
    <x v="2"/>
    <s v="DHS 1800 "/>
    <s v="광주제2순환도로(주)"/>
    <m/>
    <n v="93000000"/>
    <n v="96802232267"/>
  </r>
  <r>
    <x v="2"/>
    <s v="DHS 950L "/>
    <s v="(주)다함정보통신"/>
    <m/>
    <n v="36363636"/>
    <n v="96838595903"/>
  </r>
  <r>
    <x v="2"/>
    <s v="DHS 930 "/>
    <s v="유정통신"/>
    <m/>
    <n v="34772727"/>
    <n v="96873368630"/>
  </r>
  <r>
    <x v="2"/>
    <s v="DHS 125AP "/>
    <s v="엠테크"/>
    <m/>
    <n v="44000000"/>
    <n v="96917368630"/>
  </r>
  <r>
    <x v="2"/>
    <s v="DHT 150S "/>
    <s v="주식회사 가나전력"/>
    <m/>
    <n v="138636364"/>
    <n v="97056004994"/>
  </r>
  <r>
    <x v="2"/>
    <s v="DHS 190SKY "/>
    <s v="좋은광고협동조합"/>
    <m/>
    <n v="65000000"/>
    <n v="97121004994"/>
  </r>
  <r>
    <x v="2"/>
    <s v="DHS 433L "/>
    <s v="대성마린"/>
    <m/>
    <n v="14700000"/>
    <n v="97135704994"/>
  </r>
  <r>
    <x v="2"/>
    <s v="DHS 15AP "/>
    <s v="대광기업(주)"/>
    <m/>
    <n v="50500000"/>
    <n v="97186204994"/>
  </r>
  <r>
    <x v="2"/>
    <s v="DHT 160AS "/>
    <s v="주식회사 디에이치전력"/>
    <m/>
    <n v="167500000"/>
    <n v="97353704994"/>
  </r>
  <r>
    <x v="2"/>
    <s v="DHS 15AP "/>
    <s v="주식회사 케이엠전설"/>
    <m/>
    <n v="48894000"/>
    <n v="97402598994"/>
  </r>
  <r>
    <x v="2"/>
    <s v="DHS 950L "/>
    <s v="제우통신"/>
    <m/>
    <n v="36500000"/>
    <n v="97439098994"/>
  </r>
  <r>
    <x v="2"/>
    <s v="DHS 950L "/>
    <s v="주식회사 씨앤엘네트웍스"/>
    <m/>
    <n v="35000000"/>
    <n v="97474098994"/>
  </r>
  <r>
    <x v="2"/>
    <s v="DHS 950L "/>
    <s v="천광 통신"/>
    <m/>
    <n v="36636363"/>
    <n v="97510735357"/>
  </r>
  <r>
    <x v="2"/>
    <s v="DHS 15AP "/>
    <s v="서경이엔씨(주)"/>
    <m/>
    <n v="50500000"/>
    <n v="97561235357"/>
  </r>
  <r>
    <x v="2"/>
    <s v="추가계약건"/>
    <s v="거제시청"/>
    <m/>
    <n v="3800000"/>
    <n v="97565035357"/>
  </r>
  <r>
    <x v="2"/>
    <s v="DHS 950L "/>
    <s v="(주)이넷시스"/>
    <m/>
    <n v="34500000"/>
    <n v="97599535357"/>
  </r>
  <r>
    <x v="2"/>
    <s v="DHS 950L "/>
    <s v="Jin Two 시스템"/>
    <m/>
    <n v="36363636"/>
    <n v="97635898993"/>
  </r>
  <r>
    <x v="2"/>
    <s v="DHS 950L "/>
    <s v="배영텔레콤(주)"/>
    <m/>
    <n v="37000000"/>
    <n v="97672898993"/>
  </r>
  <r>
    <x v="2"/>
    <s v="DHS 930 "/>
    <s v="일신정보통신"/>
    <m/>
    <n v="35000000"/>
    <n v="97707898993"/>
  </r>
  <r>
    <x v="2"/>
    <s v="DHT 160AS "/>
    <s v="국제활선"/>
    <m/>
    <n v="167636364"/>
    <n v="97875535357"/>
  </r>
  <r>
    <x v="2"/>
    <s v="ALPHA 5000 "/>
    <s v="거제시청"/>
    <m/>
    <n v="69818182"/>
    <n v="97945353539"/>
  </r>
  <r>
    <x v="2"/>
    <s v="ALPHA 5000 "/>
    <s v="거제시청"/>
    <m/>
    <n v="-69818182"/>
    <n v="97875535357"/>
  </r>
  <r>
    <x v="2"/>
    <s v="ALPHA 5000 "/>
    <s v="거제시청"/>
    <m/>
    <n v="69818182"/>
    <n v="97945353539"/>
  </r>
  <r>
    <x v="2"/>
    <s v="DHS 15AP "/>
    <s v="주식회사 이원"/>
    <m/>
    <n v="51150000"/>
    <n v="97996503539"/>
  </r>
  <r>
    <x v="2"/>
    <s v="DHS 930 "/>
    <s v="(유)미주계전"/>
    <m/>
    <n v="34090909"/>
    <n v="98030594448"/>
  </r>
  <r>
    <x v="2"/>
    <s v="DHS 17AP "/>
    <s v="한영전기주식회사"/>
    <m/>
    <n v="53500000"/>
    <n v="98084094448"/>
  </r>
  <r>
    <x v="2"/>
    <s v="DHT 160AS "/>
    <s v="계룡전기활선"/>
    <m/>
    <n v="167000000"/>
    <n v="98251094448"/>
  </r>
  <r>
    <x v="2"/>
    <s v="DHS 105AP "/>
    <s v="케이(K)통신"/>
    <m/>
    <n v="40350000"/>
    <n v="98291444448"/>
  </r>
  <r>
    <x v="2"/>
    <s v="DHS 950L "/>
    <s v="디에스(DS)"/>
    <m/>
    <n v="35000000"/>
    <n v="98326444448"/>
  </r>
  <r>
    <x v="2"/>
    <s v="DHS 534 "/>
    <s v="서부쌀상회"/>
    <m/>
    <n v="13800000"/>
    <n v="98340244448"/>
  </r>
  <r>
    <x v="2"/>
    <s v="DHS 950L "/>
    <s v="세진통신"/>
    <m/>
    <n v="36363636"/>
    <n v="98376608084"/>
  </r>
  <r>
    <x v="2"/>
    <s v="DHS 950L "/>
    <s v="부강통신"/>
    <m/>
    <n v="36636364"/>
    <n v="98413244448"/>
  </r>
  <r>
    <x v="2"/>
    <s v="DHT 150AS "/>
    <s v="주식회사 진양운수"/>
    <m/>
    <n v="160000000"/>
    <n v="98573244448"/>
  </r>
  <r>
    <x v="2"/>
    <s v="DHS 433L "/>
    <s v="(주)한미엔텍"/>
    <m/>
    <n v="14545455"/>
    <n v="98587789903"/>
  </r>
  <r>
    <x v="2"/>
    <s v="DHS 1800"/>
    <s v="(주)동해기계항공"/>
    <m/>
    <n v="27242800"/>
    <n v="98615032703"/>
  </r>
  <r>
    <x v="2"/>
    <s v="DHS 930 "/>
    <s v="누리통신"/>
    <m/>
    <n v="32600000"/>
    <n v="98647632703"/>
  </r>
  <r>
    <x v="2"/>
    <s v="DHS 930 "/>
    <s v="대우컴퓨터"/>
    <m/>
    <n v="34560000"/>
    <n v="98682192703"/>
  </r>
  <r>
    <x v="2"/>
    <s v="DHS 950L "/>
    <s v="다인정보통신"/>
    <m/>
    <n v="33636364"/>
    <n v="98715829067"/>
  </r>
  <r>
    <x v="2"/>
    <s v="DHS 1200L "/>
    <s v="다인정보통신"/>
    <m/>
    <n v="40545455"/>
    <n v="98756374522"/>
  </r>
  <r>
    <x v="2"/>
    <s v="추가계약건 "/>
    <s v="부산광역시 금정구"/>
    <m/>
    <n v="6044455"/>
    <n v="98762418977"/>
  </r>
  <r>
    <x v="2"/>
    <s v="DHT 160AS "/>
    <s v="경일중기"/>
    <m/>
    <n v="169400000"/>
    <n v="98931818977"/>
  </r>
  <r>
    <x v="2"/>
    <s v="DHT 160S "/>
    <s v="유진활선"/>
    <m/>
    <n v="150000000"/>
    <n v="99081818977"/>
  </r>
  <r>
    <x v="2"/>
    <s v="DHT 150S "/>
    <s v="부산광역시 금정구"/>
    <m/>
    <n v="38727273"/>
    <n v="99120546250"/>
  </r>
  <r>
    <x v="2"/>
    <s v="DHS 950L "/>
    <s v="코스모 정보통신"/>
    <m/>
    <n v="36000000"/>
    <n v="99156546250"/>
  </r>
  <r>
    <x v="2"/>
    <s v="DHS 950L "/>
    <s v="(주)다산통신"/>
    <m/>
    <n v="34800000"/>
    <n v="99191346250"/>
  </r>
  <r>
    <x v="2"/>
    <s v="DHS 433L "/>
    <s v="(주)황실타이어"/>
    <m/>
    <n v="14300000"/>
    <n v="99205646250"/>
  </r>
  <r>
    <x v="2"/>
    <s v="크레인대금"/>
    <s v="한양전기 주식회사"/>
    <m/>
    <n v="147000000"/>
    <n v="99352646250"/>
  </r>
  <r>
    <x v="2"/>
    <s v="DHS 950L "/>
    <s v="VIET TRUNG JOINT STOCK EQUIPMENT COMPANY"/>
    <m/>
    <n v="574318400"/>
    <n v="99926964650"/>
  </r>
  <r>
    <x v="2"/>
    <s v="DHT 160AS "/>
    <s v="(주)호남전력"/>
    <m/>
    <n v="169000000"/>
    <n v="100095964650"/>
  </r>
  <r>
    <x v="2"/>
    <s v="DHS 190SKY "/>
    <s v="디앤수"/>
    <m/>
    <n v="61445456"/>
    <n v="100157410106"/>
  </r>
  <r>
    <x v="2"/>
    <s v="DHS 950L "/>
    <s v="(주)중앙통신건설"/>
    <m/>
    <n v="37272727"/>
    <n v="100194682833"/>
  </r>
  <r>
    <x v="2"/>
    <s v="DHS 950L "/>
    <s v="김해전기"/>
    <m/>
    <n v="33680000"/>
    <n v="100228362833"/>
  </r>
  <r>
    <x v="2"/>
    <s v="DHS 1200L "/>
    <s v="서광미디어(주)"/>
    <m/>
    <n v="44545455"/>
    <n v="100272908288"/>
  </r>
  <r>
    <x v="2"/>
    <s v="DHS 1200L "/>
    <s v="우주통신"/>
    <m/>
    <n v="44545455"/>
    <n v="100317453743"/>
  </r>
  <r>
    <x v="2"/>
    <s v="DHT 150S "/>
    <s v="제주특별자치도 서귀포시"/>
    <m/>
    <n v="129090910"/>
    <n v="100446544653"/>
  </r>
  <r>
    <x v="2"/>
    <s v="BAK-12 설치공사 07월 기성청구-오산비행장"/>
    <s v="성광건설산업(주)"/>
    <m/>
    <n v="60002600"/>
    <n v="100506547253"/>
  </r>
  <r>
    <x v="2"/>
    <s v="DHS 950L "/>
    <s v="정귀연"/>
    <m/>
    <n v="33500000"/>
    <n v="100540047253"/>
  </r>
  <r>
    <x v="2"/>
    <s v="DHS 433L "/>
    <s v="해양마린"/>
    <m/>
    <n v="14800000"/>
    <n v="100554847253"/>
  </r>
  <r>
    <x v="2"/>
    <s v="DHS 950L "/>
    <s v="지형정보통신"/>
    <m/>
    <n v="37272727"/>
    <n v="100592119980"/>
  </r>
  <r>
    <x v="2"/>
    <s v="DHS 1200L "/>
    <s v="신명엔지니어링(주)"/>
    <m/>
    <n v="42500000"/>
    <n v="100634619980"/>
  </r>
  <r>
    <x v="2"/>
    <s v="DHS 15AP "/>
    <s v="주식회사 조은전력"/>
    <m/>
    <n v="50909091"/>
    <n v="100685529071"/>
  </r>
  <r>
    <x v="2"/>
    <s v="DHS 950L "/>
    <s v="대길통신"/>
    <m/>
    <n v="34000000"/>
    <n v="100719529071"/>
  </r>
  <r>
    <x v="2"/>
    <s v="DHS 930 "/>
    <s v="(주)용진통신"/>
    <m/>
    <n v="34400000"/>
    <n v="100753929071"/>
  </r>
  <r>
    <x v="2"/>
    <s v="DHS 950L "/>
    <s v="(주)서림정보통신"/>
    <m/>
    <n v="36300000"/>
    <n v="100790229071"/>
  </r>
  <r>
    <x v="2"/>
    <s v="DHS 950L "/>
    <s v="주식회사 범우"/>
    <m/>
    <n v="34550000"/>
    <n v="100824779071"/>
  </r>
  <r>
    <x v="2"/>
    <s v="DHS 433L "/>
    <s v="주식회사 영양수"/>
    <m/>
    <n v="15000000"/>
    <n v="100839779071"/>
  </r>
  <r>
    <x v="2"/>
    <s v="DHS 433L "/>
    <s v="성진마린"/>
    <m/>
    <n v="14500000"/>
    <n v="100854279071"/>
  </r>
  <r>
    <x v="2"/>
    <s v="DHS 950L "/>
    <s v="동진통신(주)"/>
    <m/>
    <n v="34000000"/>
    <n v="100888279071"/>
  </r>
  <r>
    <x v="2"/>
    <s v="DHS 950L "/>
    <s v="유지텔레컴 주식회사"/>
    <m/>
    <n v="34545454"/>
    <n v="100922824525"/>
  </r>
  <r>
    <x v="2"/>
    <s v="DHS 950L "/>
    <s v="포어텍"/>
    <m/>
    <n v="34500000"/>
    <n v="100957324525"/>
  </r>
  <r>
    <x v="2"/>
    <s v="DHS 1200L "/>
    <s v="(주)바이텍코리아"/>
    <m/>
    <n v="41000000"/>
    <n v="100998324525"/>
  </r>
  <r>
    <x v="2"/>
    <s v="DHS 433 "/>
    <s v="삼화타이어"/>
    <m/>
    <n v="16030000"/>
    <n v="101014354525"/>
  </r>
  <r>
    <x v="2"/>
    <s v="DHS 15AP "/>
    <s v="대림전설 주식회사"/>
    <m/>
    <n v="49000000"/>
    <n v="101063354525"/>
  </r>
  <r>
    <x v="2"/>
    <s v="DHS 930 "/>
    <s v="덕산통신"/>
    <m/>
    <n v="34500000"/>
    <n v="101097854525"/>
  </r>
  <r>
    <x v="2"/>
    <s v="DHS 950L "/>
    <s v="롯데오토리스(주)"/>
    <m/>
    <n v="42584728"/>
    <n v="101140439253"/>
  </r>
  <r>
    <x v="2"/>
    <s v="DHS 950L "/>
    <s v="롯데오토리스(주)"/>
    <m/>
    <n v="42584728"/>
    <n v="101183023981"/>
  </r>
  <r>
    <x v="2"/>
    <s v="DHS 950L "/>
    <s v="롯데오토리스(주)"/>
    <m/>
    <n v="42584728"/>
    <n v="101225608709"/>
  </r>
  <r>
    <x v="2"/>
    <s v="DHS 950L "/>
    <s v="롯데오토리스(주)"/>
    <m/>
    <n v="42584728"/>
    <n v="101268193437"/>
  </r>
  <r>
    <x v="2"/>
    <s v="DHS 950L "/>
    <s v="롯데오토리스(주)"/>
    <m/>
    <n v="42584728"/>
    <n v="101310778165"/>
  </r>
  <r>
    <x v="2"/>
    <s v="DHS 950L "/>
    <s v="롯데오토리스(주)"/>
    <m/>
    <n v="42584728"/>
    <n v="101353362893"/>
  </r>
  <r>
    <x v="2"/>
    <s v="DHS 950L "/>
    <s v="롯데오토리스(주)"/>
    <m/>
    <n v="42584728"/>
    <n v="101395947621"/>
  </r>
  <r>
    <x v="2"/>
    <s v="DHS 950L "/>
    <s v="롯데오토리스(주)"/>
    <m/>
    <n v="42584728"/>
    <n v="101438532349"/>
  </r>
  <r>
    <x v="2"/>
    <s v="DHS 950L "/>
    <s v="롯데오토리스(주)"/>
    <m/>
    <n v="42584728"/>
    <n v="101481117077"/>
  </r>
  <r>
    <x v="2"/>
    <s v="DHS 950L "/>
    <s v="롯데오토리스(주)"/>
    <m/>
    <n v="42584728"/>
    <n v="101523701805"/>
  </r>
  <r>
    <x v="2"/>
    <s v="DHS 950L "/>
    <s v="롯데오토리스(주)"/>
    <m/>
    <n v="42584728"/>
    <n v="101566286533"/>
  </r>
  <r>
    <x v="2"/>
    <s v="DHS 950L "/>
    <s v="롯데오토리스(주)"/>
    <m/>
    <n v="42584728"/>
    <n v="101608871261"/>
  </r>
  <r>
    <x v="2"/>
    <s v="DHS 950L "/>
    <s v="롯데오토리스(주)"/>
    <m/>
    <n v="42584728"/>
    <n v="101651455989"/>
  </r>
  <r>
    <x v="2"/>
    <s v="DHS 950L "/>
    <s v="롯데오토리스(주)"/>
    <m/>
    <n v="42584728"/>
    <n v="101694040717"/>
  </r>
  <r>
    <x v="2"/>
    <s v="DHS 950L "/>
    <s v="롯데오토리스(주)"/>
    <m/>
    <n v="42584728"/>
    <n v="101736625445"/>
  </r>
  <r>
    <x v="2"/>
    <s v="DHS 950L "/>
    <s v="롯데오토리스(주)"/>
    <m/>
    <n v="42584728"/>
    <n v="101779210173"/>
  </r>
  <r>
    <x v="2"/>
    <s v="DHS 950L "/>
    <s v="롯데오토리스(주)"/>
    <m/>
    <n v="42584728"/>
    <n v="101821794901"/>
  </r>
  <r>
    <x v="2"/>
    <s v="DHS 950L "/>
    <s v="롯데오토리스(주)"/>
    <m/>
    <n v="42584728"/>
    <n v="101864379629"/>
  </r>
  <r>
    <x v="2"/>
    <s v="DHS 950L "/>
    <s v="롯데오토리스(주)"/>
    <m/>
    <n v="42584728"/>
    <n v="101906964357"/>
  </r>
  <r>
    <x v="2"/>
    <s v="DHS 950L "/>
    <s v="롯데오토리스(주)"/>
    <m/>
    <n v="42584728"/>
    <n v="101949549085"/>
  </r>
  <r>
    <x v="2"/>
    <s v="DHS 950L "/>
    <s v="롯데오토리스(주)"/>
    <m/>
    <n v="42584728"/>
    <n v="101992133813"/>
  </r>
  <r>
    <x v="2"/>
    <s v="DHS 950L "/>
    <s v="롯데오토리스(주)"/>
    <m/>
    <n v="42584728"/>
    <n v="102034718541"/>
  </r>
  <r>
    <x v="2"/>
    <s v="DHS 950L "/>
    <s v="롯데오토리스(주)"/>
    <m/>
    <n v="42584728"/>
    <n v="102077303269"/>
  </r>
  <r>
    <x v="2"/>
    <s v="DHT 160S "/>
    <s v="군위활선"/>
    <m/>
    <n v="146500000"/>
    <n v="102223803269"/>
  </r>
  <r>
    <x v="2"/>
    <s v="DHS 950L "/>
    <s v="SK네트웍스(주)"/>
    <m/>
    <n v="39545455"/>
    <n v="102263348724"/>
  </r>
  <r>
    <x v="2"/>
    <s v="DHS 950L "/>
    <s v="SK네트웍스(주)"/>
    <m/>
    <n v="39545455"/>
    <n v="102302894179"/>
  </r>
  <r>
    <x v="2"/>
    <s v="DHS 950L "/>
    <s v="SK네트웍스(주)"/>
    <m/>
    <n v="39545455"/>
    <n v="102342439634"/>
  </r>
  <r>
    <x v="2"/>
    <s v="DHS 950L "/>
    <s v="SK네트웍스(주)"/>
    <m/>
    <n v="39545455"/>
    <n v="102381985089"/>
  </r>
  <r>
    <x v="2"/>
    <s v="DHS 433L "/>
    <s v="타이어월드(주)"/>
    <m/>
    <n v="16500000"/>
    <n v="102398485089"/>
  </r>
  <r>
    <x v="2"/>
    <s v="DHS 950L "/>
    <s v="(유)삼일통신"/>
    <m/>
    <n v="35454545"/>
    <n v="102433939634"/>
  </r>
  <r>
    <x v="2"/>
    <s v="DHS 950L "/>
    <s v="대한네트웍스"/>
    <m/>
    <n v="35700000"/>
    <n v="102469639634"/>
  </r>
  <r>
    <x v="2"/>
    <s v="DHT 150S "/>
    <s v="창대활선"/>
    <m/>
    <n v="138000000"/>
    <n v="102607639634"/>
  </r>
  <r>
    <x v="2"/>
    <s v="DHS 950L "/>
    <s v="SK네트웍스(주)"/>
    <m/>
    <n v="-39545455"/>
    <n v="102568094179"/>
  </r>
  <r>
    <x v="2"/>
    <s v="DHS 950L "/>
    <s v="SK네트웍스(주)"/>
    <m/>
    <n v="39545455"/>
    <n v="102607639634"/>
  </r>
  <r>
    <x v="2"/>
    <s v="DHS 950L "/>
    <s v="SK네트웍스(주)"/>
    <m/>
    <n v="-39545455"/>
    <n v="102568094179"/>
  </r>
  <r>
    <x v="2"/>
    <s v="DHS 950L "/>
    <s v="SK네트웍스(주)"/>
    <m/>
    <n v="39545455"/>
    <n v="102607639634"/>
  </r>
  <r>
    <x v="2"/>
    <s v="DHS 950L "/>
    <s v="SK네트웍스(주)"/>
    <m/>
    <n v="-39545455"/>
    <n v="102568094179"/>
  </r>
  <r>
    <x v="2"/>
    <s v="DHS 950L "/>
    <s v="SK네트웍스(주)"/>
    <m/>
    <n v="39545455"/>
    <n v="102607639634"/>
  </r>
  <r>
    <x v="2"/>
    <s v="DHS 950L "/>
    <s v="SK네트웍스(주)"/>
    <m/>
    <n v="-39545455"/>
    <n v="102568094179"/>
  </r>
  <r>
    <x v="2"/>
    <s v="DHS 950L "/>
    <s v="SK네트웍스(주)"/>
    <m/>
    <n v="39545455"/>
    <n v="102607639634"/>
  </r>
  <r>
    <x v="2"/>
    <s v="DHS 950L "/>
    <s v="(유)가나통신"/>
    <m/>
    <n v="37272727"/>
    <n v="102644912361"/>
  </r>
  <r>
    <x v="2"/>
    <s v="DHS 930 "/>
    <s v="주식회사 한올통신"/>
    <m/>
    <n v="34500000"/>
    <n v="102679412361"/>
  </r>
  <r>
    <x v="2"/>
    <s v="DHS 433L "/>
    <s v="대성중기"/>
    <m/>
    <n v="14200000"/>
    <n v="102693612361"/>
  </r>
  <r>
    <x v="2"/>
    <s v="DHS 950L "/>
    <s v="밀알통신"/>
    <m/>
    <n v="35272727"/>
    <n v="102728885088"/>
  </r>
  <r>
    <x v="2"/>
    <s v="DHS 950L "/>
    <s v="(주)강원디지털네트웍스"/>
    <m/>
    <n v="35909091"/>
    <n v="102764794179"/>
  </r>
  <r>
    <x v="2"/>
    <s v="DHS 1200L "/>
    <s v="서암전설 주식회사"/>
    <m/>
    <n v="43000000"/>
    <n v="102807794179"/>
  </r>
  <r>
    <x v="2"/>
    <s v="DHS 1200L "/>
    <s v="화인텔레콤(주)"/>
    <m/>
    <n v="43000000"/>
    <n v="102850794179"/>
  </r>
  <r>
    <x v="2"/>
    <s v="DHT 160AS "/>
    <s v="주식회사 나라"/>
    <m/>
    <n v="167500000"/>
    <n v="103018294179"/>
  </r>
  <r>
    <x v="2"/>
    <s v="DHT 150S "/>
    <s v="(주)상보전력"/>
    <m/>
    <n v="141500000"/>
    <n v="103159794179"/>
  </r>
  <r>
    <x v="2"/>
    <s v="DHT 150AS "/>
    <s v="주식회사 도암엔지니어링"/>
    <m/>
    <n v="161000000"/>
    <n v="103320794179"/>
  </r>
  <r>
    <x v="2"/>
    <s v="DHS 433L "/>
    <s v="오향란"/>
    <m/>
    <n v="14650000"/>
    <n v="103335444179"/>
  </r>
  <r>
    <x v="2"/>
    <s v="DHS 950L "/>
    <s v="(주)원더정보"/>
    <m/>
    <n v="39090909"/>
    <n v="103374535088"/>
  </r>
  <r>
    <x v="2"/>
    <s v="DHT 160AS "/>
    <s v="신흥전력주식회사"/>
    <m/>
    <n v="167000000"/>
    <n v="103541535088"/>
  </r>
  <r>
    <x v="2"/>
    <s v="DHS 433L "/>
    <s v="신우티피에스 주식회사"/>
    <m/>
    <n v="16500000"/>
    <n v="103558035088"/>
  </r>
  <r>
    <x v="2"/>
    <s v="추가계약건"/>
    <s v="청도군청"/>
    <m/>
    <n v="3600000"/>
    <n v="103561635088"/>
  </r>
  <r>
    <x v="2"/>
    <s v="ALPHA 5000 "/>
    <s v="청도군청"/>
    <m/>
    <n v="69818182"/>
    <n v="103631453270"/>
  </r>
  <r>
    <x v="2"/>
    <s v="DHS 950L "/>
    <s v="(유)딕스"/>
    <m/>
    <n v="35454545"/>
    <n v="103666907815"/>
  </r>
  <r>
    <x v="2"/>
    <s v="DHS 950L "/>
    <s v="(주)경남네트워크"/>
    <m/>
    <n v="35500000"/>
    <n v="103702407815"/>
  </r>
  <r>
    <x v="2"/>
    <s v="DHS 950L "/>
    <s v="(주)에드원텔레콤"/>
    <m/>
    <n v="36500000"/>
    <n v="103738907815"/>
  </r>
  <r>
    <x v="2"/>
    <s v="추가계약건"/>
    <s v="부산북구청"/>
    <m/>
    <n v="3763636"/>
    <n v="103742671451"/>
  </r>
  <r>
    <x v="2"/>
    <s v="DHS 1800"/>
    <s v="(주)한화"/>
    <m/>
    <n v="38085735"/>
    <n v="103780757186"/>
  </r>
  <r>
    <x v="2"/>
    <s v="DHS 15AP "/>
    <s v="HYUNDAI MOTOR (THAILAND)CO., LTD"/>
    <m/>
    <n v="132653228"/>
    <n v="103913410414"/>
  </r>
  <r>
    <x v="2"/>
    <s v="DHS 950L "/>
    <s v="(주)뉴젠스"/>
    <m/>
    <n v="35000000"/>
    <n v="103948410414"/>
  </r>
  <r>
    <x v="2"/>
    <s v="DHS 950L "/>
    <s v="유니온"/>
    <m/>
    <n v="36363636"/>
    <n v="103984774050"/>
  </r>
  <r>
    <x v="2"/>
    <s v="DHS 950L "/>
    <s v="(유)오성통신"/>
    <m/>
    <n v="35181818"/>
    <n v="104019955868"/>
  </r>
  <r>
    <x v="2"/>
    <s v="DHS 1200L "/>
    <s v="태양전력"/>
    <m/>
    <n v="42300000"/>
    <n v="104062255868"/>
  </r>
  <r>
    <x v="2"/>
    <s v="DHS 15AP "/>
    <s v="정진건설"/>
    <m/>
    <n v="50000000"/>
    <n v="104112255868"/>
  </r>
  <r>
    <x v="2"/>
    <s v="추가계약건"/>
    <s v="부산연제구청"/>
    <m/>
    <n v="3763636"/>
    <n v="104116019504"/>
  </r>
  <r>
    <x v="2"/>
    <s v="DHT 150S "/>
    <s v="기수이엔지"/>
    <m/>
    <n v="139300000"/>
    <n v="104255319504"/>
  </r>
  <r>
    <x v="2"/>
    <s v="ALPHA 12000 "/>
    <s v="부산북구청"/>
    <m/>
    <n v="48045455"/>
    <n v="104303364959"/>
  </r>
  <r>
    <x v="2"/>
    <s v="ALPHA 12000 "/>
    <s v="부산연제구청"/>
    <m/>
    <n v="96090910"/>
    <n v="104399455869"/>
  </r>
  <r>
    <x v="2"/>
    <s v="DHS 905L "/>
    <s v="중원정보통신(주)"/>
    <m/>
    <n v="35268182"/>
    <n v="104434724051"/>
  </r>
  <r>
    <x v="2"/>
    <s v="DHS 1200L "/>
    <s v="주식회사 동국산업"/>
    <m/>
    <n v="44545455"/>
    <n v="104479269506"/>
  </r>
  <r>
    <x v="2"/>
    <s v="DHS 15AP "/>
    <s v="청솔전기"/>
    <m/>
    <n v="50636363"/>
    <n v="104529905869"/>
  </r>
  <r>
    <x v="2"/>
    <s v="DHT 150S "/>
    <s v="송림활선"/>
    <m/>
    <n v="141000000"/>
    <n v="104670905869"/>
  </r>
  <r>
    <x v="2"/>
    <s v="DHS 930 "/>
    <s v="현대캐피탈주식회사"/>
    <m/>
    <n v="30465000"/>
    <n v="104701370869"/>
  </r>
  <r>
    <x v="2"/>
    <s v="DHS 930 "/>
    <s v="현대캐피탈주식회사"/>
    <m/>
    <n v="30465000"/>
    <n v="104731835869"/>
  </r>
  <r>
    <x v="2"/>
    <s v="DHS 930 "/>
    <s v="현대캐피탈주식회사"/>
    <m/>
    <n v="30465000"/>
    <n v="104762300869"/>
  </r>
  <r>
    <x v="2"/>
    <s v="DHS 930 "/>
    <s v="현대캐피탈주식회사"/>
    <m/>
    <n v="30465000"/>
    <n v="104792765869"/>
  </r>
  <r>
    <x v="2"/>
    <s v="DHS 930 "/>
    <s v="현대캐피탈주식회사"/>
    <m/>
    <n v="30465000"/>
    <n v="104823230869"/>
  </r>
  <r>
    <x v="2"/>
    <s v="DHS 930 "/>
    <s v="현대캐피탈주식회사"/>
    <m/>
    <n v="30465000"/>
    <n v="104853695869"/>
  </r>
  <r>
    <x v="2"/>
    <s v="DHS 930 "/>
    <s v="현대캐피탈주식회사"/>
    <m/>
    <n v="30465000"/>
    <n v="104884160869"/>
  </r>
  <r>
    <x v="2"/>
    <s v="DHS 1800 "/>
    <s v="대구광역시 시설관리공단"/>
    <m/>
    <n v="86627273"/>
    <n v="104970788142"/>
  </r>
  <r>
    <x v="2"/>
    <s v="추가계약건"/>
    <s v="대구광역시 시설관리공단"/>
    <m/>
    <n v="10800000"/>
    <n v="104981588142"/>
  </r>
  <r>
    <x v="2"/>
    <s v="DHT 150AS "/>
    <s v="성보건설(주)"/>
    <m/>
    <n v="161000000"/>
    <n v="105142588142"/>
  </r>
  <r>
    <x v="2"/>
    <s v="DHS 930 "/>
    <s v="현대캐피탈주식회사"/>
    <m/>
    <n v="30465000"/>
    <n v="105173053142"/>
  </r>
  <r>
    <x v="2"/>
    <s v="DHS 930 "/>
    <s v="현대캐피탈주식회사"/>
    <m/>
    <n v="30465000"/>
    <n v="105203518142"/>
  </r>
  <r>
    <x v="2"/>
    <s v="DHS 930 "/>
    <s v="현대캐피탈주식회사"/>
    <m/>
    <n v="30465000"/>
    <n v="105233983142"/>
  </r>
  <r>
    <x v="2"/>
    <s v="DHS 1200L "/>
    <s v="광명전기(주)"/>
    <m/>
    <n v="42500000"/>
    <n v="105276483142"/>
  </r>
  <r>
    <x v="2"/>
    <s v="DHS 15AP "/>
    <s v="미래전기통신 주식회사"/>
    <m/>
    <n v="51000000"/>
    <n v="105327483142"/>
  </r>
  <r>
    <x v="2"/>
    <s v="DHS 105AP "/>
    <s v="이레정보통신"/>
    <m/>
    <n v="39500000"/>
    <n v="105366983142"/>
  </r>
  <r>
    <x v="2"/>
    <s v="DHS 930 "/>
    <s v="(유)황우엔지니어링"/>
    <m/>
    <n v="36363636"/>
    <n v="105403346778"/>
  </r>
  <r>
    <x v="2"/>
    <s v="DHS 190SKY "/>
    <s v="제일광고기획"/>
    <m/>
    <n v="62000000"/>
    <n v="105465346778"/>
  </r>
  <r>
    <x v="2"/>
    <s v="DHT 150AS "/>
    <s v="지문활선"/>
    <m/>
    <n v="161000000"/>
    <n v="105626346778"/>
  </r>
  <r>
    <x v="2"/>
    <s v="DHT 150AS "/>
    <s v="예종활선"/>
    <m/>
    <n v="161000000"/>
    <n v="105787346778"/>
  </r>
  <r>
    <x v="2"/>
    <s v="DHT 150AS "/>
    <s v="대명중기"/>
    <m/>
    <n v="161000000"/>
    <n v="105948346778"/>
  </r>
  <r>
    <x v="2"/>
    <s v="DHS 930 "/>
    <s v="현대캐피탈주식회사"/>
    <m/>
    <n v="30465000"/>
    <n v="105978811778"/>
  </r>
  <r>
    <x v="2"/>
    <s v="DHS 930 "/>
    <s v="현대캐피탈주식회사"/>
    <m/>
    <n v="30465000"/>
    <n v="106009276778"/>
  </r>
  <r>
    <x v="2"/>
    <s v="DHS 930 "/>
    <s v="현대캐피탈주식회사"/>
    <m/>
    <n v="30465000"/>
    <n v="106039741778"/>
  </r>
  <r>
    <x v="2"/>
    <s v="DHS 930 "/>
    <s v="현대캐피탈주식회사"/>
    <m/>
    <n v="30465000"/>
    <n v="106070206778"/>
  </r>
  <r>
    <x v="2"/>
    <s v="DHS 930 "/>
    <s v="현대캐피탈주식회사"/>
    <m/>
    <n v="30465000"/>
    <n v="106100671778"/>
  </r>
  <r>
    <x v="2"/>
    <s v="DHS 930 "/>
    <s v="현대캐피탈주식회사"/>
    <m/>
    <n v="30465000"/>
    <n v="106131136778"/>
  </r>
  <r>
    <x v="2"/>
    <s v="DHS 930 "/>
    <s v="현대캐피탈주식회사"/>
    <m/>
    <n v="30465000"/>
    <n v="106161601778"/>
  </r>
  <r>
    <x v="2"/>
    <s v="DHS 930 "/>
    <s v="현대캐피탈주식회사"/>
    <m/>
    <n v="30465000"/>
    <n v="106192066778"/>
  </r>
  <r>
    <x v="2"/>
    <s v="H-BEAM외"/>
    <s v="성광건설산업(주)"/>
    <m/>
    <n v="4980000"/>
    <n v="106197046778"/>
  </r>
  <r>
    <x v="2"/>
    <s v="DHT 160AS "/>
    <s v="(주)대한"/>
    <m/>
    <n v="164000000"/>
    <n v="106361046778"/>
  </r>
  <r>
    <x v="2"/>
    <s v="DHT 160AS "/>
    <s v="개별화물"/>
    <m/>
    <n v="164000000"/>
    <n v="106525046778"/>
  </r>
  <r>
    <x v="2"/>
    <s v="BAK-12 설치공사 08월 기성청구-오산비행장"/>
    <s v="성광건설산업(주)"/>
    <m/>
    <n v="26245000"/>
    <n v="106551291778"/>
  </r>
  <r>
    <x v="2"/>
    <s v="DHS 950L "/>
    <s v="(주)광운정보"/>
    <m/>
    <n v="36200000"/>
    <n v="106587491778"/>
  </r>
  <r>
    <x v="2"/>
    <s v="DHS 950L "/>
    <s v="(주)선진정보통신"/>
    <m/>
    <n v="34700000"/>
    <n v="106622191778"/>
  </r>
  <r>
    <x v="2"/>
    <s v="DHS 930 "/>
    <s v="현대캐피탈주식회사"/>
    <m/>
    <n v="30465000"/>
    <n v="106652656778"/>
  </r>
  <r>
    <x v="2"/>
    <s v="DHS 930 "/>
    <s v="현대캐피탈주식회사"/>
    <m/>
    <n v="30465000"/>
    <n v="106683121778"/>
  </r>
  <r>
    <x v="2"/>
    <s v="DHS 930 "/>
    <s v="성창통신 주식회사"/>
    <m/>
    <n v="34500000"/>
    <n v="106717621778"/>
  </r>
  <r>
    <x v="2"/>
    <s v="DHS 950L "/>
    <s v="K2 네트워크"/>
    <m/>
    <n v="35000000"/>
    <n v="106752621778"/>
  </r>
  <r>
    <x v="2"/>
    <s v="DHS 930 "/>
    <s v="현대캐피탈주식회사"/>
    <m/>
    <n v="30465000"/>
    <n v="106783086778"/>
  </r>
  <r>
    <x v="2"/>
    <s v="DHS 930 "/>
    <s v="현대캐피탈주식회사"/>
    <m/>
    <n v="30465000"/>
    <n v="106813551778"/>
  </r>
  <r>
    <x v="2"/>
    <s v="DHS 930 "/>
    <s v="현대캐피탈주식회사"/>
    <m/>
    <n v="30465000"/>
    <n v="106844016778"/>
  </r>
  <r>
    <x v="2"/>
    <s v="DHS 930 "/>
    <s v="현대캐피탈주식회사"/>
    <m/>
    <n v="30465000"/>
    <n v="106874481778"/>
  </r>
  <r>
    <x v="2"/>
    <s v="DHS 930 "/>
    <s v="현대캐피탈주식회사"/>
    <m/>
    <n v="30465000"/>
    <n v="106904946778"/>
  </r>
  <r>
    <x v="2"/>
    <s v="DHS 930 "/>
    <s v="현대캐피탈주식회사"/>
    <m/>
    <n v="30465000"/>
    <n v="106935411778"/>
  </r>
  <r>
    <x v="2"/>
    <s v="DHS 930 "/>
    <s v="현대캐피탈주식회사"/>
    <m/>
    <n v="30465000"/>
    <n v="106965876778"/>
  </r>
  <r>
    <x v="2"/>
    <s v="DHS 930 "/>
    <s v="현대캐피탈주식회사"/>
    <m/>
    <n v="30465000"/>
    <n v="106996341778"/>
  </r>
  <r>
    <x v="2"/>
    <s v="DHS 1200L "/>
    <s v="대한정보통신(주)"/>
    <m/>
    <n v="40909091"/>
    <n v="107037250869"/>
  </r>
  <r>
    <x v="2"/>
    <s v="DHS 950L "/>
    <s v="롯데오토리스(주)"/>
    <m/>
    <n v="42584728"/>
    <n v="107079835597"/>
  </r>
  <r>
    <x v="2"/>
    <s v="DHS 950L "/>
    <s v="롯데오토리스(주)"/>
    <m/>
    <n v="42584728"/>
    <n v="107122420325"/>
  </r>
  <r>
    <x v="2"/>
    <s v="DHS 950L "/>
    <s v="롯데오토리스(주)"/>
    <m/>
    <n v="42584728"/>
    <n v="107165005053"/>
  </r>
  <r>
    <x v="2"/>
    <s v="DHS 950L "/>
    <s v="롯데오토리스(주)"/>
    <m/>
    <n v="42584728"/>
    <n v="107207589781"/>
  </r>
  <r>
    <x v="2"/>
    <s v="DHS 950L "/>
    <s v="롯데오토리스(주)"/>
    <m/>
    <n v="42584728"/>
    <n v="107250174509"/>
  </r>
  <r>
    <x v="2"/>
    <s v="DHS 950L "/>
    <s v="롯데오토리스(주)"/>
    <m/>
    <n v="42584728"/>
    <n v="107292759237"/>
  </r>
  <r>
    <x v="2"/>
    <s v="DHS 950L "/>
    <s v="롯데오토리스(주)"/>
    <m/>
    <n v="42584728"/>
    <n v="107335343965"/>
  </r>
  <r>
    <x v="2"/>
    <s v="DHS 950L "/>
    <s v="롯데오토리스(주)"/>
    <m/>
    <n v="42584728"/>
    <n v="107377928693"/>
  </r>
  <r>
    <x v="2"/>
    <s v="DHS 950L "/>
    <s v="롯데오토리스(주)"/>
    <m/>
    <n v="42584728"/>
    <n v="107420513421"/>
  </r>
  <r>
    <x v="2"/>
    <s v="DHS 950L "/>
    <s v="롯데오토리스(주)"/>
    <m/>
    <n v="42584728"/>
    <n v="107463098149"/>
  </r>
  <r>
    <x v="2"/>
    <s v="DHS 950L "/>
    <s v="롯데오토리스(주)"/>
    <m/>
    <n v="42584728"/>
    <n v="107505682877"/>
  </r>
  <r>
    <x v="2"/>
    <s v="DHS 950L "/>
    <s v="롯데오토리스(주)"/>
    <m/>
    <n v="42584728"/>
    <n v="107548267605"/>
  </r>
  <r>
    <x v="2"/>
    <s v="DHS 950L "/>
    <s v="롯데오토리스(주)"/>
    <m/>
    <n v="42584728"/>
    <n v="107590852333"/>
  </r>
  <r>
    <x v="2"/>
    <s v="DHS 950L "/>
    <s v="(주)씨앤앰 송파케이블티브이"/>
    <m/>
    <n v="39000000"/>
    <n v="107629852333"/>
  </r>
  <r>
    <x v="2"/>
    <s v="DHS 1200L "/>
    <s v="(주)씨앤앰서초케이블티브이"/>
    <m/>
    <n v="46500000"/>
    <n v="107676352333"/>
  </r>
  <r>
    <x v="2"/>
    <s v="DHS 1200L "/>
    <s v="(주)씨앤앰서초케이블티브이"/>
    <m/>
    <n v="46500000"/>
    <n v="107722852333"/>
  </r>
  <r>
    <x v="2"/>
    <s v="DHS 1200L "/>
    <s v="(주)씨앤앰구로금천케이블티브이"/>
    <m/>
    <n v="46500000"/>
    <n v="107769352333"/>
  </r>
  <r>
    <x v="2"/>
    <s v="DHS 1200L "/>
    <s v="(주)씨앤앰경기케이블티브이"/>
    <m/>
    <n v="46500000"/>
    <n v="107815852333"/>
  </r>
  <r>
    <x v="2"/>
    <s v="DHS 1200L "/>
    <s v="(주)씨앤앰경동케이블티브이"/>
    <m/>
    <n v="46500000"/>
    <n v="107862352333"/>
  </r>
  <r>
    <x v="2"/>
    <s v="DHS 1200L "/>
    <s v="(주)씨앤앰경동케이블티브이"/>
    <m/>
    <n v="46500000"/>
    <n v="107908852333"/>
  </r>
  <r>
    <x v="2"/>
    <s v="DHS 1200L "/>
    <s v="(주)씨앤앰경동케이블티브이"/>
    <m/>
    <n v="46500000"/>
    <n v="107955352333"/>
  </r>
  <r>
    <x v="2"/>
    <s v="DHS 1200L "/>
    <s v="(주)씨앤앰경기동부케이블티브이"/>
    <m/>
    <n v="46500000"/>
    <n v="108001852333"/>
  </r>
  <r>
    <x v="2"/>
    <s v="DHS 1200L "/>
    <s v="(주)씨앤앰 우리케이블티브이"/>
    <m/>
    <n v="46500000"/>
    <n v="108048352333"/>
  </r>
  <r>
    <x v="2"/>
    <s v="DHS 1200L "/>
    <s v="(주)씨앤앰 우리케이블티브이"/>
    <m/>
    <n v="46500000"/>
    <n v="108094852333"/>
  </r>
  <r>
    <x v="2"/>
    <s v="DHS 1200L "/>
    <s v="(주)씨앤앰 우리케이블티브이"/>
    <m/>
    <n v="46500000"/>
    <n v="108141352333"/>
  </r>
  <r>
    <x v="2"/>
    <s v="ALPHA 5000 "/>
    <s v="장성군청"/>
    <m/>
    <n v="69818182"/>
    <n v="108211170515"/>
  </r>
  <r>
    <x v="2"/>
    <s v="DHS 1200L "/>
    <s v="(주)씨앤앰 서초케이블티브이"/>
    <m/>
    <n v="-46500000"/>
    <n v="108164670515"/>
  </r>
  <r>
    <x v="2"/>
    <s v="DHS 1200L "/>
    <s v="(주)씨앤앰 서초케이블티브이"/>
    <m/>
    <n v="46500000"/>
    <n v="108211170515"/>
  </r>
  <r>
    <x v="2"/>
    <s v="DHS 1200L "/>
    <s v="(주)씨앤앰 서초케이블티브이"/>
    <m/>
    <n v="-46500000"/>
    <n v="108164670515"/>
  </r>
  <r>
    <x v="2"/>
    <s v="DHS 1200L "/>
    <s v="(주)씨앤앰 서초케이블티브이"/>
    <m/>
    <n v="46500000"/>
    <n v="108211170515"/>
  </r>
  <r>
    <x v="2"/>
    <s v="추가계약건 "/>
    <s v="장성군청"/>
    <m/>
    <n v="10450000"/>
    <n v="108221620515"/>
  </r>
  <r>
    <x v="2"/>
    <s v="DHS 930 "/>
    <s v="현대캐피탈주식회사"/>
    <m/>
    <n v="30465000"/>
    <n v="108252085515"/>
  </r>
  <r>
    <x v="2"/>
    <s v="DHS 930 "/>
    <s v="현대캐피탈주식회사"/>
    <m/>
    <n v="30465000"/>
    <n v="108282550515"/>
  </r>
  <r>
    <x v="2"/>
    <s v="DHS 930 "/>
    <s v="현대캐피탈주식회사"/>
    <m/>
    <n v="30465000"/>
    <n v="108313015515"/>
  </r>
  <r>
    <x v="2"/>
    <s v="DHS 930 "/>
    <s v="현대캐피탈주식회사"/>
    <m/>
    <n v="30465000"/>
    <n v="108343480515"/>
  </r>
  <r>
    <x v="2"/>
    <s v="DHS 930 "/>
    <s v="현대캐피탈주식회사"/>
    <m/>
    <n v="30465000"/>
    <n v="108373945515"/>
  </r>
  <r>
    <x v="2"/>
    <s v="DHS 950L "/>
    <s v="덕성정보통신(주)"/>
    <m/>
    <n v="35500000"/>
    <n v="108409445515"/>
  </r>
  <r>
    <x v="2"/>
    <s v="DHS 950L "/>
    <s v="천하정보"/>
    <m/>
    <n v="35000000"/>
    <n v="108444445515"/>
  </r>
  <r>
    <x v="2"/>
    <s v="DHS 950L "/>
    <s v="동남전기통신(주)"/>
    <m/>
    <n v="35909091"/>
    <n v="108480354606"/>
  </r>
  <r>
    <x v="2"/>
    <s v="DHS 950L "/>
    <s v="(주)선진정보통신"/>
    <m/>
    <n v="34700000"/>
    <n v="108515054606"/>
  </r>
  <r>
    <x v="2"/>
    <s v="DHS 950L "/>
    <s v="연우통신(주)"/>
    <m/>
    <n v="35800000"/>
    <n v="108550854606"/>
  </r>
  <r>
    <x v="2"/>
    <s v="DHS 125AP "/>
    <s v="현 컴퍼니"/>
    <m/>
    <n v="42181818"/>
    <n v="108593036424"/>
  </r>
  <r>
    <x v="2"/>
    <s v="DHS 15AP "/>
    <s v="명원통신"/>
    <m/>
    <n v="50909091"/>
    <n v="108643945515"/>
  </r>
  <r>
    <x v="2"/>
    <s v="DHS 930 "/>
    <s v="현대캐피탈주식회사"/>
    <m/>
    <n v="30465000"/>
    <n v="108674410515"/>
  </r>
  <r>
    <x v="2"/>
    <s v="DHS 930 "/>
    <s v="현대캐피탈주식회사"/>
    <m/>
    <n v="30465000"/>
    <n v="108704875515"/>
  </r>
  <r>
    <x v="2"/>
    <s v="DHS 930 "/>
    <s v="현대캐피탈주식회사"/>
    <m/>
    <n v="30465000"/>
    <n v="108735340515"/>
  </r>
  <r>
    <x v="2"/>
    <s v="DHS 930 "/>
    <s v="현대캐피탈주식회사"/>
    <m/>
    <n v="30465000"/>
    <n v="108765805515"/>
  </r>
  <r>
    <x v="2"/>
    <s v="DHS 930 "/>
    <s v="현대캐피탈주식회사"/>
    <m/>
    <n v="30465000"/>
    <n v="108796270515"/>
  </r>
  <r>
    <x v="2"/>
    <s v="DHS 930 "/>
    <s v="현대캐피탈주식회사"/>
    <m/>
    <n v="30465000"/>
    <n v="108826735515"/>
  </r>
  <r>
    <x v="2"/>
    <s v="DHS 930 "/>
    <s v="현대캐피탈주식회사"/>
    <m/>
    <n v="30465000"/>
    <n v="108857200515"/>
  </r>
  <r>
    <x v="2"/>
    <s v="DHS 930 "/>
    <s v="현대캐피탈주식회사"/>
    <m/>
    <n v="30465000"/>
    <n v="108887665515"/>
  </r>
  <r>
    <x v="2"/>
    <s v="DHS 930 "/>
    <s v="현대캐피탈주식회사"/>
    <m/>
    <n v="30465000"/>
    <n v="108918130515"/>
  </r>
  <r>
    <x v="2"/>
    <s v="DHS 433L "/>
    <s v="오양ENG"/>
    <m/>
    <n v="14000000"/>
    <n v="108932130515"/>
  </r>
  <r>
    <x v="2"/>
    <s v="DHS 950L "/>
    <s v="주현통신"/>
    <m/>
    <n v="35000000"/>
    <n v="108967130515"/>
  </r>
  <r>
    <x v="2"/>
    <s v="DHT 160AS "/>
    <s v="신용수"/>
    <m/>
    <n v="168000000"/>
    <n v="109135130515"/>
  </r>
  <r>
    <x v="2"/>
    <s v="DHT 160S "/>
    <s v="오정우"/>
    <m/>
    <n v="150000000"/>
    <n v="109285130515"/>
  </r>
  <r>
    <x v="2"/>
    <s v="DHS 190SKY "/>
    <s v="라인광고"/>
    <m/>
    <n v="60500000"/>
    <n v="109345630515"/>
  </r>
  <r>
    <x v="2"/>
    <s v="DHT 160S "/>
    <s v="(주)삼진종합전기"/>
    <m/>
    <n v="153000000"/>
    <n v="109498630515"/>
  </r>
  <r>
    <x v="2"/>
    <s v="DHS 534 "/>
    <s v="제주용마린"/>
    <m/>
    <n v="14727272"/>
    <n v="109513357787"/>
  </r>
  <r>
    <x v="2"/>
    <s v="DHS 190SKY "/>
    <s v="라인광고"/>
    <m/>
    <n v="-60500000"/>
    <n v="109452857787"/>
  </r>
  <r>
    <x v="2"/>
    <s v="DHS 930 "/>
    <s v="현대캐피탈주식회사"/>
    <m/>
    <n v="30465000"/>
    <n v="109483322787"/>
  </r>
  <r>
    <x v="2"/>
    <s v="DHS 930 "/>
    <s v="현대캐피탈주식회사"/>
    <m/>
    <n v="30465000"/>
    <n v="109513787787"/>
  </r>
  <r>
    <x v="2"/>
    <s v="DHS 930 "/>
    <s v="현대캐피탈주식회사"/>
    <m/>
    <n v="30465000"/>
    <n v="109544252787"/>
  </r>
  <r>
    <x v="2"/>
    <s v="DHS 930 "/>
    <s v="현대캐피탈주식회사"/>
    <m/>
    <n v="30465000"/>
    <n v="109574717787"/>
  </r>
  <r>
    <x v="2"/>
    <s v="DHS 930 "/>
    <s v="현대캐피탈주식회사"/>
    <m/>
    <n v="30465000"/>
    <n v="109605182787"/>
  </r>
  <r>
    <x v="2"/>
    <s v="DHT 150S "/>
    <s v="해창ENG"/>
    <m/>
    <n v="141000000"/>
    <n v="109746182787"/>
  </r>
  <r>
    <x v="2"/>
    <s v="DHS 930 "/>
    <s v="현대캐피탈주식회사"/>
    <m/>
    <n v="30465000"/>
    <n v="109776647787"/>
  </r>
  <r>
    <x v="2"/>
    <s v="DHS 930 "/>
    <s v="현대캐피탈주식회사"/>
    <m/>
    <n v="30465000"/>
    <n v="109807112787"/>
  </r>
  <r>
    <x v="2"/>
    <s v="DHS 930 "/>
    <s v="현대캐피탈주식회사"/>
    <m/>
    <n v="30465000"/>
    <n v="109837577787"/>
  </r>
  <r>
    <x v="2"/>
    <s v="DHS 950L "/>
    <s v="롯데오토리스(주)"/>
    <m/>
    <n v="42584728"/>
    <n v="109880162515"/>
  </r>
  <r>
    <x v="2"/>
    <s v="DHS 950L "/>
    <s v="롯데오토리스(주)"/>
    <m/>
    <n v="42584728"/>
    <n v="109922747243"/>
  </r>
  <r>
    <x v="2"/>
    <s v="DHS 950L "/>
    <s v="롯데오토리스(주)"/>
    <m/>
    <n v="42584728"/>
    <n v="109965331971"/>
  </r>
  <r>
    <x v="2"/>
    <s v="DHS 950L "/>
    <s v="롯데오토리스(주)"/>
    <m/>
    <n v="42584728"/>
    <n v="110007916699"/>
  </r>
  <r>
    <x v="2"/>
    <s v="DHS 950L "/>
    <s v="롯데오토리스(주)"/>
    <m/>
    <n v="42584728"/>
    <n v="110050501427"/>
  </r>
  <r>
    <x v="2"/>
    <s v="DHS 950L "/>
    <s v="롯데오토리스(주)"/>
    <m/>
    <n v="42584728"/>
    <n v="110093086155"/>
  </r>
  <r>
    <x v="2"/>
    <s v="DHS 950L "/>
    <s v="롯데오토리스(주)"/>
    <m/>
    <n v="42584728"/>
    <n v="110135670883"/>
  </r>
  <r>
    <x v="2"/>
    <s v="DHS 950L "/>
    <s v="롯데오토리스(주)"/>
    <m/>
    <n v="42584728"/>
    <n v="110178255611"/>
  </r>
  <r>
    <x v="2"/>
    <s v="DHS 950L "/>
    <s v="롯데오토리스(주)"/>
    <m/>
    <n v="42584728"/>
    <n v="110220840339"/>
  </r>
  <r>
    <x v="2"/>
    <s v="DHS 950L "/>
    <s v="롯데오토리스(주)"/>
    <m/>
    <n v="42584728"/>
    <n v="110263425067"/>
  </r>
  <r>
    <x v="2"/>
    <s v="DHS 930 "/>
    <s v="디앤엘아이티씨"/>
    <m/>
    <n v="35454545"/>
    <n v="110298879612"/>
  </r>
  <r>
    <x v="2"/>
    <s v="DHS 1200L "/>
    <s v="미성전기통신"/>
    <m/>
    <n v="41300000"/>
    <n v="110340179612"/>
  </r>
  <r>
    <x v="2"/>
    <s v="DHS 190SKY "/>
    <s v="경주천년콜크레인"/>
    <m/>
    <n v="60500000"/>
    <n v="110400679612"/>
  </r>
  <r>
    <x v="2"/>
    <s v="DHS 930 "/>
    <s v="유한회사 유성통신건설"/>
    <m/>
    <n v="36163636"/>
    <n v="110436843248"/>
  </r>
  <r>
    <x v="2"/>
    <s v="DHS 930 "/>
    <s v="(유)제이케이건설"/>
    <m/>
    <n v="36363636"/>
    <n v="110473206884"/>
  </r>
  <r>
    <x v="2"/>
    <s v="DHS 1200L "/>
    <s v="서림건설 주식회사"/>
    <m/>
    <n v="42500000"/>
    <n v="110515706884"/>
  </r>
  <r>
    <x v="2"/>
    <s v="DERRICK CYLINDER외 "/>
    <s v="VIET TRUNG JOINT STOCK EQUIPMENT COMPANY"/>
    <m/>
    <n v="2724414"/>
    <n v="110518431298"/>
  </r>
  <r>
    <x v="2"/>
    <s v="DHS 17AP "/>
    <s v="주식회사 백두전력"/>
    <m/>
    <n v="53500000"/>
    <n v="110571931298"/>
  </r>
  <r>
    <x v="2"/>
    <s v="DHS 950L "/>
    <s v="롯데오토리스(주)"/>
    <m/>
    <n v="42584728"/>
    <n v="110614516026"/>
  </r>
  <r>
    <x v="2"/>
    <s v="DHS 950L "/>
    <s v="롯데오토리스(주)"/>
    <m/>
    <n v="42584728"/>
    <n v="110657100754"/>
  </r>
  <r>
    <x v="2"/>
    <s v="DHS 950L "/>
    <s v="롯데오토리스(주)"/>
    <m/>
    <n v="42584728"/>
    <n v="110699685482"/>
  </r>
  <r>
    <x v="2"/>
    <s v="DHS 950L "/>
    <s v="롯데오토리스(주)"/>
    <m/>
    <n v="42584728"/>
    <n v="110742270210"/>
  </r>
  <r>
    <x v="2"/>
    <s v="DHS 950L "/>
    <s v="롯데오토리스(주)"/>
    <m/>
    <n v="42584728"/>
    <n v="110784854938"/>
  </r>
  <r>
    <x v="2"/>
    <s v="DHS 930 "/>
    <s v="현대캐피탈주식회사"/>
    <m/>
    <n v="30465000"/>
    <n v="110815319938"/>
  </r>
  <r>
    <x v="2"/>
    <s v="DHS 930 "/>
    <s v="현대캐피탈주식회사"/>
    <m/>
    <n v="30465000"/>
    <n v="110845784938"/>
  </r>
  <r>
    <x v="2"/>
    <s v="DHS 930 "/>
    <s v="현대캐피탈주식회사"/>
    <m/>
    <n v="30465000"/>
    <n v="110876249938"/>
  </r>
  <r>
    <x v="2"/>
    <s v="DHS 930 "/>
    <s v="현대캐피탈주식회사"/>
    <m/>
    <n v="30465000"/>
    <n v="110906714938"/>
  </r>
  <r>
    <x v="2"/>
    <s v="DHS 930 "/>
    <s v="현대캐피탈주식회사"/>
    <m/>
    <n v="30465000"/>
    <n v="110937179938"/>
  </r>
  <r>
    <x v="2"/>
    <s v="DHS 930 "/>
    <s v="현대캐피탈주식회사"/>
    <m/>
    <n v="30465000"/>
    <n v="110967644938"/>
  </r>
  <r>
    <x v="2"/>
    <s v="DHS 930 "/>
    <s v="현대캐피탈주식회사"/>
    <m/>
    <n v="30465000"/>
    <n v="110998109938"/>
  </r>
  <r>
    <x v="2"/>
    <s v="DHS 930 "/>
    <s v="현대캐피탈주식회사"/>
    <m/>
    <n v="30465000"/>
    <n v="111028574938"/>
  </r>
  <r>
    <x v="2"/>
    <s v="DHS 930 "/>
    <s v="현대캐피탈주식회사"/>
    <m/>
    <n v="30465000"/>
    <n v="111059039938"/>
  </r>
  <r>
    <x v="2"/>
    <s v="DHS 930 "/>
    <s v="현대캐피탈주식회사"/>
    <m/>
    <n v="30465000"/>
    <n v="111089504938"/>
  </r>
  <r>
    <x v="2"/>
    <s v="DHT 150S "/>
    <s v="주식회사 광덕기업"/>
    <m/>
    <n v="139000000"/>
    <n v="111228504938"/>
  </r>
  <r>
    <x v="2"/>
    <s v="유압인출장치"/>
    <s v="장성군청"/>
    <m/>
    <n v="12663636"/>
    <n v="111241168574"/>
  </r>
  <r>
    <x v="2"/>
    <s v="DHS 930 "/>
    <s v="현대캐피탈주식회사"/>
    <m/>
    <n v="30465000"/>
    <n v="111271633574"/>
  </r>
  <r>
    <x v="2"/>
    <s v="DHS 930 "/>
    <s v="현대캐피탈주식회사"/>
    <m/>
    <n v="30465000"/>
    <n v="111302098574"/>
  </r>
  <r>
    <x v="2"/>
    <s v="DHS 930 "/>
    <s v="현대캐피탈주식회사"/>
    <m/>
    <n v="30465000"/>
    <n v="111332563574"/>
  </r>
  <r>
    <x v="2"/>
    <s v="DHS 930 "/>
    <s v="현대캐피탈주식회사"/>
    <m/>
    <n v="30465000"/>
    <n v="111363028574"/>
  </r>
  <r>
    <x v="2"/>
    <s v="DHS 102AP "/>
    <s v="SK네트웍스(주)"/>
    <m/>
    <n v="42727272"/>
    <n v="111405755846"/>
  </r>
  <r>
    <x v="2"/>
    <s v="DHS 102AP "/>
    <s v="SK네트웍스(주)"/>
    <m/>
    <n v="42727272"/>
    <n v="111448483118"/>
  </r>
  <r>
    <x v="2"/>
    <s v="DHS 102AP "/>
    <s v="SK네트웍스(주)"/>
    <m/>
    <n v="42727272"/>
    <n v="111491210390"/>
  </r>
  <r>
    <x v="2"/>
    <s v="DHS 102AP "/>
    <s v="SK네트웍스(주)"/>
    <m/>
    <n v="42727272"/>
    <n v="111533937662"/>
  </r>
  <r>
    <x v="2"/>
    <s v="DHS 102AP "/>
    <s v="SK네트웍스(주)"/>
    <m/>
    <n v="42727272"/>
    <n v="111576664934"/>
  </r>
  <r>
    <x v="2"/>
    <s v="DHS 950L "/>
    <s v="에스에이치(S.H)파워넷"/>
    <m/>
    <n v="35400000"/>
    <n v="111612064934"/>
  </r>
  <r>
    <x v="2"/>
    <s v="DHS 1200L "/>
    <s v="주식회사 창성기술"/>
    <m/>
    <n v="42500000"/>
    <n v="111654564934"/>
  </r>
  <r>
    <x v="2"/>
    <s v="DHS 930-중고장비 "/>
    <s v="누리통신"/>
    <m/>
    <n v="22000000"/>
    <n v="111676564934"/>
  </r>
  <r>
    <x v="2"/>
    <s v="DHS 950L "/>
    <s v="롯데오토리스(주)"/>
    <m/>
    <n v="42584728"/>
    <n v="111719149662"/>
  </r>
  <r>
    <x v="2"/>
    <s v="DHS 950L "/>
    <s v="롯데오토리스(주)"/>
    <m/>
    <n v="42584728"/>
    <n v="111761734390"/>
  </r>
  <r>
    <x v="2"/>
    <s v="DHS 950L "/>
    <s v="롯데오토리스(주)"/>
    <m/>
    <n v="42584728"/>
    <n v="111804319118"/>
  </r>
  <r>
    <x v="2"/>
    <s v="DHS 950L "/>
    <s v="롯데오토리스(주)"/>
    <m/>
    <n v="42584728"/>
    <n v="111846903846"/>
  </r>
  <r>
    <x v="2"/>
    <s v="DHS 950L "/>
    <s v="롯데오토리스(주)"/>
    <m/>
    <n v="42584728"/>
    <n v="111889488574"/>
  </r>
  <r>
    <x v="2"/>
    <s v="DHS 950L "/>
    <s v="롯데오토리스(주)"/>
    <m/>
    <n v="42584728"/>
    <n v="111932073302"/>
  </r>
  <r>
    <x v="2"/>
    <s v="DHS 950L "/>
    <s v="롯데오토리스(주)"/>
    <m/>
    <n v="42584728"/>
    <n v="111974658030"/>
  </r>
  <r>
    <x v="2"/>
    <s v="DHS 950L "/>
    <s v="롯데오토리스(주)"/>
    <m/>
    <n v="42584728"/>
    <n v="112017242758"/>
  </r>
  <r>
    <x v="2"/>
    <s v="DHS 950L "/>
    <s v="롯데오토리스(주)"/>
    <m/>
    <n v="42584728"/>
    <n v="112059827486"/>
  </r>
  <r>
    <x v="2"/>
    <s v="DHS 950L "/>
    <s v="롯데오토리스(주)"/>
    <m/>
    <n v="42584728"/>
    <n v="112102412214"/>
  </r>
  <r>
    <x v="2"/>
    <s v="DHS 950L "/>
    <s v="롯데오토리스(주)"/>
    <m/>
    <n v="42584728"/>
    <n v="112144996942"/>
  </r>
  <r>
    <x v="2"/>
    <s v="DHS 950L "/>
    <s v="롯데오토리스(주)"/>
    <m/>
    <n v="42584728"/>
    <n v="112187581670"/>
  </r>
  <r>
    <x v="2"/>
    <s v="DHS 950L "/>
    <s v="롯데오토리스(주)"/>
    <m/>
    <n v="42584728"/>
    <n v="112230166398"/>
  </r>
  <r>
    <x v="2"/>
    <s v="DHS 950L "/>
    <s v="롯데오토리스(주)"/>
    <m/>
    <n v="42584728"/>
    <n v="112272751126"/>
  </r>
  <r>
    <x v="2"/>
    <s v="DHS 950L "/>
    <s v="롯데오토리스(주)"/>
    <m/>
    <n v="42584728"/>
    <n v="112315335854"/>
  </r>
  <r>
    <x v="2"/>
    <s v="DHS 105AP "/>
    <s v="영현E＆I"/>
    <m/>
    <n v="41636363"/>
    <n v="112356972217"/>
  </r>
  <r>
    <x v="2"/>
    <s v="DHT 160AS "/>
    <s v="주식회사 월천"/>
    <m/>
    <n v="167500000"/>
    <n v="112524472217"/>
  </r>
  <r>
    <x v="2"/>
    <s v="칼럼 조립체 외 "/>
    <s v="(주)동해중공업"/>
    <m/>
    <n v="13300000"/>
    <n v="112537772217"/>
  </r>
  <r>
    <x v="2"/>
    <s v="칼럼 조립체 외 "/>
    <s v="(주)동해중공업"/>
    <m/>
    <n v="13300000"/>
    <n v="112551072217"/>
  </r>
  <r>
    <x v="2"/>
    <s v="DHS 950L "/>
    <s v="제이씨비젼네트워크(주)"/>
    <m/>
    <n v="35454545"/>
    <n v="112586526762"/>
  </r>
  <r>
    <x v="2"/>
    <s v="DHS 930 "/>
    <s v="현대캐피탈주식회사"/>
    <m/>
    <n v="30465000"/>
    <n v="112616991762"/>
  </r>
  <r>
    <x v="2"/>
    <s v="DHS 930 "/>
    <s v="현대캐피탈주식회사"/>
    <m/>
    <n v="30465000"/>
    <n v="112647456762"/>
  </r>
  <r>
    <x v="2"/>
    <s v="DHS 930 "/>
    <s v="현대캐피탈주식회사"/>
    <m/>
    <n v="30465000"/>
    <n v="112677921762"/>
  </r>
  <r>
    <x v="2"/>
    <s v="DHS 930 "/>
    <s v="현대캐피탈주식회사"/>
    <m/>
    <n v="30465000"/>
    <n v="112708386762"/>
  </r>
  <r>
    <x v="2"/>
    <s v="DHS 930 "/>
    <s v="현대캐피탈주식회사"/>
    <m/>
    <n v="30465000"/>
    <n v="112738851762"/>
  </r>
  <r>
    <x v="2"/>
    <s v="DHS 930 "/>
    <s v="현대캐피탈주식회사"/>
    <m/>
    <n v="30465000"/>
    <n v="112769316762"/>
  </r>
  <r>
    <x v="2"/>
    <s v="DHS 930 "/>
    <s v="현대캐피탈주식회사"/>
    <m/>
    <n v="30465000"/>
    <n v="112799781762"/>
  </r>
  <r>
    <x v="2"/>
    <s v="DHS 930 "/>
    <s v="현대캐피탈주식회사"/>
    <m/>
    <n v="30465000"/>
    <n v="112830246762"/>
  </r>
  <r>
    <x v="2"/>
    <s v="DHS 930 "/>
    <s v="현대캐피탈주식회사"/>
    <m/>
    <n v="30465000"/>
    <n v="112860711762"/>
  </r>
  <r>
    <x v="2"/>
    <s v="DHS 930 "/>
    <s v="현대캐피탈주식회사"/>
    <m/>
    <n v="30465000"/>
    <n v="112891176762"/>
  </r>
  <r>
    <x v="2"/>
    <s v="BAK-12 설치공사 09월 기성청구-오산비행장"/>
    <s v="성광건설산업(주)"/>
    <m/>
    <n v="83700000"/>
    <n v="112974876762"/>
  </r>
  <r>
    <x v="2"/>
    <s v="DHS 950L "/>
    <s v="대광통신"/>
    <m/>
    <n v="31600000"/>
    <n v="113006476762"/>
  </r>
  <r>
    <x v="2"/>
    <s v="DHS 17AP "/>
    <s v="임정근"/>
    <m/>
    <n v="54545455"/>
    <n v="113061022217"/>
  </r>
  <r>
    <x v="2"/>
    <s v="DHS 17AP "/>
    <s v="임정근"/>
    <m/>
    <n v="-54545455"/>
    <n v="113006476762"/>
  </r>
  <r>
    <x v="2"/>
    <s v="DHS 433L "/>
    <s v="(주)아이마켓코리아"/>
    <m/>
    <n v="16710000"/>
    <n v="113023186762"/>
  </r>
  <r>
    <x v="2"/>
    <s v="DHS 950L "/>
    <s v="임철"/>
    <m/>
    <n v="34500000"/>
    <n v="113057686762"/>
  </r>
  <r>
    <x v="2"/>
    <s v="DHS 950L "/>
    <s v="S.S통신"/>
    <m/>
    <n v="36363637"/>
    <n v="113094050399"/>
  </r>
  <r>
    <x v="2"/>
    <s v="DHS 950L "/>
    <s v="누리통신"/>
    <m/>
    <n v="34000000"/>
    <n v="113128050399"/>
  </r>
  <r>
    <x v="2"/>
    <s v="DHS 870 "/>
    <s v="금천씨스템(주)"/>
    <m/>
    <n v="17250000"/>
    <n v="113145300399"/>
  </r>
  <r>
    <x v="2"/>
    <s v="DHS 870 "/>
    <s v="금천씨스템(주)"/>
    <m/>
    <n v="17250000"/>
    <n v="113162550399"/>
  </r>
  <r>
    <x v="2"/>
    <s v="DHS 17AP "/>
    <s v="임정근"/>
    <m/>
    <n v="54545455"/>
    <n v="113217095854"/>
  </r>
  <r>
    <x v="2"/>
    <s v="DHT 150S "/>
    <s v="주식회사 제이에스전력"/>
    <m/>
    <n v="145500000"/>
    <n v="113362595854"/>
  </r>
  <r>
    <x v="2"/>
    <s v="DHS 17AP "/>
    <s v="임정근"/>
    <m/>
    <n v="-54545455"/>
    <n v="113308050399"/>
  </r>
  <r>
    <x v="2"/>
    <s v="DHS 17AP "/>
    <s v="경인산업"/>
    <m/>
    <n v="54545455"/>
    <n v="113362595854"/>
  </r>
  <r>
    <x v="2"/>
    <s v="DHS 433L "/>
    <s v="자청비료"/>
    <m/>
    <n v="14227272"/>
    <n v="113376823126"/>
  </r>
  <r>
    <x v="2"/>
    <s v="DHS 534 "/>
    <s v="서부쌀상회"/>
    <m/>
    <n v="13800000"/>
    <n v="113390623126"/>
  </r>
  <r>
    <x v="2"/>
    <s v="DHS 950L "/>
    <s v="가온통신"/>
    <m/>
    <n v="36500000"/>
    <n v="113427123126"/>
  </r>
  <r>
    <x v="2"/>
    <s v="DHS 1200L "/>
    <s v="아림통신건설"/>
    <m/>
    <n v="43500000"/>
    <n v="113470623126"/>
  </r>
  <r>
    <x v="2"/>
    <s v="DHS 15AP "/>
    <s v="AD물류"/>
    <m/>
    <n v="50454545"/>
    <n v="113521077671"/>
  </r>
  <r>
    <x v="2"/>
    <s v="DHS 706STD "/>
    <s v="한국메가와트 주식회사"/>
    <m/>
    <n v="33600000"/>
    <n v="113554677671"/>
  </r>
  <r>
    <x v="2"/>
    <s v="DHS 950L "/>
    <s v="가온통신"/>
    <m/>
    <n v="-36500000"/>
    <n v="113518177671"/>
  </r>
  <r>
    <x v="2"/>
    <s v="DHS 950L "/>
    <s v="가온통신"/>
    <m/>
    <n v="36700000"/>
    <n v="113554877671"/>
  </r>
  <r>
    <x v="2"/>
    <s v="DHS 950L "/>
    <s v="주식회사 타키온"/>
    <m/>
    <n v="36363636"/>
    <n v="113591241307"/>
  </r>
  <r>
    <x v="2"/>
    <s v="DHS 950L "/>
    <s v="YS정보통신"/>
    <m/>
    <n v="35727272"/>
    <n v="113626968579"/>
  </r>
  <r>
    <x v="2"/>
    <s v="DHS 950L "/>
    <s v="(주)에이치넷"/>
    <m/>
    <n v="35000000"/>
    <n v="113661968579"/>
  </r>
  <r>
    <x v="2"/>
    <s v="DHT 160AS "/>
    <s v="(주)중앙개발"/>
    <m/>
    <n v="165000000"/>
    <n v="113826968579"/>
  </r>
  <r>
    <x v="2"/>
    <s v="본기둥실린더등14종 "/>
    <s v="공군군수사령부"/>
    <m/>
    <n v="545267200"/>
    <n v="114372235779"/>
  </r>
  <r>
    <x v="2"/>
    <s v="DHS 1200L "/>
    <s v="주식회사 디지탈라인"/>
    <m/>
    <n v="41500000"/>
    <n v="114413735779"/>
  </r>
  <r>
    <x v="2"/>
    <s v="DHT 150S "/>
    <s v="삼산전기(주)"/>
    <m/>
    <n v="145000000"/>
    <n v="114558735779"/>
  </r>
  <r>
    <x v="2"/>
    <s v="DHS 433L "/>
    <s v="서울시상수도사업본부"/>
    <m/>
    <n v="60145455"/>
    <n v="114618881234"/>
  </r>
  <r>
    <x v="2"/>
    <s v="DHS 930 "/>
    <s v="(주)영대정보통신"/>
    <m/>
    <n v="34045455"/>
    <n v="114652926689"/>
  </r>
  <r>
    <x v="2"/>
    <s v="DHS 930 "/>
    <s v="(주)영대정보통신"/>
    <m/>
    <n v="34545455"/>
    <n v="114687472144"/>
  </r>
  <r>
    <x v="2"/>
    <s v="DHS 930 "/>
    <s v="서정통신"/>
    <m/>
    <n v="34545455"/>
    <n v="114722017599"/>
  </r>
  <r>
    <x v="2"/>
    <s v="DHS 433L "/>
    <s v="피엠텍주식회사"/>
    <m/>
    <n v="14100000"/>
    <n v="114736117599"/>
  </r>
  <r>
    <x v="2"/>
    <s v="DHS 1200L "/>
    <s v="(주)바이텍코리아"/>
    <m/>
    <n v="41000000"/>
    <n v="114777117599"/>
  </r>
  <r>
    <x v="2"/>
    <s v="DHT 160S "/>
    <s v="대경일레콤(주)"/>
    <m/>
    <n v="150000000"/>
    <n v="114927117599"/>
  </r>
  <r>
    <x v="2"/>
    <s v="DHS 1200L "/>
    <s v="아이엘전기"/>
    <m/>
    <n v="41000000"/>
    <n v="114968117599"/>
  </r>
  <r>
    <x v="2"/>
    <s v="크레인대금"/>
    <s v="해군군수사령부"/>
    <m/>
    <n v="129090910"/>
    <n v="115097208509"/>
  </r>
  <r>
    <x v="2"/>
    <s v="DHS 433L "/>
    <s v="동명유압중기공업사"/>
    <m/>
    <n v="13862727"/>
    <n v="115111071236"/>
  </r>
  <r>
    <x v="2"/>
    <s v="DHT 150S "/>
    <s v="주식회사 동명이엔씨"/>
    <m/>
    <n v="141500000"/>
    <n v="115252571236"/>
  </r>
  <r>
    <x v="2"/>
    <s v="DHS 433L "/>
    <s v="코오롱워터앤에너지(주)"/>
    <m/>
    <n v="14200000"/>
    <n v="115266771236"/>
  </r>
  <r>
    <x v="2"/>
    <s v="DHS 433L "/>
    <s v="신산건설기계"/>
    <m/>
    <n v="16800000"/>
    <n v="115283571236"/>
  </r>
  <r>
    <x v="2"/>
    <s v="DHS 930 "/>
    <s v="(주)하나로"/>
    <m/>
    <n v="34409091"/>
    <n v="115317980327"/>
  </r>
  <r>
    <x v="2"/>
    <s v="DHS 950L "/>
    <s v="수원광통신"/>
    <m/>
    <n v="38700000"/>
    <n v="115356680327"/>
  </r>
  <r>
    <x v="2"/>
    <s v="DHS 950L "/>
    <s v="주식회사 예스정보통신"/>
    <m/>
    <n v="36000000"/>
    <n v="115392680327"/>
  </r>
  <r>
    <x v="2"/>
    <s v="DHS 1200L "/>
    <s v="동원텔레콤(주)"/>
    <m/>
    <n v="41363636"/>
    <n v="115434043963"/>
  </r>
  <r>
    <x v="2"/>
    <s v="DHS 950L "/>
    <s v="롯데오토리스(주)"/>
    <m/>
    <n v="37271273"/>
    <n v="115471315236"/>
  </r>
  <r>
    <x v="2"/>
    <s v="DHS 125AP "/>
    <s v="거광이엔티"/>
    <m/>
    <n v="41000000"/>
    <n v="115512315236"/>
  </r>
  <r>
    <x v="2"/>
    <s v="DHT 150ASB "/>
    <s v="(주)솔인텍"/>
    <m/>
    <n v="152818182"/>
    <n v="115665133418"/>
  </r>
  <r>
    <x v="2"/>
    <s v="DHT 150ASB "/>
    <s v="씨앤피유니온"/>
    <m/>
    <n v="340000000"/>
    <n v="116005133418"/>
  </r>
  <r>
    <x v="2"/>
    <s v="DHS 433L "/>
    <s v="대산씨엔지 주식회사"/>
    <m/>
    <n v="13100000"/>
    <n v="116018233418"/>
  </r>
  <r>
    <x v="2"/>
    <s v="DHS 930 "/>
    <s v="(주)패스테크"/>
    <m/>
    <n v="36363636"/>
    <n v="116054597054"/>
  </r>
  <r>
    <x v="2"/>
    <s v="DHS 930 "/>
    <s v="이정정보통신"/>
    <m/>
    <n v="34545455"/>
    <n v="116089142509"/>
  </r>
  <r>
    <x v="2"/>
    <s v="DHS 534 "/>
    <s v="밀양시산림조합"/>
    <m/>
    <n v="15550000"/>
    <n v="116104692509"/>
  </r>
  <r>
    <x v="2"/>
    <s v="DHS 930 "/>
    <s v="(주)하나로"/>
    <m/>
    <n v="34409091"/>
    <n v="116139101600"/>
  </r>
  <r>
    <x v="2"/>
    <s v="DHS 105AP "/>
    <s v="(주)시열정보통신"/>
    <m/>
    <n v="41700000"/>
    <n v="116180801600"/>
  </r>
  <r>
    <x v="2"/>
    <s v="DHS 17AP "/>
    <s v="주식회사 지엔티"/>
    <m/>
    <n v="53636363"/>
    <n v="116234437963"/>
  </r>
  <r>
    <x v="2"/>
    <s v="DHT 160S "/>
    <s v="(주)대진전력"/>
    <m/>
    <n v="150000000"/>
    <n v="116384437963"/>
  </r>
  <r>
    <x v="2"/>
    <s v="DHS 433L "/>
    <s v="이희영"/>
    <m/>
    <n v="15454545"/>
    <n v="116399892508"/>
  </r>
  <r>
    <x v="2"/>
    <s v="DHS 930 "/>
    <s v="(주)광명네트워크"/>
    <m/>
    <n v="34545454"/>
    <n v="116434437962"/>
  </r>
  <r>
    <x v="2"/>
    <s v="HWD 400 "/>
    <s v="(주)광명네트워크"/>
    <m/>
    <n v="4400000"/>
    <n v="116438837962"/>
  </r>
  <r>
    <x v="2"/>
    <s v="DHS 950L "/>
    <s v="YS정보통신"/>
    <m/>
    <n v="33000000"/>
    <n v="116471837962"/>
  </r>
  <r>
    <x v="2"/>
    <s v="DHS 950L "/>
    <s v="누리정보통신"/>
    <m/>
    <n v="36700000"/>
    <n v="116508537962"/>
  </r>
  <r>
    <x v="2"/>
    <s v="DHS 950L "/>
    <s v="영남씨엔엠(주)"/>
    <m/>
    <n v="36965000"/>
    <n v="116545502962"/>
  </r>
  <r>
    <x v="2"/>
    <s v="DHT 150S "/>
    <s v="호성건설(주)"/>
    <m/>
    <n v="141000000"/>
    <n v="116686502962"/>
  </r>
  <r>
    <x v="2"/>
    <s v="DHS 17AP "/>
    <s v="(주)한일전기"/>
    <m/>
    <n v="54000000"/>
    <n v="116740502962"/>
  </r>
  <r>
    <x v="2"/>
    <s v="DHS 17AP "/>
    <s v="주식회사 대원산기"/>
    <m/>
    <n v="54100000"/>
    <n v="116794602962"/>
  </r>
  <r>
    <x v="2"/>
    <s v="DHS 433L "/>
    <s v="주식회사 해림"/>
    <m/>
    <n v="14000000"/>
    <n v="116808602962"/>
  </r>
  <r>
    <x v="2"/>
    <s v="DHS 950L "/>
    <s v="(주)광명네트워크"/>
    <m/>
    <n v="35727272"/>
    <n v="116844330234"/>
  </r>
  <r>
    <x v="2"/>
    <s v="DHS 950L "/>
    <s v="주식회사 포유"/>
    <m/>
    <n v="35454545"/>
    <n v="116879784779"/>
  </r>
  <r>
    <x v="2"/>
    <s v="DHS 930 "/>
    <s v="제이제이통신"/>
    <m/>
    <n v="32727272"/>
    <n v="116912512051"/>
  </r>
  <r>
    <x v="2"/>
    <s v="DHS 930 "/>
    <s v="가람통신"/>
    <m/>
    <n v="34545455"/>
    <n v="116947057506"/>
  </r>
  <r>
    <x v="2"/>
    <s v="DHS 950L "/>
    <s v="쎈스통신"/>
    <m/>
    <n v="34090909"/>
    <n v="116981148415"/>
  </r>
  <r>
    <x v="2"/>
    <s v="DHS 1200L "/>
    <s v="대전사"/>
    <m/>
    <n v="41818182"/>
    <n v="117022966597"/>
  </r>
  <r>
    <x v="2"/>
    <s v="DHS 1200L "/>
    <s v="대광기전"/>
    <m/>
    <n v="44818182"/>
    <n v="117067784779"/>
  </r>
  <r>
    <x v="2"/>
    <s v="DHT 160S "/>
    <s v="제일활선"/>
    <m/>
    <n v="149000000"/>
    <n v="117216784779"/>
  </r>
  <r>
    <x v="2"/>
    <s v="DHS 1200L "/>
    <s v="수진상사"/>
    <m/>
    <n v="42000000"/>
    <n v="117258784779"/>
  </r>
  <r>
    <x v="2"/>
    <s v="DHS 1200L "/>
    <s v="KS정보통신"/>
    <m/>
    <n v="44545455"/>
    <n v="117303330234"/>
  </r>
  <r>
    <x v="2"/>
    <s v="DHS 1200L "/>
    <s v="KS정보통신"/>
    <m/>
    <n v="44545455"/>
    <n v="117347875689"/>
  </r>
  <r>
    <x v="2"/>
    <s v="DHS 1200L "/>
    <s v="KS정보통신"/>
    <m/>
    <n v="-44545455"/>
    <n v="117303330234"/>
  </r>
  <r>
    <x v="2"/>
    <s v="DHT 160S "/>
    <s v="천창봉"/>
    <m/>
    <n v="148000000"/>
    <n v="117451330234"/>
  </r>
  <r>
    <x v="2"/>
    <s v="DHS 950L "/>
    <s v="명진통신"/>
    <m/>
    <n v="36363636"/>
    <n v="117487693870"/>
  </r>
  <r>
    <x v="2"/>
    <s v="DHS 15AP "/>
    <s v="(주)센텍"/>
    <m/>
    <n v="50909091"/>
    <n v="117538602961"/>
  </r>
  <r>
    <x v="2"/>
    <s v="DHS 950L "/>
    <s v="박명숙"/>
    <m/>
    <n v="34454545"/>
    <n v="117573057506"/>
  </r>
  <r>
    <x v="2"/>
    <s v="DHS 950L "/>
    <s v="셀테크"/>
    <m/>
    <n v="36500000"/>
    <n v="117609557506"/>
  </r>
  <r>
    <x v="2"/>
    <s v="DHS 950L "/>
    <s v="주식회사 중앙이앤씨"/>
    <m/>
    <n v="36500000"/>
    <n v="117646057506"/>
  </r>
  <r>
    <x v="2"/>
    <s v="DHS 950L "/>
    <s v="주식회사 중앙이앤씨"/>
    <m/>
    <n v="36500000"/>
    <n v="117682557506"/>
  </r>
  <r>
    <x v="2"/>
    <s v="DHS 950L "/>
    <s v="현대캐피탈주식회사"/>
    <m/>
    <n v="36363636"/>
    <n v="117718921142"/>
  </r>
  <r>
    <x v="2"/>
    <s v="DHS 950L "/>
    <s v="현대캐피탈주식회사"/>
    <m/>
    <n v="36363636"/>
    <n v="117755284778"/>
  </r>
  <r>
    <x v="2"/>
    <s v="DHS 17AP "/>
    <s v="(주)은성전기"/>
    <m/>
    <n v="52900000"/>
    <n v="117808184778"/>
  </r>
  <r>
    <x v="2"/>
    <s v="중고장비"/>
    <s v="동원텔레콤(주)"/>
    <m/>
    <n v="16856000"/>
    <n v="117825040778"/>
  </r>
  <r>
    <x v="2"/>
    <s v="중고장비"/>
    <s v="동원텔레콤(주)"/>
    <m/>
    <n v="16856000"/>
    <n v="117841896778"/>
  </r>
  <r>
    <x v="2"/>
    <s v="중고장비"/>
    <s v="동원텔레콤(주)"/>
    <m/>
    <n v="16856000"/>
    <n v="117858752778"/>
  </r>
  <r>
    <x v="2"/>
    <s v="DHS 433L "/>
    <s v="(주)하이엔텍"/>
    <m/>
    <n v="15000000"/>
    <n v="117873752778"/>
  </r>
  <r>
    <x v="2"/>
    <s v="DHS 950L "/>
    <s v="롯데오토리스(주)"/>
    <m/>
    <n v="40500000"/>
    <n v="117914252778"/>
  </r>
  <r>
    <x v="2"/>
    <s v="DHS 950L "/>
    <s v="롯데오토리스(주)"/>
    <m/>
    <n v="40500000"/>
    <n v="117954752778"/>
  </r>
  <r>
    <x v="2"/>
    <s v="추가계약건 "/>
    <s v="남구청"/>
    <m/>
    <n v="3220364"/>
    <n v="117957973142"/>
  </r>
  <r>
    <x v="2"/>
    <s v="DHS 950L "/>
    <s v="구골플렉스"/>
    <m/>
    <n v="32500000"/>
    <n v="117990473142"/>
  </r>
  <r>
    <x v="2"/>
    <s v="DHS 190SKY "/>
    <s v="(주)미래환경"/>
    <m/>
    <n v="59000000"/>
    <n v="118049473142"/>
  </r>
  <r>
    <x v="2"/>
    <s v="DHS 1200L "/>
    <s v="남구청"/>
    <m/>
    <n v="46390910"/>
    <n v="118095864052"/>
  </r>
  <r>
    <x v="2"/>
    <s v="DHT 150S "/>
    <s v="동방신에너지 주식회사"/>
    <m/>
    <n v="137727273"/>
    <n v="118233591325"/>
  </r>
  <r>
    <x v="2"/>
    <s v="DHS 1200L "/>
    <s v="우영정보통신 주식회사"/>
    <m/>
    <n v="41000000"/>
    <n v="118274591325"/>
  </r>
  <r>
    <x v="2"/>
    <s v="DHS 1200L "/>
    <s v="엘케이정보통신(LK정보통신)"/>
    <m/>
    <n v="41909090"/>
    <n v="118316500415"/>
  </r>
  <r>
    <x v="2"/>
    <s v="DHS 15AP "/>
    <s v="은소전력"/>
    <m/>
    <n v="49750000"/>
    <n v="118366250415"/>
  </r>
  <r>
    <x v="2"/>
    <s v="DHT 160S "/>
    <s v="주식회사 금호"/>
    <m/>
    <n v="150000000"/>
    <n v="118516250415"/>
  </r>
  <r>
    <x v="2"/>
    <s v="DHS 15AP "/>
    <s v="규민화물"/>
    <m/>
    <n v="50454546"/>
    <n v="118566704961"/>
  </r>
  <r>
    <x v="2"/>
    <s v="DHS 15AP "/>
    <s v="(주)송우인포텍"/>
    <m/>
    <n v="49500000"/>
    <n v="118616204961"/>
  </r>
  <r>
    <x v="2"/>
    <s v="DHS 950L "/>
    <s v="가온누리"/>
    <m/>
    <n v="34000000"/>
    <n v="118650204961"/>
  </r>
  <r>
    <x v="2"/>
    <s v="DHS 950L "/>
    <s v="현대캐피탈주식회사"/>
    <m/>
    <n v="36363636"/>
    <n v="118686568597"/>
  </r>
  <r>
    <x v="2"/>
    <s v="코란도 적재함개조 외 "/>
    <s v="현대캐피탈주식회사"/>
    <m/>
    <n v="3260000"/>
    <n v="118689828597"/>
  </r>
  <r>
    <x v="2"/>
    <s v="코란도 적재함개조 외 "/>
    <s v="현대캐피탈주식회사"/>
    <m/>
    <n v="3260000"/>
    <n v="118693088597"/>
  </r>
  <r>
    <x v="2"/>
    <s v="코란도 적재함개조 외 "/>
    <s v="현대캐피탈주식회사"/>
    <m/>
    <n v="3260000"/>
    <n v="118696348597"/>
  </r>
  <r>
    <x v="2"/>
    <s v="코란도 적재함개조 외 "/>
    <s v="현대캐피탈주식회사"/>
    <m/>
    <n v="3260000"/>
    <n v="118699608597"/>
  </r>
  <r>
    <x v="2"/>
    <s v="BAK-12 설치공사 10월 기성청구-오산비행장"/>
    <s v="성광건설산업(주)"/>
    <m/>
    <n v="70350000"/>
    <n v="118769958597"/>
  </r>
  <r>
    <x v="2"/>
    <s v="칼럼 조립체 외 "/>
    <s v="(주)동해중공업"/>
    <m/>
    <n v="13300000"/>
    <n v="118783258597"/>
  </r>
  <r>
    <x v="2"/>
    <s v="DHS 15AP "/>
    <s v="미래산업전기"/>
    <m/>
    <n v="50000000"/>
    <n v="118833258597"/>
  </r>
  <r>
    <x v="2"/>
    <s v="DHS 433L "/>
    <s v="신흥산업전기"/>
    <m/>
    <n v="14399091"/>
    <n v="118847657688"/>
  </r>
  <r>
    <x v="2"/>
    <s v="DHS 1200L "/>
    <s v="주식회사 한울전기"/>
    <m/>
    <n v="40850000"/>
    <n v="118888507688"/>
  </r>
  <r>
    <x v="2"/>
    <s v="DHS 950L "/>
    <s v="비젼넷 주식회사"/>
    <m/>
    <n v="33500000"/>
    <n v="118922007688"/>
  </r>
  <r>
    <x v="2"/>
    <s v="DSH 950L "/>
    <s v="마이포스넷"/>
    <m/>
    <n v="36909091"/>
    <n v="118958916779"/>
  </r>
  <r>
    <x v="2"/>
    <s v="DHS 930 "/>
    <s v="(주)씨유정보통신"/>
    <m/>
    <n v="34834546"/>
    <n v="118993751325"/>
  </r>
  <r>
    <x v="2"/>
    <s v="DHS 950L "/>
    <s v="진흥씨앤씨(주)"/>
    <m/>
    <n v="36000000"/>
    <n v="119029751325"/>
  </r>
  <r>
    <x v="2"/>
    <s v="DHS 950L "/>
    <s v="진흥씨앤씨(주)"/>
    <m/>
    <n v="36000000"/>
    <n v="119065751325"/>
  </r>
  <r>
    <x v="2"/>
    <s v="DHS 950L "/>
    <s v="(주)오션네트웍스"/>
    <m/>
    <n v="34200000"/>
    <n v="119099951325"/>
  </r>
  <r>
    <x v="2"/>
    <s v="DHS 950L "/>
    <s v="신아주통신"/>
    <m/>
    <n v="36700000"/>
    <n v="119136651325"/>
  </r>
  <r>
    <x v="2"/>
    <s v="중고장비"/>
    <s v="(주)건영정보통신"/>
    <m/>
    <n v="16856000"/>
    <n v="119153507325"/>
  </r>
  <r>
    <x v="2"/>
    <s v="중고장비"/>
    <s v="동원텔레콤(주)"/>
    <m/>
    <n v="16856000"/>
    <n v="119170363325"/>
  </r>
  <r>
    <x v="2"/>
    <s v="중고장비"/>
    <s v="동원텔레콤(주)"/>
    <m/>
    <n v="16856000"/>
    <n v="119187219325"/>
  </r>
  <r>
    <x v="2"/>
    <s v="DHS 930 "/>
    <s v="(주)그린정보시스템"/>
    <m/>
    <n v="34000000"/>
    <n v="119221219325"/>
  </r>
  <r>
    <x v="2"/>
    <s v="DHS 930 "/>
    <s v="엠엔에이치정보통신"/>
    <m/>
    <n v="35000000"/>
    <n v="119256219325"/>
  </r>
  <r>
    <x v="2"/>
    <s v="DSH 950L "/>
    <s v="세진네트워크"/>
    <m/>
    <n v="34000000"/>
    <n v="119290219325"/>
  </r>
  <r>
    <x v="2"/>
    <s v="DHS 950L "/>
    <s v="신진통신"/>
    <m/>
    <n v="35500000"/>
    <n v="119325719325"/>
  </r>
  <r>
    <x v="2"/>
    <s v="DHS 950L "/>
    <s v="원앤원정보통신"/>
    <m/>
    <n v="35000000"/>
    <n v="119360719325"/>
  </r>
  <r>
    <x v="2"/>
    <s v="DHS 1200L "/>
    <s v="주식회사 네트로"/>
    <m/>
    <n v="41500000"/>
    <n v="119402219325"/>
  </r>
  <r>
    <x v="2"/>
    <s v="DHS 930 "/>
    <s v="한주통신(주)"/>
    <m/>
    <n v="34545455"/>
    <n v="119436764780"/>
  </r>
  <r>
    <x v="2"/>
    <s v="DHS 930 "/>
    <s v="고은정보건설"/>
    <m/>
    <n v="35727273"/>
    <n v="119472492053"/>
  </r>
  <r>
    <x v="2"/>
    <s v="DHS 1200L "/>
    <s v="한솔미디어"/>
    <m/>
    <n v="41818181"/>
    <n v="119514310234"/>
  </r>
  <r>
    <x v="2"/>
    <s v="DHS 17AP "/>
    <s v="주식회사 성진전기"/>
    <m/>
    <n v="54500000"/>
    <n v="119568810234"/>
  </r>
  <r>
    <x v="2"/>
    <s v="DHS 433L "/>
    <s v="주식회사광양테크"/>
    <m/>
    <n v="15500000"/>
    <n v="119584310234"/>
  </r>
  <r>
    <x v="2"/>
    <s v="중고장비"/>
    <s v="혜우통신"/>
    <m/>
    <n v="22000000"/>
    <n v="119606310234"/>
  </r>
  <r>
    <x v="2"/>
    <s v="DHS 15AP "/>
    <s v="삼영주식회사"/>
    <m/>
    <n v="50363636"/>
    <n v="119656673870"/>
  </r>
  <r>
    <x v="2"/>
    <s v="DHS17AP "/>
    <s v="주식회사 아인텍"/>
    <m/>
    <n v="53450000"/>
    <n v="119710123870"/>
  </r>
  <r>
    <x v="2"/>
    <s v="DHS 534 "/>
    <s v="(주)삼화타이어"/>
    <m/>
    <n v="15600000"/>
    <n v="119725723870"/>
  </r>
  <r>
    <x v="2"/>
    <s v="DHS 15AP "/>
    <s v="(주)건화서비스"/>
    <m/>
    <n v="46000000"/>
    <n v="119771723870"/>
  </r>
  <r>
    <x v="2"/>
    <s v="DHS 105AP "/>
    <s v="보림정보통신"/>
    <m/>
    <n v="39500000"/>
    <n v="119811223870"/>
  </r>
  <r>
    <x v="2"/>
    <s v="DHS 433L "/>
    <s v="대성정밀"/>
    <m/>
    <n v="15013636"/>
    <n v="119826237506"/>
  </r>
  <r>
    <x v="2"/>
    <s v="DHS 950L "/>
    <s v="최윤철"/>
    <m/>
    <n v="33900000"/>
    <n v="119860137506"/>
  </r>
  <r>
    <x v="2"/>
    <s v="DHS 950L "/>
    <s v="OPTICAL"/>
    <m/>
    <n v="36818182"/>
    <n v="119896955688"/>
  </r>
  <r>
    <x v="2"/>
    <s v="DHS 950L "/>
    <s v="정원"/>
    <m/>
    <n v="35909091"/>
    <n v="119932864779"/>
  </r>
  <r>
    <x v="2"/>
    <s v="추가계약건"/>
    <s v="태권도진흥재단"/>
    <m/>
    <n v="5481818"/>
    <n v="119938346597"/>
  </r>
  <r>
    <x v="2"/>
    <s v="DHS 950L "/>
    <s v="현대캐피탈주식회사"/>
    <m/>
    <n v="36363636"/>
    <n v="119974710233"/>
  </r>
  <r>
    <x v="2"/>
    <s v="DHS 950L "/>
    <s v="현대캐피탈주식회사"/>
    <m/>
    <n v="36363636"/>
    <n v="120011073869"/>
  </r>
  <r>
    <x v="2"/>
    <s v="DHS 950L "/>
    <s v="주식회사 에스엠엔네트워크"/>
    <m/>
    <n v="31400000"/>
    <n v="120042473869"/>
  </r>
  <r>
    <x v="2"/>
    <s v="DHS 950L "/>
    <s v="주식회사 에스엠엔네트워크"/>
    <m/>
    <n v="31400000"/>
    <n v="120073873869"/>
  </r>
  <r>
    <x v="2"/>
    <s v="DHS 950L "/>
    <s v="주식회사 에스엠엔네트워크"/>
    <m/>
    <n v="31400000"/>
    <n v="120105273869"/>
  </r>
  <r>
    <x v="2"/>
    <s v="DHS 930 "/>
    <s v="성광정보통신"/>
    <m/>
    <n v="34345454"/>
    <n v="120139619323"/>
  </r>
  <r>
    <x v="2"/>
    <s v="DHS 1200L "/>
    <s v="우리정보(주)"/>
    <m/>
    <n v="42272727"/>
    <n v="120181892050"/>
  </r>
  <r>
    <x v="2"/>
    <s v="DHS 15AP "/>
    <s v="태권도진흥재단"/>
    <m/>
    <n v="50736364"/>
    <n v="120232628414"/>
  </r>
  <r>
    <x v="2"/>
    <s v="DHS 930 "/>
    <s v="코어네트웍스"/>
    <m/>
    <n v="34200000"/>
    <n v="120266828414"/>
  </r>
  <r>
    <x v="2"/>
    <s v="DHS 950L "/>
    <s v="(주)제이엔테크"/>
    <m/>
    <n v="36363636"/>
    <n v="120303192050"/>
  </r>
  <r>
    <x v="2"/>
    <s v="DHS 950L "/>
    <s v="(주)제이엔테크"/>
    <m/>
    <n v="37272727"/>
    <n v="120340464777"/>
  </r>
  <r>
    <x v="2"/>
    <s v="DHS 950L "/>
    <s v="네오(neo)정보통신"/>
    <m/>
    <n v="35000000"/>
    <n v="120375464777"/>
  </r>
  <r>
    <x v="2"/>
    <s v="DHS 950L "/>
    <s v="VIET TRUNG JOINT STOCK EQUIPMENT COMPANY"/>
    <m/>
    <n v="57725000"/>
    <n v="120433189777"/>
  </r>
  <r>
    <x v="2"/>
    <s v="DHS 433L "/>
    <s v="명인종합가스설비공사"/>
    <m/>
    <n v="13909090"/>
    <n v="120447098867"/>
  </r>
  <r>
    <x v="2"/>
    <s v="DHS 950L "/>
    <s v="동준통신"/>
    <m/>
    <n v="36545455"/>
    <n v="120483644322"/>
  </r>
  <r>
    <x v="2"/>
    <s v="DHS 950L "/>
    <s v="주식회사 수길정보통신"/>
    <m/>
    <n v="34000000"/>
    <n v="120517644322"/>
  </r>
  <r>
    <x v="2"/>
    <s v="DHS 950L "/>
    <s v="지니정보통신"/>
    <m/>
    <n v="36700000"/>
    <n v="120554344322"/>
  </r>
  <r>
    <x v="2"/>
    <s v="DHS 930 "/>
    <s v="경방전기통신(주)"/>
    <m/>
    <n v="34300000"/>
    <n v="120588644322"/>
  </r>
  <r>
    <x v="2"/>
    <s v="DHS 930 "/>
    <s v="경방전기통신(주)"/>
    <m/>
    <n v="34300000"/>
    <n v="120622944322"/>
  </r>
  <r>
    <x v="2"/>
    <s v="DHS 950L "/>
    <s v="세화통신"/>
    <m/>
    <n v="35727273"/>
    <n v="120658671595"/>
  </r>
  <r>
    <x v="2"/>
    <s v="DHS 950L "/>
    <s v="원일정보통신 주식회사"/>
    <m/>
    <n v="35000000"/>
    <n v="120693671595"/>
  </r>
  <r>
    <x v="2"/>
    <s v="DHS 950L "/>
    <s v="제이디통신"/>
    <m/>
    <n v="34500000"/>
    <n v="120728171595"/>
  </r>
  <r>
    <x v="2"/>
    <s v="DHS 1200L "/>
    <s v="금강전기냉동"/>
    <m/>
    <n v="40909091"/>
    <n v="120769080686"/>
  </r>
  <r>
    <x v="2"/>
    <s v="DHT 160AS "/>
    <s v="동일"/>
    <m/>
    <n v="169000000"/>
    <n v="120938080686"/>
  </r>
  <r>
    <x v="2"/>
    <s v="DHT 150S "/>
    <s v="동해특장"/>
    <m/>
    <n v="165000000"/>
    <n v="121103080686"/>
  </r>
  <r>
    <x v="2"/>
    <s v="DHS 1200L "/>
    <s v="백진전기"/>
    <m/>
    <n v="45000000"/>
    <n v="121148080686"/>
  </r>
  <r>
    <x v="2"/>
    <s v="DHT 150S "/>
    <s v="동해특장"/>
    <m/>
    <n v="-165000000"/>
    <n v="120983080686"/>
  </r>
  <r>
    <x v="2"/>
    <s v="DHT 150S "/>
    <s v="동해특장"/>
    <m/>
    <n v="165000000"/>
    <n v="121148080686"/>
  </r>
  <r>
    <x v="2"/>
    <s v="DHS 950L "/>
    <s v="민수통신"/>
    <m/>
    <n v="35900000"/>
    <n v="121183980686"/>
  </r>
  <r>
    <x v="2"/>
    <s v="DHS 950L "/>
    <s v="(주)진웅텔레콤"/>
    <m/>
    <n v="35800000"/>
    <n v="121219780686"/>
  </r>
  <r>
    <x v="2"/>
    <s v="DHS 125AP "/>
    <s v="주식회사 성진전설"/>
    <m/>
    <n v="42000000"/>
    <n v="121261780686"/>
  </r>
  <r>
    <x v="2"/>
    <s v="DHS 15AP "/>
    <s v="(주)일흥전력"/>
    <m/>
    <n v="50909091"/>
    <n v="121312689777"/>
  </r>
  <r>
    <x v="2"/>
    <s v="중고장비"/>
    <s v="소망정보통신"/>
    <m/>
    <n v="16856000"/>
    <n v="121329545777"/>
  </r>
  <r>
    <x v="2"/>
    <s v="DHS 950L "/>
    <s v="원케이블서비스(주)"/>
    <m/>
    <n v="33500000"/>
    <n v="121363045777"/>
  </r>
  <r>
    <x v="2"/>
    <s v="DHS 950L "/>
    <s v="유원통신"/>
    <m/>
    <n v="36363636"/>
    <n v="121399409413"/>
  </r>
  <r>
    <x v="2"/>
    <s v="DHS 950L "/>
    <s v="에스제이테크(주)"/>
    <m/>
    <n v="35000000"/>
    <n v="121434409413"/>
  </r>
  <r>
    <x v="2"/>
    <s v="DHS 950L "/>
    <s v="SK네트웍스(주)"/>
    <m/>
    <n v="39545455"/>
    <n v="121473954868"/>
  </r>
  <r>
    <x v="2"/>
    <s v="DHS 950L "/>
    <s v="SK네트웍스(주)"/>
    <m/>
    <n v="39545455"/>
    <n v="121513500323"/>
  </r>
  <r>
    <x v="2"/>
    <s v="DHS 950L "/>
    <s v="(주)에이치넷"/>
    <m/>
    <n v="35000000"/>
    <n v="121548500323"/>
  </r>
  <r>
    <x v="2"/>
    <s v="중고장비"/>
    <s v="(주)원테크"/>
    <m/>
    <n v="16856000"/>
    <n v="121565356323"/>
  </r>
  <r>
    <x v="2"/>
    <s v="DHS 433L "/>
    <s v="현대석재"/>
    <m/>
    <n v="13317272"/>
    <n v="121578673595"/>
  </r>
  <r>
    <x v="2"/>
    <s v="DHS 150S "/>
    <s v="태진전공(주)"/>
    <m/>
    <n v="141500000"/>
    <n v="121720173595"/>
  </r>
  <r>
    <x v="2"/>
    <s v="DHS 433L "/>
    <s v="현대석재"/>
    <m/>
    <n v="-13317272"/>
    <n v="121706856323"/>
  </r>
  <r>
    <x v="2"/>
    <s v="DHS 950L "/>
    <s v="(주)신화전력개발"/>
    <m/>
    <n v="35000000"/>
    <n v="121741856323"/>
  </r>
  <r>
    <x v="2"/>
    <s v="DHS 950L "/>
    <s v="홍종민"/>
    <m/>
    <n v="37500000"/>
    <n v="121779356323"/>
  </r>
  <r>
    <x v="2"/>
    <s v="DHS 1200L "/>
    <s v="주식회사 창우"/>
    <m/>
    <n v="43000000"/>
    <n v="121822356323"/>
  </r>
  <r>
    <x v="2"/>
    <s v="DHS 125AP "/>
    <s v="(주)프리텍"/>
    <m/>
    <n v="43181818"/>
    <n v="121865538141"/>
  </r>
  <r>
    <x v="2"/>
    <s v="DHS 15AP "/>
    <s v="SYKT.PEMBEKALAN ＆ PERKHIDMATANLEZAN"/>
    <m/>
    <n v="32706947"/>
    <n v="121898245088"/>
  </r>
  <r>
    <x v="2"/>
    <s v="DHS 950L "/>
    <s v="주식회사 수길정보통신"/>
    <m/>
    <n v="34000000"/>
    <n v="121932245088"/>
  </r>
  <r>
    <x v="2"/>
    <s v="DHS 950L "/>
    <s v="에스엠(SM)"/>
    <m/>
    <n v="37500000"/>
    <n v="121969745088"/>
  </r>
  <r>
    <x v="2"/>
    <s v="DHS 15AP "/>
    <s v="대광전기(주)"/>
    <m/>
    <n v="50909091"/>
    <n v="122020654179"/>
  </r>
  <r>
    <x v="2"/>
    <s v="DHS 17AP "/>
    <s v="주식회사 태광전력"/>
    <m/>
    <n v="53500000"/>
    <n v="122074154179"/>
  </r>
  <r>
    <x v="2"/>
    <s v="DHS 433L "/>
    <s v="진성마린"/>
    <m/>
    <n v="14800000"/>
    <n v="122088954179"/>
  </r>
  <r>
    <x v="2"/>
    <s v="DHS 950L "/>
    <s v="(주)에이에스케이블"/>
    <m/>
    <n v="33620000"/>
    <n v="122122574179"/>
  </r>
  <r>
    <x v="2"/>
    <s v="DHS 950L "/>
    <s v="(주)에이에스케이블"/>
    <m/>
    <n v="34570000"/>
    <n v="122157144179"/>
  </r>
  <r>
    <x v="2"/>
    <s v="DHS 1200L "/>
    <s v="(주)에이에스케이블"/>
    <m/>
    <n v="39020000"/>
    <n v="122196164179"/>
  </r>
  <r>
    <x v="2"/>
    <s v="DHT 150AS "/>
    <s v="이유미"/>
    <m/>
    <n v="160000000"/>
    <n v="122356164179"/>
  </r>
  <r>
    <x v="2"/>
    <s v="DHT 150S "/>
    <s v="남부전력(주)"/>
    <m/>
    <n v="143000000"/>
    <n v="122499164179"/>
  </r>
  <r>
    <x v="2"/>
    <s v="Pit Sleeve 제작 "/>
    <s v="주식회사 한국차폐시스템"/>
    <m/>
    <n v="1500000"/>
    <n v="122500664179"/>
  </r>
  <r>
    <x v="2"/>
    <s v="DHT 160AS "/>
    <s v="용호전설"/>
    <m/>
    <n v="170000000"/>
    <n v="122670664179"/>
  </r>
  <r>
    <x v="2"/>
    <s v="DHS 950L "/>
    <s v="주식회사 한신"/>
    <m/>
    <n v="34000000"/>
    <n v="122704664179"/>
  </r>
  <r>
    <x v="2"/>
    <s v="토목기타"/>
    <s v="금호산업(주)"/>
    <m/>
    <n v="121762000"/>
    <n v="122826426179"/>
  </r>
  <r>
    <x v="2"/>
    <s v="DHS 433L "/>
    <s v="영일기계"/>
    <m/>
    <n v="15000000"/>
    <n v="122841426179"/>
  </r>
  <r>
    <x v="2"/>
    <s v="DHS 706STD "/>
    <s v="평화전력(주)"/>
    <m/>
    <n v="36000000"/>
    <n v="122877426179"/>
  </r>
  <r>
    <x v="2"/>
    <s v="DHS 950L "/>
    <s v="YB정보통신"/>
    <m/>
    <n v="34500000"/>
    <n v="122911926179"/>
  </r>
  <r>
    <x v="2"/>
    <s v="DHS 950L "/>
    <s v="신화ENG"/>
    <m/>
    <n v="36363636"/>
    <n v="122948289815"/>
  </r>
  <r>
    <x v="2"/>
    <s v="DHS 950L "/>
    <s v="유진네트웍스"/>
    <m/>
    <n v="34000000"/>
    <n v="122982289815"/>
  </r>
  <r>
    <x v="2"/>
    <s v="DHS 105AP "/>
    <s v="태원전기(주)"/>
    <m/>
    <n v="41000000"/>
    <n v="123023289815"/>
  </r>
  <r>
    <x v="2"/>
    <s v="하이브리드시스템 환입 "/>
    <s v="동해특장"/>
    <m/>
    <n v="-25000000"/>
    <n v="122998289815"/>
  </r>
  <r>
    <x v="2"/>
    <s v="DHS 433L "/>
    <s v="현대석재"/>
    <m/>
    <n v="13317272"/>
    <n v="123011607087"/>
  </r>
  <r>
    <x v="2"/>
    <s v="DHS 950L "/>
    <s v="YB정보통신"/>
    <m/>
    <n v="-34500000"/>
    <n v="122977107087"/>
  </r>
  <r>
    <x v="2"/>
    <s v="DHS 950L "/>
    <s v="YB정보통신"/>
    <m/>
    <n v="34500000"/>
    <n v="123011607087"/>
  </r>
  <r>
    <x v="2"/>
    <s v="DHS 15AP "/>
    <s v="대기전기건설공사"/>
    <m/>
    <n v="51300000"/>
    <n v="123062907087"/>
  </r>
  <r>
    <x v="2"/>
    <s v="DHS 950L "/>
    <s v="(주)재광전기"/>
    <m/>
    <n v="35000000"/>
    <n v="123097907087"/>
  </r>
  <r>
    <x v="2"/>
    <s v="DHS 1200L "/>
    <s v="삼진전기주식회사"/>
    <m/>
    <n v="43000000"/>
    <n v="123140907087"/>
  </r>
  <r>
    <x v="2"/>
    <s v="DHS 950L "/>
    <s v="박병환"/>
    <m/>
    <n v="36363636"/>
    <n v="123177270723"/>
  </r>
  <r>
    <x v="2"/>
    <s v="DHS 950L "/>
    <s v="미래정보통신"/>
    <m/>
    <n v="35909090"/>
    <n v="123213179813"/>
  </r>
  <r>
    <x v="2"/>
    <s v="DHS 433L "/>
    <s v="대건전기"/>
    <m/>
    <n v="15000000"/>
    <n v="123228179813"/>
  </r>
  <r>
    <x v="2"/>
    <s v="DHS 433L "/>
    <s v="아이호수"/>
    <m/>
    <n v="13800000"/>
    <n v="123241979813"/>
  </r>
  <r>
    <x v="2"/>
    <s v="DHS 1200L "/>
    <s v="한마루정보통신"/>
    <m/>
    <n v="44500000"/>
    <n v="123286479813"/>
  </r>
  <r>
    <x v="2"/>
    <s v="부품대금 "/>
    <s v="WAIMEA TRUCK ＆ CRANE LTD"/>
    <m/>
    <n v="2867011"/>
    <n v="123289346824"/>
  </r>
  <r>
    <x v="2"/>
    <s v="DHS 950L "/>
    <s v="파운더스"/>
    <m/>
    <n v="33636363"/>
    <n v="123322983187"/>
  </r>
  <r>
    <x v="2"/>
    <s v="DHS 433L "/>
    <s v="한국마린"/>
    <m/>
    <n v="15000000"/>
    <n v="123337983187"/>
  </r>
  <r>
    <x v="2"/>
    <s v="DHS 930 "/>
    <s v="주식회사 선우아이티"/>
    <m/>
    <n v="32200000"/>
    <n v="123370183187"/>
  </r>
  <r>
    <x v="2"/>
    <s v="DHS 930 "/>
    <s v="주식회사 선우아이티"/>
    <m/>
    <n v="33000000"/>
    <n v="123403183187"/>
  </r>
  <r>
    <x v="2"/>
    <s v="DHS 930 "/>
    <s v="이성우"/>
    <m/>
    <n v="32000000"/>
    <n v="123435183187"/>
  </r>
  <r>
    <x v="2"/>
    <s v="DHS 930 "/>
    <s v="이성우"/>
    <m/>
    <n v="-32000000"/>
    <n v="123403183187"/>
  </r>
  <r>
    <x v="2"/>
    <s v="DHS 930 "/>
    <s v="이성우"/>
    <m/>
    <n v="32000000"/>
    <n v="123435183187"/>
  </r>
  <r>
    <x v="2"/>
    <s v="DHS 950L "/>
    <s v="케이피(K.P)통신"/>
    <m/>
    <n v="33000000"/>
    <n v="123468183187"/>
  </r>
  <r>
    <x v="2"/>
    <s v="DHS 15AP "/>
    <s v="(주)동신"/>
    <m/>
    <n v="51000000"/>
    <n v="123519183187"/>
  </r>
  <r>
    <x v="2"/>
    <s v="DHS 950L "/>
    <s v="(주)아이씨티"/>
    <m/>
    <n v="34500000"/>
    <n v="123553683187"/>
  </r>
  <r>
    <x v="2"/>
    <s v="DHS 15AP "/>
    <s v="진성"/>
    <m/>
    <n v="50909091"/>
    <n v="123604592278"/>
  </r>
  <r>
    <x v="2"/>
    <s v="DHS 15AP "/>
    <s v="이춘성"/>
    <m/>
    <n v="51500000"/>
    <n v="123656092278"/>
  </r>
  <r>
    <x v="2"/>
    <s v="차량옵션"/>
    <s v="이춘성"/>
    <m/>
    <n v="909091"/>
    <n v="123657001369"/>
  </r>
  <r>
    <x v="2"/>
    <s v="DHS 433L "/>
    <s v="수흥산업"/>
    <m/>
    <n v="14500000"/>
    <n v="123671501369"/>
  </r>
  <r>
    <x v="2"/>
    <s v="DHS 950L "/>
    <s v="한선전자통신(주)"/>
    <m/>
    <n v="35909091"/>
    <n v="123707410460"/>
  </r>
  <r>
    <x v="2"/>
    <s v="DHS 950L "/>
    <s v="자올통신솔루션"/>
    <m/>
    <n v="35909091"/>
    <n v="123743319551"/>
  </r>
  <r>
    <x v="2"/>
    <s v="DHS 950L "/>
    <s v="하루정보통신"/>
    <m/>
    <n v="37500000"/>
    <n v="123780819551"/>
  </r>
  <r>
    <x v="2"/>
    <s v="DHS 190SKY "/>
    <s v="동영건설"/>
    <m/>
    <n v="60200000"/>
    <n v="123841019551"/>
  </r>
  <r>
    <x v="2"/>
    <s v="DHS 433L "/>
    <s v="홍스무역홍스공업사(주)"/>
    <m/>
    <n v="14444545"/>
    <n v="123855464096"/>
  </r>
  <r>
    <x v="2"/>
    <s v="DHS 950L "/>
    <s v="(주)제이웰"/>
    <m/>
    <n v="32630000"/>
    <n v="123888094096"/>
  </r>
  <r>
    <x v="2"/>
    <s v="DHT 150AS "/>
    <s v="동부기업"/>
    <m/>
    <n v="160000000"/>
    <n v="124048094096"/>
  </r>
  <r>
    <x v="2"/>
    <s v="중고장비"/>
    <s v="강진통신"/>
    <m/>
    <n v="16856000"/>
    <n v="124064950096"/>
  </r>
  <r>
    <x v="2"/>
    <s v="중고장비"/>
    <s v="주식회사 중앙이앤씨"/>
    <m/>
    <n v="18000000"/>
    <n v="124082950096"/>
  </r>
  <r>
    <x v="2"/>
    <s v="DHS 930"/>
    <s v="TRI-GLOBE TRANSPORT SERVICES AND TRADING INC"/>
    <m/>
    <n v="22374590"/>
    <n v="124105324686"/>
  </r>
  <r>
    <x v="2"/>
    <s v="DHS 1200L "/>
    <s v="(주)천안케이블네트웍"/>
    <m/>
    <n v="41109091"/>
    <n v="124146433777"/>
  </r>
  <r>
    <x v="2"/>
    <s v="DHS 950L "/>
    <s v="(주)천안케이블네트웍"/>
    <m/>
    <n v="34759091"/>
    <n v="124181192868"/>
  </r>
  <r>
    <x v="2"/>
    <s v="DHS 950L "/>
    <s v="(주)천안케이블네트웍"/>
    <m/>
    <n v="34759091"/>
    <n v="124215951959"/>
  </r>
  <r>
    <x v="2"/>
    <s v="DHS 950L "/>
    <s v="(주)천안케이블네트웍"/>
    <m/>
    <n v="34759091"/>
    <n v="124250711050"/>
  </r>
  <r>
    <x v="2"/>
    <s v="DHS 950L "/>
    <s v="(주)천안케이블네트웍"/>
    <m/>
    <n v="34759091"/>
    <n v="124285470141"/>
  </r>
  <r>
    <x v="2"/>
    <s v="DHS 15AP "/>
    <s v="(주)신성이엔지"/>
    <m/>
    <n v="50454545"/>
    <n v="124335924686"/>
  </r>
  <r>
    <x v="2"/>
    <s v="DHT 160AS "/>
    <s v="하나로 일렉콤"/>
    <m/>
    <n v="166500000"/>
    <n v="124502424686"/>
  </r>
  <r>
    <x v="2"/>
    <s v="DHS 950L "/>
    <s v="지음"/>
    <m/>
    <n v="34500000"/>
    <n v="124536924686"/>
  </r>
  <r>
    <x v="2"/>
    <s v="DHS 950L "/>
    <s v="지음"/>
    <m/>
    <n v="34500000"/>
    <n v="124571424686"/>
  </r>
  <r>
    <x v="2"/>
    <s v="DHS 1200L "/>
    <s v="에스엘엔(주)"/>
    <m/>
    <n v="42500000"/>
    <n v="124613924686"/>
  </r>
  <r>
    <x v="2"/>
    <s v="DHS 433L "/>
    <s v="양양군농업기술센터"/>
    <m/>
    <n v="13204545"/>
    <n v="124627129231"/>
  </r>
  <r>
    <x v="2"/>
    <s v="DHS 15AP "/>
    <s v="주식회사 삼성하이텍"/>
    <m/>
    <n v="51500000"/>
    <n v="124678629231"/>
  </r>
  <r>
    <x v="2"/>
    <s v="추가계약건"/>
    <s v="양양군농업기술센터"/>
    <m/>
    <n v="709091"/>
    <n v="124679338322"/>
  </r>
  <r>
    <x v="2"/>
    <s v="DHT 145AS "/>
    <s v="VIET TRUNG JOINT STOCK EQUIPMENT COMPANY"/>
    <m/>
    <n v="52696830"/>
    <n v="124732035152"/>
  </r>
  <r>
    <x v="2"/>
    <s v="DHT 145AS"/>
    <s v="VIET TRUNG JOINT STOCK EQUIPMENT COMPANY"/>
    <m/>
    <n v="-52696830"/>
    <n v="124679338322"/>
  </r>
  <r>
    <x v="2"/>
    <s v="DHS 433L "/>
    <s v="주식회사 지지케이산업개발"/>
    <m/>
    <n v="14500000"/>
    <n v="124693838322"/>
  </r>
  <r>
    <x v="2"/>
    <s v="DHS 950L "/>
    <s v="주식회사 윌테크"/>
    <m/>
    <n v="35709091"/>
    <n v="124729547413"/>
  </r>
  <r>
    <x v="2"/>
    <s v="DHS 950L "/>
    <s v="주식회사 윌테크"/>
    <m/>
    <n v="35709091"/>
    <n v="124765256504"/>
  </r>
  <r>
    <x v="2"/>
    <s v="DHS 950L "/>
    <s v="주식회사 윌테크"/>
    <m/>
    <n v="35709091"/>
    <n v="124800965595"/>
  </r>
  <r>
    <x v="2"/>
    <s v="DHS 1200L "/>
    <s v="주식회사 윌테크"/>
    <m/>
    <n v="41109091"/>
    <n v="124842074686"/>
  </r>
  <r>
    <x v="2"/>
    <s v="DHT 160AS "/>
    <s v="주식회사 형제"/>
    <m/>
    <n v="169000000"/>
    <n v="125011074686"/>
  </r>
  <r>
    <x v="2"/>
    <s v="DHT 150AS "/>
    <s v="박열"/>
    <m/>
    <n v="160000000"/>
    <n v="125171074686"/>
  </r>
  <r>
    <x v="2"/>
    <s v="부품대금"/>
    <s v="SHANGHAI HENGXUN"/>
    <m/>
    <n v="5822664"/>
    <n v="125176897350"/>
  </r>
  <r>
    <x v="2"/>
    <s v="DHS 433L "/>
    <s v="신진유지건설(주)"/>
    <m/>
    <n v="13500000"/>
    <n v="125190397350"/>
  </r>
  <r>
    <x v="2"/>
    <s v="DHS 433L "/>
    <s v="신진유지건설(주)"/>
    <m/>
    <n v="13500000"/>
    <n v="125203897350"/>
  </r>
  <r>
    <x v="2"/>
    <s v="DHS 1200L "/>
    <s v="한선전자통신(주)"/>
    <m/>
    <n v="41818182"/>
    <n v="125245715532"/>
  </r>
  <r>
    <x v="2"/>
    <s v="DHS 433L "/>
    <s v="신진유지건설(주)"/>
    <m/>
    <n v="-13500000"/>
    <n v="125232215532"/>
  </r>
  <r>
    <x v="2"/>
    <s v="DHS 433L "/>
    <s v="신진유지건설(주)"/>
    <m/>
    <n v="13500000"/>
    <n v="125245715532"/>
  </r>
  <r>
    <x v="2"/>
    <s v="DHS 1200L "/>
    <s v="해광건설주식회사"/>
    <m/>
    <n v="41000000"/>
    <n v="125286715532"/>
  </r>
  <r>
    <x v="2"/>
    <s v="DHT 160AS "/>
    <s v="태양이엔지"/>
    <m/>
    <n v="171000000"/>
    <n v="125457715532"/>
  </r>
  <r>
    <x v="2"/>
    <s v="DHS 190SKY"/>
    <s v="한국전기"/>
    <m/>
    <n v="60700000"/>
    <n v="125518415532"/>
  </r>
  <r>
    <x v="2"/>
    <s v="DHS 950L "/>
    <s v="이터널(주)"/>
    <m/>
    <n v="36800000"/>
    <n v="125555215532"/>
  </r>
  <r>
    <x v="2"/>
    <s v="DHS 950L "/>
    <s v="이터널(주)"/>
    <m/>
    <n v="36800000"/>
    <n v="125592015532"/>
  </r>
  <r>
    <x v="2"/>
    <s v="DHS 950L "/>
    <s v="이터널(주)"/>
    <m/>
    <n v="36800000"/>
    <n v="125628815532"/>
  </r>
  <r>
    <x v="2"/>
    <s v="DHS 950L "/>
    <s v="(주)티플러스네트워크"/>
    <m/>
    <n v="36800000"/>
    <n v="125665615532"/>
  </r>
  <r>
    <x v="2"/>
    <s v="DHS 950L "/>
    <s v="(주)티플러스네트워크"/>
    <m/>
    <n v="36800000"/>
    <n v="125702415532"/>
  </r>
  <r>
    <x v="2"/>
    <s v="DHS 950L "/>
    <s v="(주)티플러스네트워크"/>
    <m/>
    <n v="36800000"/>
    <n v="125739215532"/>
  </r>
  <r>
    <x v="2"/>
    <s v="DHS 950L "/>
    <s v="엘제이(LJ)통신"/>
    <m/>
    <n v="36500000"/>
    <n v="125775715532"/>
  </r>
  <r>
    <x v="2"/>
    <s v="DHS 950L "/>
    <s v="와이제이통신"/>
    <m/>
    <n v="36500000"/>
    <n v="125812215532"/>
  </r>
  <r>
    <x v="2"/>
    <s v="DHS 1200L "/>
    <s v="(주)티에스씨"/>
    <m/>
    <n v="40500000"/>
    <n v="125852715532"/>
  </r>
  <r>
    <x v="2"/>
    <s v="DHS 950L "/>
    <s v="(주)티에스씨"/>
    <m/>
    <n v="33500000"/>
    <n v="125886215532"/>
  </r>
  <r>
    <x v="2"/>
    <s v="DHS 950L "/>
    <s v="(주)티에스씨"/>
    <m/>
    <n v="33500000"/>
    <n v="125919715532"/>
  </r>
  <r>
    <x v="2"/>
    <s v="DHS 950L "/>
    <s v="주식회사 기산이앤씨"/>
    <m/>
    <n v="34000000"/>
    <n v="125953715532"/>
  </r>
  <r>
    <x v="2"/>
    <s v="DHS 930 "/>
    <s v="(주)대천정보통신"/>
    <m/>
    <n v="33500000"/>
    <n v="125987215532"/>
  </r>
  <r>
    <x v="2"/>
    <s v="DHS 930 "/>
    <s v="(주)대천정보통신"/>
    <m/>
    <n v="33000000"/>
    <n v="126020215532"/>
  </r>
  <r>
    <x v="2"/>
    <s v="DHS 930 "/>
    <s v="(주)대천정보통신"/>
    <m/>
    <n v="32200000"/>
    <n v="126052415532"/>
  </r>
  <r>
    <x v="2"/>
    <s v="DHS 930 "/>
    <s v="(주)티아이정보통신"/>
    <m/>
    <n v="33500000"/>
    <n v="126085915532"/>
  </r>
  <r>
    <x v="2"/>
    <s v="DHS 930 "/>
    <s v="(주)티아이정보통신"/>
    <m/>
    <n v="33000000"/>
    <n v="126118915532"/>
  </r>
  <r>
    <x v="2"/>
    <s v="DHS 930 "/>
    <s v="(주)티아이정보통신"/>
    <m/>
    <n v="32200000"/>
    <n v="126151115532"/>
  </r>
  <r>
    <x v="2"/>
    <s v="DHS 950L "/>
    <s v="에이스통신"/>
    <m/>
    <n v="35500000"/>
    <n v="126186615532"/>
  </r>
  <r>
    <x v="2"/>
    <s v="DHS 950L "/>
    <s v="남양전업사"/>
    <m/>
    <n v="36000000"/>
    <n v="126222615532"/>
  </r>
  <r>
    <x v="2"/>
    <s v="DHS 17AP "/>
    <s v="진보"/>
    <m/>
    <n v="53000000"/>
    <n v="126275615532"/>
  </r>
  <r>
    <x v="2"/>
    <s v="DHT 105S "/>
    <s v="한국전력공사"/>
    <m/>
    <n v="948100000"/>
    <n v="127223715532"/>
  </r>
  <r>
    <x v="2"/>
    <s v="DHS 534 "/>
    <s v="삼화타이어"/>
    <m/>
    <n v="15600000"/>
    <n v="127239315532"/>
  </r>
  <r>
    <x v="2"/>
    <s v="DHS 534 "/>
    <s v="동호중기"/>
    <m/>
    <n v="15600000"/>
    <n v="127254915532"/>
  </r>
  <r>
    <x v="2"/>
    <s v="DHS 950L "/>
    <s v="(주)도봉케이블서비스"/>
    <m/>
    <n v="33500000"/>
    <n v="127288415532"/>
  </r>
  <r>
    <x v="2"/>
    <s v="DHS 950L "/>
    <s v="(주)도봉케이블서비스"/>
    <m/>
    <n v="33500000"/>
    <n v="127321915532"/>
  </r>
  <r>
    <x v="2"/>
    <s v="DHS 950L "/>
    <s v="(주)도봉케이블서비스"/>
    <m/>
    <n v="36800000"/>
    <n v="127358715532"/>
  </r>
  <r>
    <x v="2"/>
    <s v="DHS 950L "/>
    <s v="(주)도봉케이블서비스"/>
    <m/>
    <n v="36800000"/>
    <n v="127395515532"/>
  </r>
  <r>
    <x v="2"/>
    <s v="DHS 950L "/>
    <s v="J＆J"/>
    <m/>
    <n v="33800000"/>
    <n v="127429315532"/>
  </r>
  <r>
    <x v="2"/>
    <s v="DHT 160AS "/>
    <s v="안승영"/>
    <m/>
    <n v="168000000"/>
    <n v="127597315532"/>
  </r>
  <r>
    <x v="2"/>
    <s v="중고장비"/>
    <s v="주식회사 대아산업"/>
    <m/>
    <n v="16856000"/>
    <n v="127614171532"/>
  </r>
  <r>
    <x v="2"/>
    <s v="DHS 15AP "/>
    <s v="팔구전기공사"/>
    <m/>
    <n v="50000000"/>
    <n v="127664171532"/>
  </r>
  <r>
    <x v="2"/>
    <s v="DHS 15AP "/>
    <s v="금남전기전력공사"/>
    <m/>
    <n v="50727273"/>
    <n v="127714898805"/>
  </r>
  <r>
    <x v="2"/>
    <s v="크레인계약금"/>
    <s v="주식회사 동일"/>
    <m/>
    <n v="40000000"/>
    <n v="127754898805"/>
  </r>
  <r>
    <x v="2"/>
    <s v="DHT 160AS "/>
    <s v="안승영"/>
    <m/>
    <n v="-168000000"/>
    <n v="127586898805"/>
  </r>
  <r>
    <x v="2"/>
    <s v="DHT 160AS "/>
    <s v="승아기전"/>
    <m/>
    <n v="168000000"/>
    <n v="127754898805"/>
  </r>
  <r>
    <x v="2"/>
    <s v="DHS 606STD "/>
    <s v="(주)서림"/>
    <m/>
    <n v="35500000"/>
    <n v="127790398805"/>
  </r>
  <r>
    <x v="2"/>
    <s v="DHS 950L "/>
    <s v="금산정보통신"/>
    <m/>
    <n v="36000000"/>
    <n v="127826398805"/>
  </r>
  <r>
    <x v="2"/>
    <s v="DHT 160AS "/>
    <s v="(주)이명전기"/>
    <m/>
    <n v="167000000"/>
    <n v="127993398805"/>
  </r>
  <r>
    <x v="2"/>
    <s v="DHS 950L "/>
    <s v="(주)에이치제이통신"/>
    <m/>
    <n v="35409091"/>
    <n v="128028807896"/>
  </r>
  <r>
    <x v="2"/>
    <s v="DHS 15AP "/>
    <s v="주식회사 윤성전력"/>
    <m/>
    <n v="51818182"/>
    <n v="128080626078"/>
  </r>
  <r>
    <x v="2"/>
    <s v="DHS 950L "/>
    <s v="상지통신"/>
    <m/>
    <n v="36500000"/>
    <n v="128117126078"/>
  </r>
  <r>
    <x v="2"/>
    <s v="DHS 950L "/>
    <s v="다원아이티(주)"/>
    <m/>
    <n v="33000000"/>
    <n v="128150126078"/>
  </r>
  <r>
    <x v="2"/>
    <s v="BAK-12 설치공사 기성청구-오산비행장"/>
    <s v="성광건설산업(주)"/>
    <m/>
    <n v="13145300"/>
    <n v="128163271378"/>
  </r>
  <r>
    <x v="3"/>
    <s v="DHS 950L "/>
    <s v="주식회사 수길정보통신"/>
    <m/>
    <n v="34000000"/>
    <n v="128197271378"/>
  </r>
  <r>
    <x v="3"/>
    <s v="DHS 534 "/>
    <s v="호암엔지니어링(주)"/>
    <m/>
    <n v="14545454"/>
    <n v="128211816832"/>
  </r>
  <r>
    <x v="3"/>
    <s v="DHT 160AS "/>
    <s v="심부섭"/>
    <m/>
    <n v="170000000"/>
    <n v="128381816832"/>
  </r>
  <r>
    <x v="3"/>
    <s v="DHT 160AS "/>
    <s v="심부섭"/>
    <m/>
    <n v="-170000000"/>
    <n v="128211816832"/>
  </r>
  <r>
    <x v="3"/>
    <s v="DHT 150AS "/>
    <s v="충주활선"/>
    <m/>
    <n v="170000000"/>
    <n v="128381816832"/>
  </r>
  <r>
    <x v="3"/>
    <s v="DHS 950L "/>
    <s v="HJ통신"/>
    <m/>
    <n v="36363636"/>
    <n v="128418180468"/>
  </r>
  <r>
    <x v="3"/>
    <s v="DHS 534 "/>
    <s v="주식회사 세아베스틸"/>
    <m/>
    <n v="13800000"/>
    <n v="128431980468"/>
  </r>
  <r>
    <x v="3"/>
    <s v="DHS 15AP "/>
    <s v="한성전기"/>
    <m/>
    <n v="50818182"/>
    <n v="128482798650"/>
  </r>
  <r>
    <x v="3"/>
    <s v="DHS 433L "/>
    <s v="현대선외기"/>
    <m/>
    <n v="14171818"/>
    <n v="128496970468"/>
  </r>
  <r>
    <x v="3"/>
    <s v="DHS 433L "/>
    <s v="신온마린"/>
    <m/>
    <n v="14090909"/>
    <n v="128511061377"/>
  </r>
  <r>
    <x v="3"/>
    <s v="DHS 930 "/>
    <s v="주식회사 선우아이티"/>
    <m/>
    <n v="32200000"/>
    <n v="128543261377"/>
  </r>
  <r>
    <x v="3"/>
    <s v="DHS 950L "/>
    <s v="YK네트워크"/>
    <m/>
    <n v="35500000"/>
    <n v="128578761377"/>
  </r>
  <r>
    <x v="3"/>
    <s v="DHS 950L "/>
    <s v="(주)KCTV제주방송"/>
    <m/>
    <n v="40000000"/>
    <n v="128618761377"/>
  </r>
  <r>
    <x v="3"/>
    <s v="DHS 950L "/>
    <s v="주식회사케이블웍스"/>
    <m/>
    <n v="40000000"/>
    <n v="128658761377"/>
  </r>
  <r>
    <x v="3"/>
    <s v="DHS 950L "/>
    <s v="주식회사 싸이토피아"/>
    <m/>
    <n v="36000000"/>
    <n v="128694761377"/>
  </r>
  <r>
    <x v="3"/>
    <s v="DHS 534 "/>
    <s v="(자)미광계전"/>
    <m/>
    <n v="13500000"/>
    <n v="128708261377"/>
  </r>
  <r>
    <x v="3"/>
    <s v="DHS 950L "/>
    <s v="선진통신"/>
    <m/>
    <n v="34180000"/>
    <n v="128742441377"/>
  </r>
  <r>
    <x v="3"/>
    <s v="BOOM 조립체 외 "/>
    <s v="(주)동해중공업"/>
    <m/>
    <n v="8400000"/>
    <n v="128750841377"/>
  </r>
  <r>
    <x v="3"/>
    <s v="BOOM 조립체 외 "/>
    <s v="(주)동해중공업"/>
    <m/>
    <n v="8400000"/>
    <n v="128759241377"/>
  </r>
  <r>
    <x v="3"/>
    <s v="DHS 534 "/>
    <s v="김은곤"/>
    <m/>
    <n v="14000000"/>
    <n v="128773241377"/>
  </r>
  <r>
    <x v="3"/>
    <s v="DHS 1200L "/>
    <s v="주안전력(주)"/>
    <m/>
    <n v="41820000"/>
    <n v="128815061377"/>
  </r>
  <r>
    <x v="3"/>
    <s v="DHS 950L "/>
    <s v="에이치케이네트웍스"/>
    <m/>
    <n v="36600000"/>
    <n v="128851661377"/>
  </r>
  <r>
    <x v="3"/>
    <s v="DHS 950L "/>
    <s v="최희근"/>
    <m/>
    <n v="36600000"/>
    <n v="128888261377"/>
  </r>
  <r>
    <x v="3"/>
    <s v="DHS 950L "/>
    <s v="(주)대진전기소방"/>
    <m/>
    <n v="34500000"/>
    <n v="128922761377"/>
  </r>
  <r>
    <x v="3"/>
    <s v="DHS 930 "/>
    <s v="현대캐피탈주식회사"/>
    <m/>
    <n v="30465000"/>
    <n v="128953226377"/>
  </r>
  <r>
    <x v="3"/>
    <s v="DHS 930 "/>
    <s v="현대캐피탈주식회사"/>
    <m/>
    <n v="30465000"/>
    <n v="128983691377"/>
  </r>
  <r>
    <x v="3"/>
    <s v="DHS 930 "/>
    <s v="현대캐피탈주식회사"/>
    <m/>
    <n v="30465000"/>
    <n v="129014156377"/>
  </r>
  <r>
    <x v="3"/>
    <s v="DHS 930 "/>
    <s v="현대캐피탈주식회사"/>
    <m/>
    <n v="30465000"/>
    <n v="129044621377"/>
  </r>
  <r>
    <x v="3"/>
    <s v="DHS 930 "/>
    <s v="현대캐피탈주식회사"/>
    <m/>
    <n v="-30465000"/>
    <n v="129014156377"/>
  </r>
  <r>
    <x v="3"/>
    <s v="DHS 930 "/>
    <s v="현대캐피탈주식회사"/>
    <m/>
    <n v="30465000"/>
    <n v="129044621377"/>
  </r>
  <r>
    <x v="3"/>
    <s v="DHS 950L "/>
    <s v="정네트웍"/>
    <m/>
    <n v="35454545"/>
    <n v="129080075922"/>
  </r>
  <r>
    <x v="3"/>
    <s v="DHT 160AS "/>
    <s v="승주화물"/>
    <m/>
    <n v="171000000"/>
    <n v="129251075922"/>
  </r>
  <r>
    <x v="3"/>
    <s v="DHS 15AP "/>
    <s v="주식회사 신한이엔씨"/>
    <m/>
    <n v="51000000"/>
    <n v="129302075922"/>
  </r>
  <r>
    <x v="3"/>
    <s v="DHS 950L "/>
    <s v="최희근"/>
    <m/>
    <n v="-36600000"/>
    <n v="129265475922"/>
  </r>
  <r>
    <x v="3"/>
    <s v="DHS 950L "/>
    <s v="아이콘네트웍"/>
    <m/>
    <n v="36600000"/>
    <n v="129302075922"/>
  </r>
  <r>
    <x v="3"/>
    <s v="DHS 950L "/>
    <s v="디와이통신"/>
    <m/>
    <n v="35000000"/>
    <n v="129337075922"/>
  </r>
  <r>
    <x v="3"/>
    <s v="DHS 15AP "/>
    <s v="주식회사 동일"/>
    <m/>
    <n v="11000000"/>
    <n v="129348075922"/>
  </r>
  <r>
    <x v="3"/>
    <s v="DHS 950L "/>
    <s v="지음"/>
    <m/>
    <n v="34500000"/>
    <n v="129382575922"/>
  </r>
  <r>
    <x v="3"/>
    <s v="DHS 433L "/>
    <s v="애은"/>
    <m/>
    <n v="15000000"/>
    <n v="129397575922"/>
  </r>
  <r>
    <x v="3"/>
    <s v="DHS 930 "/>
    <s v="현대캐피탈주식회사"/>
    <m/>
    <n v="30465000"/>
    <n v="129428040922"/>
  </r>
  <r>
    <x v="3"/>
    <s v="DHS 950L "/>
    <s v="주식회사 다온인테크"/>
    <m/>
    <n v="36963636"/>
    <n v="129465004558"/>
  </r>
  <r>
    <x v="3"/>
    <s v="DHS 950L "/>
    <s v="주식회사 수길정보통신"/>
    <m/>
    <n v="34000000"/>
    <n v="129499004558"/>
  </r>
  <r>
    <x v="3"/>
    <s v="DHS 15AP "/>
    <s v="성원전기공사"/>
    <m/>
    <n v="49500000"/>
    <n v="129548504558"/>
  </r>
  <r>
    <x v="3"/>
    <s v="DHS 930 "/>
    <s v="현대캐피탈주식회사"/>
    <m/>
    <n v="-30465000"/>
    <n v="129518039558"/>
  </r>
  <r>
    <x v="3"/>
    <s v="DHS 930 "/>
    <s v="현대캐피탈주식회사"/>
    <m/>
    <n v="30465000"/>
    <n v="129548504558"/>
  </r>
  <r>
    <x v="3"/>
    <s v="DHS 950L "/>
    <s v="피씨통신"/>
    <m/>
    <n v="36363636"/>
    <n v="129584868194"/>
  </r>
  <r>
    <x v="3"/>
    <s v="DHS 930 "/>
    <s v="중원정보통신(주)"/>
    <m/>
    <n v="34090909"/>
    <n v="129618959103"/>
  </r>
  <r>
    <x v="3"/>
    <s v="DHS 950L "/>
    <s v="(주)알앤아이"/>
    <m/>
    <n v="34000000"/>
    <n v="129652959103"/>
  </r>
  <r>
    <x v="3"/>
    <s v="DHS 1200L "/>
    <s v="조아전자(주)"/>
    <m/>
    <n v="44220000"/>
    <n v="129697179103"/>
  </r>
  <r>
    <x v="3"/>
    <s v="DHS 950L "/>
    <s v="재영네트웍스"/>
    <m/>
    <n v="36600000"/>
    <n v="129733779103"/>
  </r>
  <r>
    <x v="3"/>
    <s v="DHS 950L "/>
    <s v="창기네트웍스"/>
    <m/>
    <n v="35623636"/>
    <n v="129769402739"/>
  </r>
  <r>
    <x v="3"/>
    <s v="DHS 950L "/>
    <s v="유앤아이네트웍"/>
    <m/>
    <n v="32800000"/>
    <n v="129802202739"/>
  </r>
  <r>
    <x v="3"/>
    <s v="DHS 1200L "/>
    <s v="유빈통신"/>
    <m/>
    <n v="43181818"/>
    <n v="129845384557"/>
  </r>
  <r>
    <x v="3"/>
    <s v="DHT 150AS "/>
    <s v="강인주"/>
    <m/>
    <n v="163000000"/>
    <n v="130008384557"/>
  </r>
  <r>
    <x v="3"/>
    <s v="DHT 150AS "/>
    <s v="강인주"/>
    <m/>
    <n v="-163000000"/>
    <n v="129845384557"/>
  </r>
  <r>
    <x v="3"/>
    <s v="DHT 150AS "/>
    <s v="동해활선"/>
    <m/>
    <n v="163000000"/>
    <n v="130008384557"/>
  </r>
  <r>
    <x v="3"/>
    <s v="DHS 433L "/>
    <s v="목포청용마린"/>
    <m/>
    <n v="15013636"/>
    <n v="130023398193"/>
  </r>
  <r>
    <x v="3"/>
    <s v="DHS 950L "/>
    <s v="주식회사 메카넷"/>
    <m/>
    <n v="36818182"/>
    <n v="130060216375"/>
  </r>
  <r>
    <x v="3"/>
    <s v="중고장비"/>
    <s v="한성정보통신"/>
    <m/>
    <n v="16856000"/>
    <n v="130077072375"/>
  </r>
  <r>
    <x v="3"/>
    <s v="DHS 950L "/>
    <s v="트윈이엔씨"/>
    <m/>
    <n v="35000000"/>
    <n v="130112072375"/>
  </r>
  <r>
    <x v="3"/>
    <s v="DHS 534 "/>
    <s v="(주)이산"/>
    <m/>
    <n v="12100000"/>
    <n v="130124172375"/>
  </r>
  <r>
    <x v="3"/>
    <s v="DHS 950L "/>
    <s v="JH통신"/>
    <m/>
    <n v="33000000"/>
    <n v="130157172375"/>
  </r>
  <r>
    <x v="3"/>
    <s v="DHT 150AS "/>
    <s v="윤종태"/>
    <m/>
    <n v="159000000"/>
    <n v="130316172375"/>
  </r>
  <r>
    <x v="3"/>
    <s v="DHT 160A S"/>
    <s v="주식회사 진성"/>
    <m/>
    <n v="169000000"/>
    <n v="130485172375"/>
  </r>
  <r>
    <x v="3"/>
    <s v="DHS 950L "/>
    <s v="(주)신호"/>
    <m/>
    <n v="35690909"/>
    <n v="130520863284"/>
  </r>
  <r>
    <x v="3"/>
    <s v="DHT 105S "/>
    <s v="한국전력공사"/>
    <m/>
    <n v="1896200000"/>
    <n v="132417063284"/>
  </r>
  <r>
    <x v="3"/>
    <s v="DHT 150S "/>
    <s v="구미활선(개별화물)"/>
    <m/>
    <n v="143500000"/>
    <n v="132560563284"/>
  </r>
  <r>
    <x v="3"/>
    <s v="DHS 15AP "/>
    <s v="태양전력(유)"/>
    <m/>
    <n v="50909091"/>
    <n v="132611472375"/>
  </r>
  <r>
    <x v="3"/>
    <s v="DHS 15AP "/>
    <s v="명진전력"/>
    <m/>
    <n v="50909091"/>
    <n v="132662381466"/>
  </r>
  <r>
    <x v="3"/>
    <s v="DHS 950L "/>
    <s v="(주)씨큐넷"/>
    <m/>
    <n v="34300000"/>
    <n v="132696681466"/>
  </r>
  <r>
    <x v="3"/>
    <s v="DHS 950L "/>
    <s v="주식회사 선우"/>
    <m/>
    <n v="35700000"/>
    <n v="132732381466"/>
  </r>
  <r>
    <x v="3"/>
    <s v="DHS 950L "/>
    <s v="제이 정보통신"/>
    <m/>
    <n v="35909090"/>
    <n v="132768290556"/>
  </r>
  <r>
    <x v="3"/>
    <s v="DHS 950L "/>
    <s v="보고정보통신(주)"/>
    <m/>
    <n v="37500000"/>
    <n v="132805790556"/>
  </r>
  <r>
    <x v="3"/>
    <s v="DHS 15AP "/>
    <s v="(유)세광전기신호공사"/>
    <m/>
    <n v="50909091"/>
    <n v="132856699647"/>
  </r>
  <r>
    <x v="3"/>
    <s v="DHS 15AP "/>
    <s v="지수건설"/>
    <m/>
    <n v="50000000"/>
    <n v="132906699647"/>
  </r>
  <r>
    <x v="3"/>
    <s v="DHS 15AP "/>
    <s v="(유)은혜전기"/>
    <m/>
    <n v="50909091"/>
    <n v="132957608738"/>
  </r>
  <r>
    <x v="3"/>
    <s v="DHS 433L "/>
    <s v="삼성마린레져"/>
    <m/>
    <n v="14000000"/>
    <n v="132971608738"/>
  </r>
  <r>
    <x v="3"/>
    <s v="DHS 433L "/>
    <s v="김포도시공사"/>
    <m/>
    <n v="30072728"/>
    <n v="133001681466"/>
  </r>
  <r>
    <x v="3"/>
    <s v="DHS 950L "/>
    <s v="롯데오토리스(주)"/>
    <m/>
    <n v="40833333"/>
    <n v="133042514799"/>
  </r>
  <r>
    <x v="3"/>
    <s v="DHS 950L "/>
    <s v="롯데오토리스(주)"/>
    <m/>
    <n v="40833333"/>
    <n v="133083348132"/>
  </r>
  <r>
    <x v="3"/>
    <s v="DHS 950L "/>
    <s v="롯데오토리스(주)"/>
    <m/>
    <n v="40833333"/>
    <n v="133124181465"/>
  </r>
  <r>
    <x v="3"/>
    <s v="DHS 950L "/>
    <s v="롯데오토리스(주)"/>
    <m/>
    <n v="40833333"/>
    <n v="133165014798"/>
  </r>
  <r>
    <x v="3"/>
    <s v="DHS 950L "/>
    <s v="롯데오토리스(주)"/>
    <m/>
    <n v="40833333"/>
    <n v="133205848131"/>
  </r>
  <r>
    <x v="3"/>
    <s v="DHS 950L "/>
    <s v="롯데오토리스(주)"/>
    <m/>
    <n v="40833333"/>
    <n v="133246681464"/>
  </r>
  <r>
    <x v="3"/>
    <s v="DHS 950L "/>
    <s v="롯데오토리스(주)"/>
    <m/>
    <n v="40833333"/>
    <n v="133287514797"/>
  </r>
  <r>
    <x v="3"/>
    <s v="DHS 950L "/>
    <s v="롯데오토리스(주)"/>
    <m/>
    <n v="40833333"/>
    <n v="133328348130"/>
  </r>
  <r>
    <x v="3"/>
    <s v="DHS 950L "/>
    <s v="롯데오토리스(주)"/>
    <m/>
    <n v="40833333"/>
    <n v="133369181463"/>
  </r>
  <r>
    <x v="3"/>
    <s v="DHS 950L "/>
    <s v="롯데오토리스(주)"/>
    <m/>
    <n v="40833333"/>
    <n v="133410014796"/>
  </r>
  <r>
    <x v="3"/>
    <s v="DHS 950L "/>
    <s v="롯데오토리스(주)"/>
    <m/>
    <n v="40833333"/>
    <n v="133450848129"/>
  </r>
  <r>
    <x v="3"/>
    <s v="DHS 950L "/>
    <s v="롯데오토리스(주)"/>
    <m/>
    <n v="40833333"/>
    <n v="133491681462"/>
  </r>
  <r>
    <x v="3"/>
    <s v="DHS 950L "/>
    <s v="롯데오토리스(주)"/>
    <m/>
    <n v="40833333"/>
    <n v="133532514795"/>
  </r>
  <r>
    <x v="3"/>
    <s v="DHS 950L "/>
    <s v="롯데오토리스(주)"/>
    <m/>
    <n v="40833333"/>
    <n v="133573348128"/>
  </r>
  <r>
    <x v="3"/>
    <s v="DHS 950L "/>
    <s v="롯데오토리스(주)"/>
    <m/>
    <n v="40833333"/>
    <n v="133614181461"/>
  </r>
  <r>
    <x v="3"/>
    <s v="DHS 950L "/>
    <s v="롯데오토리스(주)"/>
    <m/>
    <n v="40833333"/>
    <n v="133655014794"/>
  </r>
  <r>
    <x v="3"/>
    <s v="DHS 950L "/>
    <s v="롯데오토리스(주)"/>
    <m/>
    <n v="40833333"/>
    <n v="133695848127"/>
  </r>
  <r>
    <x v="3"/>
    <s v="DHS 950L "/>
    <s v="롯데오토리스(주)"/>
    <m/>
    <n v="40833333"/>
    <n v="133736681460"/>
  </r>
  <r>
    <x v="3"/>
    <s v="DHS 1200L "/>
    <s v="(주)예성이앤씨"/>
    <m/>
    <n v="42272727"/>
    <n v="133778954187"/>
  </r>
  <r>
    <x v="3"/>
    <s v="DHS 930 "/>
    <s v="(주)예성이앤씨"/>
    <m/>
    <n v="35000000"/>
    <n v="133813954187"/>
  </r>
  <r>
    <x v="3"/>
    <s v="DHS 930 "/>
    <s v="(주)예성이앤씨"/>
    <m/>
    <n v="35000000"/>
    <n v="133848954187"/>
  </r>
  <r>
    <x v="3"/>
    <s v="DHS 930 "/>
    <s v="(주)예성이앤씨"/>
    <m/>
    <n v="35000000"/>
    <n v="133883954187"/>
  </r>
  <r>
    <x v="3"/>
    <s v="DHS 930 "/>
    <s v="지도통신"/>
    <m/>
    <n v="33500000"/>
    <n v="133917454187"/>
  </r>
  <r>
    <x v="3"/>
    <s v="중고장비"/>
    <s v="YS정보통신"/>
    <m/>
    <n v="16856000"/>
    <n v="133934310187"/>
  </r>
  <r>
    <x v="3"/>
    <s v="DHS 102AP"/>
    <s v="EVE MAQUINARIA SA DE CV"/>
    <m/>
    <n v="14863530"/>
    <n v="133949173717"/>
  </r>
  <r>
    <x v="3"/>
    <s v="추가계약건"/>
    <s v="김포도시공사"/>
    <m/>
    <n v="1544090"/>
    <n v="133950717807"/>
  </r>
  <r>
    <x v="3"/>
    <s v="DHS 930 "/>
    <s v="팔영통신"/>
    <m/>
    <n v="36363636"/>
    <n v="133987081443"/>
  </r>
  <r>
    <x v="3"/>
    <s v="DHS 950L "/>
    <s v="보민정보"/>
    <m/>
    <n v="37000000"/>
    <n v="134024081443"/>
  </r>
  <r>
    <x v="3"/>
    <s v="DHS 950L "/>
    <s v="앰에스(MS)네트워크"/>
    <m/>
    <n v="34000000"/>
    <n v="134058081443"/>
  </r>
  <r>
    <x v="3"/>
    <s v="DHS 125AP "/>
    <s v="연수네트워크"/>
    <m/>
    <n v="42636364"/>
    <n v="134100717807"/>
  </r>
  <r>
    <x v="3"/>
    <s v="DHS 105AP "/>
    <s v="창신정보통신(주)"/>
    <m/>
    <n v="41363636"/>
    <n v="134142081443"/>
  </r>
  <r>
    <x v="3"/>
    <s v="DHS 950L "/>
    <s v="스마트인포 주식회사"/>
    <m/>
    <n v="35690909"/>
    <n v="134177772352"/>
  </r>
  <r>
    <x v="3"/>
    <s v="DHS 950L "/>
    <s v="천호정보통신"/>
    <m/>
    <n v="35900000"/>
    <n v="134213672352"/>
  </r>
  <r>
    <x v="3"/>
    <s v="DHS 950L "/>
    <s v="한우리정보통신"/>
    <m/>
    <n v="33000000"/>
    <n v="134246672352"/>
  </r>
  <r>
    <x v="3"/>
    <s v="DHS 125AP "/>
    <s v="주식회사 나노정보통신"/>
    <m/>
    <n v="44000000"/>
    <n v="134290672352"/>
  </r>
  <r>
    <x v="3"/>
    <s v="DHS 433L "/>
    <s v="일호수중개발"/>
    <m/>
    <n v="14800000"/>
    <n v="134305472352"/>
  </r>
  <r>
    <x v="3"/>
    <s v="DHS 190SKY "/>
    <s v="(주)새론"/>
    <m/>
    <n v="60450000"/>
    <n v="134365922352"/>
  </r>
  <r>
    <x v="3"/>
    <s v="BAK-14 장비실 개선공사"/>
    <s v="제3훈련비행단"/>
    <m/>
    <n v="11724545"/>
    <n v="134377646897"/>
  </r>
  <r>
    <x v="3"/>
    <s v="BAK-14 장비실 개선공사"/>
    <s v="제3훈련비행단"/>
    <m/>
    <n v="-11724545"/>
    <n v="134365922352"/>
  </r>
  <r>
    <x v="3"/>
    <s v="BAK-14 장비실 개선공사"/>
    <s v="제3훈련비행단"/>
    <m/>
    <n v="11689091"/>
    <n v="134377611443"/>
  </r>
  <r>
    <x v="3"/>
    <s v="DHS 1200L "/>
    <s v="TJ네트워크"/>
    <m/>
    <n v="40900000"/>
    <n v="134418511443"/>
  </r>
  <r>
    <x v="3"/>
    <s v="DHS 1200L "/>
    <s v="(주)한국호이스트"/>
    <m/>
    <n v="37000000"/>
    <n v="134455511443"/>
  </r>
  <r>
    <x v="3"/>
    <s v="DHS 15AP "/>
    <s v="진형준"/>
    <m/>
    <n v="50909090"/>
    <n v="134506420533"/>
  </r>
  <r>
    <x v="3"/>
    <s v="DHS 433L "/>
    <s v="(주)E1"/>
    <m/>
    <n v="14780000"/>
    <n v="134521200533"/>
  </r>
  <r>
    <x v="3"/>
    <s v="DHS 950L "/>
    <s v="창성통신"/>
    <m/>
    <n v="34020000"/>
    <n v="134555220533"/>
  </r>
  <r>
    <x v="3"/>
    <s v="DHS 950L "/>
    <s v="제일네트웍스"/>
    <m/>
    <n v="36363636"/>
    <n v="134591584169"/>
  </r>
  <r>
    <x v="3"/>
    <s v="DHS 15AP "/>
    <s v="주식회사 일신전기"/>
    <m/>
    <n v="50000000"/>
    <n v="134641584169"/>
  </r>
  <r>
    <x v="3"/>
    <s v="DHS 1200L "/>
    <s v="일광전설(주)"/>
    <m/>
    <n v="40909091"/>
    <n v="134682493260"/>
  </r>
  <r>
    <x v="3"/>
    <s v="DHS 15AP "/>
    <s v="두원건설(주)"/>
    <m/>
    <n v="51818181"/>
    <n v="134734311441"/>
  </r>
  <r>
    <x v="3"/>
    <s v="DHS 15AP "/>
    <s v="주식회사 가나"/>
    <m/>
    <n v="51800000"/>
    <n v="134786111441"/>
  </r>
  <r>
    <x v="3"/>
    <s v="DHS 950L "/>
    <s v="아주통신(주)"/>
    <m/>
    <n v="35909091"/>
    <n v="134822020532"/>
  </r>
  <r>
    <x v="3"/>
    <s v="DHS 950L "/>
    <s v="아주통신(주)"/>
    <m/>
    <n v="35000000"/>
    <n v="134857020532"/>
  </r>
  <r>
    <x v="3"/>
    <s v="DHS 950L "/>
    <s v="아주통신(주)"/>
    <m/>
    <n v="35000000"/>
    <n v="134892020532"/>
  </r>
  <r>
    <x v="3"/>
    <s v="DHS 15AP "/>
    <s v="주식회사 무창전력"/>
    <m/>
    <n v="50909091"/>
    <n v="134942929623"/>
  </r>
  <r>
    <x v="3"/>
    <s v="DHS 15AP "/>
    <s v="세운전기"/>
    <m/>
    <n v="51000000"/>
    <n v="134993929623"/>
  </r>
  <r>
    <x v="3"/>
    <s v="중고장비"/>
    <s v="세아통신"/>
    <m/>
    <n v="17765000"/>
    <n v="135011694623"/>
  </r>
  <r>
    <x v="3"/>
    <s v="DHT 105S "/>
    <s v="한국전력공사"/>
    <m/>
    <n v="1896200000"/>
    <n v="136907894623"/>
  </r>
  <r>
    <x v="3"/>
    <s v="DHS 433L "/>
    <s v="현대모터"/>
    <m/>
    <n v="15013636"/>
    <n v="136922908259"/>
  </r>
  <r>
    <x v="3"/>
    <s v="DHS 1200L "/>
    <s v="주식회사 우정넷"/>
    <m/>
    <n v="39600000"/>
    <n v="136962508259"/>
  </r>
  <r>
    <x v="3"/>
    <s v="DHS 433L "/>
    <s v="이철용"/>
    <m/>
    <n v="15000000"/>
    <n v="136977508259"/>
  </r>
  <r>
    <x v="3"/>
    <s v="중고장비"/>
    <s v="경안정보기술(주)"/>
    <m/>
    <n v="16856000"/>
    <n v="136994364259"/>
  </r>
  <r>
    <x v="3"/>
    <s v="DHS 433L "/>
    <s v="마린랜드(주)"/>
    <m/>
    <n v="14000000"/>
    <n v="137008364259"/>
  </r>
  <r>
    <x v="3"/>
    <s v="DHS 950L "/>
    <s v="정동정보통신"/>
    <m/>
    <n v="36700000"/>
    <n v="137045064259"/>
  </r>
  <r>
    <x v="3"/>
    <s v="DHS 105AP"/>
    <s v="엘피제이(LPJ)정보통신"/>
    <m/>
    <n v="39500000"/>
    <n v="137084564259"/>
  </r>
  <r>
    <x v="3"/>
    <s v="DHS 1200L "/>
    <s v="주식회사 하이패스텔"/>
    <m/>
    <n v="45000000"/>
    <n v="137129564259"/>
  </r>
  <r>
    <x v="3"/>
    <s v="DHS 950L "/>
    <s v="티앤피"/>
    <m/>
    <n v="34000000"/>
    <n v="137163564259"/>
  </r>
  <r>
    <x v="3"/>
    <s v="DHS 433L "/>
    <s v="엄지타이어"/>
    <m/>
    <n v="14065455"/>
    <n v="137177629714"/>
  </r>
  <r>
    <x v="3"/>
    <s v="DHS 1200L "/>
    <s v="주식회사 하이패스텔"/>
    <m/>
    <n v="-45000000"/>
    <n v="137132629714"/>
  </r>
  <r>
    <x v="3"/>
    <s v="DHS 1200L "/>
    <s v="주식회사 하이패스텔"/>
    <m/>
    <n v="45300000"/>
    <n v="137177929714"/>
  </r>
  <r>
    <x v="3"/>
    <s v="KT DHS 950L 이전설치건"/>
    <s v="롯데오토리스(주)"/>
    <m/>
    <n v="48094049"/>
    <n v="137226023763"/>
  </r>
  <r>
    <x v="3"/>
    <s v="KT DHS 950L 이전설치건"/>
    <s v="롯데오토리스(주)"/>
    <m/>
    <n v="48094049"/>
    <n v="137274117812"/>
  </r>
  <r>
    <x v="3"/>
    <s v="KT DHS 950L 이전설치건"/>
    <s v="롯데오토리스(주)"/>
    <m/>
    <n v="48094049"/>
    <n v="137322211861"/>
  </r>
  <r>
    <x v="3"/>
    <s v="KT DHS 950L 이전설치건"/>
    <s v="롯데오토리스(주)"/>
    <m/>
    <n v="48094049"/>
    <n v="137370305910"/>
  </r>
  <r>
    <x v="3"/>
    <s v="KT DHS 950L 이전설치건"/>
    <s v="롯데오토리스(주)"/>
    <m/>
    <n v="48094049"/>
    <n v="137418399959"/>
  </r>
  <r>
    <x v="3"/>
    <s v="KT DHS 950L 이전설치건"/>
    <s v="롯데오토리스(주)"/>
    <m/>
    <n v="48094049"/>
    <n v="137466494008"/>
  </r>
  <r>
    <x v="3"/>
    <s v="KT DHS 950L 이전설치건"/>
    <s v="롯데오토리스(주)"/>
    <m/>
    <n v="48094049"/>
    <n v="137514588057"/>
  </r>
  <r>
    <x v="3"/>
    <s v="KT DHS 950L 이전설치건"/>
    <s v="롯데오토리스(주)"/>
    <m/>
    <n v="48094049"/>
    <n v="137562682106"/>
  </r>
  <r>
    <x v="3"/>
    <s v="KT DHS 950L 이전설치건"/>
    <s v="롯데오토리스(주)"/>
    <m/>
    <n v="48094049"/>
    <n v="137610776155"/>
  </r>
  <r>
    <x v="3"/>
    <s v="KT DHS 950L 이전설치건"/>
    <s v="롯데오토리스(주)"/>
    <m/>
    <n v="48094049"/>
    <n v="137658870204"/>
  </r>
  <r>
    <x v="3"/>
    <s v="KT DHS 950L 이전설치건"/>
    <s v="롯데오토리스(주)"/>
    <m/>
    <n v="48094049"/>
    <n v="137706964253"/>
  </r>
  <r>
    <x v="3"/>
    <s v="KT DHS 950L 이전설치건"/>
    <s v="롯데오토리스(주)"/>
    <m/>
    <n v="48094049"/>
    <n v="137755058302"/>
  </r>
  <r>
    <x v="3"/>
    <s v="KT DHS 950L 이전설치건"/>
    <s v="롯데오토리스(주)"/>
    <m/>
    <n v="48094049"/>
    <n v="137803152351"/>
  </r>
  <r>
    <x v="3"/>
    <s v="KT DHS 950L 이전설치건"/>
    <s v="롯데오토리스(주)"/>
    <m/>
    <n v="-48094049"/>
    <n v="137755058302"/>
  </r>
  <r>
    <x v="3"/>
    <s v="KT DHS 950L 이전설치건"/>
    <s v="롯데오토리스(주)"/>
    <m/>
    <n v="-48094049"/>
    <n v="137706964253"/>
  </r>
  <r>
    <x v="3"/>
    <s v="KT DHS 950L 이전설치건"/>
    <s v="롯데오토리스(주)"/>
    <m/>
    <n v="-48094049"/>
    <n v="137658870204"/>
  </r>
  <r>
    <x v="3"/>
    <s v="KT DHS 950L 이전설치건"/>
    <s v="롯데오토리스(주)"/>
    <m/>
    <n v="-48094049"/>
    <n v="137610776155"/>
  </r>
  <r>
    <x v="3"/>
    <s v="KT DHS 950L 이전설치건"/>
    <s v="롯데오토리스(주)"/>
    <m/>
    <n v="-48094049"/>
    <n v="137562682106"/>
  </r>
  <r>
    <x v="3"/>
    <s v="KT DHS 950L 이전설치건"/>
    <s v="롯데오토리스(주)"/>
    <m/>
    <n v="-48094049"/>
    <n v="137514588057"/>
  </r>
  <r>
    <x v="3"/>
    <s v="KT DHS 950L 이전설치건"/>
    <s v="롯데오토리스(주)"/>
    <m/>
    <n v="-48094049"/>
    <n v="137466494008"/>
  </r>
  <r>
    <x v="3"/>
    <s v="KT DHS 950L 이전설치건"/>
    <s v="롯데오토리스(주)"/>
    <m/>
    <n v="-48094049"/>
    <n v="137418399959"/>
  </r>
  <r>
    <x v="3"/>
    <s v="KT DHS 950L 이전설치건"/>
    <s v="롯데오토리스(주)"/>
    <m/>
    <n v="-48094049"/>
    <n v="137370305910"/>
  </r>
  <r>
    <x v="3"/>
    <s v="KT DHS 950L 이전설치건"/>
    <s v="롯데오토리스(주)"/>
    <m/>
    <n v="-48094049"/>
    <n v="137322211861"/>
  </r>
  <r>
    <x v="3"/>
    <s v="KT DHS 950L 이전설치건"/>
    <s v="롯데오토리스(주)"/>
    <m/>
    <n v="-48094049"/>
    <n v="137274117812"/>
  </r>
  <r>
    <x v="3"/>
    <s v="KT DHS 950L 이전설치건"/>
    <s v="롯데오토리스(주)"/>
    <m/>
    <n v="-48094049"/>
    <n v="137226023763"/>
  </r>
  <r>
    <x v="3"/>
    <s v="KT DHS 950L 이전설치건"/>
    <s v="롯데오토리스(주)"/>
    <m/>
    <n v="-48094049"/>
    <n v="137177929714"/>
  </r>
  <r>
    <x v="3"/>
    <s v="KT DHS 950L 이전설치건"/>
    <s v="롯데오토리스(주)"/>
    <m/>
    <n v="48094049"/>
    <n v="137226023763"/>
  </r>
  <r>
    <x v="3"/>
    <s v="KT DHS 950L 이전설치건"/>
    <s v="롯데오토리스(주)"/>
    <m/>
    <n v="48094049"/>
    <n v="137274117812"/>
  </r>
  <r>
    <x v="3"/>
    <s v="KT DHS 950L 이전설치건"/>
    <s v="롯데오토리스(주)"/>
    <m/>
    <n v="48094049"/>
    <n v="137322211861"/>
  </r>
  <r>
    <x v="3"/>
    <s v="KT DHS 950L 이전설치건"/>
    <s v="롯데오토리스(주)"/>
    <m/>
    <n v="48094049"/>
    <n v="137370305910"/>
  </r>
  <r>
    <x v="3"/>
    <s v="KT DHS 950L 이전설치건"/>
    <s v="롯데오토리스(주)"/>
    <m/>
    <n v="48094049"/>
    <n v="137418399959"/>
  </r>
  <r>
    <x v="3"/>
    <s v="KT DHS 950L 이전설치건"/>
    <s v="롯데오토리스(주)"/>
    <m/>
    <n v="48094049"/>
    <n v="137466494008"/>
  </r>
  <r>
    <x v="3"/>
    <s v="KT DHS 950L 이전설치건"/>
    <s v="롯데오토리스(주)"/>
    <m/>
    <n v="48094049"/>
    <n v="137514588057"/>
  </r>
  <r>
    <x v="3"/>
    <s v="KT DHS 950L 이전설치건"/>
    <s v="롯데오토리스(주)"/>
    <m/>
    <n v="48094049"/>
    <n v="137562682106"/>
  </r>
  <r>
    <x v="3"/>
    <s v="중고장비"/>
    <s v="(주)대영네트웍"/>
    <m/>
    <n v="16856000"/>
    <n v="137579538106"/>
  </r>
  <r>
    <x v="3"/>
    <s v="DHS 1200L "/>
    <s v="주식회사 대명전력"/>
    <m/>
    <n v="42000000"/>
    <n v="137621538106"/>
  </r>
  <r>
    <x v="3"/>
    <s v="DHS 15AP "/>
    <s v="기업양승호"/>
    <m/>
    <n v="50909090"/>
    <n v="137672447196"/>
  </r>
  <r>
    <x v="3"/>
    <s v="DHS 950L "/>
    <s v="컨텍"/>
    <m/>
    <n v="35454545"/>
    <n v="137707901741"/>
  </r>
  <r>
    <x v="3"/>
    <s v="DHS 950L "/>
    <s v="진복통신"/>
    <m/>
    <n v="33000000"/>
    <n v="137740901741"/>
  </r>
  <r>
    <x v="3"/>
    <s v="DHS 950L "/>
    <s v="대종통신건설(주)"/>
    <m/>
    <n v="36700000"/>
    <n v="137777601741"/>
  </r>
  <r>
    <x v="3"/>
    <s v="중고장비"/>
    <s v="쎈스통신"/>
    <m/>
    <n v="17765000"/>
    <n v="137795366741"/>
  </r>
  <r>
    <x v="3"/>
    <s v="DHS 950L "/>
    <s v="태경링크"/>
    <m/>
    <n v="36363636"/>
    <n v="137831730377"/>
  </r>
  <r>
    <x v="3"/>
    <s v="DHS 930 "/>
    <s v="중부네트웍스(주)"/>
    <m/>
    <n v="34000000"/>
    <n v="137865730377"/>
  </r>
  <r>
    <x v="3"/>
    <s v="DHS 15AP "/>
    <s v="주식회사 태현전력"/>
    <m/>
    <n v="48390909"/>
    <n v="137914121286"/>
  </r>
  <r>
    <x v="3"/>
    <s v="DHS 930 "/>
    <s v="골드텔레콤"/>
    <m/>
    <n v="33000000"/>
    <n v="137947121286"/>
  </r>
  <r>
    <x v="3"/>
    <s v="DHT 150S "/>
    <s v="(주)서흥전설"/>
    <m/>
    <n v="145500000"/>
    <n v="138092621286"/>
  </r>
  <r>
    <x v="3"/>
    <s v="DHS 950L "/>
    <s v="(주)유선통신"/>
    <m/>
    <n v="35909091"/>
    <n v="138128530377"/>
  </r>
  <r>
    <x v="3"/>
    <s v="DHS 950L "/>
    <s v="(주)유선통신"/>
    <m/>
    <n v="35909091"/>
    <n v="138164439468"/>
  </r>
  <r>
    <x v="3"/>
    <s v="DHS 950L "/>
    <s v="(주)유선통신"/>
    <m/>
    <n v="35909091"/>
    <n v="138200348559"/>
  </r>
  <r>
    <x v="3"/>
    <s v="DHS 950L "/>
    <s v="(주)씨큐넷"/>
    <m/>
    <n v="34300000"/>
    <n v="138234648559"/>
  </r>
  <r>
    <x v="3"/>
    <s v="KT DHS 950L 이전설치건"/>
    <s v="롯데오토리스(주)"/>
    <m/>
    <n v="48094049"/>
    <n v="138282742608"/>
  </r>
  <r>
    <x v="3"/>
    <s v="KT DHS 950L 이전설치건"/>
    <s v="롯데오토리스(주)"/>
    <m/>
    <n v="48094049"/>
    <n v="138330836657"/>
  </r>
  <r>
    <x v="3"/>
    <s v="KT DHS 950L 이전설치건"/>
    <s v="롯데오토리스(주)"/>
    <m/>
    <n v="48094049"/>
    <n v="138378930706"/>
  </r>
  <r>
    <x v="3"/>
    <s v="KT DHS 950L 이전설치건"/>
    <s v="롯데오토리스(주)"/>
    <m/>
    <n v="48094049"/>
    <n v="138427024755"/>
  </r>
  <r>
    <x v="3"/>
    <s v="KT DHS 950L 이전설치건"/>
    <s v="롯데오토리스(주)"/>
    <m/>
    <n v="48094049"/>
    <n v="138475118804"/>
  </r>
  <r>
    <x v="3"/>
    <s v="DHS 950L"/>
    <s v="에스제이 네트워크"/>
    <m/>
    <n v="35909090"/>
    <n v="138511027894"/>
  </r>
  <r>
    <x v="3"/>
    <s v="DHS 950L "/>
    <s v="제이케이 네트워크(JK network)"/>
    <m/>
    <n v="35214545"/>
    <n v="138546242439"/>
  </r>
  <r>
    <x v="3"/>
    <s v="DHS 15AP "/>
    <s v="주식회사 화영전설"/>
    <m/>
    <n v="50300000"/>
    <n v="138596542439"/>
  </r>
  <r>
    <x v="3"/>
    <s v="DHS 15AP "/>
    <s v="예원전기통신(주)"/>
    <m/>
    <n v="49454545"/>
    <n v="138645996984"/>
  </r>
  <r>
    <x v="3"/>
    <s v="DHT 105S "/>
    <s v="한국전력공사"/>
    <m/>
    <n v="2749490000"/>
    <n v="141395486984"/>
  </r>
  <r>
    <x v="3"/>
    <s v="중고장비"/>
    <s v="(주)광주텔레콤"/>
    <m/>
    <n v="17765000"/>
    <n v="141413251984"/>
  </r>
  <r>
    <x v="3"/>
    <s v="중고장비"/>
    <s v="(주)광주텔레콤"/>
    <m/>
    <n v="17765000"/>
    <n v="141431016984"/>
  </r>
  <r>
    <x v="3"/>
    <s v="중고장비"/>
    <s v="(주)광주텔레콤"/>
    <m/>
    <n v="17765000"/>
    <n v="141448781984"/>
  </r>
  <r>
    <x v="3"/>
    <s v="중고장비"/>
    <s v="(주)광주텔레콤"/>
    <m/>
    <n v="17765000"/>
    <n v="141466546984"/>
  </r>
  <r>
    <x v="3"/>
    <s v="DHS 950L "/>
    <s v="일광전설(주)"/>
    <m/>
    <n v="35413636"/>
    <n v="141501960620"/>
  </r>
  <r>
    <x v="3"/>
    <s v="DHS 1200L "/>
    <s v="(주)세진"/>
    <m/>
    <n v="44000000"/>
    <n v="141545960620"/>
  </r>
  <r>
    <x v="3"/>
    <s v="DHS 1200L "/>
    <s v="(주)원전건설"/>
    <m/>
    <n v="44800000"/>
    <n v="141590760620"/>
  </r>
  <r>
    <x v="3"/>
    <s v="DHT 150AS "/>
    <s v="주식회사 엠제이전력"/>
    <m/>
    <n v="161000000"/>
    <n v="141751760620"/>
  </r>
  <r>
    <x v="3"/>
    <s v="DHS 950L "/>
    <s v="주식회사에쓰앤씨"/>
    <m/>
    <n v="33000000"/>
    <n v="141784760620"/>
  </r>
  <r>
    <x v="3"/>
    <s v="중고장비"/>
    <s v="주식회사 중앙이앤씨"/>
    <m/>
    <n v="17765000"/>
    <n v="141802525620"/>
  </r>
  <r>
    <x v="3"/>
    <s v="중고장비"/>
    <s v="(주)대영네트웍"/>
    <m/>
    <n v="16856000"/>
    <n v="141819381620"/>
  </r>
  <r>
    <x v="3"/>
    <s v="중고장비"/>
    <s v="(주)대영네트웍"/>
    <m/>
    <n v="16856000"/>
    <n v="141836237620"/>
  </r>
  <r>
    <x v="3"/>
    <s v="DHS 1200L "/>
    <s v="대산호이스트"/>
    <m/>
    <n v="41800000"/>
    <n v="141878037620"/>
  </r>
  <r>
    <x v="3"/>
    <s v="DHS 1200L "/>
    <s v="수진상사"/>
    <m/>
    <n v="43800000"/>
    <n v="141921837620"/>
  </r>
  <r>
    <x v="3"/>
    <s v="DHS 1200L "/>
    <s v="광성통신"/>
    <m/>
    <n v="41818182"/>
    <n v="141963655802"/>
  </r>
  <r>
    <x v="3"/>
    <s v="KT DHS 950L 이전설치건"/>
    <s v="롯데오토리스(주)"/>
    <m/>
    <n v="48094049"/>
    <n v="142011749851"/>
  </r>
  <r>
    <x v="3"/>
    <s v="KT DHS 950L 이전설치건"/>
    <s v="롯데오토리스(주)"/>
    <m/>
    <n v="48094049"/>
    <n v="142059843900"/>
  </r>
  <r>
    <x v="3"/>
    <s v="KT DHS 950L 이전설치건"/>
    <s v="롯데오토리스(주)"/>
    <m/>
    <n v="48094049"/>
    <n v="142107937949"/>
  </r>
  <r>
    <x v="3"/>
    <s v="KT DHS 950L 이전설치건"/>
    <s v="롯데오토리스(주)"/>
    <m/>
    <n v="48094049"/>
    <n v="142156031998"/>
  </r>
  <r>
    <x v="3"/>
    <s v="KT DHS 950L 이전설치건"/>
    <s v="롯데오토리스(주)"/>
    <m/>
    <n v="48094049"/>
    <n v="142204126047"/>
  </r>
  <r>
    <x v="3"/>
    <s v="KT DHS 950L 이전설치건"/>
    <s v="롯데오토리스(주)"/>
    <m/>
    <n v="48094049"/>
    <n v="142252220096"/>
  </r>
  <r>
    <x v="3"/>
    <s v="KT DHS 950L 이전설치건"/>
    <s v="롯데오토리스(주)"/>
    <m/>
    <n v="48094049"/>
    <n v="142300314145"/>
  </r>
  <r>
    <x v="3"/>
    <s v="KT DHS 950L 이전설치건"/>
    <s v="롯데오토리스(주)"/>
    <m/>
    <n v="48094049"/>
    <n v="142348408194"/>
  </r>
  <r>
    <x v="3"/>
    <s v="KT DHS 950L 이전설치건"/>
    <s v="롯데오토리스(주)"/>
    <m/>
    <n v="48094049"/>
    <n v="142396502243"/>
  </r>
  <r>
    <x v="3"/>
    <s v="KT DHS 950L 이전설치건"/>
    <s v="롯데오토리스(주)"/>
    <m/>
    <n v="48094049"/>
    <n v="142444596292"/>
  </r>
  <r>
    <x v="3"/>
    <s v="DHS 950L "/>
    <s v="늘솜정보통신"/>
    <m/>
    <n v="35909090"/>
    <n v="142480505382"/>
  </r>
  <r>
    <x v="3"/>
    <s v="DHS 433L "/>
    <s v="효성이엔지"/>
    <m/>
    <n v="14000000"/>
    <n v="142494505382"/>
  </r>
  <r>
    <x v="3"/>
    <s v="DHS 950L "/>
    <s v="썬더통신"/>
    <m/>
    <n v="36727273"/>
    <n v="142531232655"/>
  </r>
  <r>
    <x v="3"/>
    <s v="DHS 950L "/>
    <s v="(주)다인정보통신"/>
    <m/>
    <n v="34500000"/>
    <n v="142565732655"/>
  </r>
  <r>
    <x v="3"/>
    <s v="DHS 950L "/>
    <s v="(주)다인정보통신"/>
    <m/>
    <n v="34500000"/>
    <n v="142600232655"/>
  </r>
  <r>
    <x v="3"/>
    <s v="DHS 15AP "/>
    <s v="(주)한백통신"/>
    <m/>
    <n v="48181818"/>
    <n v="142648414473"/>
  </r>
  <r>
    <x v="3"/>
    <s v="DHS 433L "/>
    <s v="수정중기"/>
    <m/>
    <n v="14545455"/>
    <n v="142662959928"/>
  </r>
  <r>
    <x v="3"/>
    <s v="DHS 950L "/>
    <s v="진 텔콤"/>
    <m/>
    <n v="35500000"/>
    <n v="142698459928"/>
  </r>
  <r>
    <x v="3"/>
    <s v="DHS 950L "/>
    <s v="주식회사 에스엠엔네트워크"/>
    <m/>
    <n v="31400000"/>
    <n v="142729859928"/>
  </r>
  <r>
    <x v="3"/>
    <s v="DHS 950L "/>
    <s v="주식회사 에스엠엔네트워크"/>
    <m/>
    <n v="31400000"/>
    <n v="142761259928"/>
  </r>
  <r>
    <x v="3"/>
    <s v="DHS 950L "/>
    <s v="주식회사 에스엠엔네트워크"/>
    <m/>
    <n v="31400000"/>
    <n v="142792659928"/>
  </r>
  <r>
    <x v="3"/>
    <s v="DHS 433L "/>
    <s v="형제엔지니어링"/>
    <m/>
    <n v="13717273"/>
    <n v="142806377201"/>
  </r>
  <r>
    <x v="3"/>
    <s v="DHS 950L "/>
    <s v="(주)신성글로벌네트워크"/>
    <m/>
    <n v="35500000"/>
    <n v="142841877201"/>
  </r>
  <r>
    <x v="3"/>
    <s v="DHS 950L "/>
    <s v="온리원네트웍스"/>
    <m/>
    <n v="34000000"/>
    <n v="142875877201"/>
  </r>
  <r>
    <x v="3"/>
    <s v="DHS 950L "/>
    <s v="누리통신"/>
    <m/>
    <n v="34000000"/>
    <n v="142909877201"/>
  </r>
  <r>
    <x v="3"/>
    <s v="DHS 950L "/>
    <s v="남경통신"/>
    <m/>
    <n v="36363636"/>
    <n v="142946240837"/>
  </r>
  <r>
    <x v="3"/>
    <s v="DHS 950L "/>
    <s v="주식회사 삼주전자"/>
    <m/>
    <n v="35454545"/>
    <n v="142981695382"/>
  </r>
  <r>
    <x v="3"/>
    <s v="DHS 1200L "/>
    <s v="유병용"/>
    <m/>
    <n v="45000000"/>
    <n v="143026695382"/>
  </r>
  <r>
    <x v="3"/>
    <s v="DHS 15AP "/>
    <s v="한국전기산업주식회사"/>
    <m/>
    <n v="52000000"/>
    <n v="143078695382"/>
  </r>
  <r>
    <x v="3"/>
    <s v="DHS 950L "/>
    <s v="(주)지앤에스기술"/>
    <m/>
    <n v="36000000"/>
    <n v="143114695382"/>
  </r>
  <r>
    <x v="3"/>
    <s v="DHS 950L "/>
    <s v="대북통신"/>
    <m/>
    <n v="37000000"/>
    <n v="143151695382"/>
  </r>
  <r>
    <x v="3"/>
    <s v="KT DHS 950L 이전설치건"/>
    <s v="롯데오토리스(주)"/>
    <m/>
    <n v="48094049"/>
    <n v="143199789431"/>
  </r>
  <r>
    <x v="3"/>
    <s v="KT DHS 950L 이전설치건"/>
    <s v="롯데오토리스(주)"/>
    <m/>
    <n v="48094049"/>
    <n v="143247883480"/>
  </r>
  <r>
    <x v="3"/>
    <s v="KT DHS 950L 이전설치건"/>
    <s v="롯데오토리스(주)"/>
    <m/>
    <n v="48094049"/>
    <n v="143295977529"/>
  </r>
  <r>
    <x v="3"/>
    <s v="KT DHS 950L 이전설치건"/>
    <s v="롯데오토리스(주)"/>
    <m/>
    <n v="48094049"/>
    <n v="143344071578"/>
  </r>
  <r>
    <x v="3"/>
    <s v="KT DHS 950L 이전설치건"/>
    <s v="롯데오토리스(주)"/>
    <m/>
    <n v="48094049"/>
    <n v="143392165627"/>
  </r>
  <r>
    <x v="3"/>
    <s v="KT DHS 950L 이전설치건"/>
    <s v="롯데오토리스(주)"/>
    <m/>
    <n v="48094049"/>
    <n v="143440259676"/>
  </r>
  <r>
    <x v="3"/>
    <s v="KT DHS 950L 이전설치건"/>
    <s v="롯데오토리스(주)"/>
    <m/>
    <n v="48094049"/>
    <n v="143488353725"/>
  </r>
  <r>
    <x v="3"/>
    <s v="KT DHS 950L 이전설치건"/>
    <s v="롯데오토리스(주)"/>
    <m/>
    <n v="48094049"/>
    <n v="143536447774"/>
  </r>
  <r>
    <x v="3"/>
    <s v="KT DHS 950L 이전설치건"/>
    <s v="롯데오토리스(주)"/>
    <m/>
    <n v="48094049"/>
    <n v="143584541823"/>
  </r>
  <r>
    <x v="3"/>
    <s v="KT DHS 950L 이전설치건"/>
    <s v="롯데오토리스(주)"/>
    <m/>
    <n v="48094049"/>
    <n v="143632635872"/>
  </r>
  <r>
    <x v="3"/>
    <s v="DHS 15AP "/>
    <s v="부국전력공사"/>
    <m/>
    <n v="51000000"/>
    <n v="143683635872"/>
  </r>
  <r>
    <x v="3"/>
    <s v="DHS 950L "/>
    <s v="일광전설(주)"/>
    <m/>
    <n v="36363636"/>
    <n v="143719999508"/>
  </r>
  <r>
    <x v="3"/>
    <s v="DHS 930 "/>
    <s v="제이지"/>
    <m/>
    <n v="35000000"/>
    <n v="143754999508"/>
  </r>
  <r>
    <x v="3"/>
    <s v="DHS 930 "/>
    <s v="제이지"/>
    <m/>
    <n v="34500000"/>
    <n v="143789499508"/>
  </r>
  <r>
    <x v="3"/>
    <s v="DHS 930 "/>
    <s v="밀알통신"/>
    <m/>
    <n v="34545455"/>
    <n v="143824044963"/>
  </r>
  <r>
    <x v="3"/>
    <s v="DHS 950L "/>
    <s v="퍼스트텔레콤(주)"/>
    <m/>
    <n v="34000000"/>
    <n v="143858044963"/>
  </r>
  <r>
    <x v="3"/>
    <s v="DHS 950L "/>
    <s v="(주)나우리정보통신"/>
    <m/>
    <n v="35909091"/>
    <n v="143893954054"/>
  </r>
  <r>
    <x v="3"/>
    <s v="DHS 950L "/>
    <s v="(주)나우리정보통신"/>
    <m/>
    <n v="35000000"/>
    <n v="143928954054"/>
  </r>
  <r>
    <x v="3"/>
    <s v="DHS 930 "/>
    <s v="(주)나우리정보통신"/>
    <m/>
    <n v="33636364"/>
    <n v="143962590418"/>
  </r>
  <r>
    <x v="3"/>
    <s v="DHS 950L "/>
    <s v="스피드통신"/>
    <m/>
    <n v="36590909"/>
    <n v="143999181327"/>
  </r>
  <r>
    <x v="3"/>
    <s v="DHT 160AS "/>
    <s v="(주)에이치케이전력"/>
    <m/>
    <n v="170000000"/>
    <n v="144169181327"/>
  </r>
  <r>
    <x v="3"/>
    <s v="DHS 15AP "/>
    <s v="(주)한성"/>
    <m/>
    <n v="50700000"/>
    <n v="144219881327"/>
  </r>
  <r>
    <x v="3"/>
    <s v="DHS 15AP "/>
    <s v="성진케이블"/>
    <m/>
    <n v="52000000"/>
    <n v="144271881327"/>
  </r>
  <r>
    <x v="3"/>
    <s v="KT DHS 950L 이전설치건"/>
    <s v="롯데오토리스(주)"/>
    <m/>
    <n v="48094049"/>
    <n v="144319975376"/>
  </r>
  <r>
    <x v="3"/>
    <s v="KT DHS 950L 이전설치건"/>
    <s v="롯데오토리스(주)"/>
    <m/>
    <n v="48094049"/>
    <n v="144368069425"/>
  </r>
  <r>
    <x v="3"/>
    <s v="KT DHS 950L 이전설치건"/>
    <s v="롯데오토리스(주)"/>
    <m/>
    <n v="48094049"/>
    <n v="144416163474"/>
  </r>
  <r>
    <x v="3"/>
    <s v="KT DHS 950L 이전설치건"/>
    <s v="롯데오토리스(주)"/>
    <m/>
    <n v="48094049"/>
    <n v="144464257523"/>
  </r>
  <r>
    <x v="3"/>
    <s v="KT DHS 950L 이전설치건"/>
    <s v="롯데오토리스(주)"/>
    <m/>
    <n v="48094049"/>
    <n v="144512351572"/>
  </r>
  <r>
    <x v="3"/>
    <s v="KT DHS 950L 이전설치건"/>
    <s v="롯데오토리스(주)"/>
    <m/>
    <n v="48094049"/>
    <n v="144560445621"/>
  </r>
  <r>
    <x v="3"/>
    <s v="KT DHS 950L 이전설치건"/>
    <s v="롯데오토리스(주)"/>
    <m/>
    <n v="48094049"/>
    <n v="144608539670"/>
  </r>
  <r>
    <x v="3"/>
    <s v="KT DHS 950L 이전설치건"/>
    <s v="롯데오토리스(주)"/>
    <m/>
    <n v="48094049"/>
    <n v="144656633719"/>
  </r>
  <r>
    <x v="3"/>
    <s v="KT DHS 950L 이전설치건"/>
    <s v="롯데오토리스(주)"/>
    <m/>
    <n v="48094049"/>
    <n v="144704727768"/>
  </r>
  <r>
    <x v="3"/>
    <s v="KT DHS 950L 이전설치건"/>
    <s v="롯데오토리스(주)"/>
    <m/>
    <n v="48094049"/>
    <n v="144752821817"/>
  </r>
  <r>
    <x v="3"/>
    <s v="DHS 950L "/>
    <s v="동숙통신"/>
    <m/>
    <n v="36545455"/>
    <n v="144789367272"/>
  </r>
  <r>
    <x v="3"/>
    <s v="DHS 1800 "/>
    <s v="(주)스마트비전"/>
    <m/>
    <n v="101500000"/>
    <n v="144890867272"/>
  </r>
  <r>
    <x v="3"/>
    <s v="DHT 160S "/>
    <s v="우영활선"/>
    <m/>
    <n v="150000000"/>
    <n v="145040867272"/>
  </r>
  <r>
    <x v="3"/>
    <s v="DHS 15AP "/>
    <s v="주식회사 성실전기"/>
    <m/>
    <n v="48181818"/>
    <n v="145089049090"/>
  </r>
  <r>
    <x v="3"/>
    <s v="DHS 15AP "/>
    <s v="최순희"/>
    <m/>
    <n v="50500000"/>
    <n v="145139549090"/>
  </r>
  <r>
    <x v="3"/>
    <s v="DHS 15AP "/>
    <s v="유일전기(주)"/>
    <m/>
    <n v="50000000"/>
    <n v="145189549090"/>
  </r>
  <r>
    <x v="3"/>
    <s v="DHS 1200L "/>
    <s v="(주)한성이앤씨"/>
    <m/>
    <n v="40000000"/>
    <n v="145229549090"/>
  </r>
  <r>
    <x v="3"/>
    <s v="DHS 950L "/>
    <s v="(주)다인정보통신"/>
    <m/>
    <n v="34500000"/>
    <n v="145264049090"/>
  </r>
  <r>
    <x v="3"/>
    <s v="DHS 950L "/>
    <s v="(주)신성글로벌네트워크"/>
    <m/>
    <n v="35000000"/>
    <n v="145299049090"/>
  </r>
  <r>
    <x v="3"/>
    <s v="spare parts of DH WONDER21외 "/>
    <s v="VIET TRUNG JOINT STOCK EQUIPMENT COMPANY"/>
    <m/>
    <n v="9815617"/>
    <n v="145308864707"/>
  </r>
  <r>
    <x v="3"/>
    <s v="DHS 950L "/>
    <s v="비더블류"/>
    <m/>
    <n v="35000000"/>
    <n v="145343864707"/>
  </r>
  <r>
    <x v="3"/>
    <s v="DHS 1200L "/>
    <s v="(주)씨앤앰경기케이블티브이"/>
    <m/>
    <n v="46500000"/>
    <n v="145390364707"/>
  </r>
  <r>
    <x v="3"/>
    <s v="DHS 1200L "/>
    <s v="(주)씨앤앰경동케이블티브이"/>
    <m/>
    <n v="46500000"/>
    <n v="145436864707"/>
  </r>
  <r>
    <x v="3"/>
    <s v="DHS 1200L "/>
    <s v="(주)씨앤앰경동케이블티브이"/>
    <m/>
    <n v="46500000"/>
    <n v="145483364707"/>
  </r>
  <r>
    <x v="3"/>
    <s v="DHS 1200L "/>
    <s v="(주)씨앤앰경기동부케이블티브이"/>
    <m/>
    <n v="46500000"/>
    <n v="145529864707"/>
  </r>
  <r>
    <x v="3"/>
    <s v="DHS 950L "/>
    <s v="(주)씨앤앰 송파케이블티브이"/>
    <m/>
    <n v="39000000"/>
    <n v="145568864707"/>
  </r>
  <r>
    <x v="3"/>
    <s v="DHS 950L "/>
    <s v="(주)씨앤앰노원케이블티브이"/>
    <m/>
    <n v="39000000"/>
    <n v="145607864707"/>
  </r>
  <r>
    <x v="3"/>
    <s v="DHS 950L "/>
    <s v="(주)씨앤앰 북부케이블티브이"/>
    <m/>
    <n v="39000000"/>
    <n v="145646864707"/>
  </r>
  <r>
    <x v="3"/>
    <s v="DHS 950L "/>
    <s v="(주)씨앤앰 서서울케이블티브이"/>
    <m/>
    <n v="39000000"/>
    <n v="145685864707"/>
  </r>
  <r>
    <x v="3"/>
    <s v="DHS 950L "/>
    <s v="(주)씨앤앰 용산케이블티브이"/>
    <m/>
    <n v="39000000"/>
    <n v="145724864707"/>
  </r>
  <r>
    <x v="3"/>
    <s v="DHS 950L "/>
    <s v="엘케이테크넷(주)"/>
    <m/>
    <n v="33818182"/>
    <n v="145758682889"/>
  </r>
  <r>
    <x v="3"/>
    <s v="DHS 950L "/>
    <s v="엘케이테크넷(주)"/>
    <m/>
    <n v="33818182"/>
    <n v="145792501071"/>
  </r>
  <r>
    <x v="3"/>
    <s v="DHS 950L "/>
    <s v="엘케이테크넷(주)"/>
    <m/>
    <n v="33818182"/>
    <n v="145826319253"/>
  </r>
  <r>
    <x v="3"/>
    <s v="DHS 950L "/>
    <s v="엘케이테크넷(주)"/>
    <m/>
    <n v="33818182"/>
    <n v="145860137435"/>
  </r>
  <r>
    <x v="3"/>
    <s v="DHS 950L "/>
    <s v="(주)에스오에이텔레콤"/>
    <m/>
    <n v="35909091"/>
    <n v="145896046526"/>
  </r>
  <r>
    <x v="3"/>
    <s v="DHS 950L "/>
    <s v="(주)에스오에이텔레콤"/>
    <m/>
    <n v="35909091"/>
    <n v="145931955617"/>
  </r>
  <r>
    <x v="3"/>
    <s v="DHS 950L "/>
    <s v="(주)에스오에이텔레콤"/>
    <m/>
    <n v="35909091"/>
    <n v="145967864708"/>
  </r>
  <r>
    <x v="3"/>
    <s v="DHS 433L "/>
    <s v="(주)한일공업"/>
    <m/>
    <n v="14000000"/>
    <n v="145981864708"/>
  </r>
  <r>
    <x v="3"/>
    <s v="DHS 433L "/>
    <s v="(주)한일공업"/>
    <m/>
    <n v="14000000"/>
    <n v="145995864708"/>
  </r>
  <r>
    <x v="3"/>
    <s v="DHS 15AP "/>
    <s v="주식회사 대명파워텍"/>
    <m/>
    <n v="50454546"/>
    <n v="146046319254"/>
  </r>
  <r>
    <x v="3"/>
    <s v="DHS 15AP "/>
    <s v="일동종합전기"/>
    <m/>
    <n v="49250000"/>
    <n v="146095569254"/>
  </r>
  <r>
    <x v="3"/>
    <s v="DHS 950L "/>
    <s v="주식회사 기가아이앤티"/>
    <m/>
    <n v="34000000"/>
    <n v="146129569254"/>
  </r>
  <r>
    <x v="3"/>
    <s v="DHS 950L "/>
    <s v="주식회사 기가아이앤티"/>
    <m/>
    <n v="34000000"/>
    <n v="146163569254"/>
  </r>
  <r>
    <x v="3"/>
    <s v="DHS 950L "/>
    <s v="주식회사 기가아이앤티"/>
    <m/>
    <n v="34000000"/>
    <n v="146197569254"/>
  </r>
  <r>
    <x v="3"/>
    <s v="DHS 1200L "/>
    <s v="(주)씨앤앰구로금천케이블티브이"/>
    <m/>
    <n v="46500000"/>
    <n v="146244069254"/>
  </r>
  <r>
    <x v="3"/>
    <s v="DHS 1200L "/>
    <s v="(주)씨앤앰구로금천케이블티브이"/>
    <m/>
    <n v="46500000"/>
    <n v="146290569254"/>
  </r>
  <r>
    <x v="3"/>
    <s v="DHS 950L "/>
    <s v="충청통신(자)"/>
    <m/>
    <n v="36818182"/>
    <n v="146327387436"/>
  </r>
  <r>
    <x v="3"/>
    <s v="DHS 15AP "/>
    <s v="크린애드"/>
    <m/>
    <n v="47800000"/>
    <n v="146375187436"/>
  </r>
  <r>
    <x v="3"/>
    <s v="DHS 1200L "/>
    <s v="(주)바이텍코리아"/>
    <m/>
    <n v="41600000"/>
    <n v="146416787436"/>
  </r>
  <r>
    <x v="3"/>
    <s v="DHT 150S "/>
    <s v="성진전기"/>
    <m/>
    <n v="144000000"/>
    <n v="146560787436"/>
  </r>
  <r>
    <x v="3"/>
    <s v="DHT 150S "/>
    <s v="(주)대명전기"/>
    <m/>
    <n v="145000000"/>
    <n v="146705787436"/>
  </r>
  <r>
    <x v="3"/>
    <s v="DHT 150S "/>
    <s v="태웅전기"/>
    <m/>
    <n v="145500000"/>
    <n v="146851287436"/>
  </r>
  <r>
    <x v="3"/>
    <s v="DHS 433L "/>
    <s v="롯데오토리스(주)"/>
    <m/>
    <n v="13900000"/>
    <n v="146865187436"/>
  </r>
  <r>
    <x v="3"/>
    <s v="DHS 950L "/>
    <s v="(주)에스오에이텔레콤"/>
    <m/>
    <n v="35909090"/>
    <n v="146901096526"/>
  </r>
  <r>
    <x v="3"/>
    <s v="DHT 150S "/>
    <s v="김원현"/>
    <m/>
    <n v="141000000"/>
    <n v="147042096526"/>
  </r>
  <r>
    <x v="3"/>
    <s v="DHT 150AS "/>
    <s v="(자)장안전기"/>
    <m/>
    <n v="161000000"/>
    <n v="147203096526"/>
  </r>
  <r>
    <x v="3"/>
    <s v="DHT 150AS "/>
    <s v="주식회사 녹양전력"/>
    <m/>
    <n v="160000000"/>
    <n v="147363096526"/>
  </r>
  <r>
    <x v="3"/>
    <s v="DHS 950L "/>
    <s v="(주)국제광엔지니어링"/>
    <m/>
    <n v="37272727"/>
    <n v="147400369253"/>
  </r>
  <r>
    <x v="3"/>
    <s v="DHS 950L "/>
    <s v="(주)기가네트워크"/>
    <m/>
    <n v="34500000"/>
    <n v="147434869253"/>
  </r>
  <r>
    <x v="3"/>
    <s v="DHS 950L "/>
    <s v="(주)기가네트워크"/>
    <m/>
    <n v="35000000"/>
    <n v="147469869253"/>
  </r>
  <r>
    <x v="3"/>
    <s v="DH S3000A "/>
    <s v="롯데오토리스(주)"/>
    <m/>
    <n v="82261904"/>
    <n v="147552131157"/>
  </r>
  <r>
    <x v="3"/>
    <s v="DH S3000A "/>
    <s v="롯데오토리스(주)"/>
    <m/>
    <n v="82261904"/>
    <n v="147634393061"/>
  </r>
  <r>
    <x v="3"/>
    <s v="DH S3000A "/>
    <s v="롯데오토리스(주)"/>
    <m/>
    <n v="82261904"/>
    <n v="147716654965"/>
  </r>
  <r>
    <x v="3"/>
    <s v="DH S3000A "/>
    <s v="롯데오토리스(주)"/>
    <m/>
    <n v="82261904"/>
    <n v="147798916869"/>
  </r>
  <r>
    <x v="3"/>
    <s v="DH S3000A "/>
    <s v="롯데오토리스(주)"/>
    <m/>
    <n v="82261904"/>
    <n v="147881178773"/>
  </r>
  <r>
    <x v="3"/>
    <s v="DH S3000A "/>
    <s v="롯데오토리스(주)"/>
    <m/>
    <n v="82261904"/>
    <n v="147963440677"/>
  </r>
  <r>
    <x v="3"/>
    <s v="DH S3000A "/>
    <s v="롯데오토리스(주)"/>
    <m/>
    <n v="82261904"/>
    <n v="148045702581"/>
  </r>
  <r>
    <x v="3"/>
    <s v="DH S3000A "/>
    <s v="롯데오토리스(주)"/>
    <m/>
    <n v="82261904"/>
    <n v="148127964485"/>
  </r>
  <r>
    <x v="3"/>
    <s v="DH S3000A "/>
    <s v="롯데오토리스(주)"/>
    <m/>
    <n v="82261904"/>
    <n v="148210226389"/>
  </r>
  <r>
    <x v="3"/>
    <s v="DH S3000A "/>
    <s v="롯데오토리스(주)"/>
    <m/>
    <n v="82261904"/>
    <n v="148292488293"/>
  </r>
  <r>
    <x v="3"/>
    <s v="DHS 950L "/>
    <s v="우주정보통신"/>
    <m/>
    <n v="33500000"/>
    <n v="148325988293"/>
  </r>
  <r>
    <x v="3"/>
    <s v="DHT 150S "/>
    <s v="글로벌활선"/>
    <m/>
    <n v="145000000"/>
    <n v="148470988293"/>
  </r>
  <r>
    <x v="3"/>
    <s v="DHT 160AS "/>
    <s v="영성활선"/>
    <m/>
    <n v="167000000"/>
    <n v="148637988293"/>
  </r>
  <r>
    <x v="3"/>
    <s v="DHT 160AS "/>
    <s v="유진활선"/>
    <m/>
    <n v="166000000"/>
    <n v="148803988293"/>
  </r>
  <r>
    <x v="3"/>
    <s v="FRP BUCKET외 "/>
    <s v="VIET TRUNG JOINT STOCK EQUIPMENT COMPANY"/>
    <m/>
    <n v="1676637"/>
    <n v="148805664930"/>
  </r>
  <r>
    <x v="3"/>
    <s v="DHS 950L "/>
    <s v="윈스로드(주)"/>
    <m/>
    <n v="34500000"/>
    <n v="148840164930"/>
  </r>
  <r>
    <x v="3"/>
    <s v="DHS 950L "/>
    <s v="(주)뉴젠스"/>
    <m/>
    <n v="36500000"/>
    <n v="148876664930"/>
  </r>
  <r>
    <x v="3"/>
    <s v="DHS 950L "/>
    <s v="(주)뉴젠스"/>
    <m/>
    <n v="36500000"/>
    <n v="148913164930"/>
  </r>
  <r>
    <x v="3"/>
    <s v="DHS 950L "/>
    <s v="주식회사 와이케이정보통신"/>
    <m/>
    <n v="34000000"/>
    <n v="148947164930"/>
  </r>
  <r>
    <x v="3"/>
    <s v="DHS 1200L "/>
    <s v="금천전기"/>
    <m/>
    <n v="39700000"/>
    <n v="148986864930"/>
  </r>
  <r>
    <x v="3"/>
    <s v="DHS 950L "/>
    <s v="(주)우주텔레콤"/>
    <m/>
    <n v="35300000"/>
    <n v="149022164930"/>
  </r>
  <r>
    <x v="3"/>
    <s v="DHS 950L "/>
    <s v="미래통신"/>
    <m/>
    <n v="34500000"/>
    <n v="149056664930"/>
  </r>
  <r>
    <x v="3"/>
    <s v="DHT 150AS "/>
    <s v="(주)평창전기"/>
    <m/>
    <n v="161000000"/>
    <n v="149217664930"/>
  </r>
  <r>
    <x v="3"/>
    <s v="DHT 160AS "/>
    <s v="(주)동훈전설"/>
    <m/>
    <n v="168000000"/>
    <n v="149385664930"/>
  </r>
  <r>
    <x v="3"/>
    <s v="DHS 433L "/>
    <s v="대양엔바이오(주)"/>
    <m/>
    <n v="14500000"/>
    <n v="149400164930"/>
  </r>
  <r>
    <x v="3"/>
    <s v="DHS 930 "/>
    <s v="(주)에스엠케이정보통신"/>
    <m/>
    <n v="36600000"/>
    <n v="149436764930"/>
  </r>
  <r>
    <x v="3"/>
    <s v="DHS 1200L "/>
    <s v="(주)에이스정보통신"/>
    <m/>
    <n v="44500000"/>
    <n v="149481264930"/>
  </r>
  <r>
    <x v="3"/>
    <s v="DHS 433L "/>
    <s v="에이전시중기"/>
    <m/>
    <n v="14500000"/>
    <n v="149495764930"/>
  </r>
  <r>
    <x v="3"/>
    <s v="DHS 950L "/>
    <s v="에스제이(서주)정보통신"/>
    <m/>
    <n v="36363636"/>
    <n v="149532128566"/>
  </r>
  <r>
    <x v="3"/>
    <s v="DHS 930 "/>
    <s v="주식회사 호덕아이앤씨"/>
    <m/>
    <n v="34150000"/>
    <n v="149566278566"/>
  </r>
  <r>
    <x v="3"/>
    <s v="DHS 930 "/>
    <s v="주식회사 호덕아이앤씨"/>
    <m/>
    <n v="34150000"/>
    <n v="149600428566"/>
  </r>
  <r>
    <x v="3"/>
    <s v="DHS 15AP "/>
    <s v="주식회사 부강"/>
    <m/>
    <n v="50909090"/>
    <n v="149651337656"/>
  </r>
  <r>
    <x v="3"/>
    <s v="DH S3000A "/>
    <s v="롯데오토리스(주)"/>
    <m/>
    <n v="82261904"/>
    <n v="149733599560"/>
  </r>
  <r>
    <x v="3"/>
    <s v="DH S3000A "/>
    <s v="롯데오토리스(주)"/>
    <m/>
    <n v="82261904"/>
    <n v="149815861464"/>
  </r>
  <r>
    <x v="3"/>
    <s v="DH S3000A "/>
    <s v="롯데오토리스(주)"/>
    <m/>
    <n v="82261904"/>
    <n v="149898123368"/>
  </r>
  <r>
    <x v="3"/>
    <s v="DH S3000A "/>
    <s v="롯데오토리스(주)"/>
    <m/>
    <n v="82261904"/>
    <n v="149980385272"/>
  </r>
  <r>
    <x v="3"/>
    <s v="DH S3000A "/>
    <s v="롯데오토리스(주)"/>
    <m/>
    <n v="82261904"/>
    <n v="150062647176"/>
  </r>
  <r>
    <x v="3"/>
    <s v="DH S3000A "/>
    <s v="롯데오토리스(주)"/>
    <m/>
    <n v="82261904"/>
    <n v="150144909080"/>
  </r>
  <r>
    <x v="3"/>
    <s v="DH S3000A "/>
    <s v="롯데오토리스(주)"/>
    <m/>
    <n v="82261904"/>
    <n v="150227170984"/>
  </r>
  <r>
    <x v="3"/>
    <s v="DH S3000A "/>
    <s v="롯데오토리스(주)"/>
    <m/>
    <n v="82261904"/>
    <n v="150309432888"/>
  </r>
  <r>
    <x v="3"/>
    <s v="DH S3000A "/>
    <s v="롯데오토리스(주)"/>
    <m/>
    <n v="82261904"/>
    <n v="150391694792"/>
  </r>
  <r>
    <x v="3"/>
    <s v="DH S3000A "/>
    <s v="롯데오토리스(주)"/>
    <m/>
    <n v="82261904"/>
    <n v="150473956696"/>
  </r>
  <r>
    <x v="3"/>
    <s v="DHS 433L "/>
    <s v="성진선외기"/>
    <m/>
    <n v="15013636"/>
    <n v="150488970332"/>
  </r>
  <r>
    <x v="3"/>
    <s v="DHS 15AP "/>
    <s v="정성전기"/>
    <m/>
    <n v="47500000"/>
    <n v="150536470332"/>
  </r>
  <r>
    <x v="3"/>
    <s v="DHT 150S "/>
    <s v="명진ENG"/>
    <m/>
    <n v="140000000"/>
    <n v="150676470332"/>
  </r>
  <r>
    <x v="3"/>
    <s v="DHS 433L "/>
    <s v="대우라지에타"/>
    <m/>
    <n v="14000000"/>
    <n v="150690470332"/>
  </r>
  <r>
    <x v="3"/>
    <s v="JOYSTICK외 "/>
    <s v="WAIMEA TRUCK ＆ CRANE LTD"/>
    <m/>
    <n v="3190318"/>
    <n v="150693660650"/>
  </r>
  <r>
    <x v="3"/>
    <s v="DHS 950L "/>
    <s v="영남씨엔엠(주)"/>
    <m/>
    <n v="37060000"/>
    <n v="150730720650"/>
  </r>
  <r>
    <x v="3"/>
    <s v="DHS 950L "/>
    <s v="원진넷"/>
    <m/>
    <n v="37272727"/>
    <n v="150767993377"/>
  </r>
  <r>
    <x v="3"/>
    <s v="중고장비"/>
    <s v="중부네트웍스(주)"/>
    <m/>
    <n v="16856000"/>
    <n v="150784849377"/>
  </r>
  <r>
    <x v="3"/>
    <s v="중고장비"/>
    <s v="(주)남양통신"/>
    <m/>
    <n v="17765000"/>
    <n v="150802614377"/>
  </r>
  <r>
    <x v="3"/>
    <s v="DHT 160AS "/>
    <s v="민승"/>
    <m/>
    <n v="167000000"/>
    <n v="150969614377"/>
  </r>
  <r>
    <x v="3"/>
    <s v="DHS 125AP "/>
    <s v="(주)국제산업개발"/>
    <m/>
    <n v="45800000"/>
    <n v="151015414377"/>
  </r>
  <r>
    <x v="3"/>
    <s v="DHS 433L "/>
    <s v="울산종합건설기계정비(주)"/>
    <m/>
    <n v="13000000"/>
    <n v="151028414377"/>
  </r>
  <r>
    <x v="3"/>
    <s v="DHS 950L "/>
    <s v="원광정보통신"/>
    <m/>
    <n v="37272727"/>
    <n v="151065687104"/>
  </r>
  <r>
    <x v="3"/>
    <s v="DHS 950L "/>
    <s v="유한회사 다다이엔지"/>
    <m/>
    <n v="35100000"/>
    <n v="151100787104"/>
  </r>
  <r>
    <x v="3"/>
    <s v="DHS 950L "/>
    <s v="주식회사 중앙이앤씨"/>
    <m/>
    <n v="36500000"/>
    <n v="151137287104"/>
  </r>
  <r>
    <x v="3"/>
    <s v="DHT 150S "/>
    <s v="(주)티피에이"/>
    <m/>
    <n v="170000000"/>
    <n v="151307287104"/>
  </r>
  <r>
    <x v="3"/>
    <s v="DHT 160S "/>
    <s v="주식회사 미래이파워"/>
    <m/>
    <n v="153000000"/>
    <n v="151460287104"/>
  </r>
  <r>
    <x v="3"/>
    <s v="DHT 160AS "/>
    <s v="영남특장"/>
    <m/>
    <n v="166000000"/>
    <n v="151626287104"/>
  </r>
  <r>
    <x v="3"/>
    <s v="DHS 950L "/>
    <s v="(주)한샘정보통신"/>
    <m/>
    <n v="37000000"/>
    <n v="151663287104"/>
  </r>
  <r>
    <x v="3"/>
    <s v="DHS 433L "/>
    <s v="울산종합건설기계정비(주)"/>
    <m/>
    <n v="-13000000"/>
    <n v="151650287104"/>
  </r>
  <r>
    <x v="3"/>
    <s v="DHS 534 "/>
    <s v="울산종합건설기계정비(주)"/>
    <m/>
    <n v="13000000"/>
    <n v="151663287104"/>
  </r>
  <r>
    <x v="3"/>
    <s v="DHS 125AP "/>
    <s v="HM통신"/>
    <m/>
    <n v="44000000"/>
    <n v="151707287104"/>
  </r>
  <r>
    <x v="3"/>
    <s v="DHS 950L "/>
    <s v="천우건설"/>
    <m/>
    <n v="33636364"/>
    <n v="151740923468"/>
  </r>
  <r>
    <x v="3"/>
    <s v="DHS 950L "/>
    <s v="조용설"/>
    <m/>
    <n v="33000000"/>
    <n v="151773923468"/>
  </r>
  <r>
    <x v="3"/>
    <s v="DHS 950L "/>
    <s v="(주)에스오에이텔레콤"/>
    <m/>
    <n v="35909091"/>
    <n v="151809832559"/>
  </r>
  <r>
    <x v="3"/>
    <s v="DHS 950L "/>
    <s v="온통신"/>
    <m/>
    <n v="35000000"/>
    <n v="151844832559"/>
  </r>
  <r>
    <x v="3"/>
    <s v="DHS 15AP "/>
    <s v="(주)씨아이피"/>
    <m/>
    <n v="50909090"/>
    <n v="151895741649"/>
  </r>
  <r>
    <x v="3"/>
    <s v="DHS 1200L "/>
    <s v="수진상사"/>
    <m/>
    <n v="42700000"/>
    <n v="151938441649"/>
  </r>
  <r>
    <x v="3"/>
    <s v="DHS 950L "/>
    <s v="J광통신"/>
    <m/>
    <n v="37272727"/>
    <n v="151975714376"/>
  </r>
  <r>
    <x v="3"/>
    <s v="DHS 950L "/>
    <s v="에프투텔레콤(주)"/>
    <m/>
    <n v="36900000"/>
    <n v="152012614376"/>
  </r>
  <r>
    <x v="3"/>
    <s v="DHS 950L "/>
    <s v="(주)대영네트웍"/>
    <m/>
    <n v="33818181"/>
    <n v="152046432557"/>
  </r>
  <r>
    <x v="3"/>
    <s v="DHS 433L "/>
    <s v="부산환경공단 강변사업소"/>
    <m/>
    <n v="15800000"/>
    <n v="152062232557"/>
  </r>
  <r>
    <x v="3"/>
    <s v="DHS 930 "/>
    <s v="크레인마트"/>
    <m/>
    <n v="14664000"/>
    <n v="152076896557"/>
  </r>
  <r>
    <x v="3"/>
    <s v="DHS 930 "/>
    <s v="엠지제이(MGJ)통신"/>
    <m/>
    <n v="33636363"/>
    <n v="152110532920"/>
  </r>
  <r>
    <x v="3"/>
    <s v="DHS 1200L "/>
    <s v="SH광통신"/>
    <m/>
    <n v="42727273"/>
    <n v="152153260193"/>
  </r>
  <r>
    <x v="3"/>
    <s v="DHS 950L "/>
    <s v="수정보통신"/>
    <m/>
    <n v="33720000"/>
    <n v="152186980193"/>
  </r>
  <r>
    <x v="3"/>
    <s v="DHS 950L "/>
    <s v="은솔텔레콤㈜"/>
    <m/>
    <n v="16900000"/>
    <n v="152203880193"/>
  </r>
  <r>
    <x v="3"/>
    <s v="DHS 1200L "/>
    <s v="(주)광진"/>
    <m/>
    <n v="40500000"/>
    <n v="152244380193"/>
  </r>
  <r>
    <x v="3"/>
    <s v="DHS 1200L "/>
    <s v="대신네트웍스 주식회사"/>
    <m/>
    <n v="40909091"/>
    <n v="152285289284"/>
  </r>
  <r>
    <x v="3"/>
    <s v="DHS 1800 "/>
    <s v="AL CHAM INDUSTRIAL ＆ TRADING CO"/>
    <m/>
    <n v="130778340"/>
    <n v="152416067624"/>
  </r>
  <r>
    <x v="3"/>
    <s v="DHS 433L "/>
    <s v="창흥상사"/>
    <m/>
    <n v="15150000"/>
    <n v="152431217624"/>
  </r>
  <r>
    <x v="3"/>
    <s v="DHS 930 "/>
    <s v="(주)우호텔레콤"/>
    <m/>
    <n v="16900000"/>
    <n v="152448117624"/>
  </r>
  <r>
    <x v="3"/>
    <s v="DHS 950L "/>
    <s v="(주)정강통신"/>
    <m/>
    <n v="37272727"/>
    <n v="152485390351"/>
  </r>
  <r>
    <x v="3"/>
    <s v="DHS 950L "/>
    <s v="제이에스"/>
    <m/>
    <n v="35000000"/>
    <n v="152520390351"/>
  </r>
  <r>
    <x v="3"/>
    <s v="DHS 930 "/>
    <s v="우일정보기술(주)"/>
    <m/>
    <n v="16900000"/>
    <n v="152537290351"/>
  </r>
  <r>
    <x v="3"/>
    <s v="DHS 950L "/>
    <s v="우일정보기술(주)"/>
    <m/>
    <n v="16900000"/>
    <n v="152554190351"/>
  </r>
  <r>
    <x v="3"/>
    <s v="DHS 930 "/>
    <s v="우리넷"/>
    <m/>
    <n v="17765000"/>
    <n v="152571955351"/>
  </r>
  <r>
    <x v="3"/>
    <s v="DHS 433L "/>
    <s v="창흥상사"/>
    <m/>
    <n v="-15150000"/>
    <n v="152556805351"/>
  </r>
  <r>
    <x v="3"/>
    <s v="DHS 433L "/>
    <s v="창흥상사"/>
    <m/>
    <n v="15150000"/>
    <n v="152571955351"/>
  </r>
  <r>
    <x v="3"/>
    <s v="DHS 930 "/>
    <s v="(주)파워텔레콤"/>
    <m/>
    <n v="16856000"/>
    <n v="152588811351"/>
  </r>
  <r>
    <x v="3"/>
    <s v="DHS 930 "/>
    <s v="(주)파워텔레콤"/>
    <m/>
    <n v="16856000"/>
    <n v="152605667351"/>
  </r>
  <r>
    <x v="3"/>
    <s v="DHS 930 "/>
    <s v="(주)파워텔레콤"/>
    <m/>
    <n v="16856000"/>
    <n v="152622523351"/>
  </r>
  <r>
    <x v="3"/>
    <s v="DHT 160AS "/>
    <s v="(유)대원운수"/>
    <m/>
    <n v="170000000"/>
    <n v="152792523351"/>
  </r>
  <r>
    <x v="3"/>
    <s v="DHT 150AS "/>
    <s v="혜성활선"/>
    <m/>
    <n v="163000000"/>
    <n v="152955523351"/>
  </r>
  <r>
    <x v="3"/>
    <s v="DHS 433L "/>
    <s v="해양레저마린"/>
    <m/>
    <n v="14636364"/>
    <n v="152970159715"/>
  </r>
  <r>
    <x v="3"/>
    <s v="DH S3000A "/>
    <s v="롯데오토리스(주)"/>
    <m/>
    <n v="82261904"/>
    <n v="153052421619"/>
  </r>
  <r>
    <x v="3"/>
    <s v="DH S3000A "/>
    <s v="롯데오토리스(주)"/>
    <m/>
    <n v="82261904"/>
    <n v="153134683523"/>
  </r>
  <r>
    <x v="3"/>
    <s v="DH S3000A "/>
    <s v="롯데오토리스(주)"/>
    <m/>
    <n v="82261904"/>
    <n v="153216945427"/>
  </r>
  <r>
    <x v="3"/>
    <s v="DH S3000A "/>
    <s v="롯데오토리스(주)"/>
    <m/>
    <n v="82261904"/>
    <n v="153299207331"/>
  </r>
  <r>
    <x v="3"/>
    <s v="DH S3000A "/>
    <s v="롯데오토리스(주)"/>
    <m/>
    <n v="82261904"/>
    <n v="153381469235"/>
  </r>
  <r>
    <x v="3"/>
    <s v="DH S3000A "/>
    <s v="롯데오토리스(주)"/>
    <m/>
    <n v="82261904"/>
    <n v="153463731139"/>
  </r>
  <r>
    <x v="3"/>
    <s v="DH S3000A "/>
    <s v="롯데오토리스(주)"/>
    <m/>
    <n v="82261904"/>
    <n v="153545993043"/>
  </r>
  <r>
    <x v="3"/>
    <s v="DH S3000A "/>
    <s v="롯데오토리스(주)"/>
    <m/>
    <n v="82261904"/>
    <n v="153628254947"/>
  </r>
  <r>
    <x v="3"/>
    <s v="DH S3000A "/>
    <s v="롯데오토리스(주)"/>
    <m/>
    <n v="82261904"/>
    <n v="153710516851"/>
  </r>
  <r>
    <x v="3"/>
    <s v="DH S3000A "/>
    <s v="롯데오토리스(주)"/>
    <m/>
    <n v="82261904"/>
    <n v="153792778755"/>
  </r>
  <r>
    <x v="3"/>
    <s v="DHT 160AS "/>
    <s v="현성활선"/>
    <m/>
    <n v="170000000"/>
    <n v="153962778755"/>
  </r>
  <r>
    <x v="3"/>
    <s v="DHT 150AS "/>
    <s v="동부활선"/>
    <m/>
    <n v="163000000"/>
    <n v="154125778755"/>
  </r>
  <r>
    <x v="3"/>
    <s v="DHS 433L "/>
    <s v="에이원산업"/>
    <m/>
    <n v="15000000"/>
    <n v="154140778755"/>
  </r>
  <r>
    <x v="3"/>
    <s v="DHS 950L "/>
    <s v="주식회사 에스제이네트웍스"/>
    <m/>
    <n v="34272727"/>
    <n v="154175051482"/>
  </r>
  <r>
    <x v="3"/>
    <s v="DHS 15AP외 "/>
    <s v="SYKT"/>
    <m/>
    <n v="108693634"/>
    <n v="154283745116"/>
  </r>
  <r>
    <x v="3"/>
    <s v="DHS 433L "/>
    <s v="해양레저마린"/>
    <m/>
    <n v="14636364"/>
    <n v="154298381480"/>
  </r>
  <r>
    <x v="3"/>
    <s v="DHS 950L "/>
    <s v="유현통신"/>
    <m/>
    <n v="35500000"/>
    <n v="154333881480"/>
  </r>
  <r>
    <x v="3"/>
    <s v="DHS 433L "/>
    <s v="포마린"/>
    <m/>
    <n v="15013636"/>
    <n v="154348895116"/>
  </r>
  <r>
    <x v="3"/>
    <s v="DHS 15AP "/>
    <s v="성인전업사"/>
    <m/>
    <n v="50909091"/>
    <n v="154399804207"/>
  </r>
  <r>
    <x v="3"/>
    <s v="DHT 160S "/>
    <s v="천둥 ENG"/>
    <m/>
    <n v="153000000"/>
    <n v="154552804207"/>
  </r>
  <r>
    <x v="3"/>
    <s v="DHT 160S "/>
    <s v="(주)신아전설"/>
    <m/>
    <n v="151000000"/>
    <n v="154703804207"/>
  </r>
  <r>
    <x v="3"/>
    <s v="DHT 160AS "/>
    <s v="(주)동훈전설"/>
    <m/>
    <n v="168000000"/>
    <n v="154871804207"/>
  </r>
  <r>
    <x v="3"/>
    <s v="DHS 433L "/>
    <s v="하동군청"/>
    <m/>
    <n v="15454546"/>
    <n v="154887258753"/>
  </r>
  <r>
    <x v="3"/>
    <s v="DHS 280AP "/>
    <s v="SYKT"/>
    <m/>
    <n v="57481996"/>
    <n v="154944740749"/>
  </r>
  <r>
    <x v="3"/>
    <s v="DHS 930 "/>
    <s v="(주)수화텔"/>
    <m/>
    <n v="16856000"/>
    <n v="154961596749"/>
  </r>
  <r>
    <x v="3"/>
    <s v="DHS 950L "/>
    <s v="미래통신"/>
    <m/>
    <n v="37272727"/>
    <n v="154998869476"/>
  </r>
  <r>
    <x v="3"/>
    <s v="DHS 930 "/>
    <s v="미래통신"/>
    <m/>
    <n v="35454545"/>
    <n v="155034324021"/>
  </r>
  <r>
    <x v="3"/>
    <s v="DHS 930 "/>
    <s v="현대파워텍(주)"/>
    <m/>
    <n v="50909090"/>
    <n v="155085233111"/>
  </r>
  <r>
    <x v="3"/>
    <s v="DHS 15AP "/>
    <s v="광성전력"/>
    <m/>
    <n v="51818181"/>
    <n v="155137051292"/>
  </r>
  <r>
    <x v="3"/>
    <s v="DHS 950L "/>
    <s v="민준통신"/>
    <m/>
    <n v="33000000"/>
    <n v="155170051292"/>
  </r>
  <r>
    <x v="3"/>
    <s v="DHS 190SKY "/>
    <s v="매직파워종합광고"/>
    <m/>
    <n v="60500000"/>
    <n v="155230551292"/>
  </r>
  <r>
    <x v="3"/>
    <s v="DH S3000A "/>
    <s v="롯데오토리스(주)"/>
    <m/>
    <n v="82261904"/>
    <n v="155312813196"/>
  </r>
  <r>
    <x v="3"/>
    <s v="DH S3000A "/>
    <s v="롯데오토리스(주)"/>
    <m/>
    <n v="82261904"/>
    <n v="155395075100"/>
  </r>
  <r>
    <x v="3"/>
    <s v="DH S3000A "/>
    <s v="롯데오토리스(주)"/>
    <m/>
    <n v="82261904"/>
    <n v="155477337004"/>
  </r>
  <r>
    <x v="3"/>
    <s v="DH S3000A "/>
    <s v="롯데오토리스(주)"/>
    <m/>
    <n v="82261904"/>
    <n v="155559598908"/>
  </r>
  <r>
    <x v="3"/>
    <s v="DH S3000A "/>
    <s v="롯데오토리스(주)"/>
    <m/>
    <n v="82261904"/>
    <n v="155641860812"/>
  </r>
  <r>
    <x v="3"/>
    <s v="DH S3000A "/>
    <s v="롯데오토리스(주)"/>
    <m/>
    <n v="82261904"/>
    <n v="155724122716"/>
  </r>
  <r>
    <x v="3"/>
    <s v="DH S3000A "/>
    <s v="롯데오토리스(주)"/>
    <m/>
    <n v="82261904"/>
    <n v="155806384620"/>
  </r>
  <r>
    <x v="3"/>
    <s v="DH S3000A "/>
    <s v="롯데오토리스(주)"/>
    <m/>
    <n v="82261904"/>
    <n v="155888646524"/>
  </r>
  <r>
    <x v="3"/>
    <s v="DH S3000A "/>
    <s v="롯데오토리스(주)"/>
    <m/>
    <n v="82261904"/>
    <n v="155970908428"/>
  </r>
  <r>
    <x v="3"/>
    <s v="DH S3000A "/>
    <s v="롯데오토리스(주)"/>
    <m/>
    <n v="82261904"/>
    <n v="156053170332"/>
  </r>
  <r>
    <x v="3"/>
    <s v="DH S3000A "/>
    <s v="롯데오토리스(주)"/>
    <m/>
    <n v="82261904"/>
    <n v="156135432236"/>
  </r>
  <r>
    <x v="3"/>
    <s v="DH S3000A "/>
    <s v="롯데오토리스(주)"/>
    <m/>
    <n v="82261904"/>
    <n v="156217694140"/>
  </r>
  <r>
    <x v="3"/>
    <s v="DHT 150AS "/>
    <s v="보타리에너지(주)"/>
    <m/>
    <n v="159090909"/>
    <n v="156376785049"/>
  </r>
  <r>
    <x v="3"/>
    <s v="DHS 190SKY "/>
    <s v="매직파워종합광고"/>
    <m/>
    <n v="-60500000"/>
    <n v="156316285049"/>
  </r>
  <r>
    <x v="3"/>
    <s v="DHS 190SKY "/>
    <s v="매직스카이"/>
    <m/>
    <n v="60500000"/>
    <n v="156376785049"/>
  </r>
  <r>
    <x v="3"/>
    <s v="DHS 950L "/>
    <s v="거스토"/>
    <m/>
    <n v="35909091"/>
    <n v="156412694140"/>
  </r>
  <r>
    <x v="3"/>
    <s v="DHS 950L "/>
    <s v="(주)컴피아"/>
    <m/>
    <n v="34181818"/>
    <n v="156446875958"/>
  </r>
  <r>
    <x v="3"/>
    <s v="DHS 950L "/>
    <s v="(주)컴피아"/>
    <m/>
    <n v="33272727"/>
    <n v="156480148685"/>
  </r>
  <r>
    <x v="3"/>
    <s v="DHS 950L "/>
    <s v="(주)컴피아"/>
    <m/>
    <n v="33272727"/>
    <n v="156513421412"/>
  </r>
  <r>
    <x v="3"/>
    <s v="DHS 950L "/>
    <s v="(주)컴피아"/>
    <m/>
    <n v="33272727"/>
    <n v="156546694139"/>
  </r>
  <r>
    <x v="3"/>
    <s v="DHS 950L "/>
    <s v="(주)컴피아"/>
    <m/>
    <n v="33272727"/>
    <n v="156579966866"/>
  </r>
  <r>
    <x v="3"/>
    <s v="DHS 950L "/>
    <s v="진우통신"/>
    <m/>
    <n v="35000000"/>
    <n v="156614966866"/>
  </r>
  <r>
    <x v="3"/>
    <s v="DHS 950L "/>
    <s v="소율정보통신"/>
    <m/>
    <n v="36818181"/>
    <n v="156651785047"/>
  </r>
  <r>
    <x v="3"/>
    <s v="DHS 15AP "/>
    <s v="희망전기조명"/>
    <m/>
    <n v="50909091"/>
    <n v="156702694138"/>
  </r>
  <r>
    <x v="3"/>
    <s v="DHS 15AP "/>
    <s v="한서전기(주)"/>
    <m/>
    <n v="50909091"/>
    <n v="156753603229"/>
  </r>
  <r>
    <x v="3"/>
    <s v="DHS 930 "/>
    <s v="(주)코어넷"/>
    <m/>
    <n v="17765000"/>
    <n v="156771368229"/>
  </r>
  <r>
    <x v="3"/>
    <s v="DHS 930 "/>
    <s v="(주)코어넷"/>
    <m/>
    <n v="17765000"/>
    <n v="156789133229"/>
  </r>
  <r>
    <x v="3"/>
    <s v="DHS 950L "/>
    <s v="홍진통신"/>
    <m/>
    <n v="35000000"/>
    <n v="156824133229"/>
  </r>
  <r>
    <x v="3"/>
    <s v="DHS 1200L "/>
    <s v="수도권서부고속도로(주)"/>
    <m/>
    <n v="43500000"/>
    <n v="156867633229"/>
  </r>
  <r>
    <x v="3"/>
    <s v="DHS 534 "/>
    <s v="(주)동호선박"/>
    <m/>
    <n v="13000000"/>
    <n v="156880633229"/>
  </r>
  <r>
    <x v="3"/>
    <s v="DHS 950L "/>
    <s v="정선종합상사"/>
    <m/>
    <n v="34636364"/>
    <n v="156915269593"/>
  </r>
  <r>
    <x v="3"/>
    <s v="DHS 15AP "/>
    <s v="거성전력 주식회사"/>
    <m/>
    <n v="49000000"/>
    <n v="156964269593"/>
  </r>
  <r>
    <x v="3"/>
    <s v="DHS 17AP "/>
    <s v="남양이앤씨"/>
    <m/>
    <n v="52000000"/>
    <n v="157016269593"/>
  </r>
  <r>
    <x v="3"/>
    <s v="DHT 150ASB "/>
    <s v="(주)월드이엔씨"/>
    <m/>
    <n v="183000000"/>
    <n v="157199269593"/>
  </r>
  <r>
    <x v="3"/>
    <s v="DHS 1200L "/>
    <s v="(주)에스앤비라이팅"/>
    <m/>
    <n v="38900000"/>
    <n v="157238169593"/>
  </r>
  <r>
    <x v="3"/>
    <s v="DHS 950L "/>
    <s v="신호정보통신"/>
    <m/>
    <n v="33800000"/>
    <n v="157271969593"/>
  </r>
  <r>
    <x v="3"/>
    <s v="DHS 433L "/>
    <s v="제일타이어"/>
    <m/>
    <n v="14509000"/>
    <n v="157286478593"/>
  </r>
  <r>
    <x v="3"/>
    <s v="DHS 950L "/>
    <s v="인천광역시 부평구 시설관리공단"/>
    <m/>
    <n v="39181819"/>
    <n v="157325660412"/>
  </r>
  <r>
    <x v="3"/>
    <s v="DHS 930 "/>
    <s v="현대캐피탈주식회사"/>
    <m/>
    <n v="30465000"/>
    <n v="157356125412"/>
  </r>
  <r>
    <x v="3"/>
    <s v="DHS 930 "/>
    <s v="현대캐피탈주식회사"/>
    <m/>
    <n v="30465000"/>
    <n v="157386590412"/>
  </r>
  <r>
    <x v="3"/>
    <s v="DHS 930 "/>
    <s v="현대캐피탈주식회사"/>
    <m/>
    <n v="30465000"/>
    <n v="157417055412"/>
  </r>
  <r>
    <x v="3"/>
    <s v="DHS 930 "/>
    <s v="현대캐피탈주식회사"/>
    <m/>
    <n v="30465000"/>
    <n v="157447520412"/>
  </r>
  <r>
    <x v="3"/>
    <s v="DHS 930 "/>
    <s v="현대캐피탈주식회사"/>
    <m/>
    <n v="30465000"/>
    <n v="157477985412"/>
  </r>
  <r>
    <x v="3"/>
    <s v="DHS 930 "/>
    <s v="현대캐피탈주식회사"/>
    <m/>
    <n v="30465000"/>
    <n v="157508450412"/>
  </r>
  <r>
    <x v="3"/>
    <s v="DHS 930 "/>
    <s v="현대캐피탈주식회사"/>
    <m/>
    <n v="30465000"/>
    <n v="157538915412"/>
  </r>
  <r>
    <x v="3"/>
    <s v="DHS 930 "/>
    <s v="현대캐피탈주식회사"/>
    <m/>
    <n v="30465000"/>
    <n v="157569380412"/>
  </r>
  <r>
    <x v="3"/>
    <s v="DHS 930 "/>
    <s v="현대캐피탈주식회사"/>
    <m/>
    <n v="30465000"/>
    <n v="157599845412"/>
  </r>
  <r>
    <x v="3"/>
    <s v="DHS 930 "/>
    <s v="현대캐피탈주식회사"/>
    <m/>
    <n v="30465000"/>
    <n v="157630310412"/>
  </r>
  <r>
    <x v="3"/>
    <s v="DHS 930 "/>
    <s v="현대캐피탈주식회사"/>
    <m/>
    <n v="30465000"/>
    <n v="157660775412"/>
  </r>
  <r>
    <x v="3"/>
    <s v="DHS 930 "/>
    <s v="현대캐피탈주식회사"/>
    <m/>
    <n v="30465000"/>
    <n v="157691240412"/>
  </r>
  <r>
    <x v="3"/>
    <s v="DHS 930 "/>
    <s v="현대캐피탈주식회사"/>
    <m/>
    <n v="30465000"/>
    <n v="157721705412"/>
  </r>
  <r>
    <x v="3"/>
    <s v="DHS 930 "/>
    <s v="현대캐피탈주식회사"/>
    <m/>
    <n v="30465000"/>
    <n v="157752170412"/>
  </r>
  <r>
    <x v="3"/>
    <s v="DHS 930 "/>
    <s v="현대캐피탈주식회사"/>
    <m/>
    <n v="30465000"/>
    <n v="157782635412"/>
  </r>
  <r>
    <x v="3"/>
    <s v="DHS 930 "/>
    <s v="현대캐피탈주식회사"/>
    <m/>
    <n v="30465000"/>
    <n v="157813100412"/>
  </r>
  <r>
    <x v="3"/>
    <s v="DHS 930 "/>
    <s v="현대캐피탈주식회사"/>
    <m/>
    <n v="30465000"/>
    <n v="157843565412"/>
  </r>
  <r>
    <x v="3"/>
    <s v="DHS 930 "/>
    <s v="현대캐피탈주식회사"/>
    <m/>
    <n v="30465000"/>
    <n v="157874030412"/>
  </r>
  <r>
    <x v="3"/>
    <s v="DHS 930 "/>
    <s v="현대캐피탈주식회사"/>
    <m/>
    <n v="30465000"/>
    <n v="157904495412"/>
  </r>
  <r>
    <x v="3"/>
    <s v="DHS 930 "/>
    <s v="현대캐피탈주식회사"/>
    <m/>
    <n v="30465000"/>
    <n v="157934960412"/>
  </r>
  <r>
    <x v="3"/>
    <s v="DHS 930 "/>
    <s v="현대캐피탈주식회사"/>
    <m/>
    <n v="30465000"/>
    <n v="157965425412"/>
  </r>
  <r>
    <x v="3"/>
    <s v="DHS 930 "/>
    <s v="현대캐피탈주식회사"/>
    <m/>
    <n v="30465000"/>
    <n v="157995890412"/>
  </r>
  <r>
    <x v="3"/>
    <s v="DHS 930 "/>
    <s v="현대캐피탈주식회사"/>
    <m/>
    <n v="30465000"/>
    <n v="158026355412"/>
  </r>
  <r>
    <x v="3"/>
    <s v="DHS 930 "/>
    <s v="현대캐피탈주식회사"/>
    <m/>
    <n v="30465000"/>
    <n v="158056820412"/>
  </r>
  <r>
    <x v="3"/>
    <s v="DHS 930 "/>
    <s v="현대캐피탈주식회사"/>
    <m/>
    <n v="30465000"/>
    <n v="158087285412"/>
  </r>
  <r>
    <x v="3"/>
    <s v="DHS 930 "/>
    <s v="현대캐피탈주식회사"/>
    <m/>
    <n v="30465000"/>
    <n v="158117750412"/>
  </r>
  <r>
    <x v="3"/>
    <s v="DHS 930 "/>
    <s v="현대캐피탈주식회사"/>
    <m/>
    <n v="30465000"/>
    <n v="158148215412"/>
  </r>
  <r>
    <x v="3"/>
    <s v="DHS 930 "/>
    <s v="현대캐피탈주식회사"/>
    <m/>
    <n v="30465000"/>
    <n v="158178680412"/>
  </r>
  <r>
    <x v="3"/>
    <s v="DHS 930 "/>
    <s v="현대캐피탈주식회사"/>
    <m/>
    <n v="30465000"/>
    <n v="158209145412"/>
  </r>
  <r>
    <x v="3"/>
    <s v="DHS 930 "/>
    <s v="현대캐피탈주식회사"/>
    <m/>
    <n v="30465000"/>
    <n v="158239610412"/>
  </r>
  <r>
    <x v="3"/>
    <s v="DHS 930 "/>
    <s v="현대캐피탈주식회사"/>
    <m/>
    <n v="30465000"/>
    <n v="158270075412"/>
  </r>
  <r>
    <x v="3"/>
    <s v="DHS 930 "/>
    <s v="현대캐피탈주식회사"/>
    <m/>
    <n v="30465000"/>
    <n v="158300540412"/>
  </r>
  <r>
    <x v="3"/>
    <s v="DHS 930 "/>
    <s v="현대캐피탈주식회사"/>
    <m/>
    <n v="30465000"/>
    <n v="158331005412"/>
  </r>
  <r>
    <x v="3"/>
    <s v="DHS 930 "/>
    <s v="현대캐피탈주식회사"/>
    <m/>
    <n v="30465000"/>
    <n v="158361470412"/>
  </r>
  <r>
    <x v="3"/>
    <s v="DHS 930 "/>
    <s v="현대캐피탈주식회사"/>
    <m/>
    <n v="30465000"/>
    <n v="158391935412"/>
  </r>
  <r>
    <x v="3"/>
    <s v="DHS 930 "/>
    <s v="현대캐피탈주식회사"/>
    <m/>
    <n v="30465000"/>
    <n v="158422400412"/>
  </r>
  <r>
    <x v="3"/>
    <s v="DHS 930 "/>
    <s v="현대캐피탈주식회사"/>
    <m/>
    <n v="30465000"/>
    <n v="158452865412"/>
  </r>
  <r>
    <x v="3"/>
    <s v="DHS 930 "/>
    <s v="현대캐피탈주식회사"/>
    <m/>
    <n v="30465000"/>
    <n v="158483330412"/>
  </r>
  <r>
    <x v="3"/>
    <s v="DHS 930 "/>
    <s v="현대캐피탈주식회사"/>
    <m/>
    <n v="30465000"/>
    <n v="158513795412"/>
  </r>
  <r>
    <x v="3"/>
    <s v="DHS 930 "/>
    <s v="현대캐피탈주식회사"/>
    <m/>
    <n v="30465000"/>
    <n v="158544260412"/>
  </r>
  <r>
    <x v="3"/>
    <s v="DHS 17AP "/>
    <s v="주식회사 창조전기"/>
    <m/>
    <n v="53000000"/>
    <n v="158597260412"/>
  </r>
  <r>
    <x v="3"/>
    <s v="DH SUPER 3000A "/>
    <s v="롯데오토리스(주)"/>
    <m/>
    <n v="90069820"/>
    <n v="158687330232"/>
  </r>
  <r>
    <x v="3"/>
    <s v="DH SUPER 3000A "/>
    <s v="롯데오토리스(주)"/>
    <m/>
    <n v="90069820"/>
    <n v="158777400052"/>
  </r>
  <r>
    <x v="3"/>
    <s v="DH SUPER 3000A "/>
    <s v="롯데오토리스(주)"/>
    <m/>
    <n v="90069820"/>
    <n v="158867469872"/>
  </r>
  <r>
    <x v="3"/>
    <s v="DH SUPER 3000A "/>
    <s v="롯데오토리스(주)"/>
    <m/>
    <n v="90069820"/>
    <n v="158957539692"/>
  </r>
  <r>
    <x v="3"/>
    <s v="DH SUPER 3000A "/>
    <s v="롯데오토리스(주)"/>
    <m/>
    <n v="90069820"/>
    <n v="159047609512"/>
  </r>
  <r>
    <x v="3"/>
    <s v="DH SUPER 3000A "/>
    <s v="롯데오토리스(주)"/>
    <m/>
    <n v="90069820"/>
    <n v="159137679332"/>
  </r>
  <r>
    <x v="3"/>
    <s v="DH SUPER 3000A "/>
    <s v="롯데오토리스(주)"/>
    <m/>
    <n v="90069820"/>
    <n v="159227749152"/>
  </r>
  <r>
    <x v="3"/>
    <s v="DH SUPER 3000A "/>
    <s v="롯데오토리스(주)"/>
    <m/>
    <n v="90069820"/>
    <n v="159317818972"/>
  </r>
  <r>
    <x v="3"/>
    <s v="DH SUPER 3000A "/>
    <s v="롯데오토리스(주)"/>
    <m/>
    <n v="90069820"/>
    <n v="159407888792"/>
  </r>
  <r>
    <x v="3"/>
    <s v="DH SUPER 3000A "/>
    <s v="롯데오토리스(주)"/>
    <m/>
    <n v="90069820"/>
    <n v="159497958612"/>
  </r>
  <r>
    <x v="3"/>
    <s v="DH SUPER 3000A "/>
    <s v="롯데오토리스(주)"/>
    <m/>
    <n v="-90069820"/>
    <n v="159407888792"/>
  </r>
  <r>
    <x v="3"/>
    <s v="DH SUPER 3000A "/>
    <s v="롯데오토리스(주)"/>
    <m/>
    <n v="-90069820"/>
    <n v="159317818972"/>
  </r>
  <r>
    <x v="3"/>
    <s v="DH SUPER 3000A "/>
    <s v="롯데오토리스(주)"/>
    <m/>
    <n v="-90069820"/>
    <n v="159227749152"/>
  </r>
  <r>
    <x v="3"/>
    <s v="DH SUPER 3000A "/>
    <s v="롯데오토리스(주)"/>
    <m/>
    <n v="-90069820"/>
    <n v="159137679332"/>
  </r>
  <r>
    <x v="3"/>
    <s v="DH SUPER 3000A "/>
    <s v="롯데오토리스(주)"/>
    <m/>
    <n v="-90069820"/>
    <n v="159047609512"/>
  </r>
  <r>
    <x v="3"/>
    <s v="DH SUPER 3000A "/>
    <s v="롯데오토리스(주)"/>
    <m/>
    <n v="-90069820"/>
    <n v="158957539692"/>
  </r>
  <r>
    <x v="3"/>
    <s v="DH SUPER 3000A "/>
    <s v="롯데오토리스(주)"/>
    <m/>
    <n v="-90069820"/>
    <n v="158867469872"/>
  </r>
  <r>
    <x v="3"/>
    <s v="DH SUPER 3000A "/>
    <s v="롯데오토리스(주)"/>
    <m/>
    <n v="-90069820"/>
    <n v="158777400052"/>
  </r>
  <r>
    <x v="3"/>
    <s v="DH SUPER 3000A "/>
    <s v="롯데오토리스(주)"/>
    <m/>
    <n v="-90069820"/>
    <n v="158687330232"/>
  </r>
  <r>
    <x v="3"/>
    <s v="DH SUPER 3000A "/>
    <s v="롯데오토리스(주)"/>
    <m/>
    <n v="-90069820"/>
    <n v="158597260412"/>
  </r>
  <r>
    <x v="3"/>
    <s v="DHT 150AS "/>
    <s v="성운ENG"/>
    <m/>
    <n v="163000000"/>
    <n v="158760260412"/>
  </r>
  <r>
    <x v="3"/>
    <s v="DHT 160S "/>
    <s v="세계로 일렉트릭"/>
    <m/>
    <n v="153000000"/>
    <n v="158913260412"/>
  </r>
  <r>
    <x v="3"/>
    <s v="DHS 1200L "/>
    <s v="(주)영남전기소방"/>
    <m/>
    <n v="38500000"/>
    <n v="158951760412"/>
  </r>
  <r>
    <x v="3"/>
    <s v="DHS 1200L "/>
    <s v="서빈전기(주)"/>
    <m/>
    <n v="38636364"/>
    <n v="158990396776"/>
  </r>
  <r>
    <x v="3"/>
    <s v="DHS 1200L "/>
    <s v="(주)신우테크"/>
    <m/>
    <n v="37600000"/>
    <n v="159027996776"/>
  </r>
  <r>
    <x v="3"/>
    <s v="DH SUPER 3000A"/>
    <s v="롯데오토리스(주)"/>
    <m/>
    <n v="90069820"/>
    <n v="159118066596"/>
  </r>
  <r>
    <x v="3"/>
    <s v="DH SUPER 3000A"/>
    <s v="롯데오토리스(주)"/>
    <m/>
    <n v="90069820"/>
    <n v="159208136416"/>
  </r>
  <r>
    <x v="3"/>
    <s v="DH SUPER 3000A"/>
    <s v="롯데오토리스(주)"/>
    <m/>
    <n v="90069820"/>
    <n v="159298206236"/>
  </r>
  <r>
    <x v="3"/>
    <s v="DH SUPER 3000A"/>
    <s v="롯데오토리스(주)"/>
    <m/>
    <n v="90069820"/>
    <n v="159388276056"/>
  </r>
  <r>
    <x v="3"/>
    <s v="DH SUPER 3000A"/>
    <s v="롯데오토리스(주)"/>
    <m/>
    <n v="90069820"/>
    <n v="159478345876"/>
  </r>
  <r>
    <x v="3"/>
    <s v="DH SUPER 3000A"/>
    <s v="롯데오토리스(주)"/>
    <m/>
    <n v="90069820"/>
    <n v="159568415696"/>
  </r>
  <r>
    <x v="3"/>
    <s v="DH SUPER 3000A"/>
    <s v="롯데오토리스(주)"/>
    <m/>
    <n v="90069820"/>
    <n v="159658485516"/>
  </r>
  <r>
    <x v="3"/>
    <s v="DH SUPER 3000A"/>
    <s v="롯데오토리스(주)"/>
    <m/>
    <n v="90069820"/>
    <n v="159748555336"/>
  </r>
  <r>
    <x v="3"/>
    <s v="DH SUPER 3000A"/>
    <s v="롯데오토리스(주)"/>
    <m/>
    <n v="90069820"/>
    <n v="159838625156"/>
  </r>
  <r>
    <x v="3"/>
    <s v="DH SUPER 3000A"/>
    <s v="롯데오토리스(주)"/>
    <m/>
    <n v="90069820"/>
    <n v="159928694976"/>
  </r>
  <r>
    <x v="3"/>
    <s v="DHS 190SKY "/>
    <s v="국제스카이"/>
    <m/>
    <n v="61000000"/>
    <n v="159989694976"/>
  </r>
  <r>
    <x v="3"/>
    <s v="DHS 930 "/>
    <s v="주식회사 우정넷"/>
    <m/>
    <n v="33700000"/>
    <n v="160023394976"/>
  </r>
  <r>
    <x v="3"/>
    <s v="DHS 930 "/>
    <s v="주식회사 우정넷"/>
    <m/>
    <n v="33700000"/>
    <n v="160057094976"/>
  </r>
  <r>
    <x v="3"/>
    <s v="DHS 1200L "/>
    <s v="란 정보통신"/>
    <m/>
    <n v="38516364"/>
    <n v="160095611340"/>
  </r>
  <r>
    <x v="3"/>
    <s v="DHS 1200L "/>
    <s v="(주)대동계전"/>
    <m/>
    <n v="40000000"/>
    <n v="160135611340"/>
  </r>
  <r>
    <x v="3"/>
    <s v="DHS 1200L "/>
    <s v="부영전업사"/>
    <m/>
    <n v="40000000"/>
    <n v="160175611340"/>
  </r>
  <r>
    <x v="3"/>
    <s v="DHAS 120AP "/>
    <s v="문성네트웍스"/>
    <m/>
    <n v="46600000"/>
    <n v="160222211340"/>
  </r>
  <r>
    <x v="3"/>
    <s v="DHAS 120AP "/>
    <s v="(주)세화전자"/>
    <m/>
    <n v="44538000"/>
    <n v="160266749340"/>
  </r>
  <r>
    <x v="3"/>
    <s v="DHS 433L "/>
    <s v="은혜축산기기"/>
    <m/>
    <n v="15000000"/>
    <n v="160281749340"/>
  </r>
  <r>
    <x v="3"/>
    <s v="DH SUPER 3000A "/>
    <s v="롯데오토리스(주)"/>
    <m/>
    <n v="90069820"/>
    <n v="160371819160"/>
  </r>
  <r>
    <x v="3"/>
    <s v="DH SUPER 3000A "/>
    <s v="롯데오토리스(주)"/>
    <m/>
    <n v="90069820"/>
    <n v="160461888980"/>
  </r>
  <r>
    <x v="3"/>
    <s v="DH SUPER 3000A "/>
    <s v="롯데오토리스(주)"/>
    <m/>
    <n v="90069820"/>
    <n v="160551958800"/>
  </r>
  <r>
    <x v="3"/>
    <s v="DH SUPER 3000A "/>
    <s v="롯데오토리스(주)"/>
    <m/>
    <n v="90069820"/>
    <n v="160642028620"/>
  </r>
  <r>
    <x v="3"/>
    <s v="DH SUPER 3000A "/>
    <s v="롯데오토리스(주)"/>
    <m/>
    <n v="90069820"/>
    <n v="160732098440"/>
  </r>
  <r>
    <x v="3"/>
    <s v="DH SUPER 3000A "/>
    <s v="롯데오토리스(주)"/>
    <m/>
    <n v="90069820"/>
    <n v="160822168260"/>
  </r>
  <r>
    <x v="3"/>
    <s v="DH SUPER 3000A "/>
    <s v="롯데오토리스(주)"/>
    <m/>
    <n v="90069820"/>
    <n v="160912238080"/>
  </r>
  <r>
    <x v="3"/>
    <s v="DH SUPER 3000A "/>
    <s v="롯데오토리스(주)"/>
    <m/>
    <n v="90069820"/>
    <n v="161002307900"/>
  </r>
  <r>
    <x v="3"/>
    <s v="DH SUPER 3000A "/>
    <s v="롯데오토리스(주)"/>
    <m/>
    <n v="90069820"/>
    <n v="161092377720"/>
  </r>
  <r>
    <x v="3"/>
    <s v="DH SUPER 3000A "/>
    <s v="롯데오토리스(주)"/>
    <m/>
    <n v="90069820"/>
    <n v="161182447540"/>
  </r>
  <r>
    <x v="3"/>
    <s v="DHT 150AS "/>
    <s v="성민전력"/>
    <m/>
    <n v="159000000"/>
    <n v="161341447540"/>
  </r>
  <r>
    <x v="3"/>
    <s v="DHS 950L "/>
    <s v="연우통신(주)"/>
    <m/>
    <n v="16856000"/>
    <n v="161358303540"/>
  </r>
  <r>
    <x v="3"/>
    <s v="DHS 190SKY "/>
    <s v="김종식"/>
    <m/>
    <n v="62727272"/>
    <n v="161421030812"/>
  </r>
  <r>
    <x v="3"/>
    <s v="DHS 950L "/>
    <s v="도영정보통신"/>
    <m/>
    <n v="37272727"/>
    <n v="161458303539"/>
  </r>
  <r>
    <x v="3"/>
    <s v="DHS 14 "/>
    <s v="WAIMEA TRUCK ＆ CRANE LTD"/>
    <m/>
    <n v="81943200"/>
    <n v="161540246739"/>
  </r>
  <r>
    <x v="3"/>
    <s v="DHS 950L "/>
    <s v="(주)에이에스케이블"/>
    <m/>
    <n v="33620000"/>
    <n v="161573866739"/>
  </r>
  <r>
    <x v="3"/>
    <s v="DHT 160AS "/>
    <s v="대동활선"/>
    <m/>
    <n v="170000000"/>
    <n v="161743866739"/>
  </r>
  <r>
    <x v="3"/>
    <s v="DHS 105AP "/>
    <s v="진흥통신"/>
    <m/>
    <n v="50545455"/>
    <n v="161794412194"/>
  </r>
  <r>
    <x v="3"/>
    <s v="선급금 70%"/>
    <s v="창원시 성산구청"/>
    <m/>
    <n v="59818182"/>
    <n v="161854230376"/>
  </r>
  <r>
    <x v="3"/>
    <s v="선급금 70%"/>
    <s v="창원시 성산구청"/>
    <m/>
    <n v="-59818182"/>
    <n v="161794412194"/>
  </r>
  <r>
    <x v="3"/>
    <s v="DHS 160AS "/>
    <s v="홍익운수"/>
    <m/>
    <n v="167000000"/>
    <n v="161961412194"/>
  </r>
  <r>
    <x v="3"/>
    <s v="DHS 950L "/>
    <s v="YOUNG 네트워크"/>
    <m/>
    <n v="36090909"/>
    <n v="161997503103"/>
  </r>
  <r>
    <x v="3"/>
    <s v="DHS 950L "/>
    <s v="원 종합정보통신(O.S.C)"/>
    <m/>
    <n v="33000000"/>
    <n v="162030503103"/>
  </r>
  <r>
    <x v="3"/>
    <s v="DHS 1200L "/>
    <s v="대성전력"/>
    <m/>
    <n v="39000000"/>
    <n v="162069503103"/>
  </r>
  <r>
    <x v="3"/>
    <s v="DHS 1200L "/>
    <s v="아주통신(주)"/>
    <m/>
    <n v="43181818"/>
    <n v="162112684921"/>
  </r>
  <r>
    <x v="3"/>
    <s v="DHS 1200L "/>
    <s v="아주통신(주)"/>
    <m/>
    <n v="43181818"/>
    <n v="162155866739"/>
  </r>
  <r>
    <x v="3"/>
    <s v="DHS 15AP "/>
    <s v="주식회사 세명전력"/>
    <m/>
    <n v="51000000"/>
    <n v="162206866739"/>
  </r>
  <r>
    <x v="3"/>
    <s v="DHT 160S "/>
    <s v="남도운수"/>
    <m/>
    <n v="149000000"/>
    <n v="162355866739"/>
  </r>
  <r>
    <x v="3"/>
    <s v="DHS1200 5Q＇ty "/>
    <s v="VIET TRUNG JOINT STOCK EQUIPMENT COMPANY"/>
    <m/>
    <n v="287117750"/>
    <n v="162642984489"/>
  </r>
  <r>
    <x v="3"/>
    <s v="DHS 17AP "/>
    <s v="아성전기주식회사"/>
    <m/>
    <n v="54272727"/>
    <n v="162697257216"/>
  </r>
  <r>
    <x v="3"/>
    <s v="DHS 17AP "/>
    <s v="무지개전력"/>
    <m/>
    <n v="54800000"/>
    <n v="162752057216"/>
  </r>
  <r>
    <x v="3"/>
    <s v="DH SUPER 3000A "/>
    <s v="롯데오토리스(주)"/>
    <m/>
    <n v="90069820"/>
    <n v="162842127036"/>
  </r>
  <r>
    <x v="3"/>
    <s v="DH SUPER 3000A "/>
    <s v="롯데오토리스(주)"/>
    <m/>
    <n v="90069820"/>
    <n v="162932196856"/>
  </r>
  <r>
    <x v="3"/>
    <s v="DH SUPER 3000A "/>
    <s v="롯데오토리스(주)"/>
    <m/>
    <n v="90069820"/>
    <n v="163022266676"/>
  </r>
  <r>
    <x v="3"/>
    <s v="DH SUPER 3000A "/>
    <s v="롯데오토리스(주)"/>
    <m/>
    <n v="90069820"/>
    <n v="163112336496"/>
  </r>
  <r>
    <x v="3"/>
    <s v="DH SUPER 3000A "/>
    <s v="롯데오토리스(주)"/>
    <m/>
    <n v="90069820"/>
    <n v="163202406316"/>
  </r>
  <r>
    <x v="3"/>
    <s v="DH SUPER 3000A "/>
    <s v="롯데오토리스(주)"/>
    <m/>
    <n v="90069820"/>
    <n v="163292476136"/>
  </r>
  <r>
    <x v="3"/>
    <s v="DH SUPER 3000A "/>
    <s v="롯데오토리스(주)"/>
    <m/>
    <n v="90069820"/>
    <n v="163382545956"/>
  </r>
  <r>
    <x v="3"/>
    <s v="DH SUPER 3000A "/>
    <s v="롯데오토리스(주)"/>
    <m/>
    <n v="90069820"/>
    <n v="163472615776"/>
  </r>
  <r>
    <x v="3"/>
    <s v="DH SUPER 3000A "/>
    <s v="롯데오토리스(주)"/>
    <m/>
    <n v="90069820"/>
    <n v="163562685596"/>
  </r>
  <r>
    <x v="3"/>
    <s v="DH SUPER 3000A "/>
    <s v="롯데오토리스(주)"/>
    <m/>
    <n v="90069820"/>
    <n v="163652755416"/>
  </r>
  <r>
    <x v="3"/>
    <s v="DHS 280AP "/>
    <s v="경수고속도로(주)"/>
    <m/>
    <n v="11763636"/>
    <n v="163664519052"/>
  </r>
  <r>
    <x v="3"/>
    <s v="DHT 150AS "/>
    <s v="주식회사 재광전력"/>
    <m/>
    <n v="163000000"/>
    <n v="163827519052"/>
  </r>
  <r>
    <x v="3"/>
    <s v="DHS 950L "/>
    <s v="A-Sung infocom"/>
    <m/>
    <n v="35000000"/>
    <n v="163862519052"/>
  </r>
  <r>
    <x v="3"/>
    <s v="DHS 930 "/>
    <s v="(주)제일정보통신"/>
    <m/>
    <n v="35600000"/>
    <n v="163898119052"/>
  </r>
  <r>
    <x v="3"/>
    <s v="선급금 70%"/>
    <s v="창원시 성산구청"/>
    <m/>
    <n v="59818182"/>
    <n v="163957937234"/>
  </r>
  <r>
    <x v="3"/>
    <s v="FRP BUCKET외 "/>
    <s v="VIET TRUNG JOINT STOCK EQUIPMENT COMPANY"/>
    <m/>
    <n v="1847214"/>
    <n v="163959784448"/>
  </r>
  <r>
    <x v="3"/>
    <s v="DHS 950L "/>
    <s v="대명정보통신"/>
    <m/>
    <n v="32000000"/>
    <n v="163991784448"/>
  </r>
  <r>
    <x v="3"/>
    <s v="DHS 950L "/>
    <s v="성휘통신"/>
    <m/>
    <n v="35909091"/>
    <n v="164027693539"/>
  </r>
  <r>
    <x v="3"/>
    <s v="DHS 950L "/>
    <s v="디에스(DS)"/>
    <m/>
    <n v="34500000"/>
    <n v="164062193539"/>
  </r>
  <r>
    <x v="3"/>
    <s v="DHS 15AP "/>
    <s v="(주)경림이앤지"/>
    <m/>
    <n v="50909091"/>
    <n v="164113102630"/>
  </r>
  <r>
    <x v="3"/>
    <s v="DHS 930 "/>
    <s v="현대캐피탈주식회사"/>
    <m/>
    <n v="30465000"/>
    <n v="164143567630"/>
  </r>
  <r>
    <x v="3"/>
    <s v="DHS 930 "/>
    <s v="현대캐피탈주식회사"/>
    <m/>
    <n v="30465000"/>
    <n v="164174032630"/>
  </r>
  <r>
    <x v="3"/>
    <s v="DHS 930 "/>
    <s v="현대캐피탈주식회사"/>
    <m/>
    <n v="30465000"/>
    <n v="164204497630"/>
  </r>
  <r>
    <x v="3"/>
    <s v="DHS 930 "/>
    <s v="현대캐피탈주식회사"/>
    <m/>
    <n v="30465000"/>
    <n v="164234962630"/>
  </r>
  <r>
    <x v="3"/>
    <s v="DHS 930 "/>
    <s v="현대캐피탈주식회사"/>
    <m/>
    <n v="30465000"/>
    <n v="164265427630"/>
  </r>
  <r>
    <x v="3"/>
    <s v="DHS 930 "/>
    <s v="현대캐피탈주식회사"/>
    <m/>
    <n v="30465000"/>
    <n v="164295892630"/>
  </r>
  <r>
    <x v="3"/>
    <s v="DHS 930 "/>
    <s v="현대캐피탈주식회사"/>
    <m/>
    <n v="30465000"/>
    <n v="164326357630"/>
  </r>
  <r>
    <x v="3"/>
    <s v="DHS 930 "/>
    <s v="현대캐피탈주식회사"/>
    <m/>
    <n v="30465000"/>
    <n v="164356822630"/>
  </r>
  <r>
    <x v="3"/>
    <s v="DHS 930 "/>
    <s v="현대캐피탈주식회사"/>
    <m/>
    <n v="30465000"/>
    <n v="164387287630"/>
  </r>
  <r>
    <x v="3"/>
    <s v="DHS 930 "/>
    <s v="현대캐피탈주식회사"/>
    <m/>
    <n v="30465000"/>
    <n v="164417752630"/>
  </r>
  <r>
    <x v="3"/>
    <s v="DHS 930 "/>
    <s v="현대캐피탈주식회사"/>
    <m/>
    <n v="30465000"/>
    <n v="164448217630"/>
  </r>
  <r>
    <x v="3"/>
    <s v="DHS 930 "/>
    <s v="현대캐피탈주식회사"/>
    <m/>
    <n v="30465000"/>
    <n v="164478682630"/>
  </r>
  <r>
    <x v="3"/>
    <s v="DHS 930 "/>
    <s v="현대캐피탈주식회사"/>
    <m/>
    <n v="30465000"/>
    <n v="164509147630"/>
  </r>
  <r>
    <x v="3"/>
    <s v="DHS 930 "/>
    <s v="현대캐피탈주식회사"/>
    <m/>
    <n v="30465000"/>
    <n v="164539612630"/>
  </r>
  <r>
    <x v="3"/>
    <s v="DHS 930 "/>
    <s v="현대캐피탈주식회사"/>
    <m/>
    <n v="30465000"/>
    <n v="164570077630"/>
  </r>
  <r>
    <x v="3"/>
    <s v="DHS 930 "/>
    <s v="현대캐피탈주식회사"/>
    <m/>
    <n v="30465000"/>
    <n v="164600542630"/>
  </r>
  <r>
    <x v="3"/>
    <s v="DHS 930 "/>
    <s v="현대캐피탈주식회사"/>
    <m/>
    <n v="30465000"/>
    <n v="164631007630"/>
  </r>
  <r>
    <x v="3"/>
    <s v="DHS 1200L "/>
    <s v="밀알통신"/>
    <m/>
    <n v="39818182"/>
    <n v="164670825812"/>
  </r>
  <r>
    <x v="3"/>
    <s v="DHS 1200L "/>
    <s v="반도호이스트"/>
    <m/>
    <n v="33900000"/>
    <n v="164704725812"/>
  </r>
  <r>
    <x v="3"/>
    <s v="DHS 1200L "/>
    <s v="(주)아이온이엔지"/>
    <m/>
    <n v="38000000"/>
    <n v="164742725812"/>
  </r>
  <r>
    <x v="3"/>
    <s v="DHS 930 "/>
    <s v="현대캐피탈주식회사"/>
    <m/>
    <n v="30465000"/>
    <n v="164773190812"/>
  </r>
  <r>
    <x v="3"/>
    <s v="DHS 930 "/>
    <s v="현대캐피탈주식회사"/>
    <m/>
    <n v="30465000"/>
    <n v="164803655812"/>
  </r>
  <r>
    <x v="3"/>
    <s v="DHS 930 "/>
    <s v="현대캐피탈주식회사"/>
    <m/>
    <n v="30465000"/>
    <n v="164834120812"/>
  </r>
  <r>
    <x v="3"/>
    <s v="DHS 930 "/>
    <s v="현대캐피탈주식회사"/>
    <m/>
    <n v="30465000"/>
    <n v="164864585812"/>
  </r>
  <r>
    <x v="3"/>
    <s v="DHS 930 "/>
    <s v="현대캐피탈주식회사"/>
    <m/>
    <n v="30465000"/>
    <n v="164895050812"/>
  </r>
  <r>
    <x v="3"/>
    <s v="DHS 930 "/>
    <s v="현대캐피탈주식회사"/>
    <m/>
    <n v="30465000"/>
    <n v="164925515812"/>
  </r>
  <r>
    <x v="3"/>
    <s v="DHS 930 "/>
    <s v="현대캐피탈주식회사"/>
    <m/>
    <n v="30465000"/>
    <n v="164955980812"/>
  </r>
  <r>
    <x v="3"/>
    <s v="DHS 930 "/>
    <s v="현대캐피탈주식회사"/>
    <m/>
    <n v="30465000"/>
    <n v="164986445812"/>
  </r>
  <r>
    <x v="3"/>
    <s v="DHS 930 "/>
    <s v="현대캐피탈주식회사"/>
    <m/>
    <n v="30465000"/>
    <n v="165016910812"/>
  </r>
  <r>
    <x v="3"/>
    <s v="DHS 930 "/>
    <s v="현대캐피탈주식회사"/>
    <m/>
    <n v="30465000"/>
    <n v="165047375812"/>
  </r>
  <r>
    <x v="3"/>
    <s v="DHS 930 "/>
    <s v="현대캐피탈주식회사"/>
    <m/>
    <n v="30465000"/>
    <n v="165077840812"/>
  </r>
  <r>
    <x v="3"/>
    <s v="DHS 930 "/>
    <s v="현대캐피탈주식회사"/>
    <m/>
    <n v="30465000"/>
    <n v="165108305812"/>
  </r>
  <r>
    <x v="3"/>
    <s v="DH SUPER 3000A "/>
    <s v="롯데오토리스(주)"/>
    <m/>
    <n v="90069820"/>
    <n v="165198375632"/>
  </r>
  <r>
    <x v="3"/>
    <s v="DH SUPER 3000A "/>
    <s v="롯데오토리스(주)"/>
    <m/>
    <n v="90069820"/>
    <n v="165288445452"/>
  </r>
  <r>
    <x v="3"/>
    <s v="DH SUPER 3000A "/>
    <s v="롯데오토리스(주)"/>
    <m/>
    <n v="90069820"/>
    <n v="165378515272"/>
  </r>
  <r>
    <x v="3"/>
    <s v="DH SUPER 3000A "/>
    <s v="롯데오토리스(주)"/>
    <m/>
    <n v="90069820"/>
    <n v="165468585092"/>
  </r>
  <r>
    <x v="3"/>
    <s v="DH SUPER 3000A "/>
    <s v="롯데오토리스(주)"/>
    <m/>
    <n v="90069820"/>
    <n v="165558654912"/>
  </r>
  <r>
    <x v="3"/>
    <s v="DH SUPER 3000A "/>
    <s v="롯데오토리스(주)"/>
    <m/>
    <n v="90069820"/>
    <n v="165648724732"/>
  </r>
  <r>
    <x v="3"/>
    <s v="DH SUPER 3000A "/>
    <s v="롯데오토리스(주)"/>
    <m/>
    <n v="90069820"/>
    <n v="165738794552"/>
  </r>
  <r>
    <x v="3"/>
    <s v="DH SUPER 3000A "/>
    <s v="롯데오토리스(주)"/>
    <m/>
    <n v="90069820"/>
    <n v="165828864372"/>
  </r>
  <r>
    <x v="3"/>
    <s v="DH SUPER 3000A "/>
    <s v="롯데오토리스(주)"/>
    <m/>
    <n v="90069820"/>
    <n v="165918934192"/>
  </r>
  <r>
    <x v="3"/>
    <s v="DH SUPER 3000A "/>
    <s v="롯데오토리스(주)"/>
    <m/>
    <n v="90069820"/>
    <n v="166009004012"/>
  </r>
  <r>
    <x v="3"/>
    <s v="DHS 950L "/>
    <s v="JT ENC"/>
    <m/>
    <n v="34500000"/>
    <n v="166043504012"/>
  </r>
  <r>
    <x v="3"/>
    <s v="DHS 950L "/>
    <s v="태성텔레콤주식회사"/>
    <m/>
    <n v="36181818"/>
    <n v="166079685830"/>
  </r>
  <r>
    <x v="3"/>
    <s v="DHS 930 "/>
    <s v="재건정보통신"/>
    <m/>
    <n v="36000000"/>
    <n v="166115685830"/>
  </r>
  <r>
    <x v="3"/>
    <s v="DHS 930 "/>
    <s v="재건정보통신"/>
    <m/>
    <n v="-36000000"/>
    <n v="166079685830"/>
  </r>
  <r>
    <x v="3"/>
    <s v="DHS 950L "/>
    <s v="재건정보통신"/>
    <m/>
    <n v="36000000"/>
    <n v="166115685830"/>
  </r>
  <r>
    <x v="3"/>
    <s v="DHS 950L "/>
    <s v="(주)경남네트워크"/>
    <m/>
    <n v="33400000"/>
    <n v="166149085830"/>
  </r>
  <r>
    <x v="3"/>
    <s v="DHS 105AP "/>
    <s v="경부통신"/>
    <m/>
    <n v="41000000"/>
    <n v="166190085830"/>
  </r>
  <r>
    <x v="3"/>
    <s v="DHS 950L "/>
    <s v="미성엔지니어링"/>
    <m/>
    <n v="35909090"/>
    <n v="166225994920"/>
  </r>
  <r>
    <x v="3"/>
    <s v="DHS 930 "/>
    <s v="(주)성신"/>
    <m/>
    <n v="37700000"/>
    <n v="166263694920"/>
  </r>
  <r>
    <x v="3"/>
    <s v="DHS 125AP "/>
    <s v="CJ＆M 네트워크"/>
    <m/>
    <n v="43000000"/>
    <n v="166306694920"/>
  </r>
  <r>
    <x v="3"/>
    <s v="DHS 950L "/>
    <s v="제이엠통신"/>
    <m/>
    <n v="35909090"/>
    <n v="166342604010"/>
  </r>
  <r>
    <x v="3"/>
    <s v="DHT 160S "/>
    <s v="영인활선"/>
    <m/>
    <n v="157500000"/>
    <n v="166500104010"/>
  </r>
  <r>
    <x v="3"/>
    <s v="DHS 433L "/>
    <s v="부안선외기상사"/>
    <m/>
    <n v="14300000"/>
    <n v="166514404010"/>
  </r>
  <r>
    <x v="3"/>
    <s v="DHS 15AP "/>
    <s v="공주시청"/>
    <m/>
    <n v="53516364"/>
    <n v="166567920374"/>
  </r>
  <r>
    <x v="3"/>
    <s v="DH SUPER 3000A "/>
    <s v="롯데오토리스(주)"/>
    <m/>
    <n v="90069820"/>
    <n v="166657990194"/>
  </r>
  <r>
    <x v="3"/>
    <s v="DH SUPER 3000A "/>
    <s v="롯데오토리스(주)"/>
    <m/>
    <n v="90069820"/>
    <n v="166748060014"/>
  </r>
  <r>
    <x v="3"/>
    <s v="DH SUPER 3000A "/>
    <s v="롯데오토리스(주)"/>
    <m/>
    <n v="90069820"/>
    <n v="166838129834"/>
  </r>
  <r>
    <x v="3"/>
    <s v="DH SUPER 3000A "/>
    <s v="롯데오토리스(주)"/>
    <m/>
    <n v="90069820"/>
    <n v="166928199654"/>
  </r>
  <r>
    <x v="3"/>
    <s v="DH SUPER 3000A "/>
    <s v="롯데오토리스(주)"/>
    <m/>
    <n v="90069820"/>
    <n v="167018269474"/>
  </r>
  <r>
    <x v="3"/>
    <s v="DH SUPER 3000A "/>
    <s v="롯데오토리스(주)"/>
    <m/>
    <n v="90069820"/>
    <n v="167108339294"/>
  </r>
  <r>
    <x v="3"/>
    <s v="DH SUPER 3000A "/>
    <s v="롯데오토리스(주)"/>
    <m/>
    <n v="90069820"/>
    <n v="167198409114"/>
  </r>
  <r>
    <x v="3"/>
    <s v="DH SUPER 3000A "/>
    <s v="롯데오토리스(주)"/>
    <m/>
    <n v="90069820"/>
    <n v="167288478934"/>
  </r>
  <r>
    <x v="3"/>
    <s v="DH SUPER 3000A "/>
    <s v="롯데오토리스(주)"/>
    <m/>
    <n v="90069820"/>
    <n v="167378548754"/>
  </r>
  <r>
    <x v="3"/>
    <s v="DH SUPER 3000A "/>
    <s v="롯데오토리스(주)"/>
    <m/>
    <n v="90069820"/>
    <n v="167468618574"/>
  </r>
  <r>
    <x v="3"/>
    <s v="DHS 15AP "/>
    <s v="창원시 진해구청"/>
    <m/>
    <n v="53636364"/>
    <n v="167522254938"/>
  </r>
  <r>
    <x v="3"/>
    <s v="DHS 870 "/>
    <s v="금천씨스템(주)"/>
    <m/>
    <n v="17250000"/>
    <n v="167539504938"/>
  </r>
  <r>
    <x v="3"/>
    <s v="DHS 930 "/>
    <s v="현대캐피탈주식회사"/>
    <m/>
    <n v="30465000"/>
    <n v="167569969938"/>
  </r>
  <r>
    <x v="3"/>
    <s v="DHS 930 "/>
    <s v="현대캐피탈주식회사"/>
    <m/>
    <n v="30465000"/>
    <n v="167600434938"/>
  </r>
  <r>
    <x v="3"/>
    <s v="DHS 930 "/>
    <s v="현대캐피탈주식회사"/>
    <m/>
    <n v="30465000"/>
    <n v="167630899938"/>
  </r>
  <r>
    <x v="3"/>
    <s v="DHS 930 "/>
    <s v="현대캐피탈주식회사"/>
    <m/>
    <n v="30465000"/>
    <n v="167661364938"/>
  </r>
  <r>
    <x v="3"/>
    <s v="DHS 930 "/>
    <s v="현대캐피탈주식회사"/>
    <m/>
    <n v="30465000"/>
    <n v="167691829938"/>
  </r>
  <r>
    <x v="3"/>
    <s v="DHS 15AP "/>
    <s v="(주)남경운수"/>
    <m/>
    <n v="50500000"/>
    <n v="167742329938"/>
  </r>
  <r>
    <x v="3"/>
    <s v="DHS 15AP "/>
    <s v="(주)남경운수"/>
    <m/>
    <n v="50500000"/>
    <n v="167792829938"/>
  </r>
  <r>
    <x v="3"/>
    <s v="DHS 15AP "/>
    <s v="우양이엔지(주)"/>
    <m/>
    <n v="50909091"/>
    <n v="167843739029"/>
  </r>
  <r>
    <x v="3"/>
    <s v="DHT 150S "/>
    <s v="금영활선"/>
    <m/>
    <n v="143000000"/>
    <n v="167986739029"/>
  </r>
  <r>
    <x v="3"/>
    <s v="DHS 433L "/>
    <s v="주식회사 성진마린"/>
    <m/>
    <n v="15300000"/>
    <n v="168002039029"/>
  </r>
  <r>
    <x v="3"/>
    <s v="DHT 150S "/>
    <s v="광주 서구청"/>
    <m/>
    <n v="137818182"/>
    <n v="168139857211"/>
  </r>
  <r>
    <x v="3"/>
    <s v="DHS 920 "/>
    <s v="강릉시청"/>
    <m/>
    <n v="42254546"/>
    <n v="168182111757"/>
  </r>
  <r>
    <x v="3"/>
    <s v="DHS 950L "/>
    <s v="(주)이산텔레콤"/>
    <m/>
    <n v="34500000"/>
    <n v="168216611757"/>
  </r>
  <r>
    <x v="3"/>
    <s v="DHS 1200L "/>
    <s v="신길정보통신"/>
    <m/>
    <n v="40000000"/>
    <n v="168256611757"/>
  </r>
  <r>
    <x v="3"/>
    <s v="DHS 105AP "/>
    <s v="우리미래"/>
    <m/>
    <n v="40500000"/>
    <n v="168297111757"/>
  </r>
  <r>
    <x v="3"/>
    <s v="DHS 433L "/>
    <s v="한성마린선외기"/>
    <m/>
    <n v="15013636"/>
    <n v="168312125393"/>
  </r>
  <r>
    <x v="3"/>
    <s v="DHS 15AP "/>
    <s v="완주군청"/>
    <m/>
    <n v="56834547"/>
    <n v="168368959940"/>
  </r>
  <r>
    <x v="3"/>
    <s v="DHS 930 "/>
    <s v="한울전기통신(주)"/>
    <m/>
    <n v="34000000"/>
    <n v="168402959940"/>
  </r>
  <r>
    <x v="3"/>
    <s v="DHAS 120AP "/>
    <s v="클린로드피아"/>
    <m/>
    <n v="44000000"/>
    <n v="168446959940"/>
  </r>
  <r>
    <x v="3"/>
    <s v="DHAS 120AP "/>
    <s v="클린로드피아"/>
    <m/>
    <n v="44000000"/>
    <n v="168490959940"/>
  </r>
  <r>
    <x v="3"/>
    <s v="DHS 433L "/>
    <s v="현대캐피탈주식회사"/>
    <m/>
    <n v="45940000"/>
    <n v="168536899940"/>
  </r>
  <r>
    <x v="3"/>
    <s v="이동정비탑차 "/>
    <s v="현대캐피탈주식회사"/>
    <m/>
    <n v="29986000"/>
    <n v="168566885940"/>
  </r>
  <r>
    <x v="3"/>
    <s v="이동정비탑차 "/>
    <s v="현대캐피탈주식회사"/>
    <m/>
    <n v="29986000"/>
    <n v="168596871940"/>
  </r>
  <r>
    <x v="3"/>
    <s v="이동정비탑차 "/>
    <s v="현대캐피탈주식회사"/>
    <m/>
    <n v="29986000"/>
    <n v="168626857940"/>
  </r>
  <r>
    <x v="3"/>
    <s v="이동정비탑차 "/>
    <s v="현대캐피탈주식회사"/>
    <m/>
    <n v="29986000"/>
    <n v="168656843940"/>
  </r>
  <r>
    <x v="3"/>
    <s v="이동정비탑차 "/>
    <s v="현대캐피탈주식회사"/>
    <m/>
    <n v="29986000"/>
    <n v="168686829940"/>
  </r>
  <r>
    <x v="3"/>
    <s v="이동정비탑차 "/>
    <s v="현대캐피탈주식회사"/>
    <m/>
    <n v="29986000"/>
    <n v="168716815940"/>
  </r>
  <r>
    <x v="3"/>
    <s v="이동정비탑차 "/>
    <s v="현대캐피탈주식회사"/>
    <m/>
    <n v="29986000"/>
    <n v="168746801940"/>
  </r>
  <r>
    <x v="3"/>
    <s v="이동정비탑차 "/>
    <s v="현대캐피탈주식회사"/>
    <m/>
    <n v="29986000"/>
    <n v="168776787940"/>
  </r>
  <r>
    <x v="3"/>
    <s v="이동정비탑차 "/>
    <s v="현대캐피탈주식회사"/>
    <m/>
    <n v="29986000"/>
    <n v="168806773940"/>
  </r>
  <r>
    <x v="3"/>
    <s v="이동정비탑차 "/>
    <s v="현대캐피탈주식회사"/>
    <m/>
    <n v="29986000"/>
    <n v="168836759940"/>
  </r>
  <r>
    <x v="3"/>
    <s v="이동정비탑차 "/>
    <s v="현대캐피탈주식회사"/>
    <m/>
    <n v="29986000"/>
    <n v="168866745940"/>
  </r>
  <r>
    <x v="3"/>
    <s v="이동정비탑차 "/>
    <s v="현대캐피탈주식회사"/>
    <m/>
    <n v="29986000"/>
    <n v="168896731940"/>
  </r>
  <r>
    <x v="3"/>
    <s v="DHT 105S "/>
    <s v="창원시 마산회원구청"/>
    <m/>
    <n v="97831820"/>
    <n v="168994563760"/>
  </r>
  <r>
    <x v="3"/>
    <s v="마산회원구청 추가계약"/>
    <s v="창원시 마산회원구청"/>
    <m/>
    <n v="3069000"/>
    <n v="168997632760"/>
  </r>
  <r>
    <x v="3"/>
    <s v="DH SUPER 3000A "/>
    <s v="롯데오토리스(주)"/>
    <m/>
    <n v="90069820"/>
    <n v="169087702580"/>
  </r>
  <r>
    <x v="3"/>
    <s v="DH SUPER 3000A "/>
    <s v="롯데오토리스(주)"/>
    <m/>
    <n v="90069820"/>
    <n v="169177772400"/>
  </r>
  <r>
    <x v="3"/>
    <s v="DH SUPER 3000A "/>
    <s v="롯데오토리스(주)"/>
    <m/>
    <n v="90069820"/>
    <n v="169267842220"/>
  </r>
  <r>
    <x v="3"/>
    <s v="DH SUPER 3000A "/>
    <s v="롯데오토리스(주)"/>
    <m/>
    <n v="90069820"/>
    <n v="169357912040"/>
  </r>
  <r>
    <x v="3"/>
    <s v="DH SUPER 3000A "/>
    <s v="롯데오토리스(주)"/>
    <m/>
    <n v="90069820"/>
    <n v="169447981860"/>
  </r>
  <r>
    <x v="3"/>
    <s v="DH SUPER 3000A "/>
    <s v="롯데오토리스(주)"/>
    <m/>
    <n v="90069820"/>
    <n v="169538051680"/>
  </r>
  <r>
    <x v="3"/>
    <s v="DH SUPER 3000A "/>
    <s v="롯데오토리스(주)"/>
    <m/>
    <n v="90069820"/>
    <n v="169628121500"/>
  </r>
  <r>
    <x v="3"/>
    <s v="DH SUPER 3000A "/>
    <s v="롯데오토리스(주)"/>
    <m/>
    <n v="90069820"/>
    <n v="169718191320"/>
  </r>
  <r>
    <x v="3"/>
    <s v="DH SUPER 3000A "/>
    <s v="롯데오토리스(주)"/>
    <m/>
    <n v="90069820"/>
    <n v="169808261140"/>
  </r>
  <r>
    <x v="3"/>
    <s v="DH SUPER 3000A "/>
    <s v="롯데오토리스(주)"/>
    <m/>
    <n v="90069820"/>
    <n v="169898330960"/>
  </r>
  <r>
    <x v="3"/>
    <s v="DHS 15AP "/>
    <s v="창원시 성산구청"/>
    <m/>
    <n v="25636364"/>
    <n v="169923967324"/>
  </r>
  <r>
    <x v="3"/>
    <s v="DHS 433L "/>
    <s v="현대캐피탈주식회사"/>
    <m/>
    <n v="45940000"/>
    <n v="169969907324"/>
  </r>
  <r>
    <x v="3"/>
    <s v="DHS 433L "/>
    <s v="현대캐피탈주식회사"/>
    <m/>
    <n v="45940000"/>
    <n v="170015847324"/>
  </r>
  <r>
    <x v="3"/>
    <s v="DHS 433L "/>
    <s v="현대캐피탈주식회사"/>
    <m/>
    <n v="45940000"/>
    <n v="170061787324"/>
  </r>
  <r>
    <x v="3"/>
    <s v="DHS 433L "/>
    <s v="현대캐피탈주식회사"/>
    <m/>
    <n v="45940000"/>
    <n v="170107727324"/>
  </r>
  <r>
    <x v="3"/>
    <s v="DHS 433L "/>
    <s v="현대캐피탈주식회사"/>
    <m/>
    <n v="45940000"/>
    <n v="170153667324"/>
  </r>
  <r>
    <x v="3"/>
    <s v="DHS 930 "/>
    <s v="현대캐피탈주식회사"/>
    <m/>
    <n v="30465000"/>
    <n v="170184132324"/>
  </r>
  <r>
    <x v="3"/>
    <s v="DHS 930 "/>
    <s v="현대캐피탈주식회사"/>
    <m/>
    <n v="30465000"/>
    <n v="170214597324"/>
  </r>
  <r>
    <x v="3"/>
    <s v="DHS 930 "/>
    <s v="현대캐피탈주식회사"/>
    <m/>
    <n v="30465000"/>
    <n v="170245062324"/>
  </r>
  <r>
    <x v="3"/>
    <s v="DHS 930 "/>
    <s v="현대캐피탈주식회사"/>
    <m/>
    <n v="30465000"/>
    <n v="170275527324"/>
  </r>
  <r>
    <x v="3"/>
    <s v="DHS 930 "/>
    <s v="현대캐피탈주식회사"/>
    <m/>
    <n v="30465000"/>
    <n v="170305992324"/>
  </r>
  <r>
    <x v="3"/>
    <s v="DHS 920 "/>
    <s v="사천시청"/>
    <m/>
    <n v="44443637"/>
    <n v="170350435961"/>
  </r>
  <r>
    <x v="3"/>
    <s v="DHS 950L "/>
    <s v="호복통신"/>
    <m/>
    <n v="36363636"/>
    <n v="170386799597"/>
  </r>
  <r>
    <x v="3"/>
    <s v="DHT 150S "/>
    <s v="주식회사국일"/>
    <m/>
    <n v="146363636"/>
    <n v="170533163233"/>
  </r>
  <r>
    <x v="3"/>
    <s v="DHT 150S "/>
    <s v="(주)대경산전"/>
    <m/>
    <n v="146363636"/>
    <n v="170679526869"/>
  </r>
  <r>
    <x v="3"/>
    <s v="DHS 433L "/>
    <s v="에스씨(SC)중공업"/>
    <m/>
    <n v="14750000"/>
    <n v="170694276869"/>
  </r>
  <r>
    <x v="3"/>
    <s v="DHS 950L "/>
    <s v="롯데오토리스(주)"/>
    <m/>
    <n v="43120653"/>
    <n v="170737397522"/>
  </r>
  <r>
    <x v="3"/>
    <s v="DHS 950L "/>
    <s v="롯데오토리스(주)"/>
    <m/>
    <n v="43120653"/>
    <n v="170780518175"/>
  </r>
  <r>
    <x v="3"/>
    <s v="DHS 950L "/>
    <s v="롯데오토리스(주)"/>
    <m/>
    <n v="43120653"/>
    <n v="170823638828"/>
  </r>
  <r>
    <x v="3"/>
    <s v="DHS 950L "/>
    <s v="롯데오토리스(주)"/>
    <m/>
    <n v="43120653"/>
    <n v="170866759481"/>
  </r>
  <r>
    <x v="3"/>
    <s v="DHS 950L "/>
    <s v="롯데오토리스(주)"/>
    <m/>
    <n v="43120653"/>
    <n v="170909880134"/>
  </r>
  <r>
    <x v="3"/>
    <s v="DHS 950L "/>
    <s v="롯데오토리스(주)"/>
    <m/>
    <n v="43120653"/>
    <n v="170953000787"/>
  </r>
  <r>
    <x v="3"/>
    <s v="DHS 950L "/>
    <s v="롯데오토리스(주)"/>
    <m/>
    <n v="43120653"/>
    <n v="170996121440"/>
  </r>
  <r>
    <x v="3"/>
    <s v="DHS 950L "/>
    <s v="롯데오토리스(주)"/>
    <m/>
    <n v="43120653"/>
    <n v="171039242093"/>
  </r>
  <r>
    <x v="3"/>
    <s v="DHS 950L "/>
    <s v="롯데오토리스(주)"/>
    <m/>
    <n v="43120653"/>
    <n v="171082362746"/>
  </r>
  <r>
    <x v="3"/>
    <s v="DHS 950L "/>
    <s v="롯데오토리스(주)"/>
    <m/>
    <n v="43120653"/>
    <n v="171125483399"/>
  </r>
  <r>
    <x v="3"/>
    <s v="DHS 950L "/>
    <s v="롯데오토리스(주)"/>
    <m/>
    <n v="43120653"/>
    <n v="171168604052"/>
  </r>
  <r>
    <x v="3"/>
    <s v="DHS 950L "/>
    <s v="롯데오토리스(주)"/>
    <m/>
    <n v="43120653"/>
    <n v="171211724705"/>
  </r>
  <r>
    <x v="3"/>
    <s v="DHS 950L "/>
    <s v="롯데오토리스(주)"/>
    <m/>
    <n v="43120653"/>
    <n v="171254845358"/>
  </r>
  <r>
    <x v="3"/>
    <s v="DHS 950L "/>
    <s v="롯데오토리스(주)"/>
    <m/>
    <n v="43120653"/>
    <n v="171297966011"/>
  </r>
  <r>
    <x v="3"/>
    <s v="DHS 950L "/>
    <s v="롯데오토리스(주)"/>
    <m/>
    <n v="43120653"/>
    <n v="171341086664"/>
  </r>
  <r>
    <x v="3"/>
    <s v="DHS 950L "/>
    <s v="롯데오토리스(주)"/>
    <m/>
    <n v="43120653"/>
    <n v="171384207317"/>
  </r>
  <r>
    <x v="3"/>
    <s v="DHS 950L "/>
    <s v="롯데오토리스(주)"/>
    <m/>
    <n v="43120653"/>
    <n v="171427327970"/>
  </r>
  <r>
    <x v="3"/>
    <s v="DHS 950L "/>
    <s v="롯데오토리스(주)"/>
    <m/>
    <n v="43120653"/>
    <n v="171470448623"/>
  </r>
  <r>
    <x v="3"/>
    <s v="DHS 950L "/>
    <s v="롯데오토리스(주)"/>
    <m/>
    <n v="43120653"/>
    <n v="171513569276"/>
  </r>
  <r>
    <x v="3"/>
    <s v="DHS 950L "/>
    <s v="롯데오토리스(주)"/>
    <m/>
    <n v="43120653"/>
    <n v="171556689929"/>
  </r>
  <r>
    <x v="3"/>
    <s v="DHS 1200L "/>
    <s v="동아전기"/>
    <m/>
    <n v="39200000"/>
    <n v="171595889929"/>
  </r>
  <r>
    <x v="3"/>
    <s v="DHS 433L "/>
    <s v="영덕군 상하수도사업소"/>
    <m/>
    <n v="32700000"/>
    <n v="171628589929"/>
  </r>
  <r>
    <x v="3"/>
    <s v="DH SUPER 3000A "/>
    <s v="롯데오토리스(주)"/>
    <m/>
    <n v="90069820"/>
    <n v="171718659749"/>
  </r>
  <r>
    <x v="3"/>
    <s v="DH SUPER 3000A "/>
    <s v="롯데오토리스(주)"/>
    <m/>
    <n v="90069820"/>
    <n v="171808729569"/>
  </r>
  <r>
    <x v="3"/>
    <s v="DH SUPER 3000A "/>
    <s v="롯데오토리스(주)"/>
    <m/>
    <n v="90069820"/>
    <n v="171898799389"/>
  </r>
  <r>
    <x v="3"/>
    <s v="DH SUPER 3000A "/>
    <s v="롯데오토리스(주)"/>
    <m/>
    <n v="90069820"/>
    <n v="171988869209"/>
  </r>
  <r>
    <x v="3"/>
    <s v="DH SUPER 3000A "/>
    <s v="롯데오토리스(주)"/>
    <m/>
    <n v="90069820"/>
    <n v="172078939029"/>
  </r>
  <r>
    <x v="3"/>
    <s v="DH SUPER 3000A "/>
    <s v="롯데오토리스(주)"/>
    <m/>
    <n v="90069820"/>
    <n v="172169008849"/>
  </r>
  <r>
    <x v="3"/>
    <s v="DH SUPER 3000A "/>
    <s v="롯데오토리스(주)"/>
    <m/>
    <n v="90069820"/>
    <n v="172259078669"/>
  </r>
  <r>
    <x v="3"/>
    <s v="DH SUPER 3000A "/>
    <s v="롯데오토리스(주)"/>
    <m/>
    <n v="90069820"/>
    <n v="172349148489"/>
  </r>
  <r>
    <x v="3"/>
    <s v="DH SUPER 3000A "/>
    <s v="롯데오토리스(주)"/>
    <m/>
    <n v="90069820"/>
    <n v="172439218309"/>
  </r>
  <r>
    <x v="3"/>
    <s v="DH SUPER 3000A "/>
    <s v="롯데오토리스(주)"/>
    <m/>
    <n v="90069820"/>
    <n v="172529288129"/>
  </r>
  <r>
    <x v="3"/>
    <s v="DH SUPER 3000A "/>
    <s v="롯데오토리스(주)"/>
    <m/>
    <n v="90069820"/>
    <n v="172619357949"/>
  </r>
  <r>
    <x v="3"/>
    <s v="DH SUPER 3000A "/>
    <s v="롯데오토리스(주)"/>
    <m/>
    <n v="90069820"/>
    <n v="172709427769"/>
  </r>
  <r>
    <x v="3"/>
    <s v="DHS 105AP "/>
    <s v="파워콤"/>
    <m/>
    <n v="39400000"/>
    <n v="172748827769"/>
  </r>
  <r>
    <x v="3"/>
    <s v="DHS 950L "/>
    <s v="제이에스통신건설 주식회사"/>
    <m/>
    <n v="36363636"/>
    <n v="172785191405"/>
  </r>
  <r>
    <x v="3"/>
    <s v="DHS 950L "/>
    <s v="(주)유선통신"/>
    <m/>
    <n v="35909091"/>
    <n v="172821100496"/>
  </r>
  <r>
    <x v="3"/>
    <s v="DHS 15AP "/>
    <s v="일렉타임"/>
    <m/>
    <n v="50500000"/>
    <n v="172871600496"/>
  </r>
  <r>
    <x v="3"/>
    <s v="DHS 1200L "/>
    <s v="(주)성일기업"/>
    <m/>
    <n v="4000000"/>
    <n v="172875600496"/>
  </r>
  <r>
    <x v="3"/>
    <s v="DHS 930 "/>
    <s v="현대캐피탈주식회사"/>
    <m/>
    <n v="30465000"/>
    <n v="172906065496"/>
  </r>
  <r>
    <x v="3"/>
    <s v="DHS 930 "/>
    <s v="현대캐피탈주식회사"/>
    <m/>
    <n v="30465000"/>
    <n v="172936530496"/>
  </r>
  <r>
    <x v="3"/>
    <s v="DHS 930 "/>
    <s v="현대캐피탈주식회사"/>
    <m/>
    <n v="30465000"/>
    <n v="172966995496"/>
  </r>
  <r>
    <x v="3"/>
    <s v="DHS 1200L "/>
    <s v="안산시상록구청"/>
    <m/>
    <n v="54793637"/>
    <n v="173021789133"/>
  </r>
  <r>
    <x v="3"/>
    <s v="DHS 1200L "/>
    <s v="무주군청"/>
    <m/>
    <n v="53281819"/>
    <n v="173075070952"/>
  </r>
  <r>
    <x v="3"/>
    <s v="DHS 105AP "/>
    <s v="제이앤씨"/>
    <m/>
    <n v="39400000"/>
    <n v="173114470952"/>
  </r>
  <r>
    <x v="3"/>
    <s v="DHS 15AP "/>
    <s v="주식회사 디오디"/>
    <m/>
    <n v="50000000"/>
    <n v="173164470952"/>
  </r>
  <r>
    <x v="3"/>
    <s v="DHS 15AP "/>
    <s v="(주)남경운수"/>
    <m/>
    <n v="50500000"/>
    <n v="173214970952"/>
  </r>
  <r>
    <x v="3"/>
    <s v="DHS 15AP "/>
    <s v="(주)남경운수"/>
    <m/>
    <n v="50500000"/>
    <n v="173265470952"/>
  </r>
  <r>
    <x v="3"/>
    <s v="김해도시개발 추가계약"/>
    <s v="김해시청"/>
    <m/>
    <n v="1018182"/>
    <n v="173266489134"/>
  </r>
  <r>
    <x v="3"/>
    <s v="DHS 433L "/>
    <s v="김해시청"/>
    <m/>
    <n v="30381819"/>
    <n v="173296870953"/>
  </r>
  <r>
    <x v="3"/>
    <s v="DHS 950L"/>
    <s v="주식회사 에스이티"/>
    <m/>
    <n v="17499180"/>
    <n v="173314370133"/>
  </r>
  <r>
    <x v="3"/>
    <s v="DHS 1200L "/>
    <s v="주식회사 태영정보"/>
    <m/>
    <n v="37700000"/>
    <n v="173352070133"/>
  </r>
  <r>
    <x v="3"/>
    <s v="DHAS 120AP "/>
    <s v="(주)광영이엠씨"/>
    <m/>
    <n v="46363636"/>
    <n v="173398433769"/>
  </r>
  <r>
    <x v="3"/>
    <s v="DHS 1200L "/>
    <s v="(주) 우성테크"/>
    <m/>
    <n v="43000000"/>
    <n v="173441433769"/>
  </r>
  <r>
    <x v="3"/>
    <s v="DHS 1200L "/>
    <s v="주식회사 충일전력"/>
    <m/>
    <n v="36000000"/>
    <n v="173477433769"/>
  </r>
  <r>
    <x v="3"/>
    <s v="DHS 15AP "/>
    <s v="(주)영현전기"/>
    <m/>
    <n v="51363636"/>
    <n v="173528797405"/>
  </r>
  <r>
    <x v="3"/>
    <s v="wear pad외-해미비행장"/>
    <s v="(주)태산씨엠건설"/>
    <m/>
    <n v="100000000"/>
    <n v="173628797405"/>
  </r>
  <r>
    <x v="3"/>
    <s v="DHS 15AP "/>
    <s v="금천구청"/>
    <m/>
    <n v="51931819"/>
    <n v="173680729224"/>
  </r>
  <r>
    <x v="3"/>
    <s v="DHS 950L "/>
    <s v="(유)대승네트웍스"/>
    <m/>
    <n v="34500000"/>
    <n v="173715229224"/>
  </r>
  <r>
    <x v="3"/>
    <s v="DHS 1200L "/>
    <s v="진흥전력"/>
    <m/>
    <n v="40300000"/>
    <n v="173755529224"/>
  </r>
  <r>
    <x v="3"/>
    <s v="DHS 433L "/>
    <s v="김해시청"/>
    <m/>
    <n v="30381819"/>
    <n v="173785911043"/>
  </r>
  <r>
    <x v="3"/>
    <s v="DHS 950L "/>
    <s v="롯데오토리스(주)"/>
    <m/>
    <n v="43120653"/>
    <n v="173829031696"/>
  </r>
  <r>
    <x v="3"/>
    <s v="DHS 950L "/>
    <s v="롯데오토리스(주)"/>
    <m/>
    <n v="43120653"/>
    <n v="173872152349"/>
  </r>
  <r>
    <x v="3"/>
    <s v="DHS 950L "/>
    <s v="롯데오토리스(주)"/>
    <m/>
    <n v="43120653"/>
    <n v="173915273002"/>
  </r>
  <r>
    <x v="3"/>
    <s v="DHS 950L "/>
    <s v="롯데오토리스(주)"/>
    <m/>
    <n v="43120653"/>
    <n v="173958393655"/>
  </r>
  <r>
    <x v="3"/>
    <s v="DHS 950L "/>
    <s v="롯데오토리스(주)"/>
    <m/>
    <n v="43120653"/>
    <n v="174001514308"/>
  </r>
  <r>
    <x v="3"/>
    <s v="DHS 950L "/>
    <s v="롯데오토리스(주)"/>
    <m/>
    <n v="43120653"/>
    <n v="174044634961"/>
  </r>
  <r>
    <x v="3"/>
    <s v="DHS 950L "/>
    <s v="롯데오토리스(주)"/>
    <m/>
    <n v="43120653"/>
    <n v="174087755614"/>
  </r>
  <r>
    <x v="3"/>
    <s v="DHS 950L "/>
    <s v="롯데오토리스(주)"/>
    <m/>
    <n v="43120653"/>
    <n v="174130876267"/>
  </r>
  <r>
    <x v="3"/>
    <s v="DHS 950L "/>
    <s v="롯데오토리스(주)"/>
    <m/>
    <n v="43120653"/>
    <n v="174173996920"/>
  </r>
  <r>
    <x v="3"/>
    <s v="DHS 950L "/>
    <s v="롯데오토리스(주)"/>
    <m/>
    <n v="43120653"/>
    <n v="174217117573"/>
  </r>
  <r>
    <x v="3"/>
    <s v="DHS 950L "/>
    <s v="롯데오토리스(주)"/>
    <m/>
    <n v="43120653"/>
    <n v="174260238226"/>
  </r>
  <r>
    <x v="3"/>
    <s v="DHS 950L "/>
    <s v="롯데오토리스(주)"/>
    <m/>
    <n v="43120653"/>
    <n v="174303358879"/>
  </r>
  <r>
    <x v="3"/>
    <s v="DHS 950L "/>
    <s v="롯데오토리스(주)"/>
    <m/>
    <n v="43120653"/>
    <n v="174346479532"/>
  </r>
  <r>
    <x v="3"/>
    <s v="DHS 950L "/>
    <s v="롯데오토리스(주)"/>
    <m/>
    <n v="43120653"/>
    <n v="174389600185"/>
  </r>
  <r>
    <x v="3"/>
    <s v="DHS 950L "/>
    <s v="롯데오토리스(주)"/>
    <m/>
    <n v="43120653"/>
    <n v="174432720838"/>
  </r>
  <r>
    <x v="3"/>
    <s v="DHS 950L "/>
    <s v="롯데오토리스(주)"/>
    <m/>
    <n v="43120653"/>
    <n v="174475841491"/>
  </r>
  <r>
    <x v="3"/>
    <s v="DHS 950L "/>
    <s v="롯데오토리스(주)"/>
    <m/>
    <n v="43120653"/>
    <n v="174518962144"/>
  </r>
  <r>
    <x v="3"/>
    <s v="DHS 950L "/>
    <s v="롯데오토리스(주)"/>
    <m/>
    <n v="43120653"/>
    <n v="174562082797"/>
  </r>
  <r>
    <x v="3"/>
    <s v="DHS 950L "/>
    <s v="롯데오토리스(주)"/>
    <m/>
    <n v="43120653"/>
    <n v="174605203450"/>
  </r>
  <r>
    <x v="3"/>
    <s v="DHS 950L "/>
    <s v="롯데오토리스(주)"/>
    <m/>
    <n v="43120653"/>
    <n v="174648324103"/>
  </r>
  <r>
    <x v="3"/>
    <s v="DHS 1200L "/>
    <s v="광명전업사"/>
    <m/>
    <n v="37909090"/>
    <n v="174686233193"/>
  </r>
  <r>
    <x v="3"/>
    <s v="DHS 930 "/>
    <s v="새한전자"/>
    <m/>
    <n v="34545455"/>
    <n v="174720778648"/>
  </r>
  <r>
    <x v="3"/>
    <s v="DHS 930 "/>
    <s v="건길통신주식회사"/>
    <m/>
    <n v="36100000"/>
    <n v="174756878648"/>
  </r>
  <r>
    <x v="3"/>
    <s v="DHS 1200L "/>
    <s v="주식회사 혜성정보통신"/>
    <m/>
    <n v="38500000"/>
    <n v="174795378648"/>
  </r>
  <r>
    <x v="3"/>
    <s v="HWD 400 "/>
    <s v="건길통신주식회사"/>
    <m/>
    <n v="4400000"/>
    <n v="174799778648"/>
  </r>
  <r>
    <x v="3"/>
    <s v="DHS 950L "/>
    <s v="에이치씨텔레콤(HCTELECOM)"/>
    <m/>
    <n v="35500000"/>
    <n v="174835278648"/>
  </r>
  <r>
    <x v="3"/>
    <s v="DHS 950L "/>
    <s v="은비통신공사"/>
    <m/>
    <n v="36100000"/>
    <n v="174871378648"/>
  </r>
  <r>
    <x v="3"/>
    <s v="DHS 950L "/>
    <s v="아이정보통신"/>
    <m/>
    <n v="36409090"/>
    <n v="174907787738"/>
  </r>
  <r>
    <x v="3"/>
    <s v="DHS 534 "/>
    <s v="(자)신기이엔씨"/>
    <m/>
    <n v="13000000"/>
    <n v="174920787738"/>
  </r>
  <r>
    <x v="3"/>
    <s v="DHS 105AP "/>
    <s v="광명통신"/>
    <m/>
    <n v="40400000"/>
    <n v="174961187738"/>
  </r>
  <r>
    <x v="3"/>
    <s v="DHS 950L "/>
    <s v="윤이콤"/>
    <m/>
    <n v="34000000"/>
    <n v="174995187738"/>
  </r>
  <r>
    <x v="3"/>
    <s v="김해도시개발 추가계약"/>
    <s v="김해시청"/>
    <m/>
    <n v="1018182"/>
    <n v="174996205920"/>
  </r>
  <r>
    <x v="3"/>
    <s v="DHT 160S "/>
    <s v="보배활선"/>
    <m/>
    <n v="155000000"/>
    <n v="175151205920"/>
  </r>
  <r>
    <x v="3"/>
    <s v="DHS 950L "/>
    <s v="대명오피콤"/>
    <m/>
    <n v="36363636"/>
    <n v="175187569556"/>
  </r>
  <r>
    <x v="3"/>
    <s v="DHS 15AP "/>
    <s v="칠갑전기"/>
    <m/>
    <n v="50000000"/>
    <n v="175237569556"/>
  </r>
  <r>
    <x v="3"/>
    <s v="DHS 433L "/>
    <s v="주식회사 성진마린"/>
    <m/>
    <n v="15300000"/>
    <n v="175252869556"/>
  </r>
  <r>
    <x v="3"/>
    <s v="DHS 950L "/>
    <s v="유니온정보통신"/>
    <m/>
    <n v="35000000"/>
    <n v="175287869556"/>
  </r>
  <r>
    <x v="3"/>
    <s v="DHS 950L "/>
    <s v="명성통신"/>
    <m/>
    <n v="36363636"/>
    <n v="175324233192"/>
  </r>
  <r>
    <x v="3"/>
    <s v="DHS 950L "/>
    <s v="은하수"/>
    <m/>
    <n v="36363636"/>
    <n v="175360596828"/>
  </r>
  <r>
    <x v="3"/>
    <s v="DHS433L "/>
    <s v="원진선외기"/>
    <m/>
    <n v="15013636"/>
    <n v="175375610464"/>
  </r>
  <r>
    <x v="3"/>
    <s v="DHS 15AP "/>
    <s v="(주)서광시스템"/>
    <m/>
    <n v="49700000"/>
    <n v="175425310464"/>
  </r>
  <r>
    <x v="3"/>
    <s v="DHS 706STD "/>
    <s v="(주)동훈전설"/>
    <m/>
    <n v="39000000"/>
    <n v="175464310464"/>
  </r>
  <r>
    <x v="3"/>
    <s v="DHT 160AS "/>
    <s v="북부활선"/>
    <m/>
    <n v="171000000"/>
    <n v="175635310464"/>
  </r>
  <r>
    <x v="3"/>
    <s v="DHS 1200L "/>
    <s v="가나시스템"/>
    <m/>
    <n v="36000000"/>
    <n v="175671310464"/>
  </r>
  <r>
    <x v="3"/>
    <s v="DHT 160AS "/>
    <s v="성창활선"/>
    <m/>
    <n v="172000000"/>
    <n v="175843310464"/>
  </r>
  <r>
    <x v="3"/>
    <s v="DHS 950L "/>
    <s v="(주)지오텍코리아"/>
    <m/>
    <n v="34000000"/>
    <n v="175877310464"/>
  </r>
  <r>
    <x v="3"/>
    <s v="DHS 950L "/>
    <s v="(주)에이치에스정보통신"/>
    <m/>
    <n v="35818182"/>
    <n v="175913128646"/>
  </r>
  <r>
    <x v="3"/>
    <s v="ALPHA 12000 "/>
    <s v="신안군청"/>
    <m/>
    <n v="49868182"/>
    <n v="175962996828"/>
  </r>
  <r>
    <x v="3"/>
    <s v="DHS 920 "/>
    <s v="인천광역시시설관리공단"/>
    <m/>
    <n v="43254546"/>
    <n v="176006251374"/>
  </r>
  <r>
    <x v="3"/>
    <s v="DHS 250AP "/>
    <s v="신흥통상"/>
    <m/>
    <n v="122136000"/>
    <n v="176128387374"/>
  </r>
  <r>
    <x v="3"/>
    <s v="DHS 950L "/>
    <s v="현이통신"/>
    <m/>
    <n v="36363636"/>
    <n v="176164751010"/>
  </r>
  <r>
    <x v="3"/>
    <s v="DHS 950L "/>
    <s v="(주)에이에스케이블"/>
    <m/>
    <n v="33620000"/>
    <n v="176198371010"/>
  </r>
  <r>
    <x v="3"/>
    <s v="DHT 150S "/>
    <s v="영진활선"/>
    <m/>
    <n v="145000000"/>
    <n v="176343371010"/>
  </r>
  <r>
    <x v="3"/>
    <s v="DHS 433L "/>
    <s v="주식회사 와이케이엠"/>
    <m/>
    <n v="15000000"/>
    <n v="176358371010"/>
  </r>
  <r>
    <x v="3"/>
    <s v="DHS 950L "/>
    <s v="강호통신"/>
    <m/>
    <n v="37272727"/>
    <n v="176395643737"/>
  </r>
  <r>
    <x v="3"/>
    <s v="DHT 150S "/>
    <s v="성일활선"/>
    <m/>
    <n v="148600000"/>
    <n v="176544243737"/>
  </r>
  <r>
    <x v="3"/>
    <s v="DHS 15AP "/>
    <s v="구미시청"/>
    <m/>
    <n v="54804546"/>
    <n v="176599048283"/>
  </r>
  <r>
    <x v="3"/>
    <s v="DHS 950L "/>
    <s v="우수정보통신"/>
    <m/>
    <n v="34500000"/>
    <n v="176633548283"/>
  </r>
  <r>
    <x v="3"/>
    <s v="DHS 950L "/>
    <s v="스카이네트워크"/>
    <m/>
    <n v="17765000"/>
    <n v="176651313283"/>
  </r>
  <r>
    <x v="3"/>
    <s v="DHS 433L "/>
    <s v="양재카"/>
    <m/>
    <n v="15909091"/>
    <n v="176667222374"/>
  </r>
  <r>
    <x v="3"/>
    <s v="DHS 950L "/>
    <s v="이철진"/>
    <m/>
    <n v="35909090"/>
    <n v="176703131464"/>
  </r>
  <r>
    <x v="3"/>
    <s v="DHS 950L "/>
    <s v="신혜정보통신"/>
    <m/>
    <n v="36900000"/>
    <n v="176740031464"/>
  </r>
  <r>
    <x v="3"/>
    <s v="DHS 950L "/>
    <s v="세진ENC"/>
    <m/>
    <n v="36900000"/>
    <n v="176776931464"/>
  </r>
  <r>
    <x v="3"/>
    <s v="DHT 150S "/>
    <s v="신용활선"/>
    <m/>
    <n v="146600000"/>
    <n v="176923531464"/>
  </r>
  <r>
    <x v="3"/>
    <s v="DHS 950L "/>
    <s v="정화통신"/>
    <m/>
    <n v="34770000"/>
    <n v="176958301464"/>
  </r>
  <r>
    <x v="3"/>
    <s v="DHS 950L "/>
    <s v="롯데오토리스(주)"/>
    <m/>
    <n v="43120653"/>
    <n v="177001422117"/>
  </r>
  <r>
    <x v="3"/>
    <s v="DHS 950L "/>
    <s v="롯데오토리스(주)"/>
    <m/>
    <n v="43120653"/>
    <n v="177044542770"/>
  </r>
  <r>
    <x v="3"/>
    <s v="DHS 950L "/>
    <s v="롯데오토리스(주)"/>
    <m/>
    <n v="43120653"/>
    <n v="177087663423"/>
  </r>
  <r>
    <x v="3"/>
    <s v="DHS 950L "/>
    <s v="롯데오토리스(주)"/>
    <m/>
    <n v="43120653"/>
    <n v="177130784076"/>
  </r>
  <r>
    <x v="3"/>
    <s v="DHS 950L "/>
    <s v="롯데오토리스(주)"/>
    <m/>
    <n v="43120653"/>
    <n v="177173904729"/>
  </r>
  <r>
    <x v="3"/>
    <s v="DHS 950L "/>
    <s v="롯데오토리스(주)"/>
    <m/>
    <n v="43120653"/>
    <n v="177217025382"/>
  </r>
  <r>
    <x v="3"/>
    <s v="DHS 950L "/>
    <s v="롯데오토리스(주)"/>
    <m/>
    <n v="43120653"/>
    <n v="177260146035"/>
  </r>
  <r>
    <x v="3"/>
    <s v="DHS 950L "/>
    <s v="롯데오토리스(주)"/>
    <m/>
    <n v="43120653"/>
    <n v="177303266688"/>
  </r>
  <r>
    <x v="3"/>
    <s v="DHS 950L "/>
    <s v="롯데오토리스(주)"/>
    <m/>
    <n v="43120653"/>
    <n v="177346387341"/>
  </r>
  <r>
    <x v="3"/>
    <s v="DHS 950L "/>
    <s v="롯데오토리스(주)"/>
    <m/>
    <n v="43120653"/>
    <n v="177389507994"/>
  </r>
  <r>
    <x v="3"/>
    <s v="DHS 950L "/>
    <s v="롯데오토리스(주)"/>
    <m/>
    <n v="43120653"/>
    <n v="177432628647"/>
  </r>
  <r>
    <x v="3"/>
    <s v="DHS 950L "/>
    <s v="롯데오토리스(주)"/>
    <m/>
    <n v="43120653"/>
    <n v="177475749300"/>
  </r>
  <r>
    <x v="3"/>
    <s v="DHS 950L "/>
    <s v="롯데오토리스(주)"/>
    <m/>
    <n v="43120653"/>
    <n v="177518869953"/>
  </r>
  <r>
    <x v="3"/>
    <s v="DHS 950L "/>
    <s v="롯데오토리스(주)"/>
    <m/>
    <n v="43120653"/>
    <n v="177561990606"/>
  </r>
  <r>
    <x v="3"/>
    <s v="DHS 950L "/>
    <s v="롯데오토리스(주)"/>
    <m/>
    <n v="43120653"/>
    <n v="177605111259"/>
  </r>
  <r>
    <x v="3"/>
    <s v="DHS 950L "/>
    <s v="롯데오토리스(주)"/>
    <m/>
    <n v="43120653"/>
    <n v="177648231912"/>
  </r>
  <r>
    <x v="3"/>
    <s v="DHS 950L "/>
    <s v="롯데오토리스(주)"/>
    <m/>
    <n v="43120653"/>
    <n v="177691352565"/>
  </r>
  <r>
    <x v="3"/>
    <s v="DHS 950L "/>
    <s v="롯데오토리스(주)"/>
    <m/>
    <n v="43120653"/>
    <n v="177734473218"/>
  </r>
  <r>
    <x v="3"/>
    <s v="DHS 950L "/>
    <s v="롯데오토리스(주)"/>
    <m/>
    <n v="43120653"/>
    <n v="177777593871"/>
  </r>
  <r>
    <x v="3"/>
    <s v="DHS 125AP "/>
    <s v="주식회사 푸른정보기술"/>
    <m/>
    <n v="44818181"/>
    <n v="177822412052"/>
  </r>
  <r>
    <x v="3"/>
    <s v="DHS 950L "/>
    <s v="주식회사 디앤씨씨"/>
    <m/>
    <n v="16856000"/>
    <n v="177839268052"/>
  </r>
  <r>
    <x v="3"/>
    <s v="DHS 433L "/>
    <s v="주식회사 블루오앤엠"/>
    <m/>
    <n v="14000000"/>
    <n v="177853268052"/>
  </r>
  <r>
    <x v="3"/>
    <s v="DHS 433L "/>
    <s v="현대캐피탈주식회사"/>
    <m/>
    <n v="41557000"/>
    <n v="177894825052"/>
  </r>
  <r>
    <x v="3"/>
    <s v="DHS 433L "/>
    <s v="현대캐피탈주식회사"/>
    <m/>
    <n v="41557000"/>
    <n v="177936382052"/>
  </r>
  <r>
    <x v="3"/>
    <s v="DHS 433L "/>
    <s v="현대캐피탈주식회사"/>
    <m/>
    <n v="41557000"/>
    <n v="177977939052"/>
  </r>
  <r>
    <x v="3"/>
    <s v="DHS 433L "/>
    <s v="현대캐피탈주식회사"/>
    <m/>
    <n v="41557000"/>
    <n v="178019496052"/>
  </r>
  <r>
    <x v="3"/>
    <s v="DHS 433L "/>
    <s v="현대캐피탈주식회사"/>
    <m/>
    <n v="41557000"/>
    <n v="178061053052"/>
  </r>
  <r>
    <x v="3"/>
    <s v="DHS 433L "/>
    <s v="현대캐피탈주식회사"/>
    <m/>
    <n v="41557000"/>
    <n v="178102610052"/>
  </r>
  <r>
    <x v="3"/>
    <s v="DHS 433L "/>
    <s v="현대캐피탈주식회사"/>
    <m/>
    <n v="41557000"/>
    <n v="178144167052"/>
  </r>
  <r>
    <x v="3"/>
    <s v="DHS 433L "/>
    <s v="현대캐피탈주식회사"/>
    <m/>
    <n v="43102000"/>
    <n v="178187269052"/>
  </r>
  <r>
    <x v="3"/>
    <s v="DHS 433L "/>
    <s v="현대캐피탈주식회사"/>
    <m/>
    <n v="43102000"/>
    <n v="178230371052"/>
  </r>
  <r>
    <x v="3"/>
    <s v="동해이동정비탑차 "/>
    <s v="현대캐피탈주식회사"/>
    <m/>
    <n v="32234000"/>
    <n v="178262605052"/>
  </r>
  <r>
    <x v="3"/>
    <s v="동해이동정비탑차 "/>
    <s v="현대캐피탈주식회사"/>
    <m/>
    <n v="32234000"/>
    <n v="178294839052"/>
  </r>
  <r>
    <x v="3"/>
    <s v="동해이동정비탑차 "/>
    <s v="현대캐피탈주식회사"/>
    <m/>
    <n v="32234000"/>
    <n v="178327073052"/>
  </r>
  <r>
    <x v="3"/>
    <s v="동해이동정비탑차 "/>
    <s v="현대캐피탈주식회사"/>
    <m/>
    <n v="32234000"/>
    <n v="178359307052"/>
  </r>
  <r>
    <x v="3"/>
    <s v="동해이동정비탑차 "/>
    <s v="현대캐피탈주식회사"/>
    <m/>
    <n v="32234000"/>
    <n v="178391541052"/>
  </r>
  <r>
    <x v="3"/>
    <s v="동해이동정비탑차 "/>
    <s v="현대캐피탈주식회사"/>
    <m/>
    <n v="32234000"/>
    <n v="178423775052"/>
  </r>
  <r>
    <x v="3"/>
    <s v="동해이동정비탑차 "/>
    <s v="현대캐피탈주식회사"/>
    <m/>
    <n v="32234000"/>
    <n v="178456009052"/>
  </r>
  <r>
    <x v="3"/>
    <s v="코란도이동정비차 "/>
    <s v="현대캐피탈주식회사"/>
    <m/>
    <n v="3218000"/>
    <n v="178459227052"/>
  </r>
  <r>
    <x v="3"/>
    <s v="코란도이동정비차 "/>
    <s v="현대캐피탈주식회사"/>
    <m/>
    <n v="3218000"/>
    <n v="178462445052"/>
  </r>
  <r>
    <x v="3"/>
    <s v="코란도이동정비차 "/>
    <s v="현대캐피탈주식회사"/>
    <m/>
    <n v="3218000"/>
    <n v="178465663052"/>
  </r>
  <r>
    <x v="3"/>
    <s v="ALPHA 12000 "/>
    <s v="부산광역시 중구청"/>
    <m/>
    <n v="97659091"/>
    <n v="178563322143"/>
  </r>
  <r>
    <x v="3"/>
    <s v="DHS 950L "/>
    <s v="영통신"/>
    <m/>
    <n v="34545454"/>
    <n v="178597867597"/>
  </r>
  <r>
    <x v="3"/>
    <s v="DHS 433L "/>
    <s v="세븐마린"/>
    <m/>
    <n v="15013636"/>
    <n v="178612881233"/>
  </r>
  <r>
    <x v="3"/>
    <s v="DHS 433L "/>
    <s v="마린웍스코리아"/>
    <m/>
    <n v="14500000"/>
    <n v="178627381233"/>
  </r>
  <r>
    <x v="3"/>
    <s v="DHS 1200L "/>
    <s v="예천군청"/>
    <m/>
    <n v="53398182"/>
    <n v="178680779415"/>
  </r>
  <r>
    <x v="3"/>
    <s v="DHS 15AP "/>
    <s v="구미시청"/>
    <m/>
    <n v="909091"/>
    <n v="178681688506"/>
  </r>
  <r>
    <x v="3"/>
    <s v="DHS 1200L "/>
    <s v="예천군청"/>
    <m/>
    <n v="1000000"/>
    <n v="178682688506"/>
  </r>
  <r>
    <x v="3"/>
    <s v="DHS 15AP "/>
    <s v="임실군청"/>
    <m/>
    <n v="90284546"/>
    <n v="178772973052"/>
  </r>
  <r>
    <x v="3"/>
    <s v="DHS 950L "/>
    <s v="(주)세종통신"/>
    <m/>
    <n v="17765000"/>
    <n v="178790738052"/>
  </r>
  <r>
    <x v="3"/>
    <s v="DHT 160S "/>
    <s v="남원활선"/>
    <m/>
    <n v="159500000"/>
    <n v="178950238052"/>
  </r>
  <r>
    <x v="3"/>
    <s v="DHS 433L "/>
    <s v="경원상사"/>
    <m/>
    <n v="15250000"/>
    <n v="178965488052"/>
  </r>
  <r>
    <x v="3"/>
    <s v="DHS 1200L "/>
    <s v="(주)아이에스앤로드테크"/>
    <m/>
    <n v="9090909"/>
    <n v="178974578961"/>
  </r>
  <r>
    <x v="3"/>
    <s v="DHS 15AP "/>
    <s v="심우계전"/>
    <m/>
    <n v="52250000"/>
    <n v="179026828961"/>
  </r>
  <r>
    <x v="3"/>
    <s v="DHS 1200L "/>
    <s v="서진코리아"/>
    <m/>
    <n v="44000000"/>
    <n v="179070828961"/>
  </r>
  <r>
    <x v="3"/>
    <s v="DHS 433L "/>
    <s v="아세아펌프제어"/>
    <m/>
    <n v="13500000"/>
    <n v="179084328961"/>
  </r>
  <r>
    <x v="3"/>
    <s v="DHS 1200L "/>
    <s v="(주)신성정보통신"/>
    <m/>
    <n v="42250000"/>
    <n v="179126578961"/>
  </r>
  <r>
    <x v="3"/>
    <s v="DHS 15AP "/>
    <s v="제이엔에스(JNS)"/>
    <m/>
    <n v="50909090"/>
    <n v="179177488051"/>
  </r>
  <r>
    <x v="3"/>
    <s v="DHS 15AP "/>
    <s v="재연전기"/>
    <m/>
    <n v="50000000"/>
    <n v="179227488051"/>
  </r>
  <r>
    <x v="3"/>
    <s v="DHS 15AP "/>
    <s v="주식회사 영도정보통신"/>
    <m/>
    <n v="51500000"/>
    <n v="179278988051"/>
  </r>
  <r>
    <x v="3"/>
    <s v="DHS 15AP "/>
    <s v="(주)가인전력"/>
    <m/>
    <n v="50000000"/>
    <n v="179328988051"/>
  </r>
  <r>
    <x v="3"/>
    <s v="DHS 433L "/>
    <s v="전병존"/>
    <m/>
    <n v="13505456"/>
    <n v="179342493507"/>
  </r>
  <r>
    <x v="3"/>
    <s v="DHS 534 "/>
    <s v="성용호"/>
    <m/>
    <n v="15000000"/>
    <n v="179357493507"/>
  </r>
  <r>
    <x v="3"/>
    <s v="DHS 433L "/>
    <s v="타이어프로동두천지행역점"/>
    <m/>
    <n v="15454545"/>
    <n v="179372948052"/>
  </r>
  <r>
    <x v="3"/>
    <s v="DHS 920 "/>
    <s v="성동구청"/>
    <m/>
    <n v="49225455"/>
    <n v="179422173507"/>
  </r>
  <r>
    <x v="3"/>
    <s v="DHS 950L "/>
    <s v="주식회사 세원그룹"/>
    <m/>
    <n v="38636364"/>
    <n v="179460809871"/>
  </r>
  <r>
    <x v="3"/>
    <s v="DHS 950L "/>
    <s v="주식회사 세원그룹"/>
    <m/>
    <n v="38636364"/>
    <n v="179499446235"/>
  </r>
  <r>
    <x v="3"/>
    <s v="DHS 1200L "/>
    <s v="주식회사 씨앤엘네트웍스"/>
    <m/>
    <n v="38500000"/>
    <n v="179537946235"/>
  </r>
  <r>
    <x v="3"/>
    <s v="DHS 1200L "/>
    <s v="경남전기"/>
    <m/>
    <n v="39800000"/>
    <n v="179577746235"/>
  </r>
  <r>
    <x v="3"/>
    <s v="DHS 950L "/>
    <s v="한주통신"/>
    <m/>
    <n v="17765000"/>
    <n v="179595511235"/>
  </r>
  <r>
    <x v="3"/>
    <s v="DHS 1200L "/>
    <s v="(주)삼흥정보통신"/>
    <m/>
    <n v="42000000"/>
    <n v="179637511235"/>
  </r>
  <r>
    <x v="3"/>
    <s v="DHS 1200L "/>
    <s v="인스산업개발주식회사"/>
    <m/>
    <n v="38181818"/>
    <n v="179675693053"/>
  </r>
  <r>
    <x v="3"/>
    <s v="DHS 1200L "/>
    <s v="선진안전(주)"/>
    <m/>
    <n v="38859091"/>
    <n v="179714552144"/>
  </r>
  <r>
    <x v="3"/>
    <s v="DHS 15AP "/>
    <s v="(유)대성전력"/>
    <m/>
    <n v="50909091"/>
    <n v="179765461235"/>
  </r>
  <r>
    <x v="3"/>
    <s v="DHS 950L "/>
    <s v="보림정보통신"/>
    <m/>
    <n v="35000000"/>
    <n v="179800461235"/>
  </r>
  <r>
    <x v="3"/>
    <s v="DHS 950L "/>
    <s v="정우통신"/>
    <m/>
    <n v="35500000"/>
    <n v="179835961235"/>
  </r>
  <r>
    <x v="3"/>
    <s v="DHS 125AP "/>
    <s v="한별통신"/>
    <m/>
    <n v="44727273"/>
    <n v="179880688508"/>
  </r>
  <r>
    <x v="3"/>
    <s v="DHS 125AP "/>
    <s v="동성통신"/>
    <m/>
    <n v="44727273"/>
    <n v="179925415781"/>
  </r>
  <r>
    <x v="3"/>
    <s v="DHS 930 "/>
    <s v="(주)경도전기"/>
    <m/>
    <n v="31000000"/>
    <n v="179956415781"/>
  </r>
  <r>
    <x v="3"/>
    <s v="DHS 950L "/>
    <s v="임강정보통신"/>
    <m/>
    <n v="35500000"/>
    <n v="179991915781"/>
  </r>
  <r>
    <x v="3"/>
    <s v="DHS 950L "/>
    <s v="임강정보통신"/>
    <m/>
    <n v="35500000"/>
    <n v="180027415781"/>
  </r>
  <r>
    <x v="3"/>
    <s v="DHT 150S "/>
    <s v="경동활선"/>
    <m/>
    <n v="145500000"/>
    <n v="180172915781"/>
  </r>
  <r>
    <x v="3"/>
    <s v="DHS 433L "/>
    <s v="경안종합중장비공업사"/>
    <m/>
    <n v="15750000"/>
    <n v="180188665781"/>
  </r>
  <r>
    <x v="3"/>
    <s v="DHS 950L "/>
    <s v="(주)호남통신"/>
    <m/>
    <n v="37000000"/>
    <n v="180225665781"/>
  </r>
  <r>
    <x v="3"/>
    <s v="DHS 19AP외 "/>
    <s v="SYKT"/>
    <m/>
    <n v="158636520"/>
    <n v="180384302301"/>
  </r>
  <r>
    <x v="3"/>
    <s v="DHS 15AP "/>
    <s v="윤학원"/>
    <m/>
    <n v="50000000"/>
    <n v="180434302301"/>
  </r>
  <r>
    <x v="3"/>
    <s v="DHS 15AP "/>
    <s v="우진전업(주)"/>
    <m/>
    <n v="50909091"/>
    <n v="180485211392"/>
  </r>
  <r>
    <x v="3"/>
    <s v="DHS 15AP "/>
    <s v="(주)태영이엔씨"/>
    <m/>
    <n v="50909091"/>
    <n v="180536120483"/>
  </r>
  <r>
    <x v="3"/>
    <s v="DHS 1200L "/>
    <s v="미르텍 주식회사"/>
    <m/>
    <n v="43181818"/>
    <n v="180579302301"/>
  </r>
  <r>
    <x v="3"/>
    <s v="DHS 15AP "/>
    <s v="신아"/>
    <m/>
    <n v="51500000"/>
    <n v="180630802301"/>
  </r>
  <r>
    <x v="3"/>
    <s v="DHS 15AP "/>
    <s v="(유)강남전기"/>
    <m/>
    <n v="50000000"/>
    <n v="180680802301"/>
  </r>
  <r>
    <x v="3"/>
    <s v="DHS 950L "/>
    <s v="풀빛네트웍"/>
    <m/>
    <n v="36000000"/>
    <n v="180716802301"/>
  </r>
  <r>
    <x v="3"/>
    <s v="DHS 950L "/>
    <s v="(주)시티컴"/>
    <m/>
    <n v="35655000"/>
    <n v="180752457301"/>
  </r>
  <r>
    <x v="3"/>
    <s v="DHS 950L "/>
    <s v="롯데오토리스(주)"/>
    <m/>
    <n v="37409091"/>
    <n v="180789866392"/>
  </r>
  <r>
    <x v="3"/>
    <s v="DHS 15AP "/>
    <s v="주식회사 예스정보통신"/>
    <m/>
    <n v="51000000"/>
    <n v="180840866392"/>
  </r>
  <r>
    <x v="3"/>
    <s v="DHS 433L "/>
    <s v="태풍타이어"/>
    <m/>
    <n v="14545455"/>
    <n v="180855411847"/>
  </r>
  <r>
    <x v="3"/>
    <s v="DHS 950L"/>
    <s v="(주)동해기계항공"/>
    <m/>
    <n v="22360000"/>
    <n v="180877771847"/>
  </r>
  <r>
    <x v="3"/>
    <s v="DHS 190SKY"/>
    <s v="(주)동해기계항공"/>
    <m/>
    <n v="50237000"/>
    <n v="180928008847"/>
  </r>
  <r>
    <x v="3"/>
    <s v="KIA BONGO 3 1TON"/>
    <s v="(주)동해기계항공"/>
    <m/>
    <n v="15088828"/>
    <n v="180943097675"/>
  </r>
  <r>
    <x v="3"/>
    <s v="DHS 950L "/>
    <s v="(주)동해기계항공"/>
    <m/>
    <n v="23942000"/>
    <n v="180967039675"/>
  </r>
  <r>
    <x v="3"/>
    <s v="KIA BONGO3 1TON "/>
    <s v="(주)동해기계항공"/>
    <m/>
    <n v="12600909"/>
    <n v="180979640584"/>
  </r>
  <r>
    <x v="3"/>
    <s v="DHS 1200L "/>
    <s v="한국호이스트"/>
    <m/>
    <n v="35500000"/>
    <n v="181015140584"/>
  </r>
  <r>
    <x v="3"/>
    <s v="DHS 433L "/>
    <s v="자연환경(유)"/>
    <m/>
    <n v="15013636"/>
    <n v="181030154220"/>
  </r>
  <r>
    <x v="3"/>
    <s v="DHS 1200L "/>
    <s v="TRI-GLOBE TRANSPORT SERVICES AND TRADING INC"/>
    <m/>
    <n v="34696866"/>
    <n v="181064851086"/>
  </r>
  <r>
    <x v="3"/>
    <s v="DHS 17AP "/>
    <s v="해성파워텍"/>
    <m/>
    <n v="53636363"/>
    <n v="181118487449"/>
  </r>
  <r>
    <x v="3"/>
    <s v="DHS 1200L "/>
    <s v="제일전기공사"/>
    <m/>
    <n v="40000000"/>
    <n v="181158487449"/>
  </r>
  <r>
    <x v="3"/>
    <s v="DHS 1200L "/>
    <s v="(주)성일기업"/>
    <m/>
    <n v="40000000"/>
    <n v="181198487449"/>
  </r>
  <r>
    <x v="3"/>
    <s v="DHS 433L "/>
    <s v="에이스건설기계매매상사"/>
    <m/>
    <n v="14500000"/>
    <n v="181212987449"/>
  </r>
  <r>
    <x v="3"/>
    <s v="DHS 1200L "/>
    <s v="(주)성일기업"/>
    <m/>
    <n v="-40000000"/>
    <n v="181172987449"/>
  </r>
  <r>
    <x v="3"/>
    <s v="DHS 1200L "/>
    <s v="(주)성일기업"/>
    <m/>
    <n v="36000000"/>
    <n v="181208987449"/>
  </r>
  <r>
    <x v="3"/>
    <s v="DHT 160AS "/>
    <s v="대성통운(주)"/>
    <m/>
    <n v="175000000"/>
    <n v="181383987449"/>
  </r>
  <r>
    <x v="3"/>
    <s v="DHT 160AS "/>
    <s v="영림활선"/>
    <m/>
    <n v="175000000"/>
    <n v="181558987449"/>
  </r>
  <r>
    <x v="3"/>
    <s v="DHAS 120AP "/>
    <s v="부덕정보통신"/>
    <m/>
    <n v="47272727"/>
    <n v="181606260176"/>
  </r>
  <r>
    <x v="3"/>
    <s v="DHS 433L "/>
    <s v="KJ해양마린"/>
    <m/>
    <n v="15013636"/>
    <n v="181621273812"/>
  </r>
  <r>
    <x v="3"/>
    <s v="DHS 1200L "/>
    <s v="세종하이텍주식회사"/>
    <m/>
    <n v="44545455"/>
    <n v="181665819267"/>
  </r>
  <r>
    <x v="3"/>
    <s v="DHS 1200L "/>
    <s v="(주)아이에스앤로드테크"/>
    <m/>
    <n v="30000000"/>
    <n v="181695819267"/>
  </r>
  <r>
    <x v="3"/>
    <s v="DHS 433L "/>
    <s v="대정농업협동조합"/>
    <m/>
    <n v="16150000"/>
    <n v="181711969267"/>
  </r>
  <r>
    <x v="3"/>
    <s v="DHS 433L "/>
    <s v="호남중기"/>
    <m/>
    <n v="14300000"/>
    <n v="181726269267"/>
  </r>
  <r>
    <x v="3"/>
    <s v="DHS 1200L "/>
    <s v="주식회사 비츠로"/>
    <m/>
    <n v="39090909"/>
    <n v="181765360176"/>
  </r>
  <r>
    <x v="3"/>
    <s v="DHS 1800 "/>
    <s v="서울특별시중구청"/>
    <m/>
    <n v="2850000"/>
    <n v="181768210176"/>
  </r>
  <r>
    <x v="3"/>
    <s v="DHS 433L "/>
    <s v="LG펌프상사"/>
    <m/>
    <n v="14300000"/>
    <n v="181782510176"/>
  </r>
  <r>
    <x v="3"/>
    <s v="DHT 160AS "/>
    <s v="주식회사 서광종합건설"/>
    <m/>
    <n v="175000000"/>
    <n v="181957510176"/>
  </r>
  <r>
    <x v="3"/>
    <s v="DHS 15AP "/>
    <s v="주식회사 남해이엔지"/>
    <m/>
    <n v="51500000"/>
    <n v="182009010176"/>
  </r>
  <r>
    <x v="3"/>
    <s v="DHS 1200L "/>
    <s v="(주)세명전기"/>
    <m/>
    <n v="38500000"/>
    <n v="182047510176"/>
  </r>
  <r>
    <x v="3"/>
    <s v="DHS 15AP "/>
    <s v="(주)복음전기"/>
    <m/>
    <n v="51000000"/>
    <n v="182098510176"/>
  </r>
  <r>
    <x v="3"/>
    <s v="ALPHA 12000 "/>
    <s v="부산광역시서구청"/>
    <m/>
    <n v="99986364"/>
    <n v="182198496540"/>
  </r>
  <r>
    <x v="3"/>
    <s v="DHS 433L "/>
    <s v="정명철"/>
    <m/>
    <n v="14650000"/>
    <n v="182213146540"/>
  </r>
  <r>
    <x v="3"/>
    <s v="DHS 1200L "/>
    <s v="해성"/>
    <m/>
    <n v="34000000"/>
    <n v="182247146540"/>
  </r>
  <r>
    <x v="3"/>
    <s v="DHS 950L "/>
    <s v="광원통신"/>
    <m/>
    <n v="35950000"/>
    <n v="182283096540"/>
  </r>
  <r>
    <x v="3"/>
    <s v="DHT 160S "/>
    <s v="동해활선"/>
    <m/>
    <n v="159000000"/>
    <n v="182442096540"/>
  </r>
  <r>
    <x v="3"/>
    <s v="DHAS 120AP "/>
    <s v="정(JOUNG)"/>
    <m/>
    <n v="46636364"/>
    <n v="182488732904"/>
  </r>
  <r>
    <x v="3"/>
    <s v="DHS 950L "/>
    <s v="아주통신(주)"/>
    <m/>
    <n v="37272727"/>
    <n v="182526005631"/>
  </r>
  <r>
    <x v="3"/>
    <s v="DHS 950L "/>
    <s v="JS정보통신"/>
    <m/>
    <n v="37000000"/>
    <n v="182563005631"/>
  </r>
  <r>
    <x v="3"/>
    <s v="DHS 950L "/>
    <s v="(주)동해정보통신"/>
    <m/>
    <n v="17765000"/>
    <n v="182580770631"/>
  </r>
  <r>
    <x v="3"/>
    <s v="DHS 950L "/>
    <s v="대진정보통신 주식회사"/>
    <m/>
    <n v="18490000"/>
    <n v="182599260631"/>
  </r>
  <r>
    <x v="3"/>
    <s v="DHS 15AP "/>
    <s v="강북구청"/>
    <m/>
    <n v="52016364"/>
    <n v="182651276995"/>
  </r>
  <r>
    <x v="3"/>
    <s v="DHA 102AP "/>
    <s v="안동시청"/>
    <m/>
    <n v="41825455"/>
    <n v="182693102450"/>
  </r>
  <r>
    <x v="3"/>
    <s v="DHS 1800 "/>
    <s v="서울특별시중구청"/>
    <m/>
    <n v="91343637"/>
    <n v="182784446087"/>
  </r>
  <r>
    <x v="3"/>
    <s v="DHS 280AP "/>
    <s v="경수고속도로(주)"/>
    <m/>
    <n v="105876364"/>
    <n v="182890322451"/>
  </r>
  <r>
    <x v="3"/>
    <s v="DHS 15AP "/>
    <s v="(주)삼흥일렉트릭"/>
    <m/>
    <n v="51000000"/>
    <n v="182941322451"/>
  </r>
  <r>
    <x v="3"/>
    <s v="DHS 950L "/>
    <s v="보광통신"/>
    <m/>
    <n v="32454546"/>
    <n v="182973776997"/>
  </r>
  <r>
    <x v="3"/>
    <s v="DHS 950L "/>
    <s v="로아정보통신"/>
    <m/>
    <n v="36459091"/>
    <n v="183010236088"/>
  </r>
  <r>
    <x v="3"/>
    <s v="DHS 930 "/>
    <s v="(주)하나로"/>
    <m/>
    <n v="35000000"/>
    <n v="183045236088"/>
  </r>
  <r>
    <x v="3"/>
    <s v="DHS 1200L "/>
    <s v="재재통신"/>
    <m/>
    <n v="39090909"/>
    <n v="183084326997"/>
  </r>
  <r>
    <x v="3"/>
    <s v="DHS 105AP "/>
    <s v="재승정보통신"/>
    <m/>
    <n v="42000000"/>
    <n v="183126326997"/>
  </r>
  <r>
    <x v="3"/>
    <s v="DHS 1200L "/>
    <s v="(주)에스제이네트웍스"/>
    <m/>
    <n v="40000000"/>
    <n v="183166326997"/>
  </r>
  <r>
    <x v="3"/>
    <s v="DHS 1200L "/>
    <s v="(주)에스제이네트웍스"/>
    <m/>
    <n v="40000000"/>
    <n v="183206326997"/>
  </r>
  <r>
    <x v="3"/>
    <s v="DHS 950L "/>
    <s v="진성종합건설 주식회사"/>
    <m/>
    <n v="33636364"/>
    <n v="183239963361"/>
  </r>
  <r>
    <x v="3"/>
    <s v="DHS 950L "/>
    <s v="진성종합건설 주식회사"/>
    <m/>
    <n v="33636364"/>
    <n v="183273599725"/>
  </r>
  <r>
    <x v="3"/>
    <s v="DHS 950L "/>
    <s v="진성종합건설 주식회사"/>
    <m/>
    <n v="33636364"/>
    <n v="183307236089"/>
  </r>
  <r>
    <x v="3"/>
    <s v="DHS 950L "/>
    <s v="진성종합건설 주식회사"/>
    <m/>
    <n v="33636364"/>
    <n v="183340872453"/>
  </r>
  <r>
    <x v="3"/>
    <s v="DHS 950L "/>
    <s v="진성종합건설 주식회사"/>
    <m/>
    <n v="33636364"/>
    <n v="183374508817"/>
  </r>
  <r>
    <x v="3"/>
    <s v="DHS 950L "/>
    <s v="진성종합건설 주식회사"/>
    <m/>
    <n v="33636364"/>
    <n v="183408145181"/>
  </r>
  <r>
    <x v="3"/>
    <s v="DHS 930 "/>
    <s v="(유)미주계전"/>
    <m/>
    <n v="17765000"/>
    <n v="183425910181"/>
  </r>
  <r>
    <x v="3"/>
    <s v="DHS 930 "/>
    <s v="(유)미주계전"/>
    <m/>
    <n v="17765000"/>
    <n v="183443675181"/>
  </r>
  <r>
    <x v="3"/>
    <s v="DHS 930 "/>
    <s v="(유)나노정보통신"/>
    <m/>
    <n v="17765000"/>
    <n v="183461440181"/>
  </r>
  <r>
    <x v="3"/>
    <s v="두산인프라코어-봉고Ⅲ 정비특장차 AVM 등 안전사양 14대"/>
    <s v="현대캐피탈주식회사"/>
    <m/>
    <n v="24080000"/>
    <n v="183485520181"/>
  </r>
  <r>
    <x v="3"/>
    <s v="두산인프라코어-봉고Ⅲ 4WD 크레인차 AVM, 전방센서, 측후방센서 등 2대"/>
    <s v="현대캐피탈주식회사"/>
    <m/>
    <n v="4760000"/>
    <n v="183490280181"/>
  </r>
  <r>
    <x v="3"/>
    <s v="DHS 1200HC-3대 "/>
    <s v="VIET TRUNG JOINT STOCK EQUIPMENT COMPANY"/>
    <m/>
    <n v="168361950"/>
    <n v="183658642131"/>
  </r>
  <r>
    <x v="3"/>
    <s v="DHS 950L "/>
    <s v="JS정보통신"/>
    <m/>
    <n v="37000000"/>
    <n v="183695642131"/>
  </r>
  <r>
    <x v="3"/>
    <s v="DHS 950L "/>
    <s v="대월정보통신"/>
    <m/>
    <n v="37272727"/>
    <n v="183732914858"/>
  </r>
  <r>
    <x v="3"/>
    <s v="DHS 950L "/>
    <s v="(주)진웅텔레콤"/>
    <m/>
    <n v="34909091"/>
    <n v="183767823949"/>
  </r>
  <r>
    <x v="3"/>
    <s v="DHS 15AP "/>
    <s v="SYKT"/>
    <m/>
    <n v="86053798"/>
    <n v="183853877747"/>
  </r>
  <r>
    <x v="3"/>
    <s v="DHS 950L "/>
    <s v="(주)에스오에이텔레콤"/>
    <m/>
    <n v="37727273"/>
    <n v="183891605020"/>
  </r>
  <r>
    <x v="3"/>
    <s v="DHS 950L "/>
    <s v="(주)에스오에이텔레콤"/>
    <m/>
    <n v="37727273"/>
    <n v="183929332293"/>
  </r>
  <r>
    <x v="3"/>
    <s v="DHS 950L "/>
    <s v="(주)에스오에이텔레콤"/>
    <m/>
    <n v="37727273"/>
    <n v="183967059566"/>
  </r>
  <r>
    <x v="3"/>
    <s v="DHA 102AP "/>
    <s v="성남시푸른도시사업소"/>
    <m/>
    <n v="41575455"/>
    <n v="184008635021"/>
  </r>
  <r>
    <x v="3"/>
    <s v="DHS 950L "/>
    <s v="조일전기이엔지"/>
    <m/>
    <n v="34245000"/>
    <n v="184042880021"/>
  </r>
  <r>
    <x v="3"/>
    <s v="DHS 950L "/>
    <s v="제이케이정보통신"/>
    <m/>
    <n v="35288182"/>
    <n v="184078168203"/>
  </r>
  <r>
    <x v="3"/>
    <s v="DHS 930 "/>
    <s v="현대캐피탈주식회사"/>
    <m/>
    <n v="30465000"/>
    <n v="184108633203"/>
  </r>
  <r>
    <x v="3"/>
    <s v="DHS 433L "/>
    <s v="청해마린"/>
    <m/>
    <n v="14500000"/>
    <n v="184123133203"/>
  </r>
  <r>
    <x v="3"/>
    <s v="DHT 160S "/>
    <s v="봉덕활선"/>
    <m/>
    <n v="154700000"/>
    <n v="184277833203"/>
  </r>
  <r>
    <x v="3"/>
    <s v="DHS 433L "/>
    <s v="주식회사 해성조선소"/>
    <m/>
    <n v="14500000"/>
    <n v="184292333203"/>
  </r>
  <r>
    <x v="3"/>
    <s v="DHS 950L "/>
    <s v="주식회사 본"/>
    <m/>
    <n v="34500000"/>
    <n v="184326833203"/>
  </r>
  <r>
    <x v="3"/>
    <s v="DHS 950L "/>
    <s v="주식회사 비젼"/>
    <m/>
    <n v="36363636"/>
    <n v="184363196839"/>
  </r>
  <r>
    <x v="3"/>
    <s v="DHS 433L "/>
    <s v="(주)티에스케이워터"/>
    <m/>
    <n v="14500000"/>
    <n v="184377696839"/>
  </r>
  <r>
    <x v="3"/>
    <s v="DHS 15AP "/>
    <s v="삼호전기"/>
    <m/>
    <n v="50000000"/>
    <n v="184427696839"/>
  </r>
  <r>
    <x v="3"/>
    <s v="DHS 15AP "/>
    <s v="주식회사 창조전력"/>
    <m/>
    <n v="51000000"/>
    <n v="184478696839"/>
  </r>
  <r>
    <x v="3"/>
    <s v="DHS 190SKY "/>
    <s v="풍일호이스트"/>
    <m/>
    <n v="57700000"/>
    <n v="184536396839"/>
  </r>
  <r>
    <x v="3"/>
    <s v="DHS 950L "/>
    <s v="엘통신"/>
    <m/>
    <n v="38181818"/>
    <n v="184574578657"/>
  </r>
  <r>
    <x v="3"/>
    <s v="DHS 15AP "/>
    <s v="(유)신아전력"/>
    <m/>
    <n v="50909091"/>
    <n v="184625487748"/>
  </r>
  <r>
    <x v="3"/>
    <s v="DHS 1200L"/>
    <s v="해동호이스트"/>
    <m/>
    <n v="40000000"/>
    <n v="184665487748"/>
  </r>
  <r>
    <x v="3"/>
    <s v="DHS 950L "/>
    <s v="명성이엔지"/>
    <m/>
    <n v="34500000"/>
    <n v="184699987748"/>
  </r>
  <r>
    <x v="3"/>
    <s v="DHS 15AP "/>
    <s v="(자)하양전기"/>
    <m/>
    <n v="51000000"/>
    <n v="184750987748"/>
  </r>
  <r>
    <x v="3"/>
    <s v="DHS 17AP "/>
    <s v="이재호"/>
    <m/>
    <n v="53181818"/>
    <n v="184804169566"/>
  </r>
  <r>
    <x v="3"/>
    <s v="DHS 190SKY "/>
    <s v="굳 스카이"/>
    <m/>
    <n v="62000000"/>
    <n v="184866169566"/>
  </r>
  <r>
    <x v="3"/>
    <s v="DHS 1200L "/>
    <s v="(주)바른이엔씨"/>
    <m/>
    <n v="39500000"/>
    <n v="184905669566"/>
  </r>
  <r>
    <x v="3"/>
    <s v="DHS 15AP "/>
    <s v="주식회사 드림"/>
    <m/>
    <n v="50909091"/>
    <n v="184956578657"/>
  </r>
  <r>
    <x v="3"/>
    <s v="DHS 17AP "/>
    <s v="문경전기정보통신"/>
    <m/>
    <n v="54000000"/>
    <n v="185010578657"/>
  </r>
  <r>
    <x v="3"/>
    <s v="DHS 930 "/>
    <s v="(주)나우리정보통신"/>
    <m/>
    <n v="34090909"/>
    <n v="185044669566"/>
  </r>
  <r>
    <x v="3"/>
    <s v="DHS 950L "/>
    <s v="서부네트워크주식회사"/>
    <m/>
    <n v="36500000"/>
    <n v="185081169566"/>
  </r>
  <r>
    <x v="3"/>
    <s v="DHS 1200L "/>
    <s v="동신전기"/>
    <m/>
    <n v="43000000"/>
    <n v="185124169566"/>
  </r>
  <r>
    <x v="3"/>
    <s v="DHS 1200L "/>
    <s v="(주)우도전기"/>
    <m/>
    <n v="44500000"/>
    <n v="185168669566"/>
  </r>
  <r>
    <x v="3"/>
    <s v="DHS 1200L "/>
    <s v="우진산업개발(주)"/>
    <m/>
    <n v="39090909"/>
    <n v="185207760475"/>
  </r>
  <r>
    <x v="3"/>
    <s v="DHS 1200L "/>
    <s v="동성전력 주식회사"/>
    <m/>
    <n v="37727272"/>
    <n v="185245487747"/>
  </r>
  <r>
    <x v="3"/>
    <s v="DHT 105S "/>
    <s v="원주시청"/>
    <m/>
    <n v="96695455"/>
    <n v="185342183202"/>
  </r>
  <r>
    <x v="3"/>
    <s v="DHT 105S "/>
    <s v="원주시청"/>
    <m/>
    <n v="1090910"/>
    <n v="185343274112"/>
  </r>
  <r>
    <x v="3"/>
    <s v="DHS 1200L "/>
    <s v="화인 전기조명"/>
    <m/>
    <n v="38000000"/>
    <n v="185381274112"/>
  </r>
  <r>
    <x v="3"/>
    <s v="DHS 950L "/>
    <s v="화산"/>
    <m/>
    <n v="36818182"/>
    <n v="185418092294"/>
  </r>
  <r>
    <x v="3"/>
    <s v="DHS 105AP "/>
    <s v="덕수J,Y통신"/>
    <m/>
    <n v="40909091"/>
    <n v="185459001385"/>
  </r>
  <r>
    <x v="3"/>
    <s v="DHS 950L "/>
    <s v="제이씨통신(J.C)"/>
    <m/>
    <n v="35909091"/>
    <n v="185494910476"/>
  </r>
  <r>
    <x v="3"/>
    <s v="DHT 105S "/>
    <s v="대구시청"/>
    <m/>
    <n v="91536364"/>
    <n v="185586446840"/>
  </r>
  <r>
    <x v="3"/>
    <s v="DHT 105S "/>
    <s v="대구시청"/>
    <m/>
    <n v="5000000"/>
    <n v="185591446840"/>
  </r>
  <r>
    <x v="3"/>
    <s v="DHS 950L "/>
    <s v="동작구립장애인보호작업장"/>
    <m/>
    <n v="37272728"/>
    <n v="185628719568"/>
  </r>
  <r>
    <x v="3"/>
    <s v="DHS 433L "/>
    <s v="금일종합마린"/>
    <m/>
    <n v="15013636"/>
    <n v="185643733204"/>
  </r>
  <r>
    <x v="3"/>
    <s v="DHS 433L "/>
    <s v="대성마린"/>
    <m/>
    <n v="15013636"/>
    <n v="185658746840"/>
  </r>
  <r>
    <x v="3"/>
    <s v="DHS 950L "/>
    <s v="경방전기통신(주)"/>
    <m/>
    <n v="36750000"/>
    <n v="185695496840"/>
  </r>
  <r>
    <x v="3"/>
    <s v="DHS 433L "/>
    <s v="금일종합마린"/>
    <m/>
    <n v="-15013636"/>
    <n v="185680483204"/>
  </r>
  <r>
    <x v="3"/>
    <s v="DHS 433L "/>
    <s v="금일종합마린"/>
    <m/>
    <n v="15013636"/>
    <n v="185695496840"/>
  </r>
  <r>
    <x v="3"/>
    <s v="DHT 105S "/>
    <s v="서울특별시성동도로사업소"/>
    <m/>
    <n v="96695455"/>
    <n v="185792192295"/>
  </r>
  <r>
    <x v="3"/>
    <s v="DHT 105S "/>
    <s v="서울시서부도로사업소"/>
    <m/>
    <n v="99013637"/>
    <n v="185891205932"/>
  </r>
  <r>
    <x v="3"/>
    <s v="DHT 105S "/>
    <s v="서울특별시남부도로사업소"/>
    <m/>
    <n v="96445455"/>
    <n v="185987651387"/>
  </r>
  <r>
    <x v="3"/>
    <s v="DHT 105S "/>
    <s v="북부도로사업소"/>
    <m/>
    <n v="99013637"/>
    <n v="186086665024"/>
  </r>
  <r>
    <x v="3"/>
    <s v="DHT 105S "/>
    <s v="서울특별시동부도로사업소"/>
    <m/>
    <n v="99013637"/>
    <n v="186185678661"/>
  </r>
  <r>
    <x v="3"/>
    <s v="DHS 7526 "/>
    <s v="SHIANG PAI HYDRAULIC CRANE CO., LTD"/>
    <m/>
    <n v="80532000"/>
    <n v="186266210661"/>
  </r>
  <r>
    <x v="3"/>
    <s v="DHS 870 "/>
    <s v="TRI-GLOBE TRANSPORT SERVICES AND TRADING INC"/>
    <m/>
    <n v="36149007"/>
    <n v="186302359668"/>
  </r>
  <r>
    <x v="3"/>
    <s v="ALPHA 12000 "/>
    <s v="신안군청"/>
    <m/>
    <n v="10000000"/>
    <n v="186312359668"/>
  </r>
  <r>
    <x v="3"/>
    <s v="DHT 160AS "/>
    <s v="한국메가와트 주식회사"/>
    <m/>
    <n v="174000000"/>
    <n v="186486359668"/>
  </r>
  <r>
    <x v="3"/>
    <s v="DHAS 120AP "/>
    <s v="동대문구청"/>
    <m/>
    <n v="6818182"/>
    <n v="186493177850"/>
  </r>
  <r>
    <x v="3"/>
    <s v="ALPHA 12000 "/>
    <s v="창원시 진해구청"/>
    <m/>
    <n v="100184546"/>
    <n v="186593362396"/>
  </r>
  <r>
    <x v="3"/>
    <s v="DHAS 120AP "/>
    <s v="동대문구청"/>
    <m/>
    <n v="41575455"/>
    <n v="186634937851"/>
  </r>
  <r>
    <x v="3"/>
    <s v="DHT 105S "/>
    <s v="서울특별시강서도로사업소"/>
    <m/>
    <n v="97831819"/>
    <n v="186732769670"/>
  </r>
  <r>
    <x v="3"/>
    <s v="ALPHA 12000 "/>
    <s v="신안군청"/>
    <m/>
    <n v="49868183"/>
    <n v="186782637853"/>
  </r>
  <r>
    <x v="3"/>
    <s v="DHS 950L "/>
    <s v="(유)구이앤금우통신"/>
    <m/>
    <n v="37272727"/>
    <n v="186819910580"/>
  </r>
  <r>
    <x v="3"/>
    <s v="DHS 1200L "/>
    <s v="(주)대륭시스템즈"/>
    <m/>
    <n v="40000000"/>
    <n v="186859910580"/>
  </r>
  <r>
    <x v="3"/>
    <s v="DHS 950L "/>
    <s v="다성통신"/>
    <m/>
    <n v="36818182"/>
    <n v="186896728762"/>
  </r>
  <r>
    <x v="3"/>
    <s v="DHS 1200L "/>
    <s v="주식회사 씨앤엘네트웍스"/>
    <m/>
    <n v="38181818"/>
    <n v="186934910580"/>
  </r>
  <r>
    <x v="3"/>
    <s v="DHS 433L "/>
    <s v="영산벽돌석재"/>
    <m/>
    <n v="14000000"/>
    <n v="186948910580"/>
  </r>
  <r>
    <x v="3"/>
    <s v="DHS 930 "/>
    <s v="캡틴통신"/>
    <m/>
    <n v="33636364"/>
    <n v="186982546944"/>
  </r>
  <r>
    <x v="3"/>
    <s v="DHS 950L "/>
    <s v="세빌주식회사"/>
    <m/>
    <n v="37500000"/>
    <n v="187020046944"/>
  </r>
  <r>
    <x v="3"/>
    <s v="DHS 433LM "/>
    <s v="영진테크"/>
    <m/>
    <n v="11400000"/>
    <n v="187031446944"/>
  </r>
  <r>
    <x v="3"/>
    <s v="DHS 950L "/>
    <s v="(주)파워텔레콤"/>
    <m/>
    <n v="37800000"/>
    <n v="187069246944"/>
  </r>
  <r>
    <x v="3"/>
    <s v="DHS 930 "/>
    <s v="이즈"/>
    <m/>
    <n v="34900000"/>
    <n v="187104146944"/>
  </r>
  <r>
    <x v="3"/>
    <s v="DHS 190SKY "/>
    <s v="서병교"/>
    <m/>
    <n v="57500000"/>
    <n v="187161646944"/>
  </r>
  <r>
    <x v="3"/>
    <s v="DHS 950L "/>
    <s v="영성통신"/>
    <m/>
    <n v="35000000"/>
    <n v="187196646944"/>
  </r>
  <r>
    <x v="3"/>
    <s v="BOOM 조립체 외 "/>
    <s v="(주)동해중공업"/>
    <m/>
    <n v="5978000"/>
    <n v="187202624944"/>
  </r>
  <r>
    <x v="3"/>
    <s v="DHS 950L "/>
    <s v="리더스텔"/>
    <m/>
    <n v="17765000"/>
    <n v="187220389944"/>
  </r>
  <r>
    <x v="3"/>
    <s v="DHS 950L "/>
    <s v="디에이치"/>
    <m/>
    <n v="34000000"/>
    <n v="187254389944"/>
  </r>
  <r>
    <x v="3"/>
    <s v="DHS 433L "/>
    <s v="조은석유. 설비"/>
    <m/>
    <n v="14000000"/>
    <n v="187268389944"/>
  </r>
  <r>
    <x v="3"/>
    <s v="BAK14철거 및 BAK12 설치공사 기성청구분-김해국제공항"/>
    <s v="경동건설(주)"/>
    <m/>
    <n v="230000000"/>
    <n v="187498389944"/>
  </r>
  <r>
    <x v="3"/>
    <s v="DHS 433L "/>
    <s v="대림산업(주)여수LHDPE공장"/>
    <m/>
    <n v="14700000"/>
    <n v="187513089944"/>
  </r>
  <r>
    <x v="3"/>
    <s v="DHS 15AP "/>
    <s v="김포건업"/>
    <m/>
    <n v="52363636"/>
    <n v="187565453580"/>
  </r>
  <r>
    <x v="3"/>
    <s v="DHS 433L "/>
    <s v="동하수중펌프"/>
    <m/>
    <n v="14000000"/>
    <n v="187579453580"/>
  </r>
  <r>
    <x v="3"/>
    <s v="차체지지대 "/>
    <s v="주식회사국제산업"/>
    <m/>
    <n v="8000000"/>
    <n v="187587453580"/>
  </r>
  <r>
    <x v="3"/>
    <s v="본기둥실린더등 16종"/>
    <s v="공군군수사령부"/>
    <m/>
    <n v="528214900"/>
    <n v="188115668480"/>
  </r>
  <r>
    <x v="3"/>
    <s v="DHS 15AP "/>
    <s v="주안전기"/>
    <m/>
    <n v="50909090"/>
    <n v="188166577570"/>
  </r>
  <r>
    <x v="3"/>
    <s v="추가품목 "/>
    <s v="서울특별시강서도로사업소"/>
    <m/>
    <n v="1181818"/>
    <n v="188167759388"/>
  </r>
  <r>
    <x v="3"/>
    <s v="DHS 433L "/>
    <s v="압해마린"/>
    <m/>
    <n v="15013636"/>
    <n v="188182773024"/>
  </r>
  <r>
    <x v="3"/>
    <s v="DHS 433L "/>
    <s v="대한계량공사"/>
    <m/>
    <n v="15500000"/>
    <n v="188198273024"/>
  </r>
  <r>
    <x v="3"/>
    <s v="추가품목 "/>
    <s v="서울특별시성동도로사업소"/>
    <m/>
    <n v="2318182"/>
    <n v="188200591206"/>
  </r>
  <r>
    <x v="3"/>
    <s v="DHS 1200L "/>
    <s v="남경전력공사"/>
    <m/>
    <n v="40000000"/>
    <n v="188240591206"/>
  </r>
  <r>
    <x v="3"/>
    <s v="DHS 950L "/>
    <s v="세빌주식회사"/>
    <m/>
    <n v="37500000"/>
    <n v="188278091206"/>
  </r>
  <r>
    <x v="3"/>
    <s v="DHS 950L "/>
    <s v="수화통신"/>
    <m/>
    <n v="36000000"/>
    <n v="188314091206"/>
  </r>
  <r>
    <x v="3"/>
    <s v="DHS 930 "/>
    <s v="크레인마트"/>
    <m/>
    <n v="14664000"/>
    <n v="188328755206"/>
  </r>
  <r>
    <x v="3"/>
    <s v="DHS 930 "/>
    <s v="H＆Y네트워크"/>
    <m/>
    <n v="16856000"/>
    <n v="188345611206"/>
  </r>
  <r>
    <x v="3"/>
    <s v="DHS 930 "/>
    <s v="H＆Y네트워크"/>
    <m/>
    <n v="16856000"/>
    <n v="188362467206"/>
  </r>
  <r>
    <x v="3"/>
    <s v="DHS 433L "/>
    <s v="부민석재"/>
    <m/>
    <n v="14818181"/>
    <n v="188377285387"/>
  </r>
  <r>
    <x v="3"/>
    <s v="DHS 1200L "/>
    <s v="한전케이디엔(주)"/>
    <m/>
    <n v="1134900000"/>
    <n v="189512185387"/>
  </r>
  <r>
    <x v="3"/>
    <s v="DHS 433L "/>
    <s v="미래레저마린"/>
    <m/>
    <n v="13800000"/>
    <n v="189525985387"/>
  </r>
  <r>
    <x v="3"/>
    <s v="DHS 433L "/>
    <s v="아이지테크"/>
    <m/>
    <n v="14000000"/>
    <n v="189539985387"/>
  </r>
  <r>
    <x v="3"/>
    <s v="DHS 433L "/>
    <s v="신진유지건설(주)"/>
    <m/>
    <n v="13600000"/>
    <n v="189553585387"/>
  </r>
  <r>
    <x v="3"/>
    <s v="DHT 150S "/>
    <s v="개별화물"/>
    <m/>
    <n v="148200000"/>
    <n v="189701785387"/>
  </r>
  <r>
    <x v="3"/>
    <s v="DHS 950L "/>
    <s v="피앤씨텔레콤"/>
    <m/>
    <n v="35000000"/>
    <n v="189736785387"/>
  </r>
  <r>
    <x v="3"/>
    <s v="DHS 930 "/>
    <s v="(주)진주네트워크"/>
    <m/>
    <n v="35430000"/>
    <n v="189772215387"/>
  </r>
  <r>
    <x v="3"/>
    <s v="DHS 930 "/>
    <s v="(주)진주네트워크"/>
    <m/>
    <n v="35430000"/>
    <n v="189807645387"/>
  </r>
  <r>
    <x v="3"/>
    <s v="DHS 930 "/>
    <s v="(주)진주네트워크"/>
    <m/>
    <n v="35430000"/>
    <n v="189843075387"/>
  </r>
  <r>
    <x v="3"/>
    <s v="DHS 1200L "/>
    <s v="아림통신건설"/>
    <m/>
    <n v="41175000"/>
    <n v="189884250387"/>
  </r>
  <r>
    <x v="3"/>
    <s v="DHS 1200L "/>
    <s v="HK정보시스템"/>
    <m/>
    <n v="44545455"/>
    <n v="189928795842"/>
  </r>
  <r>
    <x v="3"/>
    <s v="DHS 15AP "/>
    <s v="창조전기"/>
    <m/>
    <n v="51000000"/>
    <n v="189979795842"/>
  </r>
  <r>
    <x v="3"/>
    <s v="DHS 1200L "/>
    <s v="장무통신"/>
    <m/>
    <n v="36818181"/>
    <n v="190016614023"/>
  </r>
  <r>
    <x v="3"/>
    <s v="DHS 433L "/>
    <s v="현대캐피탈주식회사"/>
    <m/>
    <n v="43056000"/>
    <n v="190059670023"/>
  </r>
  <r>
    <x v="3"/>
    <s v="DHS 433L "/>
    <s v="현대캐피탈주식회사"/>
    <m/>
    <n v="43056000"/>
    <n v="190102726023"/>
  </r>
  <r>
    <x v="3"/>
    <s v="DHS 433L "/>
    <s v="현대캐피탈주식회사"/>
    <m/>
    <n v="43056000"/>
    <n v="190145782023"/>
  </r>
  <r>
    <x v="3"/>
    <s v="DHS 433L "/>
    <s v="현대캐피탈주식회사"/>
    <m/>
    <n v="43056000"/>
    <n v="190188838023"/>
  </r>
  <r>
    <x v="3"/>
    <s v="DHS 433L "/>
    <s v="현대캐피탈주식회사"/>
    <m/>
    <n v="43056000"/>
    <n v="190231894023"/>
  </r>
  <r>
    <x v="3"/>
    <s v="DHS 433L "/>
    <s v="현대캐피탈주식회사"/>
    <m/>
    <n v="44493000"/>
    <n v="190276387023"/>
  </r>
  <r>
    <x v="3"/>
    <s v="DHS 433L "/>
    <s v="현대캐피탈주식회사"/>
    <m/>
    <n v="44493000"/>
    <n v="190320880023"/>
  </r>
  <r>
    <x v="3"/>
    <s v="동해이동정비탑차 "/>
    <s v="현대캐피탈주식회사"/>
    <m/>
    <n v="33379000"/>
    <n v="190354259023"/>
  </r>
  <r>
    <x v="3"/>
    <s v="동해이동정비탑차 "/>
    <s v="현대캐피탈주식회사"/>
    <m/>
    <n v="33379000"/>
    <n v="190387638023"/>
  </r>
  <r>
    <x v="3"/>
    <s v="동해이동정비탑차 "/>
    <s v="현대캐피탈주식회사"/>
    <m/>
    <n v="33379000"/>
    <n v="190421017023"/>
  </r>
  <r>
    <x v="3"/>
    <s v="동해이동정비탑차 "/>
    <s v="현대캐피탈주식회사"/>
    <m/>
    <n v="33379000"/>
    <n v="190454396023"/>
  </r>
  <r>
    <x v="3"/>
    <s v="동해이동정비탑차 "/>
    <s v="현대캐피탈주식회사"/>
    <m/>
    <n v="33379000"/>
    <n v="190487775023"/>
  </r>
  <r>
    <x v="3"/>
    <s v="동해이동정비탑차 "/>
    <s v="현대캐피탈주식회사"/>
    <m/>
    <n v="33379000"/>
    <n v="190521154023"/>
  </r>
  <r>
    <x v="3"/>
    <s v="DHS 433L "/>
    <s v="(유)신안산업개발"/>
    <m/>
    <n v="14150000"/>
    <n v="190535304023"/>
  </r>
  <r>
    <x v="3"/>
    <s v="DHS 15AP "/>
    <s v="인천국제공항공사"/>
    <m/>
    <n v="1100000"/>
    <n v="190536404023"/>
  </r>
  <r>
    <x v="3"/>
    <s v="코란도이동정비차 "/>
    <s v="현대캐피탈주식회사"/>
    <m/>
    <n v="3435000"/>
    <n v="190539839023"/>
  </r>
  <r>
    <x v="3"/>
    <s v="코란도이동정비차 "/>
    <s v="현대캐피탈주식회사"/>
    <m/>
    <n v="3435000"/>
    <n v="190543274023"/>
  </r>
  <r>
    <x v="3"/>
    <s v="코란도이동정비차 "/>
    <s v="현대캐피탈주식회사"/>
    <m/>
    <n v="3435000"/>
    <n v="190546709023"/>
  </r>
  <r>
    <x v="3"/>
    <s v="DHS 108SKY "/>
    <s v="피에이치피네트워크"/>
    <m/>
    <n v="37772727"/>
    <n v="190584481750"/>
  </r>
  <r>
    <x v="3"/>
    <s v="코란도이동정비차 "/>
    <s v="현대캐피탈주식회사"/>
    <m/>
    <n v="-3435000"/>
    <n v="190581046750"/>
  </r>
  <r>
    <x v="3"/>
    <s v="코란도이동정비차 "/>
    <s v="현대캐피탈주식회사"/>
    <m/>
    <n v="3598182"/>
    <n v="190584644932"/>
  </r>
  <r>
    <x v="3"/>
    <s v="코란도이동정비차 "/>
    <s v="현대캐피탈주식회사"/>
    <m/>
    <n v="-3435000"/>
    <n v="190581209932"/>
  </r>
  <r>
    <x v="3"/>
    <s v="코란도이동정비차 "/>
    <s v="현대캐피탈주식회사"/>
    <m/>
    <n v="3598182"/>
    <n v="190584808114"/>
  </r>
  <r>
    <x v="3"/>
    <s v="코란도이동정비차 "/>
    <s v="현대캐피탈주식회사"/>
    <m/>
    <n v="-3435000"/>
    <n v="190581373114"/>
  </r>
  <r>
    <x v="3"/>
    <s v="코란도이동정비차 "/>
    <s v="현대캐피탈주식회사"/>
    <m/>
    <n v="3598182"/>
    <n v="190584971296"/>
  </r>
  <r>
    <x v="3"/>
    <s v="BAK-14 에어시스템 개선"/>
    <s v="공군제20전투비행단"/>
    <m/>
    <n v="5572727"/>
    <n v="190590544023"/>
  </r>
  <r>
    <x v="3"/>
    <s v="DHS 930 "/>
    <s v="주식회사 신정"/>
    <m/>
    <n v="17765000"/>
    <n v="190608309023"/>
  </r>
  <r>
    <x v="3"/>
    <s v="DHS 1200L "/>
    <s v="신화전기"/>
    <m/>
    <n v="40100000"/>
    <n v="190648409023"/>
  </r>
  <r>
    <x v="3"/>
    <s v="DHS 1200L "/>
    <s v="오광전기"/>
    <m/>
    <n v="37000000"/>
    <n v="190685409023"/>
  </r>
  <r>
    <x v="3"/>
    <s v="DHS 433L "/>
    <s v="두산건기 강원판매(주)"/>
    <m/>
    <n v="44223000"/>
    <n v="190729632023"/>
  </r>
  <r>
    <x v="3"/>
    <s v="DHS 17AP "/>
    <s v="대구전업사"/>
    <m/>
    <n v="53000000"/>
    <n v="190782632023"/>
  </r>
  <r>
    <x v="3"/>
    <s v="15-76-BAK12 신축공사 중 설비공사-해미비행장"/>
    <s v="(주)태산씨엠건설"/>
    <m/>
    <n v="220000000"/>
    <n v="191002632023"/>
  </r>
  <r>
    <x v="3"/>
    <s v="DHS 950L "/>
    <s v="서경석"/>
    <m/>
    <n v="36500000"/>
    <n v="191039132023"/>
  </r>
  <r>
    <x v="3"/>
    <s v="DHS 15AP "/>
    <s v="부자전기"/>
    <m/>
    <n v="50909091"/>
    <n v="191090041114"/>
  </r>
  <r>
    <x v="3"/>
    <s v="DHS 17AP "/>
    <s v="주식회사 태경전기"/>
    <m/>
    <n v="53181818"/>
    <n v="191143222932"/>
  </r>
  <r>
    <x v="3"/>
    <s v="DHS 130SKY "/>
    <s v="수성통신"/>
    <m/>
    <n v="40000000"/>
    <n v="191183222932"/>
  </r>
  <r>
    <x v="3"/>
    <s v="DHS 1200L "/>
    <s v="(주)신한이에스"/>
    <m/>
    <n v="39850000"/>
    <n v="191223072932"/>
  </r>
  <r>
    <x v="3"/>
    <s v="DHS 15AP "/>
    <s v="인천국제공항공사"/>
    <m/>
    <n v="51898182"/>
    <n v="191274971114"/>
  </r>
  <r>
    <x v="3"/>
    <s v="DHS 15AP "/>
    <s v="(주)성원전기"/>
    <m/>
    <n v="51500000"/>
    <n v="191326471114"/>
  </r>
  <r>
    <x v="3"/>
    <s v="DHT 160AS "/>
    <s v="태양활선"/>
    <m/>
    <n v="175000000"/>
    <n v="191501471114"/>
  </r>
  <r>
    <x v="3"/>
    <s v="DHS 433L "/>
    <s v="펌프테크샵"/>
    <m/>
    <n v="14500000"/>
    <n v="191515971114"/>
  </r>
  <r>
    <x v="3"/>
    <s v="DHS 433L "/>
    <s v="이천시상하수도사업소"/>
    <m/>
    <n v="13950000"/>
    <n v="191529921114"/>
  </r>
  <r>
    <x v="3"/>
    <s v="DHS 433L "/>
    <s v="조도영석마린선외기"/>
    <m/>
    <n v="15013636"/>
    <n v="191544934750"/>
  </r>
  <r>
    <x v="3"/>
    <s v="DHS 433L "/>
    <s v="통영프로카"/>
    <m/>
    <n v="13350000"/>
    <n v="191558284750"/>
  </r>
  <r>
    <x v="3"/>
    <s v="DHS 950L "/>
    <s v="태호통신"/>
    <m/>
    <n v="36500000"/>
    <n v="191594784750"/>
  </r>
  <r>
    <x v="3"/>
    <s v="DHS 1200L "/>
    <s v="엘젠테크(주)"/>
    <m/>
    <n v="39090909"/>
    <n v="191633875659"/>
  </r>
  <r>
    <x v="3"/>
    <s v="DHS 1200L "/>
    <s v="(주)에스엠넷"/>
    <m/>
    <n v="36516000"/>
    <n v="191670391659"/>
  </r>
  <r>
    <x v="3"/>
    <s v="DHS 1200L "/>
    <s v="(주)미래전기"/>
    <m/>
    <n v="41500000"/>
    <n v="191711891659"/>
  </r>
  <r>
    <x v="3"/>
    <s v="WIRE TRANSMITTER"/>
    <s v="VIET TRUNG JOINT STOCK EQUIPMENT COMPANY"/>
    <m/>
    <n v="607717"/>
    <n v="191712499376"/>
  </r>
  <r>
    <x v="3"/>
    <s v="DHS 1200L "/>
    <s v="주식회사 성진전력"/>
    <m/>
    <n v="42727273"/>
    <n v="191755226649"/>
  </r>
  <r>
    <x v="3"/>
    <s v="DHS 950L "/>
    <s v="삼백통신"/>
    <m/>
    <n v="38000000"/>
    <n v="191793226649"/>
  </r>
  <r>
    <x v="3"/>
    <s v="DHS 950L "/>
    <s v="유영통신"/>
    <m/>
    <n v="38000000"/>
    <n v="191831226649"/>
  </r>
  <r>
    <x v="3"/>
    <s v="DHS 1200L "/>
    <s v="주식회사 누리아이티"/>
    <m/>
    <n v="39500000"/>
    <n v="191870726649"/>
  </r>
  <r>
    <x v="3"/>
    <s v="DHS 1200L "/>
    <s v="동아신호(주)"/>
    <m/>
    <n v="41000000"/>
    <n v="191911726649"/>
  </r>
  <r>
    <x v="3"/>
    <s v="DHS 15AP "/>
    <s v="(주)남경운수"/>
    <m/>
    <n v="50500000"/>
    <n v="191962226649"/>
  </r>
  <r>
    <x v="3"/>
    <s v="DHS 15AP "/>
    <s v="인천국제공항공사"/>
    <m/>
    <n v="-1100000"/>
    <n v="191961126649"/>
  </r>
  <r>
    <x v="3"/>
    <s v="DHS 15AP "/>
    <s v="인천국제공항공사"/>
    <m/>
    <n v="1100000"/>
    <n v="191962226649"/>
  </r>
  <r>
    <x v="3"/>
    <s v="DHS 930 "/>
    <s v="주식회사 선양정보통신"/>
    <m/>
    <n v="35000000"/>
    <n v="191997226649"/>
  </r>
  <r>
    <x v="3"/>
    <s v="DHS 15AP "/>
    <s v="문화천막공사"/>
    <m/>
    <n v="49500000"/>
    <n v="192046726649"/>
  </r>
  <r>
    <x v="3"/>
    <s v="DHS 1200L "/>
    <s v="주식회사 태은"/>
    <m/>
    <n v="37727272"/>
    <n v="192084453921"/>
  </r>
  <r>
    <x v="3"/>
    <s v="DHS 1200L "/>
    <s v="동양전기"/>
    <m/>
    <n v="40909091"/>
    <n v="192125363012"/>
  </r>
  <r>
    <x v="3"/>
    <s v="DHS 1200L "/>
    <s v="주식회사 광명전력"/>
    <m/>
    <n v="37000000"/>
    <n v="192162363012"/>
  </r>
  <r>
    <x v="3"/>
    <s v="DHS 1200L "/>
    <s v="남인천방송(주)"/>
    <m/>
    <n v="39115000"/>
    <n v="192201478012"/>
  </r>
  <r>
    <x v="3"/>
    <s v="동해이동정비차 "/>
    <s v="현대캐피탈주식회사"/>
    <m/>
    <n v="47940000"/>
    <n v="192249418012"/>
  </r>
  <r>
    <x v="3"/>
    <s v="동해이동정비차 "/>
    <s v="현대캐피탈주식회사"/>
    <m/>
    <n v="47940000"/>
    <n v="192297358012"/>
  </r>
  <r>
    <x v="3"/>
    <s v="동해이동정비차 "/>
    <s v="현대캐피탈주식회사"/>
    <m/>
    <n v="47940000"/>
    <n v="192345298012"/>
  </r>
  <r>
    <x v="3"/>
    <s v="동해이동정비차 "/>
    <s v="현대캐피탈주식회사"/>
    <m/>
    <n v="47940000"/>
    <n v="192393238012"/>
  </r>
  <r>
    <x v="3"/>
    <s v="동해이동정비차 "/>
    <s v="현대캐피탈주식회사"/>
    <m/>
    <n v="47940000"/>
    <n v="192441178012"/>
  </r>
  <r>
    <x v="3"/>
    <s v="동해이동정비차 "/>
    <s v="현대캐피탈주식회사"/>
    <m/>
    <n v="47940000"/>
    <n v="192489118012"/>
  </r>
  <r>
    <x v="3"/>
    <s v="DHS 433L "/>
    <s v="현대캐피탈주식회사"/>
    <m/>
    <n v="35000000"/>
    <n v="192524118012"/>
  </r>
  <r>
    <x v="3"/>
    <s v="DHS 1200L "/>
    <s v="명송테크 주식회사"/>
    <m/>
    <n v="40500000"/>
    <n v="192564618012"/>
  </r>
  <r>
    <x v="3"/>
    <s v="DHS 950L "/>
    <s v="주식회사 링크로드"/>
    <m/>
    <n v="16856000"/>
    <n v="192581474012"/>
  </r>
  <r>
    <x v="3"/>
    <s v="DHS 433L "/>
    <s v="인용정밀"/>
    <m/>
    <n v="14000000"/>
    <n v="192595474012"/>
  </r>
  <r>
    <x v="3"/>
    <s v="DHS 15AP "/>
    <s v="주식회사 태일전력기술"/>
    <m/>
    <n v="50700000"/>
    <n v="192646174012"/>
  </r>
  <r>
    <x v="3"/>
    <s v="DHS 1200L "/>
    <s v="삼인통신"/>
    <m/>
    <n v="39090909"/>
    <n v="192685264921"/>
  </r>
  <r>
    <x v="3"/>
    <s v="DHS 950L "/>
    <s v="(주)준하기업"/>
    <m/>
    <n v="16856000"/>
    <n v="192702120921"/>
  </r>
  <r>
    <x v="3"/>
    <s v="DHS 950L "/>
    <s v="대화네트웍스"/>
    <m/>
    <n v="35900000"/>
    <n v="192738020921"/>
  </r>
  <r>
    <x v="3"/>
    <s v="DHT 160S "/>
    <s v="영진활선"/>
    <m/>
    <n v="159000000"/>
    <n v="192897020921"/>
  </r>
  <r>
    <x v="3"/>
    <s v="DHS 433L "/>
    <s v="중앙해양특수구조단"/>
    <m/>
    <n v="47000000"/>
    <n v="192944020921"/>
  </r>
  <r>
    <x v="3"/>
    <s v="DHS 190SKY "/>
    <s v="배테랑 스카이"/>
    <m/>
    <n v="59000000"/>
    <n v="193003020921"/>
  </r>
  <r>
    <x v="3"/>
    <s v="DHS 950L "/>
    <s v="송만건설기업"/>
    <m/>
    <n v="38000000"/>
    <n v="193041020921"/>
  </r>
  <r>
    <x v="3"/>
    <s v="DHS 1200L "/>
    <s v="새한전자"/>
    <m/>
    <n v="37727273"/>
    <n v="193078748194"/>
  </r>
  <r>
    <x v="3"/>
    <s v="DHS 1200L "/>
    <s v="(주)달인"/>
    <m/>
    <n v="40000000"/>
    <n v="193118748194"/>
  </r>
  <r>
    <x v="3"/>
    <s v="DHS 15AP "/>
    <s v="명동전기공사"/>
    <m/>
    <n v="49434000"/>
    <n v="193168182194"/>
  </r>
  <r>
    <x v="3"/>
    <s v="DHS 15AP "/>
    <s v="(주)대우전력"/>
    <m/>
    <n v="51000000"/>
    <n v="193219182194"/>
  </r>
  <r>
    <x v="3"/>
    <s v="DHS 930 "/>
    <s v="누리정보통신 주식회사"/>
    <m/>
    <n v="35909091"/>
    <n v="193255091285"/>
  </r>
  <r>
    <x v="3"/>
    <s v="DHS 15AP "/>
    <s v="(주)남경운수"/>
    <m/>
    <n v="50500000"/>
    <n v="193305591285"/>
  </r>
  <r>
    <x v="3"/>
    <s v="동해이동장비탑차 "/>
    <s v="현대캐피탈주식회사"/>
    <m/>
    <n v="33379000"/>
    <n v="193338970285"/>
  </r>
  <r>
    <x v="3"/>
    <s v="동해이동장비탑차 "/>
    <s v="현대캐피탈주식회사"/>
    <m/>
    <n v="33379000"/>
    <n v="193372349285"/>
  </r>
  <r>
    <x v="3"/>
    <s v="동해이동장비탑차 "/>
    <s v="현대캐피탈주식회사"/>
    <m/>
    <n v="33379000"/>
    <n v="193405728285"/>
  </r>
  <r>
    <x v="3"/>
    <s v="동해이동장비탑차 "/>
    <s v="현대캐피탈주식회사"/>
    <m/>
    <n v="33379000"/>
    <n v="193439107285"/>
  </r>
  <r>
    <x v="3"/>
    <s v="DHS 950L "/>
    <s v="세범통신(K2-optical)"/>
    <m/>
    <n v="36818182"/>
    <n v="193475925467"/>
  </r>
  <r>
    <x v="3"/>
    <s v="DHS-14외 "/>
    <s v="WAIMEA TRUCK ＆ CRANE LTD"/>
    <m/>
    <n v="172768432"/>
    <n v="193648693899"/>
  </r>
  <r>
    <x v="3"/>
    <s v="DHS 950L "/>
    <s v="주식회사 아이씨피"/>
    <m/>
    <n v="35000000"/>
    <n v="193683693899"/>
  </r>
  <r>
    <x v="3"/>
    <s v="DHS 930 "/>
    <s v="백두현"/>
    <m/>
    <n v="35636364"/>
    <n v="193719330263"/>
  </r>
  <r>
    <x v="3"/>
    <s v="DHS 950L "/>
    <s v="이음네트웍스"/>
    <m/>
    <n v="37260000"/>
    <n v="193756590263"/>
  </r>
  <r>
    <x v="3"/>
    <s v="DHS 950L "/>
    <s v="신광천"/>
    <m/>
    <n v="38727273"/>
    <n v="193795317536"/>
  </r>
  <r>
    <x v="3"/>
    <s v="DHS 1200L "/>
    <s v="주식회사호은"/>
    <m/>
    <n v="44800000"/>
    <n v="193840117536"/>
  </r>
  <r>
    <x v="3"/>
    <s v="DHS 950L "/>
    <s v="남경통신"/>
    <m/>
    <n v="38600000"/>
    <n v="193878717536"/>
  </r>
  <r>
    <x v="3"/>
    <s v="DHS 950L "/>
    <s v="(주)에스오에이텔레콤"/>
    <m/>
    <n v="37727273"/>
    <n v="193916444809"/>
  </r>
  <r>
    <x v="3"/>
    <s v="DHS 15AP "/>
    <s v="(주)넥스파시스템"/>
    <m/>
    <n v="50900000"/>
    <n v="193967344809"/>
  </r>
  <r>
    <x v="3"/>
    <s v="DHS 930 "/>
    <s v="반포정보통신"/>
    <m/>
    <n v="35454545"/>
    <n v="194002799354"/>
  </r>
  <r>
    <x v="3"/>
    <s v="DHS 433L "/>
    <s v="김해시청"/>
    <m/>
    <n v="31072728"/>
    <n v="194033872082"/>
  </r>
  <r>
    <x v="3"/>
    <s v="DHT 160AS "/>
    <s v="이미경"/>
    <m/>
    <n v="171000000"/>
    <n v="194204872082"/>
  </r>
  <r>
    <x v="3"/>
    <s v="DHS 1200L "/>
    <s v="다올산전 주식회사"/>
    <m/>
    <n v="38500000"/>
    <n v="194243372082"/>
  </r>
  <r>
    <x v="3"/>
    <s v="DHS 950L "/>
    <s v="미루마루"/>
    <m/>
    <n v="38181818"/>
    <n v="194281553900"/>
  </r>
  <r>
    <x v="3"/>
    <s v="DHS 15AP "/>
    <s v="(주)남경운수"/>
    <m/>
    <n v="51000000"/>
    <n v="194332553900"/>
  </r>
  <r>
    <x v="3"/>
    <s v="DHS 950L "/>
    <s v="풀임통신"/>
    <m/>
    <n v="37000000"/>
    <n v="194369553900"/>
  </r>
  <r>
    <x v="3"/>
    <s v="DHS 433L "/>
    <s v="양구군농업기술센터"/>
    <m/>
    <n v="31381819"/>
    <n v="194400935719"/>
  </r>
  <r>
    <x v="3"/>
    <s v="DHT 160AS "/>
    <s v="이미경"/>
    <m/>
    <n v="-171000000"/>
    <n v="194229935719"/>
  </r>
  <r>
    <x v="3"/>
    <s v="DHT 160AS "/>
    <s v="두리활선"/>
    <m/>
    <n v="171000000"/>
    <n v="194400935719"/>
  </r>
  <r>
    <x v="3"/>
    <s v="DHAS 140SS "/>
    <s v="클린로드피아"/>
    <m/>
    <n v="40000000"/>
    <n v="194440935719"/>
  </r>
  <r>
    <x v="3"/>
    <s v="DHS 433L "/>
    <s v="한국환경공단본사"/>
    <m/>
    <n v="31580000"/>
    <n v="194472515719"/>
  </r>
  <r>
    <x v="3"/>
    <s v="DHS 433L "/>
    <s v="한국환경공단본사"/>
    <m/>
    <n v="-31580000"/>
    <n v="194440935719"/>
  </r>
  <r>
    <x v="3"/>
    <s v="DHS 433L "/>
    <s v="한국환경공단본사"/>
    <m/>
    <n v="31580000"/>
    <n v="194472515719"/>
  </r>
  <r>
    <x v="3"/>
    <s v="DHS 433L "/>
    <s v="한국환경공단본사"/>
    <m/>
    <n v="4179000"/>
    <n v="194476694719"/>
  </r>
  <r>
    <x v="3"/>
    <s v="16년 작전지원시설 개선공사-대구비행장"/>
    <s v="인터엠옥정"/>
    <m/>
    <n v="35816000"/>
    <n v="194512510719"/>
  </r>
  <r>
    <x v="3"/>
    <s v="DHS 1200L "/>
    <s v="이레이엔씨 주식회사"/>
    <m/>
    <n v="40500000"/>
    <n v="194553010719"/>
  </r>
  <r>
    <x v="3"/>
    <s v="WOODEN BOX "/>
    <s v="K9 METAL CO.,LTD"/>
    <m/>
    <n v="627990"/>
    <n v="194553638709"/>
  </r>
  <r>
    <x v="3"/>
    <s v="DHS 950L "/>
    <s v="(주)파워텔레콤"/>
    <m/>
    <n v="16956000"/>
    <n v="194570594709"/>
  </r>
  <r>
    <x v="3"/>
    <s v="DHS 1200L "/>
    <s v="유승정보통신"/>
    <m/>
    <n v="40181818"/>
    <n v="194610776527"/>
  </r>
  <r>
    <x v="3"/>
    <s v="DHS 1200L "/>
    <s v="K9 METAL CO.,LTD"/>
    <m/>
    <n v="61844859"/>
    <n v="194672621386"/>
  </r>
  <r>
    <x v="3"/>
    <s v="DHS 950L "/>
    <s v="신흥정보통신(주)"/>
    <m/>
    <n v="36300000"/>
    <n v="194708921386"/>
  </r>
  <r>
    <x v="3"/>
    <s v="DHS 433L "/>
    <s v="주식회사 일진펌프"/>
    <m/>
    <n v="14545454"/>
    <n v="194723466840"/>
  </r>
  <r>
    <x v="3"/>
    <s v="DHS 1200L "/>
    <s v="엠엔와이(M＆Y)"/>
    <m/>
    <n v="41363636"/>
    <n v="194764830476"/>
  </r>
  <r>
    <x v="3"/>
    <s v="DHS 950L "/>
    <s v="태성통신"/>
    <m/>
    <n v="38181818"/>
    <n v="194803012294"/>
  </r>
  <r>
    <x v="3"/>
    <s v="DHS 950L "/>
    <s v="주식회사 중부보안"/>
    <m/>
    <n v="36818182"/>
    <n v="194839830476"/>
  </r>
  <r>
    <x v="3"/>
    <s v="DHS 930 "/>
    <s v="주식회사 지엠티"/>
    <m/>
    <n v="17573000"/>
    <n v="194857403476"/>
  </r>
  <r>
    <x v="3"/>
    <s v="DHS 15AP "/>
    <s v="동신전기사(주)"/>
    <m/>
    <n v="50909090"/>
    <n v="194908312566"/>
  </r>
  <r>
    <x v="3"/>
    <s v="DHS 950L "/>
    <s v="대호정보통신"/>
    <m/>
    <n v="38500000"/>
    <n v="194946812566"/>
  </r>
  <r>
    <x v="3"/>
    <s v="DHS 433L "/>
    <s v="하지공업(주)"/>
    <m/>
    <n v="14400000"/>
    <n v="194961212566"/>
  </r>
  <r>
    <x v="3"/>
    <s v="DHS 950L "/>
    <s v="HUYNH THY TRADING SERVICES CO., LTD"/>
    <m/>
    <n v="49956880"/>
    <n v="195011169446"/>
  </r>
  <r>
    <x v="3"/>
    <s v="DHS 950L "/>
    <s v="태성이엔씨주식회사"/>
    <m/>
    <n v="17573000"/>
    <n v="195028742446"/>
  </r>
  <r>
    <x v="3"/>
    <s v="DHT 150AS "/>
    <s v="명일전기개별화물"/>
    <m/>
    <n v="165000000"/>
    <n v="195193742446"/>
  </r>
  <r>
    <x v="3"/>
    <s v="DHS 1200L "/>
    <s v="준상정보통신 주식회사"/>
    <m/>
    <n v="43159091"/>
    <n v="195236901537"/>
  </r>
  <r>
    <x v="3"/>
    <s v="DHS 15AP "/>
    <s v="엘케이정보통신(LK정보통신)"/>
    <m/>
    <n v="48900000"/>
    <n v="195285801537"/>
  </r>
  <r>
    <x v="3"/>
    <s v="DHS 15AP "/>
    <s v="엘케이정보통신(LK정보통신)"/>
    <m/>
    <n v="-48900000"/>
    <n v="195236901537"/>
  </r>
  <r>
    <x v="3"/>
    <s v="DHS 15AP "/>
    <s v="엘케이정보통신(LK정보통신)"/>
    <m/>
    <n v="48900000"/>
    <n v="195285801537"/>
  </r>
  <r>
    <x v="3"/>
    <s v="DHS 930 "/>
    <s v="하이눈정보통신"/>
    <m/>
    <n v="36500000"/>
    <n v="195322301537"/>
  </r>
  <r>
    <x v="3"/>
    <s v="DHS 534 "/>
    <s v="종합마린"/>
    <m/>
    <n v="14000000"/>
    <n v="195336301537"/>
  </r>
  <r>
    <x v="3"/>
    <s v="DHS 950L "/>
    <s v="맥스정보"/>
    <m/>
    <n v="20144000"/>
    <n v="195356445537"/>
  </r>
  <r>
    <x v="3"/>
    <s v="DHT 160S "/>
    <s v="전국활선"/>
    <m/>
    <n v="160909091"/>
    <n v="195517354628"/>
  </r>
  <r>
    <x v="3"/>
    <s v="DHT 160S "/>
    <s v="승민활선"/>
    <m/>
    <n v="160909091"/>
    <n v="195678263719"/>
  </r>
  <r>
    <x v="3"/>
    <s v="DHT 160AS "/>
    <s v="팔공특수종합물류(주)"/>
    <m/>
    <n v="175000000"/>
    <n v="195853263719"/>
  </r>
  <r>
    <x v="3"/>
    <s v="DHT 160AS "/>
    <s v="제이에이치일렉트릭(J.H electric)"/>
    <m/>
    <n v="171000000"/>
    <n v="196024263719"/>
  </r>
  <r>
    <x v="3"/>
    <s v="DHS 433L "/>
    <s v="연안종합중기"/>
    <m/>
    <n v="14900000"/>
    <n v="196039163719"/>
  </r>
  <r>
    <x v="3"/>
    <s v="DHS 534 "/>
    <s v="대한선외기"/>
    <m/>
    <n v="14000000"/>
    <n v="196053163719"/>
  </r>
  <r>
    <x v="3"/>
    <s v="DHS 950L "/>
    <s v="GN Networks(지엔 네트웍스)"/>
    <m/>
    <n v="38300000"/>
    <n v="196091463719"/>
  </r>
  <r>
    <x v="3"/>
    <s v="DHS 950L "/>
    <s v="(주)광주텔레콤"/>
    <m/>
    <n v="20144000"/>
    <n v="196111607719"/>
  </r>
  <r>
    <x v="3"/>
    <s v="DHS 950L "/>
    <s v="유림정보통신"/>
    <m/>
    <n v="39272727"/>
    <n v="196150880446"/>
  </r>
  <r>
    <x v="3"/>
    <s v="DHS 950L "/>
    <s v="한스정보통신"/>
    <m/>
    <n v="20144000"/>
    <n v="196171024446"/>
  </r>
  <r>
    <x v="3"/>
    <s v="DHS 433L"/>
    <s v="윌로펌프서비스"/>
    <m/>
    <n v="12200000"/>
    <n v="196183224446"/>
  </r>
  <r>
    <x v="3"/>
    <s v="DHS 534"/>
    <s v="국제모터공업"/>
    <m/>
    <n v="14200000"/>
    <n v="196197424446"/>
  </r>
  <r>
    <x v="3"/>
    <s v="PART FOR CONTROL BOX "/>
    <s v="VIET TRUNG JOINT STOCK EQUIPMENT COMPANY"/>
    <m/>
    <n v="701280"/>
    <n v="196198125726"/>
  </r>
  <r>
    <x v="3"/>
    <s v="DHT 150S "/>
    <s v="육군제1266부대"/>
    <m/>
    <n v="128636364"/>
    <n v="196326762090"/>
  </r>
  <r>
    <x v="3"/>
    <s v="DHS 950L "/>
    <s v="제이비(JB)네트웍스"/>
    <m/>
    <n v="35000000"/>
    <n v="196361762090"/>
  </r>
  <r>
    <x v="3"/>
    <s v="DHS 15AP "/>
    <s v="선우전기공사"/>
    <m/>
    <n v="51818182"/>
    <n v="196413580272"/>
  </r>
  <r>
    <x v="3"/>
    <s v="DHS 1200L "/>
    <s v="주식회사 원전기"/>
    <m/>
    <n v="45300000"/>
    <n v="196458880272"/>
  </r>
  <r>
    <x v="3"/>
    <s v="DHS 433L "/>
    <s v="태양마린"/>
    <m/>
    <n v="14200000"/>
    <n v="196473080272"/>
  </r>
  <r>
    <x v="3"/>
    <s v="DHS 534 "/>
    <s v="유니온마린"/>
    <m/>
    <n v="13180000"/>
    <n v="196486260272"/>
  </r>
  <r>
    <x v="3"/>
    <s v="DHS 950L "/>
    <s v="(주)파워텔레콤"/>
    <m/>
    <n v="16956000"/>
    <n v="196503216272"/>
  </r>
  <r>
    <x v="3"/>
    <s v="DHS 950L "/>
    <s v="(주)동아이앤씨"/>
    <m/>
    <n v="20144000"/>
    <n v="196523360272"/>
  </r>
  <r>
    <x v="3"/>
    <s v="DHS 1200L "/>
    <s v="주식회사 한솔텔레콤"/>
    <m/>
    <n v="40450000"/>
    <n v="196563810272"/>
  </r>
  <r>
    <x v="3"/>
    <s v="DHS 433L "/>
    <s v="정진기계"/>
    <m/>
    <n v="14545455"/>
    <n v="196578355727"/>
  </r>
  <r>
    <x v="3"/>
    <s v="DHS 433L "/>
    <s v="엘림중기"/>
    <m/>
    <n v="14300000"/>
    <n v="196592655727"/>
  </r>
  <r>
    <x v="3"/>
    <s v="DHS 15AP "/>
    <s v="(주)눈소프트"/>
    <m/>
    <n v="52409091"/>
    <n v="196645064818"/>
  </r>
  <r>
    <x v="3"/>
    <s v="DHS 433L "/>
    <s v="최고공구"/>
    <m/>
    <n v="15000000"/>
    <n v="196660064818"/>
  </r>
  <r>
    <x v="3"/>
    <s v="DHS 950L "/>
    <s v="에스앤지텔레콤(주)"/>
    <m/>
    <n v="20144000"/>
    <n v="196680208818"/>
  </r>
  <r>
    <x v="3"/>
    <s v="DHT 150S "/>
    <s v="대왕활선"/>
    <m/>
    <n v="148200000"/>
    <n v="196828408818"/>
  </r>
  <r>
    <x v="3"/>
    <s v="DHT 160AS "/>
    <s v="고흥전력(주)"/>
    <m/>
    <n v="175000000"/>
    <n v="197003408818"/>
  </r>
  <r>
    <x v="3"/>
    <s v="DHT 160AS "/>
    <s v="삼창"/>
    <m/>
    <n v="171000000"/>
    <n v="197174408818"/>
  </r>
  <r>
    <x v="3"/>
    <s v="DHS 950L "/>
    <s v="트인정보통신"/>
    <m/>
    <n v="37500000"/>
    <n v="197211908818"/>
  </r>
  <r>
    <x v="3"/>
    <s v="DHS 190SKY "/>
    <s v="주식회사 파로스넷"/>
    <m/>
    <n v="60000000"/>
    <n v="197271908818"/>
  </r>
  <r>
    <x v="3"/>
    <s v="DHS 950L "/>
    <s v="TRI HONG DUC INDUSTRIES CO., LTD"/>
    <m/>
    <n v="27375170"/>
    <n v="197299283988"/>
  </r>
  <r>
    <x v="3"/>
    <s v="DHS 950L "/>
    <s v="국가보훈처88골프장"/>
    <m/>
    <n v="35000000"/>
    <n v="197334283988"/>
  </r>
  <r>
    <x v="3"/>
    <s v="DHS 15AP "/>
    <s v="에이빗코리아주식회사"/>
    <m/>
    <n v="50909091"/>
    <n v="197385193079"/>
  </r>
  <r>
    <x v="3"/>
    <s v="DHS 433L "/>
    <s v="정덕화"/>
    <m/>
    <n v="13909091"/>
    <n v="197399102170"/>
  </r>
  <r>
    <x v="3"/>
    <s v="DHS 15AP "/>
    <s v="신아전기"/>
    <m/>
    <n v="51000000"/>
    <n v="197450102170"/>
  </r>
  <r>
    <x v="3"/>
    <s v="DHT 150S "/>
    <s v="(주)신우일렉트릭"/>
    <m/>
    <n v="144950000"/>
    <n v="197595052170"/>
  </r>
  <r>
    <x v="3"/>
    <s v="DHS 15AP "/>
    <s v="WUHAN HANFU SPECIAL VEHICLE"/>
    <m/>
    <n v="31038079"/>
    <n v="197626090249"/>
  </r>
  <r>
    <x v="3"/>
    <s v="DHS 950L "/>
    <s v="주식회사 한울운수"/>
    <m/>
    <n v="18373000"/>
    <n v="197644463249"/>
  </r>
  <r>
    <x v="3"/>
    <s v="DHS 950L "/>
    <s v="주식회사 한울운수"/>
    <m/>
    <n v="18373000"/>
    <n v="197662836249"/>
  </r>
  <r>
    <x v="3"/>
    <s v="DHS 950L "/>
    <s v="(주)욱일정보통신"/>
    <m/>
    <n v="17573000"/>
    <n v="197680409249"/>
  </r>
  <r>
    <x v="3"/>
    <s v="DHS 950L "/>
    <s v="건재통신"/>
    <m/>
    <n v="38181818"/>
    <n v="197718591067"/>
  </r>
  <r>
    <x v="3"/>
    <s v="DHS 950L "/>
    <s v="고려통신"/>
    <m/>
    <n v="38181818"/>
    <n v="197756772885"/>
  </r>
  <r>
    <x v="3"/>
    <s v="DHS 1200L "/>
    <s v="(주)케이씨"/>
    <m/>
    <n v="41000000"/>
    <n v="197797772885"/>
  </r>
  <r>
    <x v="3"/>
    <s v="DHS 433L "/>
    <s v="영동군청"/>
    <m/>
    <n v="14309091"/>
    <n v="197812081976"/>
  </r>
  <r>
    <x v="3"/>
    <s v="DHS 433L "/>
    <s v="환경관리 주식회사"/>
    <m/>
    <n v="12800000"/>
    <n v="197824881976"/>
  </r>
  <r>
    <x v="3"/>
    <s v="DHS 950L "/>
    <s v="호성통신"/>
    <m/>
    <n v="37727272"/>
    <n v="197862609248"/>
  </r>
  <r>
    <x v="3"/>
    <s v="DHS 130SKY "/>
    <s v="코스정보통신"/>
    <m/>
    <n v="42700000"/>
    <n v="197905309248"/>
  </r>
  <r>
    <x v="3"/>
    <s v="DHS 15AP "/>
    <s v="신대근"/>
    <m/>
    <n v="48500000"/>
    <n v="197953809248"/>
  </r>
  <r>
    <x v="3"/>
    <s v="DHS 1200L "/>
    <s v="우성정보통신"/>
    <m/>
    <n v="43636364"/>
    <n v="197997445612"/>
  </r>
  <r>
    <x v="3"/>
    <s v="DHS 17AP "/>
    <s v="(주)설성전기공사"/>
    <m/>
    <n v="54545455"/>
    <n v="198051991067"/>
  </r>
  <r>
    <x v="3"/>
    <s v="DHS 950L "/>
    <s v="주식회사 국민통신"/>
    <m/>
    <n v="18373000"/>
    <n v="198070364067"/>
  </r>
  <r>
    <x v="3"/>
    <s v="DHS 950L "/>
    <s v="성운통신"/>
    <m/>
    <n v="37500000"/>
    <n v="198107864067"/>
  </r>
  <r>
    <x v="3"/>
    <s v="MA-1A보호커버"/>
    <s v="공군제15특수임무비행단"/>
    <m/>
    <n v="5079636"/>
    <n v="198112943703"/>
  </r>
  <r>
    <x v="3"/>
    <s v="DHS 433L "/>
    <s v="(유)웅진기계"/>
    <m/>
    <n v="14500000"/>
    <n v="198127443703"/>
  </r>
  <r>
    <x v="3"/>
    <s v="DHS 950L "/>
    <s v="(주)성보"/>
    <m/>
    <n v="17803000"/>
    <n v="198145246703"/>
  </r>
  <r>
    <x v="3"/>
    <s v="DHS 950L "/>
    <s v="(주)성산정보시스템"/>
    <m/>
    <n v="17803000"/>
    <n v="198163049703"/>
  </r>
  <r>
    <x v="3"/>
    <s v="DHT 150AS "/>
    <s v="김낙준"/>
    <m/>
    <n v="163000000"/>
    <n v="198326049703"/>
  </r>
  <r>
    <x v="3"/>
    <s v="DHS 930 "/>
    <s v="JS통신"/>
    <m/>
    <n v="35909091"/>
    <n v="198361958794"/>
  </r>
  <r>
    <x v="3"/>
    <s v="DHS 950L "/>
    <s v="도현정보통신"/>
    <m/>
    <n v="38181818"/>
    <n v="198400140612"/>
  </r>
  <r>
    <x v="3"/>
    <s v="DHS 950L "/>
    <s v="원테크"/>
    <m/>
    <n v="17600000"/>
    <n v="198417740612"/>
  </r>
  <r>
    <x v="3"/>
    <s v="DHS 950L "/>
    <s v="도경통신"/>
    <m/>
    <n v="38500000"/>
    <n v="198456240612"/>
  </r>
  <r>
    <x v="3"/>
    <s v="DHT 160S "/>
    <s v="(주)코원"/>
    <m/>
    <n v="155000000"/>
    <n v="198611240612"/>
  </r>
  <r>
    <x v="3"/>
    <s v="DHS 433L "/>
    <s v="주식회사 유아이테크"/>
    <m/>
    <n v="14500000"/>
    <n v="198625740612"/>
  </r>
  <r>
    <x v="3"/>
    <s v="DHS 433L "/>
    <s v="주식회사 유아이테크"/>
    <m/>
    <n v="14500000"/>
    <n v="198640240612"/>
  </r>
  <r>
    <x v="3"/>
    <s v="DHS 433L "/>
    <s v="주식회사 유아이테크"/>
    <m/>
    <n v="14500000"/>
    <n v="198654740612"/>
  </r>
  <r>
    <x v="3"/>
    <s v="DHS 433L "/>
    <s v="주식회사 유아이테크"/>
    <m/>
    <n v="14500000"/>
    <n v="198669240612"/>
  </r>
  <r>
    <x v="3"/>
    <s v="DHS 433L "/>
    <s v="주식회사 유아이테크"/>
    <m/>
    <n v="14500000"/>
    <n v="198683740612"/>
  </r>
  <r>
    <x v="3"/>
    <s v="DHT 160AS "/>
    <s v="창조 ENG"/>
    <m/>
    <n v="175000000"/>
    <n v="198858740612"/>
  </r>
  <r>
    <x v="3"/>
    <s v="DHS 15AP "/>
    <s v="대진전력(주)"/>
    <m/>
    <n v="51181818"/>
    <n v="198909922430"/>
  </r>
  <r>
    <x v="3"/>
    <s v="DHS 15AP "/>
    <s v="주식회사 미래공사"/>
    <m/>
    <n v="50454545"/>
    <n v="198960376975"/>
  </r>
  <r>
    <x v="3"/>
    <s v="DHS 433L "/>
    <s v="(주)티에스케이워터"/>
    <m/>
    <n v="14500000"/>
    <n v="198974876975"/>
  </r>
  <r>
    <x v="3"/>
    <s v="DHS 130SKY "/>
    <s v="다대통신"/>
    <m/>
    <n v="41000000"/>
    <n v="199015876975"/>
  </r>
  <r>
    <x v="3"/>
    <s v="DHS 950L "/>
    <s v="주식회사비전정보통신"/>
    <m/>
    <n v="36363636"/>
    <n v="199052240611"/>
  </r>
  <r>
    <x v="3"/>
    <s v="DHS 1200L "/>
    <s v="유한회사 본테크"/>
    <m/>
    <n v="39500000"/>
    <n v="199091740611"/>
  </r>
  <r>
    <x v="3"/>
    <s v="DHS 15AP "/>
    <s v="더원"/>
    <m/>
    <n v="50500000"/>
    <n v="199142240611"/>
  </r>
  <r>
    <x v="3"/>
    <s v="DHS 433L "/>
    <s v="제주특별자치도 상하수도본부"/>
    <m/>
    <n v="16018182"/>
    <n v="199158258793"/>
  </r>
  <r>
    <x v="3"/>
    <s v="DHT 150AS "/>
    <s v="(유)원창건설"/>
    <m/>
    <n v="162000000"/>
    <n v="199320258793"/>
  </r>
  <r>
    <x v="3"/>
    <s v="DHS 15AP "/>
    <s v="영광전업사"/>
    <m/>
    <n v="51000000"/>
    <n v="199371258793"/>
  </r>
  <r>
    <x v="3"/>
    <s v="DHT 150S "/>
    <s v="주식회사 태근이엔씨"/>
    <m/>
    <n v="144200000"/>
    <n v="199515458793"/>
  </r>
  <r>
    <x v="3"/>
    <s v="DHT 160S-6 Q'ty "/>
    <s v="VIET TRUNG JOINT STOCK EQUIPMENT COMPANY"/>
    <m/>
    <n v="1678066800"/>
    <n v="201193525593"/>
  </r>
  <r>
    <x v="3"/>
    <s v="DHS 950L "/>
    <s v="유니넷텍(주)"/>
    <m/>
    <n v="17803000"/>
    <n v="201211328593"/>
  </r>
  <r>
    <x v="3"/>
    <s v="DHS 1200L "/>
    <s v="에스엠기술단"/>
    <m/>
    <n v="37700000"/>
    <n v="201249028593"/>
  </r>
  <r>
    <x v="3"/>
    <s v="DHS 1200L "/>
    <s v="서한산업(주)"/>
    <m/>
    <n v="45454545"/>
    <n v="201294483138"/>
  </r>
  <r>
    <x v="3"/>
    <s v="DHS 125AP "/>
    <s v="(주)대경하이텍"/>
    <m/>
    <n v="44090909"/>
    <n v="201338574047"/>
  </r>
  <r>
    <x v="3"/>
    <s v="DHS 950L "/>
    <s v="(주)엘에스케이네트워크(LsK Network Co, .Ltd)"/>
    <m/>
    <n v="18373000"/>
    <n v="201356947047"/>
  </r>
  <r>
    <x v="3"/>
    <s v="DHS 950L "/>
    <s v="(주)성지정보통신"/>
    <m/>
    <n v="37000000"/>
    <n v="201393947047"/>
  </r>
  <r>
    <x v="3"/>
    <s v="DHS 1200L "/>
    <s v="주식회사 가나"/>
    <m/>
    <n v="40200000"/>
    <n v="201434147047"/>
  </r>
  <r>
    <x v="3"/>
    <s v="DHT 160S "/>
    <s v="(주)한남전설"/>
    <m/>
    <n v="160000000"/>
    <n v="201594147047"/>
  </r>
  <r>
    <x v="3"/>
    <s v="DHS 930 "/>
    <s v="티케이정보통신(주)"/>
    <m/>
    <n v="34545454"/>
    <n v="201628692501"/>
  </r>
  <r>
    <x v="3"/>
    <s v="DHS 950L "/>
    <s v="신풍네트웍스"/>
    <m/>
    <n v="36772727"/>
    <n v="201665465228"/>
  </r>
  <r>
    <x v="3"/>
    <s v="DHT 150S "/>
    <s v="(주)원동전력"/>
    <m/>
    <n v="147300000"/>
    <n v="201812765228"/>
  </r>
  <r>
    <x v="3"/>
    <s v="DHT 150AS "/>
    <s v="풍경주식회사"/>
    <m/>
    <n v="162000000"/>
    <n v="201974765228"/>
  </r>
  <r>
    <x v="3"/>
    <s v="DHT 150S "/>
    <s v="(주)분성전기"/>
    <m/>
    <n v="147300000"/>
    <n v="202122065228"/>
  </r>
  <r>
    <x v="3"/>
    <s v="DHS 433L "/>
    <s v="대양선외기상사"/>
    <m/>
    <n v="14300000"/>
    <n v="202136365228"/>
  </r>
  <r>
    <x v="3"/>
    <s v="DHS 433L "/>
    <s v="(주)씨아이건설"/>
    <m/>
    <n v="14663636"/>
    <n v="202151028864"/>
  </r>
  <r>
    <x v="3"/>
    <s v="DHS 433L "/>
    <s v="푸른파주주식회사"/>
    <m/>
    <n v="15440000"/>
    <n v="202166468864"/>
  </r>
  <r>
    <x v="3"/>
    <s v="DHS 950L "/>
    <s v="씨앤에이"/>
    <m/>
    <n v="38500000"/>
    <n v="202204968864"/>
  </r>
  <r>
    <x v="3"/>
    <s v="Limit sensor for boom rest bracket외 "/>
    <s v="VIET TRUNG JOINT STOCK EQUIPMENT COMPANY"/>
    <m/>
    <n v="605901"/>
    <n v="202205574765"/>
  </r>
  <r>
    <x v="3"/>
    <s v="DHT 160AS "/>
    <s v="장수활선"/>
    <m/>
    <n v="175000000"/>
    <n v="202380574765"/>
  </r>
  <r>
    <x v="3"/>
    <s v="DHT 150S "/>
    <s v="주식회사 대승"/>
    <m/>
    <n v="147272727"/>
    <n v="202527847492"/>
  </r>
  <r>
    <x v="3"/>
    <s v="DHS 1200L "/>
    <s v="신화통신"/>
    <m/>
    <n v="39090909"/>
    <n v="202566938401"/>
  </r>
  <r>
    <x v="3"/>
    <s v="DHT 150AS "/>
    <s v="유한회사 한양전력"/>
    <m/>
    <n v="166500000"/>
    <n v="202733438401"/>
  </r>
  <r>
    <x v="3"/>
    <s v="DHS 1200L "/>
    <s v="(주)대웅정보통신"/>
    <m/>
    <n v="44090909"/>
    <n v="202777529310"/>
  </r>
  <r>
    <x v="3"/>
    <s v="DHS 930 "/>
    <s v="선후"/>
    <m/>
    <n v="18373000"/>
    <n v="202795902310"/>
  </r>
  <r>
    <x v="3"/>
    <s v="DHS 930 "/>
    <s v="선우통신"/>
    <m/>
    <n v="18373000"/>
    <n v="202814275310"/>
  </r>
  <r>
    <x v="3"/>
    <s v="DHS 15AP "/>
    <s v="(주)동명산전"/>
    <m/>
    <n v="51000000"/>
    <n v="202865275310"/>
  </r>
  <r>
    <x v="3"/>
    <s v="DHS 950L "/>
    <s v="성진정보통신"/>
    <m/>
    <n v="37470000"/>
    <n v="202902745310"/>
  </r>
  <r>
    <x v="3"/>
    <s v="DHT 160S "/>
    <s v="(주)태산전기"/>
    <m/>
    <n v="159250000"/>
    <n v="203061995310"/>
  </r>
  <r>
    <x v="3"/>
    <s v="DHT 160AS "/>
    <s v="기대전기주식회사"/>
    <m/>
    <n v="175000000"/>
    <n v="203236995310"/>
  </r>
  <r>
    <x v="3"/>
    <s v="DHS 1200L "/>
    <s v="(합)삼부전력"/>
    <m/>
    <n v="39000000"/>
    <n v="203275995310"/>
  </r>
  <r>
    <x v="3"/>
    <s v="DHS 950L "/>
    <s v="광통신"/>
    <m/>
    <n v="37500000"/>
    <n v="203313495310"/>
  </r>
  <r>
    <x v="3"/>
    <s v="DHS 930 "/>
    <s v="유정통신"/>
    <m/>
    <n v="17573000"/>
    <n v="203331068310"/>
  </r>
  <r>
    <x v="3"/>
    <s v="DHS 534 "/>
    <s v="금천씨스템(주)"/>
    <m/>
    <n v="14500000"/>
    <n v="203345568310"/>
  </r>
  <r>
    <x v="3"/>
    <s v="DHS 15AP "/>
    <s v="주식회사 이엔씨파워"/>
    <m/>
    <n v="53636364"/>
    <n v="203399204674"/>
  </r>
  <r>
    <x v="3"/>
    <s v="DHS 950L "/>
    <s v="일공일통신"/>
    <m/>
    <n v="37500000"/>
    <n v="203436704674"/>
  </r>
  <r>
    <x v="3"/>
    <s v="DHT 160AS "/>
    <s v="대성"/>
    <m/>
    <n v="171000000"/>
    <n v="203607704674"/>
  </r>
  <r>
    <x v="3"/>
    <s v="DHS 15AP "/>
    <s v="주식회사 청평엔지니어링"/>
    <m/>
    <n v="50000000"/>
    <n v="203657704674"/>
  </r>
  <r>
    <x v="3"/>
    <s v="DHS 15AP "/>
    <s v="도은전력"/>
    <m/>
    <n v="51363636"/>
    <n v="203709068310"/>
  </r>
  <r>
    <x v="3"/>
    <s v="DHS 950L "/>
    <s v="DI net"/>
    <m/>
    <n v="38000000"/>
    <n v="203747068310"/>
  </r>
  <r>
    <x v="3"/>
    <s v="DHT 150AS-2Q'ty "/>
    <s v="WAIMEA TRUCK ＆ CRANE LTD"/>
    <m/>
    <n v="237591178"/>
    <n v="203984659488"/>
  </r>
  <r>
    <x v="3"/>
    <s v="DHS 534 "/>
    <s v="금성모타펌프(의령청소나라)"/>
    <m/>
    <n v="14500000"/>
    <n v="203999159488"/>
  </r>
  <r>
    <x v="3"/>
    <s v="DHT 105S "/>
    <s v="서울시서부도로사업소"/>
    <m/>
    <n v="99013637"/>
    <n v="204098173125"/>
  </r>
  <r>
    <x v="3"/>
    <s v="DHT 105S "/>
    <s v="서울특별시동부도로사업소"/>
    <m/>
    <n v="99013637"/>
    <n v="204197186762"/>
  </r>
  <r>
    <x v="3"/>
    <s v="DHT 105S "/>
    <s v="서울특별시강서도로사업소"/>
    <m/>
    <n v="99013637"/>
    <n v="204296200399"/>
  </r>
  <r>
    <x v="3"/>
    <s v="DHS 930 "/>
    <s v="선후"/>
    <m/>
    <n v="18373000"/>
    <n v="204314573399"/>
  </r>
  <r>
    <x v="3"/>
    <s v="DHS 950L "/>
    <s v="오장균"/>
    <m/>
    <n v="18373000"/>
    <n v="204332946399"/>
  </r>
  <r>
    <x v="3"/>
    <s v="DHS 17AP "/>
    <s v="(주)호윤전기"/>
    <m/>
    <n v="54000000"/>
    <n v="204386946399"/>
  </r>
  <r>
    <x v="3"/>
    <s v="DHS 950L "/>
    <s v="당리통신"/>
    <m/>
    <n v="38788000"/>
    <n v="204425734399"/>
  </r>
  <r>
    <x v="3"/>
    <s v="DHT 150S "/>
    <s v="(주)미남전설"/>
    <m/>
    <n v="148500000"/>
    <n v="204574234399"/>
  </r>
  <r>
    <x v="3"/>
    <s v="DHS 950L "/>
    <s v="(주)세종보안시스템"/>
    <m/>
    <n v="36500000"/>
    <n v="204610734399"/>
  </r>
  <r>
    <x v="3"/>
    <s v="DHA 102AP "/>
    <s v="거제시청"/>
    <m/>
    <n v="41377273"/>
    <n v="204652111672"/>
  </r>
  <r>
    <x v="3"/>
    <s v="DHS 190SKY "/>
    <s v="S조명전기"/>
    <m/>
    <n v="63000000"/>
    <n v="204715111672"/>
  </r>
  <r>
    <x v="3"/>
    <s v="DHS 433L "/>
    <s v="(자)신기이엔씨"/>
    <m/>
    <n v="13500000"/>
    <n v="204728611672"/>
  </r>
  <r>
    <x v="3"/>
    <s v="DHS 125AP "/>
    <s v="현대캐피탈주식회사"/>
    <m/>
    <n v="49230000"/>
    <n v="204777841672"/>
  </r>
  <r>
    <x v="3"/>
    <s v="DHS 1200L "/>
    <s v="한진"/>
    <m/>
    <n v="40909091"/>
    <n v="204818750763"/>
  </r>
  <r>
    <x v="3"/>
    <s v="DHT 160S "/>
    <s v="연합활선"/>
    <m/>
    <n v="160909091"/>
    <n v="204979659854"/>
  </r>
  <r>
    <x v="3"/>
    <s v="DHS 15AP "/>
    <s v="양평군청"/>
    <m/>
    <n v="54039091"/>
    <n v="205033698945"/>
  </r>
  <r>
    <x v="3"/>
    <s v="DHS 15AP "/>
    <s v="양평군청"/>
    <m/>
    <n v="3154546"/>
    <n v="205036853491"/>
  </r>
  <r>
    <x v="3"/>
    <s v="DHS 930 "/>
    <s v="YK정보통신"/>
    <m/>
    <n v="36363636"/>
    <n v="205073217127"/>
  </r>
  <r>
    <x v="3"/>
    <s v="DHS 1200L "/>
    <s v="일진이앤씨주식회사"/>
    <m/>
    <n v="37500000"/>
    <n v="205110717127"/>
  </r>
  <r>
    <x v="3"/>
    <s v="DHT 150S "/>
    <s v="대성이엔씨"/>
    <m/>
    <n v="151300000"/>
    <n v="205262017127"/>
  </r>
  <r>
    <x v="3"/>
    <s v="DHT 150AS "/>
    <s v="우리운수"/>
    <m/>
    <n v="162000000"/>
    <n v="205424017127"/>
  </r>
  <r>
    <x v="3"/>
    <s v="DHT 150AS "/>
    <s v="유일산업 유한회사"/>
    <m/>
    <n v="51818182"/>
    <n v="205475835309"/>
  </r>
  <r>
    <x v="3"/>
    <s v="DH TKA-442C "/>
    <s v="NK BUILDER AND CONSTRUCTION INC."/>
    <m/>
    <n v="128790540"/>
    <n v="205604625849"/>
  </r>
  <r>
    <x v="3"/>
    <s v="DHS 17AP "/>
    <s v="현대전기(주)"/>
    <m/>
    <n v="50000000"/>
    <n v="205654625849"/>
  </r>
  <r>
    <x v="3"/>
    <s v="DHS 130SKY "/>
    <s v="(유)비츠"/>
    <m/>
    <n v="42900000"/>
    <n v="205697525849"/>
  </r>
  <r>
    <x v="3"/>
    <s v="DHS 950L "/>
    <s v="NS정보통신"/>
    <m/>
    <n v="37500000"/>
    <n v="205735025849"/>
  </r>
  <r>
    <x v="3"/>
    <s v="DHS 1200L "/>
    <s v="오성전력(주)"/>
    <m/>
    <n v="40000000"/>
    <n v="205775025849"/>
  </r>
  <r>
    <x v="3"/>
    <s v="DHS 950L "/>
    <s v="(주)하이네트웍"/>
    <m/>
    <n v="18373000"/>
    <n v="205793398849"/>
  </r>
  <r>
    <x v="3"/>
    <s v="DHT 160AS "/>
    <s v="유진활선"/>
    <m/>
    <n v="171950000"/>
    <n v="205965348849"/>
  </r>
  <r>
    <x v="3"/>
    <s v="DHS 930 "/>
    <s v="원테크"/>
    <m/>
    <n v="35500000"/>
    <n v="206000848849"/>
  </r>
  <r>
    <x v="3"/>
    <s v="DHS 1200L "/>
    <s v="형제전기통신"/>
    <m/>
    <n v="41000000"/>
    <n v="206041848849"/>
  </r>
  <r>
    <x v="3"/>
    <s v="DHS 534MAP "/>
    <s v="(주)에이스정보통신"/>
    <m/>
    <n v="30909090"/>
    <n v="206072757939"/>
  </r>
  <r>
    <x v="3"/>
    <s v="DHT 170AS "/>
    <s v="대흥활선"/>
    <m/>
    <n v="202000000"/>
    <n v="206274757939"/>
  </r>
  <r>
    <x v="3"/>
    <s v="DHS 433L "/>
    <s v="전북마린"/>
    <m/>
    <n v="13545455"/>
    <n v="206288303394"/>
  </r>
  <r>
    <x v="3"/>
    <s v="DHS 433L "/>
    <s v="전북마린"/>
    <m/>
    <n v="-13545455"/>
    <n v="206274757939"/>
  </r>
  <r>
    <x v="3"/>
    <s v="DHS 534 "/>
    <s v="전북마린"/>
    <m/>
    <n v="13545455"/>
    <n v="206288303394"/>
  </r>
  <r>
    <x v="4"/>
    <s v="DHT 150S "/>
    <s v="지백전기"/>
    <m/>
    <n v="144200000"/>
    <n v="206432503394"/>
  </r>
  <r>
    <x v="4"/>
    <s v="DHS 433L "/>
    <s v="첨단건설기계"/>
    <m/>
    <n v="14545455"/>
    <n v="206447048849"/>
  </r>
  <r>
    <x v="4"/>
    <s v="DHT 150S "/>
    <s v="부광활선"/>
    <m/>
    <n v="147400000"/>
    <n v="206594448849"/>
  </r>
  <r>
    <x v="4"/>
    <s v="DHS 930 "/>
    <s v="셀테크"/>
    <m/>
    <n v="35000000"/>
    <n v="206629448849"/>
  </r>
  <r>
    <x v="4"/>
    <s v="DHS 950L "/>
    <s v="데이타솔루션주식회사"/>
    <m/>
    <n v="38300000"/>
    <n v="206667748849"/>
  </r>
  <r>
    <x v="4"/>
    <s v="DHS 1200L "/>
    <s v="(주)광산전기"/>
    <m/>
    <n v="41000000"/>
    <n v="206708748849"/>
  </r>
  <r>
    <x v="4"/>
    <s v="DHS 1200L "/>
    <s v="고구려산업개발(주)"/>
    <m/>
    <n v="38909090"/>
    <n v="206747657939"/>
  </r>
  <r>
    <x v="4"/>
    <s v="DHS 15AP "/>
    <s v="(주)태양전력"/>
    <m/>
    <n v="49000000"/>
    <n v="206796657939"/>
  </r>
  <r>
    <x v="4"/>
    <s v="DHS 15AP "/>
    <s v="주식회사 삼성전기"/>
    <m/>
    <n v="49000000"/>
    <n v="206845657939"/>
  </r>
  <r>
    <x v="4"/>
    <s v="DHS 930 "/>
    <s v="느루정보통신"/>
    <m/>
    <n v="18373000"/>
    <n v="206864030939"/>
  </r>
  <r>
    <x v="4"/>
    <s v="DHT 150AS "/>
    <s v="대성전력 주식회사"/>
    <m/>
    <n v="165000000"/>
    <n v="207029030939"/>
  </r>
  <r>
    <x v="4"/>
    <s v="DHT 150S "/>
    <s v="주식회사 태근이엔씨"/>
    <m/>
    <n v="148200000"/>
    <n v="207177230939"/>
  </r>
  <r>
    <x v="4"/>
    <s v="DHS 950L "/>
    <s v="아가페 네트웍스"/>
    <m/>
    <n v="37272727"/>
    <n v="207214503666"/>
  </r>
  <r>
    <x v="4"/>
    <s v="DHS 15AP "/>
    <s v="해동전기"/>
    <m/>
    <n v="48700000"/>
    <n v="207263203666"/>
  </r>
  <r>
    <x v="4"/>
    <s v="DHS 1200L "/>
    <s v="지니네트웍"/>
    <m/>
    <n v="42727273"/>
    <n v="207305930939"/>
  </r>
  <r>
    <x v="4"/>
    <s v="DHS 950L "/>
    <s v="(주)두원전자통신"/>
    <m/>
    <n v="38000000"/>
    <n v="207343930939"/>
  </r>
  <r>
    <x v="4"/>
    <s v="DHS 950L "/>
    <s v="엔씨에스(N.C.S)"/>
    <m/>
    <n v="37000000"/>
    <n v="207380930939"/>
  </r>
  <r>
    <x v="4"/>
    <s v="DHS 1200L "/>
    <s v="(주)대명전기"/>
    <m/>
    <n v="39090909"/>
    <n v="207420021848"/>
  </r>
  <r>
    <x v="4"/>
    <s v="DHS 950L "/>
    <s v="성진정보통신"/>
    <m/>
    <n v="37470000"/>
    <n v="207457491848"/>
  </r>
  <r>
    <x v="4"/>
    <s v="DHT 150S "/>
    <s v="풍경주식회사"/>
    <m/>
    <n v="149000000"/>
    <n v="207606491848"/>
  </r>
  <r>
    <x v="4"/>
    <s v="DHT 160S "/>
    <s v="풍경주식회사"/>
    <m/>
    <n v="159000000"/>
    <n v="207765491848"/>
  </r>
  <r>
    <x v="4"/>
    <s v="DHS 190SKY "/>
    <s v="(주)신성에이치씨"/>
    <m/>
    <n v="62200000"/>
    <n v="207827691848"/>
  </r>
  <r>
    <x v="4"/>
    <s v="DHS 950L "/>
    <s v="성배통신"/>
    <m/>
    <n v="37500000"/>
    <n v="207865191848"/>
  </r>
  <r>
    <x v="4"/>
    <s v="DHS 433L "/>
    <s v="(주)티에스케이워터"/>
    <m/>
    <n v="15000000"/>
    <n v="207880191848"/>
  </r>
  <r>
    <x v="4"/>
    <s v="DHS 950L "/>
    <s v="주식회사 국민통신"/>
    <m/>
    <n v="18373000"/>
    <n v="207898564848"/>
  </r>
  <r>
    <x v="4"/>
    <s v="DHS 1200L "/>
    <s v="(주)대성이엔지(ENG)"/>
    <m/>
    <n v="40500000"/>
    <n v="207939064848"/>
  </r>
  <r>
    <x v="4"/>
    <s v="DHS 433L "/>
    <s v="경기로링"/>
    <m/>
    <n v="14150000"/>
    <n v="207953214848"/>
  </r>
  <r>
    <x v="4"/>
    <s v="DHS 1200L "/>
    <s v="도매전기조명"/>
    <m/>
    <n v="45500000"/>
    <n v="207998714848"/>
  </r>
  <r>
    <x v="4"/>
    <s v="DHS 1200L "/>
    <s v="(주)화양"/>
    <m/>
    <n v="39000000"/>
    <n v="208037714848"/>
  </r>
  <r>
    <x v="4"/>
    <s v="DHT 160AS "/>
    <s v="(주)태성이엔지"/>
    <m/>
    <n v="175000000"/>
    <n v="208212714848"/>
  </r>
  <r>
    <x v="4"/>
    <s v="DHS 950L "/>
    <s v="(주)하나이엔디"/>
    <m/>
    <n v="36363636"/>
    <n v="208249078484"/>
  </r>
  <r>
    <x v="4"/>
    <s v="DHS 950L "/>
    <s v="SI텔레콤"/>
    <m/>
    <n v="38500000"/>
    <n v="208287578484"/>
  </r>
  <r>
    <x v="4"/>
    <s v="DHS 950L "/>
    <s v="달재통신"/>
    <m/>
    <n v="38500000"/>
    <n v="208326078484"/>
  </r>
  <r>
    <x v="4"/>
    <s v="DHS 950L "/>
    <s v="(주)한빛네트웍스"/>
    <m/>
    <n v="37000000"/>
    <n v="208363078484"/>
  </r>
  <r>
    <x v="4"/>
    <s v="DHS 950L "/>
    <s v="(주)코어넷"/>
    <m/>
    <n v="36363636"/>
    <n v="208399442120"/>
  </r>
  <r>
    <x v="4"/>
    <s v="DHS 433L "/>
    <s v="아세아상사"/>
    <m/>
    <n v="12400000"/>
    <n v="208411842120"/>
  </r>
  <r>
    <x v="4"/>
    <s v="DHS 1200L "/>
    <s v="주식회사 에이원전력"/>
    <m/>
    <n v="40000000"/>
    <n v="208451842120"/>
  </r>
  <r>
    <x v="4"/>
    <s v="DHS 950L "/>
    <s v="(주)지원네트웍스"/>
    <m/>
    <n v="36000000"/>
    <n v="208487842120"/>
  </r>
  <r>
    <x v="4"/>
    <s v="DHS 950L "/>
    <s v="(주)우솔정보통신"/>
    <m/>
    <n v="18143000"/>
    <n v="208505985120"/>
  </r>
  <r>
    <x v="4"/>
    <s v="DHS 930 "/>
    <s v="가온미디어"/>
    <m/>
    <n v="18373000"/>
    <n v="208524358120"/>
  </r>
  <r>
    <x v="4"/>
    <s v="본기둥실린더등16종"/>
    <s v="공군군수사령부"/>
    <m/>
    <n v="2396700"/>
    <n v="208526754820"/>
  </r>
  <r>
    <x v="4"/>
    <s v="DHS 15AP "/>
    <s v="주식회사 태현전력"/>
    <m/>
    <n v="48181818"/>
    <n v="208574936638"/>
  </r>
  <r>
    <x v="4"/>
    <s v="DHS 15AP "/>
    <s v="유한회사화성전력"/>
    <m/>
    <n v="51818182"/>
    <n v="208626754820"/>
  </r>
  <r>
    <x v="4"/>
    <s v="DHT 160S "/>
    <s v="(주)덕산전력"/>
    <m/>
    <n v="157000000"/>
    <n v="208783754820"/>
  </r>
  <r>
    <x v="4"/>
    <s v="DHT 160AS "/>
    <s v="(주)선주건설"/>
    <m/>
    <n v="175000000"/>
    <n v="208958754820"/>
  </r>
  <r>
    <x v="4"/>
    <s v="DHS 950L "/>
    <s v="신기건설"/>
    <m/>
    <n v="36363636"/>
    <n v="208995118456"/>
  </r>
  <r>
    <x v="4"/>
    <s v="USED SUPER 3000-9Q'ty "/>
    <s v="SYKT"/>
    <m/>
    <n v="38008432"/>
    <n v="209033126888"/>
  </r>
  <r>
    <x v="4"/>
    <s v="DHT 160AS "/>
    <s v="서령전기주식회사"/>
    <m/>
    <n v="175000000"/>
    <n v="209208126888"/>
  </r>
  <r>
    <x v="4"/>
    <s v="DHT 160AS "/>
    <s v="주식회사 울트라전기"/>
    <m/>
    <n v="175000000"/>
    <n v="209383126888"/>
  </r>
  <r>
    <x v="4"/>
    <s v="DHS 15AP "/>
    <s v="(주)자유전기공사"/>
    <m/>
    <n v="48200000"/>
    <n v="209431326888"/>
  </r>
  <r>
    <x v="4"/>
    <s v="DHS 950L "/>
    <s v="주식회사 오성정보통신"/>
    <m/>
    <n v="38000000"/>
    <n v="209469326888"/>
  </r>
  <r>
    <x v="4"/>
    <s v="DHT 160AS "/>
    <s v="(유)한화전력공사"/>
    <m/>
    <n v="176500000"/>
    <n v="209645826888"/>
  </r>
  <r>
    <x v="4"/>
    <s v="DHS 15AP "/>
    <s v="화룡전력 주식회사"/>
    <m/>
    <n v="52000000"/>
    <n v="209697826888"/>
  </r>
  <r>
    <x v="4"/>
    <s v="DHS 15AP "/>
    <s v="화룡전력 주식회사"/>
    <m/>
    <n v="52000000"/>
    <n v="209749826888"/>
  </r>
  <r>
    <x v="4"/>
    <s v="DHT 160S "/>
    <s v="주식회사 창대전력"/>
    <m/>
    <n v="158000000"/>
    <n v="209907826888"/>
  </r>
  <r>
    <x v="4"/>
    <s v="DHS 15AP "/>
    <s v="주식회사 신영전기"/>
    <m/>
    <n v="48181818"/>
    <n v="209956008706"/>
  </r>
  <r>
    <x v="4"/>
    <s v="DHT 160AS "/>
    <s v="티앤제이건설 주식회사"/>
    <m/>
    <n v="176500000"/>
    <n v="210132508706"/>
  </r>
  <r>
    <x v="4"/>
    <s v="DHS 433L "/>
    <s v="현대캐피탈주식회사"/>
    <m/>
    <n v="49914000"/>
    <n v="210182422706"/>
  </r>
  <r>
    <x v="4"/>
    <s v="DHS 433L "/>
    <s v="현대캐피탈주식회사"/>
    <m/>
    <n v="49914000"/>
    <n v="210232336706"/>
  </r>
  <r>
    <x v="4"/>
    <s v="DHS 433L "/>
    <s v="현대캐피탈주식회사"/>
    <m/>
    <n v="49914000"/>
    <n v="210282250706"/>
  </r>
  <r>
    <x v="4"/>
    <s v="DHS 950L "/>
    <s v="으뜸정보통신"/>
    <m/>
    <n v="17703000"/>
    <n v="210299953706"/>
  </r>
  <r>
    <x v="4"/>
    <s v="DHS 950L "/>
    <s v="대일정보통신"/>
    <m/>
    <n v="18373000"/>
    <n v="210318326706"/>
  </r>
  <r>
    <x v="4"/>
    <s v="DHT 160AS "/>
    <s v="(주)도영전설"/>
    <m/>
    <n v="171000000"/>
    <n v="210489326706"/>
  </r>
  <r>
    <x v="4"/>
    <s v="DHS 15AP "/>
    <s v="주식회사 첨단엔지니어링"/>
    <m/>
    <n v="51818182"/>
    <n v="210541144888"/>
  </r>
  <r>
    <x v="4"/>
    <s v="DHS 15AP "/>
    <s v="(유)경영전기"/>
    <m/>
    <n v="51818182"/>
    <n v="210592963070"/>
  </r>
  <r>
    <x v="4"/>
    <s v="DHT 160S "/>
    <s v="주식회사 윈드파워"/>
    <m/>
    <n v="160500000"/>
    <n v="210753463070"/>
  </r>
  <r>
    <x v="4"/>
    <s v="DHS 950L "/>
    <s v="김경민"/>
    <m/>
    <n v="35818182"/>
    <n v="210789281252"/>
  </r>
  <r>
    <x v="4"/>
    <s v="USED DHS 870외 "/>
    <s v="SYKT"/>
    <m/>
    <n v="50640535"/>
    <n v="210839921787"/>
  </r>
  <r>
    <x v="4"/>
    <s v="차량옵션"/>
    <s v="으뜸정보통신"/>
    <m/>
    <n v="670000"/>
    <n v="210840591787"/>
  </r>
  <r>
    <x v="4"/>
    <s v="DHT 150S "/>
    <s v="주식회사 미래이파워"/>
    <m/>
    <n v="147300000"/>
    <n v="210987891787"/>
  </r>
  <r>
    <x v="4"/>
    <s v="DHS 1200L "/>
    <s v="(주)윈투스시스템"/>
    <m/>
    <n v="44200000"/>
    <n v="211032091787"/>
  </r>
  <r>
    <x v="4"/>
    <s v="DHT 150S "/>
    <s v="(주)세호전기"/>
    <m/>
    <n v="148600000"/>
    <n v="211180691787"/>
  </r>
  <r>
    <x v="4"/>
    <s v="DHS 433L "/>
    <s v="(주)티에스케이워터"/>
    <m/>
    <n v="15000000"/>
    <n v="211195691787"/>
  </r>
  <r>
    <x v="4"/>
    <s v="DHS 108SKY "/>
    <s v="은유통신"/>
    <m/>
    <n v="39545455"/>
    <n v="211235237242"/>
  </r>
  <r>
    <x v="4"/>
    <s v="DHT 160S "/>
    <s v="(주)명성전력"/>
    <m/>
    <n v="159000000"/>
    <n v="211394237242"/>
  </r>
  <r>
    <x v="4"/>
    <s v="DHS 1200L "/>
    <s v="웅진보안시스템(주)"/>
    <m/>
    <n v="39036364"/>
    <n v="211433273606"/>
  </r>
  <r>
    <x v="4"/>
    <s v="DHS 1200L "/>
    <s v="(주)한성전기"/>
    <m/>
    <n v="43636364"/>
    <n v="211476909970"/>
  </r>
  <r>
    <x v="4"/>
    <s v="DHS 1200L "/>
    <s v="주식회사 태형정보통신"/>
    <m/>
    <n v="41000000"/>
    <n v="211517909970"/>
  </r>
  <r>
    <x v="4"/>
    <s v="DHS 950L "/>
    <s v="(주)욱일정보통신"/>
    <m/>
    <n v="17573000"/>
    <n v="211535482970"/>
  </r>
  <r>
    <x v="4"/>
    <s v="DHS 433L "/>
    <s v="강동중량"/>
    <m/>
    <n v="17039091"/>
    <n v="211552522061"/>
  </r>
  <r>
    <x v="4"/>
    <s v="DHS 950L "/>
    <s v="(주)세하통신"/>
    <m/>
    <n v="18500000"/>
    <n v="211571022061"/>
  </r>
  <r>
    <x v="4"/>
    <s v="DHS 950L "/>
    <s v="(주)세하통신"/>
    <m/>
    <n v="18500000"/>
    <n v="211589522061"/>
  </r>
  <r>
    <x v="4"/>
    <s v="DHS 1200L "/>
    <s v="(주)서경산업"/>
    <m/>
    <n v="39272727"/>
    <n v="211628794788"/>
  </r>
  <r>
    <x v="4"/>
    <s v="DHS 1200L "/>
    <s v="(주) 온브랜딩"/>
    <m/>
    <n v="38800000"/>
    <n v="211667594788"/>
  </r>
  <r>
    <x v="4"/>
    <s v="DHS 15AP "/>
    <s v="한성전기"/>
    <m/>
    <n v="50909090"/>
    <n v="211718503878"/>
  </r>
  <r>
    <x v="4"/>
    <s v="DHS 1200L "/>
    <s v="(주)이지정보기술"/>
    <m/>
    <n v="43636364"/>
    <n v="211762140242"/>
  </r>
  <r>
    <x v="4"/>
    <s v="DHT 150S "/>
    <s v="(주)미광전기"/>
    <m/>
    <n v="143000000"/>
    <n v="211905140242"/>
  </r>
  <r>
    <x v="4"/>
    <s v="DHT 160S "/>
    <s v="금부파워텍(주)"/>
    <m/>
    <n v="157000000"/>
    <n v="212062140242"/>
  </r>
  <r>
    <x v="4"/>
    <s v="DHT 160AS "/>
    <s v="경덕전력(주)"/>
    <m/>
    <n v="171000000"/>
    <n v="212233140242"/>
  </r>
  <r>
    <x v="4"/>
    <s v="DHS 950L "/>
    <s v="(주)상현엔지니어링"/>
    <m/>
    <n v="36363636"/>
    <n v="212269503878"/>
  </r>
  <r>
    <x v="4"/>
    <s v="DHS 17AP "/>
    <s v="우진전기공사"/>
    <m/>
    <n v="52727272"/>
    <n v="212322231150"/>
  </r>
  <r>
    <x v="4"/>
    <s v="DHT 150S "/>
    <s v="주식회사 광덕기업"/>
    <m/>
    <n v="145454545"/>
    <n v="212467685695"/>
  </r>
  <r>
    <x v="4"/>
    <s v="DHS 1200L "/>
    <s v="다산정보통신 주식회사"/>
    <m/>
    <n v="42000000"/>
    <n v="212509685695"/>
  </r>
  <r>
    <x v="4"/>
    <s v="DHS 950L "/>
    <s v="SH통신"/>
    <m/>
    <n v="36500000"/>
    <n v="212546185695"/>
  </r>
  <r>
    <x v="4"/>
    <s v="DHS 950L "/>
    <s v="주식회사 창성에스지"/>
    <m/>
    <n v="37272727"/>
    <n v="212583458422"/>
  </r>
  <r>
    <x v="4"/>
    <s v="DHS 930 "/>
    <s v="다희"/>
    <m/>
    <n v="35454545"/>
    <n v="212618912967"/>
  </r>
  <r>
    <x v="4"/>
    <s v="DHS 930 "/>
    <s v="유비네트웍스(주)"/>
    <m/>
    <n v="36500000"/>
    <n v="212655412967"/>
  </r>
  <r>
    <x v="4"/>
    <s v="DHS 1200L "/>
    <s v="(주)코어넷"/>
    <m/>
    <n v="38636363"/>
    <n v="212694049330"/>
  </r>
  <r>
    <x v="4"/>
    <s v="DHS 1200L "/>
    <s v="주식회사 씨앤엘네트웍스"/>
    <m/>
    <n v="39700000"/>
    <n v="212733749330"/>
  </r>
  <r>
    <x v="4"/>
    <s v="DHT 150AS "/>
    <s v="(주)동훈전설"/>
    <m/>
    <n v="175000000"/>
    <n v="212908749330"/>
  </r>
  <r>
    <x v="4"/>
    <s v="DHS 950L "/>
    <s v="창대기업"/>
    <m/>
    <n v="38181818"/>
    <n v="212946931148"/>
  </r>
  <r>
    <x v="4"/>
    <s v="DHS 15AP "/>
    <s v="(주)남경운수"/>
    <m/>
    <n v="52000000"/>
    <n v="212998931148"/>
  </r>
  <r>
    <x v="4"/>
    <s v="DHS 15AP "/>
    <s v="주식회사 삼성기업"/>
    <m/>
    <n v="51500000"/>
    <n v="213050431148"/>
  </r>
  <r>
    <x v="4"/>
    <s v="DHS 950L "/>
    <s v="주식회사 유광정보기술"/>
    <m/>
    <n v="36800000"/>
    <n v="213087231148"/>
  </r>
  <r>
    <x v="4"/>
    <s v="DHS 15AP "/>
    <s v="(주)동아전기공사"/>
    <m/>
    <n v="51818182"/>
    <n v="213139049330"/>
  </r>
  <r>
    <x v="4"/>
    <s v="DHS 930 "/>
    <s v="해담정보통신"/>
    <m/>
    <n v="35454545"/>
    <n v="213174503875"/>
  </r>
  <r>
    <x v="4"/>
    <s v="DHS 930 "/>
    <s v="청산"/>
    <m/>
    <n v="35454545"/>
    <n v="213209958420"/>
  </r>
  <r>
    <x v="4"/>
    <s v="DHS 930 "/>
    <s v="(주)신화이앤씨"/>
    <m/>
    <n v="37272727"/>
    <n v="213247231147"/>
  </r>
  <r>
    <x v="4"/>
    <s v="DHS 950L "/>
    <s v="(주)신화이앤씨"/>
    <m/>
    <n v="39090909"/>
    <n v="213286322056"/>
  </r>
  <r>
    <x v="4"/>
    <s v="DHS 930 "/>
    <s v="서광미디어(주)"/>
    <m/>
    <n v="36363636"/>
    <n v="213322685692"/>
  </r>
  <r>
    <x v="4"/>
    <s v="DHS 15AP "/>
    <s v="주식회사 대건전기"/>
    <m/>
    <n v="51818189"/>
    <n v="213374503881"/>
  </r>
  <r>
    <x v="4"/>
    <s v="DHS 950L "/>
    <s v="(주)대하정보통신"/>
    <m/>
    <n v="20610000"/>
    <n v="213395113881"/>
  </r>
  <r>
    <x v="4"/>
    <s v="DHS 930 "/>
    <s v="휴먼통신"/>
    <m/>
    <n v="18373000"/>
    <n v="213413486881"/>
  </r>
  <r>
    <x v="4"/>
    <s v="DHS 930 "/>
    <s v="(주)신화이앤씨"/>
    <m/>
    <n v="-37272727"/>
    <n v="213376214154"/>
  </r>
  <r>
    <x v="4"/>
    <s v="DHS 930 "/>
    <s v="(주)신화이앤씨"/>
    <m/>
    <n v="37272727"/>
    <n v="213413486881"/>
  </r>
  <r>
    <x v="4"/>
    <s v="DHS 15AP "/>
    <s v="(주)두양이앤지"/>
    <m/>
    <n v="51000000"/>
    <n v="213464486881"/>
  </r>
  <r>
    <x v="4"/>
    <s v="DHT 160AS "/>
    <s v="보광활선"/>
    <m/>
    <n v="171000000"/>
    <n v="213635486881"/>
  </r>
  <r>
    <x v="4"/>
    <s v="DHS 17AP "/>
    <s v="주식회사 경국전력"/>
    <m/>
    <n v="55000000"/>
    <n v="213690486881"/>
  </r>
  <r>
    <x v="4"/>
    <s v="DHT 160S "/>
    <s v="(주)은광전기"/>
    <m/>
    <n v="157000000"/>
    <n v="213847486881"/>
  </r>
  <r>
    <x v="4"/>
    <s v="DHT 160AS "/>
    <s v="(주)승전사"/>
    <m/>
    <n v="175000000"/>
    <n v="214022486881"/>
  </r>
  <r>
    <x v="4"/>
    <s v="UPPER CONTROL BOX ASS'Y FOR DHS1800 "/>
    <s v="SYKT"/>
    <m/>
    <n v="358948"/>
    <n v="214022845829"/>
  </r>
  <r>
    <x v="4"/>
    <s v="DHS 15AP "/>
    <s v="주식회사 태광전력"/>
    <m/>
    <n v="52500000"/>
    <n v="214075345829"/>
  </r>
  <r>
    <x v="4"/>
    <s v="DHS 1200L "/>
    <s v="경북전력"/>
    <m/>
    <n v="41300000"/>
    <n v="214116645829"/>
  </r>
  <r>
    <x v="4"/>
    <s v="DHS 130SKY "/>
    <s v="태양광통신"/>
    <m/>
    <n v="40909091"/>
    <n v="214157554920"/>
  </r>
  <r>
    <x v="4"/>
    <s v="DHS 1200L "/>
    <s v="(주)중원"/>
    <m/>
    <n v="41500000"/>
    <n v="214199054920"/>
  </r>
  <r>
    <x v="4"/>
    <s v="DHS 950L "/>
    <s v="삼광통신"/>
    <m/>
    <n v="38636364"/>
    <n v="214237691284"/>
  </r>
  <r>
    <x v="4"/>
    <s v="DHS 17AP "/>
    <s v="승진전기공사"/>
    <m/>
    <n v="54000000"/>
    <n v="214291691284"/>
  </r>
  <r>
    <x v="4"/>
    <s v="DHT 160AS "/>
    <s v="(자)경도산업"/>
    <m/>
    <n v="175000000"/>
    <n v="214466691284"/>
  </r>
  <r>
    <x v="4"/>
    <s v="HYDRAULIC HOSE REEL외 "/>
    <s v="HYUNDAI MOTOR (THAILAND)CO., LTD"/>
    <m/>
    <n v="1774812"/>
    <n v="214468466096"/>
  </r>
  <r>
    <x v="4"/>
    <s v="DYNALI-H3 HELICOPERS "/>
    <s v="DYNALI S.A HELLCOPTERES"/>
    <m/>
    <n v="131973200"/>
    <n v="214600439296"/>
  </r>
  <r>
    <x v="4"/>
    <s v="크레인대금"/>
    <s v="주식회사 태근이엔씨"/>
    <m/>
    <n v="163000000"/>
    <n v="214763439296"/>
  </r>
  <r>
    <x v="4"/>
    <s v="DHS 950L "/>
    <s v="김태현"/>
    <m/>
    <n v="37050000"/>
    <n v="214800489296"/>
  </r>
  <r>
    <x v="4"/>
    <s v="DHS 1200L "/>
    <s v="글로벌테크 주식회사"/>
    <m/>
    <n v="40800000"/>
    <n v="214841289296"/>
  </r>
  <r>
    <x v="4"/>
    <s v="DHS 950L "/>
    <s v="미래정보통신"/>
    <m/>
    <n v="39000000"/>
    <n v="214880289296"/>
  </r>
  <r>
    <x v="4"/>
    <s v="DHT 160AS "/>
    <s v="(주)한양전설"/>
    <m/>
    <n v="156500000"/>
    <n v="215036789296"/>
  </r>
  <r>
    <x v="4"/>
    <s v="DHS 433L "/>
    <s v="(주)황실타이어"/>
    <m/>
    <n v="14500000"/>
    <n v="215051289296"/>
  </r>
  <r>
    <x v="4"/>
    <s v="DHS 534MAP "/>
    <s v="주식회사세계로"/>
    <m/>
    <n v="32000000"/>
    <n v="215083289296"/>
  </r>
  <r>
    <x v="4"/>
    <s v="DHS 950L "/>
    <s v="대진정보통신"/>
    <m/>
    <n v="38000000"/>
    <n v="215121289296"/>
  </r>
  <r>
    <x v="4"/>
    <s v="DHS 1200L "/>
    <s v="명일건설"/>
    <m/>
    <n v="38181818"/>
    <n v="215159471114"/>
  </r>
  <r>
    <x v="4"/>
    <s v="DHS 950L "/>
    <s v="아가페 네트웍스"/>
    <m/>
    <n v="37272727"/>
    <n v="215196743841"/>
  </r>
  <r>
    <x v="4"/>
    <s v="DHS 150S "/>
    <s v="통영전기"/>
    <m/>
    <n v="148200000"/>
    <n v="215344943841"/>
  </r>
  <r>
    <x v="4"/>
    <s v="DHS 1200L "/>
    <s v="경인특장차"/>
    <m/>
    <n v="40500000"/>
    <n v="215385443841"/>
  </r>
  <r>
    <x v="4"/>
    <s v="DHS 1200L "/>
    <s v="주식회사두원"/>
    <m/>
    <n v="39545455"/>
    <n v="215424989296"/>
  </r>
  <r>
    <x v="4"/>
    <s v="DHS 1200L "/>
    <s v="(주)이화전력"/>
    <m/>
    <n v="43500000"/>
    <n v="215468489296"/>
  </r>
  <r>
    <x v="4"/>
    <s v="DHS 15AP "/>
    <s v="(주)대흥기업"/>
    <m/>
    <n v="51500000"/>
    <n v="215519989296"/>
  </r>
  <r>
    <x v="4"/>
    <s v="GOVERNOR CARD "/>
    <s v="CH-7 HELICOPTERS HELI-SPORT SRL"/>
    <m/>
    <n v="610400"/>
    <n v="215520599696"/>
  </r>
  <r>
    <x v="4"/>
    <s v="DHS 433L "/>
    <s v="삼화타이어"/>
    <m/>
    <n v="16500000"/>
    <n v="215537099696"/>
  </r>
  <r>
    <x v="4"/>
    <s v="DHS 43L "/>
    <s v="성호테크"/>
    <m/>
    <n v="14909091"/>
    <n v="215552008787"/>
  </r>
  <r>
    <x v="4"/>
    <s v="DHS 15AP "/>
    <s v="주식회사 민승전력"/>
    <m/>
    <n v="51363636"/>
    <n v="215603372423"/>
  </r>
  <r>
    <x v="4"/>
    <s v="DHS 15AP "/>
    <s v="주식회사 민승전력"/>
    <m/>
    <n v="-51363636"/>
    <n v="215552008787"/>
  </r>
  <r>
    <x v="4"/>
    <s v="DHS 15AP "/>
    <s v="주식회사 민승전력"/>
    <m/>
    <n v="51363636"/>
    <n v="215603372423"/>
  </r>
  <r>
    <x v="4"/>
    <s v="DHS 950L "/>
    <s v="영웅정보통신"/>
    <m/>
    <n v="38000000"/>
    <n v="215641372423"/>
  </r>
  <r>
    <x v="4"/>
    <s v="DHS 950L "/>
    <s v="(주)한샘정보통신"/>
    <m/>
    <n v="38000000"/>
    <n v="215679372423"/>
  </r>
  <r>
    <x v="4"/>
    <s v="DAH 102AP "/>
    <s v="RURAL ELECTRIFICATION TRADING CORPORATION"/>
    <m/>
    <n v="124579177"/>
    <n v="215803951600"/>
  </r>
  <r>
    <x v="4"/>
    <s v="DHT 150S "/>
    <s v="(주)세호전기"/>
    <m/>
    <n v="148600000"/>
    <n v="215952551600"/>
  </r>
  <r>
    <x v="4"/>
    <s v="DHS 1200L "/>
    <s v="동현전력 주식회사"/>
    <m/>
    <n v="39900000"/>
    <n v="215992451600"/>
  </r>
  <r>
    <x v="4"/>
    <s v="DHT 150S "/>
    <s v="(주)광산전기"/>
    <m/>
    <n v="147300000"/>
    <n v="216139751600"/>
  </r>
  <r>
    <x v="4"/>
    <s v="DHT 160AS "/>
    <s v="XIAMEN C＆DCOMMUNICATION LTD"/>
    <m/>
    <n v="113287950"/>
    <n v="216253039550"/>
  </r>
  <r>
    <x v="4"/>
    <s v="크레인대금"/>
    <s v="다운통신"/>
    <m/>
    <n v="18373000"/>
    <n v="216271412550"/>
  </r>
  <r>
    <x v="4"/>
    <s v="크레인대금"/>
    <s v="(주)세하통신"/>
    <m/>
    <n v="18500000"/>
    <n v="216289912550"/>
  </r>
  <r>
    <x v="4"/>
    <s v="크레인대금"/>
    <s v="(주)세하통신"/>
    <m/>
    <n v="18500000"/>
    <n v="216308412550"/>
  </r>
  <r>
    <x v="4"/>
    <s v="크레인대금"/>
    <s v="(주)에스엠케이정보통신"/>
    <m/>
    <n v="32250000"/>
    <n v="216340662550"/>
  </r>
  <r>
    <x v="4"/>
    <s v="크레인대금"/>
    <s v="제일정보통신"/>
    <m/>
    <n v="32150000"/>
    <n v="216372812550"/>
  </r>
  <r>
    <x v="4"/>
    <s v="크레인대금"/>
    <s v="오토기술"/>
    <m/>
    <n v="33000000"/>
    <n v="216405812550"/>
  </r>
  <r>
    <x v="4"/>
    <s v="크레인대금"/>
    <s v="부성전력"/>
    <m/>
    <n v="50150000"/>
    <n v="216455962550"/>
  </r>
  <r>
    <x v="4"/>
    <s v="크레인대금"/>
    <s v="(주)이노네트웍스"/>
    <m/>
    <n v="49545455"/>
    <n v="216505508005"/>
  </r>
  <r>
    <x v="4"/>
    <s v="크레인대금"/>
    <s v="새움에너지"/>
    <m/>
    <n v="54000000"/>
    <n v="216559508005"/>
  </r>
  <r>
    <x v="4"/>
    <s v="크레인대금"/>
    <s v="주식회사 윈드파워"/>
    <m/>
    <n v="160500000"/>
    <n v="216720008005"/>
  </r>
  <r>
    <x v="4"/>
    <s v="DHS 433L "/>
    <s v="일성중장비정비공업사"/>
    <m/>
    <n v="13166364"/>
    <n v="216733174369"/>
  </r>
  <r>
    <x v="4"/>
    <s v="DHS 433L "/>
    <s v="신흥상사"/>
    <m/>
    <n v="14200000"/>
    <n v="216747374369"/>
  </r>
  <r>
    <x v="4"/>
    <s v="DHS 534MAP "/>
    <s v="(주)하나정보통신"/>
    <m/>
    <n v="32000000"/>
    <n v="216779374369"/>
  </r>
  <r>
    <x v="4"/>
    <s v="DHT 150AS "/>
    <s v="주식회사 임창"/>
    <m/>
    <n v="166500000"/>
    <n v="216945874369"/>
  </r>
  <r>
    <x v="4"/>
    <s v="DHS 950L "/>
    <s v="재성정보통신"/>
    <m/>
    <n v="18373000"/>
    <n v="216964247369"/>
  </r>
  <r>
    <x v="4"/>
    <s v="DHS 1200L "/>
    <s v="대일전기주식회사"/>
    <m/>
    <n v="41000000"/>
    <n v="217005247369"/>
  </r>
  <r>
    <x v="4"/>
    <s v="DHS 930 "/>
    <s v="주식회사 씨엔네트웍스"/>
    <m/>
    <n v="36500000"/>
    <n v="217041747369"/>
  </r>
  <r>
    <x v="4"/>
    <s v="DHS 1200L "/>
    <s v="한선전자통신(주)"/>
    <m/>
    <n v="41000000"/>
    <n v="217082747369"/>
  </r>
  <r>
    <x v="4"/>
    <s v="DHT 150AS "/>
    <s v="(주)미광전기"/>
    <m/>
    <n v="162000000"/>
    <n v="217244747369"/>
  </r>
  <r>
    <x v="4"/>
    <s v="DHS 1200L "/>
    <s v="대신전기"/>
    <m/>
    <n v="41500000"/>
    <n v="217286247369"/>
  </r>
  <r>
    <x v="4"/>
    <s v="DHT 160S "/>
    <s v="(주)대림운수"/>
    <m/>
    <n v="150000000"/>
    <n v="217436247369"/>
  </r>
  <r>
    <x v="4"/>
    <s v="DHS 433L "/>
    <s v="신우중공업(주)"/>
    <m/>
    <n v="13600000"/>
    <n v="217449847369"/>
  </r>
  <r>
    <x v="4"/>
    <s v="DHS 130SKY "/>
    <s v="스피드통신"/>
    <m/>
    <n v="45454545"/>
    <n v="217495301914"/>
  </r>
  <r>
    <x v="4"/>
    <s v="DHS 1200L "/>
    <s v="(주)반도통신"/>
    <m/>
    <n v="42800000"/>
    <n v="217538101914"/>
  </r>
  <r>
    <x v="4"/>
    <s v="DHS 1200L "/>
    <s v="주식회사 신보산업개발"/>
    <m/>
    <n v="43500000"/>
    <n v="217581601914"/>
  </r>
  <r>
    <x v="4"/>
    <s v="DHT 160S "/>
    <s v="주식회사 서울전기"/>
    <m/>
    <n v="156500000"/>
    <n v="217738101914"/>
  </r>
  <r>
    <x v="4"/>
    <s v="DHS 433L "/>
    <s v="남도마린"/>
    <m/>
    <n v="14090909"/>
    <n v="217752192823"/>
  </r>
  <r>
    <x v="4"/>
    <s v="DHS 15AP "/>
    <s v="두영테크(주)"/>
    <m/>
    <n v="50909090"/>
    <n v="217803101913"/>
  </r>
  <r>
    <x v="4"/>
    <s v="DHS 1200L "/>
    <s v="(주)두원이엔씨"/>
    <m/>
    <n v="38000000"/>
    <n v="217841101913"/>
  </r>
  <r>
    <x v="4"/>
    <s v="DHS 15AP "/>
    <s v="(주)한국정보기술"/>
    <m/>
    <n v="51800000"/>
    <n v="217892901913"/>
  </r>
  <r>
    <x v="4"/>
    <s v="DHS 190SKY "/>
    <s v="이성구"/>
    <m/>
    <n v="61000000"/>
    <n v="217953901913"/>
  </r>
  <r>
    <x v="4"/>
    <s v="DHS 950L "/>
    <s v="J:NK"/>
    <m/>
    <n v="37727273"/>
    <n v="217991629186"/>
  </r>
  <r>
    <x v="4"/>
    <s v="DHS 190SKY "/>
    <s v="이성구"/>
    <m/>
    <n v="-61000000"/>
    <n v="217930629186"/>
  </r>
  <r>
    <x v="4"/>
    <s v="DHT 160AS "/>
    <s v="WAIMEA TRUCK ＆ CRANE LTD"/>
    <m/>
    <n v="119843868"/>
    <m/>
  </r>
  <r>
    <x v="4"/>
    <s v="DHT 150AS "/>
    <s v="WAIMEA TRUCK ＆ CRANE LTD"/>
    <m/>
    <n v="113334314"/>
    <n v="218163807368"/>
  </r>
  <r>
    <x v="4"/>
    <s v="DHS 1200L "/>
    <s v="세영정보통신"/>
    <m/>
    <n v="43636364"/>
    <n v="218207443732"/>
  </r>
  <r>
    <x v="4"/>
    <s v="DHS 950L "/>
    <s v="월드통신"/>
    <m/>
    <n v="38000000"/>
    <n v="218245443732"/>
  </r>
  <r>
    <x v="4"/>
    <s v="DHS 950L "/>
    <s v="비와이에프(BYF)"/>
    <m/>
    <n v="38000000"/>
    <n v="218283443732"/>
  </r>
  <r>
    <x v="4"/>
    <s v="DHS 1200L "/>
    <s v="성원이엔씨 주식회사"/>
    <m/>
    <n v="43636364"/>
    <n v="218327080096"/>
  </r>
  <r>
    <x v="4"/>
    <s v="DHS 17AP "/>
    <s v="신영전기"/>
    <m/>
    <n v="54000000"/>
    <n v="218381080096"/>
  </r>
  <r>
    <x v="4"/>
    <s v="DHS 15AP "/>
    <s v="(주)금윤이앤씨"/>
    <m/>
    <n v="51363636"/>
    <n v="218432443732"/>
  </r>
  <r>
    <x v="4"/>
    <s v="DHS 950L "/>
    <s v="다인정보통신주식회사"/>
    <m/>
    <n v="18503000"/>
    <n v="218450946732"/>
  </r>
  <r>
    <x v="4"/>
    <s v="DHS 433L "/>
    <s v="현대캐피탈주식회사"/>
    <m/>
    <n v="16116000"/>
    <n v="218467062732"/>
  </r>
  <r>
    <x v="4"/>
    <s v="USED DH SUPER3000A-10대"/>
    <s v="주식회사 우라노"/>
    <m/>
    <n v="37150000"/>
    <n v="218504212732"/>
  </r>
  <r>
    <x v="4"/>
    <s v="DHS 15AP "/>
    <s v="(주)만양"/>
    <m/>
    <n v="52000000"/>
    <n v="218556212732"/>
  </r>
  <r>
    <x v="4"/>
    <s v="DHT 160S "/>
    <s v="(주)효영전설"/>
    <m/>
    <n v="155500000"/>
    <n v="218711712732"/>
  </r>
  <r>
    <x v="4"/>
    <s v="DHS 1200L "/>
    <s v="주식회사 동해삼테크"/>
    <m/>
    <n v="44350000"/>
    <n v="218756062732"/>
  </r>
  <r>
    <x v="4"/>
    <s v="DHS 1200L "/>
    <s v="동연"/>
    <m/>
    <n v="41600000"/>
    <n v="218797662732"/>
  </r>
  <r>
    <x v="4"/>
    <s v="DHS 15AP "/>
    <s v="거맥전설(주)"/>
    <m/>
    <n v="50000000"/>
    <n v="218847662732"/>
  </r>
  <r>
    <x v="4"/>
    <s v="DHS 15AP "/>
    <s v="주식회사 와이에이치전력"/>
    <m/>
    <n v="51818181"/>
    <n v="218899480913"/>
  </r>
  <r>
    <x v="4"/>
    <s v="DHT 160S "/>
    <s v="주식회사 통일전기"/>
    <m/>
    <n v="159000000"/>
    <n v="219058480913"/>
  </r>
  <r>
    <x v="4"/>
    <s v="DHT 160S "/>
    <s v="주식회사 통일전기"/>
    <m/>
    <n v="155500000"/>
    <n v="219213980913"/>
  </r>
  <r>
    <x v="4"/>
    <s v="DHS 280AP "/>
    <s v="팔공특수종합물류(주)"/>
    <m/>
    <n v="113500000"/>
    <n v="219327480913"/>
  </r>
  <r>
    <x v="4"/>
    <s v="DHS 534MAP "/>
    <s v="(주)에이치제이통신"/>
    <m/>
    <n v="20760909"/>
    <n v="219348241822"/>
  </r>
  <r>
    <x v="4"/>
    <s v="VALVE ASS'Y외 "/>
    <s v="LU＆SONS ENGINEERING SDN BHD"/>
    <m/>
    <n v="2281800"/>
    <n v="219350523622"/>
  </r>
  <r>
    <x v="4"/>
    <s v="DHS 534MAP "/>
    <s v="(주)에이치제이통신"/>
    <m/>
    <n v="-20760909"/>
    <n v="219329762713"/>
  </r>
  <r>
    <x v="4"/>
    <s v="DHS 433MAP "/>
    <s v="(주)에이치제이통신"/>
    <m/>
    <n v="20760909"/>
    <n v="219350523622"/>
  </r>
  <r>
    <x v="4"/>
    <s v="DHS 433L "/>
    <s v="(주)아라엠에스"/>
    <m/>
    <n v="13500000"/>
    <n v="219364023622"/>
  </r>
  <r>
    <x v="4"/>
    <s v="DHS 15AP "/>
    <s v="부강엔지니어링(주)"/>
    <m/>
    <n v="51363636"/>
    <n v="219415387258"/>
  </r>
  <r>
    <x v="4"/>
    <s v="DHS 1200L "/>
    <s v="금아전설(주)"/>
    <m/>
    <n v="38181818"/>
    <n v="219453569076"/>
  </r>
  <r>
    <x v="4"/>
    <s v="DHS 15AP "/>
    <s v="다인전력(주)"/>
    <m/>
    <n v="50000000"/>
    <n v="219503569076"/>
  </r>
  <r>
    <x v="4"/>
    <s v="DHS 15AP "/>
    <s v="정현민"/>
    <m/>
    <n v="51818182"/>
    <n v="219555387258"/>
  </r>
  <r>
    <x v="4"/>
    <s v="DHT 160AS "/>
    <s v="강승희"/>
    <m/>
    <n v="175000000"/>
    <n v="219730387258"/>
  </r>
  <r>
    <x v="4"/>
    <s v="DHS 950L "/>
    <s v="(주)포스코아이씨티"/>
    <m/>
    <n v="36800000"/>
    <n v="219767187258"/>
  </r>
  <r>
    <x v="4"/>
    <s v="DHS 190SKY "/>
    <s v="유성운수"/>
    <m/>
    <n v="61000000"/>
    <n v="219828187258"/>
  </r>
  <r>
    <x v="4"/>
    <s v="DHS 433L "/>
    <s v="대한유압"/>
    <m/>
    <n v="14500000"/>
    <n v="219842687258"/>
  </r>
  <r>
    <x v="4"/>
    <s v="DHS 15AP "/>
    <s v="TS전기"/>
    <m/>
    <n v="52000000"/>
    <n v="219894687258"/>
  </r>
  <r>
    <x v="4"/>
    <s v="DHT 160AS "/>
    <s v="효원화물"/>
    <m/>
    <n v="175000000"/>
    <n v="220069687258"/>
  </r>
  <r>
    <x v="4"/>
    <s v="DHS 534MAP "/>
    <s v="정상탁"/>
    <m/>
    <n v="30454545"/>
    <n v="220100141803"/>
  </r>
  <r>
    <x v="4"/>
    <s v="DHS 534MAP "/>
    <s v="진성통신"/>
    <m/>
    <n v="30909091"/>
    <n v="220131050894"/>
  </r>
  <r>
    <x v="4"/>
    <s v="DHS 950L "/>
    <s v="다인정보통신"/>
    <m/>
    <n v="35909090"/>
    <n v="220166959984"/>
  </r>
  <r>
    <x v="4"/>
    <s v="DHS 534MAP "/>
    <s v="LK통신"/>
    <m/>
    <n v="32000000"/>
    <n v="220198959984"/>
  </r>
  <r>
    <x v="4"/>
    <s v="DHS 534MAP "/>
    <s v="해길통신"/>
    <m/>
    <n v="30909091"/>
    <n v="220229869075"/>
  </r>
  <r>
    <x v="4"/>
    <s v="DHS 1200L "/>
    <s v="국제전기"/>
    <m/>
    <n v="39000000"/>
    <n v="220268869075"/>
  </r>
  <r>
    <x v="4"/>
    <s v="DHT 160S "/>
    <s v="주식회사 효원전력"/>
    <m/>
    <n v="157000000"/>
    <n v="220425869075"/>
  </r>
  <r>
    <x v="4"/>
    <s v="DHS 950L "/>
    <s v="수미디어"/>
    <m/>
    <n v="18500000"/>
    <n v="220444369075"/>
  </r>
  <r>
    <x v="4"/>
    <s v="DHS 15AP "/>
    <s v="동광기업(주)"/>
    <m/>
    <n v="52000000"/>
    <n v="220496369075"/>
  </r>
  <r>
    <x v="4"/>
    <s v="DHT 160AS "/>
    <s v="강원활선"/>
    <m/>
    <n v="173000000"/>
    <n v="220669369075"/>
  </r>
  <r>
    <x v="4"/>
    <s v="DHS 930"/>
    <s v="(주)스마트비전"/>
    <m/>
    <n v="36000000"/>
    <n v="220705369075"/>
  </r>
  <r>
    <x v="4"/>
    <s v="DHS 15AP "/>
    <s v="TRI-GLOBE TRANSPORT SERVICES AND TRADING INC"/>
    <m/>
    <n v="31116736"/>
    <n v="220736485811"/>
  </r>
  <r>
    <x v="4"/>
    <s v="DHS 534MAP "/>
    <s v="김진화"/>
    <m/>
    <n v="31000000"/>
    <n v="220767485811"/>
  </r>
  <r>
    <x v="4"/>
    <s v="DHS 17AP "/>
    <s v="(주)동은전기"/>
    <m/>
    <n v="53363636"/>
    <n v="220820849447"/>
  </r>
  <r>
    <x v="4"/>
    <s v="DHS 534MAP "/>
    <s v="나로테크"/>
    <m/>
    <n v="32000000"/>
    <n v="220852849447"/>
  </r>
  <r>
    <x v="4"/>
    <s v="DHT 160S "/>
    <s v="주식회사 진성테크"/>
    <m/>
    <n v="159000000"/>
    <n v="221011849447"/>
  </r>
  <r>
    <x v="4"/>
    <s v="DHT 150AS "/>
    <s v="주식회사 임창"/>
    <m/>
    <n v="166500000"/>
    <n v="221178349447"/>
  </r>
  <r>
    <x v="4"/>
    <s v="DHS 190SKY "/>
    <s v="인천새론"/>
    <m/>
    <n v="60800000"/>
    <n v="221239149447"/>
  </r>
  <r>
    <x v="4"/>
    <s v="DHS 534MAP "/>
    <s v="이관엽"/>
    <m/>
    <n v="30454545"/>
    <n v="221269603992"/>
  </r>
  <r>
    <x v="4"/>
    <s v="DHS 534MAP "/>
    <s v="진성통신"/>
    <m/>
    <n v="30909091"/>
    <n v="221300513083"/>
  </r>
  <r>
    <x v="4"/>
    <s v="DHS 15AP "/>
    <s v="닥치는대로 클린"/>
    <m/>
    <n v="47800000"/>
    <n v="221348313083"/>
  </r>
  <r>
    <x v="4"/>
    <s v="DHT 160AS "/>
    <s v="(주)대림운수"/>
    <m/>
    <n v="170000000"/>
    <n v="221518313083"/>
  </r>
  <r>
    <x v="4"/>
    <s v="DHT 150AS"/>
    <s v="한빛중기"/>
    <m/>
    <n v="165000000"/>
    <n v="221683313083"/>
  </r>
  <r>
    <x v="4"/>
    <s v="DHT 160AS"/>
    <s v="(주)도성이앤씨"/>
    <m/>
    <n v="176500000"/>
    <n v="221859813083"/>
  </r>
  <r>
    <x v="4"/>
    <s v="DHS 534MAP"/>
    <s v="만주통신"/>
    <m/>
    <n v="30909091"/>
    <n v="221890722174"/>
  </r>
  <r>
    <x v="4"/>
    <s v="DHS 950L"/>
    <s v="청풍"/>
    <m/>
    <n v="38000000"/>
    <n v="221928722174"/>
  </r>
  <r>
    <x v="4"/>
    <s v="DHS 950L"/>
    <s v="제이에스(JS)"/>
    <m/>
    <n v="38181818"/>
    <n v="221966903992"/>
  </r>
  <r>
    <x v="4"/>
    <s v="DHS 108SKY"/>
    <s v="온통신"/>
    <m/>
    <n v="38181818"/>
    <n v="222005085810"/>
  </r>
  <r>
    <x v="4"/>
    <s v="Outrigger rubber pad외"/>
    <s v="PRECISION MACHINERY LLC"/>
    <m/>
    <n v="6242940"/>
    <n v="222011328750"/>
  </r>
  <r>
    <x v="4"/>
    <s v="DHS 930"/>
    <s v="대보정보통신 주식회사"/>
    <m/>
    <n v="86400000"/>
    <n v="222097728750"/>
  </r>
  <r>
    <x v="4"/>
    <s v="DHS 433L"/>
    <s v="에코이앤오(주)"/>
    <m/>
    <n v="14200000"/>
    <n v="222111928750"/>
  </r>
  <r>
    <x v="4"/>
    <s v="DHS 433L"/>
    <s v="에코이앤오(주)"/>
    <m/>
    <n v="14200000"/>
    <n v="222126128750"/>
  </r>
  <r>
    <x v="4"/>
    <s v="DHS 950L"/>
    <s v="승민넷"/>
    <m/>
    <n v="37000000"/>
    <n v="222163128750"/>
  </r>
  <r>
    <x v="4"/>
    <s v="DHS 930"/>
    <s v="주식회사 영보정보통신"/>
    <m/>
    <n v="35909091"/>
    <n v="222199037841"/>
  </r>
  <r>
    <x v="4"/>
    <s v="DHS 433L"/>
    <s v="와이제이중장비"/>
    <m/>
    <n v="14750000"/>
    <n v="222213787841"/>
  </r>
  <r>
    <x v="4"/>
    <s v="DHS 950L"/>
    <s v="수연통신"/>
    <m/>
    <n v="38500000"/>
    <n v="222252287841"/>
  </r>
  <r>
    <x v="4"/>
    <s v="DHS 433L"/>
    <s v="환경관리 주식회사"/>
    <m/>
    <n v="14400000"/>
    <n v="222266687841"/>
  </r>
  <r>
    <x v="4"/>
    <s v="DHS 15AP"/>
    <s v="(주)대로"/>
    <m/>
    <n v="52000000"/>
    <n v="222318687841"/>
  </r>
  <r>
    <x v="4"/>
    <s v="DHS 190SKY"/>
    <s v="전기박사"/>
    <m/>
    <n v="62000000"/>
    <n v="222380687841"/>
  </r>
  <r>
    <x v="4"/>
    <s v="DHS 433L"/>
    <s v="중앙마린"/>
    <m/>
    <n v="13800000"/>
    <n v="222394487841"/>
  </r>
  <r>
    <x v="4"/>
    <s v="DHT 150S"/>
    <s v="(주)진영전력"/>
    <m/>
    <n v="147272727"/>
    <n v="222541760568"/>
  </r>
  <r>
    <x v="4"/>
    <s v="DHT 160AS"/>
    <s v="차영걸"/>
    <m/>
    <n v="175000000"/>
    <n v="222716760568"/>
  </r>
  <r>
    <x v="4"/>
    <s v="DHS 950L"/>
    <s v="수네트워크"/>
    <m/>
    <n v="39090909"/>
    <n v="222755851477"/>
  </r>
  <r>
    <x v="4"/>
    <s v="DHT 160AS"/>
    <s v="차영걸"/>
    <m/>
    <n v="-175000000"/>
    <n v="222580851477"/>
  </r>
  <r>
    <x v="4"/>
    <s v="DHS 433L"/>
    <s v="중문농업협동조합"/>
    <m/>
    <n v="16363636"/>
    <n v="222597215113"/>
  </r>
  <r>
    <x v="4"/>
    <s v="DHT 160AS"/>
    <s v="재성전기(주)"/>
    <m/>
    <n v="175000000"/>
    <n v="222772215113"/>
  </r>
  <r>
    <x v="4"/>
    <s v="DHT 150S"/>
    <s v="(주) 제일전력공사"/>
    <m/>
    <n v="148600000"/>
    <n v="222920815113"/>
  </r>
  <r>
    <x v="4"/>
    <s v="DHS 108SKY"/>
    <s v="(주)나우리정보통신"/>
    <m/>
    <n v="40000000"/>
    <n v="222960815113"/>
  </r>
  <r>
    <x v="4"/>
    <s v="DHS 534MAP"/>
    <s v="(주)나우리정보통신"/>
    <m/>
    <n v="32727273"/>
    <n v="222993542386"/>
  </r>
  <r>
    <x v="4"/>
    <s v="DHS 534MAP"/>
    <s v="(주)나우리정보통신"/>
    <m/>
    <n v="32727273"/>
    <n v="223026269659"/>
  </r>
  <r>
    <x v="4"/>
    <s v="DHS 534MAP"/>
    <s v="LK통신"/>
    <m/>
    <n v="30500000"/>
    <n v="223056769659"/>
  </r>
  <r>
    <x v="4"/>
    <s v="DHS 534MAP"/>
    <s v="정우정보통신"/>
    <m/>
    <n v="30400000"/>
    <n v="223087169659"/>
  </r>
  <r>
    <x v="4"/>
    <s v="DHS 534MAP"/>
    <s v="계룡통신"/>
    <m/>
    <n v="30909091"/>
    <n v="223118078750"/>
  </r>
  <r>
    <x v="4"/>
    <s v="DHS 930"/>
    <s v="아라통신"/>
    <m/>
    <n v="36818182"/>
    <n v="223154896932"/>
  </r>
  <r>
    <x v="4"/>
    <s v="DHS 433L"/>
    <s v="신성중기유압"/>
    <m/>
    <n v="14300000"/>
    <n v="223169196932"/>
  </r>
  <r>
    <x v="4"/>
    <s v="DHT 160AS"/>
    <s v="개별화물"/>
    <m/>
    <n v="175000000"/>
    <n v="223344196932"/>
  </r>
  <r>
    <x v="4"/>
    <s v="DHS 433L"/>
    <s v="추레라 커플러의 모든것"/>
    <m/>
    <n v="13600000"/>
    <n v="223357796932"/>
  </r>
  <r>
    <x v="4"/>
    <s v="DHT 150AS"/>
    <s v="(주)동훈전설"/>
    <m/>
    <n v="165000000"/>
    <n v="223522796932"/>
  </r>
  <r>
    <x v="4"/>
    <s v="DHS 17AP"/>
    <s v="현대전기"/>
    <m/>
    <n v="54545454"/>
    <n v="223577342386"/>
  </r>
  <r>
    <x v="4"/>
    <s v="DHS 534MAP"/>
    <s v="아림통신건설"/>
    <m/>
    <n v="33900000"/>
    <n v="223611242386"/>
  </r>
  <r>
    <x v="4"/>
    <s v="DHS 534MAP"/>
    <s v="아림통신건설"/>
    <m/>
    <n v="33900000"/>
    <n v="223645142386"/>
  </r>
  <r>
    <x v="4"/>
    <s v="DHS 930"/>
    <s v="대보정보통신 주식회사"/>
    <m/>
    <n v="129600000"/>
    <n v="223774742386"/>
  </r>
  <r>
    <x v="4"/>
    <s v="DHS 950L"/>
    <s v="(주)에스디정보통신"/>
    <m/>
    <n v="18373000"/>
    <n v="223793115386"/>
  </r>
  <r>
    <x v="4"/>
    <s v="DHS 950L"/>
    <s v="(주)에스디정보통신"/>
    <m/>
    <n v="18373000"/>
    <n v="223811488386"/>
  </r>
  <r>
    <x v="4"/>
    <s v="DHS 950L"/>
    <s v="(주)호남통신"/>
    <m/>
    <n v="18373000"/>
    <n v="223829861386"/>
  </r>
  <r>
    <x v="4"/>
    <s v="DHS 534MAP"/>
    <s v="부광정보통신"/>
    <m/>
    <n v="31000000"/>
    <n v="223860861386"/>
  </r>
  <r>
    <x v="4"/>
    <s v="DHS 534MAP"/>
    <s v="아라정보통신(주)"/>
    <m/>
    <n v="32000000"/>
    <n v="223892861386"/>
  </r>
  <r>
    <x v="4"/>
    <s v="DHS 534MAP"/>
    <s v="(주)유엔텍"/>
    <m/>
    <n v="31000000"/>
    <n v="223923861386"/>
  </r>
  <r>
    <x v="4"/>
    <s v="DHS 950L"/>
    <s v="주식회사 이엠맵정보"/>
    <m/>
    <n v="37000000"/>
    <n v="223960861386"/>
  </r>
  <r>
    <x v="4"/>
    <s v="DHS 950L"/>
    <s v="(주)지성하이텍"/>
    <m/>
    <n v="18373000"/>
    <n v="223979234386"/>
  </r>
  <r>
    <x v="4"/>
    <s v="DHS 1200L"/>
    <s v="(주)씨앤티"/>
    <m/>
    <n v="41500000"/>
    <n v="224020734386"/>
  </r>
  <r>
    <x v="4"/>
    <s v="DHS 534"/>
    <s v="(주)이산"/>
    <m/>
    <n v="13230000"/>
    <n v="224033964386"/>
  </r>
  <r>
    <x v="4"/>
    <s v="DHT 160AS"/>
    <s v="대교전설(주)"/>
    <m/>
    <n v="175000000"/>
    <n v="224208964386"/>
  </r>
  <r>
    <x v="4"/>
    <s v="DHT 160AS"/>
    <s v="동진전력(주)"/>
    <m/>
    <n v="172500000"/>
    <n v="224381464386"/>
  </r>
  <r>
    <x v="4"/>
    <s v="DHS 950L"/>
    <s v="태기통신"/>
    <m/>
    <n v="35000000"/>
    <n v="224416464386"/>
  </r>
  <r>
    <x v="4"/>
    <s v="DHS 15AP"/>
    <s v="크린애드"/>
    <m/>
    <n v="48300000"/>
    <n v="224464764386"/>
  </r>
  <r>
    <x v="4"/>
    <s v="DHM 1500S2"/>
    <s v="동해기계 해상크레인"/>
    <m/>
    <n v="24500000"/>
    <n v="224489264386"/>
  </r>
  <r>
    <x v="4"/>
    <s v="DHT 160AS"/>
    <s v="팔공특수종합물류(주)"/>
    <m/>
    <n v="175000000"/>
    <n v="224664264386"/>
  </r>
  <r>
    <x v="4"/>
    <s v="DHS 15AP"/>
    <s v="바른시스템"/>
    <m/>
    <n v="52000000"/>
    <n v="224716264386"/>
  </r>
  <r>
    <x v="4"/>
    <s v="DHS 130SKY"/>
    <s v="덕암"/>
    <m/>
    <n v="46370000"/>
    <n v="224762634386"/>
  </r>
  <r>
    <x v="4"/>
    <s v="DHS 534MAP"/>
    <s v="지호정보통신"/>
    <m/>
    <n v="30454546"/>
    <n v="224793088932"/>
  </r>
  <r>
    <x v="4"/>
    <s v="DHS 433L"/>
    <s v="삼성로또복권방슈퍼"/>
    <m/>
    <n v="14000000"/>
    <n v="224807088932"/>
  </r>
  <r>
    <x v="4"/>
    <s v="DHAS 120AP"/>
    <s v="효경"/>
    <m/>
    <n v="49090909"/>
    <n v="224856179841"/>
  </r>
  <r>
    <x v="4"/>
    <s v="DHS 950L"/>
    <s v="김유용"/>
    <m/>
    <n v="37272727"/>
    <n v="224893452568"/>
  </r>
  <r>
    <x v="4"/>
    <s v="DHAS 120AP"/>
    <s v="문성네트웍스"/>
    <m/>
    <n v="47800000"/>
    <n v="224941252568"/>
  </r>
  <r>
    <x v="4"/>
    <s v="DHS 130SKY"/>
    <s v="경화EnC"/>
    <m/>
    <n v="44818182"/>
    <n v="224986070750"/>
  </r>
  <r>
    <x v="4"/>
    <s v="DHT 160AS"/>
    <s v="동보(주)"/>
    <m/>
    <n v="175000000"/>
    <n v="225161070750"/>
  </r>
  <r>
    <x v="4"/>
    <s v="DHS 930"/>
    <s v="최수암"/>
    <m/>
    <n v="35909091"/>
    <n v="225196979841"/>
  </r>
  <r>
    <x v="4"/>
    <s v="DHT 160S"/>
    <s v="화정중기"/>
    <m/>
    <n v="159000000"/>
    <n v="225355979841"/>
  </r>
  <r>
    <x v="4"/>
    <s v="DHS 950L "/>
    <s v="NINOX S.A.S"/>
    <m/>
    <n v="17084140"/>
    <n v="225373063981"/>
  </r>
  <r>
    <x v="4"/>
    <s v="DHS 15AP "/>
    <s v="RURAL ELECTRIFICATION TRADING CORPORATION"/>
    <m/>
    <n v="46378349"/>
    <m/>
  </r>
  <r>
    <x v="4"/>
    <s v="DHS 17AP "/>
    <s v="RURAL ELECTRIFICATION TRADING CORPORATION"/>
    <m/>
    <n v="50278285"/>
    <n v="225469720615"/>
  </r>
  <r>
    <x v="4"/>
    <s v="DHT 160S"/>
    <s v="(유)대원운수"/>
    <m/>
    <n v="155000000"/>
    <n v="225624720615"/>
  </r>
  <r>
    <x v="4"/>
    <s v="DHT 150AS"/>
    <s v="호승전력 주식회사"/>
    <m/>
    <n v="166500000"/>
    <n v="225791220615"/>
  </r>
  <r>
    <x v="4"/>
    <s v="DHS 15AP"/>
    <s v="(주)강원"/>
    <m/>
    <n v="52000000"/>
    <n v="225843220615"/>
  </r>
  <r>
    <x v="4"/>
    <s v="DHS 15AP"/>
    <s v="주식회사 제일이엔씨"/>
    <m/>
    <n v="52000000"/>
    <n v="225895220615"/>
  </r>
  <r>
    <x v="4"/>
    <s v="DHS 15AP"/>
    <s v="(주)대해전기통신"/>
    <m/>
    <n v="52000000"/>
    <n v="225947220615"/>
  </r>
  <r>
    <x v="4"/>
    <s v="DHT 150S"/>
    <s v="(주)동원전력"/>
    <m/>
    <n v="147300000"/>
    <n v="226094520615"/>
  </r>
  <r>
    <x v="4"/>
    <s v="DHS 15AP"/>
    <s v="태창전기"/>
    <m/>
    <n v="51000000"/>
    <n v="226145520615"/>
  </r>
  <r>
    <x v="4"/>
    <s v="DHT 160S"/>
    <s v="이강활선"/>
    <m/>
    <n v="159000000"/>
    <n v="226304520615"/>
  </r>
  <r>
    <x v="4"/>
    <s v="DHS 1200L"/>
    <s v="동신전기"/>
    <m/>
    <n v="38800000"/>
    <n v="226343320615"/>
  </r>
  <r>
    <x v="4"/>
    <s v="DHS 1200L"/>
    <s v="주식회사 쁘띠프랑스"/>
    <m/>
    <n v="39500000"/>
    <n v="226382820615"/>
  </r>
  <r>
    <x v="4"/>
    <s v="DHS 1200L"/>
    <s v="김연섭"/>
    <m/>
    <n v="21170000"/>
    <n v="226403990615"/>
  </r>
  <r>
    <x v="4"/>
    <s v="DHS 15AP"/>
    <s v="(주)동신"/>
    <m/>
    <n v="51818182"/>
    <n v="226455808797"/>
  </r>
  <r>
    <x v="4"/>
    <s v="DHS 1200L"/>
    <s v="(주)더반씨앤씨"/>
    <m/>
    <n v="41818182"/>
    <n v="226497626979"/>
  </r>
  <r>
    <x v="4"/>
    <s v="DHS 1200L"/>
    <s v="(주)더반씨앤씨"/>
    <m/>
    <n v="41818182"/>
    <n v="226539445161"/>
  </r>
  <r>
    <x v="4"/>
    <s v="DHS 950L"/>
    <s v="리더스텔"/>
    <m/>
    <n v="38500000"/>
    <n v="226577945161"/>
  </r>
  <r>
    <x v="4"/>
    <s v="DHS 1200L"/>
    <s v="(주)훈민아이티"/>
    <m/>
    <n v="43636364"/>
    <n v="226621581525"/>
  </r>
  <r>
    <x v="4"/>
    <s v="DHS 950L"/>
    <s v="주식회사 한울운수"/>
    <m/>
    <n v="38636363"/>
    <n v="226660217888"/>
  </r>
  <r>
    <x v="4"/>
    <s v="DHS 17AP"/>
    <s v="(주)조흥전력공사"/>
    <m/>
    <n v="56000000"/>
    <n v="226716217888"/>
  </r>
  <r>
    <x v="4"/>
    <s v="DHS 1200L"/>
    <s v="제일네트웍스"/>
    <m/>
    <n v="43181818"/>
    <n v="226759399706"/>
  </r>
  <r>
    <x v="4"/>
    <s v="DHS 1200L"/>
    <s v="(주)대경인트라넷"/>
    <m/>
    <n v="43272727"/>
    <n v="226802672433"/>
  </r>
  <r>
    <x v="4"/>
    <s v="DHS 1200L"/>
    <s v="(주)태성전력"/>
    <m/>
    <n v="39090909"/>
    <n v="226841763342"/>
  </r>
  <r>
    <x v="4"/>
    <s v="DHT 160AS"/>
    <s v="김기석"/>
    <m/>
    <n v="175500000"/>
    <n v="227017263342"/>
  </r>
  <r>
    <x v="4"/>
    <s v="DHS 1200L"/>
    <s v="혁진건설"/>
    <m/>
    <n v="38500000"/>
    <n v="227055763342"/>
  </r>
  <r>
    <x v="4"/>
    <s v="DHS 1200L"/>
    <s v="에이스정보통신"/>
    <m/>
    <n v="41200000"/>
    <n v="227096963342"/>
  </r>
  <r>
    <x v="4"/>
    <s v="DHT 160AS"/>
    <s v="김기석"/>
    <m/>
    <n v="-175500000"/>
    <n v="226921463342"/>
  </r>
  <r>
    <x v="4"/>
    <s v="DHT 160AS"/>
    <s v="대신전기"/>
    <m/>
    <n v="175500000"/>
    <n v="227096963342"/>
  </r>
  <r>
    <x v="4"/>
    <s v="DHS 1200L"/>
    <s v="최성대"/>
    <m/>
    <n v="37500000"/>
    <n v="227134463342"/>
  </r>
  <r>
    <x v="4"/>
    <s v="DHS 1200L"/>
    <s v="현대캐피탈주식회사"/>
    <m/>
    <n v="42000000"/>
    <n v="227176463342"/>
  </r>
  <r>
    <x v="4"/>
    <s v="DHS 433L"/>
    <s v="신흥유압"/>
    <m/>
    <n v="14818182"/>
    <n v="227191281524"/>
  </r>
  <r>
    <x v="4"/>
    <s v="DHS 1200L"/>
    <s v="승리전기공사"/>
    <m/>
    <n v="40800000"/>
    <n v="227232081524"/>
  </r>
  <r>
    <x v="4"/>
    <s v="DHS 1200L"/>
    <s v="광산전기공사조명"/>
    <m/>
    <n v="40909091"/>
    <n v="227272990615"/>
  </r>
  <r>
    <x v="4"/>
    <s v="DHS 433L"/>
    <s v="스카이레저 주식회사"/>
    <m/>
    <n v="15200000"/>
    <n v="227288190615"/>
  </r>
  <r>
    <x v="4"/>
    <s v="DHT 150AS"/>
    <s v="(주)도원"/>
    <m/>
    <n v="165000000"/>
    <n v="227453190615"/>
  </r>
  <r>
    <x v="4"/>
    <s v="DHS 1200L"/>
    <s v="그린정보통신"/>
    <m/>
    <n v="40689363"/>
    <n v="227493879978"/>
  </r>
  <r>
    <x v="4"/>
    <s v="DHS 15AP"/>
    <s v="(주)기영건설"/>
    <m/>
    <n v="50000000"/>
    <n v="227543879978"/>
  </r>
  <r>
    <x v="4"/>
    <s v="DHS 433L"/>
    <s v="형제중장비공업사"/>
    <m/>
    <n v="14000000"/>
    <n v="227557879978"/>
  </r>
  <r>
    <x v="4"/>
    <s v="DHS 15AP"/>
    <s v="승덕전력"/>
    <m/>
    <n v="52000000"/>
    <n v="227609879978"/>
  </r>
  <r>
    <x v="4"/>
    <s v="DHT 160S"/>
    <s v="태광활선"/>
    <m/>
    <n v="155000000"/>
    <n v="227764879978"/>
  </r>
  <r>
    <x v="4"/>
    <s v="DHS 534MAP"/>
    <s v="배영텔레콤(주)"/>
    <m/>
    <n v="31000000"/>
    <n v="227795879978"/>
  </r>
  <r>
    <x v="4"/>
    <s v="DHS 534MAP"/>
    <s v="주식회사 반도통신기술"/>
    <m/>
    <n v="31000000"/>
    <n v="227826879978"/>
  </r>
  <r>
    <x v="4"/>
    <s v="DHS 930"/>
    <s v="해성텔레콤"/>
    <m/>
    <n v="18500000"/>
    <n v="227845379978"/>
  </r>
  <r>
    <x v="4"/>
    <s v="DHS 15AP"/>
    <s v="아주전기"/>
    <m/>
    <n v="52000000"/>
    <n v="227897379978"/>
  </r>
  <r>
    <x v="4"/>
    <s v="DHS 930"/>
    <s v="다운통신"/>
    <m/>
    <n v="18373000"/>
    <n v="227915752978"/>
  </r>
  <r>
    <x v="4"/>
    <s v="DHS 534MAP"/>
    <s v="일군통신"/>
    <m/>
    <n v="32727273"/>
    <n v="227948480251"/>
  </r>
  <r>
    <x v="4"/>
    <s v="DHS 15AP"/>
    <s v="(주)명한전기"/>
    <m/>
    <n v="49363636"/>
    <n v="227997843887"/>
  </r>
  <r>
    <x v="4"/>
    <s v="DHS 950L"/>
    <s v="와이에이치 텔레콤"/>
    <m/>
    <n v="38000000"/>
    <n v="228035843887"/>
  </r>
  <r>
    <x v="4"/>
    <s v="DHS 17AP"/>
    <s v="주식회사 태광"/>
    <m/>
    <n v="56000000"/>
    <n v="228091843887"/>
  </r>
  <r>
    <x v="4"/>
    <s v="DHS 950L"/>
    <s v="준네트워크"/>
    <m/>
    <n v="36500000"/>
    <n v="228128343887"/>
  </r>
  <r>
    <x v="4"/>
    <s v="DHS 534MAP"/>
    <s v="야베스정보통신(주)"/>
    <m/>
    <n v="31000000"/>
    <n v="228159343887"/>
  </r>
  <r>
    <x v="4"/>
    <s v="DHT 160S"/>
    <s v="구평전력(주)"/>
    <m/>
    <n v="151000000"/>
    <n v="228310343887"/>
  </r>
  <r>
    <x v="4"/>
    <s v="DHS 950L"/>
    <s v="에이스통신"/>
    <m/>
    <n v="38500000"/>
    <n v="228348843887"/>
  </r>
  <r>
    <x v="4"/>
    <s v="DHT 160S"/>
    <s v="(주)바른기업"/>
    <m/>
    <n v="154000000"/>
    <n v="228502843887"/>
  </r>
  <r>
    <x v="4"/>
    <s v="DHS 15AP"/>
    <s v="(주)거도산업"/>
    <m/>
    <n v="50700000"/>
    <n v="228553543887"/>
  </r>
  <r>
    <x v="4"/>
    <s v="DHT 170AS"/>
    <s v="스마트활선"/>
    <m/>
    <n v="205000000"/>
    <n v="228758543887"/>
  </r>
  <r>
    <x v="4"/>
    <s v="DHT 160AS"/>
    <s v="쌍용활선"/>
    <m/>
    <n v="176500000"/>
    <n v="228935043887"/>
  </r>
  <r>
    <x v="4"/>
    <s v="DHS 433L"/>
    <s v="롯데오토리스(주)"/>
    <m/>
    <n v="14100000"/>
    <n v="228949143887"/>
  </r>
  <r>
    <x v="4"/>
    <s v="DHS 433L"/>
    <s v="롯데오토리스(주)"/>
    <m/>
    <n v="14100000"/>
    <n v="228963243887"/>
  </r>
  <r>
    <x v="4"/>
    <s v="DHS 433L"/>
    <s v="롯데오토리스(주)"/>
    <m/>
    <n v="14100000"/>
    <n v="228977343887"/>
  </r>
  <r>
    <x v="4"/>
    <s v="DHS 433L"/>
    <s v="롯데오토리스(주)"/>
    <m/>
    <n v="14100000"/>
    <n v="228991443887"/>
  </r>
  <r>
    <x v="4"/>
    <s v="DHT 160AS"/>
    <s v="주식회사 해주전력"/>
    <m/>
    <n v="175000000"/>
    <n v="229166443887"/>
  </r>
  <r>
    <x v="4"/>
    <s v="DHS 15AP"/>
    <s v="(주)진은전기소방"/>
    <m/>
    <n v="50500000"/>
    <n v="229216943887"/>
  </r>
  <r>
    <x v="4"/>
    <s v="DHT 150AS"/>
    <s v="(주)은진전력"/>
    <m/>
    <n v="165000000"/>
    <n v="229381943887"/>
  </r>
  <r>
    <x v="4"/>
    <s v="DHS 1200L"/>
    <s v="주식회사 둥근"/>
    <m/>
    <n v="45454545"/>
    <n v="229427398432"/>
  </r>
  <r>
    <x v="4"/>
    <s v="DHS 950L"/>
    <s v="에이맥정보통신"/>
    <m/>
    <n v="36636363"/>
    <n v="229464034795"/>
  </r>
  <r>
    <x v="4"/>
    <s v="DHT 150AS"/>
    <s v="웅진활선"/>
    <m/>
    <n v="166500000"/>
    <n v="229630534795"/>
  </r>
  <r>
    <x v="4"/>
    <s v="WIRED COMPUTER CONTROL SYSTEM외 "/>
    <s v="ATTN MR STEPHEN"/>
    <m/>
    <n v="1277935"/>
    <n v="229631812730"/>
  </r>
  <r>
    <x v="4"/>
    <s v="DHS 15AP"/>
    <s v="부원전설 주식회사"/>
    <m/>
    <n v="50000000"/>
    <n v="229681812730"/>
  </r>
  <r>
    <x v="4"/>
    <s v="DHT 160AS"/>
    <s v="진우"/>
    <m/>
    <n v="176500000"/>
    <n v="229858312730"/>
  </r>
  <r>
    <x v="4"/>
    <s v="DHS 433L"/>
    <s v="대한마린"/>
    <m/>
    <n v="13900000"/>
    <n v="229872212730"/>
  </r>
  <r>
    <x v="4"/>
    <s v="DHS 433L"/>
    <s v="신광전기"/>
    <m/>
    <n v="15500000"/>
    <n v="229887712730"/>
  </r>
  <r>
    <x v="4"/>
    <s v="DHS 950L"/>
    <s v="현정보통신"/>
    <m/>
    <n v="37909090"/>
    <n v="229925621820"/>
  </r>
  <r>
    <x v="4"/>
    <s v="DHS 433L"/>
    <s v="성진특장출장수리"/>
    <m/>
    <n v="13800000"/>
    <n v="229939421820"/>
  </r>
  <r>
    <x v="4"/>
    <s v="DHS 1200L"/>
    <s v="제이 전기통신 건축"/>
    <m/>
    <n v="39000000"/>
    <n v="229978421820"/>
  </r>
  <r>
    <x v="4"/>
    <s v="DHS 433L"/>
    <s v="(주)삼화타이어"/>
    <m/>
    <n v="16500000"/>
    <n v="229994921820"/>
  </r>
  <r>
    <x v="4"/>
    <s v="DHT 160S"/>
    <s v="덕성전기"/>
    <m/>
    <n v="157000000"/>
    <n v="230151921820"/>
  </r>
  <r>
    <x v="4"/>
    <s v="DHS 15AP"/>
    <s v="LS전기건설공사"/>
    <m/>
    <n v="52000000"/>
    <n v="230203921820"/>
  </r>
  <r>
    <x v="4"/>
    <s v="DHS 15AP"/>
    <s v="성현전기(주)"/>
    <m/>
    <n v="51363636"/>
    <n v="230255285456"/>
  </r>
  <r>
    <x v="4"/>
    <s v="DHS 1800AF"/>
    <s v="서광종합개발(주)"/>
    <m/>
    <n v="92272727"/>
    <n v="230347558183"/>
  </r>
  <r>
    <x v="4"/>
    <s v="DHS 920"/>
    <s v="서광종합개발(주)"/>
    <m/>
    <n v="45400000"/>
    <n v="230392958183"/>
  </r>
  <r>
    <x v="4"/>
    <s v="DHT 150AS"/>
    <s v="하성전기"/>
    <m/>
    <n v="164800000"/>
    <n v="230557758183"/>
  </r>
  <r>
    <x v="4"/>
    <s v="DHS 950L"/>
    <s v="유한회사 한국케이비에프"/>
    <m/>
    <n v="37272727"/>
    <n v="230595030910"/>
  </r>
  <r>
    <x v="4"/>
    <s v="DHS 17AP"/>
    <s v="(주)동진전력ENG"/>
    <m/>
    <n v="56000000"/>
    <n v="230651030910"/>
  </r>
  <r>
    <x v="4"/>
    <s v="DHS 17AP"/>
    <s v="국제전력공사"/>
    <m/>
    <n v="53400000"/>
    <n v="230704430910"/>
  </r>
  <r>
    <x v="4"/>
    <s v="DHS 950"/>
    <s v="오티씨테크놀로지(주)"/>
    <m/>
    <n v="38181818"/>
    <n v="230742612728"/>
  </r>
  <r>
    <x v="4"/>
    <s v="DHS 950"/>
    <s v="오티씨테크놀로지(주)"/>
    <m/>
    <n v="38181818"/>
    <n v="230780794546"/>
  </r>
  <r>
    <x v="4"/>
    <s v="DHS 950L"/>
    <s v="(주)엠제이정보통신"/>
    <m/>
    <n v="38500000"/>
    <n v="230819294546"/>
  </r>
  <r>
    <x v="4"/>
    <s v="DHS 950L"/>
    <s v="(주)엠제이정보통신"/>
    <m/>
    <n v="38500000"/>
    <n v="230857794546"/>
  </r>
  <r>
    <x v="4"/>
    <s v="DHS 930"/>
    <s v="현통신"/>
    <m/>
    <n v="18373000"/>
    <n v="230876167546"/>
  </r>
  <r>
    <x v="4"/>
    <s v="DHT 170AS"/>
    <s v="유정특장"/>
    <m/>
    <n v="205000000"/>
    <n v="231081167546"/>
  </r>
  <r>
    <x v="4"/>
    <s v="DHS 930"/>
    <s v="황군"/>
    <m/>
    <n v="18400000"/>
    <n v="231099567546"/>
  </r>
  <r>
    <x v="4"/>
    <s v="DHS 17AP"/>
    <s v="(주)이제이텍"/>
    <m/>
    <n v="53000000"/>
    <n v="231152567546"/>
  </r>
  <r>
    <x v="4"/>
    <s v="DHT 160S"/>
    <s v="안병용"/>
    <m/>
    <n v="159000000"/>
    <n v="231311567546"/>
  </r>
  <r>
    <x v="4"/>
    <s v="DHS 15AP"/>
    <s v="대원전기"/>
    <m/>
    <n v="52000000"/>
    <n v="231363567546"/>
  </r>
  <r>
    <x v="4"/>
    <s v="DHS 15AP"/>
    <s v="(주)디엠전력"/>
    <m/>
    <n v="52000000"/>
    <n v="231415567546"/>
  </r>
  <r>
    <x v="4"/>
    <s v="DHS 950L"/>
    <s v="한국정보네트웍스(주)"/>
    <m/>
    <n v="3636363"/>
    <n v="231419203909"/>
  </r>
  <r>
    <x v="4"/>
    <s v="DHT 160S"/>
    <s v="안병용"/>
    <m/>
    <n v="-159000000"/>
    <n v="231260203909"/>
  </r>
  <r>
    <x v="4"/>
    <s v="DHT 160S"/>
    <s v="은혜활선"/>
    <m/>
    <n v="159000000"/>
    <n v="231419203909"/>
  </r>
  <r>
    <x v="4"/>
    <s v="DHM 1500S2"/>
    <s v="동해기계 해상크레인"/>
    <m/>
    <n v="24500000"/>
    <n v="231443703909"/>
  </r>
  <r>
    <x v="4"/>
    <s v="DHM 1500S2"/>
    <s v="동해기계 해상크레인"/>
    <m/>
    <n v="24500000"/>
    <n v="231468203909"/>
  </r>
  <r>
    <x v="4"/>
    <s v="DHS 17AP"/>
    <s v="주식회사 삼영전기"/>
    <m/>
    <n v="54000000"/>
    <n v="231522203909"/>
  </r>
  <r>
    <x v="4"/>
    <s v="DHS 15AP"/>
    <s v="기명이아이티"/>
    <m/>
    <n v="50000000"/>
    <n v="231572203909"/>
  </r>
  <r>
    <x v="4"/>
    <s v="DHS 17AP"/>
    <s v="고미경"/>
    <m/>
    <n v="56000000"/>
    <n v="231628203909"/>
  </r>
  <r>
    <x v="4"/>
    <s v="DHT 160S"/>
    <s v="(유)우림전설"/>
    <m/>
    <n v="161818182"/>
    <n v="231790022091"/>
  </r>
  <r>
    <x v="4"/>
    <s v="DHT 160AS"/>
    <s v="팔공특수종합물류(주)"/>
    <m/>
    <n v="171500000"/>
    <n v="231961522091"/>
  </r>
  <r>
    <x v="4"/>
    <s v="DHT 160S"/>
    <s v="유한회사 성진전력"/>
    <m/>
    <n v="163250000"/>
    <n v="232124772091"/>
  </r>
  <r>
    <x v="4"/>
    <s v="DHT 150AS"/>
    <s v="주식회사 지성전설"/>
    <m/>
    <n v="163000000"/>
    <n v="232287772091"/>
  </r>
  <r>
    <x v="4"/>
    <s v="DHS 930"/>
    <s v="주식회사 우정넷"/>
    <m/>
    <n v="35909091"/>
    <n v="232323681182"/>
  </r>
  <r>
    <x v="4"/>
    <s v="DHS 1200L"/>
    <s v="주식회사 경기전력"/>
    <m/>
    <n v="39500000"/>
    <n v="232363181182"/>
  </r>
  <r>
    <x v="4"/>
    <s v="DHS 1200L"/>
    <s v="(주)라이팅폴"/>
    <m/>
    <n v="41550000"/>
    <n v="232404731182"/>
  </r>
  <r>
    <x v="4"/>
    <s v="DHS 1200L"/>
    <s v="백진전기"/>
    <m/>
    <n v="44500000"/>
    <n v="232449231182"/>
  </r>
  <r>
    <x v="4"/>
    <s v="DHS 1200L"/>
    <s v="수창정보통신(주)"/>
    <m/>
    <n v="39000000"/>
    <n v="232488231182"/>
  </r>
  <r>
    <x v="4"/>
    <s v="DHS 534MAP"/>
    <s v="덕산통신"/>
    <m/>
    <n v="31000000"/>
    <n v="232519231182"/>
  </r>
  <r>
    <x v="4"/>
    <s v="DHS 950L"/>
    <s v="주식회사 스카이"/>
    <m/>
    <n v="37272727"/>
    <n v="232556503909"/>
  </r>
  <r>
    <x v="4"/>
    <s v="DHS 950L"/>
    <s v="오복"/>
    <m/>
    <n v="37272727"/>
    <n v="232593776636"/>
  </r>
  <r>
    <x v="4"/>
    <s v="DHT 160S"/>
    <s v="(주)효광전력"/>
    <m/>
    <n v="155000000"/>
    <n v="232748776636"/>
  </r>
  <r>
    <x v="4"/>
    <s v="DHS 950L"/>
    <s v="도경통신"/>
    <m/>
    <n v="38181818"/>
    <n v="232786958454"/>
  </r>
  <r>
    <x v="4"/>
    <s v="DHS 930"/>
    <s v="주식회사네트워크아이"/>
    <m/>
    <n v="35800000"/>
    <n v="232822758454"/>
  </r>
  <r>
    <x v="4"/>
    <s v="DHS 17AP"/>
    <s v="주식회사 동강이엔씨"/>
    <m/>
    <n v="56000000"/>
    <n v="232878758454"/>
  </r>
  <r>
    <x v="4"/>
    <s v="DHT 160AS"/>
    <s v="(주) 선광전력"/>
    <m/>
    <n v="175000000"/>
    <n v="233053758454"/>
  </r>
  <r>
    <x v="4"/>
    <s v="OUTRIGGER EXTENSION STEEL TUBE KIT "/>
    <s v="WAIMEA TRUCK ＆ CRANE LTD"/>
    <m/>
    <n v="824976"/>
    <n v="233054583430"/>
  </r>
  <r>
    <x v="4"/>
    <s v="DHS 930"/>
    <s v="(주)광주텔레콤"/>
    <m/>
    <n v="18373000"/>
    <n v="233072956430"/>
  </r>
  <r>
    <x v="4"/>
    <s v="DHAS 130AP"/>
    <s v="신유로전력(주)"/>
    <m/>
    <n v="43636364"/>
    <n v="233116592794"/>
  </r>
  <r>
    <x v="4"/>
    <s v="DHS 130SKY"/>
    <s v="(유)대승네트웍스"/>
    <m/>
    <n v="39550000"/>
    <n v="233156142794"/>
  </r>
  <r>
    <x v="4"/>
    <s v="DHS 1200L"/>
    <s v="성경전기주식회사"/>
    <m/>
    <n v="45454545"/>
    <n v="233201597339"/>
  </r>
  <r>
    <x v="4"/>
    <s v="DHS 1200L"/>
    <s v="미화전기"/>
    <m/>
    <n v="42000000"/>
    <n v="233243597339"/>
  </r>
  <r>
    <x v="4"/>
    <s v="DHS 1200L"/>
    <s v="커뮤넷"/>
    <m/>
    <n v="40000000"/>
    <n v="233283597339"/>
  </r>
  <r>
    <x v="4"/>
    <s v="DHT 160AS"/>
    <s v="팔팔일렉트릭"/>
    <m/>
    <n v="176500000"/>
    <n v="233460097339"/>
  </r>
  <r>
    <x v="4"/>
    <s v="DHAS 130AP"/>
    <s v="캠뷰"/>
    <m/>
    <n v="43000000"/>
    <n v="233503097339"/>
  </r>
  <r>
    <x v="4"/>
    <s v="DHS 534"/>
    <s v="(주)티에스케이워터"/>
    <m/>
    <n v="14700000"/>
    <n v="233517797339"/>
  </r>
  <r>
    <x v="4"/>
    <s v="DHS 534"/>
    <s v="(주)티에스케이워터"/>
    <m/>
    <n v="14700000"/>
    <n v="233532497339"/>
  </r>
  <r>
    <x v="4"/>
    <s v="DHS 1200L"/>
    <s v="삼영통신"/>
    <m/>
    <n v="39000000"/>
    <n v="233571497339"/>
  </r>
  <r>
    <x v="4"/>
    <s v="DHS 15AP"/>
    <s v="주식회사 광동전력"/>
    <m/>
    <n v="49090909"/>
    <n v="233620588248"/>
  </r>
  <r>
    <x v="4"/>
    <s v="DHS 15AP"/>
    <s v="주식회사 경도"/>
    <m/>
    <n v="52000000"/>
    <n v="233672588248"/>
  </r>
  <r>
    <x v="4"/>
    <s v="DHT 160AS"/>
    <s v="(주)신화전력"/>
    <m/>
    <n v="176500000"/>
    <n v="233849088248"/>
  </r>
  <r>
    <x v="4"/>
    <s v="DHS 433L"/>
    <s v="제주특별자치도 상하수도본부"/>
    <m/>
    <n v="16909091"/>
    <n v="233865997339"/>
  </r>
  <r>
    <x v="4"/>
    <s v="DHS 433L"/>
    <s v="제주특별자치도 상하수도본부"/>
    <m/>
    <n v="16909091"/>
    <n v="233882906430"/>
  </r>
  <r>
    <x v="4"/>
    <s v="DHS 950L"/>
    <s v="대한통신"/>
    <m/>
    <n v="38000000"/>
    <n v="233920906430"/>
  </r>
  <r>
    <x v="4"/>
    <s v="DHT 150S"/>
    <s v="태백활선"/>
    <m/>
    <n v="149000000"/>
    <n v="234069906430"/>
  </r>
  <r>
    <x v="4"/>
    <s v="DHS 950L"/>
    <s v="(주)코어넷"/>
    <m/>
    <n v="36363636"/>
    <n v="234106270066"/>
  </r>
  <r>
    <x v="4"/>
    <s v="DHS 950L"/>
    <s v="(주)코어넷"/>
    <m/>
    <n v="36363636"/>
    <n v="234142633702"/>
  </r>
  <r>
    <x v="4"/>
    <s v="DHT 170AS"/>
    <s v="오구활선"/>
    <m/>
    <n v="203000000"/>
    <n v="234345633702"/>
  </r>
  <r>
    <x v="4"/>
    <s v="DHS 15AP"/>
    <s v="부성전력(주)"/>
    <m/>
    <n v="52000000"/>
    <n v="234397633702"/>
  </r>
  <r>
    <x v="4"/>
    <s v="DHS 1800 "/>
    <s v="TRI-GLOBE TRANSPORT SERVICES AND TRADING INC"/>
    <m/>
    <n v="41467124"/>
    <n v="234439100826"/>
  </r>
  <r>
    <x v="4"/>
    <s v="DHS 433L"/>
    <s v="(주)푸른자리"/>
    <m/>
    <n v="14500000"/>
    <n v="234453600826"/>
  </r>
  <r>
    <x v="4"/>
    <s v="DHS 433L"/>
    <s v="오오건설기계장비"/>
    <m/>
    <n v="16300000"/>
    <n v="234469900826"/>
  </r>
  <r>
    <x v="4"/>
    <s v="DHS 15AP"/>
    <s v="(주)선민전설"/>
    <m/>
    <n v="51818182"/>
    <n v="234521719008"/>
  </r>
  <r>
    <x v="4"/>
    <s v="DHS 950L"/>
    <s v="지은텔레콤"/>
    <m/>
    <n v="37000000"/>
    <n v="234558719008"/>
  </r>
  <r>
    <x v="4"/>
    <s v="DHT 170AS"/>
    <s v="진우활선"/>
    <m/>
    <n v="200000000"/>
    <n v="234758719008"/>
  </r>
  <r>
    <x v="4"/>
    <s v="DHS 950L"/>
    <s v="우연통신"/>
    <m/>
    <n v="18373000"/>
    <n v="234777092008"/>
  </r>
  <r>
    <x v="4"/>
    <s v="DHS 930"/>
    <s v="제이케이앤티텔레콤(주)"/>
    <m/>
    <n v="18373000"/>
    <n v="234795465008"/>
  </r>
  <r>
    <x v="4"/>
    <s v="DHAS 140SS"/>
    <s v="유한회사 씨알건설"/>
    <m/>
    <n v="41390909"/>
    <n v="234836855917"/>
  </r>
  <r>
    <x v="4"/>
    <s v="DHS 15AP"/>
    <s v="(주)엘지전기"/>
    <m/>
    <n v="52000000"/>
    <n v="234888855917"/>
  </r>
  <r>
    <x v="4"/>
    <s v="DHS 17AP"/>
    <s v="휴먼아이티에스(주)"/>
    <m/>
    <n v="56000000"/>
    <n v="234944855917"/>
  </r>
  <r>
    <x v="4"/>
    <s v="DHS 433L"/>
    <s v="주식회사 유아이테크"/>
    <m/>
    <n v="14500000"/>
    <n v="234959355917"/>
  </r>
  <r>
    <x v="4"/>
    <s v="DHS 950L"/>
    <s v="영신네트웍"/>
    <m/>
    <n v="37272727"/>
    <n v="234996628644"/>
  </r>
  <r>
    <x v="4"/>
    <s v="DHS 433L"/>
    <s v="을지건업"/>
    <m/>
    <n v="16900000"/>
    <n v="235013528644"/>
  </r>
  <r>
    <x v="4"/>
    <s v="DHT 160S"/>
    <s v="진광전력(주)"/>
    <m/>
    <n v="155000000"/>
    <n v="235168528644"/>
  </r>
  <r>
    <x v="4"/>
    <s v="DHS 920"/>
    <s v="(주)천안교차로"/>
    <m/>
    <n v="40000000"/>
    <n v="235208528644"/>
  </r>
  <r>
    <x v="4"/>
    <s v="DHS 950L"/>
    <s v="렌트타임"/>
    <m/>
    <n v="38000000"/>
    <n v="235246528644"/>
  </r>
  <r>
    <x v="4"/>
    <s v="DHS 15AP"/>
    <s v="주식회사 서남전기이엔지"/>
    <m/>
    <n v="52727273"/>
    <n v="235299255917"/>
  </r>
  <r>
    <x v="4"/>
    <s v="DHS 108SKY"/>
    <s v="에스제이테크(주)"/>
    <m/>
    <n v="38636364"/>
    <n v="235337892281"/>
  </r>
  <r>
    <x v="4"/>
    <s v="DHT 160S"/>
    <s v="(주)석보전력"/>
    <m/>
    <n v="156600000"/>
    <n v="235494492281"/>
  </r>
  <r>
    <x v="4"/>
    <s v="DHT 150S"/>
    <s v="(합자)나라전기"/>
    <m/>
    <n v="149200000"/>
    <n v="235643692281"/>
  </r>
  <r>
    <x v="4"/>
    <s v="DHS 950L"/>
    <s v="SK네트웍스(주)"/>
    <m/>
    <n v="40454545"/>
    <n v="235684146826"/>
  </r>
  <r>
    <x v="4"/>
    <s v="DHS 433L"/>
    <s v="나무농원"/>
    <m/>
    <n v="14818182"/>
    <n v="235698965008"/>
  </r>
  <r>
    <x v="4"/>
    <s v="DHS 1200L"/>
    <s v="진보건설 주식회사"/>
    <m/>
    <n v="44150000"/>
    <n v="235743115008"/>
  </r>
  <r>
    <x v="4"/>
    <s v="DHS 950L"/>
    <s v="토네이도정보통신"/>
    <m/>
    <n v="35000000"/>
    <n v="235778115008"/>
  </r>
  <r>
    <x v="4"/>
    <s v="DHS 534MAP"/>
    <s v="토네이도정보통신"/>
    <m/>
    <n v="30000000"/>
    <n v="235808115008"/>
  </r>
  <r>
    <x v="4"/>
    <s v="DHT 150S"/>
    <s v="광명운수"/>
    <m/>
    <n v="146500000"/>
    <n v="235954615008"/>
  </r>
  <r>
    <x v="4"/>
    <s v="DHT 160AS"/>
    <s v="송광전력(주)"/>
    <m/>
    <n v="175000000"/>
    <n v="236129615008"/>
  </r>
  <r>
    <x v="4"/>
    <s v="DHT 160AS"/>
    <s v="(주)으뜸전기"/>
    <m/>
    <n v="175000000"/>
    <n v="236304615008"/>
  </r>
  <r>
    <x v="4"/>
    <s v="DHT 150S"/>
    <s v="주)제일이앤에이"/>
    <m/>
    <n v="149200000"/>
    <n v="236453815008"/>
  </r>
  <r>
    <x v="4"/>
    <s v="DHT 160AS"/>
    <s v="(주)으뜸전기"/>
    <m/>
    <n v="-175000000"/>
    <n v="236278815008"/>
  </r>
  <r>
    <x v="4"/>
    <s v="DHT 160AS"/>
    <s v="(주)으뜸전기"/>
    <m/>
    <n v="175000000"/>
    <n v="236453815008"/>
  </r>
  <r>
    <x v="4"/>
    <s v="DHS 950L"/>
    <s v="주식회사 썬즈"/>
    <m/>
    <n v="36545454"/>
    <n v="236490360462"/>
  </r>
  <r>
    <x v="4"/>
    <s v="DHS 950L"/>
    <s v="주식회사 신라이앤씨"/>
    <m/>
    <n v="38500000"/>
    <n v="236528860462"/>
  </r>
  <r>
    <x v="4"/>
    <s v="DHS 950L"/>
    <s v="옵티컬씨앤씨"/>
    <m/>
    <n v="37000000"/>
    <n v="236565860462"/>
  </r>
  <r>
    <x v="4"/>
    <s v="DHS 15AP"/>
    <s v="신아전기"/>
    <m/>
    <n v="51000000"/>
    <n v="236616860462"/>
  </r>
  <r>
    <x v="4"/>
    <s v="DHS 433L"/>
    <s v="예도건설조경"/>
    <m/>
    <n v="13936364"/>
    <n v="236630796826"/>
  </r>
  <r>
    <x v="4"/>
    <s v="DHS 930"/>
    <s v="(주)서진아이티씨"/>
    <m/>
    <n v="36363636"/>
    <n v="236667160462"/>
  </r>
  <r>
    <x v="4"/>
    <s v="DHS 950L"/>
    <s v="그린라인"/>
    <m/>
    <n v="37500000"/>
    <n v="236704660462"/>
  </r>
  <r>
    <x v="4"/>
    <s v="DHS 534MAP"/>
    <s v="티씨엔네트웍스(주)"/>
    <m/>
    <n v="31000000"/>
    <n v="236735660462"/>
  </r>
  <r>
    <x v="4"/>
    <s v="DHS 950L"/>
    <s v="이진관"/>
    <m/>
    <n v="38636363"/>
    <n v="236774296825"/>
  </r>
  <r>
    <x v="4"/>
    <s v="DHS 534MAP"/>
    <s v="자가정보통신"/>
    <m/>
    <n v="30000000"/>
    <n v="236804296825"/>
  </r>
  <r>
    <x v="4"/>
    <s v="DHT 150AS"/>
    <s v="성운 주식회사"/>
    <m/>
    <n v="164000000"/>
    <n v="236968296825"/>
  </r>
  <r>
    <x v="4"/>
    <s v="DHS 950L"/>
    <s v="(주)신호전력"/>
    <m/>
    <n v="50000000"/>
    <n v="237018296825"/>
  </r>
  <r>
    <x v="4"/>
    <s v="DHS 433L"/>
    <s v="(주)한미엔텍"/>
    <m/>
    <n v="15454545"/>
    <n v="237033751370"/>
  </r>
  <r>
    <x v="4"/>
    <s v="DHS 433L"/>
    <s v="중앙자동차폐차장"/>
    <m/>
    <n v="14500000"/>
    <n v="237048251370"/>
  </r>
  <r>
    <x v="4"/>
    <s v="DHS 950L"/>
    <s v="훈텔레콤"/>
    <m/>
    <n v="18500000"/>
    <n v="237066751370"/>
  </r>
  <r>
    <x v="4"/>
    <s v="DHS 930"/>
    <s v="(유)나노정보통신"/>
    <m/>
    <n v="18373000"/>
    <n v="237085124370"/>
  </r>
  <r>
    <x v="4"/>
    <s v="DHS 1200L"/>
    <s v="진원개발(주)"/>
    <m/>
    <n v="41000000"/>
    <n v="237126124370"/>
  </r>
  <r>
    <x v="4"/>
    <s v="DHS 1200L"/>
    <s v="(주)화신전력"/>
    <m/>
    <n v="42000000"/>
    <n v="237168124370"/>
  </r>
  <r>
    <x v="4"/>
    <s v="DHS 15AP"/>
    <s v="주식회사 천진"/>
    <m/>
    <n v="52000000"/>
    <n v="237220124370"/>
  </r>
  <r>
    <x v="4"/>
    <s v="DHS 433L"/>
    <s v="현대캐피탈주식회사"/>
    <m/>
    <n v="50054000"/>
    <n v="237270178370"/>
  </r>
  <r>
    <x v="4"/>
    <s v="DHS 433L"/>
    <s v="현대캐피탈주식회사"/>
    <m/>
    <n v="50054000"/>
    <n v="237320232370"/>
  </r>
  <r>
    <x v="4"/>
    <s v="동해이동정비탑차"/>
    <s v="현대캐피탈주식회사"/>
    <m/>
    <n v="33420000"/>
    <n v="237353652370"/>
  </r>
  <r>
    <x v="4"/>
    <s v="DHS 950L"/>
    <s v="하나통신"/>
    <m/>
    <n v="38181818"/>
    <n v="237391834188"/>
  </r>
  <r>
    <x v="4"/>
    <s v="DHS 950L"/>
    <s v="(주)국제광엔지니어링"/>
    <m/>
    <n v="38636364"/>
    <n v="237430470552"/>
  </r>
  <r>
    <x v="4"/>
    <s v="DHS 950L"/>
    <s v="광신네트워크"/>
    <m/>
    <n v="36500000"/>
    <n v="237466970552"/>
  </r>
  <r>
    <x v="4"/>
    <s v="DHT 160AS"/>
    <s v="주식회사 광원전력"/>
    <m/>
    <n v="176500000"/>
    <n v="237643470552"/>
  </r>
  <r>
    <x v="4"/>
    <s v="DHS 433L"/>
    <s v="삼성라디에터"/>
    <m/>
    <n v="13500000"/>
    <n v="237656970552"/>
  </r>
  <r>
    <x v="4"/>
    <s v="DHS 433L"/>
    <s v="이승영"/>
    <m/>
    <n v="14300000"/>
    <n v="237671270552"/>
  </r>
  <r>
    <x v="4"/>
    <s v="DHT 160AS"/>
    <s v="주미기전"/>
    <m/>
    <n v="172200000"/>
    <n v="237843470552"/>
  </r>
  <r>
    <x v="4"/>
    <s v="DHT 150AS"/>
    <s v="한라전력(주)"/>
    <m/>
    <n v="163636363"/>
    <n v="238007106915"/>
  </r>
  <r>
    <x v="4"/>
    <s v="DHS 190SKY"/>
    <s v="무지개광고기획"/>
    <m/>
    <n v="60581818"/>
    <n v="238067688733"/>
  </r>
  <r>
    <x v="4"/>
    <s v="DHS 15AP"/>
    <s v="주식회사 동해전력"/>
    <m/>
    <n v="49545454"/>
    <n v="238117234187"/>
  </r>
  <r>
    <x v="4"/>
    <s v="DHS 1200L"/>
    <s v="소정통신"/>
    <m/>
    <n v="41818182"/>
    <n v="238159052369"/>
  </r>
  <r>
    <x v="4"/>
    <s v="DHT 160AS"/>
    <s v="서부활선"/>
    <m/>
    <n v="175000000"/>
    <n v="238334052369"/>
  </r>
  <r>
    <x v="4"/>
    <s v="DHS 534MAP"/>
    <s v="메스코(주)"/>
    <m/>
    <n v="32000000"/>
    <n v="238366052369"/>
  </r>
  <r>
    <x v="4"/>
    <s v="DHT 150AS"/>
    <s v="녹성전기"/>
    <m/>
    <n v="164000000"/>
    <n v="238530052369"/>
  </r>
  <r>
    <x v="4"/>
    <s v="DHT 160AS"/>
    <s v="주식회사유원이씨에스"/>
    <m/>
    <n v="175000000"/>
    <n v="238705052369"/>
  </r>
  <r>
    <x v="4"/>
    <s v="DHAS 120AP"/>
    <s v="다온"/>
    <m/>
    <n v="49252273"/>
    <n v="238754304642"/>
  </r>
  <r>
    <x v="4"/>
    <s v="DHAS 130AP"/>
    <s v="세희종합건설(주)"/>
    <m/>
    <n v="43000000"/>
    <n v="238797304642"/>
  </r>
  <r>
    <x v="4"/>
    <s v="DHAS 130AP"/>
    <s v="(주)한화보은사업장"/>
    <m/>
    <n v="47090000"/>
    <n v="238844394642"/>
  </r>
  <r>
    <x v="4"/>
    <s v="DHS 433L"/>
    <s v="승우산업개발(주)"/>
    <m/>
    <n v="16850000"/>
    <n v="238861244642"/>
  </r>
  <r>
    <x v="4"/>
    <s v="DHS 950L"/>
    <s v="은유통신"/>
    <m/>
    <n v="38181818"/>
    <n v="238899426460"/>
  </r>
  <r>
    <x v="4"/>
    <s v="DHT 160S"/>
    <s v="주식회사 장흥전력"/>
    <m/>
    <n v="160500000"/>
    <n v="239059926460"/>
  </r>
  <r>
    <x v="4"/>
    <s v="DHS 950L"/>
    <s v="이캠정보통신"/>
    <m/>
    <n v="37090909"/>
    <n v="239097017369"/>
  </r>
  <r>
    <x v="4"/>
    <s v="DHS 930"/>
    <s v="백승옥"/>
    <m/>
    <n v="18373000"/>
    <n v="239115390369"/>
  </r>
  <r>
    <x v="4"/>
    <s v="DHS 950L"/>
    <s v="드림정보통신주식회사"/>
    <m/>
    <n v="37850000"/>
    <n v="239153240369"/>
  </r>
  <r>
    <x v="4"/>
    <s v="DHT 160S"/>
    <s v="주식회사 우신"/>
    <m/>
    <n v="160500000"/>
    <n v="239313740369"/>
  </r>
  <r>
    <x v="4"/>
    <s v="DHS 950L"/>
    <s v="원강정보통신 주식회사"/>
    <m/>
    <n v="18500000"/>
    <n v="239332240369"/>
  </r>
  <r>
    <x v="4"/>
    <s v="DHT 160AS"/>
    <s v="주식회사 쌍용건설전기"/>
    <m/>
    <n v="175000000"/>
    <n v="239507240369"/>
  </r>
  <r>
    <x v="4"/>
    <s v="DHS 1200HC-10대 "/>
    <s v="VIET TRUNG EQUIPMENT JOINT STOCK COMPANY"/>
    <m/>
    <n v="571862000"/>
    <n v="240079102369"/>
  </r>
  <r>
    <x v="4"/>
    <s v="DHS 15AP"/>
    <s v="대신크린"/>
    <m/>
    <n v="48500000"/>
    <n v="240127602369"/>
  </r>
  <r>
    <x v="4"/>
    <s v="DHM 1300S2"/>
    <s v="동해기계해상크레인"/>
    <m/>
    <n v="21000000"/>
    <n v="240148602369"/>
  </r>
  <r>
    <x v="4"/>
    <s v="DHS 950L"/>
    <s v="(주)한샘정보통신"/>
    <m/>
    <n v="38500000"/>
    <n v="240187102369"/>
  </r>
  <r>
    <x v="4"/>
    <s v="17-BAK-14 장비실 개선 공사"/>
    <s v="공군제1전투비행단"/>
    <m/>
    <n v="13954545"/>
    <n v="240201056914"/>
  </r>
  <r>
    <x v="4"/>
    <s v="DHT 150S"/>
    <s v="(주) 제일전력공사"/>
    <m/>
    <n v="148600000"/>
    <n v="240349656914"/>
  </r>
  <r>
    <x v="4"/>
    <s v="DHS 950L"/>
    <s v="위너통신"/>
    <m/>
    <n v="37600000"/>
    <n v="240387256914"/>
  </r>
  <r>
    <x v="4"/>
    <s v="DHS 1200L"/>
    <s v="(자)미래통신공사"/>
    <m/>
    <n v="40909091"/>
    <n v="240428166005"/>
  </r>
  <r>
    <x v="4"/>
    <s v="DHS 534MAP"/>
    <s v="현엽통신"/>
    <m/>
    <n v="31000000"/>
    <n v="240459166005"/>
  </r>
  <r>
    <x v="4"/>
    <s v="DHS 108SKY"/>
    <s v="삼영통신"/>
    <m/>
    <n v="39545455"/>
    <n v="240498711460"/>
  </r>
  <r>
    <x v="4"/>
    <s v="DHS 534"/>
    <s v="(주)푸른이엔지"/>
    <m/>
    <n v="14720000"/>
    <n v="240513431460"/>
  </r>
  <r>
    <x v="4"/>
    <s v="DHS 930"/>
    <s v="준통신"/>
    <m/>
    <n v="18373000"/>
    <n v="240531804460"/>
  </r>
  <r>
    <x v="4"/>
    <s v="DHT 160S"/>
    <s v="제일활선"/>
    <m/>
    <n v="159000000"/>
    <n v="240690804460"/>
  </r>
  <r>
    <x v="4"/>
    <s v="DHS 534"/>
    <s v="(주)광성이엔지"/>
    <m/>
    <n v="13500000"/>
    <n v="240704304460"/>
  </r>
  <r>
    <x v="4"/>
    <s v="DHS 433L"/>
    <s v="(주)삼정건설기계"/>
    <m/>
    <n v="14545454"/>
    <n v="240718849914"/>
  </r>
  <r>
    <x v="4"/>
    <s v="DHS 15AP"/>
    <s v="주식회사 태경전력"/>
    <m/>
    <n v="50000000"/>
    <n v="240768849914"/>
  </r>
  <r>
    <x v="4"/>
    <s v="DHS 534MAP"/>
    <s v="케이에스"/>
    <m/>
    <n v="32727273"/>
    <n v="240801577187"/>
  </r>
  <r>
    <x v="4"/>
    <s v="DHS 130SKY"/>
    <s v="블룸통신"/>
    <m/>
    <n v="40454545"/>
    <n v="240842031732"/>
  </r>
  <r>
    <x v="4"/>
    <s v="DHS 950L "/>
    <s v="CLEAMCO INDUSTRIAL CORPORATION"/>
    <m/>
    <n v="37184400"/>
    <n v="240879216132"/>
  </r>
  <r>
    <x v="4"/>
    <s v="DHT 160AS"/>
    <s v="동성전기"/>
    <m/>
    <n v="175000000"/>
    <n v="241054216132"/>
  </r>
  <r>
    <x v="4"/>
    <s v="DHS 950L"/>
    <s v="주식회사 제이에스티앤씨"/>
    <m/>
    <n v="18500000"/>
    <n v="241072716132"/>
  </r>
  <r>
    <x v="4"/>
    <s v="DHS 950L"/>
    <s v="(주)국제광엔지니어링"/>
    <m/>
    <n v="38636364"/>
    <n v="241111352496"/>
  </r>
  <r>
    <x v="4"/>
    <s v="DHS 950L"/>
    <s v="주식회사 두나우"/>
    <m/>
    <n v="36400000"/>
    <n v="241147752496"/>
  </r>
  <r>
    <x v="4"/>
    <s v="DHS 950L"/>
    <s v="제이텔콤"/>
    <m/>
    <n v="35000000"/>
    <n v="241182752496"/>
  </r>
  <r>
    <x v="4"/>
    <s v="DHS 950L"/>
    <s v="제이에이치통신"/>
    <m/>
    <n v="35500000"/>
    <n v="241218252496"/>
  </r>
  <r>
    <x v="4"/>
    <s v="DHS 950L"/>
    <s v="디에스텔레콤"/>
    <m/>
    <n v="35500000"/>
    <n v="241253752496"/>
  </r>
  <r>
    <x v="4"/>
    <s v="DHS 1200L"/>
    <s v="경남"/>
    <m/>
    <n v="42327273"/>
    <n v="241296079769"/>
  </r>
  <r>
    <x v="4"/>
    <s v="DHS 534"/>
    <s v="명진천막"/>
    <m/>
    <n v="14200000"/>
    <n v="241310279769"/>
  </r>
  <r>
    <x v="4"/>
    <s v="DHS 950L"/>
    <s v="부민통신(주)"/>
    <m/>
    <n v="3818181"/>
    <n v="241314097950"/>
  </r>
  <r>
    <x v="4"/>
    <s v="DHS 950L"/>
    <s v="일원정보통신"/>
    <m/>
    <n v="37000000"/>
    <n v="241351097950"/>
  </r>
  <r>
    <x v="4"/>
    <s v="DHS 950L"/>
    <s v="주식회사엔탑엔지니어링"/>
    <m/>
    <n v="37727273"/>
    <n v="241388825223"/>
  </r>
  <r>
    <x v="4"/>
    <s v="DHS 1200L"/>
    <s v="(주) 케이정보"/>
    <m/>
    <n v="41200000"/>
    <n v="241430025223"/>
  </r>
  <r>
    <x v="4"/>
    <s v="DHS 1200L"/>
    <s v="도영전기"/>
    <m/>
    <n v="41454545"/>
    <n v="241471479768"/>
  </r>
  <r>
    <x v="4"/>
    <s v="DHS 930"/>
    <s v="(주)우호텔레콤"/>
    <m/>
    <n v="18500000"/>
    <n v="241489979768"/>
  </r>
  <r>
    <x v="4"/>
    <s v="DHS 930"/>
    <s v="(주)우호텔레콤"/>
    <m/>
    <n v="18500000"/>
    <n v="241508479768"/>
  </r>
  <r>
    <x v="4"/>
    <s v="DHS 433L"/>
    <s v="(주)티에스케이워터"/>
    <m/>
    <n v="14500000"/>
    <n v="241522979768"/>
  </r>
  <r>
    <x v="4"/>
    <s v="DHS 433L"/>
    <s v="(주)티에스케이워터"/>
    <m/>
    <n v="14500000"/>
    <n v="241537479768"/>
  </r>
  <r>
    <x v="4"/>
    <s v="DHT 160S"/>
    <s v="대광활선"/>
    <m/>
    <n v="154000000"/>
    <n v="241691479768"/>
  </r>
  <r>
    <x v="4"/>
    <s v="DHS 950L"/>
    <s v="미진통신"/>
    <m/>
    <n v="38500000"/>
    <n v="241729979768"/>
  </r>
  <r>
    <x v="4"/>
    <s v="DHS 534"/>
    <s v="무열농장"/>
    <m/>
    <n v="15181818"/>
    <n v="241745161586"/>
  </r>
  <r>
    <x v="4"/>
    <s v="DHS 950L"/>
    <s v="너구리통신"/>
    <m/>
    <n v="36363636"/>
    <n v="241781525222"/>
  </r>
  <r>
    <x v="4"/>
    <s v="DHS 15AP"/>
    <s v="보광안전"/>
    <m/>
    <n v="51818181"/>
    <n v="241833343403"/>
  </r>
  <r>
    <x v="4"/>
    <s v="DHS 15AP"/>
    <s v="대한전기,조명판매장"/>
    <m/>
    <n v="51000000"/>
    <n v="241884343403"/>
  </r>
  <r>
    <x v="4"/>
    <s v="DHS 534MAP"/>
    <s v="가가이지텍(주)"/>
    <m/>
    <n v="32727273"/>
    <n v="241917070676"/>
  </r>
  <r>
    <x v="4"/>
    <s v="DHS 433L"/>
    <s v="동광크랑크공업"/>
    <m/>
    <n v="14090909"/>
    <n v="241931161585"/>
  </r>
  <r>
    <x v="4"/>
    <s v="DHS 534"/>
    <s v="노화청해마린"/>
    <m/>
    <n v="14000000"/>
    <n v="241945161585"/>
  </r>
  <r>
    <x v="4"/>
    <s v="DHS 950L"/>
    <s v="제이엠제이정보"/>
    <m/>
    <n v="38000000"/>
    <n v="241983161585"/>
  </r>
  <r>
    <x v="4"/>
    <s v="DHS 950L"/>
    <s v="제이에스정보통신"/>
    <m/>
    <n v="38181818"/>
    <n v="242021343403"/>
  </r>
  <r>
    <x v="4"/>
    <s v="DHS 950L"/>
    <s v="진텔콤"/>
    <m/>
    <n v="38000000"/>
    <n v="242059343403"/>
  </r>
  <r>
    <x v="4"/>
    <s v="DHS 15AP"/>
    <s v="효은기업"/>
    <m/>
    <n v="51818182"/>
    <n v="242111161585"/>
  </r>
  <r>
    <x v="4"/>
    <s v="DHT 160AS "/>
    <s v="WAIMEA TRUCK ＆ CRANE LTD"/>
    <m/>
    <n v="118312061"/>
    <m/>
  </r>
  <r>
    <x v="4"/>
    <s v="DHT 150S "/>
    <s v="WAIMEA TRUCK ＆ CRANE LTD"/>
    <m/>
    <n v="91602200"/>
    <n v="242321075846"/>
  </r>
  <r>
    <x v="4"/>
    <s v="DHS 15AP "/>
    <s v="WUHAN HANFU SPECIAL VEHICLE"/>
    <m/>
    <n v="57704918"/>
    <n v="242378780764"/>
  </r>
  <r>
    <x v="4"/>
    <s v="DHS 930"/>
    <s v="송인보"/>
    <m/>
    <n v="35909091"/>
    <n v="242414689855"/>
  </r>
  <r>
    <x v="4"/>
    <s v="DHS 950L"/>
    <s v="부민통신(주)"/>
    <m/>
    <n v="34181818"/>
    <n v="242448871673"/>
  </r>
  <r>
    <x v="4"/>
    <s v="DHS 950L"/>
    <s v="한국정보네트웍스(주)"/>
    <m/>
    <n v="34863636"/>
    <n v="242483735309"/>
  </r>
  <r>
    <x v="4"/>
    <s v="DHS 950L"/>
    <s v="JM통신"/>
    <m/>
    <n v="38000000"/>
    <n v="242521735309"/>
  </r>
  <r>
    <x v="4"/>
    <s v="DHS 1200L"/>
    <s v="씨엠정보통신(주)"/>
    <m/>
    <n v="39818181"/>
    <n v="242561553490"/>
  </r>
  <r>
    <x v="4"/>
    <s v="DHS 17AP"/>
    <s v="동아신호(주)"/>
    <m/>
    <n v="51700000"/>
    <n v="242613253490"/>
  </r>
  <r>
    <x v="4"/>
    <s v="DHT 160AS"/>
    <s v="경덕전력"/>
    <m/>
    <n v="172000000"/>
    <n v="242785253490"/>
  </r>
  <r>
    <x v="4"/>
    <s v="DHS 433L"/>
    <s v="두산건기경기동판매(주)"/>
    <m/>
    <n v="32708182"/>
    <n v="242817961672"/>
  </r>
  <r>
    <x v="4"/>
    <s v="DHS 1200L"/>
    <s v="에덴조경"/>
    <m/>
    <n v="45454545"/>
    <n v="242863416217"/>
  </r>
  <r>
    <x v="4"/>
    <s v="DHS 15AP"/>
    <s v="(주)한백전기"/>
    <m/>
    <n v="50800000"/>
    <n v="242914216217"/>
  </r>
  <r>
    <x v="4"/>
    <s v="DHS 433L"/>
    <s v="두산건기경기동판매(주)"/>
    <m/>
    <n v="-32708182"/>
    <n v="242881508035"/>
  </r>
  <r>
    <x v="4"/>
    <s v="DHS 433L"/>
    <s v="두산건기경기동판매(주)"/>
    <m/>
    <n v="17600000"/>
    <n v="242899108035"/>
  </r>
  <r>
    <x v="4"/>
    <s v="DHS 433L"/>
    <s v="서해마린"/>
    <m/>
    <n v="14250000"/>
    <n v="242913358035"/>
  </r>
  <r>
    <x v="4"/>
    <s v="DHS 534MAP"/>
    <s v="(주)서경네트웍스"/>
    <m/>
    <n v="31000000"/>
    <n v="242944358035"/>
  </r>
  <r>
    <x v="4"/>
    <s v="DHS 15AP"/>
    <s v="주식회사 일우"/>
    <m/>
    <n v="51140909"/>
    <n v="242995498944"/>
  </r>
  <r>
    <x v="4"/>
    <s v="DHT 160S"/>
    <s v="(주)아시아전기"/>
    <m/>
    <n v="156600000"/>
    <n v="243152098944"/>
  </r>
  <r>
    <x v="4"/>
    <s v="DHT 170AS"/>
    <s v="주식회사 형제"/>
    <m/>
    <n v="205000000"/>
    <n v="243357098944"/>
  </r>
  <r>
    <x v="4"/>
    <s v="DHS 534MAP"/>
    <s v="(주)부경네티존"/>
    <m/>
    <n v="33000000"/>
    <n v="243390098944"/>
  </r>
  <r>
    <x v="4"/>
    <s v="DHS 534MAP"/>
    <s v="누리정보기술"/>
    <m/>
    <n v="33227273"/>
    <n v="243423326217"/>
  </r>
  <r>
    <x v="4"/>
    <s v="DHS 17AP"/>
    <s v="상주영천고속도로(주)"/>
    <m/>
    <n v="53000000"/>
    <n v="243476326217"/>
  </r>
  <r>
    <x v="4"/>
    <s v="DHS 433L"/>
    <s v="동해마린"/>
    <m/>
    <n v="14700000"/>
    <n v="243491026217"/>
  </r>
  <r>
    <x v="4"/>
    <s v="DHT 160AS"/>
    <s v="유진전력 주식회사"/>
    <m/>
    <n v="166363636"/>
    <n v="243657389853"/>
  </r>
  <r>
    <x v="4"/>
    <s v="DHT 160AS"/>
    <s v="유진전력 주식회사"/>
    <m/>
    <n v="166363636"/>
    <n v="243823753489"/>
  </r>
  <r>
    <x v="4"/>
    <s v="DH TKA-442C "/>
    <s v="RURAL ELECTRIFICATION TRADING CORPORATION"/>
    <m/>
    <n v="130446004"/>
    <n v="243954199493"/>
  </r>
  <r>
    <x v="4"/>
    <s v="DHS 930"/>
    <s v="제이제이(J.J)정보통신"/>
    <m/>
    <n v="18400000"/>
    <n v="243972599493"/>
  </r>
  <r>
    <x v="4"/>
    <s v="DHS 1200L"/>
    <s v="성일건설"/>
    <m/>
    <n v="40454545"/>
    <n v="244013054038"/>
  </r>
  <r>
    <x v="4"/>
    <s v="DHS 534MAP"/>
    <s v="(주)제니스네트웍"/>
    <m/>
    <n v="31000000"/>
    <n v="244044054038"/>
  </r>
  <r>
    <x v="4"/>
    <s v="DHS 950L"/>
    <s v="주식회사유진정보통신"/>
    <m/>
    <n v="35454546"/>
    <n v="244079508584"/>
  </r>
  <r>
    <x v="4"/>
    <s v="DHS 950L"/>
    <s v="성일통신(주)"/>
    <m/>
    <n v="37500000"/>
    <n v="244117008584"/>
  </r>
  <r>
    <x v="4"/>
    <s v="DHS 1200L"/>
    <s v="(주)일신앤아이에스"/>
    <m/>
    <n v="41181818"/>
    <n v="244158190402"/>
  </r>
  <r>
    <x v="4"/>
    <s v="DHS 1200L"/>
    <s v="(주)테스콤엔지니어링"/>
    <m/>
    <n v="38600000"/>
    <n v="244196790402"/>
  </r>
  <r>
    <x v="4"/>
    <s v="DHS 950L"/>
    <s v="원앤원정보통신"/>
    <m/>
    <n v="37272727"/>
    <n v="244234063129"/>
  </r>
  <r>
    <x v="4"/>
    <s v="DHS 950L"/>
    <s v="에스엠정보통신"/>
    <m/>
    <n v="38000000"/>
    <n v="244272063129"/>
  </r>
  <r>
    <x v="4"/>
    <s v="DHS 950L"/>
    <s v="JM통신"/>
    <m/>
    <n v="18373000"/>
    <n v="244290436129"/>
  </r>
  <r>
    <x v="4"/>
    <s v="DHS 950L"/>
    <s v="조원"/>
    <m/>
    <n v="18373000"/>
    <n v="244308809129"/>
  </r>
  <r>
    <x v="4"/>
    <s v="DHS 15AP"/>
    <s v="(주)세종전력"/>
    <m/>
    <n v="51818181"/>
    <n v="244360627310"/>
  </r>
  <r>
    <x v="4"/>
    <s v="DHT 160S"/>
    <s v="(주)혜광전기감리"/>
    <m/>
    <n v="155600000"/>
    <n v="244516227310"/>
  </r>
  <r>
    <x v="4"/>
    <s v="DHS 930"/>
    <s v="주식회사이레전기"/>
    <m/>
    <n v="18373000"/>
    <n v="244534600310"/>
  </r>
  <r>
    <x v="4"/>
    <s v="DHS 930"/>
    <s v="(주)원테크"/>
    <m/>
    <n v="18373000"/>
    <n v="244552973310"/>
  </r>
  <r>
    <x v="4"/>
    <s v="DHS 15AP"/>
    <s v="(주)한솔전기통신"/>
    <m/>
    <n v="52000000"/>
    <n v="244604973310"/>
  </r>
  <r>
    <x v="4"/>
    <s v="DHS 1200L"/>
    <s v="에이스정보통신"/>
    <m/>
    <n v="39500000"/>
    <n v="244644473310"/>
  </r>
  <r>
    <x v="4"/>
    <s v="DHT 150S"/>
    <s v="(주)기공전설"/>
    <m/>
    <n v="149200000"/>
    <n v="244793673310"/>
  </r>
  <r>
    <x v="4"/>
    <s v="DHT 160AS"/>
    <s v="태경활선"/>
    <m/>
    <n v="172600000"/>
    <n v="244966273310"/>
  </r>
  <r>
    <x v="4"/>
    <s v="DHT 160AS"/>
    <s v="부광기업(주)"/>
    <m/>
    <n v="175000000"/>
    <n v="245141273310"/>
  </r>
  <r>
    <x v="4"/>
    <s v="DHMN-04"/>
    <s v="현대캐피탈주식회사"/>
    <m/>
    <n v="33015000"/>
    <n v="245174288310"/>
  </r>
  <r>
    <x v="4"/>
    <s v="DHS 534"/>
    <s v="신백건설기계부품"/>
    <m/>
    <n v="13454545"/>
    <n v="245187742855"/>
  </r>
  <r>
    <x v="4"/>
    <s v="DHS 534"/>
    <s v="대한마린"/>
    <m/>
    <n v="14100000"/>
    <n v="245201842855"/>
  </r>
  <r>
    <x v="4"/>
    <s v="DHS 1200L"/>
    <s v="아이에스(주)"/>
    <m/>
    <n v="42000000"/>
    <n v="245243842855"/>
  </r>
  <r>
    <x v="4"/>
    <s v="DHS 17AP"/>
    <s v="(주)미광전기"/>
    <m/>
    <n v="54200000"/>
    <n v="245298042855"/>
  </r>
  <r>
    <x v="4"/>
    <s v="DHS 534"/>
    <s v="재원산업(주)"/>
    <m/>
    <n v="14000000"/>
    <n v="245312042855"/>
  </r>
  <r>
    <x v="4"/>
    <s v="DHS 1200L"/>
    <s v="한빛전기"/>
    <m/>
    <n v="39545454"/>
    <n v="245351588309"/>
  </r>
  <r>
    <x v="4"/>
    <s v="DHS 15AP"/>
    <s v="주식회사 파워전력플랜트"/>
    <m/>
    <n v="51818182"/>
    <n v="245403406491"/>
  </r>
  <r>
    <x v="4"/>
    <s v="DHS 950L"/>
    <s v="단미테크"/>
    <m/>
    <n v="36670000"/>
    <n v="245440076491"/>
  </r>
  <r>
    <x v="4"/>
    <s v="DHT 110"/>
    <s v="한국전력공사"/>
    <m/>
    <n v="832000000"/>
    <n v="246272076491"/>
  </r>
  <r>
    <x v="4"/>
    <s v="DHS 534MAP"/>
    <s v="김명식"/>
    <m/>
    <n v="31363636"/>
    <n v="246303440127"/>
  </r>
  <r>
    <x v="4"/>
    <s v="DHS 1200L"/>
    <s v="주식회사 동경그린전력"/>
    <m/>
    <n v="40454545"/>
    <n v="246343894672"/>
  </r>
  <r>
    <x v="4"/>
    <s v="DHS 950L"/>
    <s v="도원통신"/>
    <m/>
    <n v="38181818"/>
    <n v="246382076490"/>
  </r>
  <r>
    <x v="4"/>
    <s v="DHS 534MAP"/>
    <s v="(주)태림"/>
    <m/>
    <n v="31000000"/>
    <n v="246413076490"/>
  </r>
  <r>
    <x v="4"/>
    <s v="DHS 534MAP"/>
    <s v="진흥씨앤씨(주)"/>
    <m/>
    <n v="31000000"/>
    <n v="246444076490"/>
  </r>
  <r>
    <x v="4"/>
    <s v="DHS 930"/>
    <s v="우진이엔씨"/>
    <m/>
    <n v="20503000"/>
    <n v="246464579490"/>
  </r>
  <r>
    <x v="4"/>
    <s v="DHS 930"/>
    <s v="우진이엔씨"/>
    <m/>
    <n v="20503000"/>
    <n v="246485082490"/>
  </r>
  <r>
    <x v="4"/>
    <s v="DHT 160AS"/>
    <s v="주식회사에스케이보성"/>
    <m/>
    <n v="176500000"/>
    <n v="246661582490"/>
  </r>
  <r>
    <x v="4"/>
    <s v="DHS 1200L"/>
    <s v="(주)로그인"/>
    <m/>
    <n v="40500000"/>
    <n v="246702082490"/>
  </r>
  <r>
    <x v="4"/>
    <s v="DHS 15AP"/>
    <s v="남양이엔이(주)"/>
    <m/>
    <n v="51000000"/>
    <n v="246753082490"/>
  </r>
  <r>
    <x v="4"/>
    <s v="DHS 17AP"/>
    <s v="태백특장"/>
    <m/>
    <n v="53000000"/>
    <n v="246806082490"/>
  </r>
  <r>
    <x v="4"/>
    <s v="4500201168:투르크 내무부"/>
    <s v="SK(주)"/>
    <m/>
    <n v="17558880"/>
    <n v="246823641370"/>
  </r>
  <r>
    <x v="4"/>
    <s v="DHS 534MAP"/>
    <s v="갑을통신(주)"/>
    <m/>
    <n v="32000000"/>
    <n v="246855641370"/>
  </r>
  <r>
    <x v="4"/>
    <s v="DHS 950L"/>
    <s v="주식회사 블루케이"/>
    <m/>
    <n v="38181818"/>
    <n v="246893823188"/>
  </r>
  <r>
    <x v="4"/>
    <s v="DHS 950L"/>
    <s v="세영정보통신"/>
    <m/>
    <n v="36363636"/>
    <n v="246930186824"/>
  </r>
  <r>
    <x v="4"/>
    <s v="DHS 930"/>
    <s v="대보정보통신 주식회사"/>
    <m/>
    <n v="36000000"/>
    <n v="246966186824"/>
  </r>
  <r>
    <x v="4"/>
    <s v="DHS 15AP"/>
    <s v="동아전기건설(주)"/>
    <m/>
    <n v="52000000"/>
    <n v="247018186824"/>
  </r>
  <r>
    <x v="4"/>
    <s v="DHS 950L"/>
    <s v="태현텔레콤"/>
    <m/>
    <n v="35000000"/>
    <n v="247053186824"/>
  </r>
  <r>
    <x v="4"/>
    <s v="DHS 1200L"/>
    <s v="성우전기"/>
    <m/>
    <n v="42000000"/>
    <n v="247095186824"/>
  </r>
  <r>
    <x v="4"/>
    <s v="DHS 950L"/>
    <s v="화인네트웍"/>
    <m/>
    <n v="37000000"/>
    <n v="247132186824"/>
  </r>
  <r>
    <x v="4"/>
    <s v="DHS 1200L"/>
    <s v="명성이엔지(주)"/>
    <m/>
    <n v="41000000"/>
    <n v="247173186824"/>
  </r>
  <r>
    <x v="4"/>
    <s v="DHS 1200L"/>
    <s v="(주)신화이앤씨"/>
    <m/>
    <n v="40000000"/>
    <n v="247213186824"/>
  </r>
  <r>
    <x v="4"/>
    <s v="DHS 1200L"/>
    <s v="SKY정보통신"/>
    <m/>
    <n v="41000000"/>
    <n v="247254186824"/>
  </r>
  <r>
    <x v="4"/>
    <s v="DHS 15AP"/>
    <s v="제우"/>
    <m/>
    <n v="52727272"/>
    <n v="247306914096"/>
  </r>
  <r>
    <x v="4"/>
    <s v="DHS 950L"/>
    <s v="피케이정보통신"/>
    <m/>
    <n v="38636364"/>
    <n v="247345550460"/>
  </r>
  <r>
    <x v="4"/>
    <s v="DHS 950L"/>
    <s v="피케이정보통신"/>
    <m/>
    <n v="38636364"/>
    <n v="247384186824"/>
  </r>
  <r>
    <x v="4"/>
    <s v="DHS 17AP"/>
    <s v="고미경"/>
    <m/>
    <n v="53250000"/>
    <n v="247437436824"/>
  </r>
  <r>
    <x v="4"/>
    <s v="DHS 930"/>
    <s v="박회진"/>
    <m/>
    <n v="35500000"/>
    <n v="247472936824"/>
  </r>
  <r>
    <x v="4"/>
    <s v="DHS 950L"/>
    <s v="(주)타코스텔레콤"/>
    <m/>
    <n v="36800000"/>
    <n v="247509736824"/>
  </r>
  <r>
    <x v="4"/>
    <s v="DHS 534"/>
    <s v="(주)포스코켐텍"/>
    <m/>
    <n v="14100000"/>
    <n v="247523836824"/>
  </r>
  <r>
    <x v="4"/>
    <s v="DHS 433L"/>
    <s v="하동군청"/>
    <m/>
    <n v="14954546"/>
    <n v="247538791370"/>
  </r>
  <r>
    <x v="4"/>
    <s v="DHS 534"/>
    <s v="제주특별자치도 상하수도본부"/>
    <m/>
    <n v="15920909"/>
    <n v="247554712279"/>
  </r>
  <r>
    <x v="4"/>
    <s v="DHS 433L"/>
    <s v="형제석재"/>
    <m/>
    <n v="15000000"/>
    <n v="247569712279"/>
  </r>
  <r>
    <x v="4"/>
    <s v="DHAS 140SS"/>
    <s v="동진세이프"/>
    <m/>
    <n v="78000000"/>
    <n v="247647712279"/>
  </r>
  <r>
    <x v="4"/>
    <s v="DHS 433L"/>
    <s v="(주)녹양"/>
    <m/>
    <n v="14200000"/>
    <n v="247661912279"/>
  </r>
  <r>
    <x v="4"/>
    <s v="DHS 433L"/>
    <s v="(주)우호건설"/>
    <m/>
    <n v="14300000"/>
    <n v="247676212279"/>
  </r>
  <r>
    <x v="4"/>
    <s v="DHS 930"/>
    <s v="제이제이(J.J)정보통신"/>
    <m/>
    <n v="18400000"/>
    <n v="247694612279"/>
  </r>
  <r>
    <x v="4"/>
    <s v="DHS 950L"/>
    <s v="온누리통신"/>
    <m/>
    <n v="18373000"/>
    <n v="247712985279"/>
  </r>
  <r>
    <x v="4"/>
    <s v="DHS 433L"/>
    <s v="영동마린"/>
    <m/>
    <n v="13700000"/>
    <n v="247726685279"/>
  </r>
  <r>
    <x v="4"/>
    <s v="DHS 950L"/>
    <s v="대정통신(주)"/>
    <m/>
    <n v="37000000"/>
    <n v="247763685279"/>
  </r>
  <r>
    <x v="4"/>
    <s v="DHS 950L"/>
    <s v="휴먼테크(주)"/>
    <m/>
    <n v="35500000"/>
    <n v="247799185279"/>
  </r>
  <r>
    <x v="4"/>
    <s v="DHS 1200L"/>
    <s v="한울통신"/>
    <m/>
    <n v="40909091"/>
    <n v="247840094370"/>
  </r>
  <r>
    <x v="4"/>
    <s v="DHS 1200L"/>
    <s v="유비텔레콤(주)"/>
    <m/>
    <n v="43173000"/>
    <n v="247883267370"/>
  </r>
  <r>
    <x v="4"/>
    <s v="DHS 15AP"/>
    <s v="한남전기"/>
    <m/>
    <n v="52000000"/>
    <n v="247935267370"/>
  </r>
  <r>
    <x v="4"/>
    <s v="DHS 1200L"/>
    <s v="(합자회사)동양아이텍"/>
    <m/>
    <n v="40454545"/>
    <n v="247975721915"/>
  </r>
  <r>
    <x v="4"/>
    <s v="DHS 534"/>
    <s v="(주)대오정공"/>
    <m/>
    <n v="13700000"/>
    <n v="247989421915"/>
  </r>
  <r>
    <x v="4"/>
    <s v="DHS 1200L"/>
    <s v="주식회사동남무선통신"/>
    <m/>
    <n v="42500000"/>
    <n v="248031921915"/>
  </r>
  <r>
    <x v="4"/>
    <s v="DHS 950L"/>
    <s v="재흥통신"/>
    <m/>
    <n v="38000000"/>
    <n v="248069921915"/>
  </r>
  <r>
    <x v="4"/>
    <s v="DHS 534MAP"/>
    <s v="유창통신(주)"/>
    <m/>
    <n v="31000000"/>
    <n v="248100921915"/>
  </r>
  <r>
    <x v="4"/>
    <s v="DHS 534MAP"/>
    <s v="(주)유선통신"/>
    <m/>
    <n v="31800000"/>
    <n v="248132721915"/>
  </r>
  <r>
    <x v="4"/>
    <s v="DHS 534MAP"/>
    <s v="(주)유선통신"/>
    <m/>
    <n v="31800000"/>
    <n v="248164521915"/>
  </r>
  <r>
    <x v="4"/>
    <s v="DHS 950L"/>
    <s v="(주)신성하이텍"/>
    <m/>
    <n v="36500000"/>
    <n v="248201021915"/>
  </r>
  <r>
    <x v="4"/>
    <s v="DHS 950L"/>
    <s v="(주)케이아이앤티티"/>
    <m/>
    <n v="38181818"/>
    <n v="248239203733"/>
  </r>
  <r>
    <x v="4"/>
    <s v="DHS 1200L"/>
    <s v="HD통신"/>
    <m/>
    <n v="41363636"/>
    <n v="248280567369"/>
  </r>
  <r>
    <x v="4"/>
    <s v="DHS 15AP"/>
    <s v="주식회사 한진트래픽"/>
    <m/>
    <n v="52727273"/>
    <n v="248333294642"/>
  </r>
  <r>
    <x v="4"/>
    <s v="DHMN-03"/>
    <s v="두산건기서울판매(주)"/>
    <m/>
    <n v="34142000"/>
    <n v="248367436642"/>
  </r>
  <r>
    <x v="4"/>
    <s v="DHS 433L"/>
    <s v="두산건기서울판매(주)"/>
    <m/>
    <n v="43010000"/>
    <n v="248410446642"/>
  </r>
  <r>
    <x v="4"/>
    <s v="DHS 606S"/>
    <s v="주식회사 리치이엔씨"/>
    <m/>
    <n v="36900000"/>
    <n v="248447346642"/>
  </r>
  <r>
    <x v="4"/>
    <s v="DHT 160S"/>
    <s v="(주)국제전기"/>
    <m/>
    <n v="155600000"/>
    <n v="248602946642"/>
  </r>
  <r>
    <x v="4"/>
    <s v="DHS 930"/>
    <s v="경남이엔지"/>
    <m/>
    <n v="18500000"/>
    <n v="248621446642"/>
  </r>
  <r>
    <x v="4"/>
    <s v="DHS 950L"/>
    <s v="부민통신(주)"/>
    <m/>
    <n v="18573000"/>
    <n v="248640019642"/>
  </r>
  <r>
    <x v="4"/>
    <s v="DHS 534MAP"/>
    <s v="제이지"/>
    <m/>
    <n v="32000000"/>
    <n v="248672019642"/>
  </r>
  <r>
    <x v="4"/>
    <s v="DHS 534MAP"/>
    <s v="(주)대하정보기술"/>
    <m/>
    <n v="32000000"/>
    <n v="248704019642"/>
  </r>
  <r>
    <x v="4"/>
    <s v="DHS 950L"/>
    <s v="(주)대하정보기술"/>
    <m/>
    <n v="37500000"/>
    <n v="248741519642"/>
  </r>
  <r>
    <x v="4"/>
    <s v="DHS 950L"/>
    <s v="광명정보통신(주)"/>
    <m/>
    <n v="35670000"/>
    <n v="248777189642"/>
  </r>
  <r>
    <x v="4"/>
    <s v="ALPHA 12000"/>
    <s v="부산광역시남구청"/>
    <m/>
    <n v="51343182"/>
    <n v="248828532824"/>
  </r>
  <r>
    <x v="4"/>
    <s v="ALPHA 5000"/>
    <s v="정선군수질환경사업소"/>
    <m/>
    <n v="51615455"/>
    <n v="248880148279"/>
  </r>
  <r>
    <x v="4"/>
    <s v="DHS 950L"/>
    <s v="오티씨테크놀로지(주)"/>
    <m/>
    <n v="37200000"/>
    <n v="248917348279"/>
  </r>
  <r>
    <x v="4"/>
    <s v="DHT 150AS"/>
    <s v="태영이엔지"/>
    <m/>
    <n v="164000000"/>
    <n v="249081348279"/>
  </r>
  <r>
    <x v="4"/>
    <s v="DHT 160AS"/>
    <s v="광도전력(주)"/>
    <m/>
    <n v="172000000"/>
    <n v="249253348279"/>
  </r>
  <r>
    <x v="4"/>
    <s v="DHT 170AS"/>
    <s v="아산활선"/>
    <m/>
    <n v="210000000"/>
    <n v="249463348279"/>
  </r>
  <r>
    <x v="4"/>
    <s v="DHS 534MAP"/>
    <s v="주식회사 유니온테크"/>
    <m/>
    <n v="31000000"/>
    <n v="249494348279"/>
  </r>
  <r>
    <x v="4"/>
    <s v="DHS 870 "/>
    <s v="EAST BOY ENGINEERING CO., LTD"/>
    <m/>
    <n v="27562428"/>
    <n v="249521910707"/>
  </r>
  <r>
    <x v="4"/>
    <s v="DHS 950L"/>
    <s v="대원정보통신 주식회사"/>
    <m/>
    <n v="36500000"/>
    <n v="249558410707"/>
  </r>
  <r>
    <x v="4"/>
    <s v="DHS 1200L"/>
    <s v="베가네트워크"/>
    <m/>
    <n v="41600000"/>
    <n v="249600010707"/>
  </r>
  <r>
    <x v="4"/>
    <s v="DHS 950L"/>
    <s v="대신정보기술(주)"/>
    <m/>
    <n v="37000000"/>
    <n v="249637010707"/>
  </r>
  <r>
    <x v="4"/>
    <s v="DHS 950L"/>
    <s v="(주)경성텔레콤"/>
    <m/>
    <n v="36500000"/>
    <n v="249673510707"/>
  </r>
  <r>
    <x v="4"/>
    <s v="DHS 950L"/>
    <s v="스마일통신"/>
    <m/>
    <n v="36500000"/>
    <n v="249710010707"/>
  </r>
  <r>
    <x v="4"/>
    <s v="DHS 1200L"/>
    <s v="평창군청"/>
    <m/>
    <n v="43593637"/>
    <n v="249753604344"/>
  </r>
  <r>
    <x v="4"/>
    <s v="DHS 1200L"/>
    <s v="주식회사 금탑전기통신"/>
    <m/>
    <n v="40000000"/>
    <n v="249793604344"/>
  </r>
  <r>
    <x v="4"/>
    <s v="DHS 534MAP"/>
    <s v="(주)중앙전자통신"/>
    <m/>
    <n v="32000000"/>
    <n v="249825604344"/>
  </r>
  <r>
    <x v="4"/>
    <s v="DHS 190SKY"/>
    <s v="태화광고"/>
    <m/>
    <n v="60200000"/>
    <n v="249885804344"/>
  </r>
  <r>
    <x v="4"/>
    <s v="DHS 1200L"/>
    <s v="(주)태호전력"/>
    <m/>
    <n v="41000000"/>
    <n v="249926804344"/>
  </r>
  <r>
    <x v="4"/>
    <s v="DHS 950L"/>
    <s v="하모니씨앤씨(주)"/>
    <m/>
    <n v="37000000"/>
    <n v="249963804344"/>
  </r>
  <r>
    <x v="4"/>
    <s v="DHS 534MAP"/>
    <s v="(자)삼우전자통신"/>
    <m/>
    <n v="31000000"/>
    <n v="249994804344"/>
  </r>
  <r>
    <x v="4"/>
    <s v="가로등주거치대"/>
    <s v="창원시마산합포구청"/>
    <m/>
    <n v="500000"/>
    <n v="249995304344"/>
  </r>
  <r>
    <x v="4"/>
    <s v="ALPHA 12000"/>
    <s v="부산연제구청"/>
    <m/>
    <n v="70957728"/>
    <n v="250066262072"/>
  </r>
  <r>
    <x v="4"/>
    <s v="DHT 105S"/>
    <s v="창원시마산합포구청"/>
    <m/>
    <n v="100422728"/>
    <n v="250166684800"/>
  </r>
  <r>
    <x v="4"/>
    <s v="DHS 1800 "/>
    <s v="WUHAN HANFU SPECIAL VEHICLE"/>
    <m/>
    <n v="32865175"/>
    <n v="250199549975"/>
  </r>
  <r>
    <x v="4"/>
    <s v="ALPHA 12000"/>
    <s v="부산연제구청"/>
    <m/>
    <n v="-70957728"/>
    <n v="250128592247"/>
  </r>
  <r>
    <x v="4"/>
    <s v="ALPHA 12000"/>
    <s v="부산연제구청"/>
    <m/>
    <n v="70854545"/>
    <n v="250199446792"/>
  </r>
  <r>
    <x v="4"/>
    <s v="DHS 920"/>
    <s v="대전서구청"/>
    <m/>
    <n v="45190910"/>
    <n v="250244637702"/>
  </r>
  <r>
    <x v="4"/>
    <s v="DHS 920"/>
    <s v="인천광역시시설관리공단"/>
    <m/>
    <n v="43570910"/>
    <n v="250288208612"/>
  </r>
  <r>
    <x v="4"/>
    <s v="DHS 920"/>
    <s v="인천광역시시설관리공단"/>
    <m/>
    <n v="44200000"/>
    <n v="250332408612"/>
  </r>
  <r>
    <x v="4"/>
    <s v="크레인대금"/>
    <s v="한국전기안전공사"/>
    <m/>
    <n v="95441819"/>
    <n v="250427850431"/>
  </r>
  <r>
    <x v="4"/>
    <s v="DHS 930"/>
    <s v="한영근"/>
    <m/>
    <n v="18373000"/>
    <n v="250446223431"/>
  </r>
  <r>
    <x v="4"/>
    <s v="DHS 1200L"/>
    <s v="주식회사 진명텔레콤"/>
    <m/>
    <n v="40400000"/>
    <n v="250486623431"/>
  </r>
  <r>
    <x v="4"/>
    <s v="DHS 950L"/>
    <s v="엠케이정보통신"/>
    <m/>
    <n v="39618182"/>
    <n v="250526241613"/>
  </r>
  <r>
    <x v="4"/>
    <s v="DHS 950L"/>
    <s v="(주)성원정보통신"/>
    <m/>
    <n v="37000000"/>
    <n v="250563241613"/>
  </r>
  <r>
    <x v="4"/>
    <s v="DHS 950L"/>
    <s v="비케이시스템즈(주)"/>
    <m/>
    <n v="37700000"/>
    <n v="250600941613"/>
  </r>
  <r>
    <x v="4"/>
    <s v="DHS 1200L"/>
    <s v="진흥정보통신(주)"/>
    <m/>
    <n v="42300000"/>
    <n v="250643241613"/>
  </r>
  <r>
    <x v="4"/>
    <s v="DHS 190SKY"/>
    <s v="옥룡스카이"/>
    <m/>
    <n v="61363636"/>
    <n v="250704605249"/>
  </r>
  <r>
    <x v="4"/>
    <s v="DHS 1800"/>
    <s v="포항시 건설교통사업본부"/>
    <m/>
    <n v="96811819"/>
    <n v="250801417068"/>
  </r>
  <r>
    <x v="4"/>
    <s v="DHS 920"/>
    <s v="양구군청"/>
    <m/>
    <n v="47845455"/>
    <n v="250849262523"/>
  </r>
  <r>
    <x v="4"/>
    <s v="DHT 160S-7Q'ty "/>
    <s v="VIET TRUNG EQUIPMENT JOINT STOCK COMPANY"/>
    <m/>
    <n v="1750056000"/>
    <n v="252599318523"/>
  </r>
  <r>
    <x v="4"/>
    <s v="DHS 920"/>
    <s v="마포구청"/>
    <m/>
    <n v="46268183"/>
    <n v="252645586706"/>
  </r>
  <r>
    <x v="4"/>
    <s v="DHS 950L"/>
    <s v="주식회사 태승정보통신"/>
    <m/>
    <n v="38636364"/>
    <n v="252684223070"/>
  </r>
  <r>
    <x v="4"/>
    <s v="DHS 950L"/>
    <s v="성우정보통신(주)"/>
    <m/>
    <n v="37000000"/>
    <n v="252721223070"/>
  </r>
  <r>
    <x v="4"/>
    <s v="DHS 15AP"/>
    <s v="(주)동성전기통신"/>
    <m/>
    <n v="51818182"/>
    <n v="252773041252"/>
  </r>
  <r>
    <x v="4"/>
    <s v="DHS 534MAP"/>
    <s v="반도산전(주)"/>
    <m/>
    <n v="32000000"/>
    <n v="252805041252"/>
  </r>
  <r>
    <x v="4"/>
    <s v="DHS 15AP"/>
    <s v="신라전기공사"/>
    <m/>
    <n v="52000000"/>
    <n v="252857041252"/>
  </r>
  <r>
    <x v="4"/>
    <s v="DHS 534MAP"/>
    <s v="금강통신(주)"/>
    <m/>
    <n v="32000000"/>
    <n v="252889041252"/>
  </r>
  <r>
    <x v="4"/>
    <s v="DHS 1200L"/>
    <s v="화천군청"/>
    <m/>
    <n v="44513637"/>
    <n v="252933554889"/>
  </r>
  <r>
    <x v="4"/>
    <s v="DHS 433L"/>
    <s v="의령군청"/>
    <m/>
    <n v="29170910"/>
    <n v="252962725799"/>
  </r>
  <r>
    <x v="4"/>
    <s v="DHS 1200L"/>
    <s v="파주시청"/>
    <m/>
    <n v="41545455"/>
    <n v="253004271254"/>
  </r>
  <r>
    <x v="4"/>
    <s v="DHS 190SKY"/>
    <s v="(주)에스티씨네트웍스"/>
    <m/>
    <n v="60669000"/>
    <n v="253064940254"/>
  </r>
  <r>
    <x v="4"/>
    <s v="DHS 190SKY"/>
    <s v="ABC스카이"/>
    <m/>
    <n v="62800000"/>
    <n v="253127740254"/>
  </r>
  <r>
    <x v="4"/>
    <s v="DHS 950L"/>
    <s v="페스콤"/>
    <m/>
    <n v="37000000"/>
    <n v="253164740254"/>
  </r>
  <r>
    <x v="4"/>
    <s v="DHS 920"/>
    <s v="뉴젠통신"/>
    <m/>
    <n v="41000000"/>
    <n v="253205740254"/>
  </r>
  <r>
    <x v="4"/>
    <s v="DHS 920"/>
    <s v="강서구청"/>
    <m/>
    <n v="45543637"/>
    <n v="253251283891"/>
  </r>
  <r>
    <x v="4"/>
    <s v="DHS 1200L"/>
    <s v="윤정보통신"/>
    <m/>
    <n v="43181818"/>
    <n v="253294465709"/>
  </r>
  <r>
    <x v="4"/>
    <s v="DHS 930"/>
    <s v="우진이엔씨"/>
    <m/>
    <n v="18803000"/>
    <n v="253313268709"/>
  </r>
  <r>
    <x v="4"/>
    <s v="DHS 930"/>
    <s v="우진이엔씨"/>
    <m/>
    <n v="18803000"/>
    <n v="253332071709"/>
  </r>
  <r>
    <x v="4"/>
    <s v="DHS 534MAP"/>
    <s v="아주통신(주)"/>
    <m/>
    <n v="32727273"/>
    <n v="253364798982"/>
  </r>
  <r>
    <x v="4"/>
    <s v="DHS 534MAP"/>
    <s v="(주)가네트"/>
    <m/>
    <n v="31000000"/>
    <n v="253395798982"/>
  </r>
  <r>
    <x v="4"/>
    <s v="DHS 1200L"/>
    <s v="주식회사 케이탑시스템"/>
    <m/>
    <n v="42100000"/>
    <n v="253437898982"/>
  </r>
  <r>
    <x v="4"/>
    <s v="DHS 930"/>
    <s v="(주)스마트비전"/>
    <m/>
    <n v="35300000"/>
    <n v="253473198982"/>
  </r>
  <r>
    <x v="4"/>
    <s v="DHS 930"/>
    <s v="우진이엔씨"/>
    <m/>
    <n v="18803000"/>
    <n v="253492001982"/>
  </r>
  <r>
    <x v="4"/>
    <s v="DHS 930"/>
    <s v="우진이엔씨"/>
    <m/>
    <n v="18803000"/>
    <n v="253510804982"/>
  </r>
  <r>
    <x v="4"/>
    <s v="DHS 1200L"/>
    <s v="(주)넥스파시스템"/>
    <m/>
    <n v="44909091"/>
    <n v="253555714073"/>
  </r>
  <r>
    <x v="4"/>
    <s v="DHS 1200L"/>
    <s v="수창정보통신(주)"/>
    <m/>
    <n v="39000000"/>
    <n v="253594714073"/>
  </r>
  <r>
    <x v="4"/>
    <s v="DHS 1200L"/>
    <s v="(주)동아티엔씨"/>
    <m/>
    <n v="40000000"/>
    <n v="253634714073"/>
  </r>
  <r>
    <x v="4"/>
    <s v="DHS 950L"/>
    <s v="대신네트웍스주식회사"/>
    <m/>
    <n v="37000000"/>
    <n v="253671714073"/>
  </r>
  <r>
    <x v="4"/>
    <s v="DHS 534MAP"/>
    <s v="이진상"/>
    <m/>
    <n v="31000000"/>
    <n v="253702714073"/>
  </r>
  <r>
    <x v="4"/>
    <s v="DHS 534MAP"/>
    <s v="(주)명신하이넷"/>
    <m/>
    <n v="32000000"/>
    <n v="253734714073"/>
  </r>
  <r>
    <x v="4"/>
    <s v="DHS 534MAP"/>
    <s v="누리정보기술"/>
    <m/>
    <n v="33227273"/>
    <n v="253767941346"/>
  </r>
  <r>
    <x v="4"/>
    <s v="DHT 160AS"/>
    <s v="청송특수화물(주)"/>
    <m/>
    <n v="175000000"/>
    <n v="253942941346"/>
  </r>
  <r>
    <x v="4"/>
    <s v="DHT 160S"/>
    <s v="두민전기"/>
    <m/>
    <n v="155000000"/>
    <n v="254097941346"/>
  </r>
  <r>
    <x v="4"/>
    <s v="DHS 930"/>
    <s v="우진이엔씨"/>
    <m/>
    <n v="-18803000"/>
    <n v="254079138346"/>
  </r>
  <r>
    <x v="4"/>
    <s v="DHS 930"/>
    <s v="우진이엔씨"/>
    <m/>
    <n v="-18803000"/>
    <n v="254060335346"/>
  </r>
  <r>
    <x v="4"/>
    <s v="DHS 950L"/>
    <s v="동아통신"/>
    <m/>
    <n v="18373000"/>
    <n v="254078708346"/>
  </r>
  <r>
    <x v="4"/>
    <s v="DHS 930"/>
    <s v="정용인"/>
    <m/>
    <n v="18373000"/>
    <n v="254097081346"/>
  </r>
  <r>
    <x v="4"/>
    <s v="DHS 433L"/>
    <s v="정미농협"/>
    <m/>
    <n v="14363635"/>
    <n v="254111444981"/>
  </r>
  <r>
    <x v="4"/>
    <s v="DHS 534MAP"/>
    <s v="한신전자(주)"/>
    <m/>
    <n v="32000000"/>
    <n v="254143444981"/>
  </r>
  <r>
    <x v="4"/>
    <s v="DHS 15AP"/>
    <s v="(주)유경전기"/>
    <m/>
    <n v="53000000"/>
    <n v="254196444981"/>
  </r>
  <r>
    <x v="4"/>
    <s v="DHS 950L"/>
    <s v="아이코리아주식회사"/>
    <m/>
    <n v="37000000"/>
    <n v="254233444981"/>
  </r>
  <r>
    <x v="4"/>
    <s v="DHT 170AS"/>
    <s v="재원전력"/>
    <m/>
    <n v="205000000"/>
    <n v="254438444981"/>
  </r>
  <r>
    <x v="4"/>
    <s v="DHS 1200L"/>
    <s v="동국음향통신"/>
    <m/>
    <n v="40000000"/>
    <n v="254478444981"/>
  </r>
  <r>
    <x v="4"/>
    <s v="DHS 950L"/>
    <s v="(주)일광통신"/>
    <m/>
    <n v="36500000"/>
    <n v="254514944981"/>
  </r>
  <r>
    <x v="4"/>
    <s v="DHS 534MAP"/>
    <s v="뉴젠통신"/>
    <m/>
    <n v="30000000"/>
    <n v="254544944981"/>
  </r>
  <r>
    <x v="4"/>
    <s v="DHS 534MAP"/>
    <s v="(주)웅진통신"/>
    <m/>
    <n v="32000000"/>
    <n v="254576944981"/>
  </r>
  <r>
    <x v="4"/>
    <s v="DHS 930"/>
    <s v="(주)비전정보통신"/>
    <m/>
    <n v="18373000"/>
    <n v="254595317981"/>
  </r>
  <r>
    <x v="4"/>
    <s v="DHS 433L"/>
    <s v="김용태"/>
    <m/>
    <n v="14030000"/>
    <n v="254609347981"/>
  </r>
  <r>
    <x v="4"/>
    <s v="방향지시등"/>
    <s v="장수군청"/>
    <m/>
    <n v="1181818"/>
    <n v="254610529799"/>
  </r>
  <r>
    <x v="4"/>
    <s v="DHT 160S"/>
    <s v="한국활선"/>
    <m/>
    <n v="160909091"/>
    <n v="254771438890"/>
  </r>
  <r>
    <x v="4"/>
    <s v="DHS 950L"/>
    <s v="(주)건호정보통신"/>
    <m/>
    <n v="38000000"/>
    <n v="254809438890"/>
  </r>
  <r>
    <x v="4"/>
    <s v="DHS 950L"/>
    <s v="접속나라"/>
    <m/>
    <n v="35000000"/>
    <n v="254844438890"/>
  </r>
  <r>
    <x v="4"/>
    <s v="DHS 534MAP"/>
    <s v="(주)영인이엔씨"/>
    <m/>
    <n v="32000000"/>
    <n v="254876438890"/>
  </r>
  <r>
    <x v="4"/>
    <s v="DHS 1200L"/>
    <s v="에이맥정보통신"/>
    <m/>
    <n v="39500000"/>
    <n v="254915938890"/>
  </r>
  <r>
    <x v="4"/>
    <s v="DHS 930"/>
    <s v="(주)한샘정보통신"/>
    <m/>
    <n v="18373000"/>
    <n v="254934311890"/>
  </r>
  <r>
    <x v="4"/>
    <s v="DHS 433L"/>
    <s v="(주)금강"/>
    <m/>
    <n v="1054545"/>
    <n v="254935366435"/>
  </r>
  <r>
    <x v="4"/>
    <s v="DHS 15AP "/>
    <s v="CLEAMCO INDUSTRIAL CORPORATION"/>
    <m/>
    <n v="45529274"/>
    <n v="254980895709"/>
  </r>
  <r>
    <x v="4"/>
    <s v="DHT 160S"/>
    <s v="사랑 주식회사"/>
    <m/>
    <n v="157000000"/>
    <n v="255137895709"/>
  </r>
  <r>
    <x v="4"/>
    <s v="DHT 170AS"/>
    <s v="주식회사 선우개발"/>
    <m/>
    <n v="205000000"/>
    <n v="255342895709"/>
  </r>
  <r>
    <x v="4"/>
    <s v="DHS 950L"/>
    <s v="지아이엘(통신)"/>
    <m/>
    <n v="38300000"/>
    <n v="255381195709"/>
  </r>
  <r>
    <x v="4"/>
    <s v="DHS 950L"/>
    <s v="은빛 통신"/>
    <m/>
    <n v="38181818"/>
    <n v="255419377527"/>
  </r>
  <r>
    <x v="4"/>
    <s v="DHS 1200L"/>
    <s v="주식회사 탑정보통신"/>
    <m/>
    <n v="40000000"/>
    <n v="255459377527"/>
  </r>
  <r>
    <x v="4"/>
    <s v="DHS 1200L"/>
    <s v="육일정보통신 주식회사"/>
    <m/>
    <n v="39500000"/>
    <n v="255498877527"/>
  </r>
  <r>
    <x v="4"/>
    <s v="DHS 534"/>
    <s v="에스엠이엔지(주)"/>
    <m/>
    <n v="13200000"/>
    <n v="255512077527"/>
  </r>
  <r>
    <x v="4"/>
    <s v="DHS 1200L"/>
    <s v="장수군청"/>
    <m/>
    <n v="41500000"/>
    <n v="255553577527"/>
  </r>
  <r>
    <x v="4"/>
    <s v="DHS 15AP "/>
    <s v="TRI-GLOBE TRANSPORT SERVICES AND TRADING INC"/>
    <m/>
    <n v="32553669"/>
    <n v="255586131196"/>
  </r>
  <r>
    <x v="4"/>
    <s v="DHS 950L"/>
    <s v="부민통신(주)"/>
    <m/>
    <n v="18573000"/>
    <n v="255604704196"/>
  </r>
  <r>
    <x v="4"/>
    <s v="DHS 433L"/>
    <s v="해성고속"/>
    <m/>
    <n v="14500000"/>
    <n v="255619204196"/>
  </r>
  <r>
    <x v="4"/>
    <s v="DHS 1200L"/>
    <s v="인남정보통신주식회사"/>
    <m/>
    <n v="42300000"/>
    <n v="255661504196"/>
  </r>
  <r>
    <x v="4"/>
    <s v="DHS 15AP"/>
    <s v="주식회사 미강전력"/>
    <m/>
    <n v="50000000"/>
    <n v="255711504196"/>
  </r>
  <r>
    <x v="4"/>
    <s v="세폭띠형끈등11종제조"/>
    <s v="공군군수사령부"/>
    <m/>
    <n v="88507727"/>
    <n v="255800011923"/>
  </r>
  <r>
    <x v="4"/>
    <s v="DHT 160AS"/>
    <s v="(주)한빛엔지니어링"/>
    <m/>
    <n v="175000000"/>
    <n v="255975011923"/>
  </r>
  <r>
    <x v="4"/>
    <s v="DHS 433L"/>
    <s v="마린팩토리"/>
    <m/>
    <n v="14472727"/>
    <n v="255989484650"/>
  </r>
  <r>
    <x v="4"/>
    <s v="DHS 950L"/>
    <s v="SK네트웍스(주)"/>
    <m/>
    <n v="152000000"/>
    <n v="256141484650"/>
  </r>
  <r>
    <x v="4"/>
    <s v="DHS 950L"/>
    <s v="SK네트웍스(주)"/>
    <m/>
    <n v="-152000000"/>
    <n v="255989484650"/>
  </r>
  <r>
    <x v="4"/>
    <s v="DHS 950L"/>
    <s v="SK네트웍스(주)"/>
    <m/>
    <n v="38000000"/>
    <n v="256027484650"/>
  </r>
  <r>
    <x v="4"/>
    <s v="DHS 950L"/>
    <s v="SK네트웍스(주)"/>
    <m/>
    <n v="38000000"/>
    <n v="256065484650"/>
  </r>
  <r>
    <x v="4"/>
    <s v="DHS 950L"/>
    <s v="SK네트웍스(주)"/>
    <m/>
    <n v="38000000"/>
    <n v="256103484650"/>
  </r>
  <r>
    <x v="4"/>
    <s v="DHS 950L"/>
    <s v="SK네트웍스(주)"/>
    <m/>
    <n v="38000000"/>
    <n v="256141484650"/>
  </r>
  <r>
    <x v="4"/>
    <s v="DHS 534"/>
    <s v="(주)티에스케이워터"/>
    <m/>
    <n v="14700000"/>
    <n v="256156184650"/>
  </r>
  <r>
    <x v="4"/>
    <s v="DHS 950L"/>
    <s v="주식회사 삼도통신"/>
    <m/>
    <n v="36500000"/>
    <n v="256192684650"/>
  </r>
  <r>
    <x v="4"/>
    <s v="DHS 950L"/>
    <s v="고경통신"/>
    <m/>
    <n v="38000000"/>
    <n v="256230684650"/>
  </r>
  <r>
    <x v="4"/>
    <s v="DHS 15AP"/>
    <s v="(자)삼화전기"/>
    <m/>
    <n v="51818181"/>
    <n v="256282502831"/>
  </r>
  <r>
    <x v="4"/>
    <s v="DHS 950L"/>
    <s v="에코아이넷 주식회사"/>
    <m/>
    <n v="35800000"/>
    <n v="256318302831"/>
  </r>
  <r>
    <x v="4"/>
    <s v="DHS 534MAP"/>
    <s v="동신통신(주)"/>
    <m/>
    <n v="32000000"/>
    <n v="256350302831"/>
  </r>
  <r>
    <x v="4"/>
    <s v="DHS 280AP "/>
    <s v="RURAL ELECTRIFICATION TRADING CORPORATION"/>
    <m/>
    <n v="94021040"/>
    <n v="256444323871"/>
  </r>
  <r>
    <x v="4"/>
    <s v="DHS 950L"/>
    <s v="주식회사형제파워텔"/>
    <m/>
    <n v="37000000"/>
    <n v="256481323871"/>
  </r>
  <r>
    <x v="4"/>
    <s v="DHS 950L"/>
    <s v="중앙하이텔(주)"/>
    <m/>
    <n v="35570000"/>
    <n v="256516893871"/>
  </r>
  <r>
    <x v="4"/>
    <s v="DHS 950L"/>
    <s v="주식회사 수길정보통신"/>
    <m/>
    <n v="35000000"/>
    <n v="256551893871"/>
  </r>
  <r>
    <x v="4"/>
    <s v="DHS 920"/>
    <s v="사하구청"/>
    <m/>
    <n v="44918182"/>
    <n v="256596812053"/>
  </r>
  <r>
    <x v="4"/>
    <s v="DHS 433MAP"/>
    <s v="일군통신"/>
    <m/>
    <n v="19173000"/>
    <n v="256615985053"/>
  </r>
  <r>
    <x v="4"/>
    <s v="DHS 1200L"/>
    <s v="공무원연금공단 천안상록리조트"/>
    <m/>
    <n v="39648182"/>
    <n v="256655633235"/>
  </r>
  <r>
    <x v="4"/>
    <s v="DHS 1200L"/>
    <s v="인천광역시남부교육지원청"/>
    <m/>
    <n v="41993637"/>
    <n v="256697626872"/>
  </r>
  <r>
    <x v="4"/>
    <s v="DHS 950L"/>
    <s v="아랑통신"/>
    <m/>
    <n v="38000000"/>
    <n v="256735626872"/>
  </r>
  <r>
    <x v="4"/>
    <s v="DHS 1200L"/>
    <s v="일성네트웍"/>
    <m/>
    <n v="38300000"/>
    <n v="256773926872"/>
  </r>
  <r>
    <x v="4"/>
    <s v="DHS 534MAP"/>
    <s v="보고정보통신(주)"/>
    <m/>
    <n v="31500000"/>
    <n v="256805426872"/>
  </r>
  <r>
    <x v="4"/>
    <s v="DHS 534MAP"/>
    <s v="(주)제일정보통신"/>
    <m/>
    <n v="31500000"/>
    <n v="256836926872"/>
  </r>
  <r>
    <x v="4"/>
    <s v="DHS 950L"/>
    <s v="H정보통신"/>
    <m/>
    <n v="39090909"/>
    <n v="256876017781"/>
  </r>
  <r>
    <x v="4"/>
    <s v="DHS 950L"/>
    <s v="주식회사 디티"/>
    <m/>
    <n v="37000000"/>
    <n v="256913017781"/>
  </r>
  <r>
    <x v="4"/>
    <s v="DHS 950L"/>
    <s v="인포스텔 주식회사"/>
    <m/>
    <n v="37000000"/>
    <n v="256950017781"/>
  </r>
  <r>
    <x v="4"/>
    <s v="DHS 534MAP"/>
    <s v="(합자회사)조광"/>
    <m/>
    <n v="31000000"/>
    <n v="256981017781"/>
  </r>
  <r>
    <x v="4"/>
    <s v="DHS 534MAP"/>
    <s v="(합자회사)조광"/>
    <m/>
    <n v="31000000"/>
    <n v="257012017781"/>
  </r>
  <r>
    <x v="4"/>
    <s v="DHS 950L"/>
    <s v="(합자회사)조광"/>
    <m/>
    <n v="18373000"/>
    <n v="257030390781"/>
  </r>
  <r>
    <x v="4"/>
    <s v="DHS 930"/>
    <s v="대원통신"/>
    <m/>
    <n v="18373000"/>
    <n v="257048763781"/>
  </r>
  <r>
    <x v="4"/>
    <s v="DHS 930"/>
    <s v="미래통신"/>
    <m/>
    <n v="35454545"/>
    <n v="257084218326"/>
  </r>
  <r>
    <x v="4"/>
    <s v="DHS 950L"/>
    <s v="(주)서진아이티씨"/>
    <m/>
    <n v="18373000"/>
    <n v="257102591326"/>
  </r>
  <r>
    <x v="4"/>
    <s v="DHS 1200L"/>
    <s v="부민통신(주)"/>
    <m/>
    <n v="19773000"/>
    <n v="257122364326"/>
  </r>
  <r>
    <x v="4"/>
    <s v="DHS 950L"/>
    <s v="지영정보통신(주)"/>
    <m/>
    <n v="36000000"/>
    <n v="257158364326"/>
  </r>
  <r>
    <x v="4"/>
    <s v="DHS 950L"/>
    <s v="주식회사 우일씨앤아이"/>
    <m/>
    <n v="37000000"/>
    <n v="257195364326"/>
  </r>
  <r>
    <x v="4"/>
    <s v="DHS 950L"/>
    <s v="세광정보통신"/>
    <m/>
    <n v="37909090"/>
    <n v="257233273416"/>
  </r>
  <r>
    <x v="4"/>
    <s v="DHS 950L"/>
    <s v="세광정보통신"/>
    <m/>
    <n v="37909090"/>
    <n v="257271182506"/>
  </r>
  <r>
    <x v="4"/>
    <s v="DHS 534MAP"/>
    <s v="청음통신(주)"/>
    <m/>
    <n v="30713000"/>
    <n v="257301895506"/>
  </r>
  <r>
    <x v="4"/>
    <s v="DHS 1200L"/>
    <s v="지에스네트웍스(주)"/>
    <m/>
    <n v="43920000"/>
    <n v="257345815506"/>
  </r>
  <r>
    <x v="4"/>
    <s v="DHS 1200L"/>
    <s v="(주)보림프러스"/>
    <m/>
    <n v="39500000"/>
    <n v="257385315506"/>
  </r>
  <r>
    <x v="4"/>
    <s v="재활용품 수거 및 온천천쓰레기 상차 차량 밀폐형 덮개 설치"/>
    <s v="부산연제구청"/>
    <m/>
    <n v="1681818"/>
    <n v="257386997324"/>
  </r>
  <r>
    <x v="4"/>
    <s v="ALPHA 12000"/>
    <s v="부산연제구청"/>
    <m/>
    <n v="30513637"/>
    <n v="257417510961"/>
  </r>
  <r>
    <x v="4"/>
    <s v="DHAS 120AP"/>
    <s v="롯데오토리스(주)"/>
    <m/>
    <n v="47700000"/>
    <n v="257465210961"/>
  </r>
  <r>
    <x v="4"/>
    <s v="DHAS 120AP"/>
    <s v="롯데오토리스(주)"/>
    <m/>
    <n v="47700000"/>
    <n v="257512910961"/>
  </r>
  <r>
    <x v="4"/>
    <s v="DHAS 120AP"/>
    <s v="롯데오토리스(주)"/>
    <m/>
    <n v="47700000"/>
    <n v="257560610961"/>
  </r>
  <r>
    <x v="4"/>
    <s v="DHAS 120AP"/>
    <s v="롯데오토리스(주)"/>
    <m/>
    <n v="47700000"/>
    <n v="257608310961"/>
  </r>
  <r>
    <x v="4"/>
    <s v="DHAS 120AP"/>
    <s v="롯데오토리스(주)"/>
    <m/>
    <n v="47700000"/>
    <n v="257656010961"/>
  </r>
  <r>
    <x v="4"/>
    <s v="DHAS 120AP"/>
    <s v="롯데오토리스(주)"/>
    <m/>
    <n v="47700000"/>
    <n v="257703710961"/>
  </r>
  <r>
    <x v="4"/>
    <s v="DHAS 120AP"/>
    <s v="롯데오토리스(주)"/>
    <m/>
    <n v="47700000"/>
    <n v="257751410961"/>
  </r>
  <r>
    <x v="4"/>
    <s v="DHAS 120AP"/>
    <s v="롯데오토리스(주)"/>
    <m/>
    <n v="47700000"/>
    <n v="257799110961"/>
  </r>
  <r>
    <x v="4"/>
    <s v="DHAS 120AP"/>
    <s v="롯데오토리스(주)"/>
    <m/>
    <n v="47700000"/>
    <n v="257846810961"/>
  </r>
  <r>
    <x v="4"/>
    <s v="DHAS 120AP"/>
    <s v="롯데오토리스(주)"/>
    <m/>
    <n v="47700000"/>
    <n v="257894510961"/>
  </r>
  <r>
    <x v="4"/>
    <s v="DH SUPER 3000A"/>
    <s v="롯데오토리스(주)"/>
    <m/>
    <n v="85837700"/>
    <n v="257980348661"/>
  </r>
  <r>
    <x v="4"/>
    <s v="DH SUPER 3000A"/>
    <s v="롯데오토리스(주)"/>
    <m/>
    <n v="85837700"/>
    <n v="258066186361"/>
  </r>
  <r>
    <x v="4"/>
    <s v="DH SUPUER 3000A"/>
    <s v="롯데오토리스(주)"/>
    <m/>
    <n v="85837700"/>
    <n v="258152024061"/>
  </r>
  <r>
    <x v="4"/>
    <s v="DH SUPER 3000A"/>
    <s v="롯데오토리스(주)"/>
    <m/>
    <n v="85837700"/>
    <n v="258237861761"/>
  </r>
  <r>
    <x v="4"/>
    <s v="DH SUPER 3000A"/>
    <s v="롯데오토리스(주)"/>
    <m/>
    <n v="85837700"/>
    <n v="258323699461"/>
  </r>
  <r>
    <x v="4"/>
    <s v="DH SUPER 3000A"/>
    <s v="롯데오토리스(주)"/>
    <m/>
    <n v="85837700"/>
    <n v="258409537161"/>
  </r>
  <r>
    <x v="4"/>
    <s v="DH SUPER 3000A"/>
    <s v="롯데오토리스(주)"/>
    <m/>
    <n v="85837700"/>
    <n v="258495374861"/>
  </r>
  <r>
    <x v="4"/>
    <s v="DH SUPER 3000A"/>
    <s v="롯데오토리스(주)"/>
    <m/>
    <n v="85837700"/>
    <n v="258581212561"/>
  </r>
  <r>
    <x v="4"/>
    <s v="DHS 950L"/>
    <s v="(주)알파인테크"/>
    <m/>
    <n v="37909090"/>
    <n v="258619121651"/>
  </r>
  <r>
    <x v="4"/>
    <s v="DHS 950L"/>
    <s v="(주)알파인테크"/>
    <m/>
    <n v="37909090"/>
    <n v="258657030741"/>
  </r>
  <r>
    <x v="4"/>
    <s v="DHS 950L"/>
    <s v="(주)하이스트네트워크"/>
    <m/>
    <n v="39000000"/>
    <n v="258696030741"/>
  </r>
  <r>
    <x v="4"/>
    <s v="DHS 15AP"/>
    <s v="유성전기통신"/>
    <m/>
    <n v="49090909"/>
    <n v="258745121650"/>
  </r>
  <r>
    <x v="4"/>
    <s v="DHS 15AP"/>
    <s v="수민ENC"/>
    <m/>
    <n v="49454545"/>
    <n v="258794576195"/>
  </r>
  <r>
    <x v="4"/>
    <s v="DHT 160S"/>
    <s v="삼흥산업(주)"/>
    <m/>
    <n v="157272727"/>
    <n v="258951848922"/>
  </r>
  <r>
    <x v="4"/>
    <s v="DHS 950L"/>
    <s v="이레정보통신"/>
    <m/>
    <n v="38181818"/>
    <n v="258990030740"/>
  </r>
  <r>
    <x v="4"/>
    <s v="DHS 534MAP"/>
    <s v="정인"/>
    <m/>
    <n v="31363636"/>
    <n v="259021394376"/>
  </r>
  <r>
    <x v="4"/>
    <s v="DHS 433L"/>
    <s v="(주)금강"/>
    <m/>
    <n v="14545454"/>
    <n v="259035939830"/>
  </r>
  <r>
    <x v="4"/>
    <s v="DHS 950L"/>
    <s v="(주)아름"/>
    <m/>
    <n v="18373000"/>
    <n v="259054312830"/>
  </r>
  <r>
    <x v="4"/>
    <s v="DHS 950L"/>
    <s v="(주)아름"/>
    <m/>
    <n v="18373000"/>
    <n v="259072685830"/>
  </r>
  <r>
    <x v="4"/>
    <s v="DHS 1200L"/>
    <s v="제이에스(Js)"/>
    <m/>
    <n v="19873000"/>
    <n v="259092558830"/>
  </r>
  <r>
    <x v="4"/>
    <s v="DHS 15AP"/>
    <s v="주식회사 에이치이앤씨"/>
    <m/>
    <n v="52500000"/>
    <n v="259145058830"/>
  </r>
  <r>
    <x v="4"/>
    <s v="DHS 534MAP"/>
    <s v="(유)구이앤금우통신"/>
    <m/>
    <n v="32418182"/>
    <n v="259177477012"/>
  </r>
  <r>
    <x v="4"/>
    <s v="DHS 1200L"/>
    <s v="(유)제이씨기술정보통신"/>
    <m/>
    <n v="40909091"/>
    <n v="259218386103"/>
  </r>
  <r>
    <x v="4"/>
    <s v="DHS 950L"/>
    <s v="서광종합개발(주)"/>
    <m/>
    <n v="36500000"/>
    <n v="259254886103"/>
  </r>
  <r>
    <x v="4"/>
    <s v="DHS 950L"/>
    <s v="한성통신"/>
    <m/>
    <n v="38200000"/>
    <n v="259293086103"/>
  </r>
  <r>
    <x v="4"/>
    <s v="DHS 950L"/>
    <s v="대양통신"/>
    <m/>
    <n v="35900000"/>
    <n v="259328986103"/>
  </r>
  <r>
    <x v="4"/>
    <s v="DHS 1200L"/>
    <s v="SI네트웍스"/>
    <m/>
    <n v="42727273"/>
    <n v="259371713376"/>
  </r>
  <r>
    <x v="4"/>
    <s v="DHS 950L"/>
    <s v="제이에스에이치 통신"/>
    <m/>
    <n v="38000000"/>
    <n v="259409713376"/>
  </r>
  <r>
    <x v="4"/>
    <s v="DHS 950L"/>
    <s v="H.D정보통신"/>
    <m/>
    <n v="34900000"/>
    <n v="259444613376"/>
  </r>
  <r>
    <x v="4"/>
    <s v="DHS 950L"/>
    <s v="(주)에이치제이통신"/>
    <m/>
    <n v="38623000"/>
    <n v="259483236376"/>
  </r>
  <r>
    <x v="4"/>
    <s v="DHS 950L"/>
    <s v="우리통신"/>
    <m/>
    <n v="36500000"/>
    <n v="259519736376"/>
  </r>
  <r>
    <x v="4"/>
    <s v="DHS 534MAP"/>
    <s v="유일"/>
    <m/>
    <n v="31000000"/>
    <n v="259550736376"/>
  </r>
  <r>
    <x v="4"/>
    <s v="DHS 534MAP"/>
    <s v="(주)제일정보통신"/>
    <m/>
    <n v="31500000"/>
    <n v="259582236376"/>
  </r>
  <r>
    <x v="4"/>
    <s v="세폭띠형 끈 등 11종 제조"/>
    <s v="공군군수사령부"/>
    <m/>
    <n v="298837818"/>
    <n v="259881074194"/>
  </r>
  <r>
    <x v="4"/>
    <s v="DHS 534MAP"/>
    <s v="롯데오토리스(주)"/>
    <m/>
    <n v="29980000"/>
    <n v="259911054194"/>
  </r>
  <r>
    <x v="4"/>
    <s v="ALPHA 12000"/>
    <s v="경상남도 밀양시청"/>
    <m/>
    <n v="102436364"/>
    <n v="260013490558"/>
  </r>
  <r>
    <x v="4"/>
    <s v="DHS 950L"/>
    <s v="리더스텔"/>
    <m/>
    <n v="38500000"/>
    <n v="260051990558"/>
  </r>
  <r>
    <x v="4"/>
    <s v="DHS 1200L"/>
    <s v="창공정보통신(주)"/>
    <m/>
    <n v="40500000"/>
    <n v="260092490558"/>
  </r>
  <r>
    <x v="4"/>
    <s v="DHS 950L"/>
    <s v="(주)이든정보기술"/>
    <m/>
    <n v="38000000"/>
    <n v="260130490558"/>
  </r>
  <r>
    <x v="4"/>
    <s v="DHS 950L"/>
    <s v="(주)이지텔레콤"/>
    <m/>
    <n v="37000000"/>
    <n v="260167490558"/>
  </r>
  <r>
    <x v="4"/>
    <s v="DHS 1200L"/>
    <s v="진성"/>
    <m/>
    <n v="39300000"/>
    <n v="260206790558"/>
  </r>
  <r>
    <x v="4"/>
    <s v="DHS 1200L"/>
    <s v="세광에너텍(주)"/>
    <m/>
    <n v="40909091"/>
    <n v="260247699649"/>
  </r>
  <r>
    <x v="4"/>
    <s v="DHS 1200L"/>
    <s v="하나기기"/>
    <m/>
    <n v="40818181"/>
    <n v="260288517830"/>
  </r>
  <r>
    <x v="4"/>
    <s v="DHS 15AP"/>
    <s v="(주)세진전기공사"/>
    <m/>
    <n v="50900000"/>
    <n v="260339417830"/>
  </r>
  <r>
    <x v="4"/>
    <s v="DHS 950L"/>
    <s v="엄동현"/>
    <m/>
    <n v="36363636"/>
    <n v="260375781466"/>
  </r>
  <r>
    <x v="4"/>
    <s v="DHS 920"/>
    <s v="김해시청"/>
    <m/>
    <n v="45370910"/>
    <n v="260421152376"/>
  </r>
  <r>
    <x v="4"/>
    <s v="DHS 1800"/>
    <s v="포항시 건설교통사업본부"/>
    <m/>
    <n v="96811819"/>
    <n v="260517964195"/>
  </r>
  <r>
    <x v="4"/>
    <s v="DHS 1200L"/>
    <s v="백마텔레콤(주)"/>
    <m/>
    <n v="39090909"/>
    <n v="260557055104"/>
  </r>
  <r>
    <x v="4"/>
    <s v="DHS 1200L"/>
    <s v="주식회사 명은"/>
    <m/>
    <n v="40909091"/>
    <n v="260597964195"/>
  </r>
  <r>
    <x v="4"/>
    <s v="DHS 950L"/>
    <s v="(주)이화텔레콤"/>
    <m/>
    <n v="37272727"/>
    <n v="260635236922"/>
  </r>
  <r>
    <x v="4"/>
    <s v="DHS 15AP"/>
    <s v="중앙ENG"/>
    <m/>
    <n v="52000000"/>
    <n v="260687236922"/>
  </r>
  <r>
    <x v="4"/>
    <s v="DHS 433L"/>
    <s v="우리통신"/>
    <m/>
    <n v="14545455"/>
    <n v="260701782377"/>
  </r>
  <r>
    <x v="4"/>
    <s v="DHS 433L"/>
    <s v="(주)하이엔텍"/>
    <m/>
    <n v="14310000"/>
    <n v="260716092377"/>
  </r>
  <r>
    <x v="4"/>
    <s v="DHS 534MAP"/>
    <s v="(주)광진정보통신"/>
    <m/>
    <n v="31700000"/>
    <n v="260747792377"/>
  </r>
  <r>
    <x v="4"/>
    <s v="DHS 950L"/>
    <s v="재재텔레콤"/>
    <m/>
    <n v="36800000"/>
    <n v="260784592377"/>
  </r>
  <r>
    <x v="4"/>
    <s v="DHS 15AP"/>
    <s v="주식회사 구례전기"/>
    <m/>
    <n v="51818182"/>
    <n v="260836410559"/>
  </r>
  <r>
    <x v="4"/>
    <s v="DHS 930"/>
    <s v="(주)다산통신"/>
    <m/>
    <n v="18373000"/>
    <n v="260854783559"/>
  </r>
  <r>
    <x v="4"/>
    <s v="DHS 15AP"/>
    <s v="(주)경성전기공사"/>
    <m/>
    <n v="49000000"/>
    <n v="260903783559"/>
  </r>
  <r>
    <x v="4"/>
    <s v="ALPHA 12000"/>
    <s v="부산광역시남구청"/>
    <m/>
    <n v="51343183"/>
    <n v="260955126742"/>
  </r>
  <r>
    <x v="4"/>
    <s v="DHS 534"/>
    <s v="(주)이산"/>
    <m/>
    <n v="12800000"/>
    <n v="260967926742"/>
  </r>
  <r>
    <x v="4"/>
    <s v="DHS 534"/>
    <s v="뉴월드"/>
    <m/>
    <n v="13500000"/>
    <n v="260981426742"/>
  </r>
  <r>
    <x v="4"/>
    <s v="DHS 433L"/>
    <s v="김점덕"/>
    <m/>
    <n v="14802727"/>
    <n v="260996229469"/>
  </r>
  <r>
    <x v="4"/>
    <s v="DHS 950L"/>
    <s v="SK네트웍스(주)"/>
    <m/>
    <n v="38000000"/>
    <n v="261034229469"/>
  </r>
  <r>
    <x v="4"/>
    <s v="DHS 950L"/>
    <s v="SK네트웍스(주)"/>
    <m/>
    <n v="38000000"/>
    <n v="261072229469"/>
  </r>
  <r>
    <x v="4"/>
    <s v="DHS 950L"/>
    <s v="SK네트웍스(주)"/>
    <m/>
    <n v="38000000"/>
    <n v="261110229469"/>
  </r>
  <r>
    <x v="4"/>
    <s v="DHS 950L"/>
    <s v="SK네트웍스(주)"/>
    <m/>
    <n v="38000000"/>
    <n v="261148229469"/>
  </r>
  <r>
    <x v="4"/>
    <s v="DHS 950L"/>
    <s v="SK네트웍스(주)"/>
    <m/>
    <n v="38000000"/>
    <n v="261186229469"/>
  </r>
  <r>
    <x v="4"/>
    <s v="DHS 950L"/>
    <s v="SK네트웍스(주)"/>
    <m/>
    <n v="38000000"/>
    <n v="261224229469"/>
  </r>
  <r>
    <x v="4"/>
    <s v="DHS 190SKY"/>
    <s v="제주시청"/>
    <m/>
    <n v="56818182"/>
    <n v="261281047651"/>
  </r>
  <r>
    <x v="4"/>
    <s v="DHS 433MAP"/>
    <s v="차상억"/>
    <m/>
    <n v="19755000"/>
    <n v="261300802651"/>
  </r>
  <r>
    <x v="4"/>
    <s v="DHS 950L"/>
    <s v="(주)수민텔레콤"/>
    <m/>
    <n v="36000000"/>
    <n v="261336802651"/>
  </r>
  <r>
    <x v="4"/>
    <s v="DHS 950L"/>
    <s v="주식회사 신성전자통신"/>
    <m/>
    <n v="37000000"/>
    <n v="261373802651"/>
  </r>
  <r>
    <x v="4"/>
    <s v="DHS 950L"/>
    <s v="태현정보통신(주)"/>
    <m/>
    <n v="36500000"/>
    <n v="261410302651"/>
  </r>
  <r>
    <x v="4"/>
    <s v="DHS 1200L"/>
    <s v="(주)미르전력"/>
    <m/>
    <n v="39090909"/>
    <n v="261449393560"/>
  </r>
  <r>
    <x v="4"/>
    <s v="DHS 190SKY"/>
    <s v="동민호이스트"/>
    <m/>
    <n v="58000000"/>
    <n v="261507393560"/>
  </r>
  <r>
    <x v="4"/>
    <s v="DHS 190SKY"/>
    <s v="반도호이스트"/>
    <m/>
    <n v="58000000"/>
    <n v="261565393560"/>
  </r>
  <r>
    <x v="4"/>
    <s v="DHS 1200LS2"/>
    <s v="롯데오토리스(주)"/>
    <m/>
    <n v="41842100"/>
    <n v="261607235660"/>
  </r>
  <r>
    <x v="4"/>
    <s v="DHS 1200LS2"/>
    <s v="롯데오토리스(주)"/>
    <m/>
    <n v="41842100"/>
    <n v="261649077760"/>
  </r>
  <r>
    <x v="4"/>
    <s v="DHS 1200LS2"/>
    <s v="롯데오토리스(주)"/>
    <m/>
    <n v="41842100"/>
    <n v="261690919860"/>
  </r>
  <r>
    <x v="4"/>
    <s v="DHS 1200LS2"/>
    <s v="롯데오토리스(주)"/>
    <m/>
    <n v="41842100"/>
    <n v="261732761960"/>
  </r>
  <r>
    <x v="4"/>
    <s v="DHS 1200LS2"/>
    <s v="롯데오토리스(주)"/>
    <m/>
    <n v="41842100"/>
    <n v="261774604060"/>
  </r>
  <r>
    <x v="4"/>
    <s v="DHS 1200LS2"/>
    <s v="롯데오토리스(주)"/>
    <m/>
    <n v="41842100"/>
    <n v="261816446160"/>
  </r>
  <r>
    <x v="4"/>
    <s v="DHS 1200LS2"/>
    <s v="롯데오토리스(주)"/>
    <m/>
    <n v="41842100"/>
    <n v="261858288260"/>
  </r>
  <r>
    <x v="4"/>
    <s v="DHS 1200LS2"/>
    <s v="롯데오토리스(주)"/>
    <m/>
    <n v="41842100"/>
    <n v="261900130360"/>
  </r>
  <r>
    <x v="4"/>
    <s v="DHS 1200LS2"/>
    <s v="롯데오토리스(주)"/>
    <m/>
    <n v="41842100"/>
    <n v="261941972460"/>
  </r>
  <r>
    <x v="4"/>
    <s v="DHS 1200LS2"/>
    <s v="롯데오토리스(주)"/>
    <m/>
    <n v="41842100"/>
    <n v="261983814560"/>
  </r>
  <r>
    <x v="4"/>
    <s v="DHS 1200LS2"/>
    <s v="롯데오토리스(주)"/>
    <m/>
    <n v="41842100"/>
    <n v="262025656660"/>
  </r>
  <r>
    <x v="4"/>
    <s v="DHS 1200LS2"/>
    <s v="롯데오토리스(주)"/>
    <m/>
    <n v="41842100"/>
    <n v="262067498760"/>
  </r>
  <r>
    <x v="4"/>
    <s v="DHS 1200LS2"/>
    <s v="롯데오토리스(주)"/>
    <m/>
    <n v="41842100"/>
    <n v="262109340860"/>
  </r>
  <r>
    <x v="4"/>
    <s v="DHS 1200LS2"/>
    <s v="롯데오토리스(주)"/>
    <m/>
    <n v="41842100"/>
    <n v="262151182960"/>
  </r>
  <r>
    <x v="4"/>
    <s v="DHS 1200LS2"/>
    <s v="롯데오토리스(주)"/>
    <m/>
    <n v="41842100"/>
    <n v="262193025060"/>
  </r>
  <r>
    <x v="4"/>
    <s v="DHS 950L"/>
    <s v="(주)경일"/>
    <m/>
    <n v="37000000"/>
    <n v="262230025060"/>
  </r>
  <r>
    <x v="4"/>
    <s v="DHS 433L"/>
    <s v="광능민속품"/>
    <m/>
    <n v="14145455"/>
    <n v="262244170515"/>
  </r>
  <r>
    <x v="4"/>
    <s v="DHS 433MAP"/>
    <s v="지광"/>
    <m/>
    <n v="20662000"/>
    <n v="262264832515"/>
  </r>
  <r>
    <x v="4"/>
    <s v="DHS 950L"/>
    <s v="(주)민테크"/>
    <m/>
    <n v="37000000"/>
    <n v="262301832515"/>
  </r>
  <r>
    <x v="4"/>
    <s v="DHS 105AP"/>
    <s v="(주)이행네트웍"/>
    <m/>
    <n v="37800000"/>
    <n v="262339632515"/>
  </r>
  <r>
    <x v="4"/>
    <s v="DHS 190SKY"/>
    <s v="대산호이스트"/>
    <m/>
    <n v="60500000"/>
    <n v="262400132515"/>
  </r>
  <r>
    <x v="4"/>
    <s v="DHS 950L"/>
    <s v="(주)메가텔"/>
    <m/>
    <n v="37000000"/>
    <n v="262437132515"/>
  </r>
  <r>
    <x v="4"/>
    <s v="DHS 950L"/>
    <s v="신양통신(주)"/>
    <m/>
    <n v="37000000"/>
    <n v="262474132515"/>
  </r>
  <r>
    <x v="4"/>
    <s v="DHS 433L"/>
    <s v="왕성유압"/>
    <m/>
    <n v="14500000"/>
    <n v="262488632515"/>
  </r>
  <r>
    <x v="4"/>
    <s v="DHS 433L"/>
    <s v="대덕건기"/>
    <m/>
    <n v="14500000"/>
    <n v="262503132515"/>
  </r>
  <r>
    <x v="4"/>
    <s v="DHS 534MAP"/>
    <s v="벨코리아(주)"/>
    <m/>
    <n v="31000000"/>
    <n v="262534132515"/>
  </r>
  <r>
    <x v="4"/>
    <s v="DHS 950L"/>
    <s v="성창통신 주식회사"/>
    <m/>
    <n v="39500000"/>
    <n v="262573632515"/>
  </r>
  <r>
    <x v="4"/>
    <s v="DHS 534MAP"/>
    <s v="(주)한국티씨"/>
    <m/>
    <n v="32500000"/>
    <n v="262606132515"/>
  </r>
  <r>
    <x v="4"/>
    <s v="DHS 534MAP"/>
    <s v="대성통신"/>
    <m/>
    <n v="31454545"/>
    <n v="262637587060"/>
  </r>
  <r>
    <x v="4"/>
    <s v="DHS 950L"/>
    <s v="(주)정화전기통신공사"/>
    <m/>
    <n v="37000000"/>
    <n v="262674587060"/>
  </r>
  <r>
    <x v="4"/>
    <s v="DHS 950L"/>
    <s v="원플러스텔레콤(주)"/>
    <m/>
    <n v="35800000"/>
    <n v="262710387060"/>
  </r>
  <r>
    <x v="4"/>
    <s v="DHS 950L"/>
    <s v="원플러스텔레콤(주)"/>
    <m/>
    <n v="35800000"/>
    <n v="262746187060"/>
  </r>
  <r>
    <x v="4"/>
    <s v="DHS 950L"/>
    <s v="수원통신"/>
    <m/>
    <n v="38000000"/>
    <n v="262784187060"/>
  </r>
  <r>
    <x v="4"/>
    <s v="DHS 1200L"/>
    <s v="케이폴CCTV"/>
    <m/>
    <n v="44545455"/>
    <n v="262828732515"/>
  </r>
  <r>
    <x v="4"/>
    <s v="DHT 150S"/>
    <s v="주식회사 성오전력"/>
    <m/>
    <n v="147600000"/>
    <n v="262976332515"/>
  </r>
  <r>
    <x v="4"/>
    <s v="DHS 433L"/>
    <s v="명진기계"/>
    <m/>
    <n v="15000000"/>
    <n v="262991332515"/>
  </r>
  <r>
    <x v="4"/>
    <s v="DHT 150AS"/>
    <s v="흥부활선"/>
    <m/>
    <n v="167000000"/>
    <n v="263158332515"/>
  </r>
  <r>
    <x v="4"/>
    <s v="DHS 1200L"/>
    <s v="에스유통신"/>
    <m/>
    <n v="19873000"/>
    <n v="263178205515"/>
  </r>
  <r>
    <x v="4"/>
    <s v="DHS 930"/>
    <s v="(유)구이앤금우통신"/>
    <m/>
    <n v="36363636"/>
    <n v="263214569151"/>
  </r>
  <r>
    <x v="4"/>
    <s v="DHS 534MAP"/>
    <s v="명성통신"/>
    <m/>
    <n v="31000000"/>
    <n v="263245569151"/>
  </r>
  <r>
    <x v="4"/>
    <s v="DHS 1200L"/>
    <s v="대한산업"/>
    <m/>
    <n v="41600000"/>
    <n v="263287169151"/>
  </r>
  <r>
    <x v="4"/>
    <s v="DHS 1200L"/>
    <s v="YT정보통신"/>
    <m/>
    <n v="43636363"/>
    <n v="263330805514"/>
  </r>
  <r>
    <x v="4"/>
    <s v="DHS 950L"/>
    <s v="다온통신"/>
    <m/>
    <n v="38400000"/>
    <n v="263369205514"/>
  </r>
  <r>
    <x v="4"/>
    <s v="DHS 15AP"/>
    <s v="세명전기(주)"/>
    <m/>
    <n v="52500000"/>
    <n v="263421705514"/>
  </r>
  <r>
    <x v="4"/>
    <s v="DHS 950L"/>
    <s v="유진정보통신(주)"/>
    <m/>
    <n v="37000000"/>
    <n v="263458705514"/>
  </r>
  <r>
    <x v="4"/>
    <s v="DHS 950L"/>
    <s v="동남전기통신(주)"/>
    <m/>
    <n v="37000000"/>
    <n v="263495705514"/>
  </r>
  <r>
    <x v="4"/>
    <s v="DHS 534"/>
    <s v="(유)일도엔지니어링"/>
    <m/>
    <n v="14000000"/>
    <n v="263509705514"/>
  </r>
  <r>
    <x v="4"/>
    <s v="DHS 930"/>
    <s v="수윤통신"/>
    <m/>
    <n v="35909091"/>
    <n v="263545614605"/>
  </r>
  <r>
    <x v="4"/>
    <s v="DHS 534MAP"/>
    <s v="(주)대경기전"/>
    <m/>
    <n v="30713000"/>
    <n v="263576327605"/>
  </r>
  <r>
    <x v="4"/>
    <s v="DHS 950L"/>
    <s v="세훈통신"/>
    <m/>
    <n v="38000000"/>
    <n v="263614327605"/>
  </r>
  <r>
    <x v="4"/>
    <s v="DHS 15AP"/>
    <s v="주식회사라인이엔지"/>
    <m/>
    <n v="51818182"/>
    <n v="263666145787"/>
  </r>
  <r>
    <x v="4"/>
    <s v="DHS 15AP"/>
    <s v="주식회사 화승전력"/>
    <m/>
    <n v="51818182"/>
    <n v="263717963969"/>
  </r>
  <r>
    <x v="4"/>
    <s v="DHS 17AP"/>
    <s v="청평전력공사"/>
    <m/>
    <n v="53636363"/>
    <n v="263771600332"/>
  </r>
  <r>
    <x v="4"/>
    <s v="BKA-14,MA-1A 감시시스템 구축작업"/>
    <s v="공군제20전투비행단"/>
    <m/>
    <n v="8636363"/>
    <n v="263780236695"/>
  </r>
  <r>
    <x v="4"/>
    <s v="DHAS 120AP "/>
    <s v="XIAMEN C＆DCOMMUNICATION LTD"/>
    <m/>
    <n v="16097844"/>
    <m/>
  </r>
  <r>
    <x v="4"/>
    <s v="DHT 180AS "/>
    <s v="XIAMEN C＆DCOMMUNICATION LTD"/>
    <m/>
    <n v="89906684"/>
    <n v="263886241223"/>
  </r>
  <r>
    <x v="4"/>
    <s v="DHT 160S"/>
    <s v="주식회사 인아전기"/>
    <m/>
    <n v="161600000"/>
    <n v="264047841223"/>
  </r>
  <r>
    <x v="4"/>
    <s v="DHS 1200L"/>
    <s v="임재영"/>
    <m/>
    <n v="41140909"/>
    <n v="264088982132"/>
  </r>
  <r>
    <x v="4"/>
    <s v="DHS 1200L"/>
    <s v="세진산업 주식회사"/>
    <m/>
    <n v="39500000"/>
    <n v="264128482132"/>
  </r>
  <r>
    <x v="4"/>
    <s v="DHS 950L"/>
    <s v="하이정보통신"/>
    <m/>
    <n v="39090909"/>
    <n v="264167573041"/>
  </r>
  <r>
    <x v="4"/>
    <s v="DHS 950L"/>
    <s v="스마트통신"/>
    <m/>
    <n v="38000000"/>
    <n v="264205573041"/>
  </r>
  <r>
    <x v="4"/>
    <s v="DHS 930"/>
    <s v="태승(통신)"/>
    <m/>
    <n v="35300000"/>
    <n v="264240873041"/>
  </r>
  <r>
    <x v="4"/>
    <s v="DHS 930"/>
    <s v="수창정보통신(주)"/>
    <m/>
    <n v="18373000"/>
    <n v="264259246041"/>
  </r>
  <r>
    <x v="4"/>
    <s v="DHS 950"/>
    <s v="(주)알파인테크"/>
    <m/>
    <n v="18373000"/>
    <n v="264277619041"/>
  </r>
  <r>
    <x v="4"/>
    <s v="DHS 950L"/>
    <s v="창성"/>
    <m/>
    <n v="36500000"/>
    <n v="264314119041"/>
  </r>
  <r>
    <x v="4"/>
    <s v="DHS 125AP"/>
    <s v="태성엘이디(태성LED)"/>
    <m/>
    <n v="41500000"/>
    <n v="264355619041"/>
  </r>
  <r>
    <x v="4"/>
    <s v="DHS 950L"/>
    <s v="명성통신"/>
    <m/>
    <n v="38000000"/>
    <n v="264393619041"/>
  </r>
  <r>
    <x v="4"/>
    <s v="DHS 190SKY"/>
    <s v="(주)엠스틸랜드"/>
    <m/>
    <n v="61818182"/>
    <n v="264455437223"/>
  </r>
  <r>
    <x v="4"/>
    <s v="DHS 130SKY"/>
    <s v="주식회사 거성"/>
    <m/>
    <n v="45300000"/>
    <n v="264500737223"/>
  </r>
  <r>
    <x v="4"/>
    <s v="DHS 15AP"/>
    <s v="동우전기공사"/>
    <m/>
    <n v="51818182"/>
    <n v="264552555405"/>
  </r>
  <r>
    <x v="4"/>
    <s v="DHS 1200L"/>
    <s v="렉스젠(주)"/>
    <m/>
    <n v="43500000"/>
    <n v="264596055405"/>
  </r>
  <r>
    <x v="4"/>
    <s v="DHS 950L"/>
    <s v="대한통신"/>
    <m/>
    <n v="38181818"/>
    <n v="264634237223"/>
  </r>
  <r>
    <x v="4"/>
    <s v="DHS 534MAP"/>
    <s v="지인"/>
    <m/>
    <n v="31500000"/>
    <n v="264665737223"/>
  </r>
  <r>
    <x v="4"/>
    <s v="DHS 1200L"/>
    <s v="중앙전력"/>
    <m/>
    <n v="40500000"/>
    <n v="264706237223"/>
  </r>
  <r>
    <x v="4"/>
    <s v="DHS 534"/>
    <s v="청호주식회사"/>
    <m/>
    <n v="13818182"/>
    <n v="264720055405"/>
  </r>
  <r>
    <x v="4"/>
    <s v="DHS 534"/>
    <s v="첨단건설기계"/>
    <m/>
    <n v="14272727"/>
    <n v="264734328132"/>
  </r>
  <r>
    <x v="4"/>
    <s v="DHS 950L"/>
    <s v="청우통신(주)"/>
    <m/>
    <n v="38500000"/>
    <n v="264772828132"/>
  </r>
  <r>
    <x v="4"/>
    <s v="DHS 15AP"/>
    <s v="주식회사 지성전설"/>
    <m/>
    <n v="52000000"/>
    <n v="264824828132"/>
  </r>
  <r>
    <x v="4"/>
    <s v="DHS 15AP"/>
    <s v="(주)정도기술"/>
    <m/>
    <n v="53000000"/>
    <n v="264877828132"/>
  </r>
  <r>
    <x v="4"/>
    <s v="DHS 15AP"/>
    <s v="서진전력 주식회사"/>
    <m/>
    <n v="52000000"/>
    <n v="264929828132"/>
  </r>
  <r>
    <x v="4"/>
    <s v="DHS 433L"/>
    <s v="선원건설(주)"/>
    <m/>
    <n v="14727273"/>
    <n v="264944555405"/>
  </r>
  <r>
    <x v="4"/>
    <s v="DHS 920"/>
    <s v="서대문구청"/>
    <m/>
    <n v="42290909"/>
    <n v="264986846314"/>
  </r>
  <r>
    <x v="4"/>
    <s v="DHS 950L"/>
    <s v="(주)이행네트웍"/>
    <m/>
    <n v="37000000"/>
    <n v="265023846314"/>
  </r>
  <r>
    <x v="4"/>
    <s v="DHS 1200L"/>
    <s v="(주)신화유디텍"/>
    <m/>
    <n v="37200000"/>
    <n v="265061046314"/>
  </r>
  <r>
    <x v="4"/>
    <s v="DHS 930"/>
    <s v="태성전기통신(주)"/>
    <m/>
    <n v="18500000"/>
    <n v="265079546314"/>
  </r>
  <r>
    <x v="4"/>
    <s v="DHT 150S"/>
    <s v="경동운수(주)"/>
    <m/>
    <n v="144000000"/>
    <n v="265223546314"/>
  </r>
  <r>
    <x v="4"/>
    <s v="DHS 950L"/>
    <s v="롯데오토리스(주)"/>
    <m/>
    <n v="37000000"/>
    <n v="265260546314"/>
  </r>
  <r>
    <x v="4"/>
    <s v="DHS 950L"/>
    <s v="주식회사 케이엠씨앤아이"/>
    <m/>
    <n v="37000000"/>
    <n v="265297546314"/>
  </r>
  <r>
    <x v="4"/>
    <s v="DHS 950L"/>
    <s v="문화통신"/>
    <m/>
    <n v="38500000"/>
    <n v="265336046314"/>
  </r>
  <r>
    <x v="4"/>
    <s v="DHS 950L"/>
    <s v="주식회사 씨엔네트웍스"/>
    <m/>
    <n v="37500000"/>
    <n v="265373546314"/>
  </r>
  <r>
    <x v="4"/>
    <s v="DHS 1200L"/>
    <s v="삼우"/>
    <m/>
    <n v="39500000"/>
    <n v="265413046314"/>
  </r>
  <r>
    <x v="4"/>
    <s v="DHS 1200L"/>
    <s v="중원정보통신(주)"/>
    <m/>
    <n v="42272727"/>
    <n v="265455319041"/>
  </r>
  <r>
    <x v="4"/>
    <s v="DHS 534MAP"/>
    <s v="한성 TEX"/>
    <m/>
    <n v="31000000"/>
    <n v="265486319041"/>
  </r>
  <r>
    <x v="4"/>
    <s v="DHS 1200L"/>
    <s v="중원정보통신(주)"/>
    <m/>
    <n v="-42272727"/>
    <n v="265444046314"/>
  </r>
  <r>
    <x v="4"/>
    <s v="DHS 1200L"/>
    <s v="중원정보통신(주)"/>
    <m/>
    <n v="42272727"/>
    <n v="265486319041"/>
  </r>
  <r>
    <x v="4"/>
    <s v="DHT 105S"/>
    <s v="서울특별시 동부도로사업소"/>
    <m/>
    <n v="99440910"/>
    <n v="265585759951"/>
  </r>
  <r>
    <x v="4"/>
    <s v="DHS 534MAP"/>
    <s v="기두석"/>
    <m/>
    <n v="31000000"/>
    <n v="265616759951"/>
  </r>
  <r>
    <x v="4"/>
    <s v="DHS 534MAP"/>
    <s v="주식회사 남양이앤씨"/>
    <m/>
    <n v="32000000"/>
    <n v="265648759951"/>
  </r>
  <r>
    <x v="4"/>
    <s v="DHS 534MAP"/>
    <s v="성준통신"/>
    <m/>
    <n v="31000000"/>
    <n v="265679759951"/>
  </r>
  <r>
    <x v="4"/>
    <s v="DHS 1200L"/>
    <s v="(주)라이노전력"/>
    <m/>
    <n v="43400000"/>
    <n v="265723159951"/>
  </r>
  <r>
    <x v="4"/>
    <s v="DHS 1200L"/>
    <s v="이엔트컴(주)"/>
    <m/>
    <n v="41300000"/>
    <n v="265764459951"/>
  </r>
  <r>
    <x v="4"/>
    <s v="DHS 1200L"/>
    <s v="에스오에스미디어(주)"/>
    <m/>
    <n v="39090909"/>
    <n v="265803550860"/>
  </r>
  <r>
    <x v="4"/>
    <s v="DHS 534MAP"/>
    <s v="아신정보통신"/>
    <m/>
    <n v="31363636"/>
    <n v="265834914496"/>
  </r>
  <r>
    <x v="4"/>
    <s v="DHS 930"/>
    <s v="다나통신"/>
    <m/>
    <n v="36090909"/>
    <n v="265871005405"/>
  </r>
  <r>
    <x v="4"/>
    <s v="DHS 950L"/>
    <s v="주식회사 좋은통신"/>
    <m/>
    <n v="37000000"/>
    <n v="265908005405"/>
  </r>
  <r>
    <x v="4"/>
    <s v="DHS 1200L"/>
    <s v="티케이정보통신(주)"/>
    <m/>
    <n v="41818182"/>
    <n v="265949823587"/>
  </r>
  <r>
    <x v="4"/>
    <s v="DHS 15AP"/>
    <s v="동부전력공사"/>
    <m/>
    <n v="51818181"/>
    <n v="266001641768"/>
  </r>
  <r>
    <x v="4"/>
    <s v="DHS 15AP"/>
    <s v="울창전력공사"/>
    <m/>
    <n v="51818181"/>
    <n v="266053459949"/>
  </r>
  <r>
    <x v="4"/>
    <s v="ALPHA 5000"/>
    <s v="정선군수질환경사업소"/>
    <m/>
    <n v="22120910"/>
    <n v="266075580859"/>
  </r>
  <r>
    <x v="4"/>
    <s v="DHT 105S"/>
    <s v="서울특별시성동도로사업소"/>
    <m/>
    <n v="198881820"/>
    <n v="266274462679"/>
  </r>
  <r>
    <x v="4"/>
    <s v="DHT 105S"/>
    <s v="대전광역시 동구청"/>
    <m/>
    <n v="100522728"/>
    <n v="266374985407"/>
  </r>
  <r>
    <x v="4"/>
    <s v="DHS 534MAP"/>
    <s v="롯데오토리스(주)"/>
    <m/>
    <n v="29980000"/>
    <n v="266404965407"/>
  </r>
  <r>
    <x v="4"/>
    <s v="DHS 534MAP"/>
    <s v="롯데오토리스(주)"/>
    <m/>
    <n v="29980000"/>
    <n v="266434945407"/>
  </r>
  <r>
    <x v="4"/>
    <s v="DHS 534MAP"/>
    <s v="롯데오토리스(주)"/>
    <m/>
    <n v="29980000"/>
    <n v="266464925407"/>
  </r>
  <r>
    <x v="4"/>
    <s v="DHS 534MAP"/>
    <s v="롯데오토리스(주)"/>
    <m/>
    <n v="29980000"/>
    <n v="266494905407"/>
  </r>
  <r>
    <x v="4"/>
    <s v="DHS 1200L"/>
    <s v="(주)세한"/>
    <m/>
    <n v="42000000"/>
    <n v="266536905407"/>
  </r>
  <r>
    <x v="4"/>
    <s v="DHS 930"/>
    <s v="원용연"/>
    <m/>
    <n v="34900000"/>
    <n v="266571805407"/>
  </r>
  <r>
    <x v="4"/>
    <s v="DHS 950L"/>
    <s v="MR정보통신"/>
    <m/>
    <n v="38000000"/>
    <n v="266609805407"/>
  </r>
  <r>
    <x v="4"/>
    <s v="DHS 950L"/>
    <s v="DF정보통신"/>
    <m/>
    <n v="38100000"/>
    <n v="266647905407"/>
  </r>
  <r>
    <x v="4"/>
    <s v="DHS 950L"/>
    <s v="셀컴아트"/>
    <m/>
    <n v="38000000"/>
    <n v="266685905407"/>
  </r>
  <r>
    <x v="4"/>
    <s v="DHS 950L"/>
    <s v="(주)시온네트워크"/>
    <m/>
    <n v="37500000"/>
    <n v="266723405407"/>
  </r>
  <r>
    <x v="4"/>
    <s v="DHS 15AP"/>
    <s v="(주)금우전기"/>
    <m/>
    <n v="51818182"/>
    <n v="266775223589"/>
  </r>
  <r>
    <x v="4"/>
    <s v="DHS 1200L"/>
    <s v="MS정보통신(권정희)"/>
    <m/>
    <n v="40727273"/>
    <n v="266815950862"/>
  </r>
  <r>
    <x v="4"/>
    <s v="DHT 160S-2Q'TY "/>
    <s v="VIET TRUNG EQUIPMENT JOINT STOCK COMPANY"/>
    <m/>
    <n v="541908600"/>
    <n v="267357859462"/>
  </r>
  <r>
    <x v="4"/>
    <s v="DHT 160S-7Q'ty "/>
    <s v="VIET TRUNG EQUIPMENT JOINT STOCK COMPANY"/>
    <m/>
    <n v="1745898000"/>
    <n v="269103757462"/>
  </r>
  <r>
    <x v="4"/>
    <s v="DHS 433L"/>
    <s v="주식회사 오션인더스트리"/>
    <m/>
    <n v="14520000"/>
    <n v="269118277462"/>
  </r>
  <r>
    <x v="4"/>
    <s v="DHS 17AP"/>
    <s v="보경이앤씨"/>
    <m/>
    <n v="55500000"/>
    <n v="269173777462"/>
  </r>
  <r>
    <x v="4"/>
    <s v="DHS 125AP"/>
    <s v="신일전기상사"/>
    <m/>
    <n v="42000000"/>
    <n v="269215777462"/>
  </r>
  <r>
    <x v="4"/>
    <s v="DHS 15AP"/>
    <s v="(주)금호전력"/>
    <m/>
    <n v="52520000"/>
    <n v="269268297462"/>
  </r>
  <r>
    <x v="4"/>
    <s v="DHS 950L"/>
    <s v="하나텍플러스 주식회사"/>
    <m/>
    <n v="37000000"/>
    <n v="269305297462"/>
  </r>
  <r>
    <x v="4"/>
    <s v="ALPHA 12000"/>
    <s v="영광군청"/>
    <m/>
    <n v="101118182"/>
    <n v="269406415644"/>
  </r>
  <r>
    <x v="4"/>
    <s v="자동덮개장착"/>
    <s v="영광군청"/>
    <m/>
    <n v="1270000"/>
    <n v="269407685644"/>
  </r>
  <r>
    <x v="4"/>
    <s v="DHS 534MAP"/>
    <s v="설종우"/>
    <m/>
    <n v="31454546"/>
    <n v="269439140190"/>
  </r>
  <r>
    <x v="4"/>
    <s v="DHS 950L"/>
    <s v="주식회사금강케이블넷"/>
    <m/>
    <n v="37700000"/>
    <n v="269476840190"/>
  </r>
  <r>
    <x v="4"/>
    <s v="DHS 950L"/>
    <s v="엠케이정보"/>
    <m/>
    <n v="38181818"/>
    <n v="269515022008"/>
  </r>
  <r>
    <x v="4"/>
    <s v="DHS 1200L"/>
    <s v="세희정보통신"/>
    <m/>
    <n v="43636364"/>
    <n v="269558658372"/>
  </r>
  <r>
    <x v="4"/>
    <s v="DHS 930"/>
    <s v="케이피(K.P)통신"/>
    <m/>
    <n v="34000000"/>
    <n v="269592658372"/>
  </r>
  <r>
    <x v="4"/>
    <s v="DHS 950L"/>
    <s v="아윤네트워크"/>
    <m/>
    <n v="39090909"/>
    <n v="269631749281"/>
  </r>
  <r>
    <x v="4"/>
    <s v="DHT 105S"/>
    <s v="서울특별시남부도로사업소"/>
    <m/>
    <n v="194409091"/>
    <n v="269826158372"/>
  </r>
  <r>
    <x v="4"/>
    <s v="DHS 930"/>
    <s v="주식회사 명승미디어넷"/>
    <m/>
    <n v="36363636"/>
    <n v="269862522008"/>
  </r>
  <r>
    <x v="4"/>
    <s v="DHS 950L"/>
    <s v="(주)미르정보통신"/>
    <m/>
    <n v="39090909"/>
    <n v="269901612917"/>
  </r>
  <r>
    <x v="4"/>
    <s v="DHS 950L"/>
    <s v="정동정보통신"/>
    <m/>
    <n v="38500000"/>
    <n v="269940112917"/>
  </r>
  <r>
    <x v="4"/>
    <s v="DHS 950L"/>
    <s v="(주)베스트탑 정보통신"/>
    <m/>
    <n v="35272727"/>
    <n v="269975385644"/>
  </r>
  <r>
    <x v="4"/>
    <s v="DHS 1200L"/>
    <s v="썬ENC"/>
    <m/>
    <n v="40909091"/>
    <n v="270016294735"/>
  </r>
  <r>
    <x v="4"/>
    <s v="DHS 1200L"/>
    <s v="주식회사 대원"/>
    <m/>
    <n v="45454545"/>
    <n v="270061749280"/>
  </r>
  <r>
    <x v="4"/>
    <s v="DHS 1200L"/>
    <s v="신월"/>
    <m/>
    <n v="41500000"/>
    <n v="270103249280"/>
  </r>
  <r>
    <x v="4"/>
    <s v="DHS 534MAP"/>
    <s v="(주)제이피파워정보통신"/>
    <m/>
    <n v="31000000"/>
    <n v="270134249280"/>
  </r>
  <r>
    <x v="4"/>
    <s v="DHS 15AP"/>
    <s v="(주)대산전기건설공사"/>
    <m/>
    <n v="52727272"/>
    <n v="270186976552"/>
  </r>
  <r>
    <x v="4"/>
    <s v="DHS 125AP"/>
    <s v="주식회사 태강"/>
    <m/>
    <n v="42500000"/>
    <n v="270229476552"/>
  </r>
  <r>
    <x v="4"/>
    <s v="DHS 433L"/>
    <s v="성심중장비"/>
    <m/>
    <n v="14750000"/>
    <n v="270244226552"/>
  </r>
  <r>
    <x v="4"/>
    <s v="DHS 1200L"/>
    <s v="주영통신"/>
    <m/>
    <n v="40600000"/>
    <n v="270284826552"/>
  </r>
  <r>
    <x v="4"/>
    <s v="DHS 17AP"/>
    <s v="김영배"/>
    <m/>
    <n v="54000000"/>
    <n v="270338826552"/>
  </r>
  <r>
    <x v="4"/>
    <s v="DHS 534"/>
    <s v="(유)광명중전기"/>
    <m/>
    <n v="14000000"/>
    <n v="270352826552"/>
  </r>
  <r>
    <x v="4"/>
    <s v="DHS 930"/>
    <s v="라우통신"/>
    <m/>
    <n v="36090909"/>
    <n v="270388917461"/>
  </r>
  <r>
    <x v="4"/>
    <s v="DHS 1200L"/>
    <s v="(주)강원네트웍스"/>
    <m/>
    <n v="41000000"/>
    <n v="270429917461"/>
  </r>
  <r>
    <x v="4"/>
    <s v="DHS 1200L"/>
    <s v="(주)에스엠이엔에프"/>
    <m/>
    <n v="38700000"/>
    <n v="270468617461"/>
  </r>
  <r>
    <x v="4"/>
    <s v="DHS 15AP"/>
    <s v="우영전기"/>
    <m/>
    <n v="51818182"/>
    <n v="270520435643"/>
  </r>
  <r>
    <x v="4"/>
    <s v="DHT 150AS"/>
    <s v="광덕전력(주)"/>
    <m/>
    <n v="163636363"/>
    <n v="270684072006"/>
  </r>
  <r>
    <x v="4"/>
    <s v="DHS 125AP"/>
    <s v="경성전기"/>
    <m/>
    <n v="43100000"/>
    <n v="270727172006"/>
  </r>
  <r>
    <x v="4"/>
    <s v="DHT 160AS "/>
    <s v="WAIMEA TRUCK ＆ CRANE LTD"/>
    <m/>
    <n v="121742717"/>
    <n v="270848914723"/>
  </r>
  <r>
    <x v="4"/>
    <s v="DHT 153"/>
    <s v="공군군수사령부"/>
    <m/>
    <n v="501818182"/>
    <n v="271350732905"/>
  </r>
  <r>
    <x v="4"/>
    <s v="DHS 1200L"/>
    <s v="(주)타코스텔레콤"/>
    <m/>
    <n v="39550000"/>
    <n v="271390282905"/>
  </r>
  <r>
    <x v="4"/>
    <s v="DHS 950L"/>
    <s v="길네트웍스"/>
    <m/>
    <n v="38000000"/>
    <n v="271428282905"/>
  </r>
  <r>
    <x v="4"/>
    <s v="DHS 950L"/>
    <s v="미소통신"/>
    <m/>
    <n v="36545455"/>
    <n v="271464828360"/>
  </r>
  <r>
    <x v="4"/>
    <s v="DHS 433L"/>
    <s v="양평공사"/>
    <m/>
    <n v="14415000"/>
    <n v="271479243360"/>
  </r>
  <r>
    <x v="4"/>
    <s v="DHS 950L"/>
    <s v="부민통신(주)"/>
    <m/>
    <n v="18572730"/>
    <n v="271497816090"/>
  </r>
  <r>
    <x v="4"/>
    <s v="DHT 160S"/>
    <s v="주식회사에디슨전기"/>
    <m/>
    <n v="157000000"/>
    <n v="271654816090"/>
  </r>
  <r>
    <x v="4"/>
    <s v="DHS 15AP"/>
    <s v="한국기전"/>
    <m/>
    <n v="50500000"/>
    <n v="271705316090"/>
  </r>
  <r>
    <x v="4"/>
    <s v="DHS 15AP"/>
    <s v="설화전기"/>
    <m/>
    <n v="51818182"/>
    <n v="271757134272"/>
  </r>
  <r>
    <x v="4"/>
    <s v="DHS 15AP"/>
    <s v="(주)글로벌이엔지"/>
    <m/>
    <n v="49000000"/>
    <n v="271806134272"/>
  </r>
  <r>
    <x v="4"/>
    <s v="DHS 534MAP"/>
    <s v="주식회사 셀콤"/>
    <m/>
    <n v="29900000"/>
    <n v="271836034272"/>
  </r>
  <r>
    <x v="4"/>
    <s v="DHS 534MAP"/>
    <s v="주식회사 셀콤"/>
    <m/>
    <n v="30900000"/>
    <n v="271866934272"/>
  </r>
  <r>
    <x v="4"/>
    <s v="DHS 534MAP"/>
    <s v="주식회사 오성정보통신"/>
    <m/>
    <n v="31000000"/>
    <n v="271897934272"/>
  </r>
  <r>
    <x v="4"/>
    <s v="DHS 1200L"/>
    <s v="석보통신"/>
    <m/>
    <n v="38181819"/>
    <n v="271936116091"/>
  </r>
  <r>
    <x v="4"/>
    <s v="DHS 930"/>
    <s v="이에스네트워크"/>
    <m/>
    <n v="36363636"/>
    <n v="271972479727"/>
  </r>
  <r>
    <x v="4"/>
    <s v="DHS 1200L"/>
    <s v="대지전력"/>
    <m/>
    <n v="39090909"/>
    <n v="272011570636"/>
  </r>
  <r>
    <x v="4"/>
    <s v="DHS 534"/>
    <s v="진성마린"/>
    <m/>
    <n v="14090910"/>
    <n v="272025661546"/>
  </r>
  <r>
    <x v="4"/>
    <s v="DHS 534MAP"/>
    <s v="은비정보통신"/>
    <m/>
    <n v="30000000"/>
    <n v="272055661546"/>
  </r>
  <r>
    <x v="4"/>
    <s v="DHS 534MAP"/>
    <s v="김종덕"/>
    <m/>
    <n v="31000000"/>
    <n v="272086661546"/>
  </r>
  <r>
    <x v="4"/>
    <s v="DHS 15AP"/>
    <s v="삼정전력"/>
    <m/>
    <n v="50000000"/>
    <n v="272136661546"/>
  </r>
  <r>
    <x v="4"/>
    <s v="DHS 125AP"/>
    <s v="(주)경북정보통신"/>
    <m/>
    <n v="40700000"/>
    <n v="272177361546"/>
  </r>
  <r>
    <x v="4"/>
    <s v="DHS 433L"/>
    <s v="전국분재"/>
    <m/>
    <n v="14272728"/>
    <n v="272191634274"/>
  </r>
  <r>
    <x v="4"/>
    <s v="DHS 950L"/>
    <s v="주식회사 더지원네트웍스"/>
    <m/>
    <n v="37272727"/>
    <n v="272228907001"/>
  </r>
  <r>
    <x v="4"/>
    <s v="DHS 17AP"/>
    <s v="수일렉트릭"/>
    <m/>
    <n v="53818181"/>
    <n v="272282725182"/>
  </r>
  <r>
    <x v="4"/>
    <s v="DHS 534MAP"/>
    <s v="(주)광주텔레콤"/>
    <m/>
    <n v="32727273"/>
    <n v="272315452455"/>
  </r>
  <r>
    <x v="4"/>
    <s v="DHS 534MAP"/>
    <s v="정경건설"/>
    <m/>
    <n v="31500000"/>
    <n v="272346952455"/>
  </r>
  <r>
    <x v="4"/>
    <s v="DHS 534MAP"/>
    <s v="태경통신"/>
    <m/>
    <n v="31000000"/>
    <n v="272377952455"/>
  </r>
  <r>
    <x v="4"/>
    <s v="DHS 534MAP"/>
    <s v="(주)경남개발"/>
    <m/>
    <n v="32000000"/>
    <n v="272409952455"/>
  </r>
  <r>
    <x v="4"/>
    <s v="DHS 534MAP"/>
    <s v="롯데오토리스(주)"/>
    <m/>
    <n v="29980000"/>
    <n v="272439932455"/>
  </r>
  <r>
    <x v="4"/>
    <s v="DHS 534MAP"/>
    <s v="롯데오토리스(주)"/>
    <m/>
    <n v="29980000"/>
    <n v="272469912455"/>
  </r>
  <r>
    <x v="4"/>
    <s v="DHS 534MAP"/>
    <s v="롯데오토리스(주)"/>
    <m/>
    <n v="29980000"/>
    <n v="272499892455"/>
  </r>
  <r>
    <x v="4"/>
    <s v="DHS 534MAP"/>
    <s v="롯데오토리스(주)"/>
    <m/>
    <n v="29980000"/>
    <n v="272529872455"/>
  </r>
  <r>
    <x v="4"/>
    <s v="DHS 534MAP"/>
    <s v="롯데오토리스(주)"/>
    <m/>
    <n v="29980000"/>
    <n v="272559852455"/>
  </r>
  <r>
    <x v="4"/>
    <s v="DHS 534MAP"/>
    <s v="롯데오토리스(주)"/>
    <m/>
    <n v="29980000"/>
    <n v="272589832455"/>
  </r>
  <r>
    <x v="4"/>
    <s v="DHS 534MAP"/>
    <s v="롯데오토리스(주)"/>
    <m/>
    <n v="29980000"/>
    <n v="272619812455"/>
  </r>
  <r>
    <x v="4"/>
    <s v="DHS 534MAP"/>
    <s v="롯데오토리스(주)"/>
    <m/>
    <n v="29980000"/>
    <n v="272649792455"/>
  </r>
  <r>
    <x v="4"/>
    <s v="DHS 534MAP"/>
    <s v="롯데오토리스(주)"/>
    <m/>
    <n v="29980000"/>
    <n v="272679772455"/>
  </r>
  <r>
    <x v="4"/>
    <s v="DHS 534MAP"/>
    <s v="롯데오토리스(주)"/>
    <m/>
    <n v="29980000"/>
    <n v="272709752455"/>
  </r>
  <r>
    <x v="4"/>
    <s v="DHS 534MAP"/>
    <s v="롯데오토리스(주)"/>
    <m/>
    <n v="29980000"/>
    <n v="272739732455"/>
  </r>
  <r>
    <x v="4"/>
    <s v="DHS 534MAP"/>
    <s v="롯데오토리스(주)"/>
    <m/>
    <n v="29980000"/>
    <n v="272769712455"/>
  </r>
  <r>
    <x v="4"/>
    <s v="DHS 534MAP"/>
    <s v="롯데오토리스(주)"/>
    <m/>
    <n v="29980000"/>
    <n v="272799692455"/>
  </r>
  <r>
    <x v="4"/>
    <s v="DHS 534MAP"/>
    <s v="롯데오토리스(주)"/>
    <m/>
    <n v="29980000"/>
    <n v="272829672455"/>
  </r>
  <r>
    <x v="4"/>
    <s v="DHS 534MAP"/>
    <s v="롯데오토리스(주)"/>
    <m/>
    <n v="29980000"/>
    <n v="272859652455"/>
  </r>
  <r>
    <x v="4"/>
    <s v="DHS 534MAP"/>
    <s v="롯데오토리스(주)"/>
    <m/>
    <n v="31700000"/>
    <n v="272891352455"/>
  </r>
  <r>
    <x v="4"/>
    <s v="DHS 534MAP"/>
    <s v="권영오"/>
    <m/>
    <n v="31000000"/>
    <n v="272922352455"/>
  </r>
  <r>
    <x v="4"/>
    <s v="DHS 1200L"/>
    <s v="LG에어컨간판망원소금구이"/>
    <m/>
    <n v="41818182"/>
    <n v="272964170637"/>
  </r>
  <r>
    <x v="4"/>
    <s v="DHS 17AP"/>
    <s v="유림이엔지(ENG)"/>
    <m/>
    <n v="54000000"/>
    <n v="273018170637"/>
  </r>
  <r>
    <x v="4"/>
    <s v="DHS 105AP"/>
    <s v="민준통신"/>
    <m/>
    <n v="37500000"/>
    <n v="273055670637"/>
  </r>
  <r>
    <x v="4"/>
    <s v="DHS 433L"/>
    <s v="영덕군맑은물사업소"/>
    <m/>
    <n v="27972728"/>
    <n v="273083643365"/>
  </r>
  <r>
    <x v="4"/>
    <s v="DHS 433L"/>
    <s v="수정건기"/>
    <m/>
    <n v="44555000"/>
    <n v="273128198365"/>
  </r>
  <r>
    <x v="4"/>
    <s v="DHS 433L"/>
    <s v="(주)두산건기서울중부판매"/>
    <m/>
    <n v="43915000"/>
    <n v="273172113365"/>
  </r>
  <r>
    <x v="4"/>
    <s v="DHS 433L"/>
    <s v="해본조선소"/>
    <m/>
    <n v="14272727"/>
    <n v="273186386092"/>
  </r>
  <r>
    <x v="4"/>
    <s v="DHS 950L"/>
    <s v="리더스텔"/>
    <m/>
    <n v="38500000"/>
    <n v="273224886092"/>
  </r>
  <r>
    <x v="4"/>
    <s v="DHS 950L"/>
    <s v="성도통신"/>
    <m/>
    <n v="38500000"/>
    <n v="273263386092"/>
  </r>
  <r>
    <x v="4"/>
    <s v="DHS 950L"/>
    <s v="윈정보통신"/>
    <m/>
    <n v="38500000"/>
    <n v="273301886092"/>
  </r>
  <r>
    <x v="4"/>
    <s v="DHS 125AP"/>
    <s v="이디엠"/>
    <m/>
    <n v="42500000"/>
    <n v="273344386092"/>
  </r>
  <r>
    <x v="4"/>
    <s v="DHS 433L"/>
    <s v="구만2리어촌계"/>
    <m/>
    <n v="15000000"/>
    <n v="273359386092"/>
  </r>
  <r>
    <x v="4"/>
    <s v="DHS 433L"/>
    <s v="제주특별자치도 상하수도본부"/>
    <m/>
    <n v="16100909"/>
    <n v="273375487001"/>
  </r>
  <r>
    <x v="4"/>
    <s v="DHS 105S"/>
    <s v="북부도로사업소"/>
    <m/>
    <n v="198881821"/>
    <n v="273574368822"/>
  </r>
  <r>
    <x v="4"/>
    <s v="DHS 150S "/>
    <s v="PT CIPTA TAPAK SEJAHTERA"/>
    <m/>
    <n v="103459050"/>
    <n v="273677827872"/>
  </r>
  <r>
    <x v="4"/>
    <s v="방향지시등"/>
    <s v="영덕군맑은물사업소"/>
    <m/>
    <n v="1500000"/>
    <n v="273679327872"/>
  </r>
  <r>
    <x v="4"/>
    <s v="DHS 950L"/>
    <s v="유성텔레컴"/>
    <m/>
    <n v="18373000"/>
    <n v="273697700872"/>
  </r>
  <r>
    <x v="4"/>
    <s v="DHS 950L"/>
    <s v="02네트워크"/>
    <m/>
    <n v="37850000"/>
    <n v="273735550872"/>
  </r>
  <r>
    <x v="4"/>
    <s v="DHS 534"/>
    <s v="(주)녹양"/>
    <m/>
    <n v="12530000"/>
    <n v="273748080872"/>
  </r>
  <r>
    <x v="4"/>
    <s v="DHS 108SKY"/>
    <s v="나눔통신"/>
    <m/>
    <n v="37500000"/>
    <n v="273785580872"/>
  </r>
  <r>
    <x v="4"/>
    <s v="DHS 17AP"/>
    <s v="(주)중옥"/>
    <m/>
    <n v="55272727"/>
    <n v="273840853599"/>
  </r>
  <r>
    <x v="4"/>
    <s v="DHS 108SKY"/>
    <s v="다성정보통신"/>
    <m/>
    <n v="39000000"/>
    <n v="273879853599"/>
  </r>
  <r>
    <x v="4"/>
    <s v="DHS 108SKY"/>
    <s v="백호통신"/>
    <m/>
    <n v="39500000"/>
    <n v="273919353599"/>
  </r>
  <r>
    <x v="4"/>
    <s v="DHS 108SKY"/>
    <s v="주식회사 조이앤바투"/>
    <m/>
    <n v="32000000"/>
    <n v="273951353599"/>
  </r>
  <r>
    <x v="4"/>
    <s v="DHS 1200L"/>
    <s v="홍익인간정보통신"/>
    <m/>
    <n v="40500000"/>
    <n v="273991853599"/>
  </r>
  <r>
    <x v="4"/>
    <s v="DHS 1200L"/>
    <s v="대경정보통신 주식회사"/>
    <m/>
    <n v="41181819"/>
    <n v="274033035418"/>
  </r>
  <r>
    <x v="4"/>
    <s v="DHS 1200L"/>
    <s v="수현정보통신"/>
    <m/>
    <n v="40909090"/>
    <n v="274073944508"/>
  </r>
  <r>
    <x v="4"/>
    <s v="DHS 1200L"/>
    <s v="한울통신"/>
    <m/>
    <n v="40909091"/>
    <n v="274114853599"/>
  </r>
  <r>
    <x v="4"/>
    <s v="DHS 15AP"/>
    <s v="(유)삼부전력"/>
    <m/>
    <n v="52727273"/>
    <n v="274167580872"/>
  </r>
  <r>
    <x v="4"/>
    <s v="DHS 15AP"/>
    <s v="(주)금라전력"/>
    <m/>
    <n v="51818182"/>
    <n v="274219399054"/>
  </r>
  <r>
    <x v="4"/>
    <s v="DHS 950L"/>
    <s v="JC통신"/>
    <m/>
    <n v="38000000"/>
    <n v="274257399054"/>
  </r>
  <r>
    <x v="4"/>
    <s v="DHS 534MAP"/>
    <s v="영남통신건설"/>
    <m/>
    <n v="30000000"/>
    <n v="274287399054"/>
  </r>
  <r>
    <x v="4"/>
    <s v="DHS 534MAP"/>
    <s v="국제통신"/>
    <m/>
    <n v="31000000"/>
    <n v="274318399054"/>
  </r>
  <r>
    <x v="4"/>
    <s v="DHS 930"/>
    <s v="양남웅"/>
    <m/>
    <n v="35909091"/>
    <n v="274354308145"/>
  </r>
  <r>
    <x v="4"/>
    <s v="DHS 1200L"/>
    <s v="비엔디정보통신주식회사"/>
    <m/>
    <n v="43000000"/>
    <n v="274397308145"/>
  </r>
  <r>
    <x v="4"/>
    <s v="DHS 1200L"/>
    <s v="(주)상도정보통신"/>
    <m/>
    <n v="39545455"/>
    <n v="274436853600"/>
  </r>
  <r>
    <x v="4"/>
    <s v="DHS 1200L"/>
    <s v="흥원통신"/>
    <m/>
    <n v="43636363"/>
    <n v="274480489963"/>
  </r>
  <r>
    <x v="4"/>
    <s v="DHS 15AP"/>
    <s v="미광안전시설"/>
    <m/>
    <n v="51818182"/>
    <n v="274532308145"/>
  </r>
  <r>
    <x v="4"/>
    <s v="DHS 17AP"/>
    <s v="(주)다누리전기기술공사"/>
    <m/>
    <n v="53636364"/>
    <n v="274585944509"/>
  </r>
  <r>
    <x v="4"/>
    <s v="DHS 433L"/>
    <s v="주식회사 시온이앤씨"/>
    <m/>
    <n v="13270000"/>
    <n v="274599214509"/>
  </r>
  <r>
    <x v="4"/>
    <s v="DHS 534MAP"/>
    <s v="거방통신"/>
    <m/>
    <n v="32000000"/>
    <n v="274631214509"/>
  </r>
  <r>
    <x v="4"/>
    <s v="DHS 950L"/>
    <s v="마리네트웍"/>
    <m/>
    <n v="38000000"/>
    <n v="274669214509"/>
  </r>
  <r>
    <x v="4"/>
    <s v="DHS 950L"/>
    <s v="제일 통신"/>
    <m/>
    <n v="37000000"/>
    <n v="274706214509"/>
  </r>
  <r>
    <x v="4"/>
    <s v="DHS 15AP"/>
    <s v="주식회사 서전이엔씨"/>
    <m/>
    <n v="51700000"/>
    <n v="274757914509"/>
  </r>
  <r>
    <x v="4"/>
    <s v="DHS 15AP"/>
    <s v="(주)유온전력"/>
    <m/>
    <n v="50000000"/>
    <n v="274807914509"/>
  </r>
  <r>
    <x v="4"/>
    <s v="DHT 160AS"/>
    <s v="(주)세양전기"/>
    <m/>
    <n v="177000000"/>
    <n v="274984914509"/>
  </r>
  <r>
    <x v="4"/>
    <s v="DHS 950L"/>
    <s v="금우정보통신"/>
    <m/>
    <n v="38000000"/>
    <n v="275022914509"/>
  </r>
  <r>
    <x v="4"/>
    <s v="DHS 950L"/>
    <s v="영남씨엔엠(주)"/>
    <m/>
    <n v="38500000"/>
    <n v="275061414509"/>
  </r>
  <r>
    <x v="4"/>
    <s v="DHS 433MAP"/>
    <s v="미주통신"/>
    <m/>
    <n v="19755000"/>
    <n v="275081169509"/>
  </r>
  <r>
    <x v="4"/>
    <s v="DHS 930"/>
    <s v="정인"/>
    <m/>
    <n v="18373000"/>
    <n v="275099542509"/>
  </r>
  <r>
    <x v="4"/>
    <s v="DHS 15AP"/>
    <s v="(주)신용전기"/>
    <m/>
    <n v="50909090"/>
    <n v="275150451599"/>
  </r>
  <r>
    <x v="4"/>
    <s v="DHS 950L"/>
    <s v="위너통신"/>
    <m/>
    <n v="35500000"/>
    <n v="275185951599"/>
  </r>
  <r>
    <x v="4"/>
    <s v="DHS 534MAP"/>
    <s v="혁진"/>
    <m/>
    <n v="30000000"/>
    <n v="275215951599"/>
  </r>
  <r>
    <x v="4"/>
    <s v="DHS 534"/>
    <s v="신흥전기"/>
    <m/>
    <n v="14000000"/>
    <n v="275229951599"/>
  </r>
  <r>
    <x v="4"/>
    <s v="DHS 534MAP"/>
    <s v="재민통신"/>
    <m/>
    <n v="31000000"/>
    <n v="275260951599"/>
  </r>
  <r>
    <x v="4"/>
    <s v="DHS 534MAP"/>
    <s v="거성"/>
    <m/>
    <n v="30000000"/>
    <n v="275290951599"/>
  </r>
  <r>
    <x v="4"/>
    <s v="DHS 534MAP"/>
    <s v="진광파워넷"/>
    <m/>
    <n v="31000000"/>
    <n v="275321951599"/>
  </r>
  <r>
    <x v="4"/>
    <s v="DHS 433L"/>
    <s v="주식회사 해성조선소"/>
    <m/>
    <n v="14500000"/>
    <n v="275336451599"/>
  </r>
  <r>
    <x v="4"/>
    <s v="DHS 930"/>
    <s v="수남정보통신"/>
    <m/>
    <n v="18473000"/>
    <n v="275354924599"/>
  </r>
  <r>
    <x v="4"/>
    <s v="DHS 950L"/>
    <s v="우일정보기술(주)"/>
    <m/>
    <n v="18400000"/>
    <n v="275373324599"/>
  </r>
  <r>
    <x v="4"/>
    <s v="DHS 950L"/>
    <s v="부덕정보통신"/>
    <m/>
    <n v="36818182"/>
    <n v="275410142781"/>
  </r>
  <r>
    <x v="4"/>
    <s v="DHS 1200L"/>
    <s v="주식회사 우진전기"/>
    <m/>
    <n v="40000000"/>
    <n v="275450142781"/>
  </r>
  <r>
    <x v="4"/>
    <s v="DHS 15AP"/>
    <s v="세광정보통신 주식회사"/>
    <m/>
    <n v="52727273"/>
    <n v="275502870054"/>
  </r>
  <r>
    <x v="4"/>
    <s v="DHS 125AP"/>
    <s v="에스디전력 주식회사"/>
    <m/>
    <n v="40454545"/>
    <n v="275543324599"/>
  </r>
  <r>
    <x v="4"/>
    <s v="DHS 433L"/>
    <s v="다이브알앤디(Dive R＆D)"/>
    <m/>
    <n v="14500000"/>
    <n v="275557824599"/>
  </r>
  <r>
    <x v="4"/>
    <s v="DHS 15AP"/>
    <s v="동양전기"/>
    <m/>
    <n v="52000000"/>
    <n v="275609824599"/>
  </r>
  <r>
    <x v="4"/>
    <s v="DHS 1200L"/>
    <s v="대한정보통신(주)"/>
    <m/>
    <n v="45000000"/>
    <n v="275654824599"/>
  </r>
  <r>
    <x v="4"/>
    <s v="DHS 950L"/>
    <s v="주식회사케이블웍스"/>
    <m/>
    <n v="39545454"/>
    <n v="275694370053"/>
  </r>
  <r>
    <x v="4"/>
    <s v="DHS 950L"/>
    <s v="미래통신"/>
    <m/>
    <n v="36500000"/>
    <n v="275730870053"/>
  </r>
  <r>
    <x v="4"/>
    <s v="DHT 105S"/>
    <s v="서울시서부도로사업소"/>
    <m/>
    <n v="99440910"/>
    <n v="275830310963"/>
  </r>
  <r>
    <x v="4"/>
    <s v="DHS 433L"/>
    <s v="남강주유기"/>
    <m/>
    <n v="14000000"/>
    <n v="275844310963"/>
  </r>
  <r>
    <x v="4"/>
    <s v="DHT 160AS"/>
    <s v="유신전기건설(주)"/>
    <m/>
    <n v="178000000"/>
    <n v="276022310963"/>
  </r>
  <r>
    <x v="4"/>
    <s v="DHS 930"/>
    <s v="케이에스"/>
    <m/>
    <n v="36363636"/>
    <n v="276058674599"/>
  </r>
  <r>
    <x v="4"/>
    <s v="DHS 534MAP"/>
    <s v="(주)우솔정보통신"/>
    <m/>
    <n v="31000000"/>
    <n v="276089674599"/>
  </r>
  <r>
    <x v="4"/>
    <s v="DHS 534MAP"/>
    <s v="명성통신"/>
    <m/>
    <n v="31000000"/>
    <n v="276120674599"/>
  </r>
  <r>
    <x v="4"/>
    <s v="DHS 1200L"/>
    <s v="충청전력이엔지 주식회사"/>
    <m/>
    <n v="40000000"/>
    <n v="276160674599"/>
  </r>
  <r>
    <x v="4"/>
    <s v="DHS 1200L"/>
    <s v="이레전기(주)"/>
    <m/>
    <n v="41181818"/>
    <n v="276201856417"/>
  </r>
  <r>
    <x v="4"/>
    <s v="DHS 534MAP"/>
    <s v="성욱정보통신"/>
    <m/>
    <n v="31000000"/>
    <n v="276232856417"/>
  </r>
  <r>
    <x v="4"/>
    <s v="DHS 15AP"/>
    <s v="주식회사 대한이엔씨"/>
    <m/>
    <n v="48181819"/>
    <n v="276281038236"/>
  </r>
  <r>
    <x v="4"/>
    <s v="DHS 130SKY"/>
    <s v="스피드넷고"/>
    <m/>
    <n v="43000000"/>
    <n v="276324038236"/>
  </r>
  <r>
    <x v="4"/>
    <s v="DHS 1200L"/>
    <s v="(주)명전사"/>
    <m/>
    <n v="37272728"/>
    <n v="276361310964"/>
  </r>
  <r>
    <x v="4"/>
    <s v="DHS 930"/>
    <s v="황간미디어텔레콤"/>
    <m/>
    <n v="37727273"/>
    <n v="276399038237"/>
  </r>
  <r>
    <x v="4"/>
    <s v="DHS 930"/>
    <s v="권유근"/>
    <m/>
    <n v="35909091"/>
    <n v="276434947328"/>
  </r>
  <r>
    <x v="4"/>
    <s v="DHS 930"/>
    <s v="제일정보통신"/>
    <m/>
    <n v="36363636"/>
    <n v="276471310964"/>
  </r>
  <r>
    <x v="4"/>
    <s v="DHS 950L"/>
    <s v="케이투정보통신"/>
    <m/>
    <n v="37272728"/>
    <n v="276508583692"/>
  </r>
  <r>
    <x v="4"/>
    <s v="DHS 950L"/>
    <s v="(주)대하정보기술"/>
    <m/>
    <n v="38500000"/>
    <n v="276547083692"/>
  </r>
  <r>
    <x v="4"/>
    <s v="DHS 950L"/>
    <s v="부민통신(주)"/>
    <m/>
    <n v="18572730"/>
    <n v="276565656422"/>
  </r>
  <r>
    <x v="4"/>
    <s v="DHT 105S"/>
    <s v="서울특별시강서도로사업소"/>
    <m/>
    <n v="99440910"/>
    <n v="276665097332"/>
  </r>
  <r>
    <x v="4"/>
    <s v="DHS 433L"/>
    <s v="경성산업"/>
    <m/>
    <n v="14500000"/>
    <n v="276679597332"/>
  </r>
  <r>
    <x v="4"/>
    <s v="DHS 930"/>
    <s v="밀알통신"/>
    <m/>
    <n v="35909091"/>
    <n v="276715506423"/>
  </r>
  <r>
    <x v="4"/>
    <s v="DHS 950L"/>
    <s v="경정보통신"/>
    <m/>
    <n v="36500000"/>
    <n v="276752006423"/>
  </r>
  <r>
    <x v="4"/>
    <s v="DHS 950L"/>
    <s v="한결미디어"/>
    <m/>
    <n v="38400000"/>
    <n v="276790406423"/>
  </r>
  <r>
    <x v="4"/>
    <s v="DHS 17AP"/>
    <s v="명성전기통신"/>
    <m/>
    <n v="56000000"/>
    <n v="276846406423"/>
  </r>
  <r>
    <x v="4"/>
    <s v="DHS 950L"/>
    <s v="SH정보통신"/>
    <m/>
    <n v="36500000"/>
    <n v="276882906423"/>
  </r>
  <r>
    <x v="4"/>
    <s v="DHT 160S"/>
    <s v="장원화물"/>
    <m/>
    <n v="161000000"/>
    <n v="277043906423"/>
  </r>
  <r>
    <x v="4"/>
    <s v="DHS 950L"/>
    <s v="(주)정진건설"/>
    <m/>
    <n v="37000000"/>
    <n v="277080906423"/>
  </r>
  <r>
    <x v="4"/>
    <s v="DHS 950L"/>
    <s v="심철현"/>
    <m/>
    <n v="37000000"/>
    <n v="277117906423"/>
  </r>
  <r>
    <x v="4"/>
    <s v="DHS 1200L"/>
    <s v="주식회사 에스디에스테크놀로지"/>
    <m/>
    <n v="41818182"/>
    <n v="277159724605"/>
  </r>
  <r>
    <x v="4"/>
    <s v="DHS 17AP"/>
    <s v="진우산전주식회사"/>
    <m/>
    <n v="54500000"/>
    <n v="277214224605"/>
  </r>
  <r>
    <x v="4"/>
    <s v="DHS 17AP"/>
    <s v="금강전력"/>
    <m/>
    <n v="55000000"/>
    <n v="277269224605"/>
  </r>
  <r>
    <x v="4"/>
    <s v="DHS 130SKY"/>
    <s v="주식회사 영도정보통신"/>
    <m/>
    <n v="42000000"/>
    <n v="277311224605"/>
  </r>
  <r>
    <x v="4"/>
    <s v="DHS 190SKY"/>
    <s v="현민써비스"/>
    <m/>
    <n v="62000000"/>
    <n v="277373224605"/>
  </r>
  <r>
    <x v="4"/>
    <s v="DHS 190SKY"/>
    <s v="최석원"/>
    <m/>
    <n v="58218181"/>
    <n v="277431442786"/>
  </r>
  <r>
    <x v="4"/>
    <s v="DHS 280AP "/>
    <s v="MIESCOR CO."/>
    <m/>
    <n v="131898270"/>
    <m/>
  </r>
  <r>
    <x v="4"/>
    <s v="DHT 150AS-3unit "/>
    <s v="MIESCOR CO."/>
    <m/>
    <n v="502149915"/>
    <n v="278065490971"/>
  </r>
  <r>
    <x v="4"/>
    <s v="DHS 950L"/>
    <s v="주식회사 에스엠엔네트워크"/>
    <m/>
    <n v="18572730"/>
    <n v="278084063701"/>
  </r>
  <r>
    <x v="4"/>
    <s v="DHS 930"/>
    <s v="주식회사 가온이엠씨"/>
    <m/>
    <n v="36363636"/>
    <n v="278120427337"/>
  </r>
  <r>
    <x v="4"/>
    <s v="DHS 930"/>
    <s v="투빈넷"/>
    <m/>
    <n v="35300000"/>
    <n v="278155727337"/>
  </r>
  <r>
    <x v="4"/>
    <s v="DHS 1200L"/>
    <s v="주식회사 신성기전"/>
    <m/>
    <n v="44120000"/>
    <n v="278199847337"/>
  </r>
  <r>
    <x v="4"/>
    <s v="DHS 433L"/>
    <s v="제일유압"/>
    <m/>
    <n v="13890000"/>
    <n v="278213737337"/>
  </r>
  <r>
    <x v="4"/>
    <s v="DHS 534MAP"/>
    <s v="주식회사 신라이앤씨"/>
    <m/>
    <n v="31000000"/>
    <n v="278244737337"/>
  </r>
  <r>
    <x v="4"/>
    <s v="DHS 534MAP"/>
    <s v="이윤칠"/>
    <m/>
    <n v="31000000"/>
    <n v="278275737337"/>
  </r>
  <r>
    <x v="4"/>
    <s v="DHS 950L"/>
    <s v="누리통신"/>
    <m/>
    <n v="35500000"/>
    <n v="278311237337"/>
  </r>
  <r>
    <x v="4"/>
    <s v="DHS 950L"/>
    <s v="해피태크(HAPPY TECH)"/>
    <m/>
    <n v="38181818"/>
    <n v="278349419155"/>
  </r>
  <r>
    <x v="4"/>
    <s v="DHT 150S"/>
    <s v="더원전기"/>
    <m/>
    <n v="148800000"/>
    <n v="278498219155"/>
  </r>
  <r>
    <x v="4"/>
    <s v="DHT 150AS"/>
    <s v="거성전기"/>
    <m/>
    <n v="163600000"/>
    <n v="278661819155"/>
  </r>
  <r>
    <x v="4"/>
    <s v="DHS 17AP"/>
    <s v="주식회사 신성전기"/>
    <m/>
    <n v="55000000"/>
    <n v="278716819155"/>
  </r>
  <r>
    <x v="4"/>
    <s v="DHS 950L"/>
    <s v="(주)씨엠비대구방송"/>
    <m/>
    <n v="18473000"/>
    <n v="278735292155"/>
  </r>
  <r>
    <x v="4"/>
    <s v="DHS 950L"/>
    <s v="아라통신"/>
    <m/>
    <n v="38636364"/>
    <n v="278773928519"/>
  </r>
  <r>
    <x v="4"/>
    <s v="DHS 950L"/>
    <s v="박용근"/>
    <m/>
    <n v="36800000"/>
    <n v="278810728519"/>
  </r>
  <r>
    <x v="4"/>
    <s v="DHS 1200L"/>
    <s v="(주)한국전기하이테크"/>
    <m/>
    <n v="41500000"/>
    <n v="278852228519"/>
  </r>
  <r>
    <x v="4"/>
    <s v="DHS 534MAP"/>
    <s v="태성통신"/>
    <m/>
    <n v="31000000"/>
    <n v="278883228519"/>
  </r>
  <r>
    <x v="4"/>
    <s v="DHS 534MAP"/>
    <s v="주식회사네트워크아이"/>
    <m/>
    <n v="32000000"/>
    <n v="278915228519"/>
  </r>
  <r>
    <x v="4"/>
    <s v="DHS 15AP"/>
    <s v="동호레져(주)"/>
    <m/>
    <n v="51818182"/>
    <n v="278967046701"/>
  </r>
  <r>
    <x v="4"/>
    <s v="DHS 950L"/>
    <s v="롯데오토리스(주)"/>
    <m/>
    <n v="38850000"/>
    <n v="279005896701"/>
  </r>
  <r>
    <x v="4"/>
    <s v="DHS 433L"/>
    <s v="대호지농협"/>
    <m/>
    <n v="14545455"/>
    <n v="279020442156"/>
  </r>
  <r>
    <x v="4"/>
    <s v="DHS 105AP"/>
    <s v="단비통신"/>
    <m/>
    <n v="37500000"/>
    <n v="279057942156"/>
  </r>
  <r>
    <x v="4"/>
    <s v="FRP BOOM "/>
    <s v="GONGLI COMPOSITES(SHANGHAI)CO.,LTD"/>
    <m/>
    <n v="15475500"/>
    <n v="279073417656"/>
  </r>
  <r>
    <x v="4"/>
    <s v="DHS 950L"/>
    <s v="서영정보통신"/>
    <m/>
    <n v="38000000"/>
    <n v="279111417656"/>
  </r>
  <r>
    <x v="4"/>
    <s v="DHS 950L"/>
    <s v="우미정보통신"/>
    <m/>
    <n v="38181818"/>
    <n v="279149599474"/>
  </r>
  <r>
    <x v="4"/>
    <s v="DHT 160AS"/>
    <s v="내포활선"/>
    <m/>
    <n v="178200000"/>
    <n v="279327799474"/>
  </r>
  <r>
    <x v="4"/>
    <s v="DHS 930"/>
    <s v="주식회사 대청정보통신"/>
    <m/>
    <n v="35909091"/>
    <n v="279363708565"/>
  </r>
  <r>
    <x v="4"/>
    <s v="DHS 1200L"/>
    <s v="보광정보통신"/>
    <m/>
    <n v="44454545"/>
    <n v="279408163110"/>
  </r>
  <r>
    <x v="4"/>
    <s v="DHS 15AP"/>
    <s v="주식회사 에이치이앤씨"/>
    <m/>
    <n v="49700000"/>
    <n v="279457863110"/>
  </r>
  <r>
    <x v="4"/>
    <s v="DHS 930"/>
    <s v="씨엔아이(CNI)"/>
    <m/>
    <n v="35454545"/>
    <n v="279493317655"/>
  </r>
  <r>
    <x v="4"/>
    <s v="DHS 950L"/>
    <s v="수창정보통신(주)"/>
    <m/>
    <n v="37600000"/>
    <n v="279530917655"/>
  </r>
  <r>
    <x v="4"/>
    <s v="DHS 1200L"/>
    <s v="천일정보통신"/>
    <m/>
    <n v="38454546"/>
    <n v="279569372201"/>
  </r>
  <r>
    <x v="4"/>
    <s v="DHS 17AP"/>
    <s v="신한전공"/>
    <m/>
    <n v="54500000"/>
    <n v="279623872201"/>
  </r>
  <r>
    <x v="4"/>
    <s v="DHS 433L"/>
    <s v="신안선외기"/>
    <m/>
    <n v="15000000"/>
    <n v="279638872201"/>
  </r>
  <r>
    <x v="4"/>
    <s v="DHS 534MAP"/>
    <s v="한라정보통신"/>
    <m/>
    <n v="30909091"/>
    <n v="279669781292"/>
  </r>
  <r>
    <x v="4"/>
    <s v="DHS 534MAP"/>
    <s v="(주)선진정보통신"/>
    <m/>
    <n v="32000000"/>
    <n v="279701781292"/>
  </r>
  <r>
    <x v="4"/>
    <s v="DHS 534MAP"/>
    <s v="동광통신"/>
    <m/>
    <n v="32636364"/>
    <n v="279734417656"/>
  </r>
  <r>
    <x v="4"/>
    <s v="DHS 950L"/>
    <s v="정민통신"/>
    <m/>
    <n v="38300000"/>
    <n v="279772717656"/>
  </r>
  <r>
    <x v="4"/>
    <s v="DHS 950L"/>
    <s v="(주)에스디정보통신"/>
    <m/>
    <n v="39090909"/>
    <n v="279811808565"/>
  </r>
  <r>
    <x v="4"/>
    <s v="DHS 950L"/>
    <s v="SH정보통신"/>
    <m/>
    <n v="38100000"/>
    <n v="279849908565"/>
  </r>
  <r>
    <x v="4"/>
    <s v="DHS 950L"/>
    <s v="부흥통신"/>
    <m/>
    <n v="38181818"/>
    <n v="279888090383"/>
  </r>
  <r>
    <x v="4"/>
    <s v="DHS 950L"/>
    <s v="티엔에스아이(주)"/>
    <m/>
    <n v="36550000"/>
    <n v="279924640383"/>
  </r>
  <r>
    <x v="4"/>
    <s v="DHS 1200L"/>
    <s v="광통신"/>
    <m/>
    <n v="19873000"/>
    <n v="279944513383"/>
  </r>
  <r>
    <x v="4"/>
    <s v="DHT 160AS"/>
    <s v="주식회사 옥당이엔지"/>
    <m/>
    <n v="177000000"/>
    <n v="280121513383"/>
  </r>
  <r>
    <x v="4"/>
    <s v="DHS 17AP"/>
    <s v="대창텔레콤(주)"/>
    <m/>
    <n v="54800000"/>
    <n v="280176313383"/>
  </r>
  <r>
    <x v="4"/>
    <s v="DHS 15AP"/>
    <s v="제일전기조명"/>
    <m/>
    <n v="52000000"/>
    <n v="280228313383"/>
  </r>
  <r>
    <x v="4"/>
    <s v="DHS 15AP"/>
    <s v="(주)전일통신공사"/>
    <m/>
    <n v="48636364"/>
    <n v="280276949747"/>
  </r>
  <r>
    <x v="4"/>
    <s v="DHS 1200L"/>
    <s v="(주)태양전기건설"/>
    <m/>
    <n v="39500000"/>
    <n v="280316449747"/>
  </r>
  <r>
    <x v="4"/>
    <s v="DHS 15AP"/>
    <s v="태창건설"/>
    <m/>
    <n v="51500000"/>
    <n v="280367949747"/>
  </r>
  <r>
    <x v="4"/>
    <s v="DHS 930"/>
    <s v="(주)프리텍"/>
    <m/>
    <n v="36409091"/>
    <n v="280404358838"/>
  </r>
  <r>
    <x v="4"/>
    <s v="DHS 950L"/>
    <s v="(주)일신앤아이에스"/>
    <m/>
    <n v="35909091"/>
    <n v="280440267929"/>
  </r>
  <r>
    <x v="4"/>
    <s v="DHS 108SKY"/>
    <s v="주식회사 기산이앤씨"/>
    <m/>
    <n v="37500000"/>
    <n v="280477767929"/>
  </r>
  <r>
    <x v="4"/>
    <s v="DHS 534MAP"/>
    <s v="통일건기"/>
    <m/>
    <n v="32000000"/>
    <n v="280509767929"/>
  </r>
  <r>
    <x v="4"/>
    <s v="DHS 534MAP"/>
    <s v="대진통신"/>
    <m/>
    <n v="31000000"/>
    <n v="280540767929"/>
  </r>
  <r>
    <x v="4"/>
    <s v="DHS 950L"/>
    <s v="주영통신"/>
    <m/>
    <n v="38000000"/>
    <n v="280578767929"/>
  </r>
  <r>
    <x v="4"/>
    <s v="DHS 1200L"/>
    <s v="김시연"/>
    <m/>
    <n v="41000000"/>
    <n v="280619767929"/>
  </r>
  <r>
    <x v="4"/>
    <s v="DHS 1200L"/>
    <s v="(주)하이템"/>
    <m/>
    <n v="41363636"/>
    <n v="280661131565"/>
  </r>
  <r>
    <x v="4"/>
    <s v="DHS 15AP"/>
    <s v="(주)한티움"/>
    <m/>
    <n v="52000000"/>
    <n v="280713131565"/>
  </r>
  <r>
    <x v="4"/>
    <s v="DHS 433HC"/>
    <s v="(주)동해중공업"/>
    <m/>
    <n v="8400000"/>
    <n v="280721531565"/>
  </r>
  <r>
    <x v="4"/>
    <s v="DHS 433HC"/>
    <s v="(주)동해중공업"/>
    <m/>
    <n v="8400000"/>
    <n v="280729931565"/>
  </r>
  <r>
    <x v="4"/>
    <s v="DHT 150AS"/>
    <s v="주식회사 나라"/>
    <m/>
    <n v="167000000"/>
    <n v="280896931565"/>
  </r>
  <r>
    <x v="4"/>
    <s v="DHS 1200L"/>
    <s v="주식회사 제이디이앤씨"/>
    <m/>
    <n v="45000000"/>
    <n v="280941931565"/>
  </r>
  <r>
    <x v="4"/>
    <s v="DHS 950L"/>
    <s v="라인테크"/>
    <m/>
    <n v="18373000"/>
    <n v="280960304565"/>
  </r>
  <r>
    <x v="4"/>
    <s v="DHS 15AP"/>
    <s v="(주)성한전기건설공사"/>
    <m/>
    <n v="51818182"/>
    <n v="281012122747"/>
  </r>
  <r>
    <x v="4"/>
    <s v="DHS 15AP"/>
    <s v="(주)거산"/>
    <m/>
    <n v="52000000"/>
    <n v="281064122747"/>
  </r>
  <r>
    <x v="4"/>
    <s v="DHS 15AP"/>
    <s v="주식회사 반디전력공사"/>
    <m/>
    <n v="51818182"/>
    <n v="281115940929"/>
  </r>
  <r>
    <x v="4"/>
    <s v="DHS 950L"/>
    <s v="진복통신"/>
    <m/>
    <n v="37000000"/>
    <n v="281152940929"/>
  </r>
  <r>
    <x v="4"/>
    <s v="DHS 1200L"/>
    <s v="한길이엔씨"/>
    <m/>
    <n v="41818182"/>
    <n v="281194759111"/>
  </r>
  <r>
    <x v="4"/>
    <s v="DHS 15AP"/>
    <s v="주식회사 서광전기통신"/>
    <m/>
    <n v="51818182"/>
    <n v="281246577293"/>
  </r>
  <r>
    <x v="4"/>
    <s v="DHS 950L"/>
    <s v="한솔정보통신(주)"/>
    <m/>
    <n v="18623000"/>
    <n v="281265200293"/>
  </r>
  <r>
    <x v="4"/>
    <s v="DHS 950L"/>
    <s v="동아전력"/>
    <m/>
    <n v="18473000"/>
    <n v="281283673293"/>
  </r>
  <r>
    <x v="4"/>
    <s v="DHS 950L"/>
    <s v="(주)씨엠비대구방송"/>
    <m/>
    <n v="18473000"/>
    <n v="281302146293"/>
  </r>
  <r>
    <x v="4"/>
    <s v="DHS 125AP"/>
    <s v="(주)노하우정보통신"/>
    <m/>
    <n v="41818181"/>
    <n v="281343964474"/>
  </r>
  <r>
    <x v="4"/>
    <s v="DHS 950L"/>
    <s v="제이비정보통신"/>
    <m/>
    <n v="18373000"/>
    <n v="281362337474"/>
  </r>
  <r>
    <x v="4"/>
    <s v="DHS 534MAP"/>
    <s v="원광통신"/>
    <m/>
    <n v="30000000"/>
    <n v="281392337474"/>
  </r>
  <r>
    <x v="4"/>
    <s v="DHS 534MAP"/>
    <s v="태연통신"/>
    <m/>
    <n v="31000000"/>
    <n v="281423337474"/>
  </r>
  <r>
    <x v="4"/>
    <s v="DHS 950L"/>
    <s v="연우 네트워크"/>
    <m/>
    <n v="35227272"/>
    <n v="281458564746"/>
  </r>
  <r>
    <x v="4"/>
    <s v="DHS 950L"/>
    <s v="(주)프리텍"/>
    <m/>
    <n v="38181819"/>
    <n v="281496746565"/>
  </r>
  <r>
    <x v="4"/>
    <s v="DHS 950L"/>
    <s v="(주)프리텍"/>
    <m/>
    <n v="38181819"/>
    <n v="281534928384"/>
  </r>
  <r>
    <x v="4"/>
    <s v="DHS 950L"/>
    <s v="(주)프리텍"/>
    <m/>
    <n v="38181819"/>
    <n v="281573110203"/>
  </r>
  <r>
    <x v="4"/>
    <s v="DHS 15AP"/>
    <s v="태극전기(주)"/>
    <m/>
    <n v="53000000"/>
    <n v="281626110203"/>
  </r>
  <r>
    <x v="4"/>
    <s v="DHS 15AP "/>
    <s v="VIET TRUNG EQUIPMENT JOINT STOCK COMPANY"/>
    <m/>
    <n v="76617250"/>
    <n v="281702727453"/>
  </r>
  <r>
    <x v="4"/>
    <s v="DHS 950L"/>
    <s v="주식회사네트워크아이"/>
    <m/>
    <n v="18373000"/>
    <n v="281721100453"/>
  </r>
  <r>
    <x v="4"/>
    <s v="DHS 950L"/>
    <s v="다온정보통신"/>
    <m/>
    <n v="38181818"/>
    <n v="281759282271"/>
  </r>
  <r>
    <x v="4"/>
    <s v="DHS 1200L"/>
    <s v="세븐정보통신 주식회사"/>
    <m/>
    <n v="41500000"/>
    <n v="281800782271"/>
  </r>
  <r>
    <x v="4"/>
    <s v="DHS 534MAP"/>
    <s v="JCN정보통신"/>
    <m/>
    <n v="32000000"/>
    <n v="281832782271"/>
  </r>
  <r>
    <x v="4"/>
    <s v="DHS 950L"/>
    <s v="배선자"/>
    <m/>
    <n v="18373000"/>
    <n v="281851155271"/>
  </r>
  <r>
    <x v="4"/>
    <s v="DHS 930"/>
    <s v="주식회사 티아이"/>
    <m/>
    <n v="18373000"/>
    <n v="281869528271"/>
  </r>
  <r>
    <x v="4"/>
    <s v="DHS 534MAP"/>
    <s v="갑진통신"/>
    <m/>
    <n v="31000000"/>
    <n v="281900528271"/>
  </r>
  <r>
    <x v="4"/>
    <s v="DHS 534MAP"/>
    <s v="모든통신"/>
    <m/>
    <n v="31000000"/>
    <n v="281931528271"/>
  </r>
  <r>
    <x v="4"/>
    <s v="DHS 534MAP"/>
    <s v="김용철"/>
    <m/>
    <n v="31363636"/>
    <n v="281962891907"/>
  </r>
  <r>
    <x v="4"/>
    <s v="DHS 1200L"/>
    <s v="태양정보통신주식회사"/>
    <m/>
    <n v="42181818"/>
    <n v="282005073725"/>
  </r>
  <r>
    <x v="4"/>
    <s v="DHS 930"/>
    <s v="중시스템"/>
    <m/>
    <n v="34700000"/>
    <n v="282039773725"/>
  </r>
  <r>
    <x v="4"/>
    <s v="DHS 950L"/>
    <s v="세화통신"/>
    <m/>
    <n v="37000000"/>
    <n v="282076773725"/>
  </r>
  <r>
    <x v="4"/>
    <s v="DHS 534MAP"/>
    <s v="파란정보통신 주식회사"/>
    <m/>
    <n v="31000000"/>
    <n v="282107773725"/>
  </r>
  <r>
    <x v="4"/>
    <s v="DHS 534MAP"/>
    <s v="원정보통신"/>
    <m/>
    <n v="31000000"/>
    <n v="282138773725"/>
  </r>
  <r>
    <x v="4"/>
    <s v="DHS 534MAP"/>
    <s v="일성통신"/>
    <m/>
    <n v="31000000"/>
    <n v="282169773725"/>
  </r>
  <r>
    <x v="4"/>
    <s v="DHS 433L"/>
    <s v="삼일유압"/>
    <m/>
    <n v="14000000"/>
    <n v="282183773725"/>
  </r>
  <r>
    <x v="4"/>
    <s v="DHT 160S"/>
    <s v="주식회사 휴먼이엔씨"/>
    <m/>
    <n v="161800000"/>
    <n v="282345573725"/>
  </r>
  <r>
    <x v="4"/>
    <s v="DHS 950L"/>
    <s v="(주)한결통신"/>
    <m/>
    <n v="18500000"/>
    <n v="282364073725"/>
  </r>
  <r>
    <x v="4"/>
    <s v="DHS 433L"/>
    <s v="태영라지에타"/>
    <m/>
    <n v="14500000"/>
    <n v="282378573725"/>
  </r>
  <r>
    <x v="4"/>
    <s v="DHS 1200L"/>
    <s v="주식회사한국엘이디"/>
    <m/>
    <n v="40300000"/>
    <n v="282418873725"/>
  </r>
  <r>
    <x v="4"/>
    <s v="DHS 1200L"/>
    <s v="합자회사신호산업"/>
    <m/>
    <n v="44545455"/>
    <n v="282463419180"/>
  </r>
  <r>
    <x v="4"/>
    <s v="DHS 15AP"/>
    <s v="파워텍"/>
    <m/>
    <n v="52000000"/>
    <n v="282515419180"/>
  </r>
  <r>
    <x v="4"/>
    <s v="DHS 17AP"/>
    <s v="(주)파워"/>
    <m/>
    <n v="54000000"/>
    <n v="282569419180"/>
  </r>
  <r>
    <x v="4"/>
    <s v="DHS 15AP "/>
    <s v="SYKT"/>
    <m/>
    <n v="29390081"/>
    <n v="282598809261"/>
  </r>
  <r>
    <x v="4"/>
    <s v="DHS 930"/>
    <s v="주식회사 새눈"/>
    <m/>
    <n v="18373000"/>
    <n v="282617182261"/>
  </r>
  <r>
    <x v="4"/>
    <s v="DHS 15AP"/>
    <s v="주식회사 한울전설"/>
    <m/>
    <n v="51300000"/>
    <n v="282668482261"/>
  </r>
  <r>
    <x v="4"/>
    <s v="DHS 950L"/>
    <s v="플러스 정보통신"/>
    <m/>
    <n v="37936363"/>
    <n v="282706418624"/>
  </r>
  <r>
    <x v="4"/>
    <s v="DHS 534MAP"/>
    <s v="대성통신"/>
    <m/>
    <n v="31000000"/>
    <n v="282737418624"/>
  </r>
  <r>
    <x v="4"/>
    <s v="DHS 534MAP"/>
    <s v="다온통신"/>
    <m/>
    <n v="31000000"/>
    <n v="282768418624"/>
  </r>
  <r>
    <x v="4"/>
    <s v="DHS 534MAP"/>
    <s v="주식회사포스원이엔씨"/>
    <m/>
    <n v="31000000"/>
    <n v="282799418624"/>
  </r>
  <r>
    <x v="4"/>
    <s v="DHS 950L"/>
    <s v="우리기술정보"/>
    <m/>
    <n v="36363637"/>
    <n v="282835782261"/>
  </r>
  <r>
    <x v="4"/>
    <s v="DHS 1200L"/>
    <s v="제이에이치산업주식회사"/>
    <m/>
    <n v="40454545"/>
    <n v="282876236806"/>
  </r>
  <r>
    <x v="4"/>
    <s v="DHS 1200L"/>
    <s v="수창정보통신(주)"/>
    <m/>
    <n v="39000000"/>
    <n v="282915236806"/>
  </r>
  <r>
    <x v="4"/>
    <s v="DHS 1200L"/>
    <s v="휴먼라이트"/>
    <m/>
    <n v="39909091"/>
    <n v="282955145897"/>
  </r>
  <r>
    <x v="4"/>
    <s v="DHS 17AP"/>
    <s v="세븐정보통신 주식회사"/>
    <m/>
    <n v="53500000"/>
    <n v="283008645897"/>
  </r>
  <r>
    <x v="4"/>
    <s v="DHS 930"/>
    <s v="주식회사 두잇(Do it)"/>
    <m/>
    <n v="34009091"/>
    <n v="283042654988"/>
  </r>
  <r>
    <x v="4"/>
    <s v="DHS 950L"/>
    <s v="제이케이엘(JKL) 통신"/>
    <m/>
    <n v="38000000"/>
    <n v="283080654988"/>
  </r>
  <r>
    <x v="4"/>
    <s v="DHS 950L"/>
    <s v="제이케이엘(JKL) 통신"/>
    <m/>
    <n v="38000000"/>
    <n v="283118654988"/>
  </r>
  <r>
    <x v="4"/>
    <s v="DHS 1200L"/>
    <s v="(주)대신전력공사"/>
    <m/>
    <n v="40909091"/>
    <n v="283159564079"/>
  </r>
  <r>
    <x v="4"/>
    <s v="DHS 1200L"/>
    <s v="천혜이앤씨 주식회사"/>
    <m/>
    <n v="41000000"/>
    <n v="283200564079"/>
  </r>
  <r>
    <x v="4"/>
    <s v="DHS 15AP"/>
    <s v="한국전기"/>
    <m/>
    <n v="50909091"/>
    <n v="283251473170"/>
  </r>
  <r>
    <x v="4"/>
    <s v="DHS 15AP"/>
    <s v="주식회사 부성전기"/>
    <m/>
    <n v="53000000"/>
    <n v="283304473170"/>
  </r>
  <r>
    <x v="4"/>
    <s v="DHS 1200L"/>
    <s v="멀티스퀘어"/>
    <m/>
    <n v="39090909"/>
    <n v="283343564079"/>
  </r>
  <r>
    <x v="4"/>
    <s v="DHS 433L"/>
    <s v="(주)티에스케이워터"/>
    <m/>
    <n v="14500000"/>
    <n v="283358064079"/>
  </r>
  <r>
    <x v="4"/>
    <s v="DHS 950L"/>
    <s v="현종호"/>
    <m/>
    <n v="18572730"/>
    <n v="283376636809"/>
  </r>
  <r>
    <x v="4"/>
    <s v="DHS 15AP"/>
    <s v="주식회사 제일전기"/>
    <m/>
    <n v="52000000"/>
    <n v="283428636809"/>
  </r>
  <r>
    <x v="4"/>
    <s v="DHS 950L"/>
    <s v="두리넷"/>
    <m/>
    <n v="38000000"/>
    <n v="283466636809"/>
  </r>
  <r>
    <x v="4"/>
    <s v="DHT 180S-5대 "/>
    <s v="VIET TRUNG EQUIPMENT JOINT STOCK COMPANY"/>
    <m/>
    <n v="1296575000"/>
    <n v="284763211809"/>
  </r>
  <r>
    <x v="4"/>
    <s v="DHS 1200L"/>
    <s v="가온아이티에스(주)"/>
    <m/>
    <n v="42000000"/>
    <n v="284805211809"/>
  </r>
  <r>
    <x v="4"/>
    <s v="DHS 433L"/>
    <s v="대림중기"/>
    <m/>
    <n v="14500000"/>
    <n v="284819711809"/>
  </r>
  <r>
    <x v="4"/>
    <s v="DHS 15AP"/>
    <s v="조은광고기획"/>
    <m/>
    <n v="52000000"/>
    <n v="284871711809"/>
  </r>
  <r>
    <x v="4"/>
    <s v="DHS 105AP"/>
    <s v="이현통신"/>
    <m/>
    <n v="40000000"/>
    <n v="284911711809"/>
  </r>
  <r>
    <x v="4"/>
    <s v="DHS 950L"/>
    <s v="이현통신"/>
    <m/>
    <n v="39090909"/>
    <n v="284950802718"/>
  </r>
  <r>
    <x v="4"/>
    <s v="DHS 950L"/>
    <s v="포스트"/>
    <m/>
    <n v="36000000"/>
    <n v="284986802718"/>
  </r>
  <r>
    <x v="4"/>
    <s v="DHT 160AS"/>
    <s v="XIAMEN C＆DCOMMUNICATION LTD"/>
    <m/>
    <n v="86740450.5"/>
    <n v="142580141809.5"/>
  </r>
  <r>
    <x v="4"/>
    <s v="DHT 160AS"/>
    <s v="XIAMEN C＆DCOMMUNICATION LTD"/>
    <m/>
    <n v="86740450.5"/>
    <n v="142580141809.5"/>
  </r>
  <r>
    <x v="4"/>
    <s v="DHS 950L"/>
    <s v="주식회사새빛넷"/>
    <m/>
    <n v="37000000"/>
    <n v="285197283619"/>
  </r>
  <r>
    <x v="4"/>
    <s v="DHS 930"/>
    <s v="은성통신"/>
    <m/>
    <n v="36363637"/>
    <n v="285233647256"/>
  </r>
  <r>
    <x v="4"/>
    <s v="DHS 1200L"/>
    <s v="주식회사 바른네트워크"/>
    <m/>
    <n v="41818182"/>
    <n v="285275465438"/>
  </r>
  <r>
    <x v="4"/>
    <s v="DHS 920"/>
    <s v="인천광역시연수구청"/>
    <m/>
    <n v="44400000"/>
    <n v="285319865438"/>
  </r>
  <r>
    <x v="4"/>
    <s v="DHT 160AS"/>
    <s v="신승전기주식회사"/>
    <m/>
    <n v="177000000"/>
    <n v="285496865438"/>
  </r>
  <r>
    <x v="4"/>
    <s v="DHS 1200L"/>
    <s v="IK(아이케이)"/>
    <m/>
    <n v="42000000"/>
    <n v="285538865438"/>
  </r>
  <r>
    <x v="4"/>
    <s v="DHS 190SKY"/>
    <s v="안정심"/>
    <m/>
    <n v="59090910"/>
    <n v="285597956348"/>
  </r>
  <r>
    <x v="4"/>
    <s v="DHS 930"/>
    <s v="하이눈정보통신"/>
    <m/>
    <n v="36700000"/>
    <n v="285634656348"/>
  </r>
  <r>
    <x v="4"/>
    <s v="DHS 1200L"/>
    <s v="신우정보통신(주)"/>
    <m/>
    <n v="40000000"/>
    <n v="285674656348"/>
  </r>
  <r>
    <x v="4"/>
    <s v="DHS 1200L"/>
    <s v="대신네트웍스 주식회사"/>
    <m/>
    <n v="42181818"/>
    <n v="285716838166"/>
  </r>
  <r>
    <x v="4"/>
    <s v="DHS 1200L"/>
    <s v="한빛통신주식회사"/>
    <m/>
    <n v="41000000"/>
    <n v="285757838166"/>
  </r>
  <r>
    <x v="4"/>
    <s v="DHS 950L"/>
    <s v="현정보통신"/>
    <m/>
    <n v="38500000"/>
    <n v="285796338166"/>
  </r>
  <r>
    <x v="4"/>
    <s v="DHT 150S "/>
    <s v="WAIMEA TRUCK ＆ CRANE LTD"/>
    <m/>
    <n v="91316400"/>
    <m/>
  </r>
  <r>
    <x v="4"/>
    <s v="DHS 14 "/>
    <s v="WAIMEA TRUCK ＆ CRANE LTD"/>
    <m/>
    <n v="68487300"/>
    <n v="285956141866"/>
  </r>
  <r>
    <x v="4"/>
    <s v="DHT 160S"/>
    <s v="주식회사 명성전기"/>
    <m/>
    <n v="159600000"/>
    <n v="286115741866"/>
  </r>
  <r>
    <x v="4"/>
    <s v="DHS 534MAP"/>
    <s v="코어넷"/>
    <m/>
    <n v="31500000"/>
    <n v="286147241866"/>
  </r>
  <r>
    <x v="4"/>
    <s v="DHS 15AP"/>
    <s v="(주)덕산전기"/>
    <m/>
    <n v="51818182"/>
    <n v="286199060048"/>
  </r>
  <r>
    <x v="4"/>
    <s v="DHS 1200L "/>
    <s v="AMERICAN MEBASSY ANTANANARIVO"/>
    <m/>
    <n v="38430050"/>
    <n v="286237490098"/>
  </r>
  <r>
    <x v="4"/>
    <s v="DHS 433L"/>
    <s v="태림산업"/>
    <m/>
    <n v="13800000"/>
    <n v="286251290098"/>
  </r>
  <r>
    <x v="4"/>
    <s v="DHS 105AP"/>
    <s v="(주)케이엔에스"/>
    <m/>
    <n v="38900000"/>
    <n v="286290190098"/>
  </r>
  <r>
    <x v="4"/>
    <s v="DHS 15AP"/>
    <s v="안풍전업사 주식회사"/>
    <m/>
    <n v="53000000"/>
    <n v="286343190098"/>
  </r>
  <r>
    <x v="4"/>
    <s v="DHS 433L"/>
    <s v="군산선외기"/>
    <m/>
    <n v="11818182"/>
    <n v="286355008280"/>
  </r>
  <r>
    <x v="4"/>
    <s v="DHS 950L"/>
    <s v="A-Sung infocom"/>
    <m/>
    <n v="18400000"/>
    <n v="286373408280"/>
  </r>
  <r>
    <x v="4"/>
    <s v="DHS 950L"/>
    <s v="A-Sung infocom"/>
    <m/>
    <n v="18400000"/>
    <n v="286391808280"/>
  </r>
  <r>
    <x v="4"/>
    <s v="DHS 950L"/>
    <s v="A-Sung infocom"/>
    <m/>
    <n v="18400000"/>
    <n v="286410208280"/>
  </r>
  <r>
    <x v="4"/>
    <s v="DHS 1200L"/>
    <s v="(주)비엔씨테크"/>
    <m/>
    <n v="43873000"/>
    <n v="286454081280"/>
  </r>
  <r>
    <x v="4"/>
    <s v="DHS 1200L"/>
    <s v="중앙전설"/>
    <m/>
    <n v="40909091"/>
    <n v="286494990371"/>
  </r>
  <r>
    <x v="4"/>
    <s v="DHT 160S"/>
    <s v="이레활선"/>
    <m/>
    <n v="161000000"/>
    <n v="286655990371"/>
  </r>
  <r>
    <x v="4"/>
    <s v="DHS 17AP-5대 "/>
    <s v="VIET TRUNG EQUIPMENT JOINT STOCK COMPANY"/>
    <m/>
    <n v="532301250"/>
    <n v="287188291621"/>
  </r>
  <r>
    <x v="4"/>
    <s v="DHS 1200L"/>
    <s v="주식회사 나우테크"/>
    <m/>
    <n v="40000000"/>
    <n v="287228291621"/>
  </r>
  <r>
    <x v="4"/>
    <s v="DHS 1200L"/>
    <s v="주식회사 나우테크"/>
    <m/>
    <n v="40000000"/>
    <n v="287268291621"/>
  </r>
  <r>
    <x v="4"/>
    <s v="DHS 1200L"/>
    <s v="주식회사 나우테크"/>
    <m/>
    <n v="40000000"/>
    <n v="287308291621"/>
  </r>
  <r>
    <x v="4"/>
    <s v="DHS 15AP"/>
    <s v="대림전기주식회사"/>
    <m/>
    <n v="51363636"/>
    <n v="287359655257"/>
  </r>
  <r>
    <x v="4"/>
    <s v="DHS 534MAP"/>
    <s v="박명순"/>
    <m/>
    <n v="32600000"/>
    <n v="287392255257"/>
  </r>
  <r>
    <x v="4"/>
    <s v="DHS 433"/>
    <s v="(주)동해중공업"/>
    <m/>
    <n v="6575800"/>
    <n v="287398831057"/>
  </r>
  <r>
    <x v="4"/>
    <s v="초과저지장비실 에어시스템 개선 공사"/>
    <s v="공군제10전투비행단"/>
    <m/>
    <n v="12265000"/>
    <n v="287411096057"/>
  </r>
  <r>
    <x v="4"/>
    <s v="DHS 433L"/>
    <s v="목포탑마린"/>
    <m/>
    <n v="14927273"/>
    <n v="287426023330"/>
  </r>
  <r>
    <x v="4"/>
    <s v="DHS 1200L"/>
    <s v="승현건설"/>
    <m/>
    <n v="38663000"/>
    <n v="287464686330"/>
  </r>
  <r>
    <x v="4"/>
    <s v="DHS 930"/>
    <s v="세아통신"/>
    <m/>
    <n v="33850000"/>
    <n v="287498536330"/>
  </r>
  <r>
    <x v="4"/>
    <s v="DHS 433L"/>
    <s v="박진우"/>
    <m/>
    <n v="14166363"/>
    <n v="287512702693"/>
  </r>
  <r>
    <x v="4"/>
    <s v="DHS 950L"/>
    <s v="가나테크"/>
    <m/>
    <n v="18373000"/>
    <n v="287531075693"/>
  </r>
  <r>
    <x v="4"/>
    <s v="DHS 930"/>
    <s v="베스트 테크"/>
    <m/>
    <n v="36363637"/>
    <n v="287567439330"/>
  </r>
  <r>
    <x v="4"/>
    <s v="DHS 930"/>
    <s v="베스트 테크"/>
    <m/>
    <n v="36363637"/>
    <n v="287603802967"/>
  </r>
  <r>
    <x v="4"/>
    <s v="DHS 17AP"/>
    <s v="주식회사 화성전력"/>
    <m/>
    <n v="54000000"/>
    <n v="287657802967"/>
  </r>
  <r>
    <x v="4"/>
    <s v="DHS 950L"/>
    <s v="베스트통신"/>
    <m/>
    <n v="38000000"/>
    <n v="287695802967"/>
  </r>
  <r>
    <x v="4"/>
    <s v="DHS 15AP"/>
    <s v="(주)갑산전기"/>
    <m/>
    <n v="52727273"/>
    <n v="287748530240"/>
  </r>
  <r>
    <x v="4"/>
    <s v="DHT 180AS"/>
    <s v="XIAMEN C＆DCOMMUNICATION LTD"/>
    <m/>
    <n v="87123269.5"/>
    <n v="143961388389.5"/>
  </r>
  <r>
    <x v="4"/>
    <s v="DHT 180AS"/>
    <s v="XIAMEN C＆DCOMMUNICATION LTD"/>
    <m/>
    <n v="87123269.5"/>
    <n v="143961388389.5"/>
  </r>
  <r>
    <x v="4"/>
    <s v="DHS 950L"/>
    <s v="태흥"/>
    <m/>
    <n v="38500000"/>
    <n v="287961276779"/>
  </r>
  <r>
    <x v="4"/>
    <s v="DHS 15AP"/>
    <s v="(주)원전력"/>
    <m/>
    <n v="51818181"/>
    <n v="288013094960"/>
  </r>
  <r>
    <x v="4"/>
    <s v="ALPHA 12000"/>
    <s v="대정환경자원"/>
    <m/>
    <n v="99090909"/>
    <n v="288112185869"/>
  </r>
  <r>
    <x v="4"/>
    <s v="DHS 433L"/>
    <s v="동성기계"/>
    <m/>
    <n v="14500000"/>
    <n v="288126685869"/>
  </r>
  <r>
    <x v="4"/>
    <s v="DHS 433L"/>
    <s v="신아엔지니어링"/>
    <m/>
    <n v="14150000"/>
    <n v="288140835869"/>
  </r>
  <r>
    <x v="4"/>
    <s v="DHS 534MAP"/>
    <s v="대진통신"/>
    <m/>
    <n v="31000000"/>
    <n v="288171835869"/>
  </r>
  <r>
    <x v="4"/>
    <s v="DHS 1200L"/>
    <s v="주식회사 창진전력"/>
    <m/>
    <n v="41454546"/>
    <n v="288213290415"/>
  </r>
  <r>
    <x v="4"/>
    <s v="DHS 1200L"/>
    <s v="아라통신"/>
    <m/>
    <n v="40500000"/>
    <n v="288253790415"/>
  </r>
  <r>
    <x v="4"/>
    <s v="DHS 15AP"/>
    <s v="주식회사 행복의 날개"/>
    <m/>
    <n v="53000000"/>
    <n v="288306790415"/>
  </r>
  <r>
    <x v="4"/>
    <s v="DHS 950L"/>
    <s v="멀티정보통신"/>
    <m/>
    <n v="37000000"/>
    <n v="288343790415"/>
  </r>
  <r>
    <x v="4"/>
    <s v="DHS 433L"/>
    <s v="아이에스토탈서비스(주)"/>
    <m/>
    <n v="14200000"/>
    <n v="288357990415"/>
  </r>
  <r>
    <x v="4"/>
    <s v="DHS 950L"/>
    <s v="주식회사 선우"/>
    <m/>
    <n v="37500000"/>
    <n v="288395490415"/>
  </r>
  <r>
    <x v="4"/>
    <s v="DHT 160AS"/>
    <s v="(주)삼열전력"/>
    <m/>
    <n v="175600000"/>
    <n v="288571090415"/>
  </r>
  <r>
    <x v="4"/>
    <s v="DHS 950L"/>
    <s v="하늘 텔레콤"/>
    <m/>
    <n v="36363636"/>
    <n v="288607454051"/>
  </r>
  <r>
    <x v="4"/>
    <s v="DHS 920"/>
    <s v="코라인이엔티(주)"/>
    <m/>
    <n v="44800000"/>
    <n v="288652254051"/>
  </r>
  <r>
    <x v="4"/>
    <s v="DHS 1200L"/>
    <s v="코라인이엔티(주)"/>
    <m/>
    <n v="43700000"/>
    <n v="288695954051"/>
  </r>
  <r>
    <x v="4"/>
    <s v="DHS 1200L"/>
    <s v="코라인이엔티(주)"/>
    <m/>
    <n v="43700000"/>
    <n v="288739654051"/>
  </r>
  <r>
    <x v="4"/>
    <s v="DHS 1200L"/>
    <s v="코라인이엔티(주)"/>
    <m/>
    <n v="43700000"/>
    <n v="288783354051"/>
  </r>
  <r>
    <x v="4"/>
    <s v="DHS 534MAP"/>
    <s v="주식회사 바른네트워크"/>
    <m/>
    <n v="31000000"/>
    <n v="288814354051"/>
  </r>
  <r>
    <x v="4"/>
    <s v="DHS 1200L"/>
    <s v="제CI통신"/>
    <m/>
    <n v="40909091"/>
    <n v="288855263142"/>
  </r>
  <r>
    <x v="4"/>
    <s v="DHS 15AP"/>
    <s v="(주)건보전기"/>
    <m/>
    <n v="52000000"/>
    <n v="288907263142"/>
  </r>
  <r>
    <x v="4"/>
    <s v="DHS 17AP"/>
    <s v="대운산전"/>
    <m/>
    <n v="54500000"/>
    <n v="288961763142"/>
  </r>
  <r>
    <x v="4"/>
    <s v="DHS 1200L"/>
    <s v="드림네트웍스(주)"/>
    <m/>
    <n v="42454545"/>
    <n v="289004217687"/>
  </r>
  <r>
    <x v="4"/>
    <s v="DHS 1200L"/>
    <s v="드림네트웍스(주)"/>
    <m/>
    <n v="42454545"/>
    <n v="289046672232"/>
  </r>
  <r>
    <x v="4"/>
    <s v="DHS 303"/>
    <s v="완도군청"/>
    <m/>
    <n v="17727273"/>
    <n v="289064399505"/>
  </r>
  <r>
    <x v="4"/>
    <s v="DHS 1200L"/>
    <s v="제CI통신"/>
    <m/>
    <n v="-40909091"/>
    <n v="289023490414"/>
  </r>
  <r>
    <x v="4"/>
    <s v="DHS 1200L"/>
    <s v="제이통신"/>
    <m/>
    <n v="40909091"/>
    <n v="289064399505"/>
  </r>
  <r>
    <x v="4"/>
    <s v="DHT 150AS "/>
    <s v="WAIMEA TRUCK ＆ CRANE LTD"/>
    <m/>
    <n v="106830908"/>
    <m/>
  </r>
  <r>
    <x v="4"/>
    <s v="DHT 150S "/>
    <s v="WAIMEA TRUCK ＆ CRANE LTD"/>
    <m/>
    <n v="89306200"/>
    <n v="289260536613"/>
  </r>
  <r>
    <x v="4"/>
    <s v="DHS 160AS"/>
    <s v="XIAMEN C＆DCOMMUNICATION LTD"/>
    <m/>
    <n v="86860081.5"/>
    <n v="144717128388"/>
  </r>
  <r>
    <x v="4"/>
    <s v="DHS 160AS"/>
    <s v="XIAMEN C＆DCOMMUNICATION LTD"/>
    <m/>
    <n v="86860081.5"/>
    <n v="144717128388"/>
  </r>
  <r>
    <x v="4"/>
    <s v="DHAS 105AP"/>
    <s v="영희통신"/>
    <m/>
    <n v="49527273"/>
    <n v="289483784049"/>
  </r>
  <r>
    <x v="4"/>
    <s v="DHS 15AP"/>
    <s v="(자)돈흥전기"/>
    <m/>
    <n v="51818182"/>
    <n v="289535602231"/>
  </r>
  <r>
    <x v="4"/>
    <s v="DHS 433MAP"/>
    <s v="(주)우솔정보통신"/>
    <m/>
    <n v="19400000"/>
    <n v="289555002231"/>
  </r>
  <r>
    <x v="4"/>
    <s v="DHS 1200L"/>
    <s v="(주)일신엔지니어링"/>
    <m/>
    <n v="19873000"/>
    <n v="289574875231"/>
  </r>
  <r>
    <x v="4"/>
    <s v="DHT 160AS"/>
    <s v="대운활선"/>
    <m/>
    <n v="172000000"/>
    <n v="289746875231"/>
  </r>
  <r>
    <x v="4"/>
    <s v="DHT 160AS"/>
    <s v="주식회사 남해이엔지"/>
    <m/>
    <n v="174600000"/>
    <n v="289921475231"/>
  </r>
  <r>
    <x v="4"/>
    <s v="DHS 17AP"/>
    <s v="(주)코아이엔지전력"/>
    <m/>
    <n v="55700000"/>
    <n v="289977175231"/>
  </r>
  <r>
    <x v="4"/>
    <s v="DHS 1200L"/>
    <s v="광명전기"/>
    <m/>
    <n v="42000000"/>
    <n v="290019175231"/>
  </r>
  <r>
    <x v="4"/>
    <s v="DHS 950L"/>
    <s v="진복통신"/>
    <m/>
    <n v="35000000"/>
    <n v="290054175231"/>
  </r>
  <r>
    <x v="4"/>
    <s v="DHS 534MAP"/>
    <s v="국제통신"/>
    <m/>
    <n v="31000000"/>
    <n v="290085175231"/>
  </r>
  <r>
    <x v="4"/>
    <s v="DHS 534MAP"/>
    <s v="(주)대주통신"/>
    <m/>
    <n v="31500000"/>
    <n v="290116675231"/>
  </r>
  <r>
    <x v="4"/>
    <s v="DHM 1300S2"/>
    <s v="동해기계해상크레인"/>
    <m/>
    <n v="21000000"/>
    <n v="290137675231"/>
  </r>
  <r>
    <x v="4"/>
    <s v="DHS 433L"/>
    <s v="이방훈"/>
    <m/>
    <n v="15072728"/>
    <n v="290152747959"/>
  </r>
  <r>
    <x v="4"/>
    <s v="DHS 1200L"/>
    <s v="유한회사 시민전기"/>
    <m/>
    <n v="42500000"/>
    <n v="290195247959"/>
  </r>
  <r>
    <x v="4"/>
    <s v="DHS 433L"/>
    <s v="대성선외기"/>
    <m/>
    <n v="14559091"/>
    <n v="290209807050"/>
  </r>
  <r>
    <x v="4"/>
    <s v="DHS 534MAP"/>
    <s v="세광통신"/>
    <m/>
    <n v="30000000"/>
    <n v="290239807050"/>
  </r>
  <r>
    <x v="4"/>
    <s v="DHS 15AP"/>
    <s v="주식회사 한빛엔지니어링"/>
    <m/>
    <n v="49000000"/>
    <n v="290288807050"/>
  </r>
  <r>
    <x v="4"/>
    <s v="DH SUPER 3000A"/>
    <s v="(주)성보"/>
    <m/>
    <n v="98490909"/>
    <n v="290387297959"/>
  </r>
  <r>
    <x v="4"/>
    <s v="DHS 433L"/>
    <s v="농림축산검역본부"/>
    <m/>
    <n v="19400000"/>
    <n v="290406697959"/>
  </r>
  <r>
    <x v="4"/>
    <s v="DHS 1200L"/>
    <s v="(주)한양전력"/>
    <m/>
    <n v="42000000"/>
    <n v="290448697959"/>
  </r>
  <r>
    <x v="4"/>
    <s v="DHS 15AP"/>
    <s v="우리전기"/>
    <m/>
    <n v="52000000"/>
    <n v="290500697959"/>
  </r>
  <r>
    <x v="4"/>
    <s v="DHS 534MAP"/>
    <s v="태양정보통신"/>
    <m/>
    <n v="30000000"/>
    <n v="290530697959"/>
  </r>
  <r>
    <x v="4"/>
    <s v="DHS 950L"/>
    <s v="(주)컴플러스"/>
    <m/>
    <n v="37272727"/>
    <n v="290567970686"/>
  </r>
  <r>
    <x v="4"/>
    <s v="DHS 130SKY"/>
    <s v="태양정보통신(주)"/>
    <m/>
    <n v="46363636"/>
    <n v="290614334322"/>
  </r>
  <r>
    <x v="4"/>
    <s v="DHS 1200L"/>
    <s v="주식회사 용이케이블"/>
    <m/>
    <n v="39090909"/>
    <n v="290653425231"/>
  </r>
  <r>
    <x v="4"/>
    <s v="DHS 1200L"/>
    <s v="주식회사 용이케이블"/>
    <m/>
    <n v="39090909"/>
    <n v="290692516140"/>
  </r>
  <r>
    <x v="4"/>
    <s v="DHS 950L"/>
    <s v="주식회사 용이케이블"/>
    <m/>
    <n v="36090909"/>
    <n v="290728607049"/>
  </r>
  <r>
    <x v="4"/>
    <s v="DHS 950L"/>
    <s v="주식회사 중부케이블"/>
    <m/>
    <n v="36090909"/>
    <n v="290764697958"/>
  </r>
  <r>
    <x v="4"/>
    <s v="DHS 950L"/>
    <s v="주식회사 중부케이블"/>
    <m/>
    <n v="36090909"/>
    <n v="290800788867"/>
  </r>
  <r>
    <x v="4"/>
    <s v="DHS 950L"/>
    <s v="주식회사 중부케이블"/>
    <m/>
    <n v="36090909"/>
    <n v="290836879776"/>
  </r>
  <r>
    <x v="4"/>
    <s v="DHS 950L"/>
    <s v="주식회사 중부케이블"/>
    <m/>
    <n v="36090909"/>
    <n v="290872970685"/>
  </r>
  <r>
    <x v="4"/>
    <s v="DHS 950L"/>
    <s v="주식회사 중부케이블"/>
    <m/>
    <n v="36090909"/>
    <n v="290909061594"/>
  </r>
  <r>
    <x v="4"/>
    <s v="DHS 950L"/>
    <s v="주식회사 중부케이블"/>
    <m/>
    <n v="36090909"/>
    <n v="290945152503"/>
  </r>
  <r>
    <x v="4"/>
    <s v="DHS 950L"/>
    <s v="주식회사 중부케이블"/>
    <m/>
    <n v="36090909"/>
    <n v="290981243412"/>
  </r>
  <r>
    <x v="4"/>
    <s v="DHS 950L"/>
    <s v="주식회사 중부케이블"/>
    <m/>
    <n v="36090909"/>
    <n v="291017334321"/>
  </r>
  <r>
    <x v="4"/>
    <s v="DHS 930"/>
    <s v="방무혁"/>
    <m/>
    <n v="18572727"/>
    <n v="291035907048"/>
  </r>
  <r>
    <x v="4"/>
    <s v="DHS 950L"/>
    <s v="유성텔레컴"/>
    <m/>
    <n v="18373000"/>
    <n v="291054280048"/>
  </r>
  <r>
    <x v="4"/>
    <s v="DHS 433L"/>
    <s v="주식회사 남양렉카"/>
    <m/>
    <n v="14090909"/>
    <n v="291068370957"/>
  </r>
  <r>
    <x v="4"/>
    <s v="DHS 433L"/>
    <s v="조은마린"/>
    <m/>
    <n v="15000000"/>
    <n v="291083370957"/>
  </r>
  <r>
    <x v="4"/>
    <s v="DHS 930"/>
    <s v="반석시스템"/>
    <m/>
    <n v="36363636"/>
    <n v="291119734593"/>
  </r>
  <r>
    <x v="4"/>
    <s v="DHS 950L"/>
    <s v="(주)글로벌넷"/>
    <m/>
    <n v="38000000"/>
    <n v="291157734593"/>
  </r>
  <r>
    <x v="4"/>
    <s v="DHS 240SKY"/>
    <s v="(주)수인전력"/>
    <m/>
    <n v="9090909"/>
    <n v="291166825502"/>
  </r>
  <r>
    <x v="4"/>
    <s v="DHS 433L"/>
    <s v="함안군상하수도사업소"/>
    <m/>
    <n v="14968182"/>
    <n v="291181793684"/>
  </r>
  <r>
    <x v="4"/>
    <s v="BARRIER SYSTEM"/>
    <s v="(주)한화건설"/>
    <m/>
    <n v="1149250000"/>
    <n v="292331043684"/>
  </r>
  <r>
    <x v="4"/>
    <s v="DHS 433L"/>
    <s v="조은마린"/>
    <m/>
    <n v="-15000000"/>
    <n v="292316043684"/>
  </r>
  <r>
    <x v="4"/>
    <s v="DHS 433L"/>
    <s v="조은마린"/>
    <m/>
    <n v="15000000"/>
    <n v="292331043684"/>
  </r>
  <r>
    <x v="4"/>
    <s v="DHS 1200L"/>
    <s v="강화정보통신(주)"/>
    <m/>
    <n v="37272727"/>
    <n v="292368316411"/>
  </r>
  <r>
    <x v="4"/>
    <s v="DHS 950L"/>
    <s v="(유)쎈스"/>
    <m/>
    <n v="39090909"/>
    <n v="292407407320"/>
  </r>
  <r>
    <x v="4"/>
    <s v="DHS 15AP"/>
    <s v="주식회사 다진"/>
    <m/>
    <n v="52090909"/>
    <n v="292459498229"/>
  </r>
  <r>
    <x v="4"/>
    <s v="DHS 15AP"/>
    <s v="서동전기통신"/>
    <m/>
    <n v="6363636"/>
    <n v="292465861865"/>
  </r>
  <r>
    <x v="4"/>
    <s v="DHT 110"/>
    <s v="한국전력공사"/>
    <m/>
    <n v="1582000000"/>
    <n v="294047861865"/>
  </r>
  <r>
    <x v="4"/>
    <s v="DHS 950L"/>
    <s v="대소정보통신"/>
    <m/>
    <n v="18373000"/>
    <n v="294066234865"/>
  </r>
  <r>
    <x v="4"/>
    <s v="DHS 190SKY"/>
    <s v="튼튼지붕(주)"/>
    <m/>
    <n v="60400000"/>
    <n v="294126634865"/>
  </r>
  <r>
    <x v="4"/>
    <s v="DHS 190SKY"/>
    <s v="아트벨광고사"/>
    <m/>
    <n v="60909091"/>
    <n v="294187543956"/>
  </r>
  <r>
    <x v="4"/>
    <s v="DHS 17AP"/>
    <s v="반도전기"/>
    <m/>
    <n v="56900000"/>
    <n v="294244443956"/>
  </r>
  <r>
    <x v="4"/>
    <s v="DHS 15AP"/>
    <s v="태성전력 주식회사"/>
    <m/>
    <n v="53000000"/>
    <n v="294297443956"/>
  </r>
  <r>
    <x v="4"/>
    <s v="DHS 1200L"/>
    <s v="주식회사 중부케이블"/>
    <m/>
    <n v="39090909"/>
    <n v="294336534865"/>
  </r>
  <r>
    <x v="4"/>
    <s v="DHS 1200L"/>
    <s v="주식회사 중부케이블"/>
    <m/>
    <n v="39090909"/>
    <n v="294375625774"/>
  </r>
  <r>
    <x v="4"/>
    <s v="DHS 1200L"/>
    <s v="주식회사 중부케이블"/>
    <m/>
    <n v="39090909"/>
    <n v="294414716683"/>
  </r>
  <r>
    <x v="4"/>
    <s v="DHS 1200L"/>
    <s v="주식회사 중부케이블"/>
    <m/>
    <n v="39090909"/>
    <n v="294453807592"/>
  </r>
  <r>
    <x v="4"/>
    <s v="DHS 930"/>
    <s v="지성텔레콤"/>
    <m/>
    <n v="19700000"/>
    <n v="294473507592"/>
  </r>
  <r>
    <x v="4"/>
    <s v="DHS 950L"/>
    <s v="탑 에이치 정보통신"/>
    <m/>
    <n v="36363637"/>
    <n v="294509871229"/>
  </r>
  <r>
    <x v="4"/>
    <s v="DHS 190SKY"/>
    <s v="신림전기"/>
    <m/>
    <n v="61090909"/>
    <n v="294570962138"/>
  </r>
  <r>
    <x v="4"/>
    <s v="DHS 15AP"/>
    <s v="선우기업"/>
    <m/>
    <n v="50909090"/>
    <n v="294621871228"/>
  </r>
  <r>
    <x v="4"/>
    <s v="DHS 15AP"/>
    <s v="(주)연성"/>
    <m/>
    <n v="52727272"/>
    <n v="294674598500"/>
  </r>
  <r>
    <x v="4"/>
    <s v="DHS 1200L"/>
    <s v="(주)윈투스시스템"/>
    <m/>
    <n v="43500000"/>
    <n v="294718098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9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B9" firstHeaderRow="1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numFmtId="3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합계 : 대변" fld="4" baseField="0" baseItem="0" numFmtId="4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피벗 테이블9" cacheId="7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F31" firstHeaderRow="1" firstDataRow="2" firstDataCol="1"/>
  <pivotFields count="9"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10">
        <item x="0"/>
        <item x="3"/>
        <item x="6"/>
        <item x="1"/>
        <item x="2"/>
        <item x="8"/>
        <item x="4"/>
        <item x="7"/>
        <item x="5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numFmtId="14" showAll="0"/>
    <pivotField dataField="1" numFmtId="3" showAll="0"/>
  </pivotFields>
  <rowFields count="3">
    <field x="2"/>
    <field x="3"/>
    <field x="0"/>
  </rowFields>
  <rowItems count="27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 v="3"/>
    </i>
    <i r="2">
      <x v="4"/>
    </i>
    <i r="1">
      <x v="5"/>
    </i>
    <i r="2">
      <x v="3"/>
    </i>
    <i r="1">
      <x v="6"/>
    </i>
    <i r="2">
      <x v="1"/>
    </i>
    <i r="1">
      <x v="7"/>
    </i>
    <i r="2">
      <x v="3"/>
    </i>
    <i r="1">
      <x v="8"/>
    </i>
    <i r="2"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매출금액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피벗 테이블8" cacheId="7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3:F61" firstHeaderRow="1" firstDataRow="2" firstDataCol="1"/>
  <pivotFields count="9"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10">
        <item x="0"/>
        <item x="3"/>
        <item x="6"/>
        <item x="1"/>
        <item x="2"/>
        <item x="8"/>
        <item x="4"/>
        <item x="7"/>
        <item x="5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numFmtId="14" showAll="0"/>
    <pivotField dataField="1" numFmtId="3" showAll="0"/>
  </pivotFields>
  <rowFields count="3">
    <field x="2"/>
    <field x="3"/>
    <field x="0"/>
  </rowFields>
  <rowItems count="27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 v="3"/>
    </i>
    <i r="2">
      <x v="4"/>
    </i>
    <i r="1">
      <x v="5"/>
    </i>
    <i r="2">
      <x v="3"/>
    </i>
    <i r="1">
      <x v="6"/>
    </i>
    <i r="2">
      <x v="1"/>
    </i>
    <i r="1">
      <x v="7"/>
    </i>
    <i r="2">
      <x v="3"/>
    </i>
    <i r="1">
      <x v="8"/>
    </i>
    <i r="2"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개수 : 매출금액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피벗 테이블3" cacheId="6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0:F55" firstHeaderRow="1" firstDataRow="2" firstDataCol="1"/>
  <pivotFields count="7"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dataField="1" numFmtId="3" showAll="0"/>
  </pivotFields>
  <rowFields count="3">
    <field x="2"/>
    <field x="3"/>
    <field x="0"/>
  </rowFields>
  <rowItems count="2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 v="1"/>
    </i>
    <i r="2">
      <x v="3"/>
    </i>
    <i r="1">
      <x v="2"/>
    </i>
    <i r="2">
      <x v="3"/>
    </i>
    <i r="1">
      <x v="3"/>
    </i>
    <i r="2">
      <x v="3"/>
    </i>
    <i r="2">
      <x v="4"/>
    </i>
    <i r="1">
      <x v="4"/>
    </i>
    <i r="2">
      <x v="3"/>
    </i>
    <i r="1">
      <x v="5"/>
    </i>
    <i r="2">
      <x v="3"/>
    </i>
    <i r="2">
      <x v="4"/>
    </i>
    <i r="1">
      <x v="6"/>
    </i>
    <i r="2"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개수 : 매출금액" fld="6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피벗 테이블4" cacheId="6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F28" firstHeaderRow="1" firstDataRow="2" firstDataCol="1"/>
  <pivotFields count="7"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dataField="1" numFmtId="3" showAll="0"/>
  </pivotFields>
  <rowFields count="3">
    <field x="2"/>
    <field x="3"/>
    <field x="0"/>
  </rowFields>
  <rowItems count="2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 v="1"/>
    </i>
    <i r="2">
      <x v="3"/>
    </i>
    <i r="1">
      <x v="2"/>
    </i>
    <i r="2">
      <x v="3"/>
    </i>
    <i r="1">
      <x v="3"/>
    </i>
    <i r="2">
      <x v="3"/>
    </i>
    <i r="2">
      <x v="4"/>
    </i>
    <i r="1">
      <x v="4"/>
    </i>
    <i r="2">
      <x v="3"/>
    </i>
    <i r="1">
      <x v="5"/>
    </i>
    <i r="2">
      <x v="3"/>
    </i>
    <i r="2">
      <x v="4"/>
    </i>
    <i r="1">
      <x v="6"/>
    </i>
    <i r="2"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매출금액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피벗 테이블2" cacheId="8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12:E18" firstHeaderRow="1" firstDataRow="2" firstDataCol="1"/>
  <pivotFields count="7"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numFmtId="3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개수 : 대변" fld="6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피벗 테이블1" cacheId="8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E9" firstHeaderRow="1" firstDataRow="2" firstDataCol="1"/>
  <pivotFields count="7"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numFmtId="3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합계 : 대변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피벗 테이블13" cacheId="5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13:F21" firstHeaderRow="1" firstDataRow="2" firstDataCol="1"/>
  <pivotFields count="9"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합계 : 2018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피벗 테이블12" cacheId="5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23:F31" firstHeaderRow="1" firstDataRow="2" firstDataCol="1"/>
  <pivotFields count="9"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합계 : 2019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피벗 테이블11" cacheId="5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3:F41" firstHeaderRow="1" firstDataRow="2" firstDataCol="1"/>
  <pivotFields count="9"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합계 : 2020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피벗 테이블10" cacheId="5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43:F51" firstHeaderRow="1" firstDataRow="2" firstDataCol="1"/>
  <pivotFields count="9"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합계 : 2021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피벗 테이블14" cacheId="5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F11" firstHeaderRow="1" firstDataRow="2" firstDataCol="1"/>
  <pivotFields count="9"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합계 : 2017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표2" displayName="표2" ref="A1:F882" totalsRowShown="0">
  <autoFilter ref="A1:F882"/>
  <tableColumns count="6">
    <tableColumn id="1" name="전표번호"/>
    <tableColumn id="2" name="적요"/>
    <tableColumn id="3" name="거래처"/>
    <tableColumn id="4" name="차변"/>
    <tableColumn id="5" name="대변"/>
    <tableColumn id="6" name="잔액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표3" displayName="표3" ref="A1:F1464" totalsRowShown="0">
  <autoFilter ref="A1:F1464"/>
  <tableColumns count="6">
    <tableColumn id="1" name="전표번호"/>
    <tableColumn id="2" name="적요"/>
    <tableColumn id="3" name="거래처"/>
    <tableColumn id="4" name="차변"/>
    <tableColumn id="5" name="대변"/>
    <tableColumn id="6" name="잔액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표1" displayName="표1" ref="A1:F1549" totalsRowShown="0">
  <autoFilter ref="A1:F1549"/>
  <tableColumns count="6">
    <tableColumn id="1" name="전표번호"/>
    <tableColumn id="2" name="적요"/>
    <tableColumn id="3" name="거래처"/>
    <tableColumn id="4" name="차변"/>
    <tableColumn id="5" name="대변"/>
    <tableColumn id="6" name="잔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ykim32@kr.kpmg.com" TargetMode="External"/><Relationship Id="rId2" Type="http://schemas.openxmlformats.org/officeDocument/2006/relationships/hyperlink" Target="mailto:younggulpark@kr.kpmg.com" TargetMode="External"/><Relationship Id="rId1" Type="http://schemas.openxmlformats.org/officeDocument/2006/relationships/hyperlink" Target="mailto:yidongkim@kr.kpmg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kimoonkwon@kr.kpmg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6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00"/>
  </sheetPr>
  <dimension ref="A1:U26"/>
  <sheetViews>
    <sheetView showGridLines="0" zoomScale="85" zoomScaleNormal="85" workbookViewId="0">
      <selection activeCell="L17" sqref="L17"/>
    </sheetView>
  </sheetViews>
  <sheetFormatPr defaultRowHeight="14.25" x14ac:dyDescent="0.3"/>
  <cols>
    <col min="1" max="1" width="1.625" style="17" customWidth="1"/>
    <col min="2" max="2" width="14.125" style="17" customWidth="1"/>
    <col min="3" max="3" width="3.625" style="17" customWidth="1"/>
    <col min="4" max="8" width="8" style="17" customWidth="1"/>
    <col min="9" max="11" width="9" style="17"/>
    <col min="12" max="12" width="17" style="17" customWidth="1"/>
    <col min="13" max="13" width="11.5" style="17" customWidth="1"/>
    <col min="14" max="14" width="9" style="17"/>
    <col min="15" max="15" width="3.375" style="17" customWidth="1"/>
    <col min="16" max="16" width="1.25" style="17" customWidth="1"/>
    <col min="17" max="246" width="9" style="17"/>
    <col min="247" max="247" width="1.25" style="17" customWidth="1"/>
    <col min="248" max="248" width="2.5" style="17" customWidth="1"/>
    <col min="249" max="249" width="3.625" style="17" customWidth="1"/>
    <col min="250" max="254" width="8" style="17" customWidth="1"/>
    <col min="255" max="257" width="9" style="17"/>
    <col min="258" max="258" width="14.375" style="17" customWidth="1"/>
    <col min="259" max="261" width="9" style="17"/>
    <col min="262" max="262" width="2.5" style="17" customWidth="1"/>
    <col min="263" max="502" width="9" style="17"/>
    <col min="503" max="503" width="1.25" style="17" customWidth="1"/>
    <col min="504" max="504" width="2.5" style="17" customWidth="1"/>
    <col min="505" max="505" width="3.625" style="17" customWidth="1"/>
    <col min="506" max="510" width="8" style="17" customWidth="1"/>
    <col min="511" max="513" width="9" style="17"/>
    <col min="514" max="514" width="14.375" style="17" customWidth="1"/>
    <col min="515" max="517" width="9" style="17"/>
    <col min="518" max="518" width="2.5" style="17" customWidth="1"/>
    <col min="519" max="758" width="9" style="17"/>
    <col min="759" max="759" width="1.25" style="17" customWidth="1"/>
    <col min="760" max="760" width="2.5" style="17" customWidth="1"/>
    <col min="761" max="761" width="3.625" style="17" customWidth="1"/>
    <col min="762" max="766" width="8" style="17" customWidth="1"/>
    <col min="767" max="769" width="9" style="17"/>
    <col min="770" max="770" width="14.375" style="17" customWidth="1"/>
    <col min="771" max="773" width="9" style="17"/>
    <col min="774" max="774" width="2.5" style="17" customWidth="1"/>
    <col min="775" max="1014" width="9" style="17"/>
    <col min="1015" max="1015" width="1.25" style="17" customWidth="1"/>
    <col min="1016" max="1016" width="2.5" style="17" customWidth="1"/>
    <col min="1017" max="1017" width="3.625" style="17" customWidth="1"/>
    <col min="1018" max="1022" width="8" style="17" customWidth="1"/>
    <col min="1023" max="1025" width="9" style="17"/>
    <col min="1026" max="1026" width="14.375" style="17" customWidth="1"/>
    <col min="1027" max="1029" width="9" style="17"/>
    <col min="1030" max="1030" width="2.5" style="17" customWidth="1"/>
    <col min="1031" max="1270" width="9" style="17"/>
    <col min="1271" max="1271" width="1.25" style="17" customWidth="1"/>
    <col min="1272" max="1272" width="2.5" style="17" customWidth="1"/>
    <col min="1273" max="1273" width="3.625" style="17" customWidth="1"/>
    <col min="1274" max="1278" width="8" style="17" customWidth="1"/>
    <col min="1279" max="1281" width="9" style="17"/>
    <col min="1282" max="1282" width="14.375" style="17" customWidth="1"/>
    <col min="1283" max="1285" width="9" style="17"/>
    <col min="1286" max="1286" width="2.5" style="17" customWidth="1"/>
    <col min="1287" max="1526" width="9" style="17"/>
    <col min="1527" max="1527" width="1.25" style="17" customWidth="1"/>
    <col min="1528" max="1528" width="2.5" style="17" customWidth="1"/>
    <col min="1529" max="1529" width="3.625" style="17" customWidth="1"/>
    <col min="1530" max="1534" width="8" style="17" customWidth="1"/>
    <col min="1535" max="1537" width="9" style="17"/>
    <col min="1538" max="1538" width="14.375" style="17" customWidth="1"/>
    <col min="1539" max="1541" width="9" style="17"/>
    <col min="1542" max="1542" width="2.5" style="17" customWidth="1"/>
    <col min="1543" max="1782" width="9" style="17"/>
    <col min="1783" max="1783" width="1.25" style="17" customWidth="1"/>
    <col min="1784" max="1784" width="2.5" style="17" customWidth="1"/>
    <col min="1785" max="1785" width="3.625" style="17" customWidth="1"/>
    <col min="1786" max="1790" width="8" style="17" customWidth="1"/>
    <col min="1791" max="1793" width="9" style="17"/>
    <col min="1794" max="1794" width="14.375" style="17" customWidth="1"/>
    <col min="1795" max="1797" width="9" style="17"/>
    <col min="1798" max="1798" width="2.5" style="17" customWidth="1"/>
    <col min="1799" max="2038" width="9" style="17"/>
    <col min="2039" max="2039" width="1.25" style="17" customWidth="1"/>
    <col min="2040" max="2040" width="2.5" style="17" customWidth="1"/>
    <col min="2041" max="2041" width="3.625" style="17" customWidth="1"/>
    <col min="2042" max="2046" width="8" style="17" customWidth="1"/>
    <col min="2047" max="2049" width="9" style="17"/>
    <col min="2050" max="2050" width="14.375" style="17" customWidth="1"/>
    <col min="2051" max="2053" width="9" style="17"/>
    <col min="2054" max="2054" width="2.5" style="17" customWidth="1"/>
    <col min="2055" max="2294" width="9" style="17"/>
    <col min="2295" max="2295" width="1.25" style="17" customWidth="1"/>
    <col min="2296" max="2296" width="2.5" style="17" customWidth="1"/>
    <col min="2297" max="2297" width="3.625" style="17" customWidth="1"/>
    <col min="2298" max="2302" width="8" style="17" customWidth="1"/>
    <col min="2303" max="2305" width="9" style="17"/>
    <col min="2306" max="2306" width="14.375" style="17" customWidth="1"/>
    <col min="2307" max="2309" width="9" style="17"/>
    <col min="2310" max="2310" width="2.5" style="17" customWidth="1"/>
    <col min="2311" max="2550" width="9" style="17"/>
    <col min="2551" max="2551" width="1.25" style="17" customWidth="1"/>
    <col min="2552" max="2552" width="2.5" style="17" customWidth="1"/>
    <col min="2553" max="2553" width="3.625" style="17" customWidth="1"/>
    <col min="2554" max="2558" width="8" style="17" customWidth="1"/>
    <col min="2559" max="2561" width="9" style="17"/>
    <col min="2562" max="2562" width="14.375" style="17" customWidth="1"/>
    <col min="2563" max="2565" width="9" style="17"/>
    <col min="2566" max="2566" width="2.5" style="17" customWidth="1"/>
    <col min="2567" max="2806" width="9" style="17"/>
    <col min="2807" max="2807" width="1.25" style="17" customWidth="1"/>
    <col min="2808" max="2808" width="2.5" style="17" customWidth="1"/>
    <col min="2809" max="2809" width="3.625" style="17" customWidth="1"/>
    <col min="2810" max="2814" width="8" style="17" customWidth="1"/>
    <col min="2815" max="2817" width="9" style="17"/>
    <col min="2818" max="2818" width="14.375" style="17" customWidth="1"/>
    <col min="2819" max="2821" width="9" style="17"/>
    <col min="2822" max="2822" width="2.5" style="17" customWidth="1"/>
    <col min="2823" max="3062" width="9" style="17"/>
    <col min="3063" max="3063" width="1.25" style="17" customWidth="1"/>
    <col min="3064" max="3064" width="2.5" style="17" customWidth="1"/>
    <col min="3065" max="3065" width="3.625" style="17" customWidth="1"/>
    <col min="3066" max="3070" width="8" style="17" customWidth="1"/>
    <col min="3071" max="3073" width="9" style="17"/>
    <col min="3074" max="3074" width="14.375" style="17" customWidth="1"/>
    <col min="3075" max="3077" width="9" style="17"/>
    <col min="3078" max="3078" width="2.5" style="17" customWidth="1"/>
    <col min="3079" max="3318" width="9" style="17"/>
    <col min="3319" max="3319" width="1.25" style="17" customWidth="1"/>
    <col min="3320" max="3320" width="2.5" style="17" customWidth="1"/>
    <col min="3321" max="3321" width="3.625" style="17" customWidth="1"/>
    <col min="3322" max="3326" width="8" style="17" customWidth="1"/>
    <col min="3327" max="3329" width="9" style="17"/>
    <col min="3330" max="3330" width="14.375" style="17" customWidth="1"/>
    <col min="3331" max="3333" width="9" style="17"/>
    <col min="3334" max="3334" width="2.5" style="17" customWidth="1"/>
    <col min="3335" max="3574" width="9" style="17"/>
    <col min="3575" max="3575" width="1.25" style="17" customWidth="1"/>
    <col min="3576" max="3576" width="2.5" style="17" customWidth="1"/>
    <col min="3577" max="3577" width="3.625" style="17" customWidth="1"/>
    <col min="3578" max="3582" width="8" style="17" customWidth="1"/>
    <col min="3583" max="3585" width="9" style="17"/>
    <col min="3586" max="3586" width="14.375" style="17" customWidth="1"/>
    <col min="3587" max="3589" width="9" style="17"/>
    <col min="3590" max="3590" width="2.5" style="17" customWidth="1"/>
    <col min="3591" max="3830" width="9" style="17"/>
    <col min="3831" max="3831" width="1.25" style="17" customWidth="1"/>
    <col min="3832" max="3832" width="2.5" style="17" customWidth="1"/>
    <col min="3833" max="3833" width="3.625" style="17" customWidth="1"/>
    <col min="3834" max="3838" width="8" style="17" customWidth="1"/>
    <col min="3839" max="3841" width="9" style="17"/>
    <col min="3842" max="3842" width="14.375" style="17" customWidth="1"/>
    <col min="3843" max="3845" width="9" style="17"/>
    <col min="3846" max="3846" width="2.5" style="17" customWidth="1"/>
    <col min="3847" max="4086" width="9" style="17"/>
    <col min="4087" max="4087" width="1.25" style="17" customWidth="1"/>
    <col min="4088" max="4088" width="2.5" style="17" customWidth="1"/>
    <col min="4089" max="4089" width="3.625" style="17" customWidth="1"/>
    <col min="4090" max="4094" width="8" style="17" customWidth="1"/>
    <col min="4095" max="4097" width="9" style="17"/>
    <col min="4098" max="4098" width="14.375" style="17" customWidth="1"/>
    <col min="4099" max="4101" width="9" style="17"/>
    <col min="4102" max="4102" width="2.5" style="17" customWidth="1"/>
    <col min="4103" max="4342" width="9" style="17"/>
    <col min="4343" max="4343" width="1.25" style="17" customWidth="1"/>
    <col min="4344" max="4344" width="2.5" style="17" customWidth="1"/>
    <col min="4345" max="4345" width="3.625" style="17" customWidth="1"/>
    <col min="4346" max="4350" width="8" style="17" customWidth="1"/>
    <col min="4351" max="4353" width="9" style="17"/>
    <col min="4354" max="4354" width="14.375" style="17" customWidth="1"/>
    <col min="4355" max="4357" width="9" style="17"/>
    <col min="4358" max="4358" width="2.5" style="17" customWidth="1"/>
    <col min="4359" max="4598" width="9" style="17"/>
    <col min="4599" max="4599" width="1.25" style="17" customWidth="1"/>
    <col min="4600" max="4600" width="2.5" style="17" customWidth="1"/>
    <col min="4601" max="4601" width="3.625" style="17" customWidth="1"/>
    <col min="4602" max="4606" width="8" style="17" customWidth="1"/>
    <col min="4607" max="4609" width="9" style="17"/>
    <col min="4610" max="4610" width="14.375" style="17" customWidth="1"/>
    <col min="4611" max="4613" width="9" style="17"/>
    <col min="4614" max="4614" width="2.5" style="17" customWidth="1"/>
    <col min="4615" max="4854" width="9" style="17"/>
    <col min="4855" max="4855" width="1.25" style="17" customWidth="1"/>
    <col min="4856" max="4856" width="2.5" style="17" customWidth="1"/>
    <col min="4857" max="4857" width="3.625" style="17" customWidth="1"/>
    <col min="4858" max="4862" width="8" style="17" customWidth="1"/>
    <col min="4863" max="4865" width="9" style="17"/>
    <col min="4866" max="4866" width="14.375" style="17" customWidth="1"/>
    <col min="4867" max="4869" width="9" style="17"/>
    <col min="4870" max="4870" width="2.5" style="17" customWidth="1"/>
    <col min="4871" max="5110" width="9" style="17"/>
    <col min="5111" max="5111" width="1.25" style="17" customWidth="1"/>
    <col min="5112" max="5112" width="2.5" style="17" customWidth="1"/>
    <col min="5113" max="5113" width="3.625" style="17" customWidth="1"/>
    <col min="5114" max="5118" width="8" style="17" customWidth="1"/>
    <col min="5119" max="5121" width="9" style="17"/>
    <col min="5122" max="5122" width="14.375" style="17" customWidth="1"/>
    <col min="5123" max="5125" width="9" style="17"/>
    <col min="5126" max="5126" width="2.5" style="17" customWidth="1"/>
    <col min="5127" max="5366" width="9" style="17"/>
    <col min="5367" max="5367" width="1.25" style="17" customWidth="1"/>
    <col min="5368" max="5368" width="2.5" style="17" customWidth="1"/>
    <col min="5369" max="5369" width="3.625" style="17" customWidth="1"/>
    <col min="5370" max="5374" width="8" style="17" customWidth="1"/>
    <col min="5375" max="5377" width="9" style="17"/>
    <col min="5378" max="5378" width="14.375" style="17" customWidth="1"/>
    <col min="5379" max="5381" width="9" style="17"/>
    <col min="5382" max="5382" width="2.5" style="17" customWidth="1"/>
    <col min="5383" max="5622" width="9" style="17"/>
    <col min="5623" max="5623" width="1.25" style="17" customWidth="1"/>
    <col min="5624" max="5624" width="2.5" style="17" customWidth="1"/>
    <col min="5625" max="5625" width="3.625" style="17" customWidth="1"/>
    <col min="5626" max="5630" width="8" style="17" customWidth="1"/>
    <col min="5631" max="5633" width="9" style="17"/>
    <col min="5634" max="5634" width="14.375" style="17" customWidth="1"/>
    <col min="5635" max="5637" width="9" style="17"/>
    <col min="5638" max="5638" width="2.5" style="17" customWidth="1"/>
    <col min="5639" max="5878" width="9" style="17"/>
    <col min="5879" max="5879" width="1.25" style="17" customWidth="1"/>
    <col min="5880" max="5880" width="2.5" style="17" customWidth="1"/>
    <col min="5881" max="5881" width="3.625" style="17" customWidth="1"/>
    <col min="5882" max="5886" width="8" style="17" customWidth="1"/>
    <col min="5887" max="5889" width="9" style="17"/>
    <col min="5890" max="5890" width="14.375" style="17" customWidth="1"/>
    <col min="5891" max="5893" width="9" style="17"/>
    <col min="5894" max="5894" width="2.5" style="17" customWidth="1"/>
    <col min="5895" max="6134" width="9" style="17"/>
    <col min="6135" max="6135" width="1.25" style="17" customWidth="1"/>
    <col min="6136" max="6136" width="2.5" style="17" customWidth="1"/>
    <col min="6137" max="6137" width="3.625" style="17" customWidth="1"/>
    <col min="6138" max="6142" width="8" style="17" customWidth="1"/>
    <col min="6143" max="6145" width="9" style="17"/>
    <col min="6146" max="6146" width="14.375" style="17" customWidth="1"/>
    <col min="6147" max="6149" width="9" style="17"/>
    <col min="6150" max="6150" width="2.5" style="17" customWidth="1"/>
    <col min="6151" max="6390" width="9" style="17"/>
    <col min="6391" max="6391" width="1.25" style="17" customWidth="1"/>
    <col min="6392" max="6392" width="2.5" style="17" customWidth="1"/>
    <col min="6393" max="6393" width="3.625" style="17" customWidth="1"/>
    <col min="6394" max="6398" width="8" style="17" customWidth="1"/>
    <col min="6399" max="6401" width="9" style="17"/>
    <col min="6402" max="6402" width="14.375" style="17" customWidth="1"/>
    <col min="6403" max="6405" width="9" style="17"/>
    <col min="6406" max="6406" width="2.5" style="17" customWidth="1"/>
    <col min="6407" max="6646" width="9" style="17"/>
    <col min="6647" max="6647" width="1.25" style="17" customWidth="1"/>
    <col min="6648" max="6648" width="2.5" style="17" customWidth="1"/>
    <col min="6649" max="6649" width="3.625" style="17" customWidth="1"/>
    <col min="6650" max="6654" width="8" style="17" customWidth="1"/>
    <col min="6655" max="6657" width="9" style="17"/>
    <col min="6658" max="6658" width="14.375" style="17" customWidth="1"/>
    <col min="6659" max="6661" width="9" style="17"/>
    <col min="6662" max="6662" width="2.5" style="17" customWidth="1"/>
    <col min="6663" max="6902" width="9" style="17"/>
    <col min="6903" max="6903" width="1.25" style="17" customWidth="1"/>
    <col min="6904" max="6904" width="2.5" style="17" customWidth="1"/>
    <col min="6905" max="6905" width="3.625" style="17" customWidth="1"/>
    <col min="6906" max="6910" width="8" style="17" customWidth="1"/>
    <col min="6911" max="6913" width="9" style="17"/>
    <col min="6914" max="6914" width="14.375" style="17" customWidth="1"/>
    <col min="6915" max="6917" width="9" style="17"/>
    <col min="6918" max="6918" width="2.5" style="17" customWidth="1"/>
    <col min="6919" max="7158" width="9" style="17"/>
    <col min="7159" max="7159" width="1.25" style="17" customWidth="1"/>
    <col min="7160" max="7160" width="2.5" style="17" customWidth="1"/>
    <col min="7161" max="7161" width="3.625" style="17" customWidth="1"/>
    <col min="7162" max="7166" width="8" style="17" customWidth="1"/>
    <col min="7167" max="7169" width="9" style="17"/>
    <col min="7170" max="7170" width="14.375" style="17" customWidth="1"/>
    <col min="7171" max="7173" width="9" style="17"/>
    <col min="7174" max="7174" width="2.5" style="17" customWidth="1"/>
    <col min="7175" max="7414" width="9" style="17"/>
    <col min="7415" max="7415" width="1.25" style="17" customWidth="1"/>
    <col min="7416" max="7416" width="2.5" style="17" customWidth="1"/>
    <col min="7417" max="7417" width="3.625" style="17" customWidth="1"/>
    <col min="7418" max="7422" width="8" style="17" customWidth="1"/>
    <col min="7423" max="7425" width="9" style="17"/>
    <col min="7426" max="7426" width="14.375" style="17" customWidth="1"/>
    <col min="7427" max="7429" width="9" style="17"/>
    <col min="7430" max="7430" width="2.5" style="17" customWidth="1"/>
    <col min="7431" max="7670" width="9" style="17"/>
    <col min="7671" max="7671" width="1.25" style="17" customWidth="1"/>
    <col min="7672" max="7672" width="2.5" style="17" customWidth="1"/>
    <col min="7673" max="7673" width="3.625" style="17" customWidth="1"/>
    <col min="7674" max="7678" width="8" style="17" customWidth="1"/>
    <col min="7679" max="7681" width="9" style="17"/>
    <col min="7682" max="7682" width="14.375" style="17" customWidth="1"/>
    <col min="7683" max="7685" width="9" style="17"/>
    <col min="7686" max="7686" width="2.5" style="17" customWidth="1"/>
    <col min="7687" max="7926" width="9" style="17"/>
    <col min="7927" max="7927" width="1.25" style="17" customWidth="1"/>
    <col min="7928" max="7928" width="2.5" style="17" customWidth="1"/>
    <col min="7929" max="7929" width="3.625" style="17" customWidth="1"/>
    <col min="7930" max="7934" width="8" style="17" customWidth="1"/>
    <col min="7935" max="7937" width="9" style="17"/>
    <col min="7938" max="7938" width="14.375" style="17" customWidth="1"/>
    <col min="7939" max="7941" width="9" style="17"/>
    <col min="7942" max="7942" width="2.5" style="17" customWidth="1"/>
    <col min="7943" max="8182" width="9" style="17"/>
    <col min="8183" max="8183" width="1.25" style="17" customWidth="1"/>
    <col min="8184" max="8184" width="2.5" style="17" customWidth="1"/>
    <col min="8185" max="8185" width="3.625" style="17" customWidth="1"/>
    <col min="8186" max="8190" width="8" style="17" customWidth="1"/>
    <col min="8191" max="8193" width="9" style="17"/>
    <col min="8194" max="8194" width="14.375" style="17" customWidth="1"/>
    <col min="8195" max="8197" width="9" style="17"/>
    <col min="8198" max="8198" width="2.5" style="17" customWidth="1"/>
    <col min="8199" max="8438" width="9" style="17"/>
    <col min="8439" max="8439" width="1.25" style="17" customWidth="1"/>
    <col min="8440" max="8440" width="2.5" style="17" customWidth="1"/>
    <col min="8441" max="8441" width="3.625" style="17" customWidth="1"/>
    <col min="8442" max="8446" width="8" style="17" customWidth="1"/>
    <col min="8447" max="8449" width="9" style="17"/>
    <col min="8450" max="8450" width="14.375" style="17" customWidth="1"/>
    <col min="8451" max="8453" width="9" style="17"/>
    <col min="8454" max="8454" width="2.5" style="17" customWidth="1"/>
    <col min="8455" max="8694" width="9" style="17"/>
    <col min="8695" max="8695" width="1.25" style="17" customWidth="1"/>
    <col min="8696" max="8696" width="2.5" style="17" customWidth="1"/>
    <col min="8697" max="8697" width="3.625" style="17" customWidth="1"/>
    <col min="8698" max="8702" width="8" style="17" customWidth="1"/>
    <col min="8703" max="8705" width="9" style="17"/>
    <col min="8706" max="8706" width="14.375" style="17" customWidth="1"/>
    <col min="8707" max="8709" width="9" style="17"/>
    <col min="8710" max="8710" width="2.5" style="17" customWidth="1"/>
    <col min="8711" max="8950" width="9" style="17"/>
    <col min="8951" max="8951" width="1.25" style="17" customWidth="1"/>
    <col min="8952" max="8952" width="2.5" style="17" customWidth="1"/>
    <col min="8953" max="8953" width="3.625" style="17" customWidth="1"/>
    <col min="8954" max="8958" width="8" style="17" customWidth="1"/>
    <col min="8959" max="8961" width="9" style="17"/>
    <col min="8962" max="8962" width="14.375" style="17" customWidth="1"/>
    <col min="8963" max="8965" width="9" style="17"/>
    <col min="8966" max="8966" width="2.5" style="17" customWidth="1"/>
    <col min="8967" max="9206" width="9" style="17"/>
    <col min="9207" max="9207" width="1.25" style="17" customWidth="1"/>
    <col min="9208" max="9208" width="2.5" style="17" customWidth="1"/>
    <col min="9209" max="9209" width="3.625" style="17" customWidth="1"/>
    <col min="9210" max="9214" width="8" style="17" customWidth="1"/>
    <col min="9215" max="9217" width="9" style="17"/>
    <col min="9218" max="9218" width="14.375" style="17" customWidth="1"/>
    <col min="9219" max="9221" width="9" style="17"/>
    <col min="9222" max="9222" width="2.5" style="17" customWidth="1"/>
    <col min="9223" max="9462" width="9" style="17"/>
    <col min="9463" max="9463" width="1.25" style="17" customWidth="1"/>
    <col min="9464" max="9464" width="2.5" style="17" customWidth="1"/>
    <col min="9465" max="9465" width="3.625" style="17" customWidth="1"/>
    <col min="9466" max="9470" width="8" style="17" customWidth="1"/>
    <col min="9471" max="9473" width="9" style="17"/>
    <col min="9474" max="9474" width="14.375" style="17" customWidth="1"/>
    <col min="9475" max="9477" width="9" style="17"/>
    <col min="9478" max="9478" width="2.5" style="17" customWidth="1"/>
    <col min="9479" max="9718" width="9" style="17"/>
    <col min="9719" max="9719" width="1.25" style="17" customWidth="1"/>
    <col min="9720" max="9720" width="2.5" style="17" customWidth="1"/>
    <col min="9721" max="9721" width="3.625" style="17" customWidth="1"/>
    <col min="9722" max="9726" width="8" style="17" customWidth="1"/>
    <col min="9727" max="9729" width="9" style="17"/>
    <col min="9730" max="9730" width="14.375" style="17" customWidth="1"/>
    <col min="9731" max="9733" width="9" style="17"/>
    <col min="9734" max="9734" width="2.5" style="17" customWidth="1"/>
    <col min="9735" max="9974" width="9" style="17"/>
    <col min="9975" max="9975" width="1.25" style="17" customWidth="1"/>
    <col min="9976" max="9976" width="2.5" style="17" customWidth="1"/>
    <col min="9977" max="9977" width="3.625" style="17" customWidth="1"/>
    <col min="9978" max="9982" width="8" style="17" customWidth="1"/>
    <col min="9983" max="9985" width="9" style="17"/>
    <col min="9986" max="9986" width="14.375" style="17" customWidth="1"/>
    <col min="9987" max="9989" width="9" style="17"/>
    <col min="9990" max="9990" width="2.5" style="17" customWidth="1"/>
    <col min="9991" max="10230" width="9" style="17"/>
    <col min="10231" max="10231" width="1.25" style="17" customWidth="1"/>
    <col min="10232" max="10232" width="2.5" style="17" customWidth="1"/>
    <col min="10233" max="10233" width="3.625" style="17" customWidth="1"/>
    <col min="10234" max="10238" width="8" style="17" customWidth="1"/>
    <col min="10239" max="10241" width="9" style="17"/>
    <col min="10242" max="10242" width="14.375" style="17" customWidth="1"/>
    <col min="10243" max="10245" width="9" style="17"/>
    <col min="10246" max="10246" width="2.5" style="17" customWidth="1"/>
    <col min="10247" max="10486" width="9" style="17"/>
    <col min="10487" max="10487" width="1.25" style="17" customWidth="1"/>
    <col min="10488" max="10488" width="2.5" style="17" customWidth="1"/>
    <col min="10489" max="10489" width="3.625" style="17" customWidth="1"/>
    <col min="10490" max="10494" width="8" style="17" customWidth="1"/>
    <col min="10495" max="10497" width="9" style="17"/>
    <col min="10498" max="10498" width="14.375" style="17" customWidth="1"/>
    <col min="10499" max="10501" width="9" style="17"/>
    <col min="10502" max="10502" width="2.5" style="17" customWidth="1"/>
    <col min="10503" max="10742" width="9" style="17"/>
    <col min="10743" max="10743" width="1.25" style="17" customWidth="1"/>
    <col min="10744" max="10744" width="2.5" style="17" customWidth="1"/>
    <col min="10745" max="10745" width="3.625" style="17" customWidth="1"/>
    <col min="10746" max="10750" width="8" style="17" customWidth="1"/>
    <col min="10751" max="10753" width="9" style="17"/>
    <col min="10754" max="10754" width="14.375" style="17" customWidth="1"/>
    <col min="10755" max="10757" width="9" style="17"/>
    <col min="10758" max="10758" width="2.5" style="17" customWidth="1"/>
    <col min="10759" max="10998" width="9" style="17"/>
    <col min="10999" max="10999" width="1.25" style="17" customWidth="1"/>
    <col min="11000" max="11000" width="2.5" style="17" customWidth="1"/>
    <col min="11001" max="11001" width="3.625" style="17" customWidth="1"/>
    <col min="11002" max="11006" width="8" style="17" customWidth="1"/>
    <col min="11007" max="11009" width="9" style="17"/>
    <col min="11010" max="11010" width="14.375" style="17" customWidth="1"/>
    <col min="11011" max="11013" width="9" style="17"/>
    <col min="11014" max="11014" width="2.5" style="17" customWidth="1"/>
    <col min="11015" max="11254" width="9" style="17"/>
    <col min="11255" max="11255" width="1.25" style="17" customWidth="1"/>
    <col min="11256" max="11256" width="2.5" style="17" customWidth="1"/>
    <col min="11257" max="11257" width="3.625" style="17" customWidth="1"/>
    <col min="11258" max="11262" width="8" style="17" customWidth="1"/>
    <col min="11263" max="11265" width="9" style="17"/>
    <col min="11266" max="11266" width="14.375" style="17" customWidth="1"/>
    <col min="11267" max="11269" width="9" style="17"/>
    <col min="11270" max="11270" width="2.5" style="17" customWidth="1"/>
    <col min="11271" max="11510" width="9" style="17"/>
    <col min="11511" max="11511" width="1.25" style="17" customWidth="1"/>
    <col min="11512" max="11512" width="2.5" style="17" customWidth="1"/>
    <col min="11513" max="11513" width="3.625" style="17" customWidth="1"/>
    <col min="11514" max="11518" width="8" style="17" customWidth="1"/>
    <col min="11519" max="11521" width="9" style="17"/>
    <col min="11522" max="11522" width="14.375" style="17" customWidth="1"/>
    <col min="11523" max="11525" width="9" style="17"/>
    <col min="11526" max="11526" width="2.5" style="17" customWidth="1"/>
    <col min="11527" max="11766" width="9" style="17"/>
    <col min="11767" max="11767" width="1.25" style="17" customWidth="1"/>
    <col min="11768" max="11768" width="2.5" style="17" customWidth="1"/>
    <col min="11769" max="11769" width="3.625" style="17" customWidth="1"/>
    <col min="11770" max="11774" width="8" style="17" customWidth="1"/>
    <col min="11775" max="11777" width="9" style="17"/>
    <col min="11778" max="11778" width="14.375" style="17" customWidth="1"/>
    <col min="11779" max="11781" width="9" style="17"/>
    <col min="11782" max="11782" width="2.5" style="17" customWidth="1"/>
    <col min="11783" max="12022" width="9" style="17"/>
    <col min="12023" max="12023" width="1.25" style="17" customWidth="1"/>
    <col min="12024" max="12024" width="2.5" style="17" customWidth="1"/>
    <col min="12025" max="12025" width="3.625" style="17" customWidth="1"/>
    <col min="12026" max="12030" width="8" style="17" customWidth="1"/>
    <col min="12031" max="12033" width="9" style="17"/>
    <col min="12034" max="12034" width="14.375" style="17" customWidth="1"/>
    <col min="12035" max="12037" width="9" style="17"/>
    <col min="12038" max="12038" width="2.5" style="17" customWidth="1"/>
    <col min="12039" max="12278" width="9" style="17"/>
    <col min="12279" max="12279" width="1.25" style="17" customWidth="1"/>
    <col min="12280" max="12280" width="2.5" style="17" customWidth="1"/>
    <col min="12281" max="12281" width="3.625" style="17" customWidth="1"/>
    <col min="12282" max="12286" width="8" style="17" customWidth="1"/>
    <col min="12287" max="12289" width="9" style="17"/>
    <col min="12290" max="12290" width="14.375" style="17" customWidth="1"/>
    <col min="12291" max="12293" width="9" style="17"/>
    <col min="12294" max="12294" width="2.5" style="17" customWidth="1"/>
    <col min="12295" max="12534" width="9" style="17"/>
    <col min="12535" max="12535" width="1.25" style="17" customWidth="1"/>
    <col min="12536" max="12536" width="2.5" style="17" customWidth="1"/>
    <col min="12537" max="12537" width="3.625" style="17" customWidth="1"/>
    <col min="12538" max="12542" width="8" style="17" customWidth="1"/>
    <col min="12543" max="12545" width="9" style="17"/>
    <col min="12546" max="12546" width="14.375" style="17" customWidth="1"/>
    <col min="12547" max="12549" width="9" style="17"/>
    <col min="12550" max="12550" width="2.5" style="17" customWidth="1"/>
    <col min="12551" max="12790" width="9" style="17"/>
    <col min="12791" max="12791" width="1.25" style="17" customWidth="1"/>
    <col min="12792" max="12792" width="2.5" style="17" customWidth="1"/>
    <col min="12793" max="12793" width="3.625" style="17" customWidth="1"/>
    <col min="12794" max="12798" width="8" style="17" customWidth="1"/>
    <col min="12799" max="12801" width="9" style="17"/>
    <col min="12802" max="12802" width="14.375" style="17" customWidth="1"/>
    <col min="12803" max="12805" width="9" style="17"/>
    <col min="12806" max="12806" width="2.5" style="17" customWidth="1"/>
    <col min="12807" max="13046" width="9" style="17"/>
    <col min="13047" max="13047" width="1.25" style="17" customWidth="1"/>
    <col min="13048" max="13048" width="2.5" style="17" customWidth="1"/>
    <col min="13049" max="13049" width="3.625" style="17" customWidth="1"/>
    <col min="13050" max="13054" width="8" style="17" customWidth="1"/>
    <col min="13055" max="13057" width="9" style="17"/>
    <col min="13058" max="13058" width="14.375" style="17" customWidth="1"/>
    <col min="13059" max="13061" width="9" style="17"/>
    <col min="13062" max="13062" width="2.5" style="17" customWidth="1"/>
    <col min="13063" max="13302" width="9" style="17"/>
    <col min="13303" max="13303" width="1.25" style="17" customWidth="1"/>
    <col min="13304" max="13304" width="2.5" style="17" customWidth="1"/>
    <col min="13305" max="13305" width="3.625" style="17" customWidth="1"/>
    <col min="13306" max="13310" width="8" style="17" customWidth="1"/>
    <col min="13311" max="13313" width="9" style="17"/>
    <col min="13314" max="13314" width="14.375" style="17" customWidth="1"/>
    <col min="13315" max="13317" width="9" style="17"/>
    <col min="13318" max="13318" width="2.5" style="17" customWidth="1"/>
    <col min="13319" max="13558" width="9" style="17"/>
    <col min="13559" max="13559" width="1.25" style="17" customWidth="1"/>
    <col min="13560" max="13560" width="2.5" style="17" customWidth="1"/>
    <col min="13561" max="13561" width="3.625" style="17" customWidth="1"/>
    <col min="13562" max="13566" width="8" style="17" customWidth="1"/>
    <col min="13567" max="13569" width="9" style="17"/>
    <col min="13570" max="13570" width="14.375" style="17" customWidth="1"/>
    <col min="13571" max="13573" width="9" style="17"/>
    <col min="13574" max="13574" width="2.5" style="17" customWidth="1"/>
    <col min="13575" max="13814" width="9" style="17"/>
    <col min="13815" max="13815" width="1.25" style="17" customWidth="1"/>
    <col min="13816" max="13816" width="2.5" style="17" customWidth="1"/>
    <col min="13817" max="13817" width="3.625" style="17" customWidth="1"/>
    <col min="13818" max="13822" width="8" style="17" customWidth="1"/>
    <col min="13823" max="13825" width="9" style="17"/>
    <col min="13826" max="13826" width="14.375" style="17" customWidth="1"/>
    <col min="13827" max="13829" width="9" style="17"/>
    <col min="13830" max="13830" width="2.5" style="17" customWidth="1"/>
    <col min="13831" max="14070" width="9" style="17"/>
    <col min="14071" max="14071" width="1.25" style="17" customWidth="1"/>
    <col min="14072" max="14072" width="2.5" style="17" customWidth="1"/>
    <col min="14073" max="14073" width="3.625" style="17" customWidth="1"/>
    <col min="14074" max="14078" width="8" style="17" customWidth="1"/>
    <col min="14079" max="14081" width="9" style="17"/>
    <col min="14082" max="14082" width="14.375" style="17" customWidth="1"/>
    <col min="14083" max="14085" width="9" style="17"/>
    <col min="14086" max="14086" width="2.5" style="17" customWidth="1"/>
    <col min="14087" max="14326" width="9" style="17"/>
    <col min="14327" max="14327" width="1.25" style="17" customWidth="1"/>
    <col min="14328" max="14328" width="2.5" style="17" customWidth="1"/>
    <col min="14329" max="14329" width="3.625" style="17" customWidth="1"/>
    <col min="14330" max="14334" width="8" style="17" customWidth="1"/>
    <col min="14335" max="14337" width="9" style="17"/>
    <col min="14338" max="14338" width="14.375" style="17" customWidth="1"/>
    <col min="14339" max="14341" width="9" style="17"/>
    <col min="14342" max="14342" width="2.5" style="17" customWidth="1"/>
    <col min="14343" max="14582" width="9" style="17"/>
    <col min="14583" max="14583" width="1.25" style="17" customWidth="1"/>
    <col min="14584" max="14584" width="2.5" style="17" customWidth="1"/>
    <col min="14585" max="14585" width="3.625" style="17" customWidth="1"/>
    <col min="14586" max="14590" width="8" style="17" customWidth="1"/>
    <col min="14591" max="14593" width="9" style="17"/>
    <col min="14594" max="14594" width="14.375" style="17" customWidth="1"/>
    <col min="14595" max="14597" width="9" style="17"/>
    <col min="14598" max="14598" width="2.5" style="17" customWidth="1"/>
    <col min="14599" max="14838" width="9" style="17"/>
    <col min="14839" max="14839" width="1.25" style="17" customWidth="1"/>
    <col min="14840" max="14840" width="2.5" style="17" customWidth="1"/>
    <col min="14841" max="14841" width="3.625" style="17" customWidth="1"/>
    <col min="14842" max="14846" width="8" style="17" customWidth="1"/>
    <col min="14847" max="14849" width="9" style="17"/>
    <col min="14850" max="14850" width="14.375" style="17" customWidth="1"/>
    <col min="14851" max="14853" width="9" style="17"/>
    <col min="14854" max="14854" width="2.5" style="17" customWidth="1"/>
    <col min="14855" max="15094" width="9" style="17"/>
    <col min="15095" max="15095" width="1.25" style="17" customWidth="1"/>
    <col min="15096" max="15096" width="2.5" style="17" customWidth="1"/>
    <col min="15097" max="15097" width="3.625" style="17" customWidth="1"/>
    <col min="15098" max="15102" width="8" style="17" customWidth="1"/>
    <col min="15103" max="15105" width="9" style="17"/>
    <col min="15106" max="15106" width="14.375" style="17" customWidth="1"/>
    <col min="15107" max="15109" width="9" style="17"/>
    <col min="15110" max="15110" width="2.5" style="17" customWidth="1"/>
    <col min="15111" max="15350" width="9" style="17"/>
    <col min="15351" max="15351" width="1.25" style="17" customWidth="1"/>
    <col min="15352" max="15352" width="2.5" style="17" customWidth="1"/>
    <col min="15353" max="15353" width="3.625" style="17" customWidth="1"/>
    <col min="15354" max="15358" width="8" style="17" customWidth="1"/>
    <col min="15359" max="15361" width="9" style="17"/>
    <col min="15362" max="15362" width="14.375" style="17" customWidth="1"/>
    <col min="15363" max="15365" width="9" style="17"/>
    <col min="15366" max="15366" width="2.5" style="17" customWidth="1"/>
    <col min="15367" max="15606" width="9" style="17"/>
    <col min="15607" max="15607" width="1.25" style="17" customWidth="1"/>
    <col min="15608" max="15608" width="2.5" style="17" customWidth="1"/>
    <col min="15609" max="15609" width="3.625" style="17" customWidth="1"/>
    <col min="15610" max="15614" width="8" style="17" customWidth="1"/>
    <col min="15615" max="15617" width="9" style="17"/>
    <col min="15618" max="15618" width="14.375" style="17" customWidth="1"/>
    <col min="15619" max="15621" width="9" style="17"/>
    <col min="15622" max="15622" width="2.5" style="17" customWidth="1"/>
    <col min="15623" max="15862" width="9" style="17"/>
    <col min="15863" max="15863" width="1.25" style="17" customWidth="1"/>
    <col min="15864" max="15864" width="2.5" style="17" customWidth="1"/>
    <col min="15865" max="15865" width="3.625" style="17" customWidth="1"/>
    <col min="15866" max="15870" width="8" style="17" customWidth="1"/>
    <col min="15871" max="15873" width="9" style="17"/>
    <col min="15874" max="15874" width="14.375" style="17" customWidth="1"/>
    <col min="15875" max="15877" width="9" style="17"/>
    <col min="15878" max="15878" width="2.5" style="17" customWidth="1"/>
    <col min="15879" max="16118" width="9" style="17"/>
    <col min="16119" max="16119" width="1.25" style="17" customWidth="1"/>
    <col min="16120" max="16120" width="2.5" style="17" customWidth="1"/>
    <col min="16121" max="16121" width="3.625" style="17" customWidth="1"/>
    <col min="16122" max="16126" width="8" style="17" customWidth="1"/>
    <col min="16127" max="16129" width="9" style="17"/>
    <col min="16130" max="16130" width="14.375" style="17" customWidth="1"/>
    <col min="16131" max="16133" width="9" style="17"/>
    <col min="16134" max="16134" width="2.5" style="17" customWidth="1"/>
    <col min="16135" max="16384" width="9" style="17"/>
  </cols>
  <sheetData>
    <row r="1" spans="1:21" ht="15" thickBot="1" x14ac:dyDescent="0.25">
      <c r="A1" s="14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</row>
    <row r="2" spans="1:21" ht="15" thickTop="1" x14ac:dyDescent="0.2">
      <c r="A2" s="14"/>
      <c r="B2" s="18"/>
      <c r="C2" s="19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6"/>
      <c r="Q2" s="16"/>
      <c r="R2" s="16"/>
      <c r="S2" s="16"/>
      <c r="T2" s="16"/>
      <c r="U2" s="16"/>
    </row>
    <row r="3" spans="1:21" x14ac:dyDescent="0.2">
      <c r="A3" s="14"/>
      <c r="B3" s="22"/>
      <c r="C3" s="8"/>
      <c r="D3" s="3"/>
      <c r="E3" s="3"/>
      <c r="F3" s="3"/>
      <c r="G3" s="8"/>
      <c r="H3" s="8"/>
      <c r="I3" s="8"/>
      <c r="J3" s="8"/>
      <c r="K3" s="8"/>
      <c r="L3" s="8"/>
      <c r="M3" s="8"/>
      <c r="N3" s="8"/>
      <c r="O3" s="2"/>
      <c r="P3" s="16"/>
      <c r="Q3" s="16"/>
      <c r="R3" s="16"/>
      <c r="S3" s="16"/>
      <c r="T3" s="16"/>
      <c r="U3" s="16"/>
    </row>
    <row r="4" spans="1:21" x14ac:dyDescent="0.2">
      <c r="A4" s="14"/>
      <c r="B4" s="22"/>
      <c r="C4" s="8"/>
      <c r="D4" s="3"/>
      <c r="E4" s="8"/>
      <c r="F4" s="8"/>
      <c r="G4" s="8"/>
      <c r="H4" s="8"/>
      <c r="I4" s="8"/>
      <c r="J4" s="8"/>
      <c r="K4" s="8"/>
      <c r="L4" s="8"/>
      <c r="M4" s="8"/>
      <c r="N4" s="8"/>
      <c r="O4" s="2"/>
      <c r="P4" s="16"/>
      <c r="Q4" s="16"/>
      <c r="R4" s="16"/>
      <c r="S4" s="16"/>
      <c r="T4" s="16"/>
      <c r="U4" s="16"/>
    </row>
    <row r="5" spans="1:21" ht="34.5" x14ac:dyDescent="0.45">
      <c r="A5" s="14"/>
      <c r="B5" s="22"/>
      <c r="C5" s="8"/>
      <c r="D5" s="3"/>
      <c r="E5" s="8"/>
      <c r="F5" s="8"/>
      <c r="G5" s="8"/>
      <c r="H5" s="8"/>
      <c r="I5" s="8"/>
      <c r="J5" s="8"/>
      <c r="K5" s="8"/>
      <c r="L5" s="1" t="s">
        <v>0</v>
      </c>
      <c r="N5" s="1"/>
      <c r="O5" s="2"/>
      <c r="P5" s="16"/>
      <c r="Q5" s="16"/>
      <c r="R5" s="16"/>
      <c r="S5" s="16"/>
      <c r="T5" s="16"/>
      <c r="U5" s="16"/>
    </row>
    <row r="6" spans="1:21" ht="34.5" x14ac:dyDescent="0.45">
      <c r="A6" s="14"/>
      <c r="B6" s="22"/>
      <c r="C6" s="8"/>
      <c r="D6" s="3"/>
      <c r="E6" s="8"/>
      <c r="F6" s="8"/>
      <c r="G6" s="8"/>
      <c r="H6" s="8"/>
      <c r="I6" s="8"/>
      <c r="J6" s="8"/>
      <c r="K6" s="8"/>
      <c r="L6" s="1" t="str">
        <f>Des!C5</f>
        <v>SVG1</v>
      </c>
      <c r="M6" s="50" t="str">
        <f>L6</f>
        <v>SVG1</v>
      </c>
      <c r="N6" s="1"/>
      <c r="O6" s="2"/>
      <c r="P6" s="16"/>
      <c r="Q6" s="16"/>
      <c r="R6" s="16"/>
      <c r="S6" s="16"/>
      <c r="T6" s="16"/>
      <c r="U6" s="16"/>
    </row>
    <row r="7" spans="1:21" x14ac:dyDescent="0.2">
      <c r="A7" s="14"/>
      <c r="B7" s="22"/>
      <c r="C7" s="8"/>
      <c r="D7" s="3"/>
      <c r="E7" s="8"/>
      <c r="F7" s="13"/>
      <c r="G7" s="3"/>
      <c r="H7" s="3"/>
      <c r="I7" s="3"/>
      <c r="J7" s="3"/>
      <c r="K7" s="3"/>
      <c r="L7" s="3"/>
      <c r="N7" s="3"/>
      <c r="O7" s="2"/>
      <c r="P7" s="16"/>
      <c r="Q7" s="16"/>
      <c r="R7" s="16"/>
      <c r="S7" s="16"/>
      <c r="T7" s="16"/>
      <c r="U7" s="16"/>
    </row>
    <row r="8" spans="1:21" x14ac:dyDescent="0.2">
      <c r="A8" s="14"/>
      <c r="B8" s="22"/>
      <c r="C8" s="8"/>
      <c r="D8" s="3"/>
      <c r="E8" s="8"/>
      <c r="F8" s="13"/>
      <c r="G8" s="3"/>
      <c r="H8" s="3"/>
      <c r="I8" s="3"/>
      <c r="J8" s="3"/>
      <c r="K8" s="3"/>
      <c r="L8" s="3"/>
      <c r="N8" s="3"/>
      <c r="O8" s="2"/>
      <c r="P8" s="16"/>
      <c r="Q8" s="16"/>
      <c r="R8" s="16"/>
      <c r="S8" s="16"/>
      <c r="T8" s="16"/>
      <c r="U8" s="16"/>
    </row>
    <row r="9" spans="1:21" x14ac:dyDescent="0.3">
      <c r="A9" s="15"/>
      <c r="B9" s="22"/>
      <c r="C9" s="8"/>
      <c r="D9" s="4"/>
      <c r="E9" s="6"/>
      <c r="F9" s="6"/>
      <c r="G9" s="4"/>
      <c r="H9" s="4"/>
      <c r="I9" s="4"/>
      <c r="J9" s="4"/>
      <c r="K9" s="4"/>
      <c r="L9" s="4"/>
      <c r="N9" s="4"/>
      <c r="O9" s="5"/>
      <c r="P9" s="16"/>
      <c r="Q9" s="16"/>
      <c r="R9" s="16"/>
      <c r="S9" s="16"/>
      <c r="T9" s="16"/>
      <c r="U9" s="16"/>
    </row>
    <row r="10" spans="1:21" ht="23.25" x14ac:dyDescent="0.35">
      <c r="A10" s="15"/>
      <c r="B10" s="22"/>
      <c r="C10" s="8"/>
      <c r="D10" s="4"/>
      <c r="E10" s="6"/>
      <c r="F10" s="6"/>
      <c r="G10" s="6"/>
      <c r="H10" s="6"/>
      <c r="I10" s="6"/>
      <c r="J10" s="23"/>
      <c r="K10" s="6"/>
      <c r="L10" s="7" t="s">
        <v>10</v>
      </c>
      <c r="N10" s="6"/>
      <c r="O10" s="5"/>
      <c r="P10" s="16"/>
      <c r="Q10" s="16"/>
      <c r="R10" s="16"/>
      <c r="S10" s="16"/>
      <c r="T10" s="16"/>
      <c r="U10" s="16"/>
    </row>
    <row r="11" spans="1:21" ht="20.25" x14ac:dyDescent="0.3">
      <c r="A11" s="15"/>
      <c r="B11" s="22"/>
      <c r="C11" s="8"/>
      <c r="D11" s="4"/>
      <c r="E11" s="6"/>
      <c r="F11" s="6"/>
      <c r="G11" s="6"/>
      <c r="H11" s="6"/>
      <c r="I11" s="6"/>
      <c r="J11" s="24"/>
      <c r="K11" s="6"/>
      <c r="L11" s="42" t="s">
        <v>34</v>
      </c>
      <c r="N11" s="6"/>
      <c r="O11" s="5"/>
      <c r="P11" s="16"/>
      <c r="Q11" s="16"/>
      <c r="R11" s="16"/>
      <c r="S11" s="16"/>
      <c r="T11" s="16"/>
      <c r="U11" s="16"/>
    </row>
    <row r="12" spans="1:21" ht="18" x14ac:dyDescent="0.3">
      <c r="A12" s="15"/>
      <c r="B12" s="22"/>
      <c r="C12" s="8"/>
      <c r="D12" s="4"/>
      <c r="E12" s="6"/>
      <c r="F12" s="6"/>
      <c r="G12" s="6"/>
      <c r="H12" s="8"/>
      <c r="I12" s="8"/>
      <c r="J12" s="8"/>
      <c r="K12" s="8"/>
      <c r="L12" s="42"/>
      <c r="N12" s="8"/>
      <c r="O12" s="2"/>
      <c r="P12" s="16"/>
      <c r="Q12" s="16"/>
      <c r="R12" s="16"/>
      <c r="S12" s="16"/>
      <c r="T12" s="16"/>
      <c r="U12" s="16"/>
    </row>
    <row r="13" spans="1:21" ht="20.25" x14ac:dyDescent="0.3">
      <c r="A13" s="15"/>
      <c r="B13" s="22"/>
      <c r="C13" s="8"/>
      <c r="D13" s="4"/>
      <c r="E13" s="6"/>
      <c r="F13" s="6"/>
      <c r="G13" s="6"/>
      <c r="H13" s="6"/>
      <c r="I13" s="6"/>
      <c r="J13" s="23"/>
      <c r="K13" s="6"/>
      <c r="L13" s="42"/>
      <c r="N13" s="8"/>
      <c r="O13" s="2"/>
      <c r="P13" s="16"/>
      <c r="Q13" s="16"/>
      <c r="R13" s="16"/>
      <c r="S13" s="16"/>
      <c r="T13" s="16"/>
      <c r="U13" s="16"/>
    </row>
    <row r="14" spans="1:21" x14ac:dyDescent="0.2">
      <c r="A14" s="15"/>
      <c r="B14" s="22"/>
      <c r="C14" s="8"/>
      <c r="D14" s="4"/>
      <c r="E14" s="4"/>
      <c r="F14" s="4"/>
      <c r="G14" s="4"/>
      <c r="H14" s="4"/>
      <c r="I14" s="4"/>
      <c r="J14" s="4"/>
      <c r="K14" s="4"/>
      <c r="L14" s="124"/>
      <c r="M14" s="124"/>
      <c r="N14" s="124"/>
      <c r="O14" s="2"/>
      <c r="P14" s="16"/>
      <c r="Q14" s="16"/>
      <c r="R14" s="16"/>
      <c r="S14" s="16"/>
      <c r="T14" s="16"/>
      <c r="U14" s="16"/>
    </row>
    <row r="15" spans="1:21" x14ac:dyDescent="0.3">
      <c r="A15" s="15"/>
      <c r="B15" s="22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5"/>
      <c r="P15" s="16"/>
      <c r="Q15" s="16"/>
      <c r="R15" s="16"/>
      <c r="S15" s="16"/>
      <c r="T15" s="16"/>
      <c r="U15" s="16"/>
    </row>
    <row r="16" spans="1:21" x14ac:dyDescent="0.3">
      <c r="A16" s="15"/>
      <c r="B16" s="22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5"/>
      <c r="P16" s="16"/>
      <c r="Q16" s="16"/>
      <c r="R16" s="16"/>
      <c r="S16" s="16"/>
      <c r="T16" s="16"/>
      <c r="U16" s="16"/>
    </row>
    <row r="17" spans="1:21" x14ac:dyDescent="0.3">
      <c r="A17" s="15"/>
      <c r="B17" s="22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5"/>
      <c r="P17" s="16"/>
      <c r="Q17" s="16"/>
      <c r="R17" s="16"/>
      <c r="S17" s="16"/>
      <c r="T17" s="16"/>
      <c r="U17" s="16"/>
    </row>
    <row r="18" spans="1:21" x14ac:dyDescent="0.3">
      <c r="A18" s="15"/>
      <c r="B18" s="22"/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5"/>
      <c r="P18" s="16"/>
      <c r="Q18" s="16"/>
      <c r="R18" s="16"/>
      <c r="S18" s="16"/>
      <c r="T18" s="16"/>
      <c r="U18" s="16"/>
    </row>
    <row r="19" spans="1:21" x14ac:dyDescent="0.3">
      <c r="A19" s="15"/>
      <c r="B19" s="22"/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5"/>
      <c r="P19" s="16"/>
      <c r="Q19" s="16"/>
      <c r="R19" s="16"/>
      <c r="S19" s="16"/>
      <c r="T19" s="16"/>
      <c r="U19" s="16"/>
    </row>
    <row r="20" spans="1:21" x14ac:dyDescent="0.3">
      <c r="A20" s="15"/>
      <c r="B20" s="22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5"/>
      <c r="P20" s="16"/>
      <c r="Q20" s="16"/>
      <c r="R20" s="16"/>
      <c r="S20" s="16"/>
      <c r="T20" s="16"/>
      <c r="U20" s="16"/>
    </row>
    <row r="21" spans="1:21" ht="15" thickBot="1" x14ac:dyDescent="0.35">
      <c r="A21" s="15"/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16"/>
      <c r="Q21" s="16"/>
      <c r="R21" s="16"/>
      <c r="S21" s="16"/>
      <c r="T21" s="16"/>
      <c r="U21" s="16"/>
    </row>
    <row r="22" spans="1:21" ht="15" thickTop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</sheetData>
  <phoneticPr fontId="1" type="noConversion"/>
  <pageMargins left="0.7" right="0.7" top="0.75" bottom="0.75" header="0.3" footer="0.3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0000"/>
  </sheetPr>
  <dimension ref="A1:J63"/>
  <sheetViews>
    <sheetView showGridLines="0" zoomScale="85" zoomScaleNormal="85" workbookViewId="0">
      <selection activeCell="C10" sqref="C10"/>
    </sheetView>
  </sheetViews>
  <sheetFormatPr defaultColWidth="9" defaultRowHeight="13.5" x14ac:dyDescent="0.3"/>
  <cols>
    <col min="1" max="1" width="1.625" style="10" customWidth="1"/>
    <col min="2" max="2" width="30.625" style="10" customWidth="1"/>
    <col min="3" max="3" width="79.5" style="10" customWidth="1"/>
    <col min="4" max="4" width="11.625" style="10" customWidth="1"/>
    <col min="5" max="16384" width="9" style="10"/>
  </cols>
  <sheetData>
    <row r="1" spans="1:10" ht="30" customHeight="1" x14ac:dyDescent="0.3">
      <c r="A1" s="9"/>
      <c r="B1" s="30" t="str">
        <f>"Project"&amp;" "&amp;Title!L6</f>
        <v>Project SVG1</v>
      </c>
      <c r="C1" s="177" t="str">
        <f>$C$12</f>
        <v>DRAFT - For Discussion Purposes Only</v>
      </c>
    </row>
    <row r="2" spans="1:10" ht="20.100000000000001" customHeight="1" x14ac:dyDescent="0.3">
      <c r="A2" s="11"/>
      <c r="B2" s="178" t="s">
        <v>1</v>
      </c>
      <c r="C2" s="179"/>
    </row>
    <row r="3" spans="1:10" ht="15" customHeight="1" x14ac:dyDescent="0.3">
      <c r="A3" s="11"/>
      <c r="B3" s="12"/>
      <c r="C3" s="11"/>
      <c r="D3" s="11"/>
    </row>
    <row r="4" spans="1:10" ht="15" customHeight="1" x14ac:dyDescent="0.3">
      <c r="G4" s="10" t="s">
        <v>56</v>
      </c>
    </row>
    <row r="5" spans="1:10" ht="18" customHeight="1" x14ac:dyDescent="0.3">
      <c r="B5" s="180" t="s">
        <v>2</v>
      </c>
      <c r="C5" s="181" t="s">
        <v>189</v>
      </c>
      <c r="G5" s="10" t="s">
        <v>60</v>
      </c>
    </row>
    <row r="6" spans="1:10" ht="18" customHeight="1" x14ac:dyDescent="0.3">
      <c r="B6" s="182" t="s">
        <v>3</v>
      </c>
      <c r="C6" s="183" t="s">
        <v>190</v>
      </c>
    </row>
    <row r="7" spans="1:10" ht="18" customHeight="1" x14ac:dyDescent="0.3">
      <c r="B7" s="182" t="s">
        <v>4</v>
      </c>
      <c r="C7" s="183" t="s">
        <v>190</v>
      </c>
      <c r="D7" s="98"/>
      <c r="G7" s="3" t="s">
        <v>92</v>
      </c>
      <c r="H7" s="3"/>
      <c r="I7" s="3"/>
      <c r="J7" s="3"/>
    </row>
    <row r="8" spans="1:10" ht="18" customHeight="1" thickBot="1" x14ac:dyDescent="0.35">
      <c r="B8" s="182" t="s">
        <v>5</v>
      </c>
      <c r="C8" s="184">
        <v>43100</v>
      </c>
      <c r="G8" s="65" t="s">
        <v>93</v>
      </c>
      <c r="H8" s="185" t="s">
        <v>94</v>
      </c>
      <c r="I8" s="185" t="s">
        <v>95</v>
      </c>
      <c r="J8" s="185" t="s">
        <v>96</v>
      </c>
    </row>
    <row r="9" spans="1:10" ht="18" customHeight="1" x14ac:dyDescent="0.3">
      <c r="B9" s="182" t="s">
        <v>6</v>
      </c>
      <c r="C9" s="184">
        <f>IF(C8=DATE(YEAR(C8),12,31),DATE(YEAR(C8+1),12,31),DATE(YEAR(C8),12,31))</f>
        <v>43465</v>
      </c>
      <c r="G9" s="186" t="s">
        <v>97</v>
      </c>
      <c r="H9" s="99">
        <v>0</v>
      </c>
      <c r="I9" s="99">
        <v>51</v>
      </c>
      <c r="J9" s="99">
        <v>141</v>
      </c>
    </row>
    <row r="10" spans="1:10" ht="18" customHeight="1" x14ac:dyDescent="0.3">
      <c r="B10" s="182" t="s">
        <v>7</v>
      </c>
      <c r="C10" s="188">
        <f>(C9-C8)/365</f>
        <v>1</v>
      </c>
      <c r="G10" s="187" t="s">
        <v>98</v>
      </c>
      <c r="H10" s="99">
        <v>0</v>
      </c>
      <c r="I10" s="99">
        <v>94</v>
      </c>
      <c r="J10" s="99">
        <v>184</v>
      </c>
    </row>
    <row r="11" spans="1:10" ht="18" customHeight="1" x14ac:dyDescent="0.3">
      <c r="B11" s="182" t="s">
        <v>8</v>
      </c>
      <c r="C11" s="183" t="s">
        <v>191</v>
      </c>
      <c r="G11" s="189" t="s">
        <v>99</v>
      </c>
      <c r="H11" s="99">
        <v>0</v>
      </c>
      <c r="I11" s="99">
        <v>145</v>
      </c>
      <c r="J11" s="99">
        <v>218</v>
      </c>
    </row>
    <row r="12" spans="1:10" ht="18" customHeight="1" x14ac:dyDescent="0.3">
      <c r="B12" s="182" t="s">
        <v>11</v>
      </c>
      <c r="C12" s="190" t="s">
        <v>56</v>
      </c>
      <c r="G12" s="99"/>
      <c r="H12" s="99"/>
      <c r="I12" s="99"/>
      <c r="J12" s="99"/>
    </row>
    <row r="13" spans="1:10" ht="18" customHeight="1" x14ac:dyDescent="0.3">
      <c r="B13" s="182" t="s">
        <v>9</v>
      </c>
      <c r="C13" s="190" t="s">
        <v>101</v>
      </c>
      <c r="G13" s="65" t="s">
        <v>100</v>
      </c>
      <c r="H13" s="99"/>
      <c r="I13" s="99"/>
      <c r="J13" s="99"/>
    </row>
    <row r="14" spans="1:10" ht="18" customHeight="1" thickBot="1" x14ac:dyDescent="0.35">
      <c r="B14" s="192" t="s">
        <v>103</v>
      </c>
      <c r="C14" s="193">
        <v>0.01</v>
      </c>
      <c r="G14" s="191" t="s">
        <v>102</v>
      </c>
      <c r="H14" s="99">
        <v>72</v>
      </c>
      <c r="I14" s="99">
        <v>54</v>
      </c>
      <c r="J14" s="99">
        <v>152</v>
      </c>
    </row>
    <row r="15" spans="1:10" ht="18" customHeight="1" x14ac:dyDescent="0.3">
      <c r="G15" s="194" t="s">
        <v>104</v>
      </c>
      <c r="H15" s="99">
        <v>71</v>
      </c>
      <c r="I15" s="99">
        <v>10</v>
      </c>
      <c r="J15" s="99">
        <v>104</v>
      </c>
    </row>
    <row r="16" spans="1:10" ht="18" customHeight="1" x14ac:dyDescent="0.3">
      <c r="G16" s="195" t="s">
        <v>105</v>
      </c>
      <c r="H16" s="99">
        <v>109</v>
      </c>
      <c r="I16" s="99">
        <v>32</v>
      </c>
      <c r="J16" s="99">
        <v>119</v>
      </c>
    </row>
    <row r="17" spans="7:10" ht="18" customHeight="1" x14ac:dyDescent="0.3">
      <c r="G17" s="196" t="s">
        <v>106</v>
      </c>
      <c r="H17" s="99">
        <v>0</v>
      </c>
      <c r="I17" s="99">
        <v>163</v>
      </c>
      <c r="J17" s="99">
        <v>161</v>
      </c>
    </row>
    <row r="18" spans="7:10" ht="18" customHeight="1" x14ac:dyDescent="0.3">
      <c r="G18" s="99"/>
      <c r="H18" s="99"/>
      <c r="I18" s="99"/>
      <c r="J18" s="99"/>
    </row>
    <row r="19" spans="7:10" ht="18" customHeight="1" x14ac:dyDescent="0.3">
      <c r="G19" s="65" t="s">
        <v>107</v>
      </c>
      <c r="H19" s="99"/>
      <c r="I19" s="99"/>
      <c r="J19" s="99"/>
    </row>
    <row r="20" spans="7:10" ht="18" customHeight="1" x14ac:dyDescent="0.3">
      <c r="G20" s="197"/>
      <c r="H20" s="99">
        <v>0</v>
      </c>
      <c r="I20" s="99">
        <v>154</v>
      </c>
      <c r="J20" s="99">
        <v>68</v>
      </c>
    </row>
    <row r="21" spans="7:10" ht="18" customHeight="1" x14ac:dyDescent="0.3">
      <c r="G21" s="198"/>
      <c r="H21" s="99">
        <v>67</v>
      </c>
      <c r="I21" s="99">
        <v>176</v>
      </c>
      <c r="J21" s="99">
        <v>42</v>
      </c>
    </row>
    <row r="22" spans="7:10" ht="18" customHeight="1" x14ac:dyDescent="0.3">
      <c r="G22" s="199"/>
      <c r="H22" s="99">
        <v>234</v>
      </c>
      <c r="I22" s="99">
        <v>170</v>
      </c>
      <c r="J22" s="99">
        <v>0</v>
      </c>
    </row>
    <row r="23" spans="7:10" ht="18" customHeight="1" x14ac:dyDescent="0.3">
      <c r="G23" s="200"/>
      <c r="H23" s="99">
        <v>246</v>
      </c>
      <c r="I23" s="99">
        <v>141</v>
      </c>
      <c r="J23" s="99">
        <v>46</v>
      </c>
    </row>
    <row r="24" spans="7:10" ht="18" customHeight="1" x14ac:dyDescent="0.3">
      <c r="G24" s="201"/>
      <c r="H24" s="99">
        <v>188</v>
      </c>
      <c r="I24" s="99">
        <v>32</v>
      </c>
      <c r="J24" s="99">
        <v>75</v>
      </c>
    </row>
    <row r="25" spans="7:10" ht="18" customHeight="1" x14ac:dyDescent="0.3">
      <c r="G25" s="202"/>
      <c r="H25" s="99">
        <v>198</v>
      </c>
      <c r="I25" s="99">
        <v>0</v>
      </c>
      <c r="J25" s="99">
        <v>126</v>
      </c>
    </row>
    <row r="26" spans="7:10" ht="18" customHeight="1" x14ac:dyDescent="0.3"/>
    <row r="27" spans="7:10" ht="18" customHeight="1" x14ac:dyDescent="0.3"/>
    <row r="28" spans="7:10" ht="18" customHeight="1" x14ac:dyDescent="0.3"/>
    <row r="29" spans="7:10" ht="18" customHeight="1" x14ac:dyDescent="0.3"/>
    <row r="30" spans="7:10" ht="15" customHeight="1" x14ac:dyDescent="0.3"/>
    <row r="31" spans="7:10" ht="15" customHeight="1" x14ac:dyDescent="0.3"/>
    <row r="32" spans="7:1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</sheetData>
  <mergeCells count="1">
    <mergeCell ref="G7:J7"/>
  </mergeCells>
  <phoneticPr fontId="1" type="noConversion"/>
  <dataValidations count="1">
    <dataValidation type="list" allowBlank="1" showInputMessage="1" showErrorMessage="1" sqref="C12">
      <formula1>$G$4:$G$5</formula1>
    </dataValidation>
  </dataValidations>
  <pageMargins left="0.59055118110236227" right="0.59055118110236227" top="0.59055118110236227" bottom="0.59055118110236227" header="0.31496062992125984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0000"/>
  </sheetPr>
  <dimension ref="A1:I26"/>
  <sheetViews>
    <sheetView showGridLines="0" zoomScale="85" zoomScaleNormal="85" workbookViewId="0">
      <selection activeCell="F36" sqref="F36"/>
    </sheetView>
  </sheetViews>
  <sheetFormatPr defaultColWidth="9" defaultRowHeight="13.5" x14ac:dyDescent="0.3"/>
  <cols>
    <col min="1" max="1" width="1.625" style="10" customWidth="1"/>
    <col min="2" max="2" width="23.625" style="10" customWidth="1"/>
    <col min="3" max="3" width="13" style="10" customWidth="1"/>
    <col min="4" max="4" width="7.875" style="10" customWidth="1"/>
    <col min="5" max="5" width="9.25" style="10" customWidth="1"/>
    <col min="6" max="6" width="10.25" style="10" customWidth="1"/>
    <col min="7" max="7" width="26.25" style="10" bestFit="1" customWidth="1"/>
    <col min="8" max="9" width="15.5" style="10" customWidth="1"/>
    <col min="10" max="16384" width="9" style="10"/>
  </cols>
  <sheetData>
    <row r="1" spans="1:9" ht="30" customHeight="1" x14ac:dyDescent="0.3">
      <c r="A1" s="9"/>
      <c r="B1" s="30" t="str">
        <f>"Project"&amp;" "&amp;Title!L6</f>
        <v>Project SVG1</v>
      </c>
      <c r="C1" s="203"/>
      <c r="D1" s="203"/>
      <c r="E1" s="203"/>
      <c r="F1" s="203"/>
      <c r="G1" s="203"/>
      <c r="H1" s="203"/>
      <c r="I1" s="204"/>
    </row>
    <row r="2" spans="1:9" ht="20.100000000000001" customHeight="1" x14ac:dyDescent="0.3">
      <c r="A2" s="11"/>
      <c r="B2" s="205" t="s">
        <v>108</v>
      </c>
      <c r="C2" s="205"/>
      <c r="D2" s="205"/>
      <c r="E2" s="205"/>
      <c r="F2" s="205"/>
      <c r="G2" s="205"/>
      <c r="H2" s="205"/>
      <c r="I2" s="206"/>
    </row>
    <row r="3" spans="1:9" ht="15" customHeight="1" x14ac:dyDescent="0.3">
      <c r="A3" s="11"/>
      <c r="B3" s="12"/>
      <c r="C3" s="11"/>
      <c r="D3" s="11"/>
      <c r="E3" s="11"/>
      <c r="F3" s="11"/>
      <c r="G3" s="11"/>
      <c r="H3" s="11"/>
      <c r="I3" s="11"/>
    </row>
    <row r="4" spans="1:9" ht="15" customHeight="1" x14ac:dyDescent="0.3">
      <c r="B4" s="207" t="s">
        <v>109</v>
      </c>
      <c r="C4" s="208" t="s">
        <v>110</v>
      </c>
      <c r="D4" s="208" t="s">
        <v>111</v>
      </c>
      <c r="E4" s="208" t="s">
        <v>112</v>
      </c>
      <c r="F4" s="208" t="s">
        <v>113</v>
      </c>
      <c r="G4" s="208" t="s">
        <v>114</v>
      </c>
      <c r="H4" s="208" t="s">
        <v>115</v>
      </c>
      <c r="I4" s="209" t="s">
        <v>116</v>
      </c>
    </row>
    <row r="5" spans="1:9" ht="13.5" customHeight="1" x14ac:dyDescent="0.3">
      <c r="B5" s="213" t="s">
        <v>117</v>
      </c>
      <c r="C5" s="214" t="s">
        <v>118</v>
      </c>
      <c r="D5" s="214" t="s">
        <v>192</v>
      </c>
      <c r="E5" s="214" t="s">
        <v>193</v>
      </c>
      <c r="F5" s="214" t="s">
        <v>194</v>
      </c>
      <c r="G5" s="492" t="s">
        <v>195</v>
      </c>
      <c r="H5" s="215" t="s">
        <v>196</v>
      </c>
      <c r="I5" s="216" t="s">
        <v>197</v>
      </c>
    </row>
    <row r="6" spans="1:9" ht="13.5" customHeight="1" x14ac:dyDescent="0.3">
      <c r="B6" s="217" t="s">
        <v>150</v>
      </c>
      <c r="C6" s="210" t="s">
        <v>151</v>
      </c>
      <c r="D6" s="210" t="s">
        <v>198</v>
      </c>
      <c r="E6" s="210" t="s">
        <v>193</v>
      </c>
      <c r="F6" s="210" t="s">
        <v>199</v>
      </c>
      <c r="G6" s="493" t="s">
        <v>200</v>
      </c>
      <c r="H6" s="212" t="s">
        <v>201</v>
      </c>
      <c r="I6" s="211" t="s">
        <v>202</v>
      </c>
    </row>
    <row r="7" spans="1:9" ht="13.5" customHeight="1" x14ac:dyDescent="0.3">
      <c r="B7" s="217" t="s">
        <v>150</v>
      </c>
      <c r="C7" s="210" t="s">
        <v>120</v>
      </c>
      <c r="D7" s="210" t="s">
        <v>203</v>
      </c>
      <c r="E7" s="210" t="s">
        <v>193</v>
      </c>
      <c r="F7" s="210" t="s">
        <v>204</v>
      </c>
      <c r="G7" s="493" t="s">
        <v>205</v>
      </c>
      <c r="H7" s="212" t="s">
        <v>206</v>
      </c>
      <c r="I7" s="211" t="s">
        <v>207</v>
      </c>
    </row>
    <row r="8" spans="1:9" ht="13.5" customHeight="1" x14ac:dyDescent="0.3">
      <c r="B8" s="217" t="s">
        <v>119</v>
      </c>
      <c r="C8" s="210"/>
      <c r="D8" s="210" t="s">
        <v>208</v>
      </c>
      <c r="E8" s="210" t="s">
        <v>193</v>
      </c>
      <c r="F8" s="210" t="s">
        <v>209</v>
      </c>
      <c r="G8" s="493" t="s">
        <v>210</v>
      </c>
      <c r="H8" s="212" t="s">
        <v>211</v>
      </c>
      <c r="I8" s="211" t="s">
        <v>212</v>
      </c>
    </row>
    <row r="9" spans="1:9" ht="13.5" customHeight="1" x14ac:dyDescent="0.3">
      <c r="B9" s="218"/>
      <c r="C9" s="219"/>
      <c r="D9" s="219"/>
      <c r="E9" s="219"/>
      <c r="F9" s="219"/>
      <c r="G9" s="220"/>
      <c r="H9" s="221"/>
      <c r="I9" s="222"/>
    </row>
    <row r="10" spans="1:9" ht="13.5" customHeight="1" x14ac:dyDescent="0.3"/>
    <row r="11" spans="1:9" ht="13.5" customHeight="1" x14ac:dyDescent="0.3"/>
    <row r="12" spans="1:9" ht="13.5" customHeight="1" x14ac:dyDescent="0.3"/>
    <row r="13" spans="1:9" ht="13.5" customHeight="1" x14ac:dyDescent="0.3"/>
    <row r="14" spans="1:9" ht="13.5" customHeight="1" x14ac:dyDescent="0.3"/>
    <row r="15" spans="1:9" ht="13.5" customHeight="1" x14ac:dyDescent="0.3"/>
    <row r="16" spans="1:9" ht="13.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</sheetData>
  <phoneticPr fontId="1" type="noConversion"/>
  <hyperlinks>
    <hyperlink ref="G5" r:id="rId1"/>
    <hyperlink ref="G6" r:id="rId2"/>
    <hyperlink ref="G7" r:id="rId3"/>
    <hyperlink ref="G8" r:id="rId4"/>
  </hyperlinks>
  <pageMargins left="0.59055118110236227" right="0.59055118110236227" top="0.59055118110236227" bottom="0.59055118110236227" header="0.31496062992125984" footer="0.31496062992125984"/>
  <pageSetup paperSize="9" scale="9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1"/>
  </sheetPr>
  <dimension ref="A1"/>
  <sheetViews>
    <sheetView showGridLines="0" zoomScale="85" zoomScaleNormal="85" workbookViewId="0"/>
  </sheetViews>
  <sheetFormatPr defaultColWidth="9" defaultRowHeight="16.5" x14ac:dyDescent="0.3"/>
  <cols>
    <col min="1" max="16384" width="9" style="40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7</v>
      </c>
      <c r="B2">
        <v>5</v>
      </c>
      <c r="C2">
        <v>12</v>
      </c>
      <c r="D2">
        <v>7</v>
      </c>
      <c r="E2" t="s">
        <v>79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14</v>
      </c>
      <c r="B2">
        <v>17</v>
      </c>
      <c r="C2">
        <v>17</v>
      </c>
      <c r="D2">
        <v>22</v>
      </c>
      <c r="E2" t="s">
        <v>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00338D"/>
  </sheetPr>
  <dimension ref="A1:R38"/>
  <sheetViews>
    <sheetView showGridLines="0" zoomScale="85" zoomScaleNormal="85" workbookViewId="0">
      <selection activeCell="M4" sqref="M4"/>
    </sheetView>
  </sheetViews>
  <sheetFormatPr defaultColWidth="9" defaultRowHeight="13.5" x14ac:dyDescent="0.3"/>
  <cols>
    <col min="1" max="1" width="1.625" style="158" customWidth="1"/>
    <col min="2" max="2" width="25.625" style="158" customWidth="1"/>
    <col min="3" max="7" width="9.625" style="158" customWidth="1"/>
    <col min="8" max="8" width="19.25" style="158" customWidth="1"/>
    <col min="9" max="13" width="15.25" style="158" customWidth="1"/>
    <col min="14" max="14" width="51.5" style="158" customWidth="1"/>
    <col min="15" max="15" width="21.5" style="158" customWidth="1"/>
    <col min="16" max="16" width="2.125" style="158" customWidth="1"/>
    <col min="17" max="17" width="20.875" style="158" customWidth="1"/>
    <col min="18" max="16384" width="9" style="158"/>
  </cols>
  <sheetData>
    <row r="1" spans="1:18" ht="27" customHeight="1" x14ac:dyDescent="0.3">
      <c r="A1" s="44"/>
      <c r="B1" s="223" t="str">
        <f>"Project"&amp;" "&amp;Title!L6</f>
        <v>Project SVG1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</row>
    <row r="2" spans="1:18" ht="21" customHeight="1" x14ac:dyDescent="0.3">
      <c r="A2" s="45"/>
      <c r="B2" s="225" t="s">
        <v>121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</row>
    <row r="3" spans="1:18" ht="15" customHeight="1" x14ac:dyDescent="0.3">
      <c r="A3" s="45"/>
      <c r="B3" s="46"/>
      <c r="C3" s="45"/>
      <c r="D3" s="45"/>
      <c r="E3" s="45"/>
      <c r="F3" s="45"/>
      <c r="G3" s="45"/>
      <c r="H3" s="45"/>
      <c r="I3" s="45"/>
    </row>
    <row r="4" spans="1:18" ht="27.75" customHeight="1" x14ac:dyDescent="0.3">
      <c r="B4" s="227" t="s">
        <v>122</v>
      </c>
      <c r="C4" s="228" t="s">
        <v>123</v>
      </c>
      <c r="D4" s="228"/>
      <c r="E4" s="229" t="s">
        <v>124</v>
      </c>
      <c r="F4" s="230" t="s">
        <v>84</v>
      </c>
      <c r="I4" s="119"/>
      <c r="J4" s="119"/>
      <c r="K4" s="119"/>
      <c r="L4" s="119"/>
      <c r="M4" s="119"/>
    </row>
    <row r="5" spans="1:18" ht="15" customHeight="1" x14ac:dyDescent="0.3">
      <c r="B5" s="231" t="s">
        <v>125</v>
      </c>
      <c r="C5" s="232"/>
      <c r="D5" s="232">
        <f>E5-C5</f>
        <v>0</v>
      </c>
      <c r="E5" s="233"/>
      <c r="F5" s="234"/>
    </row>
    <row r="6" spans="1:18" ht="15" customHeight="1" x14ac:dyDescent="0.45">
      <c r="B6" s="235" t="s">
        <v>83</v>
      </c>
      <c r="C6" s="123"/>
      <c r="D6" s="123">
        <f t="shared" ref="D6:D7" si="0">E6-C6</f>
        <v>0</v>
      </c>
      <c r="E6" s="236"/>
      <c r="F6" s="234"/>
      <c r="H6" s="175"/>
      <c r="I6" s="1"/>
      <c r="J6" s="1"/>
      <c r="K6" s="1"/>
      <c r="L6" s="1"/>
      <c r="M6" s="1"/>
    </row>
    <row r="7" spans="1:18" ht="15" customHeight="1" x14ac:dyDescent="0.3">
      <c r="B7" s="237" t="s">
        <v>75</v>
      </c>
      <c r="C7" s="238"/>
      <c r="D7" s="238">
        <f t="shared" si="0"/>
        <v>0</v>
      </c>
      <c r="E7" s="239"/>
      <c r="F7" s="239"/>
      <c r="H7" s="176"/>
      <c r="I7" s="35"/>
      <c r="J7" s="35"/>
      <c r="K7" s="35"/>
      <c r="L7" s="35"/>
      <c r="M7" s="35"/>
      <c r="N7" s="165"/>
      <c r="O7" s="165"/>
      <c r="P7" s="165"/>
      <c r="Q7" s="165"/>
      <c r="R7" s="165"/>
    </row>
    <row r="8" spans="1:18" ht="15" customHeight="1" x14ac:dyDescent="0.3">
      <c r="H8" s="164"/>
      <c r="I8" s="240"/>
      <c r="J8" s="240"/>
      <c r="K8" s="240"/>
      <c r="L8" s="240"/>
      <c r="M8" s="240"/>
      <c r="N8" s="165"/>
      <c r="O8" s="165"/>
      <c r="P8" s="165"/>
      <c r="Q8" s="165"/>
      <c r="R8" s="165"/>
    </row>
    <row r="9" spans="1:18" ht="15" customHeight="1" x14ac:dyDescent="0.3">
      <c r="H9" s="165"/>
      <c r="I9" s="165"/>
      <c r="J9" s="165"/>
      <c r="K9" s="165"/>
      <c r="L9" s="165"/>
      <c r="M9" s="165"/>
      <c r="N9" s="175"/>
      <c r="O9" s="175"/>
      <c r="P9" s="166"/>
      <c r="Q9" s="175"/>
      <c r="R9" s="165"/>
    </row>
    <row r="10" spans="1:18" ht="15" customHeight="1" x14ac:dyDescent="0.3">
      <c r="K10" s="165"/>
      <c r="L10" s="165"/>
      <c r="M10" s="165"/>
      <c r="N10" s="167"/>
      <c r="O10" s="241"/>
      <c r="P10" s="168"/>
      <c r="Q10" s="242"/>
      <c r="R10" s="165"/>
    </row>
    <row r="11" spans="1:18" ht="15" customHeight="1" x14ac:dyDescent="0.3">
      <c r="K11" s="165"/>
      <c r="L11" s="165"/>
      <c r="M11" s="165"/>
      <c r="N11" s="167"/>
      <c r="O11" s="241"/>
      <c r="P11" s="168"/>
      <c r="Q11" s="242"/>
      <c r="R11" s="165"/>
    </row>
    <row r="12" spans="1:18" ht="15" customHeight="1" x14ac:dyDescent="0.3">
      <c r="K12" s="165"/>
      <c r="L12" s="165"/>
      <c r="M12" s="165"/>
      <c r="N12" s="167"/>
      <c r="O12" s="241"/>
      <c r="P12" s="168"/>
      <c r="Q12" s="242"/>
      <c r="R12" s="165"/>
    </row>
    <row r="13" spans="1:18" ht="15" customHeight="1" x14ac:dyDescent="0.3">
      <c r="K13" s="165"/>
      <c r="L13" s="165"/>
      <c r="M13" s="165"/>
      <c r="N13" s="167"/>
      <c r="O13" s="241"/>
      <c r="P13" s="168"/>
      <c r="Q13" s="242"/>
      <c r="R13" s="165"/>
    </row>
    <row r="14" spans="1:18" ht="15" customHeight="1" x14ac:dyDescent="0.3">
      <c r="K14" s="165"/>
      <c r="L14" s="165"/>
      <c r="M14" s="165"/>
      <c r="N14" s="167"/>
      <c r="O14" s="241"/>
      <c r="P14" s="168"/>
      <c r="Q14" s="242"/>
      <c r="R14" s="165"/>
    </row>
    <row r="15" spans="1:18" ht="15" customHeight="1" x14ac:dyDescent="0.3">
      <c r="K15" s="165"/>
      <c r="L15" s="165"/>
      <c r="M15" s="165"/>
      <c r="N15" s="47"/>
      <c r="O15" s="240"/>
      <c r="P15" s="169"/>
      <c r="Q15" s="243"/>
      <c r="R15" s="165"/>
    </row>
    <row r="16" spans="1:18" ht="15" customHeight="1" x14ac:dyDescent="0.3">
      <c r="K16" s="165"/>
      <c r="L16" s="165"/>
      <c r="M16" s="165"/>
      <c r="N16" s="165"/>
      <c r="O16" s="165"/>
      <c r="P16" s="165"/>
      <c r="Q16" s="165"/>
      <c r="R16" s="165"/>
    </row>
    <row r="17" spans="11:18" ht="12" customHeight="1" x14ac:dyDescent="0.3">
      <c r="K17" s="165"/>
      <c r="L17" s="165"/>
      <c r="M17" s="165"/>
      <c r="N17" s="170"/>
      <c r="O17" s="171"/>
      <c r="P17" s="171"/>
      <c r="Q17" s="171"/>
      <c r="R17" s="165"/>
    </row>
    <row r="18" spans="11:18" ht="12" customHeight="1" x14ac:dyDescent="0.3">
      <c r="N18" s="126"/>
      <c r="O18" s="125"/>
      <c r="P18" s="125"/>
      <c r="Q18" s="125"/>
    </row>
    <row r="19" spans="11:18" ht="12" customHeight="1" x14ac:dyDescent="0.3">
      <c r="N19" s="126"/>
      <c r="O19" s="125"/>
      <c r="P19" s="125"/>
      <c r="Q19" s="125"/>
    </row>
    <row r="20" spans="11:18" ht="12" customHeight="1" x14ac:dyDescent="0.3">
      <c r="N20" s="126"/>
      <c r="O20" s="125"/>
      <c r="P20" s="125"/>
      <c r="Q20" s="125"/>
    </row>
    <row r="21" spans="11:18" ht="12" customHeight="1" x14ac:dyDescent="0.3">
      <c r="N21" s="126"/>
      <c r="O21" s="125"/>
      <c r="P21" s="125"/>
      <c r="Q21" s="125"/>
    </row>
    <row r="22" spans="11:18" ht="12" customHeight="1" x14ac:dyDescent="0.3">
      <c r="N22" s="126"/>
      <c r="O22" s="125"/>
      <c r="P22" s="125"/>
      <c r="Q22" s="125"/>
    </row>
    <row r="23" spans="11:18" ht="15" customHeight="1" x14ac:dyDescent="0.3"/>
    <row r="24" spans="11:18" ht="15" customHeight="1" x14ac:dyDescent="0.3"/>
    <row r="25" spans="11:18" ht="15" customHeight="1" x14ac:dyDescent="0.3"/>
    <row r="26" spans="11:18" ht="15" customHeight="1" x14ac:dyDescent="0.3"/>
    <row r="27" spans="11:18" ht="15" customHeight="1" x14ac:dyDescent="0.3">
      <c r="N27" s="244"/>
      <c r="O27" s="244"/>
      <c r="P27" s="244"/>
      <c r="Q27" s="244"/>
    </row>
    <row r="28" spans="11:18" ht="15" customHeight="1" x14ac:dyDescent="0.3">
      <c r="N28" s="245"/>
      <c r="O28" s="245"/>
      <c r="P28" s="246"/>
      <c r="Q28" s="247"/>
    </row>
    <row r="29" spans="11:18" ht="15" customHeight="1" x14ac:dyDescent="0.3">
      <c r="N29" s="245"/>
      <c r="O29" s="245"/>
      <c r="P29" s="246"/>
      <c r="Q29" s="247"/>
    </row>
    <row r="30" spans="11:18" ht="15" customHeight="1" x14ac:dyDescent="0.3">
      <c r="N30" s="245"/>
      <c r="O30" s="248"/>
      <c r="P30" s="246"/>
      <c r="Q30" s="249"/>
    </row>
    <row r="31" spans="11:18" ht="15" customHeight="1" x14ac:dyDescent="0.3">
      <c r="N31" s="245"/>
      <c r="O31" s="249"/>
      <c r="P31" s="246"/>
      <c r="Q31" s="249"/>
    </row>
    <row r="32" spans="11:18" ht="15" customHeight="1" x14ac:dyDescent="0.3">
      <c r="N32" s="245"/>
      <c r="O32" s="249"/>
      <c r="P32" s="246"/>
      <c r="Q32" s="249"/>
    </row>
    <row r="33" spans="14:17" s="39" customFormat="1" ht="15" customHeight="1" x14ac:dyDescent="0.3">
      <c r="N33" s="250"/>
      <c r="O33" s="251"/>
      <c r="P33" s="252"/>
      <c r="Q33" s="253"/>
    </row>
    <row r="34" spans="14:17" s="39" customFormat="1" ht="15" customHeight="1" x14ac:dyDescent="0.3"/>
    <row r="35" spans="14:17" s="39" customFormat="1" ht="15" customHeight="1" x14ac:dyDescent="0.3"/>
    <row r="36" spans="14:17" s="39" customFormat="1" x14ac:dyDescent="0.3"/>
    <row r="37" spans="14:17" s="39" customFormat="1" x14ac:dyDescent="0.3"/>
    <row r="38" spans="14:17" s="39" customFormat="1" x14ac:dyDescent="0.3"/>
  </sheetData>
  <mergeCells count="1">
    <mergeCell ref="I6:M6"/>
  </mergeCells>
  <phoneticPr fontId="1" type="noConversion"/>
  <pageMargins left="0.59055118110236227" right="0.59055118110236227" top="0.59055118110236227" bottom="0.59055118110236227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rgb="FF00338D"/>
  </sheetPr>
  <dimension ref="B1:T39"/>
  <sheetViews>
    <sheetView showGridLines="0" tabSelected="1" zoomScale="85" zoomScaleNormal="85" workbookViewId="0">
      <selection activeCell="H26" sqref="H26"/>
    </sheetView>
  </sheetViews>
  <sheetFormatPr defaultColWidth="9" defaultRowHeight="13.5" customHeight="1" outlineLevelCol="1" x14ac:dyDescent="0.3"/>
  <cols>
    <col min="1" max="1" width="1.625" style="159" customWidth="1"/>
    <col min="2" max="2" width="20.625" style="159" customWidth="1"/>
    <col min="3" max="8" width="9.625" style="159" customWidth="1"/>
    <col min="9" max="9" width="9.625" style="159" customWidth="1" outlineLevel="1"/>
    <col min="10" max="14" width="9.625" style="159" customWidth="1"/>
    <col min="15" max="15" width="9" style="159"/>
    <col min="16" max="16" width="13.625" style="159" customWidth="1"/>
    <col min="17" max="16384" width="9" style="159"/>
  </cols>
  <sheetData>
    <row r="1" spans="2:20" s="153" customFormat="1" ht="30" customHeight="1" x14ac:dyDescent="0.3">
      <c r="B1" s="254" t="str">
        <f>"Project"&amp;" "&amp;Title!L6</f>
        <v>Project SVG1</v>
      </c>
      <c r="C1" s="254"/>
      <c r="D1" s="254"/>
      <c r="E1" s="254"/>
      <c r="F1" s="254"/>
      <c r="G1" s="254"/>
      <c r="H1" s="255"/>
      <c r="I1" s="255"/>
      <c r="J1" s="255"/>
      <c r="K1" s="255"/>
      <c r="L1" s="255"/>
      <c r="M1" s="255"/>
      <c r="N1" s="256" t="str">
        <f>Des!C12</f>
        <v>DRAFT - For Discussion Purposes Only</v>
      </c>
    </row>
    <row r="2" spans="2:20" s="153" customFormat="1" ht="20.100000000000001" customHeight="1" x14ac:dyDescent="0.3">
      <c r="B2" s="257" t="s">
        <v>130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P2" s="1456"/>
    </row>
    <row r="3" spans="2:20" s="153" customFormat="1" ht="14.1" customHeight="1" x14ac:dyDescent="0.3"/>
    <row r="4" spans="2:20" ht="13.5" customHeight="1" x14ac:dyDescent="0.3">
      <c r="B4" s="335" t="s">
        <v>131</v>
      </c>
      <c r="C4" s="336"/>
      <c r="D4" s="337" t="s">
        <v>132</v>
      </c>
      <c r="E4" s="337"/>
      <c r="F4" s="337"/>
      <c r="G4" s="1296"/>
      <c r="H4" s="337" t="s">
        <v>133</v>
      </c>
      <c r="I4" s="337"/>
      <c r="J4" s="339"/>
      <c r="K4" s="339"/>
      <c r="L4" s="339"/>
      <c r="M4" s="340"/>
    </row>
    <row r="5" spans="2:20" ht="13.5" customHeight="1" x14ac:dyDescent="0.3">
      <c r="B5" s="343" t="str">
        <f>unit</f>
        <v>KRW Million</v>
      </c>
      <c r="C5" s="344"/>
      <c r="D5" s="345">
        <f>'Pro forma'!D$5</f>
        <v>2014</v>
      </c>
      <c r="E5" s="345">
        <f>'Pro forma'!E$5</f>
        <v>2015</v>
      </c>
      <c r="F5" s="345">
        <f>'Pro forma'!F$5</f>
        <v>2016</v>
      </c>
      <c r="G5" s="1297">
        <f>'Pro forma'!G$5</f>
        <v>2017</v>
      </c>
      <c r="H5" s="345">
        <f>'Pro forma'!H$5</f>
        <v>2018</v>
      </c>
      <c r="I5" s="345">
        <f>'Pro forma'!I$5</f>
        <v>2019</v>
      </c>
      <c r="J5" s="345">
        <f>'Pro forma'!J$5</f>
        <v>2020</v>
      </c>
      <c r="K5" s="345">
        <f>'Pro forma'!K$5</f>
        <v>2021</v>
      </c>
      <c r="L5" s="345" t="s">
        <v>3255</v>
      </c>
      <c r="M5" s="1297" t="s">
        <v>3256</v>
      </c>
      <c r="R5" s="1"/>
      <c r="S5" s="1516" t="s">
        <v>3257</v>
      </c>
      <c r="T5" s="1517">
        <v>0.11</v>
      </c>
    </row>
    <row r="6" spans="2:20" s="65" customFormat="1" ht="13.5" customHeight="1" x14ac:dyDescent="0.3">
      <c r="B6" s="260" t="s">
        <v>152</v>
      </c>
      <c r="C6" s="261"/>
      <c r="D6" s="262">
        <f>'Pro forma'!D6</f>
        <v>41447.713943000002</v>
      </c>
      <c r="E6" s="262">
        <f>'Pro forma'!E6</f>
        <v>61966.745769000001</v>
      </c>
      <c r="F6" s="262">
        <f>'Pro forma'!F6</f>
        <v>81488.230867000006</v>
      </c>
      <c r="G6" s="263">
        <f>'Pro forma'!G6</f>
        <v>92333.965525000007</v>
      </c>
      <c r="H6" s="262">
        <f>'Pro forma'!H6</f>
        <v>138011.22622905931</v>
      </c>
      <c r="I6" s="262">
        <f>'Pro forma'!I6</f>
        <v>182151.03452706241</v>
      </c>
      <c r="J6" s="262">
        <f>'Pro forma'!J6</f>
        <v>203944.81849898878</v>
      </c>
      <c r="K6" s="262">
        <f>'Pro forma'!K6</f>
        <v>261216.68535602515</v>
      </c>
      <c r="L6" s="262">
        <f>'Pro forma'!L6</f>
        <v>300836.4286959095</v>
      </c>
      <c r="M6" s="263">
        <f>L6*(1+$C$24)</f>
        <v>303844.79298286862</v>
      </c>
      <c r="R6" s="1858"/>
      <c r="S6" s="1516" t="s">
        <v>3258</v>
      </c>
      <c r="T6" s="1518">
        <v>200</v>
      </c>
    </row>
    <row r="7" spans="2:20" ht="13.5" customHeight="1" x14ac:dyDescent="0.3">
      <c r="B7" s="265" t="s">
        <v>153</v>
      </c>
      <c r="C7" s="66"/>
      <c r="D7" s="89">
        <f>'Pro forma'!D9</f>
        <v>29094.553833000002</v>
      </c>
      <c r="E7" s="89">
        <f>'Pro forma'!E9</f>
        <v>42664.217374</v>
      </c>
      <c r="F7" s="89">
        <f>'Pro forma'!F9</f>
        <v>59896.716216000001</v>
      </c>
      <c r="G7" s="266">
        <f>'Pro forma'!G9</f>
        <v>66253.174562</v>
      </c>
      <c r="H7" s="89">
        <f>'Pro forma'!H9</f>
        <v>95072.958290544586</v>
      </c>
      <c r="I7" s="89">
        <f>'Pro forma'!I9</f>
        <v>126580.95424566427</v>
      </c>
      <c r="J7" s="89">
        <f>'Pro forma'!J9</f>
        <v>140774.15695423083</v>
      </c>
      <c r="K7" s="89">
        <f>'Pro forma'!K9</f>
        <v>178212.95694066191</v>
      </c>
      <c r="L7" s="89">
        <f>'Pro forma'!L9</f>
        <v>204547.06387206799</v>
      </c>
      <c r="M7" s="266">
        <f>L7*(1+$C$24)</f>
        <v>206592.53451078865</v>
      </c>
      <c r="R7" s="1858"/>
      <c r="S7" s="1516" t="s">
        <v>3259</v>
      </c>
      <c r="T7" s="1518"/>
    </row>
    <row r="8" spans="2:20" s="65" customFormat="1" ht="13.5" customHeight="1" x14ac:dyDescent="0.3">
      <c r="B8" s="265" t="s">
        <v>76</v>
      </c>
      <c r="C8" s="66"/>
      <c r="D8" s="89">
        <f>D6-D7</f>
        <v>12353.160110000001</v>
      </c>
      <c r="E8" s="89">
        <f t="shared" ref="E8:M8" si="0">E6-E7</f>
        <v>19302.528395000001</v>
      </c>
      <c r="F8" s="89">
        <f t="shared" si="0"/>
        <v>21591.514651000005</v>
      </c>
      <c r="G8" s="266">
        <f t="shared" si="0"/>
        <v>26080.790963000007</v>
      </c>
      <c r="H8" s="89">
        <f t="shared" si="0"/>
        <v>42938.26793851472</v>
      </c>
      <c r="I8" s="89">
        <f t="shared" si="0"/>
        <v>55570.080281398143</v>
      </c>
      <c r="J8" s="89">
        <f t="shared" si="0"/>
        <v>63170.661544757953</v>
      </c>
      <c r="K8" s="89">
        <f t="shared" si="0"/>
        <v>83003.728415363235</v>
      </c>
      <c r="L8" s="89">
        <f t="shared" si="0"/>
        <v>96289.364823841519</v>
      </c>
      <c r="M8" s="266">
        <f t="shared" si="0"/>
        <v>97252.258472079964</v>
      </c>
      <c r="R8" s="1858"/>
      <c r="S8" s="1516" t="s">
        <v>3257</v>
      </c>
      <c r="T8" s="1517">
        <v>0.22</v>
      </c>
    </row>
    <row r="9" spans="2:20" s="65" customFormat="1" ht="13.5" customHeight="1" x14ac:dyDescent="0.3">
      <c r="B9" s="265" t="s">
        <v>154</v>
      </c>
      <c r="C9" s="66"/>
      <c r="D9" s="89">
        <f>'Pro forma'!D17</f>
        <v>6260.3831689999997</v>
      </c>
      <c r="E9" s="89">
        <f>'Pro forma'!E17</f>
        <v>7139.8918059999996</v>
      </c>
      <c r="F9" s="89">
        <f>'Pro forma'!F17</f>
        <v>7407.6969589999999</v>
      </c>
      <c r="G9" s="266">
        <f>'Pro forma'!G17</f>
        <v>10368.970547999999</v>
      </c>
      <c r="H9" s="89">
        <f>'Pro forma'!H17</f>
        <v>9842.4628749312888</v>
      </c>
      <c r="I9" s="89">
        <f>'Pro forma'!I17</f>
        <v>11618.075060446225</v>
      </c>
      <c r="J9" s="89">
        <f>'Pro forma'!J17</f>
        <v>13319.839572860108</v>
      </c>
      <c r="K9" s="89">
        <f>'Pro forma'!K17</f>
        <v>15631.564503681235</v>
      </c>
      <c r="L9" s="89">
        <f>'Pro forma'!L17</f>
        <v>17765.693422261098</v>
      </c>
      <c r="M9" s="266">
        <f>L9*(1+$C$24)</f>
        <v>17943.350356483708</v>
      </c>
      <c r="R9" s="1858"/>
      <c r="S9" s="1516" t="s">
        <v>3258</v>
      </c>
      <c r="T9" s="1518">
        <v>20000</v>
      </c>
    </row>
    <row r="10" spans="2:20" s="65" customFormat="1" ht="13.5" customHeight="1" x14ac:dyDescent="0.3">
      <c r="B10" s="265" t="s">
        <v>155</v>
      </c>
      <c r="C10" s="66"/>
      <c r="D10" s="90">
        <f>D8-D9</f>
        <v>6092.776941000001</v>
      </c>
      <c r="E10" s="90">
        <f t="shared" ref="E10:M10" si="1">E8-E9</f>
        <v>12162.636589000002</v>
      </c>
      <c r="F10" s="90">
        <f t="shared" si="1"/>
        <v>14183.817692000004</v>
      </c>
      <c r="G10" s="267">
        <f t="shared" si="1"/>
        <v>15711.820415000007</v>
      </c>
      <c r="H10" s="90">
        <f t="shared" si="1"/>
        <v>33095.80506358343</v>
      </c>
      <c r="I10" s="90">
        <f t="shared" si="1"/>
        <v>43952.00522095192</v>
      </c>
      <c r="J10" s="90">
        <f t="shared" si="1"/>
        <v>49850.821971897843</v>
      </c>
      <c r="K10" s="90">
        <f t="shared" si="1"/>
        <v>67372.163911682001</v>
      </c>
      <c r="L10" s="90">
        <f t="shared" si="1"/>
        <v>78523.671401580417</v>
      </c>
      <c r="M10" s="267">
        <f t="shared" si="1"/>
        <v>79308.908115596249</v>
      </c>
      <c r="R10" s="1858"/>
      <c r="S10" s="1516" t="s">
        <v>3259</v>
      </c>
      <c r="T10" s="1518">
        <f>200*11%</f>
        <v>22</v>
      </c>
    </row>
    <row r="11" spans="2:20" ht="13.5" customHeight="1" x14ac:dyDescent="0.3">
      <c r="B11" s="265" t="s">
        <v>158</v>
      </c>
      <c r="C11" s="66"/>
      <c r="D11" s="89"/>
      <c r="E11" s="89"/>
      <c r="F11" s="89"/>
      <c r="G11" s="266"/>
      <c r="H11" s="1505">
        <f>IF(H10&lt;=$T$6,H10*$T$5,IF(H10&gt;$T$9,(H10-$T$9)*$T$11+$T$13,(H10-$T$6)*$T$8+$T$10))</f>
        <v>7547.1848253871904</v>
      </c>
      <c r="I11" s="1505">
        <f>IF(I10&lt;=$T$6,I10*$T$5,IF(I10&gt;$T$9,(I10-$T$9)*$T$11+$T$13,(I10-$T$6)*$T$8+$T$10))</f>
        <v>10174.385263470365</v>
      </c>
      <c r="J11" s="1505">
        <f>IF(J10&lt;=$T$6,J10*$T$5,IF(J10&gt;$T$9,(J10-$T$9)*$T$11+$T$13,(J10-$T$6)*$T$8+$T$10))</f>
        <v>11601.898917199278</v>
      </c>
      <c r="K11" s="1505">
        <f>IF(K10&lt;=$T$6,K10*$T$5,IF(K10&gt;$T$9,(K10-$T$9)*$T$11+$T$13,(K10-$T$6)*$T$8+$T$10))</f>
        <v>15842.063666627044</v>
      </c>
      <c r="L11" s="1505">
        <f>IF(L10&lt;=$T$6,L10*$T$5,IF(L10&gt;$T$9,(L10-$T$9)*$T$11+$T$13,(L10-$T$6)*$T$8+$T$10))</f>
        <v>18540.72847918246</v>
      </c>
      <c r="M11" s="1519">
        <f>IF(M10&lt;=$T$6,M10*$T$5,IF(M10&gt;$T$9,(M10-$T$9)*$T$11+$T$13,(M10-$T$6)*$T$8+$T$10))</f>
        <v>18730.755763974292</v>
      </c>
      <c r="R11" s="1858"/>
      <c r="S11" s="1516" t="s">
        <v>3257</v>
      </c>
      <c r="T11" s="1517">
        <v>0.24199999999999999</v>
      </c>
    </row>
    <row r="12" spans="2:20" s="65" customFormat="1" ht="13.5" customHeight="1" x14ac:dyDescent="0.3">
      <c r="B12" s="268" t="s">
        <v>159</v>
      </c>
      <c r="C12" s="67"/>
      <c r="D12" s="91"/>
      <c r="E12" s="91"/>
      <c r="F12" s="91"/>
      <c r="G12" s="269"/>
      <c r="H12" s="91">
        <f t="shared" ref="H12" si="2">H10-H11</f>
        <v>25548.620238196239</v>
      </c>
      <c r="I12" s="91">
        <f t="shared" ref="I12:L12" si="3">I10-I11</f>
        <v>33777.619957481555</v>
      </c>
      <c r="J12" s="91">
        <f t="shared" si="3"/>
        <v>38248.923054698564</v>
      </c>
      <c r="K12" s="91">
        <f t="shared" si="3"/>
        <v>51530.100245054957</v>
      </c>
      <c r="L12" s="91">
        <f t="shared" si="3"/>
        <v>59982.942922397953</v>
      </c>
      <c r="M12" s="270">
        <f>M10-M11</f>
        <v>60578.15235162196</v>
      </c>
      <c r="R12" s="1858"/>
      <c r="S12" s="1516" t="s">
        <v>3258</v>
      </c>
      <c r="T12" s="1517"/>
    </row>
    <row r="13" spans="2:20" ht="13.5" customHeight="1" x14ac:dyDescent="0.3">
      <c r="B13" s="271" t="s">
        <v>160</v>
      </c>
      <c r="C13" s="68"/>
      <c r="D13" s="89"/>
      <c r="E13" s="89"/>
      <c r="F13" s="89"/>
      <c r="G13" s="266"/>
      <c r="H13" s="89">
        <f>'CapEx&amp;Dep'!H8</f>
        <v>1099.3241781892855</v>
      </c>
      <c r="I13" s="89">
        <f>'CapEx&amp;Dep'!I8</f>
        <v>1174.6995040317347</v>
      </c>
      <c r="J13" s="89">
        <f>'CapEx&amp;Dep'!J8</f>
        <v>1432.5498773584286</v>
      </c>
      <c r="K13" s="89">
        <f>'CapEx&amp;Dep'!K8</f>
        <v>1899.2471421804044</v>
      </c>
      <c r="L13" s="89">
        <f>'CapEx&amp;Dep'!L8</f>
        <v>2179.9705785498991</v>
      </c>
      <c r="M13" s="267" t="s">
        <v>134</v>
      </c>
      <c r="R13" s="1859"/>
      <c r="S13" s="1516" t="s">
        <v>3259</v>
      </c>
      <c r="T13" s="1518">
        <f>39800*11%</f>
        <v>4378</v>
      </c>
    </row>
    <row r="14" spans="2:20" ht="13.5" customHeight="1" x14ac:dyDescent="0.3">
      <c r="B14" s="271" t="s">
        <v>161</v>
      </c>
      <c r="C14" s="68"/>
      <c r="D14" s="90"/>
      <c r="E14" s="90"/>
      <c r="F14" s="90"/>
      <c r="G14" s="267"/>
      <c r="H14" s="90">
        <f>WC!H23</f>
        <v>1658.4994884022726</v>
      </c>
      <c r="I14" s="90">
        <f>WC!I23</f>
        <v>2899.6358487693378</v>
      </c>
      <c r="J14" s="90">
        <f>WC!J23</f>
        <v>1329.8297486934007</v>
      </c>
      <c r="K14" s="90">
        <f>WC!K23</f>
        <v>3505.1514954891536</v>
      </c>
      <c r="L14" s="90">
        <f>WC!L23</f>
        <v>2457.2619866721288</v>
      </c>
      <c r="M14" s="476">
        <f>WC!M23</f>
        <v>190.01009879026242</v>
      </c>
    </row>
    <row r="15" spans="2:20" ht="13.5" customHeight="1" x14ac:dyDescent="0.3">
      <c r="B15" s="272" t="s">
        <v>162</v>
      </c>
      <c r="C15" s="69"/>
      <c r="D15" s="89"/>
      <c r="E15" s="89"/>
      <c r="F15" s="89"/>
      <c r="G15" s="266"/>
      <c r="H15" s="89">
        <f>'CapEx&amp;Dep'!H6</f>
        <v>2804.3188250000003</v>
      </c>
      <c r="I15" s="89">
        <f>'CapEx&amp;Dep'!I6</f>
        <v>2263.5366191142857</v>
      </c>
      <c r="J15" s="89">
        <f>'CapEx&amp;Dep'!J6</f>
        <v>14548.68492929143</v>
      </c>
      <c r="K15" s="89">
        <f>'CapEx&amp;Dep'!K6</f>
        <v>5030.1010946834285</v>
      </c>
      <c r="L15" s="89">
        <f>'CapEx&amp;Dep'!L6</f>
        <v>3452.4351187666284</v>
      </c>
      <c r="M15" s="267" t="s">
        <v>38</v>
      </c>
    </row>
    <row r="16" spans="2:20" s="65" customFormat="1" ht="13.5" customHeight="1" x14ac:dyDescent="0.3">
      <c r="B16" s="273" t="s">
        <v>163</v>
      </c>
      <c r="C16" s="274"/>
      <c r="D16" s="275"/>
      <c r="E16" s="275"/>
      <c r="F16" s="275"/>
      <c r="G16" s="276"/>
      <c r="H16" s="275">
        <f>H12+H13-H14-H15</f>
        <v>22185.126102983253</v>
      </c>
      <c r="I16" s="275">
        <f t="shared" ref="I16:J16" si="4">I12+I13-I14-I15</f>
        <v>29789.146993629667</v>
      </c>
      <c r="J16" s="275">
        <f t="shared" si="4"/>
        <v>23802.958254072157</v>
      </c>
      <c r="K16" s="275">
        <f t="shared" ref="K16:L16" si="5">K12+K13-K14-K15</f>
        <v>44894.094797062782</v>
      </c>
      <c r="L16" s="275">
        <f t="shared" si="5"/>
        <v>56253.216395509095</v>
      </c>
      <c r="M16" s="278">
        <f>M12-M14</f>
        <v>60388.142252831698</v>
      </c>
    </row>
    <row r="17" spans="2:18" ht="13.5" customHeight="1" x14ac:dyDescent="0.3">
      <c r="B17" s="260" t="s">
        <v>156</v>
      </c>
      <c r="C17" s="261"/>
      <c r="D17" s="353"/>
      <c r="E17" s="353"/>
      <c r="F17" s="353"/>
      <c r="G17" s="279"/>
      <c r="H17" s="354">
        <v>1</v>
      </c>
      <c r="I17" s="354">
        <f>H17+1</f>
        <v>2</v>
      </c>
      <c r="J17" s="354">
        <f t="shared" ref="J17:M17" si="6">I17+1</f>
        <v>3</v>
      </c>
      <c r="K17" s="354">
        <f t="shared" si="6"/>
        <v>4</v>
      </c>
      <c r="L17" s="354">
        <f t="shared" si="6"/>
        <v>5</v>
      </c>
      <c r="M17" s="355">
        <f t="shared" si="6"/>
        <v>6</v>
      </c>
    </row>
    <row r="18" spans="2:18" ht="13.5" customHeight="1" x14ac:dyDescent="0.3">
      <c r="B18" s="280" t="s">
        <v>157</v>
      </c>
      <c r="C18" s="108"/>
      <c r="D18" s="70"/>
      <c r="E18" s="70"/>
      <c r="F18" s="70"/>
      <c r="G18" s="281"/>
      <c r="H18" s="120">
        <f t="shared" ref="H18:M18" si="7">1/(1+$C$25)^H17</f>
        <v>0.89847259658580414</v>
      </c>
      <c r="I18" s="120">
        <f t="shared" si="7"/>
        <v>0.80725300681563716</v>
      </c>
      <c r="J18" s="120">
        <f t="shared" si="7"/>
        <v>0.72529470513534333</v>
      </c>
      <c r="K18" s="120">
        <f t="shared" si="7"/>
        <v>0.65165741701288704</v>
      </c>
      <c r="L18" s="120">
        <f t="shared" si="7"/>
        <v>0.58549633154796688</v>
      </c>
      <c r="M18" s="341">
        <f t="shared" si="7"/>
        <v>0.52605240929736463</v>
      </c>
    </row>
    <row r="19" spans="2:18" ht="13.5" customHeight="1" x14ac:dyDescent="0.3">
      <c r="B19" s="282" t="s">
        <v>164</v>
      </c>
      <c r="C19" s="283"/>
      <c r="D19" s="284"/>
      <c r="E19" s="284"/>
      <c r="F19" s="284"/>
      <c r="G19" s="285"/>
      <c r="H19" s="286">
        <f>H16*H18</f>
        <v>19932.727855330864</v>
      </c>
      <c r="I19" s="286">
        <f t="shared" ref="I19:M19" si="8">I16*I18</f>
        <v>24047.378481080548</v>
      </c>
      <c r="J19" s="286">
        <f t="shared" si="8"/>
        <v>17264.159588236151</v>
      </c>
      <c r="K19" s="286">
        <f t="shared" si="8"/>
        <v>29255.569854585625</v>
      </c>
      <c r="L19" s="286">
        <f t="shared" si="8"/>
        <v>32936.051837344516</v>
      </c>
      <c r="M19" s="287">
        <f t="shared" si="8"/>
        <v>31767.327725094099</v>
      </c>
      <c r="O19" s="94"/>
    </row>
    <row r="20" spans="2:18" ht="13.5" customHeight="1" x14ac:dyDescent="0.3">
      <c r="B20" s="280" t="s">
        <v>165</v>
      </c>
      <c r="C20" s="108"/>
      <c r="D20" s="64"/>
      <c r="E20" s="64"/>
      <c r="F20" s="64"/>
      <c r="G20" s="288"/>
      <c r="H20" s="90">
        <f>SUM(H19:L19)</f>
        <v>123435.8876165777</v>
      </c>
      <c r="I20" s="90"/>
      <c r="J20" s="60"/>
      <c r="K20" s="60"/>
      <c r="L20" s="60"/>
      <c r="M20" s="342"/>
    </row>
    <row r="21" spans="2:18" ht="13.5" customHeight="1" x14ac:dyDescent="0.3">
      <c r="B21" s="289" t="s">
        <v>166</v>
      </c>
      <c r="C21" s="290"/>
      <c r="D21" s="291"/>
      <c r="E21" s="291"/>
      <c r="F21" s="291"/>
      <c r="G21" s="292"/>
      <c r="H21" s="293">
        <f>M19</f>
        <v>31767.327725094099</v>
      </c>
      <c r="I21" s="293"/>
      <c r="J21" s="356"/>
      <c r="K21" s="356"/>
      <c r="L21" s="356"/>
      <c r="M21" s="357"/>
    </row>
    <row r="22" spans="2:18" s="65" customFormat="1" ht="13.5" customHeight="1" x14ac:dyDescent="0.3">
      <c r="B22" s="273" t="s">
        <v>65</v>
      </c>
      <c r="C22" s="274"/>
      <c r="D22" s="349"/>
      <c r="E22" s="349"/>
      <c r="F22" s="349"/>
      <c r="G22" s="349"/>
      <c r="H22" s="277">
        <f>H20+H21</f>
        <v>155203.21534167181</v>
      </c>
      <c r="I22" s="277"/>
      <c r="J22" s="350"/>
      <c r="K22" s="351"/>
      <c r="L22" s="351"/>
      <c r="M22" s="352"/>
    </row>
    <row r="23" spans="2:18" ht="4.5" customHeight="1" x14ac:dyDescent="0.3"/>
    <row r="24" spans="2:18" ht="13.5" customHeight="1" x14ac:dyDescent="0.3">
      <c r="B24" s="323" t="s">
        <v>14</v>
      </c>
      <c r="C24" s="131">
        <f>g</f>
        <v>0.01</v>
      </c>
      <c r="D24" s="71"/>
      <c r="E24" s="71"/>
    </row>
    <row r="25" spans="2:18" ht="13.5" customHeight="1" x14ac:dyDescent="0.3">
      <c r="B25" s="324" t="s">
        <v>15</v>
      </c>
      <c r="C25" s="131">
        <f>wacc</f>
        <v>0.113</v>
      </c>
      <c r="D25" s="71"/>
    </row>
    <row r="27" spans="2:18" ht="13.5" customHeight="1" x14ac:dyDescent="0.3">
      <c r="B27" s="325" t="s">
        <v>16</v>
      </c>
      <c r="C27" s="325"/>
      <c r="D27" s="325"/>
      <c r="E27" s="325"/>
      <c r="F27" s="325"/>
      <c r="G27" s="325"/>
      <c r="H27" s="326"/>
      <c r="I27" s="326"/>
      <c r="J27" s="327"/>
      <c r="K27" s="327"/>
      <c r="L27" s="327"/>
      <c r="M27" s="327"/>
      <c r="N27" s="327"/>
    </row>
    <row r="28" spans="2:18" ht="13.5" customHeight="1" x14ac:dyDescent="0.3">
      <c r="F28" s="88" t="str">
        <f>unit</f>
        <v>KRW Million</v>
      </c>
      <c r="J28" s="108"/>
      <c r="K28" s="108"/>
      <c r="L28" s="108"/>
      <c r="M28" s="108"/>
      <c r="N28" s="108"/>
    </row>
    <row r="29" spans="2:18" ht="13.5" customHeight="1" x14ac:dyDescent="0.3">
      <c r="B29" s="328" t="s">
        <v>17</v>
      </c>
      <c r="C29" s="328"/>
      <c r="D29" s="328" t="s">
        <v>18</v>
      </c>
      <c r="E29" s="328"/>
      <c r="F29" s="329"/>
      <c r="I29" s="36"/>
      <c r="J29" s="150" t="s">
        <v>14</v>
      </c>
      <c r="K29" s="150"/>
      <c r="L29" s="150"/>
      <c r="M29" s="150"/>
      <c r="N29" s="150"/>
    </row>
    <row r="30" spans="2:18" ht="13.5" customHeight="1" x14ac:dyDescent="0.3">
      <c r="B30" s="137"/>
      <c r="C30" s="137"/>
      <c r="D30" s="330" t="s">
        <v>20</v>
      </c>
      <c r="E30" s="330" t="s">
        <v>19</v>
      </c>
      <c r="F30" s="331" t="s">
        <v>21</v>
      </c>
      <c r="I30" s="73">
        <f>H22</f>
        <v>155203.21534167181</v>
      </c>
      <c r="J30" s="74">
        <f>K30-CHOOSE($Q$33,$R$32,$R$33)</f>
        <v>0</v>
      </c>
      <c r="K30" s="74">
        <f>L30-CHOOSE($Q$33,$R$32,$R$33)</f>
        <v>5.0000000000000001E-3</v>
      </c>
      <c r="L30" s="75">
        <v>0.01</v>
      </c>
      <c r="M30" s="74">
        <f>L30+CHOOSE($Q$33,$R$32,$R$33)</f>
        <v>1.4999999999999999E-2</v>
      </c>
      <c r="N30" s="74">
        <f>M30+CHOOSE($Q$33,$R$32,$R$33)</f>
        <v>0.02</v>
      </c>
    </row>
    <row r="31" spans="2:18" ht="13.5" customHeight="1" x14ac:dyDescent="0.3">
      <c r="B31" s="137" t="s">
        <v>167</v>
      </c>
      <c r="C31" s="138"/>
      <c r="D31" s="132">
        <f>K34</f>
        <v>152423.71147838401</v>
      </c>
      <c r="E31" s="127">
        <f>H22</f>
        <v>155203.21534167181</v>
      </c>
      <c r="F31" s="133">
        <f>M32</f>
        <v>158057.73970385094</v>
      </c>
      <c r="I31" s="74">
        <f>I32-CHOOSE($Q$33,$R$32,$R$33)</f>
        <v>0.10299999999999999</v>
      </c>
      <c r="J31" s="142">
        <f t="dataTable" ref="J31:N35" dt2D="1" dtr="1" r1="C24" r2="C25"/>
        <v>160328.7322742785</v>
      </c>
      <c r="K31" s="143">
        <v>160493.99949828853</v>
      </c>
      <c r="L31" s="143">
        <v>160659.26672229855</v>
      </c>
      <c r="M31" s="143">
        <v>160824.53394630854</v>
      </c>
      <c r="N31" s="148">
        <v>160989.80117031856</v>
      </c>
    </row>
    <row r="32" spans="2:18" ht="13.5" customHeight="1" x14ac:dyDescent="0.3">
      <c r="B32" s="128" t="s">
        <v>168</v>
      </c>
      <c r="C32" s="139"/>
      <c r="D32" s="134"/>
      <c r="E32" s="90">
        <f>'NOA&amp;IBD'!E11</f>
        <v>46315.428310000003</v>
      </c>
      <c r="F32" s="135"/>
      <c r="I32" s="74">
        <f>I33-CHOOSE($Q$33,$R$32,$R$33)</f>
        <v>0.108</v>
      </c>
      <c r="J32" s="144">
        <v>157575.2117262992</v>
      </c>
      <c r="K32" s="142">
        <v>157736.05438548312</v>
      </c>
      <c r="L32" s="143">
        <v>157896.89704466704</v>
      </c>
      <c r="M32" s="332">
        <v>158057.73970385094</v>
      </c>
      <c r="N32" s="145">
        <v>158218.58236303483</v>
      </c>
      <c r="Q32" s="65" t="s">
        <v>126</v>
      </c>
      <c r="R32" s="151">
        <v>5.0000000000000001E-3</v>
      </c>
    </row>
    <row r="33" spans="2:18" ht="13.5" customHeight="1" x14ac:dyDescent="0.3">
      <c r="B33" s="128" t="s">
        <v>169</v>
      </c>
      <c r="C33" s="139"/>
      <c r="D33" s="134">
        <f>D31+$E$32</f>
        <v>198739.13978838403</v>
      </c>
      <c r="E33" s="89">
        <f>E31+$E$32</f>
        <v>201518.64365167182</v>
      </c>
      <c r="F33" s="135">
        <f>F31+$E$32</f>
        <v>204373.16801385093</v>
      </c>
      <c r="I33" s="75">
        <f>wacc</f>
        <v>0.113</v>
      </c>
      <c r="J33" s="144">
        <v>154890.10398739201</v>
      </c>
      <c r="K33" s="144">
        <v>155046.65966453191</v>
      </c>
      <c r="L33" s="334">
        <v>155203.21534167181</v>
      </c>
      <c r="M33" s="145">
        <v>155359.77101881168</v>
      </c>
      <c r="N33" s="145">
        <v>155516.32669595157</v>
      </c>
      <c r="Q33" s="159">
        <v>1</v>
      </c>
      <c r="R33" s="152">
        <v>0.01</v>
      </c>
    </row>
    <row r="34" spans="2:18" ht="13.5" customHeight="1" x14ac:dyDescent="0.3">
      <c r="B34" s="128" t="s">
        <v>170</v>
      </c>
      <c r="C34" s="139"/>
      <c r="D34" s="134"/>
      <c r="E34" s="89">
        <f>'NOA&amp;IBD'!E18</f>
        <v>0</v>
      </c>
      <c r="F34" s="135"/>
      <c r="I34" s="74">
        <f>I33+CHOOSE($Q$33,$R$32,$R$33)</f>
        <v>0.11800000000000001</v>
      </c>
      <c r="J34" s="144">
        <v>152271.31006817552</v>
      </c>
      <c r="K34" s="333">
        <v>152423.71147838401</v>
      </c>
      <c r="L34" s="146">
        <v>152576.11288859247</v>
      </c>
      <c r="M34" s="147">
        <v>152728.51429880096</v>
      </c>
      <c r="N34" s="145">
        <v>152880.91570900942</v>
      </c>
    </row>
    <row r="35" spans="2:18" ht="13.5" customHeight="1" x14ac:dyDescent="0.3">
      <c r="B35" s="1512" t="s">
        <v>186</v>
      </c>
      <c r="C35" s="1513"/>
      <c r="D35" s="1514"/>
      <c r="E35" s="90"/>
      <c r="F35" s="1515"/>
      <c r="I35" s="74">
        <f>I34+CHOOSE($Q$33,$R$32,$R$33)</f>
        <v>0.12300000000000001</v>
      </c>
      <c r="J35" s="149">
        <v>149716.80619010518</v>
      </c>
      <c r="K35" s="146">
        <v>149865.18137371581</v>
      </c>
      <c r="L35" s="146">
        <v>150013.5565573264</v>
      </c>
      <c r="M35" s="146">
        <v>150161.93174093703</v>
      </c>
      <c r="N35" s="147">
        <v>150310.30692454762</v>
      </c>
    </row>
    <row r="36" spans="2:18" ht="13.5" customHeight="1" x14ac:dyDescent="0.3">
      <c r="B36" s="140" t="s">
        <v>171</v>
      </c>
      <c r="C36" s="141"/>
      <c r="D36" s="136">
        <f>D33-$E$34-$E$35</f>
        <v>198739.13978838403</v>
      </c>
      <c r="E36" s="129">
        <f t="shared" ref="E36:F36" si="9">E33-$E$34-$E$35</f>
        <v>201518.64365167182</v>
      </c>
      <c r="F36" s="130">
        <f t="shared" si="9"/>
        <v>204373.16801385093</v>
      </c>
    </row>
    <row r="39" spans="2:18" ht="13.5" customHeight="1" x14ac:dyDescent="0.3">
      <c r="J39" s="113"/>
    </row>
  </sheetData>
  <mergeCells count="1">
    <mergeCell ref="R5:R13"/>
  </mergeCells>
  <phoneticPr fontId="1" type="noConversion"/>
  <pageMargins left="0.7" right="0.7" top="0.75" bottom="0.75" header="0.3" footer="0.3"/>
  <ignoredErrors>
    <ignoredError sqref="N10 N15:N19 N14 N12:N13 N11 H12:M13 H15:M16 H11:M11 H20:M21 H14:M14 H18:M19 I17:M17 N9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649" r:id="rId3" name="Drop Down 1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0" r:id="rId4" name="Drop Down 2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1" r:id="rId5" name="Drop Down 3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2" r:id="rId6" name="Drop Down 4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338D"/>
  </sheetPr>
  <dimension ref="A1:AM468"/>
  <sheetViews>
    <sheetView showGridLines="0" zoomScale="70" zoomScaleNormal="70" workbookViewId="0">
      <selection activeCell="J37" sqref="J37"/>
    </sheetView>
  </sheetViews>
  <sheetFormatPr defaultColWidth="9" defaultRowHeight="13.5" x14ac:dyDescent="0.3"/>
  <cols>
    <col min="1" max="1" width="1.625" style="1077" customWidth="1"/>
    <col min="2" max="2" width="19.125" style="1077" customWidth="1"/>
    <col min="3" max="4" width="2.625" style="1077" customWidth="1"/>
    <col min="5" max="5" width="11" style="1079" customWidth="1"/>
    <col min="6" max="6" width="2.625" style="1077" customWidth="1"/>
    <col min="7" max="10" width="12.375" style="1077" customWidth="1"/>
    <col min="11" max="11" width="1.875" style="1077" customWidth="1"/>
    <col min="12" max="12" width="12.375" style="1077" customWidth="1"/>
    <col min="13" max="13" width="2.375" style="1077" customWidth="1"/>
    <col min="14" max="16" width="12.375" style="1077" customWidth="1"/>
    <col min="17" max="17" width="1.625" style="1277" customWidth="1"/>
    <col min="18" max="19" width="6.625" style="1077" customWidth="1"/>
    <col min="20" max="21" width="9.125" style="1077" customWidth="1"/>
    <col min="22" max="22" width="9.875" style="1077" bestFit="1" customWidth="1"/>
    <col min="23" max="24" width="9" style="1077"/>
    <col min="25" max="25" width="9.75" style="1077" bestFit="1" customWidth="1"/>
    <col min="26" max="26" width="9" style="1077"/>
    <col min="27" max="27" width="9.75" style="1077" bestFit="1" customWidth="1"/>
    <col min="28" max="16384" width="9" style="1077"/>
  </cols>
  <sheetData>
    <row r="1" spans="1:27" s="768" customFormat="1" ht="30" customHeight="1" x14ac:dyDescent="0.3">
      <c r="A1" s="1065"/>
      <c r="B1" s="1066" t="s">
        <v>3076</v>
      </c>
      <c r="C1" s="1067"/>
      <c r="D1" s="1067"/>
      <c r="E1" s="1067"/>
      <c r="F1" s="1067"/>
      <c r="G1" s="1067"/>
      <c r="H1" s="1068"/>
      <c r="I1" s="1068"/>
      <c r="J1" s="1068"/>
      <c r="K1" s="1068"/>
      <c r="L1" s="1068"/>
      <c r="M1" s="1068"/>
      <c r="N1" s="1068"/>
      <c r="O1" s="1068"/>
      <c r="P1" s="33"/>
      <c r="Q1" s="1069"/>
      <c r="R1" s="1070" t="s">
        <v>3077</v>
      </c>
    </row>
    <row r="2" spans="1:27" s="768" customFormat="1" ht="20.100000000000001" customHeight="1" x14ac:dyDescent="0.3">
      <c r="A2" s="1071"/>
      <c r="B2" s="1072" t="s">
        <v>3078</v>
      </c>
      <c r="C2" s="1073"/>
      <c r="D2" s="1073"/>
      <c r="E2" s="1073"/>
      <c r="F2" s="1073"/>
      <c r="G2" s="1073"/>
      <c r="H2" s="1073"/>
      <c r="I2" s="1073"/>
      <c r="J2" s="1073"/>
      <c r="K2" s="1073"/>
      <c r="L2" s="1073"/>
      <c r="M2" s="1073"/>
      <c r="N2" s="1073"/>
      <c r="O2" s="1073"/>
      <c r="P2" s="1073"/>
      <c r="Q2" s="1069"/>
      <c r="R2" s="1074" t="s">
        <v>3079</v>
      </c>
      <c r="S2" s="1075"/>
      <c r="T2" s="1076">
        <v>0.24199999999999999</v>
      </c>
    </row>
    <row r="3" spans="1:27" ht="14.25" customHeight="1" x14ac:dyDescent="0.3">
      <c r="B3" s="1078"/>
      <c r="G3" s="1079"/>
      <c r="H3" s="1080"/>
      <c r="I3" s="1080"/>
      <c r="Q3" s="1081"/>
      <c r="R3" s="1082" t="s">
        <v>3080</v>
      </c>
      <c r="S3" s="1083"/>
      <c r="T3" s="1084">
        <v>0.24199999999999999</v>
      </c>
      <c r="U3" s="1085" t="s">
        <v>3081</v>
      </c>
    </row>
    <row r="4" spans="1:27" s="1086" customFormat="1" ht="14.1" customHeight="1" x14ac:dyDescent="0.3">
      <c r="B4" s="1862" t="s">
        <v>187</v>
      </c>
      <c r="C4" s="1863"/>
      <c r="D4" s="1866"/>
      <c r="E4" s="1866" t="s">
        <v>3082</v>
      </c>
      <c r="F4" s="1866"/>
      <c r="G4" s="1087" t="s">
        <v>3083</v>
      </c>
      <c r="H4" s="1866" t="s">
        <v>3084</v>
      </c>
      <c r="I4" s="1866" t="s">
        <v>3085</v>
      </c>
      <c r="J4" s="1087" t="s">
        <v>3086</v>
      </c>
      <c r="K4" s="1866"/>
      <c r="L4" s="1087" t="s">
        <v>3087</v>
      </c>
      <c r="M4" s="1088"/>
      <c r="N4" s="1863" t="s">
        <v>3088</v>
      </c>
      <c r="O4" s="1863" t="s">
        <v>3089</v>
      </c>
      <c r="P4" s="1868" t="s">
        <v>3090</v>
      </c>
      <c r="Q4" s="1089"/>
      <c r="S4" s="36"/>
      <c r="T4" s="36"/>
      <c r="Y4" s="1090" t="str">
        <f>[28]Company!B5</f>
        <v>회계 데이터 기준일</v>
      </c>
      <c r="AA4" s="1091" t="str">
        <f>TEXT([28]Company!D5,"YYYY년 M월 D일")</f>
        <v>2017년 9월 29일</v>
      </c>
    </row>
    <row r="5" spans="1:27" s="1086" customFormat="1" ht="14.1" customHeight="1" x14ac:dyDescent="0.3">
      <c r="A5" s="1092"/>
      <c r="B5" s="1864"/>
      <c r="C5" s="1865"/>
      <c r="D5" s="1867"/>
      <c r="E5" s="1867"/>
      <c r="F5" s="1867"/>
      <c r="G5" s="1093" t="s">
        <v>3091</v>
      </c>
      <c r="H5" s="1867"/>
      <c r="I5" s="1867"/>
      <c r="J5" s="1094" t="s">
        <v>3092</v>
      </c>
      <c r="K5" s="1867"/>
      <c r="L5" s="1094" t="s">
        <v>3093</v>
      </c>
      <c r="M5" s="1095"/>
      <c r="N5" s="1865"/>
      <c r="O5" s="1865"/>
      <c r="P5" s="1869"/>
      <c r="Q5" s="1089"/>
      <c r="Y5" s="1090" t="str">
        <f>[28]Company!B6</f>
        <v>Market Data 기준일</v>
      </c>
      <c r="AA5" s="1091" t="str">
        <f>TEXT([28]Company!D6,"YYYY년 M월 D일")</f>
        <v>2017년 9월 29일</v>
      </c>
    </row>
    <row r="6" spans="1:27" s="1086" customFormat="1" ht="14.1" hidden="1" customHeight="1" x14ac:dyDescent="0.3">
      <c r="A6" s="1096">
        <v>1</v>
      </c>
      <c r="B6" s="1097" t="str">
        <f>IF([28]Raw!AC9="","",[28]Raw!AC9)</f>
        <v>Hyundai Construction Equipment Co Ltd</v>
      </c>
      <c r="C6" s="1098"/>
      <c r="D6" s="1099"/>
      <c r="E6" s="1100" t="str">
        <f>IF([28]Raw!AF9="","",[28]Raw!AF9)</f>
        <v>SOUTH KOREA</v>
      </c>
      <c r="F6" s="1099"/>
      <c r="G6" s="1101">
        <f t="shared" ref="G6:G19" si="0">IF(B6="","",CHOOSE($W$26,G65,H65,I65))</f>
        <v>1.281801</v>
      </c>
      <c r="H6" s="1102" t="e">
        <f t="shared" ref="H6:H19" si="1">IF(B6="","",CHOOSE($W$28,G82,H82,I82,J82,L82))</f>
        <v>#DIV/0!</v>
      </c>
      <c r="I6" s="1103">
        <f>IF(B6="","",G100)</f>
        <v>615793</v>
      </c>
      <c r="J6" s="1104" t="e">
        <f>IF(B6="","",I6/H6)</f>
        <v>#DIV/0!</v>
      </c>
      <c r="K6" s="1104"/>
      <c r="L6" s="1104" t="e">
        <f>IF(B6="","",I6/(H6+I6))</f>
        <v>#DIV/0!</v>
      </c>
      <c r="M6" s="34"/>
      <c r="N6" s="1105">
        <v>0.24199999999999999</v>
      </c>
      <c r="O6" s="1106" t="e">
        <f>IF(B6="","",IF(G6="NA","NA",G6/(1+J6*(1-N6))))</f>
        <v>#DIV/0!</v>
      </c>
      <c r="P6" s="1107" t="e">
        <f>IF(B6="","",O6*(1+($L$41/$L$42)*$E$41))</f>
        <v>#DIV/0!</v>
      </c>
      <c r="Q6" s="1089"/>
    </row>
    <row r="7" spans="1:27" s="1109" customFormat="1" ht="14.1" hidden="1" customHeight="1" x14ac:dyDescent="0.2">
      <c r="A7" s="1096">
        <f>A6+1</f>
        <v>2</v>
      </c>
      <c r="B7" s="1097" t="str">
        <f>IF([28]Raw!AC10="","",[28]Raw!AC10)</f>
        <v>Doosan Bobcat Inc</v>
      </c>
      <c r="C7" s="1098"/>
      <c r="D7" s="1099"/>
      <c r="E7" s="1100" t="str">
        <f>IF([28]Raw!AF10="","",[28]Raw!AF10)</f>
        <v>SOUTH KOREA</v>
      </c>
      <c r="F7" s="1099"/>
      <c r="G7" s="1101">
        <f t="shared" si="0"/>
        <v>0.91188999999999998</v>
      </c>
      <c r="H7" s="1102">
        <f t="shared" si="1"/>
        <v>3664107.0172999999</v>
      </c>
      <c r="I7" s="1103">
        <f>IF(B7="","",G101)</f>
        <v>103202.17600000001</v>
      </c>
      <c r="J7" s="1104">
        <f t="shared" ref="J7:J25" si="2">IF(B7="","",I7/H7)</f>
        <v>2.8165710093273264E-2</v>
      </c>
      <c r="K7" s="1104"/>
      <c r="L7" s="1104">
        <f t="shared" ref="L7:L25" si="3">IF(B7="","",I7/(H7+I7))</f>
        <v>2.7394134833302431E-2</v>
      </c>
      <c r="M7" s="34"/>
      <c r="N7" s="1105">
        <v>0.24199999999999999</v>
      </c>
      <c r="O7" s="1106">
        <f t="shared" ref="O7:O25" si="4">IF(B7="","",IF(G7="NA","NA",G7/(1+J7*(1-N7))))</f>
        <v>0.89282846209910804</v>
      </c>
      <c r="P7" s="1107">
        <f t="shared" ref="P7:P25" si="5">IF(B7="","",O7*(1+($L$41/$L$42)*$E$41))</f>
        <v>0.97444908517987638</v>
      </c>
      <c r="Q7" s="1108"/>
      <c r="AA7" s="1109" t="str">
        <f>CHOOSE(W26,"5년 평균 Weekly adjusted Beta","5년 평균 Monthly adjusted Beta","2년 평균 Weekly adjusted Beta")</f>
        <v>5년 평균 Weekly adjusted Beta</v>
      </c>
    </row>
    <row r="8" spans="1:27" s="1109" customFormat="1" ht="14.1" customHeight="1" x14ac:dyDescent="0.2">
      <c r="A8" s="1096">
        <f t="shared" ref="A8:A25" si="6">A7+1</f>
        <v>3</v>
      </c>
      <c r="B8" s="1558" t="str">
        <f>IF([28]Raw!AC11="","",[28]Raw!AC11)</f>
        <v>DY POWER Corp</v>
      </c>
      <c r="C8" s="1098"/>
      <c r="D8" s="1099"/>
      <c r="E8" s="1100" t="str">
        <f>IF([28]Raw!AF11="","",[28]Raw!AF11)</f>
        <v>SOUTH KOREA</v>
      </c>
      <c r="F8" s="1099"/>
      <c r="G8" s="1101">
        <f t="shared" si="0"/>
        <v>1.2255819999999999</v>
      </c>
      <c r="H8" s="1102">
        <f t="shared" si="1"/>
        <v>225802.92860000001</v>
      </c>
      <c r="I8" s="1103">
        <f>[28]디와이파워!D41/10^6</f>
        <v>26557.771219999999</v>
      </c>
      <c r="J8" s="1104">
        <f t="shared" si="2"/>
        <v>0.11761482184779776</v>
      </c>
      <c r="K8" s="1104"/>
      <c r="L8" s="1104">
        <f t="shared" si="3"/>
        <v>0.10523734970992996</v>
      </c>
      <c r="M8" s="34"/>
      <c r="N8" s="1105">
        <v>0.24199999999999999</v>
      </c>
      <c r="O8" s="1106">
        <f t="shared" si="4"/>
        <v>1.1252625534912586</v>
      </c>
      <c r="P8" s="1107">
        <f t="shared" si="5"/>
        <v>1.22813184433967</v>
      </c>
      <c r="Q8" s="1108"/>
    </row>
    <row r="9" spans="1:27" s="1109" customFormat="1" ht="14.1" customHeight="1" x14ac:dyDescent="0.2">
      <c r="A9" s="1096">
        <f t="shared" si="6"/>
        <v>4</v>
      </c>
      <c r="B9" s="1558" t="str">
        <f>IF([28]Raw!AC12="","",[28]Raw!AC12)</f>
        <v>Dongil Metal Co Ltd</v>
      </c>
      <c r="C9" s="1098"/>
      <c r="D9" s="1099"/>
      <c r="E9" s="1100" t="str">
        <f>IF([28]Raw!AF12="","",[28]Raw!AF12)</f>
        <v>SOUTH KOREA</v>
      </c>
      <c r="F9" s="1099"/>
      <c r="G9" s="1101">
        <f t="shared" si="0"/>
        <v>0.70800260000000004</v>
      </c>
      <c r="H9" s="1102">
        <f t="shared" si="1"/>
        <v>52920</v>
      </c>
      <c r="I9" s="1103">
        <f>([28]동일금속!D34+[28]동일금속!D39)/10^6</f>
        <v>8234.0778480000008</v>
      </c>
      <c r="J9" s="1104">
        <f t="shared" si="2"/>
        <v>0.1555948195011338</v>
      </c>
      <c r="K9" s="1104"/>
      <c r="L9" s="1104">
        <f t="shared" si="3"/>
        <v>0.13464478801341767</v>
      </c>
      <c r="M9" s="34"/>
      <c r="N9" s="1105">
        <v>0.24199999999999999</v>
      </c>
      <c r="O9" s="1106">
        <f t="shared" si="4"/>
        <v>0.63330952198294543</v>
      </c>
      <c r="P9" s="1107">
        <f t="shared" si="5"/>
        <v>0.69120543366311504</v>
      </c>
      <c r="Q9" s="1108"/>
      <c r="AA9" s="1109" t="str">
        <f>CHOOSE(W28,"","과거 1개월 평균 ","과거 3개월 평균 ","과거 6개월 평균 ","과거 12개월 평균 ")</f>
        <v/>
      </c>
    </row>
    <row r="10" spans="1:27" s="1109" customFormat="1" ht="14.1" hidden="1" customHeight="1" x14ac:dyDescent="0.2">
      <c r="A10" s="1096">
        <f t="shared" si="6"/>
        <v>5</v>
      </c>
      <c r="B10" s="1558" t="str">
        <f>IF([28]Raw!AC13="","",[28]Raw!AC13)</f>
        <v>HEUNGKUK METALTECH Co Ltd</v>
      </c>
      <c r="C10" s="1098"/>
      <c r="D10" s="1099"/>
      <c r="E10" s="1100" t="str">
        <f>IF([28]Raw!AF13="","",[28]Raw!AF13)</f>
        <v>SOUTH KOREA</v>
      </c>
      <c r="F10" s="1099"/>
      <c r="G10" s="1101">
        <f t="shared" si="0"/>
        <v>0.78628410000000004</v>
      </c>
      <c r="H10" s="1102">
        <f t="shared" si="1"/>
        <v>43006.209000000003</v>
      </c>
      <c r="I10" s="1103">
        <f>IF(B10="","",G104)</f>
        <v>8000</v>
      </c>
      <c r="J10" s="1104">
        <f t="shared" si="2"/>
        <v>0.18601965125547335</v>
      </c>
      <c r="K10" s="1104"/>
      <c r="L10" s="1104">
        <f t="shared" si="3"/>
        <v>0.15684365015247456</v>
      </c>
      <c r="M10" s="34"/>
      <c r="N10" s="1105">
        <v>0.24199999999999999</v>
      </c>
      <c r="O10" s="1106">
        <f t="shared" si="4"/>
        <v>0.6891166560545301</v>
      </c>
      <c r="P10" s="1107">
        <f t="shared" si="5"/>
        <v>0.75211434623822715</v>
      </c>
      <c r="Q10" s="1108"/>
    </row>
    <row r="11" spans="1:27" s="1109" customFormat="1" ht="14.1" hidden="1" customHeight="1" x14ac:dyDescent="0.2">
      <c r="A11" s="1096">
        <f t="shared" si="6"/>
        <v>6</v>
      </c>
      <c r="B11" s="1558" t="str">
        <f>IF([28]Raw!AC14="","",[28]Raw!AC14)</f>
        <v>Woorim Machinery Co Ltd</v>
      </c>
      <c r="C11" s="1098"/>
      <c r="D11" s="1099"/>
      <c r="E11" s="1100" t="str">
        <f>IF([28]Raw!AF14="","",[28]Raw!AF14)</f>
        <v>SOUTH KOREA</v>
      </c>
      <c r="F11" s="1099"/>
      <c r="G11" s="1101">
        <f t="shared" si="0"/>
        <v>0.83321009999999995</v>
      </c>
      <c r="H11" s="1102">
        <f t="shared" si="1"/>
        <v>52717.5</v>
      </c>
      <c r="I11" s="1103">
        <f>IF(B11="","",G105)</f>
        <v>3800</v>
      </c>
      <c r="J11" s="1104">
        <f t="shared" si="2"/>
        <v>7.208232560345236E-2</v>
      </c>
      <c r="K11" s="1104"/>
      <c r="L11" s="1104">
        <f t="shared" si="3"/>
        <v>6.7235811916662974E-2</v>
      </c>
      <c r="M11" s="34"/>
      <c r="N11" s="1105">
        <v>0.24199999999999999</v>
      </c>
      <c r="O11" s="1106">
        <f t="shared" si="4"/>
        <v>0.79004339096890341</v>
      </c>
      <c r="P11" s="1107">
        <f t="shared" si="5"/>
        <v>0.86226760487906329</v>
      </c>
      <c r="Q11" s="1108"/>
      <c r="AA11" s="1109" t="str">
        <f>CHOOSE(W30,"","과거 1개월 평균 ","과거 3개월 평균 ","과거 6개월 평균 ","과거 12개월 평균 ","과거 24개월 평균 ")</f>
        <v/>
      </c>
    </row>
    <row r="12" spans="1:27" s="1109" customFormat="1" ht="14.1" customHeight="1" x14ac:dyDescent="0.2">
      <c r="A12" s="1096">
        <f t="shared" si="6"/>
        <v>7</v>
      </c>
      <c r="B12" s="1558" t="str">
        <f>IF([28]Raw!AC15="","",[28]Raw!AC15)</f>
        <v>EVERDIGM Corp</v>
      </c>
      <c r="C12" s="1098"/>
      <c r="D12" s="1099"/>
      <c r="E12" s="1100" t="str">
        <f>IF([28]Raw!AF15="","",[28]Raw!AF15)</f>
        <v>SOUTH KOREA</v>
      </c>
      <c r="F12" s="1099"/>
      <c r="G12" s="1101">
        <f t="shared" si="0"/>
        <v>0.85525359999999995</v>
      </c>
      <c r="H12" s="1102">
        <f t="shared" si="1"/>
        <v>189909.00640000001</v>
      </c>
      <c r="I12" s="1103">
        <f>([28]애버다임!C38+[28]애버다임!C39+[28]애버다임!C45)/10^6</f>
        <v>36121.337498000001</v>
      </c>
      <c r="J12" s="1104">
        <f t="shared" si="2"/>
        <v>0.19020339362904484</v>
      </c>
      <c r="K12" s="1104"/>
      <c r="L12" s="1104">
        <f t="shared" si="3"/>
        <v>0.15980747042662713</v>
      </c>
      <c r="M12" s="34"/>
      <c r="N12" s="1105">
        <v>0.24199999999999999</v>
      </c>
      <c r="O12" s="1106">
        <f t="shared" si="4"/>
        <v>0.74748549709687073</v>
      </c>
      <c r="P12" s="1107">
        <f t="shared" si="5"/>
        <v>0.81581915200012589</v>
      </c>
      <c r="Q12" s="1108"/>
    </row>
    <row r="13" spans="1:27" s="1109" customFormat="1" ht="14.1" hidden="1" customHeight="1" x14ac:dyDescent="0.2">
      <c r="A13" s="1096">
        <f t="shared" si="6"/>
        <v>8</v>
      </c>
      <c r="B13" s="1558" t="str">
        <f>IF([28]Raw!AC16="","",[28]Raw!AC16)</f>
        <v>Doosan Infracore Co Ltd</v>
      </c>
      <c r="C13" s="1098"/>
      <c r="D13" s="1099"/>
      <c r="E13" s="1100" t="str">
        <f>IF([28]Raw!AF16="","",[28]Raw!AF16)</f>
        <v>SOUTH KOREA</v>
      </c>
      <c r="F13" s="1099"/>
      <c r="G13" s="1101">
        <f t="shared" si="0"/>
        <v>1.561469</v>
      </c>
      <c r="H13" s="1102">
        <f t="shared" si="1"/>
        <v>1703208.1279</v>
      </c>
      <c r="I13" s="1103">
        <f>IF(B13="","",G107)</f>
        <v>2564617.023</v>
      </c>
      <c r="J13" s="1104">
        <f t="shared" si="2"/>
        <v>1.505756684100662</v>
      </c>
      <c r="K13" s="1104"/>
      <c r="L13" s="1104">
        <f t="shared" si="3"/>
        <v>0.60091895340632062</v>
      </c>
      <c r="M13" s="34"/>
      <c r="N13" s="1105">
        <v>0.24199999999999999</v>
      </c>
      <c r="O13" s="1106">
        <f t="shared" si="4"/>
        <v>0.72919378306083582</v>
      </c>
      <c r="P13" s="1107">
        <f t="shared" si="5"/>
        <v>0.79585524542071451</v>
      </c>
      <c r="Q13" s="1108"/>
      <c r="AA13" s="1109" t="str">
        <f>CHOOSE(W32,"","과거 1개월 평균 ","과거 3개월 평균 ","과거 6개월 평균 ","과거 12개월 평균 ","과거 24개월 평균 ")</f>
        <v/>
      </c>
    </row>
    <row r="14" spans="1:27" s="1109" customFormat="1" ht="14.1" hidden="1" customHeight="1" x14ac:dyDescent="0.2">
      <c r="A14" s="1096">
        <f t="shared" si="6"/>
        <v>9</v>
      </c>
      <c r="B14" s="1558" t="str">
        <f>IF([28]Raw!AC17="","",[28]Raw!AC17)</f>
        <v>Jinsung T.E.C.</v>
      </c>
      <c r="C14" s="1098"/>
      <c r="D14" s="1099"/>
      <c r="E14" s="1100" t="str">
        <f>IF([28]Raw!AF17="","",[28]Raw!AF17)</f>
        <v>SOUTH KOREA</v>
      </c>
      <c r="F14" s="1099"/>
      <c r="G14" s="1101">
        <f t="shared" si="0"/>
        <v>1.013539</v>
      </c>
      <c r="H14" s="1102">
        <f t="shared" si="1"/>
        <v>230443.247</v>
      </c>
      <c r="I14" s="1103">
        <f>IF(B14="","",G108)</f>
        <v>19702.5</v>
      </c>
      <c r="J14" s="1104">
        <f t="shared" si="2"/>
        <v>8.5498274549134431E-2</v>
      </c>
      <c r="K14" s="1104"/>
      <c r="L14" s="1104">
        <f t="shared" si="3"/>
        <v>7.8764081485662829E-2</v>
      </c>
      <c r="M14" s="34"/>
      <c r="N14" s="1105">
        <v>0.24199999999999999</v>
      </c>
      <c r="O14" s="1106">
        <f t="shared" si="4"/>
        <v>0.95185168881834847</v>
      </c>
      <c r="P14" s="1107">
        <f t="shared" si="5"/>
        <v>1.0388680992710109</v>
      </c>
      <c r="Q14" s="1108"/>
      <c r="S14" s="1086"/>
      <c r="U14" s="1086"/>
    </row>
    <row r="15" spans="1:27" s="1109" customFormat="1" ht="14.1" hidden="1" customHeight="1" x14ac:dyDescent="0.2">
      <c r="A15" s="1096">
        <f t="shared" si="6"/>
        <v>10</v>
      </c>
      <c r="B15" s="1558" t="str">
        <f>IF([28]Raw!AC18="","",[28]Raw!AC18)</f>
        <v>Kanglim Co Ltd</v>
      </c>
      <c r="C15" s="1098"/>
      <c r="D15" s="1099"/>
      <c r="E15" s="1100" t="str">
        <f>IF([28]Raw!AF18="","",[28]Raw!AF18)</f>
        <v>SOUTH KOREA</v>
      </c>
      <c r="F15" s="1099"/>
      <c r="G15" s="1101">
        <f t="shared" si="0"/>
        <v>1.1224149999999999</v>
      </c>
      <c r="H15" s="1102">
        <f t="shared" si="1"/>
        <v>193508.95910000001</v>
      </c>
      <c r="I15" s="1103">
        <f>IF(B15="","",G109)</f>
        <v>35222.923299999995</v>
      </c>
      <c r="J15" s="1104">
        <f t="shared" si="2"/>
        <v>0.18202218369536977</v>
      </c>
      <c r="K15" s="1104"/>
      <c r="L15" s="1104">
        <f t="shared" si="3"/>
        <v>0.15399218915360088</v>
      </c>
      <c r="M15" s="34"/>
      <c r="N15" s="1105">
        <v>0.24199999999999999</v>
      </c>
      <c r="O15" s="1106">
        <f t="shared" si="4"/>
        <v>0.9863284825149411</v>
      </c>
      <c r="P15" s="1107">
        <f t="shared" si="5"/>
        <v>1.0764966936805052</v>
      </c>
      <c r="Q15" s="1108"/>
      <c r="S15" s="1086"/>
      <c r="U15" s="1086"/>
    </row>
    <row r="16" spans="1:27" s="1109" customFormat="1" ht="14.1" customHeight="1" x14ac:dyDescent="0.2">
      <c r="A16" s="1096">
        <f t="shared" si="6"/>
        <v>11</v>
      </c>
      <c r="B16" s="1558" t="str">
        <f>IF([28]Raw!AC19="","",[28]Raw!AC19)</f>
        <v>Soosan Heavy Industries Co Ltd</v>
      </c>
      <c r="C16" s="1098"/>
      <c r="D16" s="1099"/>
      <c r="E16" s="1100" t="str">
        <f>IF([28]Raw!AF19="","",[28]Raw!AF19)</f>
        <v>SOUTH KOREA</v>
      </c>
      <c r="F16" s="1099"/>
      <c r="G16" s="1101">
        <f t="shared" si="0"/>
        <v>0.94050829999999996</v>
      </c>
      <c r="H16" s="1102">
        <f t="shared" si="1"/>
        <v>80977.744500000001</v>
      </c>
      <c r="I16" s="1103">
        <f>([28]수산중공업!C38+[28]수산중공업!C44)/10^6</f>
        <v>2574.034236</v>
      </c>
      <c r="J16" s="1104">
        <f t="shared" si="2"/>
        <v>3.1786934198939069E-2</v>
      </c>
      <c r="K16" s="1104"/>
      <c r="L16" s="1104">
        <f t="shared" si="3"/>
        <v>3.0807653349107268E-2</v>
      </c>
      <c r="M16" s="34"/>
      <c r="N16" s="1105">
        <v>0.24199999999999999</v>
      </c>
      <c r="O16" s="1106">
        <f t="shared" si="4"/>
        <v>0.91838038731850258</v>
      </c>
      <c r="P16" s="1107">
        <f t="shared" si="5"/>
        <v>1.0023369171785159</v>
      </c>
      <c r="Q16" s="1108"/>
    </row>
    <row r="17" spans="1:25" s="1109" customFormat="1" ht="14.1" hidden="1" customHeight="1" x14ac:dyDescent="0.2">
      <c r="A17" s="1096">
        <f t="shared" si="6"/>
        <v>12</v>
      </c>
      <c r="B17" s="1097" t="str">
        <f>IF([28]Raw!AC20="","",[28]Raw!AC20)</f>
        <v>Daechang Forging Co Ltd</v>
      </c>
      <c r="C17" s="1098"/>
      <c r="D17" s="1099"/>
      <c r="E17" s="1100" t="str">
        <f>IF([28]Raw!AF20="","",[28]Raw!AF20)</f>
        <v>SOUTH KOREA</v>
      </c>
      <c r="F17" s="1099"/>
      <c r="G17" s="1101">
        <f t="shared" si="0"/>
        <v>0.71099179999999995</v>
      </c>
      <c r="H17" s="1102">
        <f t="shared" si="1"/>
        <v>116000</v>
      </c>
      <c r="I17" s="1103">
        <f t="shared" ref="I17:I25" si="7">IF(B17="","",G111)</f>
        <v>2214.5931999999998</v>
      </c>
      <c r="J17" s="1104">
        <f t="shared" si="2"/>
        <v>1.9091320689655172E-2</v>
      </c>
      <c r="K17" s="1104"/>
      <c r="L17" s="1104">
        <f t="shared" si="3"/>
        <v>1.8733670184469236E-2</v>
      </c>
      <c r="M17" s="34"/>
      <c r="N17" s="1105">
        <v>0.24199999999999999</v>
      </c>
      <c r="O17" s="1106">
        <f t="shared" si="4"/>
        <v>0.70084964977236996</v>
      </c>
      <c r="P17" s="1107">
        <f t="shared" si="5"/>
        <v>0.76491994717963308</v>
      </c>
      <c r="Q17" s="1108"/>
    </row>
    <row r="18" spans="1:25" s="1109" customFormat="1" ht="14.1" hidden="1" customHeight="1" x14ac:dyDescent="0.2">
      <c r="A18" s="1096">
        <f t="shared" si="6"/>
        <v>13</v>
      </c>
      <c r="B18" s="1097" t="str">
        <f>IF([28]Raw!AC21="","",[28]Raw!AC21)</f>
        <v>DY Corp</v>
      </c>
      <c r="C18" s="1098"/>
      <c r="D18" s="1099"/>
      <c r="E18" s="1100" t="str">
        <f>IF([28]Raw!AF21="","",[28]Raw!AF21)</f>
        <v>SOUTH KOREA</v>
      </c>
      <c r="F18" s="1099"/>
      <c r="G18" s="1101">
        <f t="shared" si="0"/>
        <v>1.1870890000000001</v>
      </c>
      <c r="H18" s="1102">
        <f t="shared" si="1"/>
        <v>190817.33919999999</v>
      </c>
      <c r="I18" s="1103">
        <f t="shared" si="7"/>
        <v>2325</v>
      </c>
      <c r="J18" s="1104">
        <f t="shared" si="2"/>
        <v>1.2184427315397763E-2</v>
      </c>
      <c r="K18" s="1104"/>
      <c r="L18" s="1104">
        <f t="shared" si="3"/>
        <v>1.203775417461652E-2</v>
      </c>
      <c r="M18" s="34"/>
      <c r="N18" s="1105">
        <v>0.24199999999999999</v>
      </c>
      <c r="O18" s="1106">
        <f t="shared" si="4"/>
        <v>1.17622562023321</v>
      </c>
      <c r="P18" s="1107">
        <f t="shared" si="5"/>
        <v>1.2837538544712679</v>
      </c>
      <c r="Q18" s="1108"/>
    </row>
    <row r="19" spans="1:25" s="1109" customFormat="1" ht="14.1" hidden="1" customHeight="1" x14ac:dyDescent="0.2">
      <c r="A19" s="1096">
        <f t="shared" si="6"/>
        <v>14</v>
      </c>
      <c r="B19" s="1097" t="str">
        <f>IF([28]Raw!AC22="","",[28]Raw!AC22)</f>
        <v>Hae In Corp</v>
      </c>
      <c r="C19" s="34"/>
      <c r="D19" s="35"/>
      <c r="E19" s="1100" t="str">
        <f>IF([28]Raw!AF22="","",[28]Raw!AF22)</f>
        <v>SOUTH KOREA</v>
      </c>
      <c r="F19" s="1100"/>
      <c r="G19" s="1101">
        <f t="shared" si="0"/>
        <v>0.49250559999999999</v>
      </c>
      <c r="H19" s="1102">
        <f t="shared" si="1"/>
        <v>47100.727599999998</v>
      </c>
      <c r="I19" s="1103">
        <f t="shared" si="7"/>
        <v>102869.9267</v>
      </c>
      <c r="J19" s="1104">
        <f t="shared" si="2"/>
        <v>2.1840411378273488</v>
      </c>
      <c r="K19" s="1104"/>
      <c r="L19" s="1104">
        <f t="shared" si="3"/>
        <v>0.685933706031714</v>
      </c>
      <c r="M19" s="34"/>
      <c r="N19" s="1105">
        <v>0.24199999999999999</v>
      </c>
      <c r="O19" s="1106">
        <f t="shared" si="4"/>
        <v>0.18546601760850401</v>
      </c>
      <c r="P19" s="1107">
        <f t="shared" si="5"/>
        <v>0.20242095639027696</v>
      </c>
      <c r="Q19" s="1108"/>
    </row>
    <row r="20" spans="1:25" s="1109" customFormat="1" ht="14.1" hidden="1" customHeight="1" x14ac:dyDescent="0.2">
      <c r="A20" s="1096">
        <f t="shared" si="6"/>
        <v>15</v>
      </c>
      <c r="B20" s="1097">
        <f>IF([28]Raw!AC23="","",[28]Raw!AC23)</f>
        <v>0</v>
      </c>
      <c r="C20" s="34"/>
      <c r="D20" s="35"/>
      <c r="E20" s="1100">
        <f>IF([28]Raw!AF23="","",[28]Raw!AF23)</f>
        <v>0</v>
      </c>
      <c r="F20" s="1100"/>
      <c r="G20" s="1101" t="e">
        <f>IF(B20="","",CHOOSE($W$26,#REF!,#REF!,#REF!))</f>
        <v>#REF!</v>
      </c>
      <c r="H20" s="1102" t="e">
        <f>IF(B20="","",CHOOSE($W$28,#REF!,#REF!,#REF!,#REF!,#REF!))</f>
        <v>#REF!</v>
      </c>
      <c r="I20" s="1103">
        <f t="shared" si="7"/>
        <v>0</v>
      </c>
      <c r="J20" s="1104" t="e">
        <f t="shared" si="2"/>
        <v>#REF!</v>
      </c>
      <c r="K20" s="1104"/>
      <c r="L20" s="1104" t="e">
        <f t="shared" si="3"/>
        <v>#REF!</v>
      </c>
      <c r="M20" s="34"/>
      <c r="N20" s="1105" t="e">
        <v>#N/A</v>
      </c>
      <c r="O20" s="1106" t="e">
        <f t="shared" si="4"/>
        <v>#REF!</v>
      </c>
      <c r="P20" s="1107" t="e">
        <f t="shared" si="5"/>
        <v>#REF!</v>
      </c>
      <c r="Q20" s="1108"/>
    </row>
    <row r="21" spans="1:25" s="1109" customFormat="1" ht="14.1" hidden="1" customHeight="1" x14ac:dyDescent="0.2">
      <c r="A21" s="1096">
        <f t="shared" si="6"/>
        <v>16</v>
      </c>
      <c r="B21" s="1097">
        <f>IF([28]Raw!AC24="","",[28]Raw!AC24)</f>
        <v>0</v>
      </c>
      <c r="C21" s="34"/>
      <c r="D21" s="35"/>
      <c r="E21" s="1100">
        <f>IF([28]Raw!AF24="","",[28]Raw!AF24)</f>
        <v>0</v>
      </c>
      <c r="F21" s="1100"/>
      <c r="G21" s="1101" t="e">
        <f>IF(B21="","",CHOOSE($W$26,#REF!,#REF!,#REF!))</f>
        <v>#REF!</v>
      </c>
      <c r="H21" s="1102" t="e">
        <f>IF(B21="","",CHOOSE($W$28,#REF!,#REF!,#REF!,#REF!,#REF!))</f>
        <v>#REF!</v>
      </c>
      <c r="I21" s="1103">
        <f t="shared" si="7"/>
        <v>0</v>
      </c>
      <c r="J21" s="1104" t="e">
        <f t="shared" si="2"/>
        <v>#REF!</v>
      </c>
      <c r="K21" s="1104"/>
      <c r="L21" s="1104" t="e">
        <f t="shared" si="3"/>
        <v>#REF!</v>
      </c>
      <c r="M21" s="34"/>
      <c r="N21" s="1105" t="e">
        <v>#N/A</v>
      </c>
      <c r="O21" s="1106" t="e">
        <f t="shared" si="4"/>
        <v>#REF!</v>
      </c>
      <c r="P21" s="1107" t="e">
        <f t="shared" si="5"/>
        <v>#REF!</v>
      </c>
      <c r="Q21" s="1108"/>
    </row>
    <row r="22" spans="1:25" s="1109" customFormat="1" ht="14.1" hidden="1" customHeight="1" x14ac:dyDescent="0.2">
      <c r="A22" s="1096">
        <f t="shared" si="6"/>
        <v>17</v>
      </c>
      <c r="B22" s="1097">
        <f>IF([28]Raw!AC25="","",[28]Raw!AC25)</f>
        <v>0</v>
      </c>
      <c r="C22" s="34"/>
      <c r="D22" s="35"/>
      <c r="E22" s="1100">
        <f>IF([28]Raw!AF25="","",[28]Raw!AF25)</f>
        <v>0</v>
      </c>
      <c r="F22" s="1100"/>
      <c r="G22" s="1101" t="e">
        <f>IF(B22="","",CHOOSE($W$26,#REF!,#REF!,#REF!))</f>
        <v>#REF!</v>
      </c>
      <c r="H22" s="1102" t="e">
        <f>IF(B22="","",CHOOSE($W$28,#REF!,#REF!,#REF!,#REF!,#REF!))</f>
        <v>#REF!</v>
      </c>
      <c r="I22" s="1103">
        <f t="shared" si="7"/>
        <v>0</v>
      </c>
      <c r="J22" s="1104" t="e">
        <f t="shared" si="2"/>
        <v>#REF!</v>
      </c>
      <c r="K22" s="1104"/>
      <c r="L22" s="1104" t="e">
        <f t="shared" si="3"/>
        <v>#REF!</v>
      </c>
      <c r="M22" s="34"/>
      <c r="N22" s="1105" t="e">
        <v>#N/A</v>
      </c>
      <c r="O22" s="1106" t="e">
        <f t="shared" si="4"/>
        <v>#REF!</v>
      </c>
      <c r="P22" s="1107" t="e">
        <f t="shared" si="5"/>
        <v>#REF!</v>
      </c>
      <c r="Q22" s="1108"/>
    </row>
    <row r="23" spans="1:25" s="1109" customFormat="1" ht="14.1" hidden="1" customHeight="1" x14ac:dyDescent="0.2">
      <c r="A23" s="1096">
        <f t="shared" si="6"/>
        <v>18</v>
      </c>
      <c r="B23" s="1097">
        <f>IF([28]Raw!AC26="","",[28]Raw!AC26)</f>
        <v>0</v>
      </c>
      <c r="C23" s="34"/>
      <c r="D23" s="35"/>
      <c r="E23" s="1100">
        <f>IF([28]Raw!AF26="","",[28]Raw!AF26)</f>
        <v>0</v>
      </c>
      <c r="F23" s="1100"/>
      <c r="G23" s="1101" t="e">
        <f>IF(B23="","",CHOOSE($W$26,#REF!,#REF!,#REF!))</f>
        <v>#REF!</v>
      </c>
      <c r="H23" s="1102" t="e">
        <f>IF(B23="","",CHOOSE($W$28,#REF!,#REF!,#REF!,#REF!,#REF!))</f>
        <v>#REF!</v>
      </c>
      <c r="I23" s="1103">
        <f t="shared" si="7"/>
        <v>0</v>
      </c>
      <c r="J23" s="1104" t="e">
        <f t="shared" si="2"/>
        <v>#REF!</v>
      </c>
      <c r="K23" s="1104"/>
      <c r="L23" s="1104" t="e">
        <f t="shared" si="3"/>
        <v>#REF!</v>
      </c>
      <c r="M23" s="34"/>
      <c r="N23" s="1105" t="e">
        <v>#N/A</v>
      </c>
      <c r="O23" s="1106" t="e">
        <f t="shared" si="4"/>
        <v>#REF!</v>
      </c>
      <c r="P23" s="1107" t="e">
        <f t="shared" si="5"/>
        <v>#REF!</v>
      </c>
      <c r="Q23" s="1108"/>
    </row>
    <row r="24" spans="1:25" s="1109" customFormat="1" ht="14.1" hidden="1" customHeight="1" x14ac:dyDescent="0.2">
      <c r="A24" s="1096">
        <f t="shared" si="6"/>
        <v>19</v>
      </c>
      <c r="B24" s="1097">
        <f>IF([28]Raw!AC27="","",[28]Raw!AC27)</f>
        <v>0</v>
      </c>
      <c r="C24" s="34"/>
      <c r="D24" s="35"/>
      <c r="E24" s="1100">
        <f>IF([28]Raw!AF27="","",[28]Raw!AF27)</f>
        <v>0</v>
      </c>
      <c r="F24" s="1100"/>
      <c r="G24" s="1101" t="e">
        <f>IF(B24="","",CHOOSE($W$26,#REF!,#REF!,#REF!))</f>
        <v>#REF!</v>
      </c>
      <c r="H24" s="1102" t="e">
        <f>IF(B24="","",CHOOSE($W$28,#REF!,#REF!,#REF!,#REF!,#REF!))</f>
        <v>#REF!</v>
      </c>
      <c r="I24" s="1103">
        <f t="shared" si="7"/>
        <v>0</v>
      </c>
      <c r="J24" s="1104" t="e">
        <f t="shared" si="2"/>
        <v>#REF!</v>
      </c>
      <c r="K24" s="1104"/>
      <c r="L24" s="1104" t="e">
        <f t="shared" si="3"/>
        <v>#REF!</v>
      </c>
      <c r="M24" s="34"/>
      <c r="N24" s="1105" t="e">
        <v>#N/A</v>
      </c>
      <c r="O24" s="1106" t="e">
        <f t="shared" si="4"/>
        <v>#REF!</v>
      </c>
      <c r="P24" s="1107" t="e">
        <f t="shared" si="5"/>
        <v>#REF!</v>
      </c>
      <c r="Q24" s="1108"/>
    </row>
    <row r="25" spans="1:25" s="1109" customFormat="1" ht="14.1" hidden="1" customHeight="1" x14ac:dyDescent="0.2">
      <c r="A25" s="1096">
        <f t="shared" si="6"/>
        <v>20</v>
      </c>
      <c r="B25" s="1097">
        <f>IF([28]Raw!AC28="","",[28]Raw!AC28)</f>
        <v>0</v>
      </c>
      <c r="C25" s="34"/>
      <c r="D25" s="35"/>
      <c r="E25" s="1100">
        <f>IF([28]Raw!AF28="","",[28]Raw!AF28)</f>
        <v>0</v>
      </c>
      <c r="F25" s="1100"/>
      <c r="G25" s="1101" t="e">
        <f>IF(B25="","",CHOOSE($W$26,#REF!,#REF!,#REF!))</f>
        <v>#REF!</v>
      </c>
      <c r="H25" s="1102" t="e">
        <f>IF(B25="","",CHOOSE($W$28,#REF!,#REF!,#REF!,#REF!,#REF!))</f>
        <v>#REF!</v>
      </c>
      <c r="I25" s="1103">
        <f t="shared" si="7"/>
        <v>0</v>
      </c>
      <c r="J25" s="1104" t="e">
        <f t="shared" si="2"/>
        <v>#REF!</v>
      </c>
      <c r="K25" s="1104"/>
      <c r="L25" s="1104" t="e">
        <f t="shared" si="3"/>
        <v>#REF!</v>
      </c>
      <c r="M25" s="34"/>
      <c r="N25" s="1105" t="e">
        <v>#N/A</v>
      </c>
      <c r="O25" s="1106" t="e">
        <f t="shared" si="4"/>
        <v>#REF!</v>
      </c>
      <c r="P25" s="1107" t="e">
        <f t="shared" si="5"/>
        <v>#REF!</v>
      </c>
      <c r="Q25" s="1108"/>
    </row>
    <row r="26" spans="1:25" s="1109" customFormat="1" ht="14.1" customHeight="1" x14ac:dyDescent="0.2">
      <c r="B26" s="1110" t="s">
        <v>3094</v>
      </c>
      <c r="C26" s="1111"/>
      <c r="D26" s="1111"/>
      <c r="E26" s="1112"/>
      <c r="F26" s="1113"/>
      <c r="G26" s="1114">
        <f>MAX(G8,G9,G12,G16)</f>
        <v>1.2255819999999999</v>
      </c>
      <c r="H26" s="1115"/>
      <c r="I26" s="1115"/>
      <c r="J26" s="1116">
        <f>MAX(J8,J9,J12,J16)</f>
        <v>0.19020339362904484</v>
      </c>
      <c r="K26" s="1116"/>
      <c r="L26" s="1116">
        <f>MAX(L8,L9,L12,L16)</f>
        <v>0.15980747042662713</v>
      </c>
      <c r="M26" s="1112"/>
      <c r="N26" s="1112"/>
      <c r="O26" s="1117">
        <f>MAX(O8,O9,O12,O16)</f>
        <v>1.1252625534912586</v>
      </c>
      <c r="P26" s="1118">
        <f>MAX(P8,P9,P12,P16)</f>
        <v>1.22813184433967</v>
      </c>
      <c r="Q26" s="1108"/>
      <c r="T26" s="1119" t="s">
        <v>3095</v>
      </c>
      <c r="V26" s="1086"/>
      <c r="W26" s="1120">
        <v>1</v>
      </c>
      <c r="X26" s="1086"/>
      <c r="Y26" s="1121" t="str">
        <f>CHOOSE(W26,L64,L65,L66)</f>
        <v>5year, weekly</v>
      </c>
    </row>
    <row r="27" spans="1:25" s="1109" customFormat="1" ht="14.1" customHeight="1" x14ac:dyDescent="0.2">
      <c r="B27" s="1110" t="s">
        <v>22</v>
      </c>
      <c r="C27" s="1122"/>
      <c r="D27" s="1122"/>
      <c r="E27" s="1112"/>
      <c r="F27" s="1113"/>
      <c r="G27" s="1114">
        <f>AVERAGE(G8,G9,G12,G16)</f>
        <v>0.93233662499999992</v>
      </c>
      <c r="H27" s="1115"/>
      <c r="I27" s="1115"/>
      <c r="J27" s="1116">
        <f>AVERAGE(J8,J9,J12,J16)</f>
        <v>0.12379999229422886</v>
      </c>
      <c r="K27" s="1116"/>
      <c r="L27" s="1116">
        <f>AVERAGE(L8,L9,L12,L16)</f>
        <v>0.10762431537477052</v>
      </c>
      <c r="M27" s="1112"/>
      <c r="N27" s="1112"/>
      <c r="O27" s="1117">
        <f>AVERAGE(O8,O9,O12,O16)</f>
        <v>0.85610948997239433</v>
      </c>
      <c r="P27" s="1118">
        <f>AVERAGE(P8,P9,P12,P16)</f>
        <v>0.93437333679535672</v>
      </c>
      <c r="Q27" s="1108"/>
      <c r="T27" s="1123"/>
      <c r="U27" s="1086"/>
      <c r="W27" s="1124"/>
      <c r="Y27" s="1121"/>
    </row>
    <row r="28" spans="1:25" s="1109" customFormat="1" ht="14.1" customHeight="1" x14ac:dyDescent="0.2">
      <c r="B28" s="1110" t="s">
        <v>3096</v>
      </c>
      <c r="C28" s="1122"/>
      <c r="D28" s="1122"/>
      <c r="E28" s="1112"/>
      <c r="F28" s="1113"/>
      <c r="G28" s="1114">
        <f>MEDIAN(G8,G9,G12,G16)</f>
        <v>0.89788095000000001</v>
      </c>
      <c r="H28" s="1115"/>
      <c r="I28" s="1115"/>
      <c r="J28" s="1116">
        <f>MEDIAN(J8,J9,J12,J16)</f>
        <v>0.13660482067446578</v>
      </c>
      <c r="K28" s="1116"/>
      <c r="L28" s="1116">
        <f>MEDIAN(L8,L9,L12,L16)</f>
        <v>0.11994106886167381</v>
      </c>
      <c r="M28" s="1112"/>
      <c r="N28" s="1112"/>
      <c r="O28" s="1117">
        <f>MEDIAN(O8,O9,O12,O16)</f>
        <v>0.83293294220768666</v>
      </c>
      <c r="P28" s="1118">
        <f>MEDIAN(P8,P9,P12,P16)</f>
        <v>0.9090780345893209</v>
      </c>
      <c r="Q28" s="1108"/>
      <c r="S28" s="1086"/>
      <c r="T28" s="1125" t="s">
        <v>3097</v>
      </c>
      <c r="W28" s="1126">
        <v>1</v>
      </c>
      <c r="X28" s="1126"/>
      <c r="Y28" s="1127">
        <f>CHOOSE($W$28,N81,N82,N83,N84,N85)</f>
        <v>43007</v>
      </c>
    </row>
    <row r="29" spans="1:25" s="1109" customFormat="1" ht="14.1" customHeight="1" x14ac:dyDescent="0.2">
      <c r="B29" s="1128" t="s">
        <v>3098</v>
      </c>
      <c r="C29" s="1129"/>
      <c r="D29" s="1129"/>
      <c r="E29" s="1130"/>
      <c r="F29" s="1131"/>
      <c r="G29" s="1132">
        <f>MIN(G8,G9,G12,G16)</f>
        <v>0.70800260000000004</v>
      </c>
      <c r="H29" s="1133"/>
      <c r="I29" s="1133"/>
      <c r="J29" s="1134">
        <f>MIN(J8,J9,J12,J16)</f>
        <v>3.1786934198939069E-2</v>
      </c>
      <c r="K29" s="1134"/>
      <c r="L29" s="1134">
        <f>MIN(L8,L9,L12,L16)</f>
        <v>3.0807653349107268E-2</v>
      </c>
      <c r="M29" s="1130"/>
      <c r="N29" s="1130"/>
      <c r="O29" s="1135">
        <f>MIN(O8,O9,O12,O16)</f>
        <v>0.63330952198294543</v>
      </c>
      <c r="P29" s="1136">
        <f>MIN(P8,P9,P12,P16)</f>
        <v>0.69120543366311504</v>
      </c>
      <c r="Q29" s="1108"/>
      <c r="S29" s="1086"/>
      <c r="T29" s="1123"/>
      <c r="U29" s="1086"/>
      <c r="W29" s="1124"/>
      <c r="Y29" s="1121"/>
    </row>
    <row r="30" spans="1:25" s="1086" customFormat="1" ht="14.1" customHeight="1" x14ac:dyDescent="0.2">
      <c r="E30" s="1092"/>
      <c r="Q30" s="1137"/>
      <c r="R30" s="1109"/>
      <c r="T30" s="1138" t="s">
        <v>3099</v>
      </c>
      <c r="V30" s="1109"/>
      <c r="W30" s="1124">
        <v>1</v>
      </c>
      <c r="X30" s="1109"/>
      <c r="Y30" s="1127">
        <f>CHOOSE(W30,B123,B124,B125,B126,B127,B128)</f>
        <v>43007</v>
      </c>
    </row>
    <row r="31" spans="1:25" s="1086" customFormat="1" ht="14.1" customHeight="1" x14ac:dyDescent="0.3">
      <c r="B31" s="1139" t="s">
        <v>3100</v>
      </c>
      <c r="C31" s="1140"/>
      <c r="D31" s="1141"/>
      <c r="E31" s="1142"/>
      <c r="F31" s="1143"/>
      <c r="G31" s="1143"/>
      <c r="H31" s="1143"/>
      <c r="I31" s="1143"/>
      <c r="J31" s="1144"/>
      <c r="K31" s="1144"/>
      <c r="L31" s="1145">
        <f>L27</f>
        <v>0.10762431537477052</v>
      </c>
      <c r="M31" s="1146"/>
      <c r="N31" s="1147"/>
      <c r="O31" s="1148">
        <f>O27</f>
        <v>0.85610948997239433</v>
      </c>
      <c r="P31" s="1149">
        <f>O31*(1+($L$41/$L$42)*$E$41)</f>
        <v>0.93437333679535672</v>
      </c>
      <c r="Q31" s="1089"/>
      <c r="R31" s="1109"/>
      <c r="T31" s="1150"/>
      <c r="V31" s="1109"/>
      <c r="W31" s="1109"/>
      <c r="X31" s="1109"/>
      <c r="Y31" s="1121"/>
    </row>
    <row r="32" spans="1:25" s="1086" customFormat="1" ht="14.1" customHeight="1" x14ac:dyDescent="0.3">
      <c r="Q32" s="1089"/>
      <c r="R32" s="1109"/>
      <c r="S32" s="1109"/>
      <c r="T32" s="1138" t="s">
        <v>3101</v>
      </c>
      <c r="V32" s="1109"/>
      <c r="W32" s="1124">
        <v>1</v>
      </c>
      <c r="X32" s="1109"/>
      <c r="Y32" s="1127">
        <f>CHOOSE(W32,B123,B124,B125,B126,B127,B128)</f>
        <v>43007</v>
      </c>
    </row>
    <row r="33" spans="1:39" s="1086" customFormat="1" ht="14.1" customHeight="1" x14ac:dyDescent="0.3">
      <c r="B33" s="1151" t="s">
        <v>3102</v>
      </c>
      <c r="C33" s="1151"/>
      <c r="E33" s="1092"/>
      <c r="F33" s="1152"/>
      <c r="G33" s="1152"/>
      <c r="H33" s="1152"/>
      <c r="I33" s="1152"/>
      <c r="J33" s="1152"/>
      <c r="K33" s="1152"/>
      <c r="L33" s="1152"/>
      <c r="M33" s="1153"/>
      <c r="N33" s="1153"/>
      <c r="P33" s="1154"/>
      <c r="Q33" s="1089"/>
      <c r="S33" s="1155"/>
    </row>
    <row r="34" spans="1:39" s="1086" customFormat="1" ht="14.1" customHeight="1" x14ac:dyDescent="0.3">
      <c r="E34" s="1156"/>
      <c r="F34" s="1152"/>
      <c r="G34" s="1152"/>
      <c r="H34" s="1152"/>
      <c r="I34" s="1152"/>
      <c r="J34" s="1152"/>
      <c r="K34" s="1152"/>
      <c r="L34" s="1152"/>
      <c r="M34" s="1153"/>
      <c r="N34" s="1153"/>
      <c r="Q34" s="1089"/>
      <c r="S34" s="1155"/>
    </row>
    <row r="35" spans="1:39" s="1086" customFormat="1" ht="35.1" customHeight="1" x14ac:dyDescent="0.3">
      <c r="B35" s="1870" t="s">
        <v>3103</v>
      </c>
      <c r="C35" s="1871"/>
      <c r="D35" s="1157" t="s">
        <v>3104</v>
      </c>
      <c r="E35" s="1158" t="s">
        <v>3105</v>
      </c>
      <c r="F35" s="1157" t="s">
        <v>3106</v>
      </c>
      <c r="G35" s="1159" t="s">
        <v>3107</v>
      </c>
      <c r="H35" s="1160" t="s">
        <v>3104</v>
      </c>
      <c r="I35" s="1158" t="s">
        <v>3108</v>
      </c>
      <c r="J35" s="1160" t="s">
        <v>3104</v>
      </c>
      <c r="K35" s="1160"/>
      <c r="L35" s="1158" t="s">
        <v>3109</v>
      </c>
      <c r="M35" s="1160" t="s">
        <v>3104</v>
      </c>
      <c r="N35" s="1158" t="s">
        <v>3110</v>
      </c>
      <c r="O35" s="1160" t="s">
        <v>3111</v>
      </c>
      <c r="P35" s="1161" t="s">
        <v>3112</v>
      </c>
      <c r="Q35" s="1089"/>
      <c r="R35" s="1109"/>
      <c r="S35" s="1109"/>
    </row>
    <row r="36" spans="1:39" s="1086" customFormat="1" ht="14.1" customHeight="1" x14ac:dyDescent="0.3">
      <c r="B36" s="1860">
        <f>CHOOSE($W$32,G123,G124,G125,G126,G127,G128)</f>
        <v>2.3699999999999999E-2</v>
      </c>
      <c r="C36" s="1861"/>
      <c r="D36" s="1162"/>
      <c r="E36" s="1163">
        <f>P31</f>
        <v>0.93437333679535672</v>
      </c>
      <c r="F36" s="1164"/>
      <c r="G36" s="1165">
        <f>CHOOSE($W$32,I123,I124,I125,I126,I127,I128)</f>
        <v>0.10614</v>
      </c>
      <c r="H36" s="1166"/>
      <c r="I36" s="1167">
        <v>0</v>
      </c>
      <c r="J36" s="1166"/>
      <c r="K36" s="1166"/>
      <c r="L36" s="1167">
        <v>0</v>
      </c>
      <c r="M36" s="1168"/>
      <c r="N36" s="1167">
        <v>0</v>
      </c>
      <c r="O36" s="1162"/>
      <c r="P36" s="1169">
        <f>SUM(B36,(E36*G36),I36,L36,N36)</f>
        <v>0.12287438596745916</v>
      </c>
      <c r="Q36" s="1089"/>
    </row>
    <row r="37" spans="1:39" s="1086" customFormat="1" ht="14.1" customHeight="1" x14ac:dyDescent="0.3">
      <c r="B37" s="1153"/>
      <c r="C37" s="1153"/>
      <c r="D37" s="1153"/>
      <c r="E37" s="1170"/>
      <c r="F37" s="1171"/>
      <c r="G37" s="1171"/>
      <c r="H37" s="1171"/>
      <c r="I37" s="1171"/>
      <c r="J37" s="1171"/>
      <c r="K37" s="1171"/>
      <c r="L37" s="1171"/>
      <c r="M37" s="1153"/>
      <c r="N37" s="1153"/>
      <c r="O37" s="1153"/>
      <c r="P37" s="1153"/>
      <c r="Q37" s="1089"/>
    </row>
    <row r="38" spans="1:39" s="1086" customFormat="1" ht="14.1" customHeight="1" x14ac:dyDescent="0.3">
      <c r="B38" s="1172" t="s">
        <v>3113</v>
      </c>
      <c r="C38" s="1172"/>
      <c r="D38" s="1153"/>
      <c r="E38" s="1170"/>
      <c r="F38" s="1171"/>
      <c r="G38" s="1171"/>
      <c r="H38" s="1171"/>
      <c r="I38" s="1171"/>
      <c r="J38" s="1153"/>
      <c r="K38" s="1153"/>
      <c r="L38" s="1172" t="s">
        <v>3078</v>
      </c>
      <c r="M38" s="1153"/>
      <c r="N38" s="1153"/>
      <c r="O38" s="1153"/>
      <c r="P38" s="1153"/>
      <c r="Q38" s="1089"/>
    </row>
    <row r="39" spans="1:39" s="1086" customFormat="1" ht="14.1" customHeight="1" x14ac:dyDescent="0.3">
      <c r="B39" s="1153"/>
      <c r="C39" s="1153"/>
      <c r="D39" s="1153"/>
      <c r="E39" s="1170"/>
      <c r="F39" s="1171"/>
      <c r="G39" s="1171"/>
      <c r="H39" s="1171"/>
      <c r="I39" s="1171"/>
      <c r="J39" s="1153"/>
      <c r="K39" s="1153"/>
      <c r="L39" s="1153"/>
      <c r="M39" s="1153"/>
      <c r="N39" s="1153"/>
      <c r="O39" s="1153"/>
      <c r="P39" s="1153"/>
      <c r="Q39" s="1089"/>
    </row>
    <row r="40" spans="1:39" s="1086" customFormat="1" ht="35.1" customHeight="1" x14ac:dyDescent="0.3">
      <c r="B40" s="1875" t="s">
        <v>3114</v>
      </c>
      <c r="C40" s="1876"/>
      <c r="D40" s="1173" t="s">
        <v>3106</v>
      </c>
      <c r="E40" s="1173" t="s">
        <v>3115</v>
      </c>
      <c r="F40" s="1173" t="s">
        <v>3111</v>
      </c>
      <c r="G40" s="1174" t="s">
        <v>3116</v>
      </c>
      <c r="H40" s="1153"/>
      <c r="I40" s="1175"/>
      <c r="J40" s="1153"/>
      <c r="K40" s="1153"/>
      <c r="L40" s="1176" t="s">
        <v>3117</v>
      </c>
      <c r="M40" s="1177" t="s">
        <v>3106</v>
      </c>
      <c r="N40" s="1178" t="s">
        <v>3118</v>
      </c>
      <c r="O40" s="1179" t="s">
        <v>3111</v>
      </c>
      <c r="P40" s="1180" t="s">
        <v>3119</v>
      </c>
      <c r="Q40" s="1089"/>
    </row>
    <row r="41" spans="1:39" s="1086" customFormat="1" ht="14.1" customHeight="1" x14ac:dyDescent="0.3">
      <c r="B41" s="1877">
        <f>[28]Bond!M16/100</f>
        <v>4.3299999999999998E-2</v>
      </c>
      <c r="C41" s="1878"/>
      <c r="D41" s="1181"/>
      <c r="E41" s="1182">
        <f>1-T3</f>
        <v>0.75800000000000001</v>
      </c>
      <c r="F41" s="1183"/>
      <c r="G41" s="1184">
        <f>(B41*E41)</f>
        <v>3.2821400000000001E-2</v>
      </c>
      <c r="H41" s="1153"/>
      <c r="I41" s="1153"/>
      <c r="J41" s="1185" t="s">
        <v>3086</v>
      </c>
      <c r="K41" s="1185"/>
      <c r="L41" s="1186">
        <f>L31</f>
        <v>0.10762431537477052</v>
      </c>
      <c r="M41" s="1153"/>
      <c r="N41" s="1187">
        <f>G41</f>
        <v>3.2821400000000001E-2</v>
      </c>
      <c r="O41" s="1153"/>
      <c r="P41" s="1188">
        <f>N41*L41</f>
        <v>3.5323807046414931E-3</v>
      </c>
      <c r="Q41" s="1089"/>
    </row>
    <row r="42" spans="1:39" s="1086" customFormat="1" ht="14.1" customHeight="1" x14ac:dyDescent="0.3">
      <c r="B42" s="1189"/>
      <c r="C42" s="1190"/>
      <c r="I42" s="1153"/>
      <c r="J42" s="1191" t="s">
        <v>3092</v>
      </c>
      <c r="K42" s="1191"/>
      <c r="L42" s="1192">
        <f>(1-L41)</f>
        <v>0.89237568462522954</v>
      </c>
      <c r="M42" s="1193"/>
      <c r="N42" s="1194">
        <f>P36</f>
        <v>0.12287438596745916</v>
      </c>
      <c r="O42" s="1193"/>
      <c r="P42" s="1195">
        <f>N42*L42</f>
        <v>0.10965011430061607</v>
      </c>
      <c r="Q42" s="1089"/>
    </row>
    <row r="43" spans="1:39" s="1086" customFormat="1" ht="14.1" customHeight="1" x14ac:dyDescent="0.3">
      <c r="N43" s="1153"/>
      <c r="O43" s="1153"/>
      <c r="P43" s="1153"/>
      <c r="Q43" s="1089"/>
      <c r="AL43" s="1109"/>
      <c r="AM43" s="1109"/>
    </row>
    <row r="44" spans="1:39" s="1086" customFormat="1" ht="14.1" customHeight="1" x14ac:dyDescent="0.3">
      <c r="N44" s="1196" t="s">
        <v>3120</v>
      </c>
      <c r="O44" s="1197" t="s">
        <v>3111</v>
      </c>
      <c r="P44" s="1198">
        <f>ROUND(P41+P42,3)</f>
        <v>0.113</v>
      </c>
      <c r="Q44" s="1089"/>
      <c r="AL44" s="1109"/>
      <c r="AM44" s="1109"/>
    </row>
    <row r="45" spans="1:39" s="1086" customFormat="1" ht="14.1" customHeight="1" x14ac:dyDescent="0.3">
      <c r="A45" s="1153"/>
      <c r="B45" s="1175" t="s">
        <v>3121</v>
      </c>
      <c r="C45" s="1175"/>
      <c r="D45" s="1153"/>
      <c r="E45" s="1199"/>
      <c r="F45" s="1175"/>
      <c r="G45" s="1175"/>
      <c r="H45" s="1175"/>
      <c r="I45" s="1175"/>
      <c r="J45" s="1153"/>
      <c r="K45" s="1153"/>
      <c r="L45" s="1153"/>
      <c r="M45" s="34"/>
      <c r="N45" s="1153"/>
      <c r="O45" s="1153"/>
      <c r="P45" s="1200"/>
      <c r="Q45" s="1089"/>
    </row>
    <row r="46" spans="1:39" s="1086" customFormat="1" ht="14.1" customHeight="1" x14ac:dyDescent="0.3">
      <c r="B46" s="1201" t="s">
        <v>3122</v>
      </c>
      <c r="C46" s="1879" t="s">
        <v>3123</v>
      </c>
      <c r="D46" s="1879"/>
      <c r="E46" s="1879"/>
      <c r="F46" s="1879"/>
      <c r="G46" s="1879"/>
      <c r="H46" s="1879"/>
      <c r="I46" s="1879"/>
      <c r="J46" s="1879"/>
      <c r="K46" s="1879"/>
      <c r="L46" s="1879"/>
      <c r="M46" s="1879"/>
      <c r="N46" s="1879"/>
      <c r="O46" s="1879"/>
      <c r="P46" s="1879"/>
      <c r="Q46" s="1202"/>
    </row>
    <row r="47" spans="1:39" s="1086" customFormat="1" ht="14.1" customHeight="1" x14ac:dyDescent="0.3">
      <c r="B47" s="1203" t="s">
        <v>3124</v>
      </c>
      <c r="C47" s="1880" t="s">
        <v>3125</v>
      </c>
      <c r="D47" s="1880"/>
      <c r="E47" s="1880"/>
      <c r="F47" s="1880"/>
      <c r="G47" s="1880"/>
      <c r="H47" s="1880"/>
      <c r="I47" s="1880"/>
      <c r="J47" s="1880"/>
      <c r="K47" s="1880"/>
      <c r="L47" s="1880"/>
      <c r="M47" s="1880"/>
      <c r="N47" s="1880"/>
      <c r="O47" s="1880"/>
      <c r="P47" s="1880"/>
      <c r="Q47" s="1202"/>
      <c r="R47" s="1109"/>
      <c r="S47" s="1109"/>
      <c r="T47" s="1109"/>
      <c r="U47" s="1109"/>
      <c r="V47" s="1109"/>
    </row>
    <row r="48" spans="1:39" s="1086" customFormat="1" ht="14.1" customHeight="1" x14ac:dyDescent="0.3">
      <c r="B48" s="1203" t="s">
        <v>3126</v>
      </c>
      <c r="C48" s="1880" t="s">
        <v>3127</v>
      </c>
      <c r="D48" s="1880"/>
      <c r="E48" s="1880"/>
      <c r="F48" s="1880"/>
      <c r="G48" s="1880"/>
      <c r="H48" s="1880"/>
      <c r="I48" s="1880"/>
      <c r="J48" s="1880"/>
      <c r="K48" s="1880"/>
      <c r="L48" s="1880"/>
      <c r="M48" s="1880"/>
      <c r="N48" s="1880"/>
      <c r="O48" s="1880"/>
      <c r="P48" s="1880"/>
      <c r="Q48" s="1202"/>
      <c r="S48" s="1109"/>
      <c r="T48" s="1109"/>
      <c r="U48" s="1109"/>
      <c r="V48" s="1109"/>
    </row>
    <row r="49" spans="2:24" s="1086" customFormat="1" ht="14.1" customHeight="1" x14ac:dyDescent="0.3">
      <c r="B49" s="1203" t="s">
        <v>3128</v>
      </c>
      <c r="C49" s="1880" t="s">
        <v>3129</v>
      </c>
      <c r="D49" s="1881"/>
      <c r="E49" s="1881"/>
      <c r="F49" s="1881"/>
      <c r="G49" s="1881"/>
      <c r="H49" s="1881"/>
      <c r="I49" s="1881"/>
      <c r="J49" s="1881"/>
      <c r="K49" s="1881"/>
      <c r="L49" s="1881"/>
      <c r="M49" s="1881"/>
      <c r="N49" s="1881"/>
      <c r="O49" s="1881"/>
      <c r="P49" s="1881"/>
      <c r="Q49" s="1202"/>
      <c r="S49" s="1109"/>
      <c r="T49" s="1109"/>
      <c r="U49" s="1109"/>
      <c r="V49" s="1109"/>
    </row>
    <row r="50" spans="2:24" s="1086" customFormat="1" ht="14.1" customHeight="1" x14ac:dyDescent="0.3">
      <c r="B50" s="1203" t="s">
        <v>3130</v>
      </c>
      <c r="C50" s="1880" t="s">
        <v>3131</v>
      </c>
      <c r="D50" s="1880"/>
      <c r="E50" s="1880"/>
      <c r="F50" s="1880"/>
      <c r="G50" s="1880"/>
      <c r="H50" s="1880"/>
      <c r="I50" s="1880"/>
      <c r="J50" s="1880"/>
      <c r="K50" s="1880"/>
      <c r="L50" s="1880"/>
      <c r="M50" s="1880"/>
      <c r="N50" s="1880"/>
      <c r="O50" s="1880"/>
      <c r="P50" s="1880"/>
      <c r="Q50" s="1202"/>
      <c r="S50" s="1109"/>
      <c r="T50" s="1109"/>
      <c r="U50" s="1109"/>
      <c r="V50" s="1109"/>
    </row>
    <row r="51" spans="2:24" s="1086" customFormat="1" ht="14.1" customHeight="1" x14ac:dyDescent="0.3">
      <c r="B51" s="1203" t="s">
        <v>3132</v>
      </c>
      <c r="C51" s="1880" t="s">
        <v>3133</v>
      </c>
      <c r="D51" s="1880"/>
      <c r="E51" s="1880"/>
      <c r="F51" s="1880"/>
      <c r="G51" s="1880"/>
      <c r="H51" s="1880"/>
      <c r="I51" s="1880"/>
      <c r="J51" s="1880"/>
      <c r="K51" s="1880"/>
      <c r="L51" s="1880"/>
      <c r="M51" s="1880"/>
      <c r="N51" s="1880"/>
      <c r="O51" s="1880"/>
      <c r="P51" s="1880"/>
      <c r="Q51" s="1202"/>
      <c r="S51" s="1109"/>
      <c r="T51" s="1109"/>
    </row>
    <row r="52" spans="2:24" s="1086" customFormat="1" ht="14.1" customHeight="1" x14ac:dyDescent="0.3">
      <c r="B52" s="1203" t="s">
        <v>3134</v>
      </c>
      <c r="C52" s="1880" t="s">
        <v>3135</v>
      </c>
      <c r="D52" s="1880"/>
      <c r="E52" s="1880"/>
      <c r="F52" s="1880"/>
      <c r="G52" s="1880"/>
      <c r="H52" s="1880"/>
      <c r="I52" s="1880"/>
      <c r="J52" s="1880"/>
      <c r="K52" s="1880"/>
      <c r="L52" s="1880"/>
      <c r="M52" s="1880"/>
      <c r="N52" s="1880"/>
      <c r="O52" s="1880"/>
      <c r="P52" s="1880"/>
      <c r="Q52" s="1202"/>
      <c r="S52" s="1109"/>
      <c r="T52" s="1109"/>
    </row>
    <row r="53" spans="2:24" s="1086" customFormat="1" ht="14.1" customHeight="1" x14ac:dyDescent="0.3">
      <c r="B53" s="1204" t="s">
        <v>3136</v>
      </c>
      <c r="C53" s="1882" t="s">
        <v>3137</v>
      </c>
      <c r="D53" s="1882"/>
      <c r="E53" s="1882"/>
      <c r="F53" s="1882"/>
      <c r="G53" s="1882"/>
      <c r="H53" s="1882"/>
      <c r="I53" s="1882"/>
      <c r="J53" s="1882"/>
      <c r="K53" s="1882"/>
      <c r="L53" s="1882"/>
      <c r="M53" s="1882"/>
      <c r="N53" s="1882"/>
      <c r="O53" s="1882"/>
      <c r="P53" s="1882"/>
      <c r="Q53" s="1190"/>
      <c r="S53" s="1109"/>
      <c r="T53" s="1109"/>
    </row>
    <row r="54" spans="2:24" s="1086" customFormat="1" ht="14.1" customHeight="1" x14ac:dyDescent="0.3">
      <c r="B54" s="1205"/>
      <c r="C54" s="1883"/>
      <c r="D54" s="1883"/>
      <c r="E54" s="1883"/>
      <c r="F54" s="1883"/>
      <c r="G54" s="1883"/>
      <c r="H54" s="1883"/>
      <c r="I54" s="1883"/>
      <c r="J54" s="1883"/>
      <c r="K54" s="1883"/>
      <c r="L54" s="1883"/>
      <c r="M54" s="1883"/>
      <c r="N54" s="1883"/>
      <c r="O54" s="1883"/>
      <c r="P54" s="1883"/>
      <c r="Q54" s="1089"/>
      <c r="S54" s="1109"/>
      <c r="T54" s="1109"/>
    </row>
    <row r="55" spans="2:24" s="1086" customFormat="1" ht="14.1" customHeight="1" x14ac:dyDescent="0.3">
      <c r="B55" s="1205"/>
      <c r="C55" s="1206"/>
      <c r="D55" s="1206"/>
      <c r="E55" s="1206"/>
      <c r="F55" s="1206"/>
      <c r="G55" s="1206"/>
      <c r="H55" s="1206"/>
      <c r="I55" s="1206"/>
      <c r="J55" s="1206"/>
      <c r="K55" s="1206"/>
      <c r="L55" s="1206"/>
      <c r="M55" s="1206"/>
      <c r="N55" s="1206"/>
      <c r="O55" s="1206"/>
      <c r="P55" s="1206"/>
      <c r="Q55" s="1089"/>
      <c r="S55" s="1109"/>
      <c r="T55" s="1109"/>
    </row>
    <row r="56" spans="2:24" s="1086" customFormat="1" ht="14.1" customHeight="1" x14ac:dyDescent="0.3">
      <c r="B56" s="1205"/>
      <c r="C56" s="1206"/>
      <c r="D56" s="1206"/>
      <c r="E56" s="1206"/>
      <c r="F56" s="1206"/>
      <c r="G56" s="1206"/>
      <c r="H56" s="1206"/>
      <c r="I56" s="1206"/>
      <c r="J56" s="1206"/>
      <c r="K56" s="1206"/>
      <c r="L56" s="1206"/>
      <c r="M56" s="1206"/>
      <c r="N56" s="1206"/>
      <c r="O56" s="1206"/>
      <c r="P56" s="1206"/>
      <c r="Q56" s="1089"/>
      <c r="S56" s="1109"/>
      <c r="T56" s="1109"/>
    </row>
    <row r="57" spans="2:24" s="1086" customFormat="1" ht="14.1" customHeight="1" x14ac:dyDescent="0.3">
      <c r="B57" s="39" t="s">
        <v>3138</v>
      </c>
      <c r="G57" s="1207"/>
      <c r="H57" s="1207"/>
      <c r="I57" s="1208"/>
      <c r="J57" s="1207"/>
      <c r="K57" s="1207"/>
      <c r="L57" s="1207"/>
      <c r="M57" s="1207"/>
      <c r="N57" s="1207"/>
      <c r="O57" s="1207"/>
      <c r="P57" s="1207"/>
      <c r="Q57" s="1207"/>
      <c r="R57" s="1207"/>
      <c r="S57" s="1207"/>
      <c r="T57" s="1207"/>
      <c r="U57" s="1207"/>
      <c r="V57" s="1207"/>
      <c r="W57" s="1207"/>
      <c r="X57" s="1109"/>
    </row>
    <row r="58" spans="2:24" s="34" customFormat="1" ht="14.1" customHeight="1" x14ac:dyDescent="0.3">
      <c r="B58" s="1209"/>
      <c r="G58" s="1207"/>
      <c r="H58" s="1207"/>
      <c r="I58" s="1208"/>
      <c r="J58" s="1207"/>
      <c r="K58" s="1207"/>
      <c r="L58" s="1207"/>
      <c r="M58" s="1207"/>
      <c r="N58" s="1207"/>
      <c r="O58" s="1207"/>
      <c r="P58" s="1207"/>
      <c r="Q58" s="1207"/>
      <c r="R58" s="1207"/>
      <c r="S58" s="1207"/>
      <c r="T58" s="1207"/>
      <c r="U58" s="1207"/>
      <c r="V58" s="1207"/>
      <c r="W58" s="1207"/>
    </row>
    <row r="59" spans="2:24" s="34" customFormat="1" ht="14.1" customHeight="1" x14ac:dyDescent="0.3">
      <c r="B59" s="1209" t="s">
        <v>3139</v>
      </c>
      <c r="G59" s="1207"/>
      <c r="H59" s="1207"/>
      <c r="I59" s="1208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7"/>
      <c r="W59" s="1207"/>
    </row>
    <row r="60" spans="2:24" s="34" customFormat="1" ht="14.1" customHeight="1" x14ac:dyDescent="0.3">
      <c r="B60" s="1210" t="s">
        <v>3140</v>
      </c>
      <c r="G60" s="1207"/>
      <c r="H60" s="1207"/>
      <c r="I60" s="1208"/>
      <c r="J60" s="1207"/>
      <c r="K60" s="1207"/>
      <c r="L60" s="1207"/>
      <c r="M60" s="1207"/>
      <c r="N60" s="1207"/>
      <c r="O60" s="1207"/>
      <c r="P60" s="1207"/>
      <c r="Q60" s="1207"/>
      <c r="R60" s="1207"/>
      <c r="S60" s="1207"/>
      <c r="T60" s="1207"/>
      <c r="U60" s="1207"/>
      <c r="V60" s="1207"/>
      <c r="W60" s="1207"/>
    </row>
    <row r="61" spans="2:24" s="34" customFormat="1" ht="14.1" customHeight="1" x14ac:dyDescent="0.3">
      <c r="B61" s="158"/>
      <c r="G61" s="1207"/>
      <c r="H61" s="1207"/>
      <c r="I61" s="1208"/>
      <c r="J61" s="1207"/>
      <c r="K61" s="1207"/>
      <c r="L61" s="1207"/>
      <c r="M61" s="1207"/>
      <c r="N61" s="1207"/>
      <c r="O61" s="1207"/>
      <c r="P61" s="1207"/>
      <c r="Q61" s="1207"/>
      <c r="R61" s="1207"/>
      <c r="S61" s="1207"/>
      <c r="T61" s="1207"/>
      <c r="U61" s="1207"/>
      <c r="V61" s="1207"/>
      <c r="W61" s="1207"/>
    </row>
    <row r="62" spans="2:24" s="34" customFormat="1" ht="14.1" customHeight="1" x14ac:dyDescent="0.3">
      <c r="B62" s="165"/>
      <c r="G62" s="1211"/>
      <c r="H62" s="1211"/>
      <c r="I62" s="1212"/>
      <c r="J62" s="1211"/>
      <c r="K62" s="1211"/>
      <c r="L62" s="1211"/>
      <c r="M62" s="1211"/>
      <c r="N62" s="1211"/>
      <c r="O62" s="1211"/>
      <c r="P62" s="1211"/>
      <c r="Q62" s="1211"/>
      <c r="R62" s="1211"/>
      <c r="S62" s="1211"/>
      <c r="T62" s="1211"/>
      <c r="U62" s="1211"/>
      <c r="V62" s="1211"/>
      <c r="W62" s="1211"/>
    </row>
    <row r="63" spans="2:24" s="1109" customFormat="1" ht="14.1" customHeight="1" x14ac:dyDescent="0.3">
      <c r="B63" s="1213" t="s">
        <v>3141</v>
      </c>
      <c r="C63" s="1153"/>
      <c r="D63" s="1175"/>
      <c r="E63" s="1175"/>
      <c r="F63" s="1175"/>
      <c r="G63" s="1199"/>
      <c r="H63" s="1199"/>
      <c r="I63" s="1199"/>
      <c r="J63" s="34"/>
      <c r="K63" s="1206"/>
      <c r="L63" s="1214" t="s">
        <v>3142</v>
      </c>
      <c r="M63" s="1206"/>
      <c r="N63" s="1206"/>
      <c r="O63" s="1206"/>
      <c r="P63" s="1206"/>
    </row>
    <row r="64" spans="2:24" s="1109" customFormat="1" ht="14.1" customHeight="1" x14ac:dyDescent="0.2">
      <c r="B64" s="1215"/>
      <c r="C64" s="1216"/>
      <c r="D64" s="1216"/>
      <c r="E64" s="1216"/>
      <c r="F64" s="1217"/>
      <c r="G64" s="1215" t="s">
        <v>3143</v>
      </c>
      <c r="H64" s="1218" t="s">
        <v>3144</v>
      </c>
      <c r="I64" s="1218" t="s">
        <v>3145</v>
      </c>
      <c r="J64" s="1219" t="s">
        <v>3146</v>
      </c>
      <c r="K64" s="1206"/>
      <c r="L64" s="47" t="s">
        <v>3147</v>
      </c>
      <c r="M64" s="1206"/>
      <c r="N64" s="1206"/>
      <c r="O64" s="1206"/>
      <c r="P64" s="1206"/>
    </row>
    <row r="65" spans="1:17" s="1109" customFormat="1" ht="14.1" customHeight="1" x14ac:dyDescent="0.2">
      <c r="A65" s="1096">
        <v>1</v>
      </c>
      <c r="B65" s="1220" t="str">
        <f>[28]Raw!AC36</f>
        <v>Hyundai Construction Equipment Co Ltd</v>
      </c>
      <c r="C65" s="1221"/>
      <c r="D65" s="1222"/>
      <c r="E65" s="1222"/>
      <c r="F65" s="1223"/>
      <c r="G65" s="1224">
        <f>[28]Raw!AG36</f>
        <v>1.281801</v>
      </c>
      <c r="H65" s="1222">
        <f>[28]Raw!AI36</f>
        <v>4.5892039999999996</v>
      </c>
      <c r="I65" s="1222">
        <f>[28]Raw!AE36</f>
        <v>1.281801</v>
      </c>
      <c r="J65" s="1225" t="str">
        <f>[28]Raw!AD9</f>
        <v>KOSPI Index</v>
      </c>
      <c r="K65" s="1206"/>
      <c r="L65" s="47" t="s">
        <v>3148</v>
      </c>
      <c r="M65" s="1206"/>
      <c r="N65" s="1206"/>
      <c r="O65" s="1206"/>
      <c r="P65" s="1206"/>
    </row>
    <row r="66" spans="1:17" s="1109" customFormat="1" ht="14.1" customHeight="1" x14ac:dyDescent="0.2">
      <c r="A66" s="1096">
        <f>A65+1</f>
        <v>2</v>
      </c>
      <c r="B66" s="1226" t="str">
        <f>[28]Raw!AC37</f>
        <v>Doosan Bobcat Inc</v>
      </c>
      <c r="C66" s="1227"/>
      <c r="D66" s="1228"/>
      <c r="E66" s="1228"/>
      <c r="F66" s="1229"/>
      <c r="G66" s="1230">
        <f>[28]Raw!AG37</f>
        <v>0.91188999999999998</v>
      </c>
      <c r="H66" s="1228">
        <f>[28]Raw!AI37</f>
        <v>-0.48433470000000001</v>
      </c>
      <c r="I66" s="1228">
        <f>[28]Raw!AE37</f>
        <v>0.91188999999999998</v>
      </c>
      <c r="J66" s="1231" t="str">
        <f>[28]Raw!AD10</f>
        <v>KOSPI Index</v>
      </c>
      <c r="K66" s="1206"/>
      <c r="L66" s="47" t="s">
        <v>3149</v>
      </c>
      <c r="M66" s="1206"/>
      <c r="N66" s="1206"/>
      <c r="O66" s="1206"/>
      <c r="P66" s="1206"/>
    </row>
    <row r="67" spans="1:17" s="1109" customFormat="1" ht="14.1" customHeight="1" x14ac:dyDescent="0.2">
      <c r="A67" s="1096">
        <f t="shared" ref="A67:A78" si="8">A66+1</f>
        <v>3</v>
      </c>
      <c r="B67" s="1226" t="str">
        <f>[28]Raw!AC38</f>
        <v>DY POWER Corp</v>
      </c>
      <c r="C67" s="1227"/>
      <c r="D67" s="1228"/>
      <c r="E67" s="1228"/>
      <c r="F67" s="1229"/>
      <c r="G67" s="1230">
        <f>[28]Raw!AG38</f>
        <v>1.2255819999999999</v>
      </c>
      <c r="H67" s="1228">
        <f>[28]Raw!AI38</f>
        <v>2.5354760000000001</v>
      </c>
      <c r="I67" s="1228">
        <f>[28]Raw!AE38</f>
        <v>1.3447169999999999</v>
      </c>
      <c r="J67" s="1231" t="str">
        <f>[28]Raw!AD11</f>
        <v>KOSPI Index</v>
      </c>
      <c r="K67" s="1206"/>
      <c r="L67" s="1206"/>
      <c r="M67" s="1206"/>
      <c r="N67" s="1206"/>
      <c r="O67" s="1206"/>
      <c r="P67" s="1206"/>
    </row>
    <row r="68" spans="1:17" s="1109" customFormat="1" ht="14.1" customHeight="1" x14ac:dyDescent="0.2">
      <c r="A68" s="1096">
        <f t="shared" si="8"/>
        <v>4</v>
      </c>
      <c r="B68" s="1226" t="str">
        <f>[28]Raw!AC39</f>
        <v>Dongil Metal Co Ltd</v>
      </c>
      <c r="C68" s="1227"/>
      <c r="D68" s="1228"/>
      <c r="E68" s="1228"/>
      <c r="F68" s="1229"/>
      <c r="G68" s="1230">
        <f>[28]Raw!AG39</f>
        <v>0.70800260000000004</v>
      </c>
      <c r="H68" s="1228">
        <f>[28]Raw!AI39</f>
        <v>0.82802200000000004</v>
      </c>
      <c r="I68" s="1228">
        <f>[28]Raw!AE39</f>
        <v>0.56281060000000005</v>
      </c>
      <c r="J68" s="1231" t="str">
        <f>[28]Raw!AD12</f>
        <v>KOSPI Index</v>
      </c>
      <c r="K68" s="1206"/>
      <c r="L68" s="1206"/>
      <c r="M68" s="1206"/>
      <c r="N68" s="1206"/>
      <c r="O68" s="1206"/>
      <c r="P68" s="1206"/>
    </row>
    <row r="69" spans="1:17" s="1109" customFormat="1" ht="14.1" customHeight="1" x14ac:dyDescent="0.2">
      <c r="A69" s="1096">
        <f t="shared" si="8"/>
        <v>5</v>
      </c>
      <c r="B69" s="1226" t="str">
        <f>[28]Raw!AC40</f>
        <v>HEUNGKUK METALTECH Co Ltd</v>
      </c>
      <c r="C69" s="1227"/>
      <c r="D69" s="1228"/>
      <c r="E69" s="1228"/>
      <c r="F69" s="1229"/>
      <c r="G69" s="1230">
        <f>[28]Raw!AG40</f>
        <v>0.78628410000000004</v>
      </c>
      <c r="H69" s="1228">
        <f>[28]Raw!AI40</f>
        <v>1.407036</v>
      </c>
      <c r="I69" s="1228">
        <f>[28]Raw!AE40</f>
        <v>0.70366090000000003</v>
      </c>
      <c r="J69" s="1231" t="str">
        <f>[28]Raw!AD13</f>
        <v>KOSPI Index</v>
      </c>
      <c r="K69" s="1206"/>
      <c r="L69" s="1206"/>
      <c r="M69" s="1206"/>
      <c r="N69" s="1206"/>
      <c r="O69" s="1206"/>
      <c r="P69" s="1206"/>
    </row>
    <row r="70" spans="1:17" s="1109" customFormat="1" ht="14.1" customHeight="1" x14ac:dyDescent="0.2">
      <c r="A70" s="1096">
        <f t="shared" si="8"/>
        <v>6</v>
      </c>
      <c r="B70" s="1226" t="str">
        <f>[28]Raw!AC41</f>
        <v>Woorim Machinery Co Ltd</v>
      </c>
      <c r="C70" s="1227"/>
      <c r="D70" s="1228"/>
      <c r="E70" s="1228"/>
      <c r="F70" s="1229"/>
      <c r="G70" s="1230">
        <f>[28]Raw!AG41</f>
        <v>0.83321009999999995</v>
      </c>
      <c r="H70" s="1228">
        <f>[28]Raw!AI41</f>
        <v>1.0831919999999999</v>
      </c>
      <c r="I70" s="1228">
        <f>[28]Raw!AE41</f>
        <v>0.64199030000000001</v>
      </c>
      <c r="J70" s="1231" t="str">
        <f>[28]Raw!AD14</f>
        <v>KOSPI Index</v>
      </c>
      <c r="K70" s="1206"/>
      <c r="L70" s="1206"/>
      <c r="M70" s="1206"/>
      <c r="N70" s="1206"/>
      <c r="O70" s="1206"/>
      <c r="P70" s="1206"/>
    </row>
    <row r="71" spans="1:17" s="1109" customFormat="1" ht="14.1" customHeight="1" x14ac:dyDescent="0.2">
      <c r="A71" s="1096">
        <f t="shared" si="8"/>
        <v>7</v>
      </c>
      <c r="B71" s="1226" t="str">
        <f>[28]Raw!AC42</f>
        <v>EVERDIGM Corp</v>
      </c>
      <c r="C71" s="1227"/>
      <c r="D71" s="1228"/>
      <c r="E71" s="1228"/>
      <c r="F71" s="1229"/>
      <c r="G71" s="1230">
        <f>[28]Raw!AG42</f>
        <v>0.85525359999999995</v>
      </c>
      <c r="H71" s="1228">
        <f>[28]Raw!AI42</f>
        <v>0.6295828</v>
      </c>
      <c r="I71" s="1228">
        <f>[28]Raw!AE42</f>
        <v>0.90157580000000004</v>
      </c>
      <c r="J71" s="1231" t="str">
        <f>[28]Raw!AD15</f>
        <v>KOSPI Index</v>
      </c>
      <c r="K71" s="1206"/>
      <c r="L71" s="1206"/>
      <c r="M71" s="1206"/>
      <c r="N71" s="1206"/>
      <c r="O71" s="1206"/>
      <c r="P71" s="1206"/>
    </row>
    <row r="72" spans="1:17" s="1109" customFormat="1" ht="14.1" customHeight="1" x14ac:dyDescent="0.2">
      <c r="A72" s="1096">
        <f t="shared" si="8"/>
        <v>8</v>
      </c>
      <c r="B72" s="1226" t="str">
        <f>[28]Raw!AC43</f>
        <v>Doosan Infracore Co Ltd</v>
      </c>
      <c r="C72" s="1227"/>
      <c r="D72" s="1228"/>
      <c r="E72" s="1228"/>
      <c r="F72" s="1229"/>
      <c r="G72" s="1230">
        <f>[28]Raw!AG43</f>
        <v>1.561469</v>
      </c>
      <c r="H72" s="1228">
        <f>[28]Raw!AI43</f>
        <v>1.8506800000000001</v>
      </c>
      <c r="I72" s="1228">
        <f>[28]Raw!AE43</f>
        <v>1.4579150000000001</v>
      </c>
      <c r="J72" s="1231" t="str">
        <f>[28]Raw!AD16</f>
        <v>KOSPI Index</v>
      </c>
      <c r="K72" s="1206"/>
      <c r="L72" s="1206"/>
      <c r="M72" s="1206"/>
      <c r="N72" s="1206"/>
      <c r="O72" s="1206"/>
      <c r="P72" s="1206"/>
    </row>
    <row r="73" spans="1:17" s="1109" customFormat="1" ht="14.1" customHeight="1" x14ac:dyDescent="0.2">
      <c r="A73" s="1096">
        <f t="shared" si="8"/>
        <v>9</v>
      </c>
      <c r="B73" s="1226" t="str">
        <f>[28]Raw!AC44</f>
        <v>Jinsung T.E.C.</v>
      </c>
      <c r="C73" s="1227"/>
      <c r="D73" s="1228"/>
      <c r="E73" s="1228"/>
      <c r="F73" s="1229"/>
      <c r="G73" s="1230">
        <f>[28]Raw!AG44</f>
        <v>1.013539</v>
      </c>
      <c r="H73" s="1228">
        <f>[28]Raw!AI44</f>
        <v>1.079415</v>
      </c>
      <c r="I73" s="1228">
        <f>[28]Raw!AE44</f>
        <v>0.87301499999999999</v>
      </c>
      <c r="J73" s="1231" t="str">
        <f>[28]Raw!AD17</f>
        <v>KOSPI Index</v>
      </c>
      <c r="K73" s="1206"/>
      <c r="L73" s="1206"/>
      <c r="M73" s="1206"/>
      <c r="N73" s="1206"/>
      <c r="O73" s="1206"/>
      <c r="P73" s="1206"/>
    </row>
    <row r="74" spans="1:17" s="1109" customFormat="1" ht="14.1" customHeight="1" x14ac:dyDescent="0.2">
      <c r="A74" s="1096">
        <f t="shared" si="8"/>
        <v>10</v>
      </c>
      <c r="B74" s="1226" t="str">
        <f>[28]Raw!AC45</f>
        <v>Kanglim Co Ltd</v>
      </c>
      <c r="C74" s="1227"/>
      <c r="D74" s="1228"/>
      <c r="E74" s="1228"/>
      <c r="F74" s="1229"/>
      <c r="G74" s="1230">
        <f>[28]Raw!AG45</f>
        <v>1.1224149999999999</v>
      </c>
      <c r="H74" s="1228">
        <f>[28]Raw!AI45</f>
        <v>3.115253</v>
      </c>
      <c r="I74" s="1228">
        <f>[28]Raw!AE45</f>
        <v>1.3077049999999999</v>
      </c>
      <c r="J74" s="1231" t="str">
        <f>[28]Raw!AD18</f>
        <v>KOSPI Index</v>
      </c>
      <c r="K74" s="1206"/>
      <c r="L74" s="1206"/>
      <c r="M74" s="1206"/>
      <c r="N74" s="1206"/>
      <c r="O74" s="1206"/>
      <c r="P74" s="1206"/>
    </row>
    <row r="75" spans="1:17" s="1109" customFormat="1" ht="14.1" customHeight="1" x14ac:dyDescent="0.2">
      <c r="A75" s="1096">
        <f t="shared" si="8"/>
        <v>11</v>
      </c>
      <c r="B75" s="1226" t="str">
        <f>[28]Raw!AC46</f>
        <v>Soosan Heavy Industries Co Ltd</v>
      </c>
      <c r="C75" s="1227"/>
      <c r="D75" s="1228"/>
      <c r="E75" s="1228"/>
      <c r="F75" s="1229"/>
      <c r="G75" s="1230">
        <f>[28]Raw!AG46</f>
        <v>0.94050829999999996</v>
      </c>
      <c r="H75" s="1228">
        <f>[28]Raw!AI46</f>
        <v>0.63475709999999996</v>
      </c>
      <c r="I75" s="1228">
        <f>[28]Raw!AE46</f>
        <v>1.5602130000000001</v>
      </c>
      <c r="J75" s="1231" t="str">
        <f>[28]Raw!AD19</f>
        <v>KOSPI Index</v>
      </c>
      <c r="K75" s="1206"/>
      <c r="L75" s="1206"/>
      <c r="M75" s="1206"/>
      <c r="N75" s="1206"/>
      <c r="O75" s="1206"/>
      <c r="P75" s="1206"/>
    </row>
    <row r="76" spans="1:17" s="1109" customFormat="1" ht="14.1" customHeight="1" x14ac:dyDescent="0.2">
      <c r="A76" s="1096">
        <f t="shared" si="8"/>
        <v>12</v>
      </c>
      <c r="B76" s="1226" t="str">
        <f>[28]Raw!AC47</f>
        <v>Daechang Forging Co Ltd</v>
      </c>
      <c r="C76" s="1227"/>
      <c r="D76" s="1228"/>
      <c r="E76" s="1228"/>
      <c r="F76" s="1229"/>
      <c r="G76" s="1230">
        <f>[28]Raw!AG47</f>
        <v>0.71099179999999995</v>
      </c>
      <c r="H76" s="1228">
        <f>[28]Raw!AI47</f>
        <v>1.1321369999999999</v>
      </c>
      <c r="I76" s="1228">
        <f>[28]Raw!AE47</f>
        <v>0.74410379999999998</v>
      </c>
      <c r="J76" s="1231" t="str">
        <f>[28]Raw!AD20</f>
        <v>KOSPI Index</v>
      </c>
      <c r="K76" s="1206"/>
      <c r="L76" s="1206"/>
      <c r="M76" s="1206"/>
      <c r="N76" s="1206"/>
      <c r="O76" s="1206"/>
      <c r="P76" s="1206"/>
    </row>
    <row r="77" spans="1:17" s="1109" customFormat="1" ht="14.1" customHeight="1" x14ac:dyDescent="0.2">
      <c r="A77" s="1096">
        <f t="shared" si="8"/>
        <v>13</v>
      </c>
      <c r="B77" s="1226" t="str">
        <f>[28]Raw!AC48</f>
        <v>DY Corp</v>
      </c>
      <c r="C77" s="1227"/>
      <c r="D77" s="1228"/>
      <c r="E77" s="1228"/>
      <c r="F77" s="1229"/>
      <c r="G77" s="1230">
        <f>[28]Raw!AG48</f>
        <v>1.1870890000000001</v>
      </c>
      <c r="H77" s="1228">
        <f>[28]Raw!AI48</f>
        <v>1.790081</v>
      </c>
      <c r="I77" s="1228">
        <f>[28]Raw!AE48</f>
        <v>1.0895490000000001</v>
      </c>
      <c r="J77" s="1231" t="str">
        <f>[28]Raw!AD21</f>
        <v>KOSPI Index</v>
      </c>
      <c r="K77" s="1206"/>
      <c r="L77" s="1206"/>
      <c r="M77" s="1206"/>
      <c r="N77" s="1206"/>
      <c r="O77" s="1206"/>
      <c r="P77" s="1206"/>
    </row>
    <row r="78" spans="1:17" s="1109" customFormat="1" ht="14.1" customHeight="1" x14ac:dyDescent="0.2">
      <c r="A78" s="1096">
        <f t="shared" si="8"/>
        <v>14</v>
      </c>
      <c r="B78" s="1232" t="str">
        <f>[28]Raw!AC49</f>
        <v>Hae In Corp</v>
      </c>
      <c r="C78" s="1233"/>
      <c r="D78" s="1234"/>
      <c r="E78" s="1234"/>
      <c r="F78" s="1235"/>
      <c r="G78" s="1236">
        <f>[28]Raw!AG49</f>
        <v>0.49250559999999999</v>
      </c>
      <c r="H78" s="1234">
        <f>[28]Raw!AI49</f>
        <v>0.85829420000000001</v>
      </c>
      <c r="I78" s="1234">
        <f>[28]Raw!AE49</f>
        <v>0.3309839</v>
      </c>
      <c r="J78" s="1237" t="str">
        <f>[28]Raw!AD22</f>
        <v>KOSPI Index</v>
      </c>
      <c r="K78" s="1206"/>
      <c r="L78" s="1206"/>
      <c r="M78" s="1206"/>
      <c r="N78" s="1206"/>
      <c r="O78" s="1206"/>
      <c r="P78" s="1206"/>
    </row>
    <row r="79" spans="1:17" s="1086" customFormat="1" ht="14.1" customHeight="1" x14ac:dyDescent="0.3">
      <c r="B79" s="1238"/>
      <c r="C79" s="1239"/>
      <c r="D79" s="1239"/>
      <c r="E79" s="1239"/>
      <c r="F79" s="1239"/>
      <c r="G79" s="1109"/>
      <c r="H79" s="1109"/>
      <c r="I79" s="1109"/>
      <c r="J79" s="1240"/>
      <c r="K79" s="1206"/>
      <c r="Q79" s="1089"/>
    </row>
    <row r="80" spans="1:17" s="1086" customFormat="1" ht="14.1" customHeight="1" x14ac:dyDescent="0.3">
      <c r="B80" s="1213" t="s">
        <v>3150</v>
      </c>
      <c r="E80" s="1092"/>
      <c r="M80" s="1153"/>
      <c r="N80" s="1214" t="s">
        <v>3142</v>
      </c>
      <c r="O80" s="1153"/>
      <c r="Q80" s="1089"/>
    </row>
    <row r="81" spans="1:17" s="1241" customFormat="1" ht="14.1" customHeight="1" x14ac:dyDescent="0.2">
      <c r="B81" s="1242"/>
      <c r="C81" s="1243"/>
      <c r="D81" s="1244"/>
      <c r="E81" s="1244"/>
      <c r="F81" s="1244"/>
      <c r="G81" s="1244">
        <f>[28]Company!D6</f>
        <v>43007</v>
      </c>
      <c r="H81" s="1243" t="s">
        <v>3151</v>
      </c>
      <c r="I81" s="1243" t="s">
        <v>3152</v>
      </c>
      <c r="J81" s="1243" t="s">
        <v>3153</v>
      </c>
      <c r="K81" s="1244"/>
      <c r="L81" s="1245" t="s">
        <v>3154</v>
      </c>
      <c r="M81" s="1246"/>
      <c r="N81" s="1247">
        <f>G81</f>
        <v>43007</v>
      </c>
      <c r="O81" s="1175"/>
      <c r="Q81" s="1119"/>
    </row>
    <row r="82" spans="1:17" s="1086" customFormat="1" ht="14.1" customHeight="1" x14ac:dyDescent="0.2">
      <c r="A82" s="1096">
        <v>1</v>
      </c>
      <c r="B82" s="1220" t="str">
        <f>[28]Raw!AC61</f>
        <v>Hyundai Construction Equipment Co Ltd</v>
      </c>
      <c r="C82" s="1221"/>
      <c r="D82" s="1248"/>
      <c r="E82" s="1248"/>
      <c r="F82" s="1248"/>
      <c r="G82" s="1249" t="e">
        <f>[28]Raw!AD61</f>
        <v>#DIV/0!</v>
      </c>
      <c r="H82" s="1249">
        <f>[28]Raw!AE61</f>
        <v>1268186.382</v>
      </c>
      <c r="I82" s="1249">
        <f>[28]Raw!AF61</f>
        <v>1316784.3713803277</v>
      </c>
      <c r="J82" s="1249">
        <f>[28]Raw!AG61</f>
        <v>1241778.5888354164</v>
      </c>
      <c r="K82" s="1250"/>
      <c r="L82" s="1251">
        <f>[28]Raw!AH61</f>
        <v>1241778.5888354164</v>
      </c>
      <c r="M82" s="1252"/>
      <c r="N82" s="1247" t="s">
        <v>3155</v>
      </c>
      <c r="O82" s="1153"/>
      <c r="Q82" s="1089"/>
    </row>
    <row r="83" spans="1:17" s="1086" customFormat="1" ht="14.1" customHeight="1" x14ac:dyDescent="0.2">
      <c r="A83" s="1096">
        <f>A82+1</f>
        <v>2</v>
      </c>
      <c r="B83" s="1226" t="str">
        <f>[28]Raw!AC62</f>
        <v>Doosan Bobcat Inc</v>
      </c>
      <c r="C83" s="1227"/>
      <c r="D83" s="1253"/>
      <c r="E83" s="1253"/>
      <c r="F83" s="1253"/>
      <c r="G83" s="1102">
        <f>[28]Raw!AD62</f>
        <v>3664107.0172999999</v>
      </c>
      <c r="H83" s="1254">
        <f>[28]Raw!AE62</f>
        <v>3691466.6855208329</v>
      </c>
      <c r="I83" s="1254">
        <f>[28]Raw!AF62</f>
        <v>3629475.4962575762</v>
      </c>
      <c r="J83" s="1254">
        <f>[28]Raw!AG62</f>
        <v>3668566.9684346439</v>
      </c>
      <c r="K83" s="34"/>
      <c r="L83" s="1255">
        <f>[28]Raw!AH62</f>
        <v>3645960.1251824074</v>
      </c>
      <c r="M83" s="1253"/>
      <c r="N83" s="1247" t="s">
        <v>3156</v>
      </c>
      <c r="O83" s="1153"/>
      <c r="Q83" s="1089"/>
    </row>
    <row r="84" spans="1:17" s="1086" customFormat="1" ht="14.1" customHeight="1" x14ac:dyDescent="0.2">
      <c r="A84" s="1096">
        <f t="shared" ref="A84:A95" si="9">A83+1</f>
        <v>3</v>
      </c>
      <c r="B84" s="1226" t="str">
        <f>[28]Raw!AC63</f>
        <v>DY POWER Corp</v>
      </c>
      <c r="C84" s="1227"/>
      <c r="D84" s="1253"/>
      <c r="E84" s="1253"/>
      <c r="F84" s="1253"/>
      <c r="G84" s="1102">
        <f>[28]Raw!AD63</f>
        <v>225802.92860000001</v>
      </c>
      <c r="H84" s="1254">
        <f>[28]Raw!AE63</f>
        <v>246046.05993333334</v>
      </c>
      <c r="I84" s="1254">
        <f>[28]Raw!AF63</f>
        <v>223050.86651969701</v>
      </c>
      <c r="J84" s="1254">
        <f>[28]Raw!AG63</f>
        <v>186135.37520000004</v>
      </c>
      <c r="K84" s="34"/>
      <c r="L84" s="1255">
        <f>[28]Raw!AH63</f>
        <v>141053.84462639995</v>
      </c>
      <c r="M84" s="1256"/>
      <c r="N84" s="1247" t="s">
        <v>3157</v>
      </c>
      <c r="O84" s="1153"/>
      <c r="Q84" s="1089"/>
    </row>
    <row r="85" spans="1:17" s="1086" customFormat="1" ht="14.1" customHeight="1" x14ac:dyDescent="0.2">
      <c r="A85" s="1096">
        <f t="shared" si="9"/>
        <v>4</v>
      </c>
      <c r="B85" s="1226" t="str">
        <f>[28]Raw!AC64</f>
        <v>Dongil Metal Co Ltd</v>
      </c>
      <c r="C85" s="1227"/>
      <c r="D85" s="1253"/>
      <c r="E85" s="1253"/>
      <c r="F85" s="1253"/>
      <c r="G85" s="1102">
        <f>[28]Raw!AD64</f>
        <v>52920</v>
      </c>
      <c r="H85" s="1254">
        <f>[28]Raw!AE64</f>
        <v>57067.5</v>
      </c>
      <c r="I85" s="1254">
        <f>[28]Raw!AF64</f>
        <v>59722.727272727272</v>
      </c>
      <c r="J85" s="1254">
        <f>[28]Raw!AG64</f>
        <v>62036.535433070865</v>
      </c>
      <c r="K85" s="34"/>
      <c r="L85" s="1255">
        <f>[28]Raw!AH64</f>
        <v>64869.279999999999</v>
      </c>
      <c r="M85" s="1256"/>
      <c r="N85" s="1257" t="s">
        <v>3158</v>
      </c>
      <c r="O85" s="1153"/>
      <c r="Q85" s="1089"/>
    </row>
    <row r="86" spans="1:17" s="1086" customFormat="1" ht="14.1" customHeight="1" x14ac:dyDescent="0.2">
      <c r="A86" s="1096">
        <f t="shared" si="9"/>
        <v>5</v>
      </c>
      <c r="B86" s="1226" t="str">
        <f>[28]Raw!AC65</f>
        <v>HEUNGKUK METALTECH Co Ltd</v>
      </c>
      <c r="C86" s="1227"/>
      <c r="D86" s="1253"/>
      <c r="E86" s="1253"/>
      <c r="F86" s="1253"/>
      <c r="G86" s="1102">
        <f>[28]Raw!AD65</f>
        <v>43006.209000000003</v>
      </c>
      <c r="H86" s="1254">
        <f>[28]Raw!AE65</f>
        <v>45968.790537500005</v>
      </c>
      <c r="I86" s="1254">
        <f>[28]Raw!AF65</f>
        <v>51377.240353030284</v>
      </c>
      <c r="J86" s="1254">
        <f>[28]Raw!AG65</f>
        <v>48985.626922834628</v>
      </c>
      <c r="K86" s="34"/>
      <c r="L86" s="1255">
        <f>[28]Raw!AH65</f>
        <v>48904.096998799978</v>
      </c>
      <c r="M86" s="1256"/>
      <c r="N86" s="1258"/>
      <c r="O86" s="1153"/>
      <c r="Q86" s="1089"/>
    </row>
    <row r="87" spans="1:17" s="1086" customFormat="1" ht="14.1" customHeight="1" x14ac:dyDescent="0.2">
      <c r="A87" s="1096">
        <f t="shared" si="9"/>
        <v>6</v>
      </c>
      <c r="B87" s="1226" t="str">
        <f>[28]Raw!AC66</f>
        <v>Woorim Machinery Co Ltd</v>
      </c>
      <c r="C87" s="1227"/>
      <c r="D87" s="1253"/>
      <c r="E87" s="1253"/>
      <c r="F87" s="1253"/>
      <c r="G87" s="1102">
        <f>[28]Raw!AD66</f>
        <v>52717.5</v>
      </c>
      <c r="H87" s="1254">
        <f>[28]Raw!AE66</f>
        <v>57164.0625</v>
      </c>
      <c r="I87" s="1254">
        <f>[28]Raw!AF66</f>
        <v>65568.068181818177</v>
      </c>
      <c r="J87" s="1254">
        <f>[28]Raw!AG66</f>
        <v>69934.783464566935</v>
      </c>
      <c r="K87" s="34"/>
      <c r="L87" s="1255">
        <f>[28]Raw!AH66</f>
        <v>86697.81</v>
      </c>
      <c r="M87" s="1256"/>
      <c r="N87" s="1258"/>
      <c r="O87" s="1153"/>
      <c r="Q87" s="1089"/>
    </row>
    <row r="88" spans="1:17" s="1086" customFormat="1" ht="14.1" customHeight="1" x14ac:dyDescent="0.2">
      <c r="A88" s="1096">
        <f t="shared" si="9"/>
        <v>7</v>
      </c>
      <c r="B88" s="1226" t="str">
        <f>[28]Raw!AC67</f>
        <v>EVERDIGM Corp</v>
      </c>
      <c r="C88" s="1227"/>
      <c r="D88" s="1253"/>
      <c r="E88" s="1253"/>
      <c r="F88" s="1253"/>
      <c r="G88" s="1102">
        <f>[28]Raw!AD67</f>
        <v>189909.00640000001</v>
      </c>
      <c r="H88" s="1254">
        <f>[28]Raw!AE67</f>
        <v>204988.25926666669</v>
      </c>
      <c r="I88" s="1254">
        <f>[28]Raw!AF67</f>
        <v>217393.69211818182</v>
      </c>
      <c r="J88" s="1254">
        <f>[28]Raw!AG67</f>
        <v>206127.86816771654</v>
      </c>
      <c r="K88" s="34"/>
      <c r="L88" s="1255">
        <f>[28]Raw!AH67</f>
        <v>193910.70484799994</v>
      </c>
      <c r="M88" s="1256"/>
      <c r="N88" s="1258"/>
      <c r="O88" s="1153"/>
      <c r="Q88" s="1089"/>
    </row>
    <row r="89" spans="1:17" s="1086" customFormat="1" ht="14.1" customHeight="1" x14ac:dyDescent="0.2">
      <c r="A89" s="1096">
        <f t="shared" si="9"/>
        <v>8</v>
      </c>
      <c r="B89" s="1226" t="str">
        <f>[28]Raw!AC68</f>
        <v>Doosan Infracore Co Ltd</v>
      </c>
      <c r="C89" s="1227"/>
      <c r="D89" s="1253"/>
      <c r="E89" s="1253"/>
      <c r="F89" s="1253"/>
      <c r="G89" s="1102">
        <f>[28]Raw!AD68</f>
        <v>1703208.1279</v>
      </c>
      <c r="H89" s="1254">
        <f>[28]Raw!AE68</f>
        <v>1728275.645045833</v>
      </c>
      <c r="I89" s="1254">
        <f>[28]Raw!AF68</f>
        <v>1716849.8802878791</v>
      </c>
      <c r="J89" s="1254">
        <f>[28]Raw!AG68</f>
        <v>1791237.7548283469</v>
      </c>
      <c r="K89" s="34"/>
      <c r="L89" s="1255">
        <f>[28]Raw!AH68</f>
        <v>1774680.5865424005</v>
      </c>
      <c r="M89" s="1256"/>
      <c r="N89" s="1258"/>
      <c r="O89" s="1153"/>
      <c r="Q89" s="1089"/>
    </row>
    <row r="90" spans="1:17" s="1086" customFormat="1" ht="14.1" customHeight="1" x14ac:dyDescent="0.2">
      <c r="A90" s="1096">
        <f t="shared" si="9"/>
        <v>9</v>
      </c>
      <c r="B90" s="1226" t="str">
        <f>[28]Raw!AC69</f>
        <v>Jinsung T.E.C.</v>
      </c>
      <c r="C90" s="1227"/>
      <c r="D90" s="1253"/>
      <c r="E90" s="1253"/>
      <c r="F90" s="1253"/>
      <c r="G90" s="1102">
        <f>[28]Raw!AD69</f>
        <v>230443.247</v>
      </c>
      <c r="H90" s="1254">
        <f>[28]Raw!AE69</f>
        <v>218209.14617083335</v>
      </c>
      <c r="I90" s="1254">
        <f>[28]Raw!AF69</f>
        <v>209878.78398939397</v>
      </c>
      <c r="J90" s="1254">
        <f>[28]Raw!AG69</f>
        <v>196286.12923858268</v>
      </c>
      <c r="K90" s="34"/>
      <c r="L90" s="1255">
        <f>[28]Raw!AH69</f>
        <v>183331.74976920016</v>
      </c>
      <c r="M90" s="1256"/>
      <c r="N90" s="1258"/>
      <c r="O90" s="1153"/>
      <c r="Q90" s="1089"/>
    </row>
    <row r="91" spans="1:17" s="1086" customFormat="1" ht="14.1" customHeight="1" x14ac:dyDescent="0.2">
      <c r="A91" s="1096">
        <f t="shared" si="9"/>
        <v>10</v>
      </c>
      <c r="B91" s="1226" t="str">
        <f>[28]Raw!AC70</f>
        <v>Kanglim Co Ltd</v>
      </c>
      <c r="C91" s="1227"/>
      <c r="D91" s="1253"/>
      <c r="E91" s="1253"/>
      <c r="F91" s="1253"/>
      <c r="G91" s="1102">
        <f>[28]Raw!AD70</f>
        <v>193508.95910000001</v>
      </c>
      <c r="H91" s="1254">
        <f>[28]Raw!AE70</f>
        <v>205724.51529166661</v>
      </c>
      <c r="I91" s="1254">
        <f>[28]Raw!AF70</f>
        <v>249491.64300606062</v>
      </c>
      <c r="J91" s="1254">
        <f>[28]Raw!AG70</f>
        <v>265615.13198267721</v>
      </c>
      <c r="K91" s="34"/>
      <c r="L91" s="1255">
        <f>[28]Raw!AH70</f>
        <v>280760.64335399977</v>
      </c>
      <c r="M91" s="1256"/>
      <c r="N91" s="1258"/>
      <c r="O91" s="1153"/>
      <c r="Q91" s="1089"/>
    </row>
    <row r="92" spans="1:17" s="1086" customFormat="1" ht="14.1" customHeight="1" x14ac:dyDescent="0.2">
      <c r="A92" s="1096">
        <f t="shared" si="9"/>
        <v>11</v>
      </c>
      <c r="B92" s="1226" t="str">
        <f>[28]Raw!AC71</f>
        <v>Soosan Heavy Industries Co Ltd</v>
      </c>
      <c r="C92" s="1227"/>
      <c r="D92" s="1253"/>
      <c r="E92" s="1253"/>
      <c r="F92" s="1253"/>
      <c r="G92" s="1102">
        <f>[28]Raw!AD71</f>
        <v>80977.744500000001</v>
      </c>
      <c r="H92" s="1254">
        <f>[28]Raw!AE71</f>
        <v>82428.595750000022</v>
      </c>
      <c r="I92" s="1254">
        <f>[28]Raw!AF71</f>
        <v>82904.033551515196</v>
      </c>
      <c r="J92" s="1254">
        <f>[28]Raw!AG71</f>
        <v>88809.845471653622</v>
      </c>
      <c r="K92" s="34"/>
      <c r="L92" s="1255">
        <f>[28]Raw!AH71</f>
        <v>97767.132572800037</v>
      </c>
      <c r="M92" s="1256"/>
      <c r="N92" s="1258"/>
      <c r="O92" s="1153"/>
      <c r="Q92" s="1089"/>
    </row>
    <row r="93" spans="1:17" s="1086" customFormat="1" ht="14.1" customHeight="1" x14ac:dyDescent="0.2">
      <c r="A93" s="1096">
        <f t="shared" si="9"/>
        <v>12</v>
      </c>
      <c r="B93" s="1226" t="str">
        <f>[28]Raw!AC72</f>
        <v>Daechang Forging Co Ltd</v>
      </c>
      <c r="C93" s="1227"/>
      <c r="D93" s="1253"/>
      <c r="E93" s="1253"/>
      <c r="F93" s="1253"/>
      <c r="G93" s="1102">
        <f>[28]Raw!AD72</f>
        <v>116000</v>
      </c>
      <c r="H93" s="1254">
        <f>[28]Raw!AE72</f>
        <v>116741.66666666667</v>
      </c>
      <c r="I93" s="1254">
        <f>[28]Raw!AF72</f>
        <v>119921.21212121213</v>
      </c>
      <c r="J93" s="1254">
        <f>[28]Raw!AG72</f>
        <v>114894.48818897638</v>
      </c>
      <c r="K93" s="34"/>
      <c r="L93" s="1255">
        <f>[28]Raw!AH72</f>
        <v>105316.8</v>
      </c>
      <c r="M93" s="1256"/>
      <c r="N93" s="1258"/>
      <c r="O93" s="1153"/>
      <c r="Q93" s="1089"/>
    </row>
    <row r="94" spans="1:17" s="1086" customFormat="1" ht="14.1" customHeight="1" x14ac:dyDescent="0.2">
      <c r="A94" s="1096">
        <f t="shared" si="9"/>
        <v>13</v>
      </c>
      <c r="B94" s="1226" t="str">
        <f>[28]Raw!AC73</f>
        <v>DY Corp</v>
      </c>
      <c r="C94" s="1227"/>
      <c r="D94" s="1253"/>
      <c r="E94" s="1253"/>
      <c r="F94" s="1253"/>
      <c r="G94" s="1102">
        <f>[28]Raw!AD73</f>
        <v>190817.33919999999</v>
      </c>
      <c r="H94" s="1254">
        <f>[28]Raw!AE73</f>
        <v>199272.52134583335</v>
      </c>
      <c r="I94" s="1254">
        <f>[28]Raw!AF73</f>
        <v>194709.45506060598</v>
      </c>
      <c r="J94" s="1254">
        <f>[28]Raw!AG73</f>
        <v>192408.95358267718</v>
      </c>
      <c r="K94" s="34"/>
      <c r="L94" s="1255">
        <f>[28]Raw!AH73</f>
        <v>189427.66526880005</v>
      </c>
      <c r="M94" s="1256"/>
      <c r="N94" s="1258"/>
      <c r="O94" s="1153"/>
      <c r="Q94" s="1089"/>
    </row>
    <row r="95" spans="1:17" s="1086" customFormat="1" ht="14.1" customHeight="1" x14ac:dyDescent="0.2">
      <c r="A95" s="1096">
        <f t="shared" si="9"/>
        <v>14</v>
      </c>
      <c r="B95" s="1232" t="str">
        <f>[28]Raw!AC74</f>
        <v>Hae In Corp</v>
      </c>
      <c r="C95" s="1233"/>
      <c r="D95" s="1259"/>
      <c r="E95" s="1259"/>
      <c r="F95" s="1259"/>
      <c r="G95" s="1260">
        <f>[28]Raw!AD74</f>
        <v>47100.727599999998</v>
      </c>
      <c r="H95" s="1261">
        <f>[28]Raw!AE74</f>
        <v>49598.252725000006</v>
      </c>
      <c r="I95" s="1261">
        <f>[28]Raw!AF74</f>
        <v>53609.268674242412</v>
      </c>
      <c r="J95" s="1261">
        <f>[28]Raw!AG74</f>
        <v>56243.393991338562</v>
      </c>
      <c r="K95" s="1262"/>
      <c r="L95" s="1263">
        <f>[28]Raw!AH74</f>
        <v>53693.811254800006</v>
      </c>
      <c r="M95" s="1256"/>
      <c r="N95" s="1258"/>
      <c r="O95" s="1153"/>
      <c r="Q95" s="1089"/>
    </row>
    <row r="96" spans="1:17" s="1086" customFormat="1" ht="14.1" customHeight="1" x14ac:dyDescent="0.3">
      <c r="M96" s="1153"/>
      <c r="N96" s="1258"/>
      <c r="O96" s="1153"/>
      <c r="Q96" s="1089"/>
    </row>
    <row r="97" spans="1:17" s="1086" customFormat="1" ht="14.1" customHeight="1" x14ac:dyDescent="0.3">
      <c r="B97" s="1213" t="s">
        <v>3159</v>
      </c>
      <c r="E97" s="1092"/>
      <c r="Q97" s="1089"/>
    </row>
    <row r="98" spans="1:17" s="1241" customFormat="1" ht="14.1" customHeight="1" x14ac:dyDescent="0.2">
      <c r="B98" s="1242"/>
      <c r="C98" s="1243"/>
      <c r="D98" s="1244"/>
      <c r="E98" s="1244"/>
      <c r="F98" s="1244"/>
      <c r="G98" s="1872" t="s">
        <v>3160</v>
      </c>
      <c r="H98" s="1872" t="s">
        <v>35</v>
      </c>
      <c r="I98" s="1086"/>
      <c r="J98" s="1086"/>
      <c r="K98" s="1086"/>
      <c r="L98" s="1086"/>
      <c r="M98" s="1086"/>
      <c r="N98" s="1086"/>
      <c r="O98" s="1086"/>
    </row>
    <row r="99" spans="1:17" s="1241" customFormat="1" ht="14.1" customHeight="1" x14ac:dyDescent="0.2">
      <c r="B99" s="1264"/>
      <c r="C99" s="1265"/>
      <c r="D99" s="1266"/>
      <c r="E99" s="1266"/>
      <c r="F99" s="1267"/>
      <c r="G99" s="1873"/>
      <c r="H99" s="1874"/>
      <c r="I99" s="1086"/>
      <c r="J99" s="1086"/>
      <c r="K99" s="1086"/>
      <c r="L99" s="1086"/>
      <c r="M99" s="1086"/>
      <c r="N99" s="1086"/>
      <c r="O99" s="1086"/>
    </row>
    <row r="100" spans="1:17" s="1109" customFormat="1" ht="14.1" customHeight="1" x14ac:dyDescent="0.2">
      <c r="A100" s="1096">
        <v>1</v>
      </c>
      <c r="B100" s="1220" t="str">
        <f>[28]Raw!AB87</f>
        <v>HYUNDAI CONSTRUCTION EQUIPME</v>
      </c>
      <c r="C100" s="1221"/>
      <c r="D100" s="1248"/>
      <c r="E100" s="1248"/>
      <c r="F100" s="1248"/>
      <c r="G100" s="1268">
        <f>[28]Raw!AG87</f>
        <v>615793</v>
      </c>
      <c r="H100" s="1269" t="str">
        <f>[28]Raw!AE87</f>
        <v>FQ2 2017</v>
      </c>
      <c r="I100" s="1086"/>
      <c r="J100" s="1086"/>
      <c r="K100" s="1086"/>
      <c r="L100" s="1086"/>
      <c r="M100" s="1086"/>
      <c r="N100" s="1086"/>
      <c r="O100" s="1086"/>
    </row>
    <row r="101" spans="1:17" s="1109" customFormat="1" ht="14.1" customHeight="1" x14ac:dyDescent="0.2">
      <c r="A101" s="1096">
        <f>A100+1</f>
        <v>2</v>
      </c>
      <c r="B101" s="1226" t="str">
        <f>[28]Raw!AB88</f>
        <v>DOOSAN BOBCAT INC</v>
      </c>
      <c r="C101" s="1227"/>
      <c r="D101" s="1253"/>
      <c r="E101" s="1253"/>
      <c r="F101" s="1253"/>
      <c r="G101" s="1270">
        <f>[28]Raw!AG88</f>
        <v>103202.17600000001</v>
      </c>
      <c r="H101" s="1271" t="str">
        <f>[28]Raw!AE88</f>
        <v>FQ2 2017</v>
      </c>
      <c r="I101" s="1086"/>
      <c r="J101" s="1086"/>
      <c r="K101" s="1086"/>
      <c r="L101" s="1086"/>
      <c r="M101" s="1086"/>
      <c r="N101" s="1086"/>
      <c r="O101" s="1086"/>
    </row>
    <row r="102" spans="1:17" s="1109" customFormat="1" ht="14.1" customHeight="1" x14ac:dyDescent="0.2">
      <c r="A102" s="1096">
        <f t="shared" ref="A102:A119" si="10">A101+1</f>
        <v>3</v>
      </c>
      <c r="B102" s="1226" t="str">
        <f>[28]Raw!AB89</f>
        <v>DY POWER CORP</v>
      </c>
      <c r="C102" s="1227"/>
      <c r="D102" s="1253"/>
      <c r="E102" s="1253"/>
      <c r="F102" s="1253"/>
      <c r="G102" s="1270">
        <f>[28]Raw!AG89</f>
        <v>21349</v>
      </c>
      <c r="H102" s="1271" t="str">
        <f>[28]Raw!AE89</f>
        <v>FQ2 2017</v>
      </c>
      <c r="I102" s="1086"/>
      <c r="J102" s="1086"/>
      <c r="K102" s="1086"/>
      <c r="L102" s="1086"/>
      <c r="M102" s="1086"/>
      <c r="N102" s="1086"/>
      <c r="O102" s="1086"/>
    </row>
    <row r="103" spans="1:17" s="1109" customFormat="1" ht="14.1" customHeight="1" x14ac:dyDescent="0.2">
      <c r="A103" s="1096">
        <f t="shared" si="10"/>
        <v>4</v>
      </c>
      <c r="B103" s="1226" t="str">
        <f>[28]Raw!AB90</f>
        <v>DONGIL METAL CO LTD</v>
      </c>
      <c r="C103" s="1227"/>
      <c r="D103" s="1253"/>
      <c r="E103" s="1253"/>
      <c r="F103" s="1253"/>
      <c r="G103" s="1270">
        <f>[28]Raw!AG90</f>
        <v>1692.306</v>
      </c>
      <c r="H103" s="1271" t="str">
        <f>[28]Raw!AE90</f>
        <v>FQ2 2017</v>
      </c>
      <c r="I103" s="1086"/>
      <c r="J103" s="1086"/>
      <c r="K103" s="1086"/>
      <c r="L103" s="1086"/>
      <c r="M103" s="1086"/>
      <c r="N103" s="1086"/>
      <c r="O103" s="1086"/>
    </row>
    <row r="104" spans="1:17" s="1109" customFormat="1" ht="14.1" customHeight="1" x14ac:dyDescent="0.2">
      <c r="A104" s="1096">
        <f t="shared" si="10"/>
        <v>5</v>
      </c>
      <c r="B104" s="1226" t="str">
        <f>[28]Raw!AB91</f>
        <v>HEUNGKUK METALTECH CO LTD</v>
      </c>
      <c r="C104" s="1227"/>
      <c r="D104" s="1253"/>
      <c r="E104" s="1253"/>
      <c r="F104" s="1253"/>
      <c r="G104" s="1270">
        <f>[28]Raw!AG91</f>
        <v>8000</v>
      </c>
      <c r="H104" s="1271" t="str">
        <f>[28]Raw!AE91</f>
        <v>FQ2 2017</v>
      </c>
      <c r="I104" s="1086"/>
      <c r="J104" s="1086"/>
      <c r="K104" s="1086"/>
      <c r="L104" s="1086"/>
      <c r="M104" s="1086"/>
      <c r="N104" s="1086"/>
      <c r="O104" s="1086"/>
    </row>
    <row r="105" spans="1:17" s="1109" customFormat="1" ht="14.1" customHeight="1" x14ac:dyDescent="0.2">
      <c r="A105" s="1096">
        <f t="shared" si="10"/>
        <v>6</v>
      </c>
      <c r="B105" s="1226" t="str">
        <f>[28]Raw!AB92</f>
        <v>WOORIM MACHINERY CO LTD</v>
      </c>
      <c r="C105" s="1227"/>
      <c r="D105" s="1253"/>
      <c r="E105" s="1253"/>
      <c r="F105" s="1253"/>
      <c r="G105" s="1270">
        <f>[28]Raw!AG92</f>
        <v>3800</v>
      </c>
      <c r="H105" s="1271" t="str">
        <f>[28]Raw!AE92</f>
        <v>FQ2 2017</v>
      </c>
      <c r="I105" s="1086"/>
      <c r="J105" s="1086"/>
      <c r="K105" s="1086"/>
      <c r="L105" s="1086"/>
      <c r="M105" s="1086"/>
      <c r="N105" s="1086"/>
      <c r="O105" s="1086"/>
    </row>
    <row r="106" spans="1:17" s="1109" customFormat="1" ht="14.1" customHeight="1" x14ac:dyDescent="0.2">
      <c r="A106" s="1096">
        <f t="shared" si="10"/>
        <v>7</v>
      </c>
      <c r="B106" s="1226" t="str">
        <f>[28]Raw!AB93</f>
        <v>EVERDIGM CORP</v>
      </c>
      <c r="C106" s="1227"/>
      <c r="D106" s="1253"/>
      <c r="E106" s="1253"/>
      <c r="F106" s="1253"/>
      <c r="G106" s="1270">
        <f>[28]Raw!AG93</f>
        <v>13342.9764</v>
      </c>
      <c r="H106" s="1271" t="str">
        <f>[28]Raw!AE93</f>
        <v>FQ2 2017</v>
      </c>
      <c r="I106" s="1086"/>
      <c r="J106" s="1086"/>
      <c r="K106" s="1086"/>
      <c r="L106" s="1086"/>
      <c r="M106" s="1086"/>
      <c r="N106" s="1086"/>
      <c r="O106" s="1086"/>
    </row>
    <row r="107" spans="1:17" s="1109" customFormat="1" ht="14.1" customHeight="1" x14ac:dyDescent="0.2">
      <c r="A107" s="1096">
        <f t="shared" si="10"/>
        <v>8</v>
      </c>
      <c r="B107" s="1226" t="str">
        <f>[28]Raw!AB94</f>
        <v>DOOSAN INFRACORE CO LTD</v>
      </c>
      <c r="C107" s="1227"/>
      <c r="D107" s="1253"/>
      <c r="E107" s="1253"/>
      <c r="F107" s="1253"/>
      <c r="G107" s="1270">
        <f>[28]Raw!AG94</f>
        <v>2564617.023</v>
      </c>
      <c r="H107" s="1271" t="str">
        <f>[28]Raw!AE94</f>
        <v>FQ2 2017</v>
      </c>
      <c r="I107" s="1086"/>
      <c r="J107" s="1086"/>
      <c r="K107" s="1086"/>
      <c r="L107" s="1086"/>
      <c r="M107" s="1086"/>
      <c r="N107" s="1086"/>
      <c r="O107" s="1086"/>
    </row>
    <row r="108" spans="1:17" s="1109" customFormat="1" ht="14.1" customHeight="1" x14ac:dyDescent="0.2">
      <c r="A108" s="1096">
        <f t="shared" si="10"/>
        <v>9</v>
      </c>
      <c r="B108" s="1226" t="str">
        <f>[28]Raw!AB95</f>
        <v>JINSUNG T.E.C.</v>
      </c>
      <c r="C108" s="1227"/>
      <c r="D108" s="1253"/>
      <c r="E108" s="1253"/>
      <c r="F108" s="1253"/>
      <c r="G108" s="1270">
        <f>[28]Raw!AG95</f>
        <v>19702.5</v>
      </c>
      <c r="H108" s="1271" t="str">
        <f>[28]Raw!AE95</f>
        <v>FQ2 2017</v>
      </c>
      <c r="I108" s="1086"/>
      <c r="J108" s="1086"/>
      <c r="K108" s="1086"/>
      <c r="L108" s="1086"/>
      <c r="M108" s="1086"/>
      <c r="N108" s="1086"/>
      <c r="O108" s="1086"/>
    </row>
    <row r="109" spans="1:17" s="1109" customFormat="1" ht="14.1" customHeight="1" x14ac:dyDescent="0.2">
      <c r="A109" s="1096">
        <f t="shared" si="10"/>
        <v>10</v>
      </c>
      <c r="B109" s="1226" t="str">
        <f>[28]Raw!AB96</f>
        <v>KANGLIM CO LTD</v>
      </c>
      <c r="C109" s="1227"/>
      <c r="D109" s="1253"/>
      <c r="E109" s="1253"/>
      <c r="F109" s="1253"/>
      <c r="G109" s="1270">
        <f>[28]Raw!AG96</f>
        <v>35222.923299999995</v>
      </c>
      <c r="H109" s="1271" t="str">
        <f>[28]Raw!AE96</f>
        <v>FQ2 2017</v>
      </c>
      <c r="I109" s="1086"/>
      <c r="J109" s="1086"/>
      <c r="K109" s="1086"/>
      <c r="L109" s="1086"/>
      <c r="M109" s="1086"/>
      <c r="N109" s="1086"/>
      <c r="O109" s="1086"/>
    </row>
    <row r="110" spans="1:17" s="1109" customFormat="1" ht="14.1" customHeight="1" x14ac:dyDescent="0.2">
      <c r="A110" s="1096">
        <f t="shared" si="10"/>
        <v>11</v>
      </c>
      <c r="B110" s="1226" t="str">
        <f>[28]Raw!AB97</f>
        <v>SOOSAN HEAVY INDUSTRIES CO</v>
      </c>
      <c r="C110" s="1227"/>
      <c r="D110" s="1253"/>
      <c r="E110" s="1253"/>
      <c r="F110" s="1253"/>
      <c r="G110" s="1270">
        <f>[28]Raw!AG97</f>
        <v>1490.9659999999999</v>
      </c>
      <c r="H110" s="1271" t="str">
        <f>[28]Raw!AE97</f>
        <v>FQ2 2017</v>
      </c>
      <c r="I110" s="1086"/>
      <c r="J110" s="1086"/>
      <c r="K110" s="1086"/>
      <c r="L110" s="1086"/>
      <c r="M110" s="1086"/>
      <c r="N110" s="1086"/>
      <c r="O110" s="1086"/>
    </row>
    <row r="111" spans="1:17" s="1109" customFormat="1" ht="14.1" customHeight="1" x14ac:dyDescent="0.2">
      <c r="A111" s="1096">
        <f t="shared" si="10"/>
        <v>12</v>
      </c>
      <c r="B111" s="1226" t="str">
        <f>[28]Raw!AB98</f>
        <v>DAECHANG FORGING CO LTD</v>
      </c>
      <c r="C111" s="1227"/>
      <c r="D111" s="1253"/>
      <c r="E111" s="1253"/>
      <c r="F111" s="1253"/>
      <c r="G111" s="1270">
        <f>[28]Raw!AG98</f>
        <v>2214.5931999999998</v>
      </c>
      <c r="H111" s="1271" t="str">
        <f>[28]Raw!AE98</f>
        <v>FQ2 2017</v>
      </c>
      <c r="I111" s="1086"/>
      <c r="J111" s="1086"/>
      <c r="K111" s="1086"/>
      <c r="L111" s="1086"/>
      <c r="M111" s="1086"/>
      <c r="N111" s="1086"/>
      <c r="O111" s="1086"/>
    </row>
    <row r="112" spans="1:17" s="1109" customFormat="1" ht="14.1" customHeight="1" x14ac:dyDescent="0.2">
      <c r="A112" s="1096">
        <f t="shared" si="10"/>
        <v>13</v>
      </c>
      <c r="B112" s="1226" t="str">
        <f>[28]Raw!AB99</f>
        <v>DY CORP</v>
      </c>
      <c r="C112" s="1227"/>
      <c r="D112" s="1253"/>
      <c r="E112" s="1253"/>
      <c r="F112" s="1253"/>
      <c r="G112" s="1270">
        <f>[28]Raw!AG99</f>
        <v>2325</v>
      </c>
      <c r="H112" s="1271" t="str">
        <f>[28]Raw!AE99</f>
        <v>FQ2 2017</v>
      </c>
      <c r="I112" s="1086"/>
      <c r="J112" s="1086"/>
      <c r="K112" s="1086"/>
      <c r="L112" s="1086"/>
      <c r="M112" s="1086"/>
      <c r="N112" s="1086"/>
      <c r="O112" s="1086"/>
    </row>
    <row r="113" spans="1:21" s="1109" customFormat="1" ht="14.1" customHeight="1" x14ac:dyDescent="0.2">
      <c r="A113" s="1096">
        <f t="shared" si="10"/>
        <v>14</v>
      </c>
      <c r="B113" s="1232" t="str">
        <f>[28]Raw!AB100</f>
        <v>HAE IN CORPORATION</v>
      </c>
      <c r="C113" s="1233"/>
      <c r="D113" s="1259"/>
      <c r="E113" s="1259"/>
      <c r="F113" s="1259"/>
      <c r="G113" s="1272">
        <f>[28]Raw!AG100</f>
        <v>102869.9267</v>
      </c>
      <c r="H113" s="1273" t="str">
        <f>[28]Raw!AE100</f>
        <v>FQ2 2017</v>
      </c>
      <c r="I113" s="1086"/>
      <c r="J113" s="1086"/>
      <c r="K113" s="1086"/>
      <c r="L113" s="1086"/>
      <c r="M113" s="1086"/>
      <c r="N113" s="1086"/>
      <c r="O113" s="1086"/>
    </row>
    <row r="114" spans="1:21" s="1109" customFormat="1" ht="14.1" hidden="1" customHeight="1" x14ac:dyDescent="0.2">
      <c r="A114" s="1096">
        <f t="shared" si="10"/>
        <v>15</v>
      </c>
      <c r="B114" s="1226" t="str">
        <f>[28]Raw!AB101</f>
        <v>#N/A Invalid Security</v>
      </c>
      <c r="C114" s="1227"/>
      <c r="D114" s="1253"/>
      <c r="E114" s="1253"/>
      <c r="F114" s="1253"/>
      <c r="G114" s="1270">
        <f>[28]Raw!AG101</f>
        <v>0</v>
      </c>
      <c r="H114" s="1271" t="str">
        <f>[28]Raw!AE101</f>
        <v>#N/A Invalid Security</v>
      </c>
      <c r="I114" s="1086"/>
      <c r="J114" s="1086"/>
      <c r="K114" s="1086"/>
      <c r="L114" s="1086"/>
      <c r="M114" s="1086"/>
      <c r="N114" s="1086"/>
      <c r="O114" s="1086"/>
    </row>
    <row r="115" spans="1:21" s="1109" customFormat="1" ht="14.1" hidden="1" customHeight="1" x14ac:dyDescent="0.2">
      <c r="A115" s="1096">
        <f t="shared" si="10"/>
        <v>16</v>
      </c>
      <c r="B115" s="1226" t="str">
        <f>[28]Raw!AB102</f>
        <v>#N/A Invalid Security</v>
      </c>
      <c r="C115" s="1227"/>
      <c r="D115" s="1253"/>
      <c r="E115" s="1253"/>
      <c r="F115" s="1253"/>
      <c r="G115" s="1270">
        <f>[28]Raw!AG102</f>
        <v>0</v>
      </c>
      <c r="H115" s="1271" t="str">
        <f>[28]Raw!AE102</f>
        <v>#N/A Invalid Security</v>
      </c>
      <c r="I115" s="1086"/>
      <c r="J115" s="1086"/>
      <c r="K115" s="1086"/>
      <c r="L115" s="1086"/>
      <c r="M115" s="1086"/>
      <c r="N115" s="1086"/>
      <c r="O115" s="1086"/>
    </row>
    <row r="116" spans="1:21" s="1109" customFormat="1" ht="14.1" hidden="1" customHeight="1" x14ac:dyDescent="0.2">
      <c r="A116" s="1096">
        <f t="shared" si="10"/>
        <v>17</v>
      </c>
      <c r="B116" s="1226" t="str">
        <f>[28]Raw!AB103</f>
        <v>#N/A Invalid Security</v>
      </c>
      <c r="C116" s="1227"/>
      <c r="D116" s="1253"/>
      <c r="E116" s="1253"/>
      <c r="F116" s="1253"/>
      <c r="G116" s="1270">
        <f>[28]Raw!AG103</f>
        <v>0</v>
      </c>
      <c r="H116" s="1271" t="str">
        <f>[28]Raw!AE103</f>
        <v>#N/A Invalid Security</v>
      </c>
      <c r="I116" s="1086"/>
      <c r="J116" s="1086"/>
      <c r="K116" s="1086"/>
      <c r="L116" s="1086"/>
      <c r="M116" s="1086"/>
      <c r="N116" s="1086"/>
      <c r="O116" s="1086"/>
    </row>
    <row r="117" spans="1:21" s="1109" customFormat="1" ht="14.1" hidden="1" customHeight="1" x14ac:dyDescent="0.2">
      <c r="A117" s="1096">
        <f t="shared" si="10"/>
        <v>18</v>
      </c>
      <c r="B117" s="1226" t="str">
        <f>[28]Raw!AB104</f>
        <v>#N/A Invalid Security</v>
      </c>
      <c r="C117" s="1227"/>
      <c r="D117" s="1253"/>
      <c r="E117" s="1253"/>
      <c r="F117" s="1253"/>
      <c r="G117" s="1270">
        <f>[28]Raw!AG104</f>
        <v>0</v>
      </c>
      <c r="H117" s="1271" t="str">
        <f>[28]Raw!AE104</f>
        <v>#N/A Invalid Security</v>
      </c>
      <c r="I117" s="1086"/>
      <c r="J117" s="1086"/>
      <c r="K117" s="1086"/>
      <c r="L117" s="1086"/>
      <c r="M117" s="1086"/>
      <c r="N117" s="1086"/>
      <c r="O117" s="1086"/>
    </row>
    <row r="118" spans="1:21" s="1109" customFormat="1" ht="14.1" hidden="1" customHeight="1" x14ac:dyDescent="0.2">
      <c r="A118" s="1096">
        <f t="shared" si="10"/>
        <v>19</v>
      </c>
      <c r="B118" s="1226" t="str">
        <f>[28]Raw!AB105</f>
        <v>#N/A Invalid Security</v>
      </c>
      <c r="C118" s="1227"/>
      <c r="D118" s="1253"/>
      <c r="E118" s="1253"/>
      <c r="F118" s="1253"/>
      <c r="G118" s="1270">
        <f>[28]Raw!AG105</f>
        <v>0</v>
      </c>
      <c r="H118" s="1271" t="str">
        <f>[28]Raw!AE105</f>
        <v>#N/A Invalid Security</v>
      </c>
      <c r="I118" s="1086"/>
      <c r="J118" s="1086"/>
      <c r="K118" s="1086"/>
      <c r="L118" s="1086"/>
      <c r="M118" s="1086"/>
      <c r="N118" s="1086"/>
      <c r="O118" s="1086"/>
    </row>
    <row r="119" spans="1:21" s="1109" customFormat="1" ht="14.1" hidden="1" customHeight="1" x14ac:dyDescent="0.2">
      <c r="A119" s="1096">
        <f t="shared" si="10"/>
        <v>20</v>
      </c>
      <c r="B119" s="1232" t="str">
        <f>[28]Raw!AB106</f>
        <v>#N/A Invalid Security</v>
      </c>
      <c r="C119" s="1233"/>
      <c r="D119" s="1259"/>
      <c r="E119" s="1259"/>
      <c r="F119" s="1259"/>
      <c r="G119" s="1272">
        <f>[28]Raw!AG106</f>
        <v>0</v>
      </c>
      <c r="H119" s="1273" t="str">
        <f>[28]Raw!AE106</f>
        <v>#N/A Invalid Security</v>
      </c>
      <c r="I119" s="1086"/>
      <c r="J119" s="1086"/>
      <c r="K119" s="1086"/>
      <c r="L119" s="1086"/>
      <c r="M119" s="1086"/>
      <c r="N119" s="1086"/>
      <c r="O119" s="1086"/>
    </row>
    <row r="120" spans="1:21" s="1086" customFormat="1" ht="14.1" customHeight="1" x14ac:dyDescent="0.3">
      <c r="D120" s="1092"/>
      <c r="J120" s="1274"/>
      <c r="Q120" s="1089"/>
      <c r="S120" s="1109"/>
      <c r="U120" s="1077"/>
    </row>
    <row r="121" spans="1:21" ht="14.1" customHeight="1" x14ac:dyDescent="0.3">
      <c r="B121" s="1213" t="s">
        <v>3161</v>
      </c>
      <c r="C121" s="1086"/>
      <c r="D121" s="1086"/>
      <c r="E121" s="1092"/>
      <c r="F121" s="1086"/>
      <c r="G121" s="1086"/>
      <c r="H121" s="1275"/>
      <c r="I121" s="1276"/>
    </row>
    <row r="122" spans="1:21" ht="14.1" customHeight="1" x14ac:dyDescent="0.2">
      <c r="B122" s="1278"/>
      <c r="C122" s="1279"/>
      <c r="D122" s="1280"/>
      <c r="E122" s="1280"/>
      <c r="F122" s="1280"/>
      <c r="G122" s="1281" t="s">
        <v>3162</v>
      </c>
      <c r="H122" s="1282"/>
      <c r="I122" s="1281" t="s">
        <v>3163</v>
      </c>
    </row>
    <row r="123" spans="1:21" ht="14.1" customHeight="1" x14ac:dyDescent="0.2">
      <c r="B123" s="1283">
        <f>[28]CRP!K8</f>
        <v>43007</v>
      </c>
      <c r="C123" s="1284"/>
      <c r="D123" s="1256"/>
      <c r="E123" s="1256"/>
      <c r="F123" s="1256"/>
      <c r="G123" s="1285">
        <f>[28]CRP!V8</f>
        <v>2.3699999999999999E-2</v>
      </c>
      <c r="H123" s="1286"/>
      <c r="I123" s="1285">
        <f>[28]CRP!V18</f>
        <v>0.10614</v>
      </c>
    </row>
    <row r="124" spans="1:21" ht="14.1" customHeight="1" x14ac:dyDescent="0.2">
      <c r="B124" s="1226" t="s">
        <v>3164</v>
      </c>
      <c r="C124" s="1227"/>
      <c r="D124" s="1253"/>
      <c r="E124" s="1253"/>
      <c r="F124" s="1253"/>
      <c r="G124" s="1287">
        <f>[28]CRP!V9</f>
        <v>2.2839999999999996E-2</v>
      </c>
      <c r="H124" s="1286"/>
      <c r="I124" s="1285">
        <f>[28]CRP!V19</f>
        <v>0.10084565217391306</v>
      </c>
    </row>
    <row r="125" spans="1:21" ht="14.1" customHeight="1" x14ac:dyDescent="0.2">
      <c r="B125" s="1226" t="s">
        <v>3165</v>
      </c>
      <c r="C125" s="1227"/>
      <c r="D125" s="1253"/>
      <c r="E125" s="1253"/>
      <c r="F125" s="1253"/>
      <c r="G125" s="1287">
        <f>[28]CRP!V10</f>
        <v>2.2739692307692308E-2</v>
      </c>
      <c r="H125" s="1288"/>
      <c r="I125" s="1287">
        <f>[28]CRP!V20</f>
        <v>9.3291076923076949E-2</v>
      </c>
    </row>
    <row r="126" spans="1:21" ht="14.1" customHeight="1" x14ac:dyDescent="0.2">
      <c r="B126" s="1226" t="s">
        <v>3166</v>
      </c>
      <c r="C126" s="1227"/>
      <c r="D126" s="1252"/>
      <c r="E126" s="1252"/>
      <c r="F126" s="1252"/>
      <c r="G126" s="1289">
        <f>[28]CRP!V11</f>
        <v>2.2371984126984129E-2</v>
      </c>
      <c r="H126" s="1290"/>
      <c r="I126" s="1289">
        <f>[28]CRP!V21</f>
        <v>9.056555555555558E-2</v>
      </c>
    </row>
    <row r="127" spans="1:21" ht="14.1" customHeight="1" x14ac:dyDescent="0.2">
      <c r="B127" s="1226" t="s">
        <v>3167</v>
      </c>
      <c r="C127" s="1227"/>
      <c r="D127" s="1252"/>
      <c r="E127" s="1252"/>
      <c r="F127" s="1252"/>
      <c r="G127" s="1289">
        <f>[28]CRP!V12</f>
        <v>2.1387911646586353E-2</v>
      </c>
      <c r="H127" s="1290"/>
      <c r="I127" s="1289">
        <f>[28]CRP!V22</f>
        <v>9.299791164658637E-2</v>
      </c>
    </row>
    <row r="128" spans="1:21" ht="14.1" customHeight="1" thickBot="1" x14ac:dyDescent="0.35">
      <c r="B128" s="1291" t="s">
        <v>3168</v>
      </c>
      <c r="C128" s="1292"/>
      <c r="D128" s="1292"/>
      <c r="E128" s="1292"/>
      <c r="F128" s="1292"/>
      <c r="G128" s="1293">
        <f>[28]CRP!V13</f>
        <v>1.9786505050505051E-2</v>
      </c>
      <c r="H128" s="1294"/>
      <c r="I128" s="1293">
        <f>[28]CRP!V23</f>
        <v>9.4799515151515218E-2</v>
      </c>
    </row>
    <row r="129" spans="2:17" s="1085" customFormat="1" ht="14.1" customHeight="1" x14ac:dyDescent="0.3">
      <c r="B129" s="1077"/>
      <c r="C129" s="1077"/>
      <c r="D129" s="1077"/>
      <c r="E129" s="1077"/>
      <c r="F129" s="1077"/>
      <c r="G129" s="1077"/>
      <c r="H129" s="1077"/>
      <c r="I129" s="1077"/>
      <c r="J129" s="1077"/>
      <c r="K129" s="1077"/>
      <c r="L129" s="1077"/>
      <c r="Q129" s="1295"/>
    </row>
    <row r="130" spans="2:17" ht="14.1" customHeight="1" x14ac:dyDescent="0.3">
      <c r="E130" s="1077"/>
    </row>
    <row r="131" spans="2:17" ht="14.1" customHeight="1" x14ac:dyDescent="0.3"/>
    <row r="132" spans="2:17" ht="14.1" customHeight="1" x14ac:dyDescent="0.3"/>
    <row r="133" spans="2:17" ht="14.1" customHeight="1" x14ac:dyDescent="0.3"/>
    <row r="134" spans="2:17" ht="14.1" customHeight="1" x14ac:dyDescent="0.3"/>
    <row r="135" spans="2:17" ht="14.1" customHeight="1" x14ac:dyDescent="0.3"/>
    <row r="136" spans="2:17" ht="14.1" customHeight="1" x14ac:dyDescent="0.3"/>
    <row r="137" spans="2:17" ht="14.1" customHeight="1" x14ac:dyDescent="0.3"/>
    <row r="138" spans="2:17" ht="14.1" customHeight="1" x14ac:dyDescent="0.3"/>
    <row r="139" spans="2:17" ht="14.1" customHeight="1" x14ac:dyDescent="0.3"/>
    <row r="140" spans="2:17" ht="14.1" customHeight="1" x14ac:dyDescent="0.3"/>
    <row r="141" spans="2:17" ht="14.1" customHeight="1" x14ac:dyDescent="0.3"/>
    <row r="142" spans="2:17" ht="14.1" customHeight="1" x14ac:dyDescent="0.3"/>
    <row r="143" spans="2:17" ht="14.1" customHeight="1" x14ac:dyDescent="0.3"/>
    <row r="144" spans="2:17" ht="14.1" customHeight="1" x14ac:dyDescent="0.3"/>
    <row r="145" ht="14.1" customHeight="1" x14ac:dyDescent="0.3"/>
    <row r="146" ht="14.1" customHeight="1" x14ac:dyDescent="0.3"/>
    <row r="147" ht="14.1" customHeight="1" x14ac:dyDescent="0.3"/>
    <row r="148" ht="14.1" customHeight="1" x14ac:dyDescent="0.3"/>
    <row r="149" ht="14.1" customHeight="1" x14ac:dyDescent="0.3"/>
    <row r="150" ht="14.1" customHeight="1" x14ac:dyDescent="0.3"/>
    <row r="151" ht="14.1" customHeight="1" x14ac:dyDescent="0.3"/>
    <row r="152" ht="14.1" customHeight="1" x14ac:dyDescent="0.3"/>
    <row r="153" ht="14.1" customHeight="1" x14ac:dyDescent="0.3"/>
    <row r="154" ht="14.1" customHeight="1" x14ac:dyDescent="0.3"/>
    <row r="155" ht="14.1" customHeight="1" x14ac:dyDescent="0.3"/>
    <row r="156" ht="14.1" customHeight="1" x14ac:dyDescent="0.3"/>
    <row r="157" ht="14.1" customHeight="1" x14ac:dyDescent="0.3"/>
    <row r="158" ht="14.1" customHeight="1" x14ac:dyDescent="0.3"/>
    <row r="159" ht="14.1" customHeight="1" x14ac:dyDescent="0.3"/>
    <row r="160" ht="14.1" customHeight="1" x14ac:dyDescent="0.3"/>
    <row r="161" ht="14.1" customHeight="1" x14ac:dyDescent="0.3"/>
    <row r="162" ht="14.1" customHeight="1" x14ac:dyDescent="0.3"/>
    <row r="163" ht="14.1" customHeight="1" x14ac:dyDescent="0.3"/>
    <row r="164" ht="14.1" customHeight="1" x14ac:dyDescent="0.3"/>
    <row r="165" ht="14.1" customHeight="1" x14ac:dyDescent="0.3"/>
    <row r="166" ht="14.1" customHeight="1" x14ac:dyDescent="0.3"/>
    <row r="167" ht="14.1" customHeight="1" x14ac:dyDescent="0.3"/>
    <row r="168" ht="14.1" customHeight="1" x14ac:dyDescent="0.3"/>
    <row r="169" ht="14.1" customHeight="1" x14ac:dyDescent="0.3"/>
    <row r="170" ht="14.1" customHeight="1" x14ac:dyDescent="0.3"/>
    <row r="171" ht="14.1" customHeight="1" x14ac:dyDescent="0.3"/>
    <row r="172" ht="14.1" customHeight="1" x14ac:dyDescent="0.3"/>
    <row r="173" ht="14.1" customHeight="1" x14ac:dyDescent="0.3"/>
    <row r="174" ht="14.1" customHeight="1" x14ac:dyDescent="0.3"/>
    <row r="175" ht="14.1" customHeight="1" x14ac:dyDescent="0.3"/>
    <row r="176" ht="14.1" customHeight="1" x14ac:dyDescent="0.3"/>
    <row r="177" ht="14.1" customHeight="1" x14ac:dyDescent="0.3"/>
    <row r="178" ht="14.1" customHeight="1" x14ac:dyDescent="0.3"/>
    <row r="179" ht="14.1" customHeight="1" x14ac:dyDescent="0.3"/>
    <row r="180" ht="14.1" customHeight="1" x14ac:dyDescent="0.3"/>
    <row r="181" ht="14.1" customHeight="1" x14ac:dyDescent="0.3"/>
    <row r="182" ht="14.1" customHeight="1" x14ac:dyDescent="0.3"/>
    <row r="183" ht="14.1" customHeight="1" x14ac:dyDescent="0.3"/>
    <row r="184" ht="14.1" customHeight="1" x14ac:dyDescent="0.3"/>
    <row r="185" ht="14.1" customHeight="1" x14ac:dyDescent="0.3"/>
    <row r="186" ht="14.1" customHeight="1" x14ac:dyDescent="0.3"/>
    <row r="187" ht="14.1" customHeight="1" x14ac:dyDescent="0.3"/>
    <row r="188" ht="14.1" customHeight="1" x14ac:dyDescent="0.3"/>
    <row r="189" ht="14.1" customHeight="1" x14ac:dyDescent="0.3"/>
    <row r="190" ht="14.1" customHeight="1" x14ac:dyDescent="0.3"/>
    <row r="191" ht="14.1" customHeight="1" x14ac:dyDescent="0.3"/>
    <row r="192" ht="14.1" customHeight="1" x14ac:dyDescent="0.3"/>
    <row r="193" ht="14.1" customHeight="1" x14ac:dyDescent="0.3"/>
    <row r="194" ht="14.1" customHeight="1" x14ac:dyDescent="0.3"/>
    <row r="195" ht="14.1" customHeight="1" x14ac:dyDescent="0.3"/>
    <row r="196" ht="14.1" customHeight="1" x14ac:dyDescent="0.3"/>
    <row r="197" ht="14.1" customHeight="1" x14ac:dyDescent="0.3"/>
    <row r="198" ht="14.1" customHeight="1" x14ac:dyDescent="0.3"/>
    <row r="199" ht="14.1" customHeight="1" x14ac:dyDescent="0.3"/>
    <row r="200" ht="14.1" customHeight="1" x14ac:dyDescent="0.3"/>
    <row r="201" ht="14.1" customHeight="1" x14ac:dyDescent="0.3"/>
    <row r="202" ht="14.1" customHeight="1" x14ac:dyDescent="0.3"/>
    <row r="203" ht="14.1" customHeight="1" x14ac:dyDescent="0.3"/>
    <row r="204" ht="14.1" customHeight="1" x14ac:dyDescent="0.3"/>
    <row r="205" ht="14.1" customHeight="1" x14ac:dyDescent="0.3"/>
    <row r="206" ht="14.1" customHeight="1" x14ac:dyDescent="0.3"/>
    <row r="207" ht="14.1" customHeight="1" x14ac:dyDescent="0.3"/>
    <row r="208" ht="14.1" customHeight="1" x14ac:dyDescent="0.3"/>
    <row r="209" ht="14.1" customHeight="1" x14ac:dyDescent="0.3"/>
    <row r="210" ht="14.1" customHeight="1" x14ac:dyDescent="0.3"/>
    <row r="211" ht="14.1" customHeight="1" x14ac:dyDescent="0.3"/>
    <row r="212" ht="14.1" customHeight="1" x14ac:dyDescent="0.3"/>
    <row r="213" ht="14.1" customHeight="1" x14ac:dyDescent="0.3"/>
    <row r="214" ht="14.1" customHeight="1" x14ac:dyDescent="0.3"/>
    <row r="215" ht="14.1" customHeight="1" x14ac:dyDescent="0.3"/>
    <row r="216" ht="14.1" customHeight="1" x14ac:dyDescent="0.3"/>
    <row r="217" ht="14.1" customHeight="1" x14ac:dyDescent="0.3"/>
    <row r="218" ht="14.1" customHeight="1" x14ac:dyDescent="0.3"/>
    <row r="219" ht="14.1" customHeight="1" x14ac:dyDescent="0.3"/>
    <row r="220" ht="14.1" customHeight="1" x14ac:dyDescent="0.3"/>
    <row r="221" ht="14.1" customHeight="1" x14ac:dyDescent="0.3"/>
    <row r="222" ht="14.1" customHeight="1" x14ac:dyDescent="0.3"/>
    <row r="223" ht="14.1" customHeight="1" x14ac:dyDescent="0.3"/>
    <row r="224" ht="14.1" customHeight="1" x14ac:dyDescent="0.3"/>
    <row r="225" ht="14.1" customHeight="1" x14ac:dyDescent="0.3"/>
    <row r="226" ht="14.1" customHeight="1" x14ac:dyDescent="0.3"/>
    <row r="227" ht="14.1" customHeight="1" x14ac:dyDescent="0.3"/>
    <row r="228" ht="14.1" customHeight="1" x14ac:dyDescent="0.3"/>
    <row r="229" ht="14.1" customHeight="1" x14ac:dyDescent="0.3"/>
    <row r="230" ht="14.1" customHeight="1" x14ac:dyDescent="0.3"/>
    <row r="231" ht="14.1" customHeight="1" x14ac:dyDescent="0.3"/>
    <row r="232" ht="14.1" customHeight="1" x14ac:dyDescent="0.3"/>
    <row r="233" ht="14.1" customHeight="1" x14ac:dyDescent="0.3"/>
    <row r="234" ht="14.1" customHeight="1" x14ac:dyDescent="0.3"/>
    <row r="235" ht="14.1" customHeight="1" x14ac:dyDescent="0.3"/>
    <row r="236" ht="14.1" customHeight="1" x14ac:dyDescent="0.3"/>
    <row r="237" ht="14.1" customHeight="1" x14ac:dyDescent="0.3"/>
    <row r="238" ht="14.1" customHeight="1" x14ac:dyDescent="0.3"/>
    <row r="239" ht="14.1" customHeight="1" x14ac:dyDescent="0.3"/>
    <row r="240" ht="14.1" customHeight="1" x14ac:dyDescent="0.3"/>
    <row r="241" ht="14.1" customHeight="1" x14ac:dyDescent="0.3"/>
    <row r="242" ht="14.1" customHeight="1" x14ac:dyDescent="0.3"/>
    <row r="243" ht="14.1" customHeight="1" x14ac:dyDescent="0.3"/>
    <row r="244" ht="14.1" customHeight="1" x14ac:dyDescent="0.3"/>
    <row r="245" ht="14.1" customHeight="1" x14ac:dyDescent="0.3"/>
    <row r="246" ht="14.1" customHeight="1" x14ac:dyDescent="0.3"/>
    <row r="247" ht="14.1" customHeight="1" x14ac:dyDescent="0.3"/>
    <row r="248" ht="14.1" customHeight="1" x14ac:dyDescent="0.3"/>
    <row r="249" ht="14.1" customHeight="1" x14ac:dyDescent="0.3"/>
    <row r="250" ht="14.1" customHeight="1" x14ac:dyDescent="0.3"/>
    <row r="251" ht="14.1" customHeight="1" x14ac:dyDescent="0.3"/>
    <row r="252" ht="14.1" customHeight="1" x14ac:dyDescent="0.3"/>
    <row r="253" ht="14.1" customHeight="1" x14ac:dyDescent="0.3"/>
    <row r="254" ht="14.1" customHeight="1" x14ac:dyDescent="0.3"/>
    <row r="255" ht="14.1" customHeight="1" x14ac:dyDescent="0.3"/>
    <row r="256" ht="14.1" customHeight="1" x14ac:dyDescent="0.3"/>
    <row r="257" ht="14.1" customHeight="1" x14ac:dyDescent="0.3"/>
    <row r="258" ht="14.1" customHeight="1" x14ac:dyDescent="0.3"/>
    <row r="259" ht="14.1" customHeight="1" x14ac:dyDescent="0.3"/>
    <row r="260" ht="14.1" customHeight="1" x14ac:dyDescent="0.3"/>
    <row r="261" ht="14.1" customHeight="1" x14ac:dyDescent="0.3"/>
    <row r="262" ht="14.1" customHeight="1" x14ac:dyDescent="0.3"/>
    <row r="263" ht="14.1" customHeight="1" x14ac:dyDescent="0.3"/>
    <row r="264" ht="14.1" customHeight="1" x14ac:dyDescent="0.3"/>
    <row r="265" ht="14.1" customHeight="1" x14ac:dyDescent="0.3"/>
    <row r="266" ht="14.1" customHeight="1" x14ac:dyDescent="0.3"/>
    <row r="267" ht="14.1" customHeight="1" x14ac:dyDescent="0.3"/>
    <row r="268" ht="14.1" customHeight="1" x14ac:dyDescent="0.3"/>
    <row r="269" ht="14.1" customHeight="1" x14ac:dyDescent="0.3"/>
    <row r="270" ht="14.1" customHeight="1" x14ac:dyDescent="0.3"/>
    <row r="271" ht="14.1" customHeight="1" x14ac:dyDescent="0.3"/>
    <row r="272" ht="14.1" customHeight="1" x14ac:dyDescent="0.3"/>
    <row r="273" ht="14.1" customHeight="1" x14ac:dyDescent="0.3"/>
    <row r="274" ht="14.1" customHeight="1" x14ac:dyDescent="0.3"/>
    <row r="275" ht="14.1" customHeight="1" x14ac:dyDescent="0.3"/>
    <row r="276" ht="14.1" customHeight="1" x14ac:dyDescent="0.3"/>
    <row r="277" ht="14.1" customHeight="1" x14ac:dyDescent="0.3"/>
    <row r="278" ht="14.1" customHeight="1" x14ac:dyDescent="0.3"/>
    <row r="279" ht="14.1" customHeight="1" x14ac:dyDescent="0.3"/>
    <row r="280" ht="14.1" customHeight="1" x14ac:dyDescent="0.3"/>
    <row r="281" ht="14.1" customHeight="1" x14ac:dyDescent="0.3"/>
    <row r="282" ht="14.1" customHeight="1" x14ac:dyDescent="0.3"/>
    <row r="283" ht="14.1" customHeight="1" x14ac:dyDescent="0.3"/>
    <row r="284" ht="14.1" customHeight="1" x14ac:dyDescent="0.3"/>
    <row r="285" ht="14.1" customHeight="1" x14ac:dyDescent="0.3"/>
    <row r="286" ht="14.1" customHeight="1" x14ac:dyDescent="0.3"/>
    <row r="287" ht="14.1" customHeight="1" x14ac:dyDescent="0.3"/>
    <row r="288" ht="14.1" customHeight="1" x14ac:dyDescent="0.3"/>
    <row r="289" ht="14.1" customHeight="1" x14ac:dyDescent="0.3"/>
    <row r="290" ht="14.1" customHeight="1" x14ac:dyDescent="0.3"/>
    <row r="291" ht="14.1" customHeight="1" x14ac:dyDescent="0.3"/>
    <row r="292" ht="14.1" customHeight="1" x14ac:dyDescent="0.3"/>
    <row r="293" ht="14.1" customHeight="1" x14ac:dyDescent="0.3"/>
    <row r="294" ht="14.1" customHeight="1" x14ac:dyDescent="0.3"/>
    <row r="295" ht="14.1" customHeight="1" x14ac:dyDescent="0.3"/>
    <row r="296" ht="14.1" customHeight="1" x14ac:dyDescent="0.3"/>
    <row r="297" ht="14.1" customHeight="1" x14ac:dyDescent="0.3"/>
    <row r="298" ht="14.1" customHeight="1" x14ac:dyDescent="0.3"/>
    <row r="299" ht="14.1" customHeight="1" x14ac:dyDescent="0.3"/>
    <row r="300" ht="14.1" customHeight="1" x14ac:dyDescent="0.3"/>
    <row r="301" ht="14.1" customHeight="1" x14ac:dyDescent="0.3"/>
    <row r="302" ht="14.1" customHeight="1" x14ac:dyDescent="0.3"/>
    <row r="303" ht="14.1" customHeight="1" x14ac:dyDescent="0.3"/>
    <row r="304" ht="14.1" customHeight="1" x14ac:dyDescent="0.3"/>
    <row r="305" ht="14.1" customHeight="1" x14ac:dyDescent="0.3"/>
    <row r="306" ht="14.1" customHeight="1" x14ac:dyDescent="0.3"/>
    <row r="307" ht="14.1" customHeight="1" x14ac:dyDescent="0.3"/>
    <row r="308" ht="14.1" customHeight="1" x14ac:dyDescent="0.3"/>
    <row r="309" ht="14.1" customHeight="1" x14ac:dyDescent="0.3"/>
    <row r="310" ht="14.1" customHeight="1" x14ac:dyDescent="0.3"/>
    <row r="311" ht="14.1" customHeight="1" x14ac:dyDescent="0.3"/>
    <row r="312" ht="14.1" customHeight="1" x14ac:dyDescent="0.3"/>
    <row r="313" ht="14.1" customHeight="1" x14ac:dyDescent="0.3"/>
    <row r="314" ht="14.1" customHeight="1" x14ac:dyDescent="0.3"/>
    <row r="315" ht="14.1" customHeight="1" x14ac:dyDescent="0.3"/>
    <row r="316" ht="14.1" customHeight="1" x14ac:dyDescent="0.3"/>
    <row r="317" ht="14.1" customHeight="1" x14ac:dyDescent="0.3"/>
    <row r="318" ht="14.1" customHeight="1" x14ac:dyDescent="0.3"/>
    <row r="319" ht="14.1" customHeight="1" x14ac:dyDescent="0.3"/>
    <row r="320" ht="14.1" customHeight="1" x14ac:dyDescent="0.3"/>
    <row r="321" ht="14.1" customHeight="1" x14ac:dyDescent="0.3"/>
    <row r="322" ht="14.1" customHeight="1" x14ac:dyDescent="0.3"/>
    <row r="323" ht="14.1" customHeight="1" x14ac:dyDescent="0.3"/>
    <row r="324" ht="14.1" customHeight="1" x14ac:dyDescent="0.3"/>
    <row r="325" ht="14.1" customHeight="1" x14ac:dyDescent="0.3"/>
    <row r="326" ht="14.1" customHeight="1" x14ac:dyDescent="0.3"/>
    <row r="327" ht="14.1" customHeight="1" x14ac:dyDescent="0.3"/>
    <row r="328" ht="14.1" customHeight="1" x14ac:dyDescent="0.3"/>
    <row r="329" ht="14.1" customHeight="1" x14ac:dyDescent="0.3"/>
    <row r="330" ht="14.1" customHeight="1" x14ac:dyDescent="0.3"/>
    <row r="331" ht="14.1" customHeight="1" x14ac:dyDescent="0.3"/>
    <row r="332" ht="14.1" customHeight="1" x14ac:dyDescent="0.3"/>
    <row r="333" ht="14.1" customHeight="1" x14ac:dyDescent="0.3"/>
    <row r="334" ht="14.1" customHeight="1" x14ac:dyDescent="0.3"/>
    <row r="335" ht="14.1" customHeight="1" x14ac:dyDescent="0.3"/>
    <row r="336" ht="14.1" customHeight="1" x14ac:dyDescent="0.3"/>
    <row r="337" ht="14.1" customHeight="1" x14ac:dyDescent="0.3"/>
    <row r="338" ht="14.1" customHeight="1" x14ac:dyDescent="0.3"/>
    <row r="339" ht="14.1" customHeight="1" x14ac:dyDescent="0.3"/>
    <row r="340" ht="14.1" customHeight="1" x14ac:dyDescent="0.3"/>
    <row r="341" ht="14.1" customHeight="1" x14ac:dyDescent="0.3"/>
    <row r="342" ht="14.1" customHeight="1" x14ac:dyDescent="0.3"/>
    <row r="343" ht="14.1" customHeight="1" x14ac:dyDescent="0.3"/>
    <row r="344" ht="14.1" customHeight="1" x14ac:dyDescent="0.3"/>
    <row r="345" ht="14.1" customHeight="1" x14ac:dyDescent="0.3"/>
    <row r="346" ht="14.1" customHeight="1" x14ac:dyDescent="0.3"/>
    <row r="347" ht="14.1" customHeight="1" x14ac:dyDescent="0.3"/>
    <row r="348" ht="14.1" customHeight="1" x14ac:dyDescent="0.3"/>
    <row r="349" ht="14.1" customHeight="1" x14ac:dyDescent="0.3"/>
    <row r="350" ht="14.1" customHeight="1" x14ac:dyDescent="0.3"/>
    <row r="351" ht="14.1" customHeight="1" x14ac:dyDescent="0.3"/>
    <row r="352" ht="14.1" customHeight="1" x14ac:dyDescent="0.3"/>
    <row r="353" ht="14.1" customHeight="1" x14ac:dyDescent="0.3"/>
    <row r="354" ht="14.1" customHeight="1" x14ac:dyDescent="0.3"/>
    <row r="355" ht="14.1" customHeight="1" x14ac:dyDescent="0.3"/>
    <row r="356" ht="14.1" customHeight="1" x14ac:dyDescent="0.3"/>
    <row r="357" ht="14.1" customHeight="1" x14ac:dyDescent="0.3"/>
    <row r="358" ht="14.1" customHeight="1" x14ac:dyDescent="0.3"/>
    <row r="359" ht="14.1" customHeight="1" x14ac:dyDescent="0.3"/>
    <row r="360" ht="14.1" customHeight="1" x14ac:dyDescent="0.3"/>
    <row r="361" ht="14.1" customHeight="1" x14ac:dyDescent="0.3"/>
    <row r="362" ht="14.1" customHeight="1" x14ac:dyDescent="0.3"/>
    <row r="363" ht="14.1" customHeight="1" x14ac:dyDescent="0.3"/>
    <row r="364" ht="14.1" customHeight="1" x14ac:dyDescent="0.3"/>
    <row r="365" ht="14.1" customHeight="1" x14ac:dyDescent="0.3"/>
    <row r="366" ht="14.1" customHeight="1" x14ac:dyDescent="0.3"/>
    <row r="367" ht="14.1" customHeight="1" x14ac:dyDescent="0.3"/>
    <row r="368" ht="14.1" customHeight="1" x14ac:dyDescent="0.3"/>
    <row r="369" ht="14.1" customHeight="1" x14ac:dyDescent="0.3"/>
    <row r="370" ht="14.1" customHeight="1" x14ac:dyDescent="0.3"/>
    <row r="371" ht="14.1" customHeight="1" x14ac:dyDescent="0.3"/>
    <row r="372" ht="14.1" customHeight="1" x14ac:dyDescent="0.3"/>
    <row r="373" ht="14.1" customHeight="1" x14ac:dyDescent="0.3"/>
    <row r="374" ht="14.1" customHeight="1" x14ac:dyDescent="0.3"/>
    <row r="375" ht="14.1" customHeight="1" x14ac:dyDescent="0.3"/>
    <row r="376" ht="14.1" customHeight="1" x14ac:dyDescent="0.3"/>
    <row r="377" ht="14.1" customHeight="1" x14ac:dyDescent="0.3"/>
    <row r="378" ht="14.1" customHeight="1" x14ac:dyDescent="0.3"/>
    <row r="379" ht="14.1" customHeight="1" x14ac:dyDescent="0.3"/>
    <row r="380" ht="14.1" customHeight="1" x14ac:dyDescent="0.3"/>
    <row r="381" ht="14.1" customHeight="1" x14ac:dyDescent="0.3"/>
    <row r="382" ht="14.1" customHeight="1" x14ac:dyDescent="0.3"/>
    <row r="383" ht="14.1" customHeight="1" x14ac:dyDescent="0.3"/>
    <row r="384" ht="14.1" customHeight="1" x14ac:dyDescent="0.3"/>
    <row r="385" ht="14.1" customHeight="1" x14ac:dyDescent="0.3"/>
    <row r="386" ht="14.1" customHeight="1" x14ac:dyDescent="0.3"/>
    <row r="387" ht="14.1" customHeight="1" x14ac:dyDescent="0.3"/>
    <row r="388" ht="14.1" customHeight="1" x14ac:dyDescent="0.3"/>
    <row r="389" ht="14.1" customHeight="1" x14ac:dyDescent="0.3"/>
    <row r="390" ht="14.1" customHeight="1" x14ac:dyDescent="0.3"/>
    <row r="391" ht="14.1" customHeight="1" x14ac:dyDescent="0.3"/>
    <row r="392" ht="14.1" customHeight="1" x14ac:dyDescent="0.3"/>
    <row r="393" ht="14.1" customHeight="1" x14ac:dyDescent="0.3"/>
    <row r="394" ht="14.1" customHeight="1" x14ac:dyDescent="0.3"/>
    <row r="395" ht="14.1" customHeight="1" x14ac:dyDescent="0.3"/>
    <row r="396" ht="14.1" customHeight="1" x14ac:dyDescent="0.3"/>
    <row r="397" ht="14.1" customHeight="1" x14ac:dyDescent="0.3"/>
    <row r="398" ht="14.1" customHeight="1" x14ac:dyDescent="0.3"/>
    <row r="399" ht="14.1" customHeight="1" x14ac:dyDescent="0.3"/>
    <row r="400" ht="14.1" customHeight="1" x14ac:dyDescent="0.3"/>
    <row r="401" ht="14.1" customHeight="1" x14ac:dyDescent="0.3"/>
    <row r="402" ht="14.1" customHeight="1" x14ac:dyDescent="0.3"/>
    <row r="403" ht="14.1" customHeight="1" x14ac:dyDescent="0.3"/>
    <row r="404" ht="14.1" customHeight="1" x14ac:dyDescent="0.3"/>
    <row r="405" ht="14.1" customHeight="1" x14ac:dyDescent="0.3"/>
    <row r="406" ht="14.1" customHeight="1" x14ac:dyDescent="0.3"/>
    <row r="407" ht="14.1" customHeight="1" x14ac:dyDescent="0.3"/>
    <row r="408" ht="14.1" customHeight="1" x14ac:dyDescent="0.3"/>
    <row r="409" ht="14.1" customHeight="1" x14ac:dyDescent="0.3"/>
    <row r="410" ht="14.1" customHeight="1" x14ac:dyDescent="0.3"/>
    <row r="411" ht="14.1" customHeight="1" x14ac:dyDescent="0.3"/>
    <row r="412" ht="14.1" customHeight="1" x14ac:dyDescent="0.3"/>
    <row r="413" ht="14.1" customHeight="1" x14ac:dyDescent="0.3"/>
    <row r="414" ht="14.1" customHeight="1" x14ac:dyDescent="0.3"/>
    <row r="415" ht="14.1" customHeight="1" x14ac:dyDescent="0.3"/>
    <row r="416" ht="14.1" customHeight="1" x14ac:dyDescent="0.3"/>
    <row r="417" ht="14.1" customHeight="1" x14ac:dyDescent="0.3"/>
    <row r="418" ht="14.1" customHeight="1" x14ac:dyDescent="0.3"/>
    <row r="419" ht="14.1" customHeight="1" x14ac:dyDescent="0.3"/>
    <row r="420" ht="14.1" customHeight="1" x14ac:dyDescent="0.3"/>
    <row r="421" ht="14.1" customHeight="1" x14ac:dyDescent="0.3"/>
    <row r="422" ht="14.1" customHeight="1" x14ac:dyDescent="0.3"/>
    <row r="423" ht="14.1" customHeight="1" x14ac:dyDescent="0.3"/>
    <row r="424" ht="14.1" customHeight="1" x14ac:dyDescent="0.3"/>
    <row r="425" ht="14.1" customHeight="1" x14ac:dyDescent="0.3"/>
    <row r="426" ht="14.1" customHeight="1" x14ac:dyDescent="0.3"/>
    <row r="427" ht="14.1" customHeight="1" x14ac:dyDescent="0.3"/>
    <row r="428" ht="14.1" customHeight="1" x14ac:dyDescent="0.3"/>
    <row r="429" ht="14.1" customHeight="1" x14ac:dyDescent="0.3"/>
    <row r="430" ht="14.1" customHeight="1" x14ac:dyDescent="0.3"/>
    <row r="431" ht="14.1" customHeight="1" x14ac:dyDescent="0.3"/>
    <row r="432" ht="14.1" customHeight="1" x14ac:dyDescent="0.3"/>
    <row r="433" ht="14.1" customHeight="1" x14ac:dyDescent="0.3"/>
    <row r="434" ht="14.1" customHeight="1" x14ac:dyDescent="0.3"/>
    <row r="435" ht="14.1" customHeight="1" x14ac:dyDescent="0.3"/>
    <row r="436" ht="14.1" customHeight="1" x14ac:dyDescent="0.3"/>
    <row r="437" ht="14.1" customHeight="1" x14ac:dyDescent="0.3"/>
    <row r="438" ht="14.1" customHeight="1" x14ac:dyDescent="0.3"/>
    <row r="439" ht="14.1" customHeight="1" x14ac:dyDescent="0.3"/>
    <row r="440" ht="14.1" customHeight="1" x14ac:dyDescent="0.3"/>
    <row r="441" ht="14.1" customHeight="1" x14ac:dyDescent="0.3"/>
    <row r="442" ht="14.1" customHeight="1" x14ac:dyDescent="0.3"/>
    <row r="443" ht="14.1" customHeight="1" x14ac:dyDescent="0.3"/>
    <row r="444" ht="14.1" customHeight="1" x14ac:dyDescent="0.3"/>
    <row r="445" ht="14.1" customHeight="1" x14ac:dyDescent="0.3"/>
    <row r="446" ht="14.1" customHeight="1" x14ac:dyDescent="0.3"/>
    <row r="447" ht="14.1" customHeight="1" x14ac:dyDescent="0.3"/>
    <row r="448" ht="14.1" customHeight="1" x14ac:dyDescent="0.3"/>
    <row r="449" ht="14.1" customHeight="1" x14ac:dyDescent="0.3"/>
    <row r="450" ht="14.1" customHeight="1" x14ac:dyDescent="0.3"/>
    <row r="451" ht="14.1" customHeight="1" x14ac:dyDescent="0.3"/>
    <row r="452" ht="14.1" customHeight="1" x14ac:dyDescent="0.3"/>
    <row r="453" ht="14.1" customHeight="1" x14ac:dyDescent="0.3"/>
    <row r="454" ht="14.1" customHeight="1" x14ac:dyDescent="0.3"/>
    <row r="455" ht="14.1" customHeight="1" x14ac:dyDescent="0.3"/>
    <row r="456" ht="14.1" customHeight="1" x14ac:dyDescent="0.3"/>
    <row r="457" ht="14.1" customHeight="1" x14ac:dyDescent="0.3"/>
    <row r="458" ht="14.1" customHeight="1" x14ac:dyDescent="0.3"/>
    <row r="459" ht="14.1" customHeight="1" x14ac:dyDescent="0.3"/>
    <row r="460" ht="14.1" customHeight="1" x14ac:dyDescent="0.3"/>
    <row r="461" ht="14.1" customHeight="1" x14ac:dyDescent="0.3"/>
    <row r="462" ht="14.1" customHeight="1" x14ac:dyDescent="0.3"/>
    <row r="463" ht="14.1" customHeight="1" x14ac:dyDescent="0.3"/>
    <row r="464" ht="14.1" customHeight="1" x14ac:dyDescent="0.3"/>
    <row r="465" ht="14.1" customHeight="1" x14ac:dyDescent="0.3"/>
    <row r="466" ht="14.1" customHeight="1" x14ac:dyDescent="0.3"/>
    <row r="467" ht="14.1" customHeight="1" x14ac:dyDescent="0.3"/>
    <row r="468" ht="14.1" customHeight="1" x14ac:dyDescent="0.3"/>
  </sheetData>
  <mergeCells count="25">
    <mergeCell ref="G98:G99"/>
    <mergeCell ref="H98:H99"/>
    <mergeCell ref="B40:C40"/>
    <mergeCell ref="B41:C41"/>
    <mergeCell ref="C46:P46"/>
    <mergeCell ref="C47:P47"/>
    <mergeCell ref="C48:P48"/>
    <mergeCell ref="C49:P49"/>
    <mergeCell ref="C50:P50"/>
    <mergeCell ref="C51:P51"/>
    <mergeCell ref="C52:P52"/>
    <mergeCell ref="C53:P53"/>
    <mergeCell ref="C54:P54"/>
    <mergeCell ref="K4:K5"/>
    <mergeCell ref="N4:N5"/>
    <mergeCell ref="O4:O5"/>
    <mergeCell ref="P4:P5"/>
    <mergeCell ref="B35:C35"/>
    <mergeCell ref="H4:H5"/>
    <mergeCell ref="I4:I5"/>
    <mergeCell ref="B36:C36"/>
    <mergeCell ref="B4:C5"/>
    <mergeCell ref="D4:D5"/>
    <mergeCell ref="E4:E5"/>
    <mergeCell ref="F4:F5"/>
  </mergeCells>
  <phoneticPr fontId="1" type="noConversion"/>
  <conditionalFormatting sqref="P31 I21:I23 J21:P25 B21:H25 B7:P20 G6:P6 B6 E6">
    <cfRule type="expression" dxfId="5" priority="2">
      <formula>#REF!=2</formula>
    </cfRule>
  </conditionalFormatting>
  <conditionalFormatting sqref="P31 N6:N25">
    <cfRule type="expression" dxfId="4" priority="1">
      <formula>#REF!=1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9473" r:id="rId3" name="Drop Down 1">
              <controlPr defaultSize="0" autoLine="0" autoPict="0">
                <anchor moveWithCells="1">
                  <from>
                    <xdr:col>17</xdr:col>
                    <xdr:colOff>9525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74" r:id="rId4" name="Drop Down 2">
              <controlPr defaultSize="0" autoLine="0" autoPict="0">
                <anchor moveWithCells="1">
                  <from>
                    <xdr:col>17</xdr:col>
                    <xdr:colOff>9525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75" r:id="rId5" name="Drop Down 3">
              <controlPr defaultSize="0" autoLine="0" autoPict="0">
                <anchor moveWithCells="1">
                  <from>
                    <xdr:col>17</xdr:col>
                    <xdr:colOff>9525</xdr:colOff>
                    <xdr:row>29</xdr:row>
                    <xdr:rowOff>0</xdr:rowOff>
                  </from>
                  <to>
                    <xdr:col>19</xdr:col>
                    <xdr:colOff>76200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76" r:id="rId6" name="Drop Down 4">
              <controlPr defaultSize="0" autoLine="0" autoPict="0">
                <anchor moveWithCells="1">
                  <from>
                    <xdr:col>17</xdr:col>
                    <xdr:colOff>9525</xdr:colOff>
                    <xdr:row>31</xdr:row>
                    <xdr:rowOff>0</xdr:rowOff>
                  </from>
                  <to>
                    <xdr:col>19</xdr:col>
                    <xdr:colOff>76200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8" tint="-0.249977111117893"/>
  </sheetPr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2</v>
      </c>
      <c r="B2">
        <v>101</v>
      </c>
      <c r="C2">
        <v>7</v>
      </c>
      <c r="D2">
        <v>292</v>
      </c>
      <c r="E2" s="40" t="s">
        <v>55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39997558519241921"/>
  </sheetPr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2</v>
      </c>
      <c r="B2">
        <v>24</v>
      </c>
      <c r="C2">
        <v>14</v>
      </c>
      <c r="D2">
        <v>24</v>
      </c>
      <c r="E2" t="s">
        <v>72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338D"/>
    <pageSetUpPr fitToPage="1"/>
  </sheetPr>
  <dimension ref="B1:V35"/>
  <sheetViews>
    <sheetView showGridLines="0" zoomScale="85" zoomScaleNormal="85" workbookViewId="0">
      <selection activeCell="I19" sqref="I19"/>
    </sheetView>
  </sheetViews>
  <sheetFormatPr defaultColWidth="9" defaultRowHeight="14.1" customHeight="1" x14ac:dyDescent="0.3"/>
  <cols>
    <col min="1" max="1" width="1.625" style="159" customWidth="1"/>
    <col min="2" max="2" width="20.625" style="159" customWidth="1"/>
    <col min="3" max="8" width="9.625" style="159" customWidth="1"/>
    <col min="9" max="12" width="9.625" style="108" customWidth="1"/>
    <col min="13" max="14" width="11.875" style="159" bestFit="1" customWidth="1"/>
    <col min="15" max="16384" width="9" style="159"/>
  </cols>
  <sheetData>
    <row r="1" spans="2:22" s="153" customFormat="1" ht="30" customHeight="1" x14ac:dyDescent="0.3">
      <c r="B1" s="254" t="str">
        <f>"Project"&amp;" "&amp;Title!L6</f>
        <v>Project SVG1</v>
      </c>
      <c r="C1" s="255"/>
      <c r="D1" s="255"/>
      <c r="E1" s="255"/>
      <c r="F1" s="255"/>
      <c r="G1" s="255"/>
      <c r="H1" s="255"/>
      <c r="I1" s="320"/>
      <c r="J1" s="320"/>
      <c r="K1" s="320" t="str">
        <f>Des!C12</f>
        <v>DRAFT - For Discussion Purposes Only</v>
      </c>
      <c r="L1" s="320"/>
    </row>
    <row r="2" spans="2:22" s="153" customFormat="1" ht="20.100000000000001" customHeight="1" x14ac:dyDescent="0.3">
      <c r="B2" s="257" t="s">
        <v>173</v>
      </c>
      <c r="C2" s="257"/>
      <c r="D2" s="257"/>
      <c r="E2" s="257"/>
      <c r="F2" s="257"/>
      <c r="G2" s="257"/>
      <c r="H2" s="257"/>
      <c r="I2" s="321"/>
      <c r="J2" s="321"/>
      <c r="K2" s="321"/>
      <c r="L2" s="321"/>
    </row>
    <row r="3" spans="2:22" s="153" customFormat="1" ht="14.1" customHeight="1" x14ac:dyDescent="0.3">
      <c r="C3" s="38"/>
      <c r="D3" s="38"/>
      <c r="E3" s="38"/>
      <c r="F3" s="38"/>
      <c r="I3" s="37"/>
      <c r="J3" s="37"/>
      <c r="K3" s="37"/>
      <c r="L3" s="37"/>
    </row>
    <row r="4" spans="2:22" ht="13.5" customHeight="1" x14ac:dyDescent="0.3">
      <c r="B4" s="258" t="s">
        <v>174</v>
      </c>
      <c r="C4" s="295"/>
      <c r="D4" s="295"/>
      <c r="E4" s="295"/>
      <c r="F4" s="295"/>
      <c r="G4" s="295"/>
      <c r="H4" s="295"/>
      <c r="I4" s="295"/>
      <c r="J4" s="295"/>
      <c r="K4" s="295"/>
      <c r="L4" s="297"/>
    </row>
    <row r="5" spans="2:22" ht="13.5" customHeight="1" x14ac:dyDescent="0.3">
      <c r="B5" s="298" t="str">
        <f>unit</f>
        <v>KRW Million</v>
      </c>
      <c r="C5" s="299"/>
      <c r="D5" s="299">
        <v>2014</v>
      </c>
      <c r="E5" s="299">
        <v>2015</v>
      </c>
      <c r="F5" s="299">
        <f>G5-1</f>
        <v>2016</v>
      </c>
      <c r="G5" s="418">
        <f>YEAR(Des!C8)</f>
        <v>2017</v>
      </c>
      <c r="H5" s="301">
        <f>G5+1</f>
        <v>2018</v>
      </c>
      <c r="I5" s="301">
        <f>H5+1</f>
        <v>2019</v>
      </c>
      <c r="J5" s="301">
        <f>I5+1</f>
        <v>2020</v>
      </c>
      <c r="K5" s="301">
        <f>J5+1</f>
        <v>2021</v>
      </c>
      <c r="L5" s="302">
        <f>K5+1</f>
        <v>2022</v>
      </c>
    </row>
    <row r="6" spans="2:22" s="65" customFormat="1" ht="13.5" customHeight="1" x14ac:dyDescent="0.3">
      <c r="B6" s="303" t="s">
        <v>152</v>
      </c>
      <c r="C6" s="304"/>
      <c r="D6" s="305">
        <f>IS!D5/10^6</f>
        <v>41447.713943000002</v>
      </c>
      <c r="E6" s="305">
        <f>IS!E5/10^6</f>
        <v>61966.745769000001</v>
      </c>
      <c r="F6" s="305">
        <f>IS!F5/10^6</f>
        <v>81488.230867000006</v>
      </c>
      <c r="G6" s="305">
        <f>IS!G5/10^6</f>
        <v>92333.965525000007</v>
      </c>
      <c r="H6" s="306">
        <f>'모델별 Mapping'!Q185/10^6</f>
        <v>138011.22622905931</v>
      </c>
      <c r="I6" s="306">
        <f>'모델별 Mapping'!T185/10^6</f>
        <v>182151.03452706241</v>
      </c>
      <c r="J6" s="306">
        <f>'모델별 Mapping'!W185/10^6</f>
        <v>203944.81849898878</v>
      </c>
      <c r="K6" s="306">
        <f>'모델별 Mapping'!Z185/10^6</f>
        <v>261216.68535602515</v>
      </c>
      <c r="L6" s="306">
        <f>'모델별 Mapping'!AC185/10^6</f>
        <v>300836.4286959095</v>
      </c>
      <c r="M6" s="1534">
        <f>RATE(5,0,-H6,L6)</f>
        <v>0.16864660557481045</v>
      </c>
      <c r="N6" s="163"/>
    </row>
    <row r="7" spans="2:22" s="85" customFormat="1" ht="13.5" customHeight="1" x14ac:dyDescent="0.3">
      <c r="B7" s="308" t="s">
        <v>127</v>
      </c>
      <c r="C7" s="58"/>
      <c r="D7" s="58"/>
      <c r="E7" s="58"/>
      <c r="F7" s="58">
        <f t="shared" ref="F7:L7" si="0">F6/E6-1</f>
        <v>0.31503163278530577</v>
      </c>
      <c r="G7" s="58">
        <f t="shared" si="0"/>
        <v>0.13309571876338477</v>
      </c>
      <c r="H7" s="58">
        <f t="shared" si="0"/>
        <v>0.49469618730597986</v>
      </c>
      <c r="I7" s="58">
        <f t="shared" si="0"/>
        <v>0.31982766550268593</v>
      </c>
      <c r="J7" s="58">
        <f t="shared" si="0"/>
        <v>0.11964677570188842</v>
      </c>
      <c r="K7" s="58">
        <f t="shared" si="0"/>
        <v>0.28082040661072405</v>
      </c>
      <c r="L7" s="309">
        <f t="shared" si="0"/>
        <v>0.15167386143762074</v>
      </c>
      <c r="O7" s="1554">
        <v>61709.017138000003</v>
      </c>
      <c r="P7" s="1554">
        <v>81447.499636545457</v>
      </c>
      <c r="Q7" s="1554">
        <v>91483.174090272747</v>
      </c>
      <c r="R7" s="1554">
        <v>154181.35278957937</v>
      </c>
      <c r="S7" s="1554">
        <v>194357.52439004224</v>
      </c>
      <c r="T7" s="1554">
        <v>253491.10654243664</v>
      </c>
      <c r="U7" s="1554">
        <v>279502.71323535353</v>
      </c>
      <c r="V7" s="1554">
        <v>307288.73375564243</v>
      </c>
    </row>
    <row r="8" spans="2:22" s="85" customFormat="1" ht="13.5" customHeight="1" x14ac:dyDescent="0.3">
      <c r="B8" s="308"/>
      <c r="C8" s="57"/>
      <c r="D8" s="57"/>
      <c r="E8" s="58"/>
      <c r="F8" s="58"/>
      <c r="G8" s="58"/>
      <c r="H8" s="58"/>
      <c r="I8" s="58"/>
      <c r="J8" s="58"/>
      <c r="K8" s="58"/>
      <c r="L8" s="309"/>
    </row>
    <row r="9" spans="2:22" s="65" customFormat="1" ht="13.5" customHeight="1" x14ac:dyDescent="0.3">
      <c r="B9" s="310" t="s">
        <v>175</v>
      </c>
      <c r="C9" s="54"/>
      <c r="D9" s="90">
        <f>IS!D8/10^6</f>
        <v>29094.553833000002</v>
      </c>
      <c r="E9" s="90">
        <f>IS!E8/10^6</f>
        <v>42664.217374</v>
      </c>
      <c r="F9" s="90">
        <f>IS!F8/10^6</f>
        <v>59896.716216000001</v>
      </c>
      <c r="G9" s="90">
        <f>IS!G8/10^6</f>
        <v>66253.174562</v>
      </c>
      <c r="H9" s="90">
        <f>매출원가!H6</f>
        <v>95072.958290544586</v>
      </c>
      <c r="I9" s="90">
        <f>매출원가!I6</f>
        <v>126580.95424566427</v>
      </c>
      <c r="J9" s="90">
        <f>매출원가!J6</f>
        <v>140774.15695423083</v>
      </c>
      <c r="K9" s="90">
        <f>매출원가!K6</f>
        <v>178212.95694066191</v>
      </c>
      <c r="L9" s="267">
        <f>매출원가!L6</f>
        <v>204547.06387206799</v>
      </c>
    </row>
    <row r="10" spans="2:22" s="85" customFormat="1" ht="13.5" customHeight="1" x14ac:dyDescent="0.3">
      <c r="B10" s="308" t="s">
        <v>127</v>
      </c>
      <c r="C10" s="57"/>
      <c r="D10" s="58"/>
      <c r="E10" s="57"/>
      <c r="F10" s="57">
        <f t="shared" ref="F10:L10" si="1">F9/E9-1</f>
        <v>0.40390987817584234</v>
      </c>
      <c r="G10" s="57">
        <f t="shared" si="1"/>
        <v>0.1061236533080927</v>
      </c>
      <c r="H10" s="58">
        <f t="shared" si="1"/>
        <v>0.4349947594069612</v>
      </c>
      <c r="I10" s="58">
        <f t="shared" si="1"/>
        <v>0.33140859947610668</v>
      </c>
      <c r="J10" s="58">
        <f t="shared" si="1"/>
        <v>0.11212747441468052</v>
      </c>
      <c r="K10" s="58">
        <f t="shared" si="1"/>
        <v>0.26594938159426063</v>
      </c>
      <c r="L10" s="309">
        <f t="shared" si="1"/>
        <v>0.14776763364166801</v>
      </c>
    </row>
    <row r="11" spans="2:22" s="86" customFormat="1" ht="13.5" customHeight="1" x14ac:dyDescent="0.3">
      <c r="B11" s="312" t="s">
        <v>128</v>
      </c>
      <c r="C11" s="43"/>
      <c r="D11" s="52">
        <f t="shared" ref="D11:L11" si="2">D9/D$6</f>
        <v>0.70195798670613307</v>
      </c>
      <c r="E11" s="52">
        <f t="shared" si="2"/>
        <v>0.68850182213931199</v>
      </c>
      <c r="F11" s="52">
        <f t="shared" si="2"/>
        <v>0.73503517721178258</v>
      </c>
      <c r="G11" s="43">
        <f t="shared" si="2"/>
        <v>0.71753849393657343</v>
      </c>
      <c r="H11" s="43">
        <f t="shared" si="2"/>
        <v>0.68887844045926072</v>
      </c>
      <c r="I11" s="43">
        <f t="shared" si="2"/>
        <v>0.69492305972524127</v>
      </c>
      <c r="J11" s="43">
        <f t="shared" si="2"/>
        <v>0.69025610942368132</v>
      </c>
      <c r="K11" s="43">
        <f t="shared" si="2"/>
        <v>0.68224185869967169</v>
      </c>
      <c r="L11" s="314">
        <f t="shared" si="2"/>
        <v>0.67992784237851589</v>
      </c>
    </row>
    <row r="12" spans="2:22" s="86" customFormat="1" ht="13.5" customHeight="1" x14ac:dyDescent="0.3">
      <c r="B12" s="312"/>
      <c r="C12" s="43"/>
      <c r="D12" s="43"/>
      <c r="E12" s="52"/>
      <c r="F12" s="52"/>
      <c r="G12" s="52"/>
      <c r="H12" s="43"/>
      <c r="I12" s="43"/>
      <c r="J12" s="43"/>
      <c r="K12" s="43"/>
      <c r="L12" s="314"/>
    </row>
    <row r="13" spans="2:22" s="65" customFormat="1" ht="13.5" customHeight="1" x14ac:dyDescent="0.3">
      <c r="B13" s="315" t="s">
        <v>76</v>
      </c>
      <c r="C13" s="56"/>
      <c r="D13" s="90">
        <f t="shared" ref="D13:L13" si="3">D6-D9</f>
        <v>12353.160110000001</v>
      </c>
      <c r="E13" s="90">
        <f t="shared" si="3"/>
        <v>19302.528395000001</v>
      </c>
      <c r="F13" s="90">
        <f t="shared" si="3"/>
        <v>21591.514651000005</v>
      </c>
      <c r="G13" s="90">
        <f t="shared" si="3"/>
        <v>26080.790963000007</v>
      </c>
      <c r="H13" s="90">
        <f t="shared" si="3"/>
        <v>42938.26793851472</v>
      </c>
      <c r="I13" s="90">
        <f t="shared" si="3"/>
        <v>55570.080281398143</v>
      </c>
      <c r="J13" s="90">
        <f t="shared" si="3"/>
        <v>63170.661544757953</v>
      </c>
      <c r="K13" s="90">
        <f t="shared" si="3"/>
        <v>83003.728415363235</v>
      </c>
      <c r="L13" s="267">
        <f t="shared" si="3"/>
        <v>96289.364823841519</v>
      </c>
    </row>
    <row r="14" spans="2:22" s="85" customFormat="1" ht="13.5" customHeight="1" x14ac:dyDescent="0.3">
      <c r="B14" s="308" t="s">
        <v>127</v>
      </c>
      <c r="C14" s="58"/>
      <c r="D14" s="58"/>
      <c r="E14" s="57"/>
      <c r="F14" s="57">
        <f t="shared" ref="F14:L14" si="4">F13/E13-1</f>
        <v>0.11858478895401747</v>
      </c>
      <c r="G14" s="57">
        <f t="shared" si="4"/>
        <v>0.20791854506566931</v>
      </c>
      <c r="H14" s="58">
        <f t="shared" si="4"/>
        <v>0.6463560479983097</v>
      </c>
      <c r="I14" s="58">
        <f t="shared" si="4"/>
        <v>0.29418541895941153</v>
      </c>
      <c r="J14" s="58">
        <f t="shared" si="4"/>
        <v>0.13677470366916267</v>
      </c>
      <c r="K14" s="58">
        <f t="shared" si="4"/>
        <v>0.31396009453776363</v>
      </c>
      <c r="L14" s="309">
        <f t="shared" si="4"/>
        <v>0.16006071850164294</v>
      </c>
    </row>
    <row r="15" spans="2:22" s="86" customFormat="1" ht="13.5" customHeight="1" x14ac:dyDescent="0.3">
      <c r="B15" s="312" t="s">
        <v>128</v>
      </c>
      <c r="C15" s="43"/>
      <c r="D15" s="52">
        <f t="shared" ref="D15:L15" si="5">D13/D$6</f>
        <v>0.29804201329386693</v>
      </c>
      <c r="E15" s="52">
        <f t="shared" si="5"/>
        <v>0.31149817786068806</v>
      </c>
      <c r="F15" s="52">
        <f t="shared" si="5"/>
        <v>0.26496482278821742</v>
      </c>
      <c r="G15" s="52">
        <f t="shared" si="5"/>
        <v>0.28246150606342652</v>
      </c>
      <c r="H15" s="43">
        <f t="shared" si="5"/>
        <v>0.31112155954073933</v>
      </c>
      <c r="I15" s="43">
        <f t="shared" si="5"/>
        <v>0.30507694027475879</v>
      </c>
      <c r="J15" s="43">
        <f t="shared" si="5"/>
        <v>0.30974389057631868</v>
      </c>
      <c r="K15" s="43">
        <f t="shared" si="5"/>
        <v>0.31775814130032831</v>
      </c>
      <c r="L15" s="314">
        <f t="shared" si="5"/>
        <v>0.32007215762148411</v>
      </c>
    </row>
    <row r="16" spans="2:22" s="86" customFormat="1" ht="13.5" customHeight="1" x14ac:dyDescent="0.3">
      <c r="B16" s="312"/>
      <c r="C16" s="43"/>
      <c r="D16" s="43"/>
      <c r="E16" s="52"/>
      <c r="F16" s="52"/>
      <c r="G16" s="52"/>
      <c r="H16" s="43"/>
      <c r="I16" s="43"/>
      <c r="J16" s="43"/>
      <c r="K16" s="43"/>
      <c r="L16" s="314"/>
    </row>
    <row r="17" spans="2:13" s="65" customFormat="1" ht="13.5" customHeight="1" x14ac:dyDescent="0.3">
      <c r="B17" s="310" t="s">
        <v>179</v>
      </c>
      <c r="C17" s="54"/>
      <c r="D17" s="90">
        <f>IS!D14/10^6</f>
        <v>6260.3831689999997</v>
      </c>
      <c r="E17" s="90">
        <f>IS!E14/10^6</f>
        <v>7139.8918059999996</v>
      </c>
      <c r="F17" s="90">
        <f>IS!F14/10^6</f>
        <v>7407.6969589999999</v>
      </c>
      <c r="G17" s="90">
        <f>IS!G14/10^6</f>
        <v>10368.970547999999</v>
      </c>
      <c r="H17" s="90">
        <f>'SG&amp;A'!H6</f>
        <v>9842.4628749312888</v>
      </c>
      <c r="I17" s="90">
        <f>'SG&amp;A'!I6</f>
        <v>11618.075060446225</v>
      </c>
      <c r="J17" s="90">
        <f>'SG&amp;A'!J6</f>
        <v>13319.839572860108</v>
      </c>
      <c r="K17" s="90">
        <f>'SG&amp;A'!K6</f>
        <v>15631.564503681235</v>
      </c>
      <c r="L17" s="267">
        <f>'SG&amp;A'!L6</f>
        <v>17765.693422261098</v>
      </c>
    </row>
    <row r="18" spans="2:13" s="85" customFormat="1" ht="13.5" customHeight="1" x14ac:dyDescent="0.3">
      <c r="B18" s="308" t="s">
        <v>127</v>
      </c>
      <c r="C18" s="58"/>
      <c r="D18" s="57" t="e">
        <f t="shared" ref="D18" si="6">D17/C17-1</f>
        <v>#DIV/0!</v>
      </c>
      <c r="E18" s="57">
        <f t="shared" ref="E18" si="7">E17/D17-1</f>
        <v>0.14048798823610786</v>
      </c>
      <c r="F18" s="57">
        <f t="shared" ref="F18:L18" si="8">F17/E17-1</f>
        <v>3.7508292881266225E-2</v>
      </c>
      <c r="G18" s="57">
        <f t="shared" si="8"/>
        <v>0.39975630825477992</v>
      </c>
      <c r="H18" s="58">
        <f t="shared" si="8"/>
        <v>-5.0777236817425964E-2</v>
      </c>
      <c r="I18" s="58">
        <f t="shared" si="8"/>
        <v>0.18040323931903401</v>
      </c>
      <c r="J18" s="58">
        <f t="shared" si="8"/>
        <v>0.14647559974952706</v>
      </c>
      <c r="K18" s="58">
        <f t="shared" si="8"/>
        <v>0.17355501304470589</v>
      </c>
      <c r="L18" s="309">
        <f t="shared" si="8"/>
        <v>0.13652689198686896</v>
      </c>
    </row>
    <row r="19" spans="2:13" s="86" customFormat="1" ht="13.5" customHeight="1" x14ac:dyDescent="0.3">
      <c r="B19" s="312" t="s">
        <v>47</v>
      </c>
      <c r="C19" s="43"/>
      <c r="D19" s="52">
        <f t="shared" ref="D19:L19" si="9">D17/D$6</f>
        <v>0.15104290619283478</v>
      </c>
      <c r="E19" s="52">
        <f t="shared" si="9"/>
        <v>0.11522134521338477</v>
      </c>
      <c r="F19" s="52">
        <f t="shared" si="9"/>
        <v>9.0905114520038841E-2</v>
      </c>
      <c r="G19" s="52">
        <f t="shared" si="9"/>
        <v>0.11229855112409891</v>
      </c>
      <c r="H19" s="43">
        <f t="shared" si="9"/>
        <v>7.1316393193953692E-2</v>
      </c>
      <c r="I19" s="43">
        <f t="shared" si="9"/>
        <v>6.3782646585628433E-2</v>
      </c>
      <c r="J19" s="43">
        <f t="shared" si="9"/>
        <v>6.5310997704637205E-2</v>
      </c>
      <c r="K19" s="43">
        <f t="shared" si="9"/>
        <v>5.9841370708675068E-2</v>
      </c>
      <c r="L19" s="314">
        <f t="shared" si="9"/>
        <v>5.9054328956347761E-2</v>
      </c>
    </row>
    <row r="20" spans="2:13" s="86" customFormat="1" ht="13.5" customHeight="1" x14ac:dyDescent="0.3">
      <c r="B20" s="312"/>
      <c r="C20" s="43"/>
      <c r="D20" s="43"/>
      <c r="E20" s="52"/>
      <c r="F20" s="52"/>
      <c r="G20" s="52"/>
      <c r="H20" s="43"/>
      <c r="I20" s="43"/>
      <c r="J20" s="43"/>
      <c r="K20" s="43"/>
      <c r="L20" s="314"/>
    </row>
    <row r="21" spans="2:13" s="65" customFormat="1" ht="13.5" customHeight="1" x14ac:dyDescent="0.3">
      <c r="B21" s="315" t="s">
        <v>180</v>
      </c>
      <c r="C21" s="56"/>
      <c r="D21" s="90">
        <f t="shared" ref="D21:L21" si="10">D13-D17</f>
        <v>6092.776941000001</v>
      </c>
      <c r="E21" s="90">
        <f t="shared" si="10"/>
        <v>12162.636589000002</v>
      </c>
      <c r="F21" s="90">
        <f t="shared" si="10"/>
        <v>14183.817692000004</v>
      </c>
      <c r="G21" s="90">
        <f t="shared" si="10"/>
        <v>15711.820415000007</v>
      </c>
      <c r="H21" s="90">
        <f t="shared" si="10"/>
        <v>33095.80506358343</v>
      </c>
      <c r="I21" s="90">
        <f t="shared" si="10"/>
        <v>43952.00522095192</v>
      </c>
      <c r="J21" s="90">
        <f t="shared" si="10"/>
        <v>49850.821971897843</v>
      </c>
      <c r="K21" s="90">
        <f t="shared" si="10"/>
        <v>67372.163911682001</v>
      </c>
      <c r="L21" s="267">
        <f t="shared" si="10"/>
        <v>78523.671401580417</v>
      </c>
    </row>
    <row r="22" spans="2:13" s="85" customFormat="1" ht="13.5" customHeight="1" x14ac:dyDescent="0.3">
      <c r="B22" s="308" t="s">
        <v>37</v>
      </c>
      <c r="C22" s="58"/>
      <c r="D22" s="58"/>
      <c r="E22" s="57"/>
      <c r="F22" s="57">
        <f t="shared" ref="F22:L22" si="11">F21/E21-1</f>
        <v>0.1661795194002571</v>
      </c>
      <c r="G22" s="57">
        <f t="shared" si="11"/>
        <v>0.10772859297689874</v>
      </c>
      <c r="H22" s="57">
        <f t="shared" si="11"/>
        <v>1.1064271478044012</v>
      </c>
      <c r="I22" s="58">
        <f t="shared" si="11"/>
        <v>0.32802344999650668</v>
      </c>
      <c r="J22" s="58">
        <f t="shared" si="11"/>
        <v>0.13421041250090582</v>
      </c>
      <c r="K22" s="58">
        <f t="shared" si="11"/>
        <v>0.35147548719781141</v>
      </c>
      <c r="L22" s="309">
        <f t="shared" si="11"/>
        <v>0.16552099327723679</v>
      </c>
    </row>
    <row r="23" spans="2:13" s="86" customFormat="1" ht="13.5" customHeight="1" x14ac:dyDescent="0.3">
      <c r="B23" s="312" t="s">
        <v>47</v>
      </c>
      <c r="C23" s="43"/>
      <c r="D23" s="43"/>
      <c r="E23" s="52">
        <f t="shared" ref="E23:L23" si="12">E21/E$6</f>
        <v>0.19627683264730328</v>
      </c>
      <c r="F23" s="52">
        <f t="shared" si="12"/>
        <v>0.17405970826817857</v>
      </c>
      <c r="G23" s="52">
        <f t="shared" si="12"/>
        <v>0.17016295493932762</v>
      </c>
      <c r="H23" s="52">
        <f t="shared" si="12"/>
        <v>0.23980516634678561</v>
      </c>
      <c r="I23" s="43">
        <f t="shared" si="12"/>
        <v>0.24129429368913036</v>
      </c>
      <c r="J23" s="43">
        <f t="shared" si="12"/>
        <v>0.24443289287168146</v>
      </c>
      <c r="K23" s="43">
        <f t="shared" si="12"/>
        <v>0.25791677059165324</v>
      </c>
      <c r="L23" s="314">
        <f t="shared" si="12"/>
        <v>0.26101782866513634</v>
      </c>
    </row>
    <row r="24" spans="2:13" s="86" customFormat="1" ht="13.5" customHeight="1" x14ac:dyDescent="0.3">
      <c r="B24" s="312"/>
      <c r="C24" s="43"/>
      <c r="D24" s="43"/>
      <c r="E24" s="52"/>
      <c r="F24" s="52"/>
      <c r="G24" s="43"/>
      <c r="H24" s="43"/>
      <c r="I24" s="43"/>
      <c r="J24" s="43"/>
      <c r="K24" s="43"/>
      <c r="L24" s="314"/>
    </row>
    <row r="25" spans="2:13" ht="13.5" customHeight="1" x14ac:dyDescent="0.3">
      <c r="B25" s="310" t="s">
        <v>181</v>
      </c>
      <c r="C25" s="54"/>
      <c r="D25" s="90"/>
      <c r="E25" s="90"/>
      <c r="F25" s="90">
        <f>'CapEx&amp;Dep'!F8</f>
        <v>1082.779</v>
      </c>
      <c r="G25" s="90">
        <f>'CapEx&amp;Dep'!G8</f>
        <v>1159.673888</v>
      </c>
      <c r="H25" s="90">
        <f>'CapEx&amp;Dep'!H8</f>
        <v>1099.3241781892855</v>
      </c>
      <c r="I25" s="90">
        <f>'CapEx&amp;Dep'!I8</f>
        <v>1174.6995040317347</v>
      </c>
      <c r="J25" s="90">
        <f>'CapEx&amp;Dep'!J8</f>
        <v>1432.5498773584286</v>
      </c>
      <c r="K25" s="90">
        <f>'CapEx&amp;Dep'!K8</f>
        <v>1899.2471421804044</v>
      </c>
      <c r="L25" s="267">
        <f>'CapEx&amp;Dep'!L8</f>
        <v>2179.9705785498991</v>
      </c>
    </row>
    <row r="26" spans="2:13" s="85" customFormat="1" ht="13.5" customHeight="1" x14ac:dyDescent="0.3">
      <c r="B26" s="308" t="s">
        <v>37</v>
      </c>
      <c r="C26" s="58"/>
      <c r="D26" s="58"/>
      <c r="E26" s="57"/>
      <c r="F26" s="57" t="e">
        <f t="shared" ref="F26:L26" si="13">F25/E25-1</f>
        <v>#DIV/0!</v>
      </c>
      <c r="G26" s="57">
        <f t="shared" si="13"/>
        <v>7.1016235076594603E-2</v>
      </c>
      <c r="H26" s="58">
        <f t="shared" si="13"/>
        <v>-5.2040242032865835E-2</v>
      </c>
      <c r="I26" s="58">
        <f t="shared" si="13"/>
        <v>6.8565148786776664E-2</v>
      </c>
      <c r="J26" s="58">
        <f t="shared" si="13"/>
        <v>0.21950326227406669</v>
      </c>
      <c r="K26" s="58">
        <f t="shared" si="13"/>
        <v>0.32578081377700374</v>
      </c>
      <c r="L26" s="309">
        <f t="shared" si="13"/>
        <v>0.14780774451881706</v>
      </c>
    </row>
    <row r="27" spans="2:13" s="86" customFormat="1" ht="13.5" customHeight="1" x14ac:dyDescent="0.3">
      <c r="B27" s="312" t="s">
        <v>47</v>
      </c>
      <c r="C27" s="43"/>
      <c r="D27" s="43"/>
      <c r="E27" s="52"/>
      <c r="F27" s="52">
        <f t="shared" ref="F27:L27" si="14">F25/F$6</f>
        <v>1.3287550711062119E-2</v>
      </c>
      <c r="G27" s="52">
        <f t="shared" si="14"/>
        <v>1.2559559003084418E-2</v>
      </c>
      <c r="H27" s="43">
        <f t="shared" si="14"/>
        <v>7.9654692464272477E-3</v>
      </c>
      <c r="I27" s="43">
        <f t="shared" si="14"/>
        <v>6.449041077816158E-3</v>
      </c>
      <c r="J27" s="43">
        <f t="shared" si="14"/>
        <v>7.0242033502093196E-3</v>
      </c>
      <c r="K27" s="43">
        <f t="shared" si="14"/>
        <v>7.270772690465107E-3</v>
      </c>
      <c r="L27" s="314">
        <f t="shared" si="14"/>
        <v>7.2463650363083186E-3</v>
      </c>
    </row>
    <row r="28" spans="2:13" s="86" customFormat="1" ht="13.5" customHeight="1" x14ac:dyDescent="0.3">
      <c r="B28" s="312"/>
      <c r="C28" s="43"/>
      <c r="D28" s="43"/>
      <c r="E28" s="52"/>
      <c r="F28" s="52"/>
      <c r="G28" s="52"/>
      <c r="H28" s="43"/>
      <c r="I28" s="43"/>
      <c r="J28" s="43"/>
      <c r="K28" s="43"/>
      <c r="L28" s="314"/>
    </row>
    <row r="29" spans="2:13" s="65" customFormat="1" ht="13.5" customHeight="1" x14ac:dyDescent="0.3">
      <c r="B29" s="315" t="s">
        <v>48</v>
      </c>
      <c r="C29" s="55"/>
      <c r="D29" s="90"/>
      <c r="E29" s="90"/>
      <c r="F29" s="90">
        <f t="shared" ref="F29:L29" si="15">F21+F25</f>
        <v>15266.596692000005</v>
      </c>
      <c r="G29" s="90">
        <f t="shared" si="15"/>
        <v>16871.494303000007</v>
      </c>
      <c r="H29" s="90">
        <f t="shared" si="15"/>
        <v>34195.129241772716</v>
      </c>
      <c r="I29" s="90">
        <f t="shared" si="15"/>
        <v>45126.704724983654</v>
      </c>
      <c r="J29" s="90">
        <f t="shared" si="15"/>
        <v>51283.371849256269</v>
      </c>
      <c r="K29" s="90">
        <f t="shared" si="15"/>
        <v>69271.411053862408</v>
      </c>
      <c r="L29" s="267">
        <f t="shared" si="15"/>
        <v>80703.641980130313</v>
      </c>
      <c r="M29" s="1534">
        <f>RATE(5,0,-H29,L29)</f>
        <v>0.18736919348617495</v>
      </c>
    </row>
    <row r="30" spans="2:13" s="85" customFormat="1" ht="13.5" customHeight="1" x14ac:dyDescent="0.3">
      <c r="B30" s="308" t="s">
        <v>37</v>
      </c>
      <c r="C30" s="58"/>
      <c r="D30" s="58"/>
      <c r="E30" s="57"/>
      <c r="F30" s="57" t="e">
        <f t="shared" ref="F30:L30" si="16">F29/E29-1</f>
        <v>#DIV/0!</v>
      </c>
      <c r="G30" s="57">
        <f t="shared" si="16"/>
        <v>0.10512477950249388</v>
      </c>
      <c r="H30" s="58">
        <f t="shared" si="16"/>
        <v>1.0267990865333312</v>
      </c>
      <c r="I30" s="58">
        <f t="shared" si="16"/>
        <v>0.31968223912594373</v>
      </c>
      <c r="J30" s="58">
        <f t="shared" si="16"/>
        <v>0.13643068249262336</v>
      </c>
      <c r="K30" s="58">
        <f t="shared" si="16"/>
        <v>0.35075773210624028</v>
      </c>
      <c r="L30" s="309">
        <f t="shared" si="16"/>
        <v>0.16503534073210524</v>
      </c>
    </row>
    <row r="31" spans="2:13" s="86" customFormat="1" ht="13.5" customHeight="1" x14ac:dyDescent="0.3">
      <c r="B31" s="312" t="s">
        <v>47</v>
      </c>
      <c r="C31" s="43"/>
      <c r="D31" s="43"/>
      <c r="E31" s="52"/>
      <c r="F31" s="52">
        <f t="shared" ref="F31:L31" si="17">F29/F$6</f>
        <v>0.18734725897924068</v>
      </c>
      <c r="G31" s="52">
        <f t="shared" si="17"/>
        <v>0.18272251394241204</v>
      </c>
      <c r="H31" s="43">
        <f t="shared" si="17"/>
        <v>0.24777063559321288</v>
      </c>
      <c r="I31" s="43">
        <f t="shared" si="17"/>
        <v>0.24774333476694652</v>
      </c>
      <c r="J31" s="43">
        <f t="shared" si="17"/>
        <v>0.25145709622189077</v>
      </c>
      <c r="K31" s="43">
        <f t="shared" si="17"/>
        <v>0.26518754328211835</v>
      </c>
      <c r="L31" s="314">
        <f t="shared" si="17"/>
        <v>0.26826419370144466</v>
      </c>
    </row>
    <row r="32" spans="2:13" ht="13.5" customHeight="1" thickBot="1" x14ac:dyDescent="0.35">
      <c r="B32" s="317"/>
      <c r="C32" s="318"/>
      <c r="D32" s="318"/>
      <c r="E32" s="318"/>
      <c r="F32" s="318"/>
      <c r="G32" s="318"/>
      <c r="H32" s="318"/>
      <c r="I32" s="318"/>
      <c r="J32" s="318"/>
      <c r="K32" s="318"/>
      <c r="L32" s="319"/>
    </row>
    <row r="33" spans="3:12" ht="13.5" customHeight="1" x14ac:dyDescent="0.3">
      <c r="C33" s="87"/>
      <c r="D33" s="87"/>
      <c r="E33" s="87"/>
      <c r="F33" s="87"/>
      <c r="G33" s="87"/>
      <c r="H33" s="87"/>
      <c r="I33" s="322"/>
      <c r="J33" s="322"/>
      <c r="K33" s="322"/>
      <c r="L33" s="322"/>
    </row>
    <row r="34" spans="3:12" ht="13.5" customHeight="1" x14ac:dyDescent="0.3"/>
    <row r="35" spans="3:12" ht="13.5" customHeight="1" x14ac:dyDescent="0.3">
      <c r="C35" s="87"/>
      <c r="D35" s="87"/>
      <c r="E35" s="87"/>
      <c r="F35" s="87"/>
      <c r="G35" s="87"/>
      <c r="H35" s="87"/>
      <c r="I35" s="322"/>
      <c r="J35" s="322"/>
      <c r="K35" s="322"/>
      <c r="L35" s="32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BH228"/>
  <sheetViews>
    <sheetView showGridLines="0" topLeftCell="A180" zoomScale="70" zoomScaleNormal="70" workbookViewId="0">
      <selection activeCell="I52" sqref="G45:I52"/>
    </sheetView>
  </sheetViews>
  <sheetFormatPr defaultColWidth="15.625" defaultRowHeight="13.5" outlineLevelRow="2" outlineLevelCol="1" x14ac:dyDescent="0.3"/>
  <cols>
    <col min="1" max="1" width="1.625" style="10" customWidth="1"/>
    <col min="2" max="2" width="20.625" style="847" customWidth="1"/>
    <col min="3" max="5" width="10.625" style="847" customWidth="1" outlineLevel="1"/>
    <col min="6" max="6" width="10.625" style="10" customWidth="1" outlineLevel="1"/>
    <col min="7" max="11" width="13.375" style="10" customWidth="1" outlineLevel="1"/>
    <col min="12" max="12" width="15.625" style="10" hidden="1" customWidth="1" outlineLevel="1"/>
    <col min="13" max="17" width="20.625" style="10" hidden="1" customWidth="1" outlineLevel="1"/>
    <col min="18" max="26" width="15.625" style="10" hidden="1" customWidth="1" outlineLevel="1"/>
    <col min="27" max="27" width="15.625" style="10" customWidth="1" outlineLevel="1"/>
    <col min="28" max="28" width="15.625" style="10" customWidth="1"/>
    <col min="29" max="40" width="15.625" style="10" customWidth="1" outlineLevel="1"/>
    <col min="41" max="41" width="15.625" style="10" customWidth="1"/>
    <col min="42" max="49" width="15.625" style="10" customWidth="1" outlineLevel="1"/>
    <col min="50" max="50" width="15.625" style="10" customWidth="1"/>
    <col min="51" max="60" width="15.625" style="10" customWidth="1" outlineLevel="1"/>
    <col min="61" max="16384" width="15.625" style="10"/>
  </cols>
  <sheetData>
    <row r="1" spans="1:23" s="856" customFormat="1" ht="30" customHeight="1" x14ac:dyDescent="0.3">
      <c r="B1" s="852" t="str">
        <f>"Project"&amp;" "&amp;Title!L6</f>
        <v>Project SVG1</v>
      </c>
      <c r="C1" s="853"/>
      <c r="D1" s="853"/>
      <c r="E1" s="853"/>
      <c r="F1" s="854"/>
      <c r="G1" s="854"/>
      <c r="H1" s="854"/>
      <c r="I1" s="854"/>
      <c r="J1" s="855" t="str">
        <f>Des!C12</f>
        <v>DRAFT - For Discussion Purposes Only</v>
      </c>
    </row>
    <row r="2" spans="1:23" s="856" customFormat="1" ht="20.100000000000001" customHeight="1" x14ac:dyDescent="0.3">
      <c r="B2" s="857" t="s">
        <v>2745</v>
      </c>
      <c r="C2" s="857"/>
      <c r="D2" s="857"/>
      <c r="E2" s="857"/>
      <c r="F2" s="858"/>
      <c r="G2" s="858"/>
      <c r="H2" s="858"/>
      <c r="I2" s="858"/>
      <c r="J2" s="858"/>
    </row>
    <row r="3" spans="1:23" s="856" customFormat="1" ht="14.1" customHeight="1" x14ac:dyDescent="0.3">
      <c r="B3" s="859"/>
      <c r="C3" s="859"/>
      <c r="D3" s="860"/>
      <c r="E3" s="860"/>
      <c r="F3" s="861"/>
      <c r="G3" s="1485" t="b">
        <f>G6='Pro forma'!H6</f>
        <v>0</v>
      </c>
      <c r="H3" s="1485" t="b">
        <f>H6='Pro forma'!I6</f>
        <v>0</v>
      </c>
      <c r="I3" s="1485" t="b">
        <f>I6='Pro forma'!J6</f>
        <v>0</v>
      </c>
      <c r="J3" s="1485" t="b">
        <f>J6='Pro forma'!K6</f>
        <v>0</v>
      </c>
      <c r="K3" s="1485" t="b">
        <f>K6='Pro forma'!L6</f>
        <v>0</v>
      </c>
    </row>
    <row r="4" spans="1:23" x14ac:dyDescent="0.3">
      <c r="B4" s="862" t="s">
        <v>3286</v>
      </c>
      <c r="C4" s="863"/>
      <c r="D4" s="863"/>
      <c r="E4" s="863"/>
      <c r="F4" s="863"/>
      <c r="G4" s="863"/>
      <c r="H4" s="863"/>
      <c r="I4" s="863"/>
      <c r="J4" s="997"/>
      <c r="K4" s="997"/>
    </row>
    <row r="5" spans="1:23" x14ac:dyDescent="0.3">
      <c r="B5" s="864" t="s">
        <v>2746</v>
      </c>
      <c r="C5" s="865"/>
      <c r="D5" s="865">
        <f>'Pro forma'!E$5</f>
        <v>2015</v>
      </c>
      <c r="E5" s="865">
        <f>'Pro forma'!F$5</f>
        <v>2016</v>
      </c>
      <c r="F5" s="866">
        <f>'Pro forma'!G$5</f>
        <v>2017</v>
      </c>
      <c r="G5" s="867">
        <f>'Pro forma'!H$5</f>
        <v>2018</v>
      </c>
      <c r="H5" s="867">
        <f>'Pro forma'!I$5</f>
        <v>2019</v>
      </c>
      <c r="I5" s="867">
        <f>'Pro forma'!J$5</f>
        <v>2020</v>
      </c>
      <c r="J5" s="867">
        <f>'Pro forma'!K$5</f>
        <v>2021</v>
      </c>
      <c r="K5" s="868">
        <v>2022</v>
      </c>
    </row>
    <row r="6" spans="1:23" x14ac:dyDescent="0.3">
      <c r="B6" s="846" t="s">
        <v>3287</v>
      </c>
      <c r="C6" s="1550"/>
      <c r="D6" s="848">
        <f>IS!E5/10^6</f>
        <v>61966.745769000001</v>
      </c>
      <c r="E6" s="848">
        <f>IS!F5/10^6</f>
        <v>81488.230867000006</v>
      </c>
      <c r="F6" s="848">
        <f>IS!G5/10^6</f>
        <v>92333.965525000007</v>
      </c>
      <c r="G6" s="848">
        <f>G9+G158+G211+G221</f>
        <v>149515.69756181189</v>
      </c>
      <c r="H6" s="848">
        <f>H9+H158+H211+H221</f>
        <v>191499.17440557788</v>
      </c>
      <c r="I6" s="848">
        <f>I9+I158+I211+I221</f>
        <v>246627.58534604218</v>
      </c>
      <c r="J6" s="848">
        <f>J9+J158+J211+J221</f>
        <v>273031.1864957583</v>
      </c>
      <c r="K6" s="998">
        <f>K9+K158+K211+K221</f>
        <v>303958.33064343809</v>
      </c>
      <c r="L6" s="10" t="s">
        <v>3236</v>
      </c>
      <c r="P6" s="880">
        <v>61966.745769000001</v>
      </c>
      <c r="Q6" s="880">
        <v>81488.230867000006</v>
      </c>
      <c r="R6" s="880">
        <v>92318.490025000006</v>
      </c>
      <c r="S6" s="880">
        <v>153587.24501388345</v>
      </c>
      <c r="T6" s="880">
        <v>193346.24396982935</v>
      </c>
      <c r="U6" s="880">
        <v>252459.99183189563</v>
      </c>
      <c r="V6" s="880">
        <v>278172.24230159208</v>
      </c>
      <c r="W6" s="880">
        <v>306131.27740482584</v>
      </c>
    </row>
    <row r="7" spans="1:23" x14ac:dyDescent="0.3">
      <c r="B7" s="869" t="s">
        <v>37</v>
      </c>
      <c r="D7" s="870"/>
      <c r="E7" s="870">
        <f>E6/D6-1</f>
        <v>0.31503163278530577</v>
      </c>
      <c r="F7" s="870">
        <f>F6/E6-1</f>
        <v>0.13309571876338477</v>
      </c>
      <c r="G7" s="870">
        <f t="shared" ref="G7:K7" si="0">G6/F6-1</f>
        <v>0.61929249666342523</v>
      </c>
      <c r="H7" s="870">
        <f t="shared" si="0"/>
        <v>0.28079644832215322</v>
      </c>
      <c r="I7" s="870">
        <f t="shared" si="0"/>
        <v>0.28787806063177745</v>
      </c>
      <c r="J7" s="870">
        <f t="shared" si="0"/>
        <v>0.10705858840838633</v>
      </c>
      <c r="K7" s="871">
        <f t="shared" si="0"/>
        <v>0.1132733023821082</v>
      </c>
    </row>
    <row r="8" spans="1:23" x14ac:dyDescent="0.3">
      <c r="B8" s="235"/>
      <c r="F8" s="847"/>
      <c r="G8" s="847"/>
      <c r="H8" s="847"/>
      <c r="I8" s="847"/>
      <c r="J8" s="847"/>
      <c r="K8" s="872"/>
    </row>
    <row r="9" spans="1:23" x14ac:dyDescent="0.3">
      <c r="A9" s="1003"/>
      <c r="B9" s="1001" t="s">
        <v>3286</v>
      </c>
      <c r="D9" s="1004">
        <f ca="1">D11+D57+D98+D139+D141</f>
        <v>55129.322651000002</v>
      </c>
      <c r="E9" s="1004">
        <f>E11+E57+E98+E139+E141</f>
        <v>74962.145393545448</v>
      </c>
      <c r="F9" s="1004">
        <f t="shared" ref="F9:K9" si="1">F11+F57+F98+F139+F141</f>
        <v>79031.855856272741</v>
      </c>
      <c r="G9" s="1004">
        <f t="shared" si="1"/>
        <v>112042.8</v>
      </c>
      <c r="H9" s="1004">
        <f t="shared" si="1"/>
        <v>142930.20000000001</v>
      </c>
      <c r="I9" s="1004">
        <f t="shared" si="1"/>
        <v>187956.69999999998</v>
      </c>
      <c r="J9" s="1004">
        <f t="shared" si="1"/>
        <v>207998.6</v>
      </c>
      <c r="K9" s="1005">
        <f t="shared" si="1"/>
        <v>226353.9</v>
      </c>
    </row>
    <row r="10" spans="1:23" x14ac:dyDescent="0.3">
      <c r="A10" s="1003"/>
      <c r="B10" s="1001"/>
      <c r="F10" s="847"/>
      <c r="G10" s="876"/>
      <c r="H10" s="847"/>
      <c r="I10" s="847"/>
      <c r="J10" s="847"/>
      <c r="K10" s="872"/>
    </row>
    <row r="11" spans="1:23" x14ac:dyDescent="0.3">
      <c r="B11" s="1540" t="s">
        <v>2139</v>
      </c>
      <c r="C11" s="1541"/>
      <c r="D11" s="1541">
        <f t="shared" ref="D11:E11" si="2">D15+D22+D29+D36+D43+D50</f>
        <v>34316.995394000005</v>
      </c>
      <c r="E11" s="1541">
        <f t="shared" si="2"/>
        <v>43593.833151999992</v>
      </c>
      <c r="F11" s="1541">
        <f>F15+F22+F29+F36+F43+F50</f>
        <v>48663.640859727275</v>
      </c>
      <c r="G11" s="1541">
        <f>G15+G22+G29+G36+G43+G50</f>
        <v>49040.800000000003</v>
      </c>
      <c r="H11" s="1541">
        <f t="shared" ref="H11:J11" si="3">H15+H22+H29+H36+H43+H50</f>
        <v>62601.7</v>
      </c>
      <c r="I11" s="1541">
        <f t="shared" si="3"/>
        <v>82093.2</v>
      </c>
      <c r="J11" s="1541">
        <f t="shared" si="3"/>
        <v>89632.2</v>
      </c>
      <c r="K11" s="1542">
        <f>K15+K22+K29+K36+K43+K50</f>
        <v>96991.9</v>
      </c>
      <c r="O11" s="10">
        <v>113263800000</v>
      </c>
    </row>
    <row r="12" spans="1:23" x14ac:dyDescent="0.3">
      <c r="B12" s="873" t="s">
        <v>37</v>
      </c>
      <c r="D12" s="870"/>
      <c r="E12" s="870">
        <f>E11/D11-1</f>
        <v>0.27032779681003061</v>
      </c>
      <c r="F12" s="870">
        <f>F11/E11-1</f>
        <v>0.11629644243602577</v>
      </c>
      <c r="G12" s="870">
        <f t="shared" ref="G12:K12" si="4">G11/F11-1</f>
        <v>7.750327217806996E-3</v>
      </c>
      <c r="H12" s="870">
        <f t="shared" si="4"/>
        <v>0.27652281365719955</v>
      </c>
      <c r="I12" s="870">
        <f t="shared" si="4"/>
        <v>0.31135735930493902</v>
      </c>
      <c r="J12" s="870">
        <f t="shared" si="4"/>
        <v>9.1834646474982184E-2</v>
      </c>
      <c r="K12" s="871">
        <f t="shared" si="4"/>
        <v>8.2110000647088954E-2</v>
      </c>
    </row>
    <row r="13" spans="1:23" x14ac:dyDescent="0.3">
      <c r="B13" s="874" t="s">
        <v>58</v>
      </c>
      <c r="D13" s="875">
        <f t="shared" ref="D13:J13" si="5">D11/D$6</f>
        <v>0.55379695945188245</v>
      </c>
      <c r="E13" s="875">
        <f t="shared" si="5"/>
        <v>0.53497091160502819</v>
      </c>
      <c r="F13" s="875">
        <f t="shared" si="5"/>
        <v>0.52703943324681846</v>
      </c>
      <c r="G13" s="875">
        <f t="shared" si="5"/>
        <v>0.32799766713274936</v>
      </c>
      <c r="H13" s="875">
        <f t="shared" si="5"/>
        <v>0.32690323702083057</v>
      </c>
      <c r="I13" s="875">
        <f t="shared" si="5"/>
        <v>0.33286300834845928</v>
      </c>
      <c r="J13" s="875">
        <f t="shared" si="5"/>
        <v>0.32828557481067272</v>
      </c>
      <c r="K13" s="1538">
        <f t="shared" ref="K13" si="6">K11/K$6</f>
        <v>0.31909604120631091</v>
      </c>
    </row>
    <row r="14" spans="1:23" x14ac:dyDescent="0.3">
      <c r="B14" s="235"/>
      <c r="F14" s="847"/>
      <c r="G14" s="847"/>
      <c r="H14" s="847"/>
      <c r="I14" s="847"/>
      <c r="J14" s="847"/>
      <c r="K14" s="872"/>
    </row>
    <row r="15" spans="1:23" x14ac:dyDescent="0.3">
      <c r="B15" s="849" t="s">
        <v>2751</v>
      </c>
      <c r="D15" s="123">
        <f>D18*D20/10^6</f>
        <v>5284.0228900000002</v>
      </c>
      <c r="E15" s="123">
        <f t="shared" ref="E15:K15" si="7">E18*E20/10^6</f>
        <v>13364.806884</v>
      </c>
      <c r="F15" s="123">
        <f t="shared" si="7"/>
        <v>15325.14136809091</v>
      </c>
      <c r="G15" s="1559">
        <f t="shared" si="7"/>
        <v>23301.9</v>
      </c>
      <c r="H15" s="1559">
        <f t="shared" si="7"/>
        <v>26056.9</v>
      </c>
      <c r="I15" s="123">
        <f t="shared" si="7"/>
        <v>34826.1</v>
      </c>
      <c r="J15" s="123">
        <f t="shared" si="7"/>
        <v>36651.1</v>
      </c>
      <c r="K15" s="236">
        <f t="shared" si="7"/>
        <v>38738.699999999997</v>
      </c>
      <c r="L15" s="1583" t="s">
        <v>3572</v>
      </c>
    </row>
    <row r="16" spans="1:23" hidden="1" outlineLevel="1" x14ac:dyDescent="0.3">
      <c r="B16" s="1535" t="s">
        <v>37</v>
      </c>
      <c r="D16" s="870"/>
      <c r="E16" s="870">
        <f>E15/D15-1</f>
        <v>1.5292863339583298</v>
      </c>
      <c r="F16" s="870">
        <f>F15/E15-1</f>
        <v>0.14667884849408286</v>
      </c>
      <c r="G16" s="870">
        <f t="shared" ref="G16:I16" si="8">G15/F15-1</f>
        <v>0.52050147142641179</v>
      </c>
      <c r="H16" s="870">
        <f t="shared" si="8"/>
        <v>0.11823070221741583</v>
      </c>
      <c r="I16" s="870">
        <f t="shared" si="8"/>
        <v>0.33654041731748574</v>
      </c>
      <c r="J16" s="870">
        <f t="shared" ref="J16:K16" si="9">J15/I15-1</f>
        <v>5.2403226315895335E-2</v>
      </c>
      <c r="K16" s="871">
        <f t="shared" si="9"/>
        <v>5.6958727023199707E-2</v>
      </c>
      <c r="L16" s="1551">
        <f>RATE(5,0,-G15,K15)</f>
        <v>0.10700795480325595</v>
      </c>
    </row>
    <row r="17" spans="2:21" hidden="1" outlineLevel="1" x14ac:dyDescent="0.3">
      <c r="B17" s="1536" t="s">
        <v>3290</v>
      </c>
      <c r="D17" s="875">
        <f ca="1">D15/D$9</f>
        <v>9.584777457635156E-2</v>
      </c>
      <c r="E17" s="875">
        <f t="shared" ref="E17:K17" si="10">E15/E$9</f>
        <v>0.1782874117841185</v>
      </c>
      <c r="F17" s="875">
        <f t="shared" si="10"/>
        <v>0.19391093884928121</v>
      </c>
      <c r="G17" s="875">
        <f t="shared" si="10"/>
        <v>0.20797320309738779</v>
      </c>
      <c r="H17" s="875">
        <f t="shared" si="10"/>
        <v>0.18230506918761744</v>
      </c>
      <c r="I17" s="875">
        <f t="shared" si="10"/>
        <v>0.18528788811465621</v>
      </c>
      <c r="J17" s="875">
        <f t="shared" si="10"/>
        <v>0.17620839755652201</v>
      </c>
      <c r="K17" s="1538">
        <f t="shared" si="10"/>
        <v>0.17114218045282187</v>
      </c>
      <c r="L17" s="1551">
        <f>G17+G24</f>
        <v>0.40296118983102885</v>
      </c>
      <c r="M17" s="1551">
        <f t="shared" ref="M17:P17" si="11">H17+H24</f>
        <v>0.39785293800750293</v>
      </c>
      <c r="N17" s="1551">
        <f t="shared" si="11"/>
        <v>0.39384177313179047</v>
      </c>
      <c r="O17" s="1551">
        <f t="shared" si="11"/>
        <v>0.38305642441824128</v>
      </c>
      <c r="P17" s="1551">
        <f t="shared" si="11"/>
        <v>0.37814634517010748</v>
      </c>
    </row>
    <row r="18" spans="2:21" hidden="1" outlineLevel="2" x14ac:dyDescent="0.3">
      <c r="B18" s="850" t="s">
        <v>2753</v>
      </c>
      <c r="D18" s="876">
        <f>'2015년 원장 (피벗) '!P10</f>
        <v>103</v>
      </c>
      <c r="E18" s="876">
        <f>'2016년 원장 (피벗)'!P10</f>
        <v>175</v>
      </c>
      <c r="F18" s="876">
        <v>228</v>
      </c>
      <c r="G18" s="847">
        <f>'사업계획(매출 확정본)'!AI14</f>
        <v>476</v>
      </c>
      <c r="H18" s="847">
        <f>'사업계획(매출 확정본)'!AJ14</f>
        <v>508</v>
      </c>
      <c r="I18" s="847">
        <f>'사업계획(매출 확정본)'!AK14</f>
        <v>571</v>
      </c>
      <c r="J18" s="847">
        <f>'사업계획(매출 확정본)'!AL14</f>
        <v>579</v>
      </c>
      <c r="K18" s="872">
        <f>'사업계획(매출 확정본)'!AM14</f>
        <v>584</v>
      </c>
    </row>
    <row r="19" spans="2:21" hidden="1" outlineLevel="2" x14ac:dyDescent="0.3">
      <c r="B19" s="1535" t="s">
        <v>37</v>
      </c>
      <c r="D19" s="870" t="e">
        <f>D18/#REF!-1</f>
        <v>#REF!</v>
      </c>
      <c r="E19" s="870">
        <f>E18/D18-1</f>
        <v>0.69902912621359214</v>
      </c>
      <c r="F19" s="870">
        <f>F18/E18-1</f>
        <v>0.30285714285714294</v>
      </c>
      <c r="G19" s="870">
        <f t="shared" ref="G19:K19" si="12">G18/F18-1</f>
        <v>1.0877192982456139</v>
      </c>
      <c r="H19" s="870">
        <f t="shared" si="12"/>
        <v>6.7226890756302504E-2</v>
      </c>
      <c r="I19" s="870">
        <f t="shared" si="12"/>
        <v>0.12401574803149606</v>
      </c>
      <c r="J19" s="870">
        <f t="shared" si="12"/>
        <v>1.4010507880910739E-2</v>
      </c>
      <c r="K19" s="871">
        <f t="shared" si="12"/>
        <v>8.6355785837650689E-3</v>
      </c>
    </row>
    <row r="20" spans="2:21" hidden="1" outlineLevel="2" x14ac:dyDescent="0.3">
      <c r="B20" s="850" t="s">
        <v>2755</v>
      </c>
      <c r="D20" s="876">
        <f>'2015년 원장 (피벗) '!W10</f>
        <v>51301193.106796116</v>
      </c>
      <c r="E20" s="876">
        <f>'2016년 원장 (피벗)'!W10</f>
        <v>76370325.051428571</v>
      </c>
      <c r="F20" s="876">
        <v>67215532.316188201</v>
      </c>
      <c r="G20" s="876">
        <f>'사업계획(매출 확정본)'!AI15</f>
        <v>48953571.428571425</v>
      </c>
      <c r="H20" s="876">
        <f>'사업계획(매출 확정본)'!AJ15</f>
        <v>51293110.236220472</v>
      </c>
      <c r="I20" s="876">
        <f>'사업계획(매출 확정본)'!AK15</f>
        <v>60991418.563922942</v>
      </c>
      <c r="J20" s="876">
        <f>'사업계획(매출 확정본)'!AL15</f>
        <v>63300690.846286699</v>
      </c>
      <c r="K20" s="884">
        <f>'사업계획(매출 확정본)'!AM15</f>
        <v>66333390.410958901</v>
      </c>
    </row>
    <row r="21" spans="2:21" hidden="1" outlineLevel="2" x14ac:dyDescent="0.3">
      <c r="B21" s="1535" t="s">
        <v>37</v>
      </c>
      <c r="D21" s="870" t="e">
        <f>D20/#REF!-1</f>
        <v>#REF!</v>
      </c>
      <c r="E21" s="870">
        <f>E20/D20-1</f>
        <v>0.48866567084404577</v>
      </c>
      <c r="F21" s="870">
        <f>F20/E20-1</f>
        <v>-0.11987369084884003</v>
      </c>
      <c r="G21" s="870">
        <f t="shared" ref="G21:K21" si="13">G20/F20-1</f>
        <v>-0.2716925725100382</v>
      </c>
      <c r="H21" s="870">
        <f t="shared" si="13"/>
        <v>4.7790972943877907E-2</v>
      </c>
      <c r="I21" s="870">
        <f t="shared" si="13"/>
        <v>0.18907623817387553</v>
      </c>
      <c r="J21" s="870">
        <f t="shared" si="13"/>
        <v>3.7862249095641065E-2</v>
      </c>
      <c r="K21" s="871">
        <f t="shared" si="13"/>
        <v>4.7909422853480654E-2</v>
      </c>
    </row>
    <row r="22" spans="2:21" collapsed="1" x14ac:dyDescent="0.3">
      <c r="B22" s="849" t="s">
        <v>2756</v>
      </c>
      <c r="D22" s="123">
        <f>D25*D27/10^6</f>
        <v>24950.094631</v>
      </c>
      <c r="E22" s="123">
        <f t="shared" ref="E22:K22" si="14">E25*E27/10^6</f>
        <v>28258.785197999998</v>
      </c>
      <c r="F22" s="1560">
        <f t="shared" si="14"/>
        <v>30798.914481545453</v>
      </c>
      <c r="G22" s="1560">
        <f t="shared" si="14"/>
        <v>21847</v>
      </c>
      <c r="H22" s="123">
        <f t="shared" si="14"/>
        <v>30808.3</v>
      </c>
      <c r="I22" s="123">
        <f t="shared" si="14"/>
        <v>39199.1</v>
      </c>
      <c r="J22" s="123">
        <f t="shared" si="14"/>
        <v>43024.1</v>
      </c>
      <c r="K22" s="236">
        <f t="shared" si="14"/>
        <v>46856.2</v>
      </c>
      <c r="L22" s="1584" t="s">
        <v>3573</v>
      </c>
    </row>
    <row r="23" spans="2:21" hidden="1" x14ac:dyDescent="0.3">
      <c r="B23" s="1535" t="s">
        <v>37</v>
      </c>
      <c r="D23" s="870"/>
      <c r="E23" s="870">
        <f>E22/D22-1</f>
        <v>0.132612345401248</v>
      </c>
      <c r="F23" s="870">
        <f>F22/E22-1</f>
        <v>8.9888127382249605E-2</v>
      </c>
      <c r="G23" s="870">
        <f t="shared" ref="G23:K23" si="15">G22/F22-1</f>
        <v>-0.29065681801575804</v>
      </c>
      <c r="H23" s="870">
        <f t="shared" si="15"/>
        <v>0.41018446468622694</v>
      </c>
      <c r="I23" s="870">
        <f t="shared" si="15"/>
        <v>0.27235517701398648</v>
      </c>
      <c r="J23" s="870">
        <f t="shared" si="15"/>
        <v>9.7578770941169513E-2</v>
      </c>
      <c r="K23" s="871">
        <f t="shared" si="15"/>
        <v>8.906868476040164E-2</v>
      </c>
    </row>
    <row r="24" spans="2:21" x14ac:dyDescent="0.3">
      <c r="B24" s="1536" t="s">
        <v>3290</v>
      </c>
      <c r="D24" s="875">
        <f ca="1">D22/D$9</f>
        <v>0.45257393762931397</v>
      </c>
      <c r="E24" s="875">
        <f t="shared" ref="E24:K24" si="16">E22/E$9</f>
        <v>0.37697407204187616</v>
      </c>
      <c r="F24" s="875">
        <f t="shared" si="16"/>
        <v>0.38970253384352166</v>
      </c>
      <c r="G24" s="875">
        <f t="shared" si="16"/>
        <v>0.19498798673364107</v>
      </c>
      <c r="H24" s="875">
        <f t="shared" si="16"/>
        <v>0.2155478688198855</v>
      </c>
      <c r="I24" s="875">
        <f t="shared" si="16"/>
        <v>0.20855388501713429</v>
      </c>
      <c r="J24" s="875">
        <f t="shared" si="16"/>
        <v>0.20684802686171924</v>
      </c>
      <c r="K24" s="1538">
        <f t="shared" si="16"/>
        <v>0.20700416471728561</v>
      </c>
    </row>
    <row r="25" spans="2:21" hidden="1" outlineLevel="1" x14ac:dyDescent="0.3">
      <c r="B25" s="850" t="s">
        <v>2753</v>
      </c>
      <c r="D25" s="876">
        <f>'2015년 원장 (피벗) '!P11</f>
        <v>642</v>
      </c>
      <c r="E25" s="876">
        <f>'2016년 원장 (피벗)'!P11</f>
        <v>780</v>
      </c>
      <c r="F25" s="876">
        <v>841</v>
      </c>
      <c r="G25" s="847">
        <f>'사업계획(매출 확정본)'!AI17</f>
        <v>606</v>
      </c>
      <c r="H25" s="847">
        <f>'사업계획(매출 확정본)'!AJ17</f>
        <v>782</v>
      </c>
      <c r="I25" s="847">
        <f>'사업계획(매출 확정본)'!AK17</f>
        <v>939</v>
      </c>
      <c r="J25" s="847">
        <f>'사업계획(매출 확정본)'!AL17</f>
        <v>981</v>
      </c>
      <c r="K25" s="872">
        <f>'사업계획(매출 확정본)'!AM17</f>
        <v>1018</v>
      </c>
    </row>
    <row r="26" spans="2:21" hidden="1" outlineLevel="1" x14ac:dyDescent="0.3">
      <c r="B26" s="1535" t="s">
        <v>37</v>
      </c>
      <c r="D26" s="870" t="e">
        <f>D25/#REF!-1</f>
        <v>#REF!</v>
      </c>
      <c r="E26" s="870">
        <f>E25/D25-1</f>
        <v>0.2149532710280373</v>
      </c>
      <c r="F26" s="870">
        <f>F25/E25-1</f>
        <v>7.8205128205128149E-2</v>
      </c>
      <c r="G26" s="870">
        <f t="shared" ref="G26:K26" si="17">G25/F25-1</f>
        <v>-0.27942925089179549</v>
      </c>
      <c r="H26" s="870">
        <f t="shared" si="17"/>
        <v>0.29042904290429039</v>
      </c>
      <c r="I26" s="870">
        <f t="shared" si="17"/>
        <v>0.20076726342711004</v>
      </c>
      <c r="J26" s="870">
        <f t="shared" si="17"/>
        <v>4.4728434504792247E-2</v>
      </c>
      <c r="K26" s="871">
        <f t="shared" si="17"/>
        <v>3.771661569826712E-2</v>
      </c>
      <c r="L26" s="1551">
        <f>RATE(5,0,-G25,K25)</f>
        <v>0.10931537106177502</v>
      </c>
    </row>
    <row r="27" spans="2:21" hidden="1" outlineLevel="1" x14ac:dyDescent="0.3">
      <c r="B27" s="850" t="s">
        <v>2755</v>
      </c>
      <c r="D27" s="876">
        <f>'2015년 원장 (피벗) '!W11</f>
        <v>38863075.749221183</v>
      </c>
      <c r="E27" s="876">
        <f>'2016년 원장 (피벗)'!W11</f>
        <v>36229211.79230769</v>
      </c>
      <c r="F27" s="876">
        <v>36621777.029186033</v>
      </c>
      <c r="G27" s="876">
        <f>'사업계획(매출 확정본)'!AI18</f>
        <v>36051155.115511551</v>
      </c>
      <c r="H27" s="876">
        <f>'사업계획(매출 확정본)'!AJ18</f>
        <v>39396803.06905371</v>
      </c>
      <c r="I27" s="876">
        <f>'사업계획(매출 확정본)'!AK18</f>
        <v>41745580.404685833</v>
      </c>
      <c r="J27" s="876">
        <f>'사업계획(매출 확정본)'!AL18</f>
        <v>43857390.417940877</v>
      </c>
      <c r="K27" s="884">
        <f>'사업계획(매출 확정본)'!AM18</f>
        <v>46027701.375245579</v>
      </c>
    </row>
    <row r="28" spans="2:21" hidden="1" outlineLevel="1" x14ac:dyDescent="0.3">
      <c r="B28" s="1535" t="s">
        <v>37</v>
      </c>
      <c r="D28" s="870" t="e">
        <f>D27/#REF!-1</f>
        <v>#REF!</v>
      </c>
      <c r="E28" s="870">
        <f>E27/D27-1</f>
        <v>-6.7772915708203429E-2</v>
      </c>
      <c r="F28" s="870">
        <f>F27/E27-1</f>
        <v>1.0835599712431421E-2</v>
      </c>
      <c r="G28" s="870">
        <f t="shared" ref="G28:K28" si="18">G27/F27-1</f>
        <v>-1.5581491668733571E-2</v>
      </c>
      <c r="H28" s="870">
        <f t="shared" si="18"/>
        <v>9.2802794884723205E-2</v>
      </c>
      <c r="I28" s="870">
        <f t="shared" si="18"/>
        <v>5.961847542591836E-2</v>
      </c>
      <c r="J28" s="870">
        <f t="shared" si="18"/>
        <v>5.0587630900875036E-2</v>
      </c>
      <c r="K28" s="871">
        <f t="shared" si="18"/>
        <v>4.948563826125163E-2</v>
      </c>
    </row>
    <row r="29" spans="2:21" collapsed="1" x14ac:dyDescent="0.3">
      <c r="B29" s="849" t="s">
        <v>2759</v>
      </c>
      <c r="D29" s="123">
        <f>D32*D34/10^6</f>
        <v>646.66422699999998</v>
      </c>
      <c r="E29" s="123">
        <f t="shared" ref="E29:K29" si="19">E32*E34/10^6</f>
        <v>539.00345400000003</v>
      </c>
      <c r="F29" s="123">
        <f t="shared" si="19"/>
        <v>373.79489109090906</v>
      </c>
      <c r="G29" s="123">
        <f t="shared" si="19"/>
        <v>0</v>
      </c>
      <c r="H29" s="123">
        <f t="shared" si="19"/>
        <v>0</v>
      </c>
      <c r="I29" s="123">
        <f t="shared" si="19"/>
        <v>0</v>
      </c>
      <c r="J29" s="123">
        <f t="shared" si="19"/>
        <v>0</v>
      </c>
      <c r="K29" s="236">
        <f t="shared" si="19"/>
        <v>0</v>
      </c>
    </row>
    <row r="30" spans="2:21" hidden="1" x14ac:dyDescent="0.3">
      <c r="B30" s="1535" t="s">
        <v>37</v>
      </c>
      <c r="D30" s="870"/>
      <c r="E30" s="870">
        <f>E29/D29-1</f>
        <v>-0.16648635954312652</v>
      </c>
      <c r="F30" s="870">
        <f>F29/E29-1</f>
        <v>-0.30650742900265526</v>
      </c>
      <c r="G30" s="870">
        <f t="shared" ref="G30:K30" si="20">G29/F29-1</f>
        <v>-1</v>
      </c>
      <c r="H30" s="870" t="e">
        <f t="shared" si="20"/>
        <v>#DIV/0!</v>
      </c>
      <c r="I30" s="870" t="e">
        <f t="shared" si="20"/>
        <v>#DIV/0!</v>
      </c>
      <c r="J30" s="870" t="e">
        <f t="shared" si="20"/>
        <v>#DIV/0!</v>
      </c>
      <c r="K30" s="871" t="e">
        <f t="shared" si="20"/>
        <v>#DIV/0!</v>
      </c>
      <c r="N30" s="10">
        <v>55129322651</v>
      </c>
      <c r="O30" s="10">
        <v>74962145393.545456</v>
      </c>
      <c r="P30" s="10">
        <v>79031855856.272736</v>
      </c>
      <c r="Q30" s="10">
        <v>113263800000</v>
      </c>
      <c r="R30" s="10">
        <v>149232200000</v>
      </c>
      <c r="S30" s="10">
        <v>193517700000</v>
      </c>
      <c r="T30" s="10">
        <v>215282100000</v>
      </c>
      <c r="U30" s="10">
        <v>225225800000</v>
      </c>
    </row>
    <row r="31" spans="2:21" x14ac:dyDescent="0.3">
      <c r="B31" s="1536" t="s">
        <v>3290</v>
      </c>
      <c r="D31" s="875">
        <f ca="1">D29/D$9</f>
        <v>1.1729950521862072E-2</v>
      </c>
      <c r="E31" s="875">
        <f t="shared" ref="E31:K31" si="21">E29/E$9</f>
        <v>7.1903418874989999E-3</v>
      </c>
      <c r="F31" s="875">
        <f t="shared" si="21"/>
        <v>4.729673712467187E-3</v>
      </c>
      <c r="G31" s="875">
        <f t="shared" si="21"/>
        <v>0</v>
      </c>
      <c r="H31" s="875">
        <f t="shared" si="21"/>
        <v>0</v>
      </c>
      <c r="I31" s="875">
        <f t="shared" si="21"/>
        <v>0</v>
      </c>
      <c r="J31" s="875">
        <f t="shared" si="21"/>
        <v>0</v>
      </c>
      <c r="K31" s="1538">
        <f t="shared" si="21"/>
        <v>0</v>
      </c>
    </row>
    <row r="32" spans="2:21" hidden="1" outlineLevel="1" x14ac:dyDescent="0.3">
      <c r="B32" s="850" t="s">
        <v>2753</v>
      </c>
      <c r="D32" s="876">
        <f>'2015년 원장 (피벗) '!P7</f>
        <v>32</v>
      </c>
      <c r="E32" s="876">
        <f>'2016년 원장 (피벗)'!P7</f>
        <v>20</v>
      </c>
      <c r="F32" s="876">
        <v>28</v>
      </c>
      <c r="G32" s="847">
        <f>'사업계획(매출 확정본)'!AI23</f>
        <v>0</v>
      </c>
      <c r="H32" s="847">
        <f>'사업계획(매출 확정본)'!AJ23</f>
        <v>0</v>
      </c>
      <c r="I32" s="847">
        <f>'사업계획(매출 확정본)'!AK23</f>
        <v>0</v>
      </c>
      <c r="J32" s="847">
        <f>'사업계획(매출 확정본)'!AL23</f>
        <v>0</v>
      </c>
      <c r="K32" s="872">
        <f>'사업계획(매출 확정본)'!AM23</f>
        <v>0</v>
      </c>
    </row>
    <row r="33" spans="2:20" hidden="1" outlineLevel="1" x14ac:dyDescent="0.3">
      <c r="B33" s="1535" t="s">
        <v>37</v>
      </c>
      <c r="D33" s="870" t="e">
        <f>D32/#REF!-1</f>
        <v>#REF!</v>
      </c>
      <c r="E33" s="870">
        <f>E32/D32-1</f>
        <v>-0.375</v>
      </c>
      <c r="F33" s="870">
        <f>F32/E32-1</f>
        <v>0.39999999999999991</v>
      </c>
      <c r="G33" s="870">
        <f t="shared" ref="G33:K33" si="22">G32/F32-1</f>
        <v>-1</v>
      </c>
      <c r="H33" s="870" t="e">
        <f t="shared" si="22"/>
        <v>#DIV/0!</v>
      </c>
      <c r="I33" s="870" t="e">
        <f t="shared" si="22"/>
        <v>#DIV/0!</v>
      </c>
      <c r="J33" s="870" t="e">
        <f t="shared" si="22"/>
        <v>#DIV/0!</v>
      </c>
      <c r="K33" s="871" t="e">
        <f t="shared" si="22"/>
        <v>#DIV/0!</v>
      </c>
    </row>
    <row r="34" spans="2:20" hidden="1" outlineLevel="1" x14ac:dyDescent="0.3">
      <c r="B34" s="850" t="s">
        <v>2755</v>
      </c>
      <c r="D34" s="876">
        <f>'2015년 원장 (피벗) '!W7</f>
        <v>20208257.09375</v>
      </c>
      <c r="E34" s="876">
        <f>'2016년 원장 (피벗)'!W7</f>
        <v>26950172.699999999</v>
      </c>
      <c r="F34" s="876">
        <v>13349817.538961038</v>
      </c>
      <c r="G34" s="876">
        <f>IFERROR('사업계획(매출 확정본)'!AI24,)</f>
        <v>0</v>
      </c>
      <c r="H34" s="876">
        <f>IFERROR('사업계획(매출 확정본)'!AJ24,)</f>
        <v>0</v>
      </c>
      <c r="I34" s="876">
        <f>IFERROR('사업계획(매출 확정본)'!AK24,)</f>
        <v>0</v>
      </c>
      <c r="J34" s="876">
        <f>IFERROR('사업계획(매출 확정본)'!AL24,)</f>
        <v>0</v>
      </c>
      <c r="K34" s="884">
        <f>IFERROR('사업계획(매출 확정본)'!AM24,)</f>
        <v>0</v>
      </c>
    </row>
    <row r="35" spans="2:20" hidden="1" outlineLevel="1" x14ac:dyDescent="0.3">
      <c r="B35" s="1535" t="s">
        <v>37</v>
      </c>
      <c r="D35" s="870" t="e">
        <f>D34/#REF!-1</f>
        <v>#REF!</v>
      </c>
      <c r="E35" s="870">
        <f>E34/D34-1</f>
        <v>0.33362182473099744</v>
      </c>
      <c r="F35" s="870">
        <f>F34/E34-1</f>
        <v>-0.50464816357332509</v>
      </c>
      <c r="G35" s="870">
        <f t="shared" ref="G35:K35" si="23">G34/F34-1</f>
        <v>-1</v>
      </c>
      <c r="H35" s="870" t="e">
        <f t="shared" si="23"/>
        <v>#DIV/0!</v>
      </c>
      <c r="I35" s="870" t="e">
        <f t="shared" si="23"/>
        <v>#DIV/0!</v>
      </c>
      <c r="J35" s="870" t="e">
        <f t="shared" si="23"/>
        <v>#DIV/0!</v>
      </c>
      <c r="K35" s="871" t="e">
        <f t="shared" si="23"/>
        <v>#DIV/0!</v>
      </c>
    </row>
    <row r="36" spans="2:20" collapsed="1" x14ac:dyDescent="0.3">
      <c r="B36" s="849" t="s">
        <v>2760</v>
      </c>
      <c r="D36" s="123">
        <f>D39*D41/10^6</f>
        <v>354.47762699999998</v>
      </c>
      <c r="E36" s="123">
        <f t="shared" ref="E36:K36" si="24">E39*E41/10^6</f>
        <v>195.693637</v>
      </c>
      <c r="F36" s="123">
        <f t="shared" si="24"/>
        <v>361.49866400000002</v>
      </c>
      <c r="G36" s="123">
        <f t="shared" si="24"/>
        <v>554.4</v>
      </c>
      <c r="H36" s="123">
        <f t="shared" si="24"/>
        <v>970</v>
      </c>
      <c r="I36" s="123">
        <f t="shared" si="24"/>
        <v>1528.5</v>
      </c>
      <c r="J36" s="123">
        <f t="shared" si="24"/>
        <v>2140</v>
      </c>
      <c r="K36" s="236">
        <f t="shared" si="24"/>
        <v>2810</v>
      </c>
    </row>
    <row r="37" spans="2:20" hidden="1" x14ac:dyDescent="0.3">
      <c r="B37" s="1535" t="s">
        <v>37</v>
      </c>
      <c r="D37" s="870"/>
      <c r="E37" s="870">
        <f>E36/D36-1</f>
        <v>-0.44793797381181411</v>
      </c>
      <c r="F37" s="870">
        <f>F36/E36-1</f>
        <v>0.8472683605957001</v>
      </c>
      <c r="G37" s="870">
        <f t="shared" ref="G37:K37" si="25">G36/F36-1</f>
        <v>0.53361562630837267</v>
      </c>
      <c r="H37" s="870">
        <f t="shared" si="25"/>
        <v>0.74963924963924966</v>
      </c>
      <c r="I37" s="870">
        <f t="shared" si="25"/>
        <v>0.57577319587628861</v>
      </c>
      <c r="J37" s="870">
        <f t="shared" si="25"/>
        <v>0.40006542361792596</v>
      </c>
      <c r="K37" s="871">
        <f t="shared" si="25"/>
        <v>0.31308411214953269</v>
      </c>
    </row>
    <row r="38" spans="2:20" x14ac:dyDescent="0.3">
      <c r="B38" s="1536" t="s">
        <v>3290</v>
      </c>
      <c r="D38" s="875">
        <f ca="1">D36/D$9</f>
        <v>6.4299289371655289E-3</v>
      </c>
      <c r="E38" s="875">
        <f t="shared" ref="E38:K38" si="26">E36/E$9</f>
        <v>2.6105661193742999E-3</v>
      </c>
      <c r="F38" s="875">
        <f t="shared" si="26"/>
        <v>4.5740880064542725E-3</v>
      </c>
      <c r="G38" s="875">
        <f t="shared" si="26"/>
        <v>4.9481091154451691E-3</v>
      </c>
      <c r="H38" s="875">
        <f t="shared" si="26"/>
        <v>6.7865293688807535E-3</v>
      </c>
      <c r="I38" s="875">
        <f t="shared" si="26"/>
        <v>8.1321921485108008E-3</v>
      </c>
      <c r="J38" s="875">
        <f t="shared" si="26"/>
        <v>1.0288530788187996E-2</v>
      </c>
      <c r="K38" s="1538">
        <f t="shared" si="26"/>
        <v>1.2414188578151294E-2</v>
      </c>
    </row>
    <row r="39" spans="2:20" hidden="1" outlineLevel="1" x14ac:dyDescent="0.3">
      <c r="B39" s="850" t="s">
        <v>2753</v>
      </c>
      <c r="D39" s="876">
        <f>'2015년 원장 (피벗) '!P8</f>
        <v>7</v>
      </c>
      <c r="E39" s="876">
        <f>'2016년 원장 (피벗)'!P8</f>
        <v>2</v>
      </c>
      <c r="F39" s="876">
        <v>6</v>
      </c>
      <c r="G39" s="847">
        <f>'사업계획(매출 확정본)'!AI20</f>
        <v>6</v>
      </c>
      <c r="H39" s="847">
        <f>'사업계획(매출 확정본)'!AJ20</f>
        <v>10</v>
      </c>
      <c r="I39" s="847">
        <f>'사업계획(매출 확정본)'!AK20</f>
        <v>15</v>
      </c>
      <c r="J39" s="847">
        <f>'사업계획(매출 확정본)'!AL20</f>
        <v>20</v>
      </c>
      <c r="K39" s="872">
        <f>'사업계획(매출 확정본)'!AM20</f>
        <v>25</v>
      </c>
    </row>
    <row r="40" spans="2:20" hidden="1" outlineLevel="1" x14ac:dyDescent="0.3">
      <c r="B40" s="1535" t="s">
        <v>37</v>
      </c>
      <c r="D40" s="870" t="e">
        <f>D39/#REF!-1</f>
        <v>#REF!</v>
      </c>
      <c r="E40" s="870">
        <f>E39/D39-1</f>
        <v>-0.7142857142857143</v>
      </c>
      <c r="F40" s="870">
        <f>F39/E39-1</f>
        <v>2</v>
      </c>
      <c r="G40" s="870">
        <f t="shared" ref="G40:K40" si="27">G39/F39-1</f>
        <v>0</v>
      </c>
      <c r="H40" s="870">
        <f t="shared" si="27"/>
        <v>0.66666666666666674</v>
      </c>
      <c r="I40" s="870">
        <f t="shared" si="27"/>
        <v>0.5</v>
      </c>
      <c r="J40" s="870">
        <f t="shared" si="27"/>
        <v>0.33333333333333326</v>
      </c>
      <c r="K40" s="871">
        <f t="shared" si="27"/>
        <v>0.25</v>
      </c>
    </row>
    <row r="41" spans="2:20" hidden="1" outlineLevel="1" x14ac:dyDescent="0.3">
      <c r="B41" s="850" t="s">
        <v>2755</v>
      </c>
      <c r="D41" s="876">
        <f>'2015년 원장 (피벗) '!W8</f>
        <v>50639661</v>
      </c>
      <c r="E41" s="876">
        <f>'2016년 원장 (피벗)'!W8</f>
        <v>97846818.5</v>
      </c>
      <c r="F41" s="876">
        <v>60249777.333333336</v>
      </c>
      <c r="G41" s="876">
        <f>'사업계획(매출 확정본)'!AI21</f>
        <v>92400000</v>
      </c>
      <c r="H41" s="876">
        <f>'사업계획(매출 확정본)'!AJ21</f>
        <v>97000000</v>
      </c>
      <c r="I41" s="876">
        <f>'사업계획(매출 확정본)'!AK21</f>
        <v>101900000</v>
      </c>
      <c r="J41" s="876">
        <f>'사업계획(매출 확정본)'!AL21</f>
        <v>107000000</v>
      </c>
      <c r="K41" s="884">
        <f>'사업계획(매출 확정본)'!AM21</f>
        <v>112400000</v>
      </c>
    </row>
    <row r="42" spans="2:20" hidden="1" outlineLevel="1" x14ac:dyDescent="0.3">
      <c r="B42" s="1535" t="s">
        <v>37</v>
      </c>
      <c r="D42" s="870" t="e">
        <f>D41/#REF!-1</f>
        <v>#REF!</v>
      </c>
      <c r="E42" s="870">
        <f>E41/D41-1</f>
        <v>0.93221709165865074</v>
      </c>
      <c r="F42" s="870">
        <f>F41/E41-1</f>
        <v>-0.38424387980143337</v>
      </c>
      <c r="G42" s="870">
        <f t="shared" ref="G42:K42" si="28">G41/F41-1</f>
        <v>0.53361562630837267</v>
      </c>
      <c r="H42" s="870">
        <f t="shared" si="28"/>
        <v>4.9783549783549708E-2</v>
      </c>
      <c r="I42" s="870">
        <f t="shared" si="28"/>
        <v>5.0515463917525816E-2</v>
      </c>
      <c r="J42" s="870">
        <f t="shared" si="28"/>
        <v>5.0049067713444639E-2</v>
      </c>
      <c r="K42" s="871">
        <f t="shared" si="28"/>
        <v>5.0467289719626107E-2</v>
      </c>
      <c r="T42" s="10" t="s">
        <v>3347</v>
      </c>
    </row>
    <row r="43" spans="2:20" collapsed="1" x14ac:dyDescent="0.3">
      <c r="B43" s="849" t="s">
        <v>2761</v>
      </c>
      <c r="D43" s="123">
        <f>D46*D48/10^6</f>
        <v>642.92874500000005</v>
      </c>
      <c r="E43" s="123">
        <f t="shared" ref="E43:F43" si="29">E46*E48/10^6</f>
        <v>5.5727270000000004</v>
      </c>
      <c r="F43" s="123">
        <f t="shared" si="29"/>
        <v>13.954545</v>
      </c>
      <c r="G43" s="123">
        <f>IFERROR(G46*G48/10^6,0)</f>
        <v>0</v>
      </c>
      <c r="H43" s="123">
        <f>IFERROR(H46*H48/10^6,0)</f>
        <v>0</v>
      </c>
      <c r="I43" s="123">
        <f t="shared" ref="I43:K43" si="30">IFERROR(I46*I48/10^6,0)</f>
        <v>0</v>
      </c>
      <c r="J43" s="123">
        <f t="shared" si="30"/>
        <v>0</v>
      </c>
      <c r="K43" s="236">
        <f t="shared" si="30"/>
        <v>0</v>
      </c>
      <c r="T43" s="10" t="s">
        <v>3348</v>
      </c>
    </row>
    <row r="44" spans="2:20" hidden="1" x14ac:dyDescent="0.3">
      <c r="B44" s="1535" t="s">
        <v>37</v>
      </c>
      <c r="D44" s="870"/>
      <c r="E44" s="870">
        <f>E43/D43-1</f>
        <v>-0.991332278975954</v>
      </c>
      <c r="F44" s="870">
        <f>F43/E43-1</f>
        <v>1.5040783444084016</v>
      </c>
      <c r="G44" s="870">
        <f t="shared" ref="G44:K44" si="31">G43/F43-1</f>
        <v>-1</v>
      </c>
      <c r="H44" s="870" t="e">
        <f t="shared" si="31"/>
        <v>#DIV/0!</v>
      </c>
      <c r="I44" s="870" t="e">
        <f t="shared" si="31"/>
        <v>#DIV/0!</v>
      </c>
      <c r="J44" s="870" t="e">
        <f t="shared" si="31"/>
        <v>#DIV/0!</v>
      </c>
      <c r="K44" s="871" t="e">
        <f t="shared" si="31"/>
        <v>#DIV/0!</v>
      </c>
    </row>
    <row r="45" spans="2:20" x14ac:dyDescent="0.3">
      <c r="B45" s="1536" t="s">
        <v>3290</v>
      </c>
      <c r="D45" s="875">
        <f ca="1">D43/D$9</f>
        <v>1.1662191989372062E-2</v>
      </c>
      <c r="E45" s="875">
        <f t="shared" ref="E45:K45" si="32">E43/E$9</f>
        <v>7.4340548429392147E-5</v>
      </c>
      <c r="F45" s="875">
        <f t="shared" si="32"/>
        <v>1.7656861083178562E-4</v>
      </c>
      <c r="G45" s="875">
        <f t="shared" si="32"/>
        <v>0</v>
      </c>
      <c r="H45" s="875">
        <f t="shared" si="32"/>
        <v>0</v>
      </c>
      <c r="I45" s="875">
        <f t="shared" si="32"/>
        <v>0</v>
      </c>
      <c r="J45" s="875">
        <f t="shared" si="32"/>
        <v>0</v>
      </c>
      <c r="K45" s="1538">
        <f t="shared" si="32"/>
        <v>0</v>
      </c>
      <c r="T45" s="10" t="s">
        <v>3349</v>
      </c>
    </row>
    <row r="46" spans="2:20" hidden="1" outlineLevel="1" x14ac:dyDescent="0.3">
      <c r="B46" s="850" t="s">
        <v>2753</v>
      </c>
      <c r="D46" s="876">
        <f>'2015년 원장 (피벗) '!P12</f>
        <v>1</v>
      </c>
      <c r="E46" s="876">
        <f>'2016년 원장 (피벗)'!P12</f>
        <v>1</v>
      </c>
      <c r="F46" s="876">
        <v>1</v>
      </c>
      <c r="G46" s="847">
        <f>'사업계획(매출 확정본)'!AI26</f>
        <v>0</v>
      </c>
      <c r="H46" s="847">
        <f>'사업계획(매출 확정본)'!AJ26</f>
        <v>0</v>
      </c>
      <c r="I46" s="847">
        <f>'사업계획(매출 확정본)'!AK26</f>
        <v>0</v>
      </c>
      <c r="J46" s="847">
        <f>'사업계획(매출 확정본)'!AL26</f>
        <v>0</v>
      </c>
      <c r="K46" s="872">
        <f>IFERROR('사업계획(매출 확정본)'!AM27,0)</f>
        <v>0</v>
      </c>
      <c r="T46" s="10" t="s">
        <v>3350</v>
      </c>
    </row>
    <row r="47" spans="2:20" hidden="1" outlineLevel="1" x14ac:dyDescent="0.3">
      <c r="B47" s="1535" t="s">
        <v>37</v>
      </c>
      <c r="D47" s="870" t="e">
        <f>D46/#REF!-1</f>
        <v>#REF!</v>
      </c>
      <c r="E47" s="870">
        <f>E46/D46-1</f>
        <v>0</v>
      </c>
      <c r="F47" s="870">
        <f>F46/E46-1</f>
        <v>0</v>
      </c>
      <c r="G47" s="870">
        <f t="shared" ref="G47:K47" si="33">G46/F46-1</f>
        <v>-1</v>
      </c>
      <c r="H47" s="870" t="e">
        <f t="shared" si="33"/>
        <v>#DIV/0!</v>
      </c>
      <c r="I47" s="870" t="e">
        <f t="shared" si="33"/>
        <v>#DIV/0!</v>
      </c>
      <c r="J47" s="870" t="e">
        <f t="shared" si="33"/>
        <v>#DIV/0!</v>
      </c>
      <c r="K47" s="871" t="e">
        <f t="shared" si="33"/>
        <v>#DIV/0!</v>
      </c>
      <c r="T47" s="10" t="s">
        <v>3351</v>
      </c>
    </row>
    <row r="48" spans="2:20" hidden="1" outlineLevel="1" x14ac:dyDescent="0.3">
      <c r="B48" s="850" t="s">
        <v>2755</v>
      </c>
      <c r="D48" s="876">
        <f>'2015년 원장 (피벗) '!W12</f>
        <v>642928745</v>
      </c>
      <c r="E48" s="876">
        <f>'2016년 원장 (피벗)'!W12</f>
        <v>5572727</v>
      </c>
      <c r="F48" s="876">
        <v>13954545</v>
      </c>
      <c r="G48" s="123" t="e">
        <f>'사업계획(매출 확정본)'!AI27</f>
        <v>#DIV/0!</v>
      </c>
      <c r="H48" s="123" t="e">
        <f>'사업계획(매출 확정본)'!AJ27</f>
        <v>#DIV/0!</v>
      </c>
      <c r="I48" s="123" t="e">
        <f>'사업계획(매출 확정본)'!AK27</f>
        <v>#DIV/0!</v>
      </c>
      <c r="J48" s="123" t="e">
        <f>'사업계획(매출 확정본)'!AL27</f>
        <v>#DIV/0!</v>
      </c>
      <c r="K48" s="884"/>
      <c r="T48" s="10" t="s">
        <v>3352</v>
      </c>
    </row>
    <row r="49" spans="2:20" hidden="1" outlineLevel="1" x14ac:dyDescent="0.3">
      <c r="B49" s="1535" t="s">
        <v>37</v>
      </c>
      <c r="D49" s="870" t="e">
        <f>D48/#REF!-1</f>
        <v>#REF!</v>
      </c>
      <c r="E49" s="870">
        <f>E48/D48-1</f>
        <v>-0.991332278975954</v>
      </c>
      <c r="F49" s="870">
        <f>F48/E48-1</f>
        <v>1.504078344408402</v>
      </c>
      <c r="G49" s="870" t="e">
        <f t="shared" ref="G49:K49" si="34">G48/F48-1</f>
        <v>#DIV/0!</v>
      </c>
      <c r="H49" s="870" t="e">
        <f t="shared" si="34"/>
        <v>#DIV/0!</v>
      </c>
      <c r="I49" s="870" t="e">
        <f t="shared" si="34"/>
        <v>#DIV/0!</v>
      </c>
      <c r="J49" s="870" t="e">
        <f t="shared" si="34"/>
        <v>#DIV/0!</v>
      </c>
      <c r="K49" s="871" t="e">
        <f t="shared" si="34"/>
        <v>#DIV/0!</v>
      </c>
      <c r="T49" s="10" t="s">
        <v>3353</v>
      </c>
    </row>
    <row r="50" spans="2:20" collapsed="1" x14ac:dyDescent="0.3">
      <c r="B50" s="849" t="s">
        <v>3288</v>
      </c>
      <c r="D50" s="123">
        <f>D53*D55/10^6</f>
        <v>2438.8072739999998</v>
      </c>
      <c r="E50" s="123">
        <f t="shared" ref="E50:K50" si="35">E53*E55/10^6</f>
        <v>1229.971252</v>
      </c>
      <c r="F50" s="1585">
        <f t="shared" si="35"/>
        <v>1790.33691</v>
      </c>
      <c r="G50" s="1585">
        <f t="shared" si="35"/>
        <v>3337.5</v>
      </c>
      <c r="H50" s="123">
        <f t="shared" si="35"/>
        <v>4766.5</v>
      </c>
      <c r="I50" s="123">
        <f t="shared" si="35"/>
        <v>6539.4999999999991</v>
      </c>
      <c r="J50" s="123">
        <f t="shared" si="35"/>
        <v>7817</v>
      </c>
      <c r="K50" s="236">
        <f t="shared" si="35"/>
        <v>8587</v>
      </c>
      <c r="L50" s="1584" t="s">
        <v>3574</v>
      </c>
      <c r="T50" s="10" t="s">
        <v>3354</v>
      </c>
    </row>
    <row r="51" spans="2:20" hidden="1" x14ac:dyDescent="0.3">
      <c r="B51" s="1535" t="s">
        <v>37</v>
      </c>
      <c r="D51" s="870"/>
      <c r="E51" s="870">
        <f>E50/D50-1</f>
        <v>-0.49566689212687653</v>
      </c>
      <c r="F51" s="870">
        <f>F50/E50-1</f>
        <v>0.45559248404287089</v>
      </c>
      <c r="G51" s="870">
        <f t="shared" ref="G51:K51" si="36">G50/F50-1</f>
        <v>0.8641742687414069</v>
      </c>
      <c r="H51" s="870">
        <f t="shared" si="36"/>
        <v>0.42816479400749063</v>
      </c>
      <c r="I51" s="870">
        <f t="shared" si="36"/>
        <v>0.37197104793873903</v>
      </c>
      <c r="J51" s="870">
        <f t="shared" si="36"/>
        <v>0.1953513265540181</v>
      </c>
      <c r="K51" s="871">
        <f t="shared" si="36"/>
        <v>9.8503262121018231E-2</v>
      </c>
    </row>
    <row r="52" spans="2:20" x14ac:dyDescent="0.3">
      <c r="B52" s="1536" t="s">
        <v>3290</v>
      </c>
      <c r="D52" s="875">
        <f ca="1">D50/D$9</f>
        <v>4.423793285905285E-2</v>
      </c>
      <c r="E52" s="875">
        <f t="shared" ref="E52:K52" si="37">E50/E$9</f>
        <v>1.6407898220398395E-2</v>
      </c>
      <c r="F52" s="875">
        <f t="shared" si="37"/>
        <v>2.2653357821381608E-2</v>
      </c>
      <c r="G52" s="875">
        <f t="shared" si="37"/>
        <v>2.9787723976908823E-2</v>
      </c>
      <c r="H52" s="875">
        <f t="shared" si="37"/>
        <v>3.3348445604917641E-2</v>
      </c>
      <c r="I52" s="875">
        <f t="shared" si="37"/>
        <v>3.4792587867311993E-2</v>
      </c>
      <c r="J52" s="875">
        <f t="shared" si="37"/>
        <v>3.7581983724890453E-2</v>
      </c>
      <c r="K52" s="1538">
        <f t="shared" si="37"/>
        <v>3.7936169864976922E-2</v>
      </c>
      <c r="T52" s="10" t="s">
        <v>3355</v>
      </c>
    </row>
    <row r="53" spans="2:20" hidden="1" outlineLevel="1" x14ac:dyDescent="0.3">
      <c r="B53" s="850" t="s">
        <v>2753</v>
      </c>
      <c r="D53" s="876">
        <f>'2015년 원장 (피벗) '!P9</f>
        <v>22</v>
      </c>
      <c r="E53" s="876">
        <f>'2016년 원장 (피벗)'!P9</f>
        <v>23</v>
      </c>
      <c r="F53" s="876">
        <v>34</v>
      </c>
      <c r="G53" s="847">
        <f>'사업계획(매출 확정본)'!AI29</f>
        <v>53</v>
      </c>
      <c r="H53" s="847">
        <f>'사업계획(매출 확정본)'!AJ29</f>
        <v>70</v>
      </c>
      <c r="I53" s="847">
        <f>'사업계획(매출 확정본)'!AK29</f>
        <v>90</v>
      </c>
      <c r="J53" s="847">
        <f>'사업계획(매출 확정본)'!AL29</f>
        <v>105</v>
      </c>
      <c r="K53" s="872">
        <f>'사업계획(매출 확정본)'!AM29</f>
        <v>110</v>
      </c>
      <c r="T53" s="10" t="s">
        <v>3356</v>
      </c>
    </row>
    <row r="54" spans="2:20" hidden="1" outlineLevel="1" x14ac:dyDescent="0.3">
      <c r="B54" s="1535" t="s">
        <v>37</v>
      </c>
      <c r="D54" s="870" t="e">
        <f>D53/#REF!-1</f>
        <v>#REF!</v>
      </c>
      <c r="E54" s="870">
        <f>E53/D53-1</f>
        <v>4.5454545454545414E-2</v>
      </c>
      <c r="F54" s="870">
        <f>F53/E53-1</f>
        <v>0.47826086956521729</v>
      </c>
      <c r="G54" s="870">
        <f t="shared" ref="G54:K54" si="38">G53/F53-1</f>
        <v>0.55882352941176472</v>
      </c>
      <c r="H54" s="870">
        <f t="shared" si="38"/>
        <v>0.320754716981132</v>
      </c>
      <c r="I54" s="870">
        <f t="shared" si="38"/>
        <v>0.28571428571428581</v>
      </c>
      <c r="J54" s="870">
        <f t="shared" si="38"/>
        <v>0.16666666666666674</v>
      </c>
      <c r="K54" s="871">
        <f t="shared" si="38"/>
        <v>4.7619047619047672E-2</v>
      </c>
      <c r="T54" s="10" t="s">
        <v>3357</v>
      </c>
    </row>
    <row r="55" spans="2:20" hidden="1" outlineLevel="1" x14ac:dyDescent="0.3">
      <c r="B55" s="850" t="s">
        <v>2755</v>
      </c>
      <c r="D55" s="876">
        <f>'2015년 원장 (피벗) '!W9</f>
        <v>110854876.09090909</v>
      </c>
      <c r="E55" s="876">
        <f>'2016년 원장 (피벗)'!W9</f>
        <v>53477010.956521742</v>
      </c>
      <c r="F55" s="876">
        <v>52656967.941176474</v>
      </c>
      <c r="G55" s="876">
        <f>'사업계획(매출 확정본)'!AI30</f>
        <v>62971698.113207549</v>
      </c>
      <c r="H55" s="876">
        <f>'사업계획(매출 확정본)'!AJ30</f>
        <v>68092857.142857149</v>
      </c>
      <c r="I55" s="876">
        <f>'사업계획(매출 확정본)'!AK30</f>
        <v>72661111.111111104</v>
      </c>
      <c r="J55" s="876">
        <f>'사업계획(매출 확정본)'!AL30</f>
        <v>74447619.047619045</v>
      </c>
      <c r="K55" s="884">
        <f>'사업계획(매출 확정본)'!AM30</f>
        <v>78063636.36363636</v>
      </c>
      <c r="T55" s="966" t="s">
        <v>3358</v>
      </c>
    </row>
    <row r="56" spans="2:20" collapsed="1" x14ac:dyDescent="0.3">
      <c r="B56" s="845"/>
      <c r="F56" s="123"/>
      <c r="G56" s="847"/>
      <c r="H56" s="847"/>
      <c r="I56" s="847"/>
      <c r="J56" s="847"/>
      <c r="K56" s="872"/>
    </row>
    <row r="57" spans="2:20" x14ac:dyDescent="0.3">
      <c r="B57" s="1540" t="s">
        <v>649</v>
      </c>
      <c r="C57" s="1541"/>
      <c r="D57" s="1545">
        <f t="shared" ref="D57" si="39">D61+D67+D73+D79+D85+D91</f>
        <v>870.97954600000003</v>
      </c>
      <c r="E57" s="1545">
        <f>E61+E67+E73+E79+E85+E91</f>
        <v>10386.593374</v>
      </c>
      <c r="F57" s="1545">
        <f>F61+F67+F73+F79+F85+F91</f>
        <v>3467.3120779999999</v>
      </c>
      <c r="G57" s="1545">
        <f t="shared" ref="G57:K57" si="40">G61+G67+G73+G79+G85+G91</f>
        <v>9332</v>
      </c>
      <c r="H57" s="1545">
        <f t="shared" si="40"/>
        <v>13558</v>
      </c>
      <c r="I57" s="1545">
        <f t="shared" si="40"/>
        <v>19319.5</v>
      </c>
      <c r="J57" s="1545">
        <f t="shared" si="40"/>
        <v>22827.9</v>
      </c>
      <c r="K57" s="1546">
        <f t="shared" si="40"/>
        <v>25928</v>
      </c>
      <c r="T57" s="10" t="s">
        <v>3359</v>
      </c>
    </row>
    <row r="58" spans="2:20" x14ac:dyDescent="0.3">
      <c r="B58" s="873" t="s">
        <v>37</v>
      </c>
      <c r="D58" s="870"/>
      <c r="E58" s="870">
        <f>E57/D57-1</f>
        <v>10.925186328083988</v>
      </c>
      <c r="F58" s="870">
        <f>F57/E57-1</f>
        <v>-0.66617427359008108</v>
      </c>
      <c r="G58" s="870">
        <f t="shared" ref="G58:K58" si="41">G57/F57-1</f>
        <v>1.6914219978095666</v>
      </c>
      <c r="H58" s="870">
        <f t="shared" si="41"/>
        <v>0.45285040720102865</v>
      </c>
      <c r="I58" s="870">
        <f t="shared" si="41"/>
        <v>0.42495205782563805</v>
      </c>
      <c r="J58" s="870">
        <f t="shared" si="41"/>
        <v>0.1815989026631124</v>
      </c>
      <c r="K58" s="871">
        <f t="shared" si="41"/>
        <v>0.1358031181142374</v>
      </c>
      <c r="T58" s="10" t="s">
        <v>3360</v>
      </c>
    </row>
    <row r="59" spans="2:20" x14ac:dyDescent="0.3">
      <c r="B59" s="874" t="s">
        <v>3291</v>
      </c>
      <c r="D59" s="875">
        <f t="shared" ref="D59:J59" si="42">D57/D$6</f>
        <v>1.4055596032859991E-2</v>
      </c>
      <c r="E59" s="875">
        <f t="shared" si="42"/>
        <v>0.12746126972559202</v>
      </c>
      <c r="F59" s="875">
        <f t="shared" si="42"/>
        <v>3.7551859256615631E-2</v>
      </c>
      <c r="G59" s="875">
        <f t="shared" si="42"/>
        <v>6.2414851097103166E-2</v>
      </c>
      <c r="H59" s="875">
        <f t="shared" si="42"/>
        <v>7.0799260843210671E-2</v>
      </c>
      <c r="I59" s="875">
        <f t="shared" si="42"/>
        <v>7.8334708475099768E-2</v>
      </c>
      <c r="J59" s="875">
        <f t="shared" si="42"/>
        <v>8.360913012534063E-2</v>
      </c>
      <c r="K59" s="1538">
        <f t="shared" ref="K59" si="43">K57/K$6</f>
        <v>8.5301165936508397E-2</v>
      </c>
      <c r="T59" s="10" t="s">
        <v>3361</v>
      </c>
    </row>
    <row r="60" spans="2:20" x14ac:dyDescent="0.3">
      <c r="B60" s="235"/>
      <c r="F60" s="123"/>
      <c r="G60" s="847"/>
      <c r="H60" s="847"/>
      <c r="I60" s="847"/>
      <c r="J60" s="847"/>
      <c r="K60" s="872"/>
      <c r="T60" s="10" t="s">
        <v>3362</v>
      </c>
    </row>
    <row r="61" spans="2:20" x14ac:dyDescent="0.3">
      <c r="B61" s="849" t="s">
        <v>2751</v>
      </c>
      <c r="D61" s="123">
        <f>D63*D65/10^6</f>
        <v>48</v>
      </c>
      <c r="E61" s="123">
        <f t="shared" ref="E61:K61" si="44">E63*E65/10^6</f>
        <v>39</v>
      </c>
      <c r="F61" s="123">
        <f t="shared" si="44"/>
        <v>1091.440918</v>
      </c>
      <c r="G61" s="123">
        <f t="shared" si="44"/>
        <v>270</v>
      </c>
      <c r="H61" s="123">
        <f t="shared" si="44"/>
        <v>709</v>
      </c>
      <c r="I61" s="123">
        <f t="shared" si="44"/>
        <v>1489</v>
      </c>
      <c r="J61" s="123">
        <f t="shared" si="44"/>
        <v>2031.9</v>
      </c>
      <c r="K61" s="236">
        <f t="shared" si="44"/>
        <v>2461.5</v>
      </c>
      <c r="T61" s="10" t="s">
        <v>3363</v>
      </c>
    </row>
    <row r="62" spans="2:20" x14ac:dyDescent="0.3">
      <c r="B62" s="1535" t="s">
        <v>37</v>
      </c>
      <c r="D62" s="870"/>
      <c r="E62" s="870">
        <f>E61/D61-1</f>
        <v>-0.1875</v>
      </c>
      <c r="F62" s="870">
        <f>F61/E61-1</f>
        <v>26.985664564102564</v>
      </c>
      <c r="G62" s="870">
        <f t="shared" ref="G62:K62" si="45">G61/F61-1</f>
        <v>-0.75262059947801951</v>
      </c>
      <c r="H62" s="870">
        <f t="shared" si="45"/>
        <v>1.6259259259259258</v>
      </c>
      <c r="I62" s="870">
        <f t="shared" si="45"/>
        <v>1.1001410437235544</v>
      </c>
      <c r="J62" s="870">
        <f t="shared" si="45"/>
        <v>0.36460711887172614</v>
      </c>
      <c r="K62" s="871">
        <f t="shared" si="45"/>
        <v>0.21142772774250695</v>
      </c>
    </row>
    <row r="63" spans="2:20" hidden="1" outlineLevel="1" x14ac:dyDescent="0.3">
      <c r="B63" s="850" t="s">
        <v>2753</v>
      </c>
      <c r="D63" s="876">
        <f>'2015년 원장 (피벗) '!R10</f>
        <v>2</v>
      </c>
      <c r="E63" s="876">
        <f>'2016년 원장 (피벗)'!R10</f>
        <v>1</v>
      </c>
      <c r="F63" s="876">
        <v>11</v>
      </c>
      <c r="G63" s="847">
        <f>'사업계획(매출 확정본)'!AI32</f>
        <v>2</v>
      </c>
      <c r="H63" s="847">
        <f>'사업계획(매출 확정본)'!AJ32</f>
        <v>5</v>
      </c>
      <c r="I63" s="847">
        <f>'사업계획(매출 확정본)'!AK32</f>
        <v>10</v>
      </c>
      <c r="J63" s="847">
        <f>'사업계획(매출 확정본)'!AL32</f>
        <v>13</v>
      </c>
      <c r="K63" s="872">
        <f>'사업계획(매출 확정본)'!AM32</f>
        <v>15</v>
      </c>
      <c r="T63" s="10" t="s">
        <v>3364</v>
      </c>
    </row>
    <row r="64" spans="2:20" hidden="1" outlineLevel="1" x14ac:dyDescent="0.3">
      <c r="B64" s="1535" t="s">
        <v>37</v>
      </c>
      <c r="D64" s="870"/>
      <c r="E64" s="870">
        <f>E63/D63-1</f>
        <v>-0.5</v>
      </c>
      <c r="F64" s="870">
        <f>F63/E63-1</f>
        <v>10</v>
      </c>
      <c r="G64" s="870">
        <f t="shared" ref="G64:J64" si="46">G63/F63-1</f>
        <v>-0.81818181818181812</v>
      </c>
      <c r="H64" s="870">
        <f t="shared" si="46"/>
        <v>1.5</v>
      </c>
      <c r="I64" s="870">
        <f t="shared" si="46"/>
        <v>1</v>
      </c>
      <c r="J64" s="870">
        <f t="shared" si="46"/>
        <v>0.30000000000000004</v>
      </c>
      <c r="K64" s="872"/>
      <c r="T64" s="10" t="s">
        <v>3365</v>
      </c>
    </row>
    <row r="65" spans="2:51" hidden="1" outlineLevel="1" x14ac:dyDescent="0.3">
      <c r="B65" s="850" t="s">
        <v>2755</v>
      </c>
      <c r="D65" s="876">
        <f>'2015년 원장 (피벗) '!Y10</f>
        <v>24000000</v>
      </c>
      <c r="E65" s="876">
        <f>'2016년 원장 (피벗)'!Y10</f>
        <v>39000000</v>
      </c>
      <c r="F65" s="876">
        <v>99221901.63636364</v>
      </c>
      <c r="G65" s="876">
        <f>'사업계획(매출 확정본)'!AI33</f>
        <v>135000000</v>
      </c>
      <c r="H65" s="876">
        <f>'사업계획(매출 확정본)'!AJ33</f>
        <v>141800000</v>
      </c>
      <c r="I65" s="876">
        <f>'사업계획(매출 확정본)'!AK33</f>
        <v>148900000</v>
      </c>
      <c r="J65" s="876">
        <f>'사업계획(매출 확정본)'!AL33</f>
        <v>156300000</v>
      </c>
      <c r="K65" s="884">
        <f>'사업계획(매출 확정본)'!AM33</f>
        <v>164100000</v>
      </c>
    </row>
    <row r="66" spans="2:51" hidden="1" outlineLevel="1" x14ac:dyDescent="0.3">
      <c r="B66" s="1535" t="s">
        <v>37</v>
      </c>
      <c r="D66" s="870"/>
      <c r="E66" s="870">
        <f>E65/D65-1</f>
        <v>0.625</v>
      </c>
      <c r="F66" s="870">
        <f>F65/E65-1</f>
        <v>1.5441513240093241</v>
      </c>
      <c r="G66" s="870">
        <f t="shared" ref="G66:K66" si="47">G65/F65-1</f>
        <v>0.36058670287089223</v>
      </c>
      <c r="H66" s="870">
        <f t="shared" si="47"/>
        <v>5.0370370370370399E-2</v>
      </c>
      <c r="I66" s="870">
        <f t="shared" si="47"/>
        <v>5.0070521861777184E-2</v>
      </c>
      <c r="J66" s="870">
        <f t="shared" si="47"/>
        <v>4.9697783747481461E-2</v>
      </c>
      <c r="K66" s="871">
        <f t="shared" si="47"/>
        <v>4.9904030710172798E-2</v>
      </c>
      <c r="T66" s="10" t="s">
        <v>3366</v>
      </c>
    </row>
    <row r="67" spans="2:51" collapsed="1" x14ac:dyDescent="0.3">
      <c r="B67" s="849" t="s">
        <v>2756</v>
      </c>
      <c r="D67" s="123">
        <f>D69*D71/10^6</f>
        <v>207.6</v>
      </c>
      <c r="E67" s="123">
        <f t="shared" ref="E67:K67" si="48">E69*E71/10^6</f>
        <v>9940.0270079999991</v>
      </c>
      <c r="F67" s="123">
        <f t="shared" si="48"/>
        <v>1646.3075200000001</v>
      </c>
      <c r="G67" s="123">
        <f t="shared" si="48"/>
        <v>1944</v>
      </c>
      <c r="H67" s="123">
        <f t="shared" si="48"/>
        <v>2784.5</v>
      </c>
      <c r="I67" s="123">
        <f t="shared" si="48"/>
        <v>4140.5</v>
      </c>
      <c r="J67" s="123">
        <f t="shared" si="48"/>
        <v>3585</v>
      </c>
      <c r="K67" s="236">
        <f t="shared" si="48"/>
        <v>4035</v>
      </c>
      <c r="T67" s="10" t="s">
        <v>3367</v>
      </c>
    </row>
    <row r="68" spans="2:51" x14ac:dyDescent="0.3">
      <c r="B68" s="1535" t="s">
        <v>37</v>
      </c>
      <c r="D68" s="870"/>
      <c r="E68" s="870">
        <f>E67/D67-1</f>
        <v>46.880669595375721</v>
      </c>
      <c r="F68" s="870">
        <f>F67/E67-1</f>
        <v>-0.83437595102357287</v>
      </c>
      <c r="G68" s="870">
        <f t="shared" ref="G68:K68" si="49">G67/F67-1</f>
        <v>0.18082434562407879</v>
      </c>
      <c r="H68" s="870">
        <f t="shared" si="49"/>
        <v>0.43235596707818935</v>
      </c>
      <c r="I68" s="870">
        <f t="shared" si="49"/>
        <v>0.48698150475848445</v>
      </c>
      <c r="J68" s="870">
        <f t="shared" si="49"/>
        <v>-0.13416254075594736</v>
      </c>
      <c r="K68" s="871">
        <f t="shared" si="49"/>
        <v>0.12552301255230125</v>
      </c>
      <c r="T68" s="966" t="s">
        <v>3368</v>
      </c>
    </row>
    <row r="69" spans="2:51" hidden="1" outlineLevel="1" x14ac:dyDescent="0.3">
      <c r="B69" s="850" t="s">
        <v>2753</v>
      </c>
      <c r="D69" s="876">
        <f>'2015년 원장 (피벗) '!R11</f>
        <v>12</v>
      </c>
      <c r="E69" s="876">
        <f>'2016년 원장 (피벗)'!R11</f>
        <v>114</v>
      </c>
      <c r="F69" s="876">
        <v>60</v>
      </c>
      <c r="G69" s="847">
        <f>'사업계획(매출 확정본)'!AI35</f>
        <v>24</v>
      </c>
      <c r="H69" s="847">
        <f>'사업계획(매출 확정본)'!AJ35</f>
        <v>35</v>
      </c>
      <c r="I69" s="847">
        <f>'사업계획(매출 확정본)'!AK35</f>
        <v>50</v>
      </c>
      <c r="J69" s="847">
        <f>'사업계획(매출 확정본)'!AL35</f>
        <v>45</v>
      </c>
      <c r="K69" s="872">
        <f>'사업계획(매출 확정본)'!AM35</f>
        <v>50</v>
      </c>
    </row>
    <row r="70" spans="2:51" hidden="1" outlineLevel="1" x14ac:dyDescent="0.3">
      <c r="B70" s="1535" t="s">
        <v>37</v>
      </c>
      <c r="D70" s="870"/>
      <c r="E70" s="870">
        <f>E69/D69-1</f>
        <v>8.5</v>
      </c>
      <c r="F70" s="870">
        <f>F69/E69-1</f>
        <v>-0.47368421052631582</v>
      </c>
      <c r="G70" s="870">
        <f t="shared" ref="G70:K70" si="50">G69/F69-1</f>
        <v>-0.6</v>
      </c>
      <c r="H70" s="870">
        <f t="shared" si="50"/>
        <v>0.45833333333333326</v>
      </c>
      <c r="I70" s="870">
        <f t="shared" si="50"/>
        <v>0.4285714285714286</v>
      </c>
      <c r="J70" s="870">
        <f t="shared" si="50"/>
        <v>-9.9999999999999978E-2</v>
      </c>
      <c r="K70" s="871">
        <f t="shared" si="50"/>
        <v>0.11111111111111116</v>
      </c>
      <c r="T70" s="10" t="s">
        <v>3369</v>
      </c>
    </row>
    <row r="71" spans="2:51" hidden="1" outlineLevel="1" x14ac:dyDescent="0.3">
      <c r="B71" s="850" t="s">
        <v>2755</v>
      </c>
      <c r="D71" s="876">
        <f>'2015년 원장 (피벗) '!Y11</f>
        <v>17300000</v>
      </c>
      <c r="E71" s="876">
        <f>'2016년 원장 (피벗)'!Y11</f>
        <v>87193219.368421048</v>
      </c>
      <c r="F71" s="876">
        <v>27438458.666666668</v>
      </c>
      <c r="G71" s="876">
        <f>'사업계획(매출 확정본)'!AI36</f>
        <v>81000000</v>
      </c>
      <c r="H71" s="876">
        <f>'사업계획(매출 확정본)'!AJ36</f>
        <v>79557142.857142851</v>
      </c>
      <c r="I71" s="876">
        <f>'사업계획(매출 확정본)'!AK36</f>
        <v>82810000</v>
      </c>
      <c r="J71" s="876">
        <f>'사업계획(매출 확정본)'!AL36</f>
        <v>79666666.666666672</v>
      </c>
      <c r="K71" s="884">
        <f>'사업계획(매출 확정본)'!AM36</f>
        <v>80700000</v>
      </c>
      <c r="T71" s="10" t="s">
        <v>3370</v>
      </c>
      <c r="AY71" s="880"/>
    </row>
    <row r="72" spans="2:51" hidden="1" outlineLevel="1" x14ac:dyDescent="0.3">
      <c r="B72" s="1535" t="s">
        <v>37</v>
      </c>
      <c r="D72" s="870"/>
      <c r="E72" s="870">
        <f>E71/D71-1</f>
        <v>4.0400704837237598</v>
      </c>
      <c r="F72" s="870">
        <f>F71/E71-1</f>
        <v>-0.68531430694478845</v>
      </c>
      <c r="G72" s="870">
        <f t="shared" ref="G72:K72" si="51">G71/F71-1</f>
        <v>1.9520608640601966</v>
      </c>
      <c r="H72" s="870">
        <f t="shared" si="51"/>
        <v>-1.781305114638454E-2</v>
      </c>
      <c r="I72" s="870">
        <f t="shared" si="51"/>
        <v>4.0887053330939116E-2</v>
      </c>
      <c r="J72" s="870">
        <f t="shared" si="51"/>
        <v>-3.7958378617719224E-2</v>
      </c>
      <c r="K72" s="871">
        <f t="shared" si="51"/>
        <v>1.2970711297071169E-2</v>
      </c>
    </row>
    <row r="73" spans="2:51" collapsed="1" x14ac:dyDescent="0.3">
      <c r="B73" s="849" t="s">
        <v>2759</v>
      </c>
      <c r="D73" s="123">
        <f>IFERROR(D75*D77,0)/10^6</f>
        <v>0</v>
      </c>
      <c r="E73" s="123">
        <f t="shared" ref="E73:K73" si="52">IFERROR(E75*E77,0)/10^6</f>
        <v>0</v>
      </c>
      <c r="F73" s="123">
        <f t="shared" si="52"/>
        <v>54.627273000000002</v>
      </c>
      <c r="G73" s="123">
        <f t="shared" si="52"/>
        <v>4590</v>
      </c>
      <c r="H73" s="123">
        <f t="shared" si="52"/>
        <v>5769.5</v>
      </c>
      <c r="I73" s="123">
        <f t="shared" si="52"/>
        <v>7538.5000000000009</v>
      </c>
      <c r="J73" s="123">
        <f t="shared" si="52"/>
        <v>9027</v>
      </c>
      <c r="K73" s="236">
        <f t="shared" si="52"/>
        <v>9977</v>
      </c>
    </row>
    <row r="74" spans="2:51" x14ac:dyDescent="0.3">
      <c r="B74" s="1535" t="s">
        <v>37</v>
      </c>
      <c r="D74" s="870"/>
      <c r="E74" s="870" t="e">
        <f>E73/D73-1</f>
        <v>#DIV/0!</v>
      </c>
      <c r="F74" s="870" t="e">
        <f>F73/E73-1</f>
        <v>#DIV/0!</v>
      </c>
      <c r="G74" s="870">
        <f t="shared" ref="G74:K74" si="53">G73/F73-1</f>
        <v>83.02396363442854</v>
      </c>
      <c r="H74" s="870">
        <f t="shared" si="53"/>
        <v>0.2569716775599129</v>
      </c>
      <c r="I74" s="870">
        <f t="shared" si="53"/>
        <v>0.30661235808995602</v>
      </c>
      <c r="J74" s="870">
        <f t="shared" si="53"/>
        <v>0.19745307421900904</v>
      </c>
      <c r="K74" s="871">
        <f t="shared" si="53"/>
        <v>0.10523983604741338</v>
      </c>
    </row>
    <row r="75" spans="2:51" hidden="1" outlineLevel="1" x14ac:dyDescent="0.3">
      <c r="B75" s="850" t="s">
        <v>2753</v>
      </c>
      <c r="D75" s="876">
        <f>'2015년 원장 (피벗) '!R7</f>
        <v>0</v>
      </c>
      <c r="E75" s="876">
        <f>'2016년 원장 (피벗)'!R7</f>
        <v>0</v>
      </c>
      <c r="F75" s="876">
        <v>2</v>
      </c>
      <c r="G75" s="847">
        <f>'사업계획(매출 확정본)'!AI41</f>
        <v>289</v>
      </c>
      <c r="H75" s="847">
        <f>'사업계획(매출 확정본)'!AJ41</f>
        <v>335</v>
      </c>
      <c r="I75" s="847">
        <f>'사업계획(매출 확정본)'!AK41</f>
        <v>405</v>
      </c>
      <c r="J75" s="847">
        <f>'사업계획(매출 확정본)'!AL41</f>
        <v>465</v>
      </c>
      <c r="K75" s="872">
        <f>'사업계획(매출 확정본)'!AM41</f>
        <v>485</v>
      </c>
    </row>
    <row r="76" spans="2:51" hidden="1" outlineLevel="1" x14ac:dyDescent="0.3">
      <c r="B76" s="1535" t="s">
        <v>37</v>
      </c>
      <c r="D76" s="870"/>
      <c r="E76" s="870" t="e">
        <f>E75/D75-1</f>
        <v>#DIV/0!</v>
      </c>
      <c r="F76" s="870" t="e">
        <f>F75/E75-1</f>
        <v>#DIV/0!</v>
      </c>
      <c r="G76" s="870">
        <f t="shared" ref="G76:K76" si="54">G75/F75-1</f>
        <v>143.5</v>
      </c>
      <c r="H76" s="870">
        <f t="shared" si="54"/>
        <v>0.15916955017301038</v>
      </c>
      <c r="I76" s="870">
        <f t="shared" si="54"/>
        <v>0.20895522388059695</v>
      </c>
      <c r="J76" s="870">
        <f t="shared" si="54"/>
        <v>0.14814814814814814</v>
      </c>
      <c r="K76" s="871">
        <f t="shared" si="54"/>
        <v>4.3010752688172005E-2</v>
      </c>
    </row>
    <row r="77" spans="2:51" hidden="1" outlineLevel="1" x14ac:dyDescent="0.3">
      <c r="B77" s="850" t="s">
        <v>2755</v>
      </c>
      <c r="D77" s="876">
        <f>IFERROR('2015년 원장 (피벗) '!Y7,0)</f>
        <v>0</v>
      </c>
      <c r="E77" s="876">
        <f>IFERROR('2016년 원장 (피벗)'!Y7,0)</f>
        <v>0</v>
      </c>
      <c r="F77" s="876">
        <v>27313636.5</v>
      </c>
      <c r="G77" s="876">
        <f>'사업계획(매출 확정본)'!AI42</f>
        <v>15882352.94117647</v>
      </c>
      <c r="H77" s="876">
        <f>'사업계획(매출 확정본)'!AJ42</f>
        <v>17222388.059701491</v>
      </c>
      <c r="I77" s="876">
        <f>'사업계획(매출 확정본)'!AK42</f>
        <v>18613580.246913582</v>
      </c>
      <c r="J77" s="876">
        <f>'사업계획(매출 확정본)'!AL42</f>
        <v>19412903.225806452</v>
      </c>
      <c r="K77" s="884">
        <f>'사업계획(매출 확정본)'!AM42</f>
        <v>20571134.020618558</v>
      </c>
    </row>
    <row r="78" spans="2:51" hidden="1" outlineLevel="1" x14ac:dyDescent="0.3">
      <c r="B78" s="1535" t="s">
        <v>37</v>
      </c>
      <c r="D78" s="870" t="e">
        <f>D77/#REF!-1</f>
        <v>#REF!</v>
      </c>
      <c r="E78" s="870" t="e">
        <f>E77/D77-1</f>
        <v>#DIV/0!</v>
      </c>
      <c r="F78" s="870" t="e">
        <f>F77/E77-1</f>
        <v>#DIV/0!</v>
      </c>
      <c r="G78" s="870">
        <f t="shared" ref="G78:K78" si="55">G77/F77-1</f>
        <v>-0.4185192828067229</v>
      </c>
      <c r="H78" s="870">
        <f t="shared" si="55"/>
        <v>8.4372581536760638E-2</v>
      </c>
      <c r="I78" s="870">
        <f t="shared" si="55"/>
        <v>8.0778123358358656E-2</v>
      </c>
      <c r="J78" s="870">
        <f t="shared" si="55"/>
        <v>4.2943000126233644E-2</v>
      </c>
      <c r="K78" s="871">
        <f t="shared" si="55"/>
        <v>5.9662935591849875E-2</v>
      </c>
    </row>
    <row r="79" spans="2:51" collapsed="1" x14ac:dyDescent="0.3">
      <c r="B79" s="849" t="s">
        <v>2760</v>
      </c>
      <c r="D79" s="962">
        <f>D81*D83/10^6</f>
        <v>462.526183</v>
      </c>
      <c r="E79" s="962">
        <f t="shared" ref="E79:K79" si="56">E81*E83/10^6</f>
        <v>407.56636600000002</v>
      </c>
      <c r="F79" s="962">
        <f t="shared" si="56"/>
        <v>580.43636700000002</v>
      </c>
      <c r="G79" s="962">
        <f t="shared" si="56"/>
        <v>2528</v>
      </c>
      <c r="H79" s="962">
        <f t="shared" si="56"/>
        <v>4295</v>
      </c>
      <c r="I79" s="962">
        <f t="shared" si="56"/>
        <v>6151.5</v>
      </c>
      <c r="J79" s="962">
        <f t="shared" si="56"/>
        <v>8184</v>
      </c>
      <c r="K79" s="1539">
        <f t="shared" si="56"/>
        <v>9454.5</v>
      </c>
    </row>
    <row r="80" spans="2:51" x14ac:dyDescent="0.3">
      <c r="B80" s="1535" t="s">
        <v>37</v>
      </c>
      <c r="D80" s="870"/>
      <c r="E80" s="870">
        <f>E79/D79-1</f>
        <v>-0.11882530983116257</v>
      </c>
      <c r="F80" s="870">
        <f>F79/E79-1</f>
        <v>0.42415178341777104</v>
      </c>
      <c r="G80" s="870">
        <f t="shared" ref="G80:K80" si="57">G79/F79-1</f>
        <v>3.3553439166226466</v>
      </c>
      <c r="H80" s="870">
        <f t="shared" si="57"/>
        <v>0.69897151898734178</v>
      </c>
      <c r="I80" s="870">
        <f t="shared" si="57"/>
        <v>0.43224679860302673</v>
      </c>
      <c r="J80" s="870">
        <f t="shared" si="57"/>
        <v>0.33040721775176785</v>
      </c>
      <c r="K80" s="871">
        <f t="shared" si="57"/>
        <v>0.155241935483871</v>
      </c>
    </row>
    <row r="81" spans="2:11" hidden="1" outlineLevel="1" x14ac:dyDescent="0.3">
      <c r="B81" s="850" t="s">
        <v>2753</v>
      </c>
      <c r="D81" s="123">
        <f>'2015년 원장 (피벗) '!R8</f>
        <v>7</v>
      </c>
      <c r="E81" s="123">
        <f>'2016년 원장 (피벗)'!R8</f>
        <v>4</v>
      </c>
      <c r="F81" s="123">
        <v>9</v>
      </c>
      <c r="G81" s="123">
        <f>'사업계획(매출 확정본)'!AI38</f>
        <v>24</v>
      </c>
      <c r="H81" s="123">
        <f>'사업계획(매출 확정본)'!AJ38</f>
        <v>40</v>
      </c>
      <c r="I81" s="123">
        <f>'사업계획(매출 확정본)'!AK38</f>
        <v>55</v>
      </c>
      <c r="J81" s="123">
        <f>'사업계획(매출 확정본)'!AL38</f>
        <v>70</v>
      </c>
      <c r="K81" s="236">
        <f>'사업계획(매출 확정본)'!AM38</f>
        <v>77</v>
      </c>
    </row>
    <row r="82" spans="2:11" hidden="1" outlineLevel="1" x14ac:dyDescent="0.3">
      <c r="B82" s="1535" t="s">
        <v>37</v>
      </c>
      <c r="D82" s="870"/>
      <c r="E82" s="870">
        <f>E81/D81-1</f>
        <v>-0.4285714285714286</v>
      </c>
      <c r="F82" s="870">
        <f>F81/E81-1</f>
        <v>1.25</v>
      </c>
      <c r="G82" s="870">
        <f t="shared" ref="G82:J82" si="58">G81/F81-1</f>
        <v>1.6666666666666665</v>
      </c>
      <c r="H82" s="870">
        <f t="shared" si="58"/>
        <v>0.66666666666666674</v>
      </c>
      <c r="I82" s="870">
        <f t="shared" si="58"/>
        <v>0.375</v>
      </c>
      <c r="J82" s="870">
        <f t="shared" si="58"/>
        <v>0.27272727272727271</v>
      </c>
      <c r="K82" s="872"/>
    </row>
    <row r="83" spans="2:11" hidden="1" outlineLevel="1" x14ac:dyDescent="0.3">
      <c r="B83" s="850" t="s">
        <v>2755</v>
      </c>
      <c r="D83" s="876">
        <f>'2015년 원장 (피벗) '!Y8</f>
        <v>66075169</v>
      </c>
      <c r="E83" s="876">
        <f>'2016년 원장 (피벗)'!Y8</f>
        <v>101891591.5</v>
      </c>
      <c r="F83" s="876">
        <v>64492929.666666664</v>
      </c>
      <c r="G83" s="876">
        <f>'사업계획(매출 확정본)'!AI39</f>
        <v>105333333.33333333</v>
      </c>
      <c r="H83" s="876">
        <f>'사업계획(매출 확정본)'!AJ39</f>
        <v>107375000</v>
      </c>
      <c r="I83" s="876">
        <f>'사업계획(매출 확정본)'!AK39</f>
        <v>111845454.54545455</v>
      </c>
      <c r="J83" s="876">
        <f>'사업계획(매출 확정본)'!AL39</f>
        <v>116914285.71428572</v>
      </c>
      <c r="K83" s="884">
        <f>'사업계획(매출 확정본)'!AM39</f>
        <v>122785714.28571428</v>
      </c>
    </row>
    <row r="84" spans="2:11" hidden="1" outlineLevel="1" x14ac:dyDescent="0.3">
      <c r="B84" s="1535" t="s">
        <v>37</v>
      </c>
      <c r="D84" s="870"/>
      <c r="E84" s="870">
        <f>E83/D83-1</f>
        <v>0.54205570779546552</v>
      </c>
      <c r="F84" s="870">
        <f>F83/E83-1</f>
        <v>-0.36704365181432397</v>
      </c>
      <c r="G84" s="870">
        <f t="shared" ref="G84:K84" si="59">G83/F83-1</f>
        <v>0.6332539687334926</v>
      </c>
      <c r="H84" s="870">
        <f t="shared" si="59"/>
        <v>1.9382911392405111E-2</v>
      </c>
      <c r="I84" s="870">
        <f t="shared" si="59"/>
        <v>4.1634035347655862E-2</v>
      </c>
      <c r="J84" s="870">
        <f t="shared" si="59"/>
        <v>4.5319956804960482E-2</v>
      </c>
      <c r="K84" s="871">
        <f t="shared" si="59"/>
        <v>5.0219941348973673E-2</v>
      </c>
    </row>
    <row r="85" spans="2:11" collapsed="1" x14ac:dyDescent="0.3">
      <c r="B85" s="849" t="s">
        <v>2761</v>
      </c>
      <c r="D85" s="123">
        <f>IFERROR(D87*D89,0)/10^6</f>
        <v>0</v>
      </c>
      <c r="E85" s="123">
        <f t="shared" ref="E85:K85" si="60">IFERROR(E87*E89,0)/10^6</f>
        <v>0</v>
      </c>
      <c r="F85" s="123">
        <f t="shared" si="60"/>
        <v>0</v>
      </c>
      <c r="G85" s="123">
        <f t="shared" si="60"/>
        <v>0</v>
      </c>
      <c r="H85" s="123">
        <f t="shared" si="60"/>
        <v>0</v>
      </c>
      <c r="I85" s="123">
        <f t="shared" si="60"/>
        <v>0</v>
      </c>
      <c r="J85" s="123">
        <f t="shared" si="60"/>
        <v>0</v>
      </c>
      <c r="K85" s="236">
        <f t="shared" si="60"/>
        <v>0</v>
      </c>
    </row>
    <row r="86" spans="2:11" x14ac:dyDescent="0.3">
      <c r="B86" s="1535" t="s">
        <v>37</v>
      </c>
      <c r="D86" s="870"/>
      <c r="E86" s="870" t="e">
        <f>E85/D85-1</f>
        <v>#DIV/0!</v>
      </c>
      <c r="F86" s="870" t="e">
        <f>F85/E85-1</f>
        <v>#DIV/0!</v>
      </c>
      <c r="G86" s="870" t="e">
        <f t="shared" ref="G86:K86" si="61">G85/F85-1</f>
        <v>#DIV/0!</v>
      </c>
      <c r="H86" s="870" t="e">
        <f t="shared" si="61"/>
        <v>#DIV/0!</v>
      </c>
      <c r="I86" s="870" t="e">
        <f t="shared" si="61"/>
        <v>#DIV/0!</v>
      </c>
      <c r="J86" s="870" t="e">
        <f t="shared" si="61"/>
        <v>#DIV/0!</v>
      </c>
      <c r="K86" s="871" t="e">
        <f t="shared" si="61"/>
        <v>#DIV/0!</v>
      </c>
    </row>
    <row r="87" spans="2:11" hidden="1" outlineLevel="1" x14ac:dyDescent="0.3">
      <c r="B87" s="850" t="s">
        <v>2753</v>
      </c>
      <c r="D87" s="123">
        <f>'2015년 원장 (피벗) '!R12</f>
        <v>0</v>
      </c>
      <c r="E87" s="123">
        <f>'2016년 원장 (피벗)'!R12</f>
        <v>0</v>
      </c>
      <c r="F87" s="123">
        <v>0</v>
      </c>
      <c r="G87" s="123">
        <f>'사업계획(매출 확정본)'!AI44</f>
        <v>0</v>
      </c>
      <c r="H87" s="123">
        <f>'사업계획(매출 확정본)'!AJ44</f>
        <v>0</v>
      </c>
      <c r="I87" s="123">
        <f>'사업계획(매출 확정본)'!AK44</f>
        <v>0</v>
      </c>
      <c r="J87" s="123">
        <f>'사업계획(매출 확정본)'!AL44</f>
        <v>0</v>
      </c>
      <c r="K87" s="236">
        <f>'사업계획(매출 확정본)'!AM44</f>
        <v>0</v>
      </c>
    </row>
    <row r="88" spans="2:11" hidden="1" outlineLevel="1" x14ac:dyDescent="0.3">
      <c r="B88" s="1535" t="s">
        <v>37</v>
      </c>
      <c r="D88" s="870"/>
      <c r="E88" s="870" t="e">
        <f>E87/D87-1</f>
        <v>#DIV/0!</v>
      </c>
      <c r="F88" s="870" t="e">
        <f>F87/E87-1</f>
        <v>#DIV/0!</v>
      </c>
      <c r="G88" s="870" t="e">
        <f t="shared" ref="G88:K88" si="62">G87/F87-1</f>
        <v>#DIV/0!</v>
      </c>
      <c r="H88" s="870" t="e">
        <f t="shared" si="62"/>
        <v>#DIV/0!</v>
      </c>
      <c r="I88" s="870" t="e">
        <f t="shared" si="62"/>
        <v>#DIV/0!</v>
      </c>
      <c r="J88" s="870" t="e">
        <f t="shared" si="62"/>
        <v>#DIV/0!</v>
      </c>
      <c r="K88" s="871" t="e">
        <f t="shared" si="62"/>
        <v>#DIV/0!</v>
      </c>
    </row>
    <row r="89" spans="2:11" hidden="1" outlineLevel="1" x14ac:dyDescent="0.3">
      <c r="B89" s="850" t="s">
        <v>2755</v>
      </c>
      <c r="D89" s="876">
        <f>IFERROR('2015년 원장 (피벗) '!Y12,0)</f>
        <v>0</v>
      </c>
      <c r="E89" s="876">
        <f>IFERROR('2016년 원장 (피벗)'!Y12,0)</f>
        <v>0</v>
      </c>
      <c r="F89" s="876" t="e">
        <v>#DIV/0!</v>
      </c>
      <c r="G89" s="876" t="e">
        <f>'사업계획(매출 확정본)'!AI45</f>
        <v>#DIV/0!</v>
      </c>
      <c r="H89" s="876" t="e">
        <f>'사업계획(매출 확정본)'!AJ45</f>
        <v>#DIV/0!</v>
      </c>
      <c r="I89" s="876" t="e">
        <f>'사업계획(매출 확정본)'!AK45</f>
        <v>#DIV/0!</v>
      </c>
      <c r="J89" s="876" t="e">
        <f>'사업계획(매출 확정본)'!AL45</f>
        <v>#DIV/0!</v>
      </c>
      <c r="K89" s="872"/>
    </row>
    <row r="90" spans="2:11" hidden="1" outlineLevel="1" x14ac:dyDescent="0.3">
      <c r="B90" s="1535" t="s">
        <v>37</v>
      </c>
      <c r="D90" s="870" t="e">
        <f>D89/#REF!-1</f>
        <v>#REF!</v>
      </c>
      <c r="E90" s="870" t="e">
        <f>E89/D89-1</f>
        <v>#DIV/0!</v>
      </c>
      <c r="F90" s="870" t="e">
        <f>F89/E89-1</f>
        <v>#DIV/0!</v>
      </c>
      <c r="G90" s="870" t="e">
        <f t="shared" ref="G90:K90" si="63">G89/F89-1</f>
        <v>#DIV/0!</v>
      </c>
      <c r="H90" s="870" t="e">
        <f t="shared" si="63"/>
        <v>#DIV/0!</v>
      </c>
      <c r="I90" s="870" t="e">
        <f t="shared" si="63"/>
        <v>#DIV/0!</v>
      </c>
      <c r="J90" s="870" t="e">
        <f t="shared" si="63"/>
        <v>#DIV/0!</v>
      </c>
      <c r="K90" s="871" t="e">
        <f t="shared" si="63"/>
        <v>#DIV/0!</v>
      </c>
    </row>
    <row r="91" spans="2:11" collapsed="1" x14ac:dyDescent="0.3">
      <c r="B91" s="849" t="s">
        <v>2762</v>
      </c>
      <c r="D91" s="123">
        <f>D93*D95/10^6</f>
        <v>152.853363</v>
      </c>
      <c r="E91" s="123">
        <f>IFERROR(E93*E95/10^6,0)</f>
        <v>0</v>
      </c>
      <c r="F91" s="123">
        <f t="shared" ref="F91" si="64">F93*F95/10^6</f>
        <v>94.5</v>
      </c>
      <c r="G91" s="123">
        <f>IFERROR(G93*G95/10^6,)</f>
        <v>0</v>
      </c>
      <c r="H91" s="123">
        <f t="shared" ref="H91:K91" si="65">IFERROR(H93*H95/10^6,)</f>
        <v>0</v>
      </c>
      <c r="I91" s="123">
        <f t="shared" si="65"/>
        <v>0</v>
      </c>
      <c r="J91" s="123">
        <f t="shared" si="65"/>
        <v>0</v>
      </c>
      <c r="K91" s="236">
        <f t="shared" si="65"/>
        <v>0</v>
      </c>
    </row>
    <row r="92" spans="2:11" x14ac:dyDescent="0.3">
      <c r="B92" s="1535" t="s">
        <v>37</v>
      </c>
      <c r="D92" s="870"/>
      <c r="E92" s="870">
        <f>E91/D91-1</f>
        <v>-1</v>
      </c>
      <c r="F92" s="870" t="e">
        <f>F91/E91-1</f>
        <v>#DIV/0!</v>
      </c>
      <c r="G92" s="870">
        <f t="shared" ref="G92:K92" si="66">G91/F91-1</f>
        <v>-1</v>
      </c>
      <c r="H92" s="870" t="e">
        <f t="shared" si="66"/>
        <v>#DIV/0!</v>
      </c>
      <c r="I92" s="870" t="e">
        <f t="shared" si="66"/>
        <v>#DIV/0!</v>
      </c>
      <c r="J92" s="870" t="e">
        <f t="shared" si="66"/>
        <v>#DIV/0!</v>
      </c>
      <c r="K92" s="871" t="e">
        <f t="shared" si="66"/>
        <v>#DIV/0!</v>
      </c>
    </row>
    <row r="93" spans="2:11" hidden="1" outlineLevel="1" x14ac:dyDescent="0.3">
      <c r="B93" s="850" t="s">
        <v>2753</v>
      </c>
      <c r="D93" s="876">
        <f>'2015년 원장 (피벗) '!R9</f>
        <v>8</v>
      </c>
      <c r="E93" s="876">
        <f>'2016년 원장 (피벗)'!R9</f>
        <v>0</v>
      </c>
      <c r="F93" s="876">
        <v>4</v>
      </c>
      <c r="G93" s="847">
        <f>'사업계획(매출 확정본)'!AI47</f>
        <v>0</v>
      </c>
      <c r="H93" s="847">
        <f>'사업계획(매출 확정본)'!AJ47</f>
        <v>0</v>
      </c>
      <c r="I93" s="847">
        <f>'사업계획(매출 확정본)'!AK47</f>
        <v>0</v>
      </c>
      <c r="J93" s="847">
        <f>'사업계획(매출 확정본)'!AL47</f>
        <v>0</v>
      </c>
      <c r="K93" s="872">
        <f>'사업계획(매출 확정본)'!AM47</f>
        <v>0</v>
      </c>
    </row>
    <row r="94" spans="2:11" hidden="1" outlineLevel="1" x14ac:dyDescent="0.3">
      <c r="B94" s="1535" t="s">
        <v>37</v>
      </c>
      <c r="D94" s="870"/>
      <c r="E94" s="870">
        <f>E93/D93-1</f>
        <v>-1</v>
      </c>
      <c r="F94" s="870" t="e">
        <f>F93/E93-1</f>
        <v>#DIV/0!</v>
      </c>
      <c r="G94" s="870">
        <f t="shared" ref="G94:K94" si="67">G93/F93-1</f>
        <v>-1</v>
      </c>
      <c r="H94" s="870" t="e">
        <f t="shared" si="67"/>
        <v>#DIV/0!</v>
      </c>
      <c r="I94" s="870" t="e">
        <f t="shared" si="67"/>
        <v>#DIV/0!</v>
      </c>
      <c r="J94" s="870" t="e">
        <f t="shared" si="67"/>
        <v>#DIV/0!</v>
      </c>
      <c r="K94" s="871" t="e">
        <f t="shared" si="67"/>
        <v>#DIV/0!</v>
      </c>
    </row>
    <row r="95" spans="2:11" hidden="1" outlineLevel="1" x14ac:dyDescent="0.3">
      <c r="B95" s="850" t="s">
        <v>2755</v>
      </c>
      <c r="D95" s="876">
        <f>'2015년 원장 (피벗) '!Y9</f>
        <v>19106670.375</v>
      </c>
      <c r="E95" s="876">
        <f>IFERROR('2016년 원장 (피벗)'!Y9,0)</f>
        <v>0</v>
      </c>
      <c r="F95" s="876">
        <v>23625000</v>
      </c>
      <c r="G95" s="876" t="e">
        <f>'사업계획(매출 확정본)'!AI48</f>
        <v>#DIV/0!</v>
      </c>
      <c r="H95" s="876" t="e">
        <f>'사업계획(매출 확정본)'!AJ48</f>
        <v>#DIV/0!</v>
      </c>
      <c r="I95" s="876" t="e">
        <f>'사업계획(매출 확정본)'!AK48</f>
        <v>#DIV/0!</v>
      </c>
      <c r="J95" s="876" t="e">
        <f>'사업계획(매출 확정본)'!AL48</f>
        <v>#DIV/0!</v>
      </c>
      <c r="K95" s="884">
        <f>IFERROR('사업계획(매출 확정본)'!AM48,0)</f>
        <v>0</v>
      </c>
    </row>
    <row r="96" spans="2:11" hidden="1" outlineLevel="1" x14ac:dyDescent="0.3">
      <c r="B96" s="1535" t="s">
        <v>37</v>
      </c>
      <c r="D96" s="870"/>
      <c r="E96" s="870">
        <f>E95/D95-1</f>
        <v>-1</v>
      </c>
      <c r="F96" s="870" t="e">
        <f>F95/E95-1</f>
        <v>#DIV/0!</v>
      </c>
      <c r="G96" s="870" t="e">
        <f t="shared" ref="G96:K96" si="68">G95/F95-1</f>
        <v>#DIV/0!</v>
      </c>
      <c r="H96" s="870" t="e">
        <f t="shared" si="68"/>
        <v>#DIV/0!</v>
      </c>
      <c r="I96" s="870" t="e">
        <f t="shared" si="68"/>
        <v>#DIV/0!</v>
      </c>
      <c r="J96" s="870" t="e">
        <f t="shared" si="68"/>
        <v>#DIV/0!</v>
      </c>
      <c r="K96" s="871" t="e">
        <f t="shared" si="68"/>
        <v>#DIV/0!</v>
      </c>
    </row>
    <row r="97" spans="2:11" collapsed="1" x14ac:dyDescent="0.3">
      <c r="B97" s="235"/>
      <c r="F97" s="847"/>
      <c r="G97" s="847"/>
      <c r="H97" s="847"/>
      <c r="I97" s="847"/>
      <c r="J97" s="847"/>
      <c r="K97" s="872"/>
    </row>
    <row r="98" spans="2:11" x14ac:dyDescent="0.3">
      <c r="B98" s="1540" t="s">
        <v>2124</v>
      </c>
      <c r="C98" s="1541"/>
      <c r="D98" s="1545">
        <f t="shared" ref="D98" ca="1" si="69">D102+D108+D114+D120+D126+D132</f>
        <v>18172.158093000002</v>
      </c>
      <c r="E98" s="1545">
        <f>E102+E108+E114+E120+E126+E132</f>
        <v>19174.654919545454</v>
      </c>
      <c r="F98" s="1545">
        <f>F102+F108+F114+F120+F126+F132</f>
        <v>26083.747363545455</v>
      </c>
      <c r="G98" s="1545">
        <f t="shared" ref="G98:K98" si="70">G102+G108+G114+G120+G126+G132</f>
        <v>41420</v>
      </c>
      <c r="H98" s="1545">
        <f t="shared" si="70"/>
        <v>50014.500000000007</v>
      </c>
      <c r="I98" s="1545">
        <f t="shared" si="70"/>
        <v>59321.499999999993</v>
      </c>
      <c r="J98" s="1545">
        <f t="shared" si="70"/>
        <v>65377.500000000007</v>
      </c>
      <c r="K98" s="1546">
        <f t="shared" si="70"/>
        <v>68774</v>
      </c>
    </row>
    <row r="99" spans="2:11" x14ac:dyDescent="0.3">
      <c r="B99" s="873" t="s">
        <v>37</v>
      </c>
      <c r="D99" s="870"/>
      <c r="E99" s="870">
        <f ca="1">E98/D98-1</f>
        <v>5.5166635763069793E-2</v>
      </c>
      <c r="F99" s="870">
        <f>F98/E98-1</f>
        <v>0.36032421302963336</v>
      </c>
      <c r="G99" s="870">
        <f t="shared" ref="G99:K99" si="71">G98/F98-1</f>
        <v>0.58796201415017668</v>
      </c>
      <c r="H99" s="870">
        <f t="shared" si="71"/>
        <v>0.20749637856108172</v>
      </c>
      <c r="I99" s="870">
        <f t="shared" si="71"/>
        <v>0.18608603504983523</v>
      </c>
      <c r="J99" s="870">
        <f t="shared" si="71"/>
        <v>0.10208777593284069</v>
      </c>
      <c r="K99" s="871">
        <f t="shared" si="71"/>
        <v>5.1952124201751326E-2</v>
      </c>
    </row>
    <row r="100" spans="2:11" x14ac:dyDescent="0.3">
      <c r="B100" s="874" t="s">
        <v>3291</v>
      </c>
      <c r="D100" s="875">
        <f t="shared" ref="D100:J100" ca="1" si="72">D98/D$6</f>
        <v>0.29325661477758214</v>
      </c>
      <c r="E100" s="875">
        <f t="shared" si="72"/>
        <v>0.23530581920278926</v>
      </c>
      <c r="F100" s="875">
        <f t="shared" si="72"/>
        <v>0.28249352462267113</v>
      </c>
      <c r="G100" s="875">
        <f t="shared" si="72"/>
        <v>0.27702776815709529</v>
      </c>
      <c r="H100" s="875">
        <f t="shared" si="72"/>
        <v>0.26117344973025225</v>
      </c>
      <c r="I100" s="875">
        <f t="shared" si="72"/>
        <v>0.2405306767155273</v>
      </c>
      <c r="J100" s="875">
        <f t="shared" si="72"/>
        <v>0.23945066803207729</v>
      </c>
      <c r="K100" s="1538">
        <f t="shared" ref="K100" si="73">K98/K$6</f>
        <v>0.22626127684809583</v>
      </c>
    </row>
    <row r="101" spans="2:11" x14ac:dyDescent="0.3">
      <c r="B101" s="844"/>
      <c r="F101" s="123"/>
      <c r="G101" s="877"/>
      <c r="H101" s="877"/>
      <c r="I101" s="877"/>
      <c r="J101" s="877"/>
      <c r="K101" s="872"/>
    </row>
    <row r="102" spans="2:11" x14ac:dyDescent="0.3">
      <c r="B102" s="849" t="s">
        <v>2751</v>
      </c>
      <c r="D102" s="123">
        <f>D104*D106/10^6</f>
        <v>15758.238277000002</v>
      </c>
      <c r="E102" s="123">
        <f t="shared" ref="E102:K102" si="74">E104*E106/10^6</f>
        <v>16127.709009</v>
      </c>
      <c r="F102" s="1559">
        <f t="shared" si="74"/>
        <v>24091.419998000001</v>
      </c>
      <c r="G102" s="1559">
        <f t="shared" si="74"/>
        <v>41420</v>
      </c>
      <c r="H102" s="123">
        <f t="shared" si="74"/>
        <v>50014.500000000007</v>
      </c>
      <c r="I102" s="123">
        <f t="shared" si="74"/>
        <v>59321.499999999993</v>
      </c>
      <c r="J102" s="123">
        <f t="shared" si="74"/>
        <v>65377.500000000007</v>
      </c>
      <c r="K102" s="236">
        <f t="shared" si="74"/>
        <v>68774</v>
      </c>
    </row>
    <row r="103" spans="2:11" x14ac:dyDescent="0.3">
      <c r="B103" s="1535" t="s">
        <v>37</v>
      </c>
      <c r="D103" s="870"/>
      <c r="E103" s="870">
        <f>E102/D102-1</f>
        <v>2.3446195285627969E-2</v>
      </c>
      <c r="F103" s="870">
        <f>F102/E102-1</f>
        <v>0.49379059261026392</v>
      </c>
      <c r="G103" s="870">
        <f t="shared" ref="G103:K103" si="75">G102/F102-1</f>
        <v>0.71928429305697072</v>
      </c>
      <c r="H103" s="870">
        <f t="shared" si="75"/>
        <v>0.20749637856108172</v>
      </c>
      <c r="I103" s="870">
        <f t="shared" si="75"/>
        <v>0.18608603504983523</v>
      </c>
      <c r="J103" s="870">
        <f t="shared" si="75"/>
        <v>0.10208777593284069</v>
      </c>
      <c r="K103" s="871">
        <f t="shared" si="75"/>
        <v>5.1952124201751326E-2</v>
      </c>
    </row>
    <row r="104" spans="2:11" hidden="1" outlineLevel="1" x14ac:dyDescent="0.3">
      <c r="B104" s="850" t="s">
        <v>2753</v>
      </c>
      <c r="D104" s="876">
        <f>'2015년 원장 (피벗) '!S10</f>
        <v>108</v>
      </c>
      <c r="E104" s="876">
        <f>'2016년 원장 (피벗)'!S10</f>
        <v>131</v>
      </c>
      <c r="F104" s="876">
        <v>155</v>
      </c>
      <c r="G104" s="876">
        <f>'사업계획(매출 확정본)'!AI50</f>
        <v>260</v>
      </c>
      <c r="H104" s="876">
        <f>'사업계획(매출 확정본)'!AJ50</f>
        <v>305</v>
      </c>
      <c r="I104" s="876">
        <f>'사업계획(매출 확정본)'!AK50</f>
        <v>345</v>
      </c>
      <c r="J104" s="876">
        <f>'사업계획(매출 확정본)'!AL50</f>
        <v>365</v>
      </c>
      <c r="K104" s="884">
        <f>'사업계획(매출 확정본)'!AM50</f>
        <v>370</v>
      </c>
    </row>
    <row r="105" spans="2:11" hidden="1" outlineLevel="1" x14ac:dyDescent="0.3">
      <c r="B105" s="1535" t="s">
        <v>37</v>
      </c>
      <c r="D105" s="870"/>
      <c r="E105" s="870">
        <f>E104/D104-1</f>
        <v>0.21296296296296302</v>
      </c>
      <c r="F105" s="870">
        <f>F104/E104-1</f>
        <v>0.18320610687022909</v>
      </c>
      <c r="G105" s="870">
        <f t="shared" ref="G105:J105" si="76">G104/F104-1</f>
        <v>0.67741935483870974</v>
      </c>
      <c r="H105" s="870">
        <f t="shared" si="76"/>
        <v>0.17307692307692313</v>
      </c>
      <c r="I105" s="870">
        <f t="shared" si="76"/>
        <v>0.13114754098360648</v>
      </c>
      <c r="J105" s="870">
        <f t="shared" si="76"/>
        <v>5.7971014492753659E-2</v>
      </c>
      <c r="K105" s="872"/>
    </row>
    <row r="106" spans="2:11" hidden="1" outlineLevel="1" x14ac:dyDescent="0.3">
      <c r="B106" s="850" t="s">
        <v>2755</v>
      </c>
      <c r="D106" s="876">
        <f>'2015년 원장 (피벗) '!Z10</f>
        <v>145909613.67592594</v>
      </c>
      <c r="E106" s="876">
        <f>'2016년 원장 (피벗)'!Z10</f>
        <v>123112282.51145038</v>
      </c>
      <c r="F106" s="876">
        <v>155428516.11612904</v>
      </c>
      <c r="G106" s="876">
        <f>'사업계획(매출 확정본)'!AI51</f>
        <v>159307692.30769232</v>
      </c>
      <c r="H106" s="876">
        <f>'사업계획(매출 확정본)'!AJ51</f>
        <v>163981967.21311477</v>
      </c>
      <c r="I106" s="876">
        <f>'사업계획(매출 확정본)'!AK51</f>
        <v>171946376.81159419</v>
      </c>
      <c r="J106" s="876">
        <f>'사업계획(매출 확정본)'!AL51</f>
        <v>179116438.3561644</v>
      </c>
      <c r="K106" s="884">
        <f>'사업계획(매출 확정본)'!AM51</f>
        <v>185875675.67567569</v>
      </c>
    </row>
    <row r="107" spans="2:11" hidden="1" outlineLevel="1" x14ac:dyDescent="0.3">
      <c r="B107" s="1535" t="s">
        <v>37</v>
      </c>
      <c r="D107" s="870"/>
      <c r="E107" s="870">
        <f>E106/D106-1</f>
        <v>-0.156242831367574</v>
      </c>
      <c r="F107" s="870">
        <f>F106/E106-1</f>
        <v>0.26249398472222296</v>
      </c>
      <c r="G107" s="870">
        <f t="shared" ref="G107:K107" si="77">G106/F106-1</f>
        <v>2.495794393780959E-2</v>
      </c>
      <c r="H107" s="870">
        <f t="shared" si="77"/>
        <v>2.9341175166823774E-2</v>
      </c>
      <c r="I107" s="870">
        <f t="shared" si="77"/>
        <v>4.8568813594781934E-2</v>
      </c>
      <c r="J107" s="870">
        <f t="shared" si="77"/>
        <v>4.169940464884947E-2</v>
      </c>
      <c r="K107" s="871">
        <f t="shared" si="77"/>
        <v>3.7736554955781765E-2</v>
      </c>
    </row>
    <row r="108" spans="2:11" collapsed="1" x14ac:dyDescent="0.3">
      <c r="B108" s="849" t="s">
        <v>2756</v>
      </c>
      <c r="D108" s="123">
        <f>D110*D112/10^6</f>
        <v>80.616364000000004</v>
      </c>
      <c r="E108" s="123">
        <f>IFERROR(E110*E112/10^6,0)</f>
        <v>0</v>
      </c>
      <c r="F108" s="123">
        <f t="shared" ref="F108:K108" si="78">IFERROR(F110*F112/10^6,0)</f>
        <v>0</v>
      </c>
      <c r="G108" s="123">
        <f t="shared" si="78"/>
        <v>0</v>
      </c>
      <c r="H108" s="123">
        <f t="shared" si="78"/>
        <v>0</v>
      </c>
      <c r="I108" s="123">
        <f t="shared" si="78"/>
        <v>0</v>
      </c>
      <c r="J108" s="123">
        <f t="shared" si="78"/>
        <v>0</v>
      </c>
      <c r="K108" s="236">
        <f t="shared" si="78"/>
        <v>0</v>
      </c>
    </row>
    <row r="109" spans="2:11" x14ac:dyDescent="0.3">
      <c r="B109" s="1535" t="s">
        <v>37</v>
      </c>
      <c r="D109" s="870"/>
      <c r="E109" s="870">
        <f>E108/D108-1</f>
        <v>-1</v>
      </c>
      <c r="F109" s="870" t="e">
        <f>F108/E108-1</f>
        <v>#DIV/0!</v>
      </c>
      <c r="G109" s="870" t="e">
        <f t="shared" ref="G109:K109" si="79">G108/F108-1</f>
        <v>#DIV/0!</v>
      </c>
      <c r="H109" s="870" t="e">
        <f t="shared" si="79"/>
        <v>#DIV/0!</v>
      </c>
      <c r="I109" s="870" t="e">
        <f t="shared" si="79"/>
        <v>#DIV/0!</v>
      </c>
      <c r="J109" s="870" t="e">
        <f t="shared" si="79"/>
        <v>#DIV/0!</v>
      </c>
      <c r="K109" s="871" t="e">
        <f t="shared" si="79"/>
        <v>#DIV/0!</v>
      </c>
    </row>
    <row r="110" spans="2:11" hidden="1" outlineLevel="1" x14ac:dyDescent="0.3">
      <c r="B110" s="850" t="s">
        <v>2753</v>
      </c>
      <c r="D110" s="876">
        <f>'2015년 원장 (피벗) '!S11</f>
        <v>6</v>
      </c>
      <c r="E110" s="876">
        <f>'2016년 원장 (피벗)'!S11</f>
        <v>0</v>
      </c>
      <c r="F110" s="876">
        <v>0</v>
      </c>
      <c r="G110" s="847">
        <f>'사업계획(매출 확정본)'!AI53</f>
        <v>0</v>
      </c>
      <c r="H110" s="847">
        <f>'사업계획(매출 확정본)'!AJ53</f>
        <v>0</v>
      </c>
      <c r="I110" s="847">
        <f>'사업계획(매출 확정본)'!AK53</f>
        <v>0</v>
      </c>
      <c r="J110" s="847">
        <f>'사업계획(매출 확정본)'!AL53</f>
        <v>0</v>
      </c>
      <c r="K110" s="872">
        <f>'사업계획(매출 확정본)'!AM53</f>
        <v>0</v>
      </c>
    </row>
    <row r="111" spans="2:11" hidden="1" outlineLevel="1" x14ac:dyDescent="0.3">
      <c r="B111" s="1535" t="s">
        <v>37</v>
      </c>
      <c r="D111" s="870"/>
      <c r="E111" s="870">
        <f>E110/D110-1</f>
        <v>-1</v>
      </c>
      <c r="F111" s="870" t="e">
        <f>F110/E110-1</f>
        <v>#DIV/0!</v>
      </c>
      <c r="G111" s="870" t="e">
        <f t="shared" ref="G111:K111" si="80">G110/F110-1</f>
        <v>#DIV/0!</v>
      </c>
      <c r="H111" s="870" t="e">
        <f t="shared" si="80"/>
        <v>#DIV/0!</v>
      </c>
      <c r="I111" s="870" t="e">
        <f t="shared" si="80"/>
        <v>#DIV/0!</v>
      </c>
      <c r="J111" s="870" t="e">
        <f t="shared" si="80"/>
        <v>#DIV/0!</v>
      </c>
      <c r="K111" s="871" t="e">
        <f t="shared" si="80"/>
        <v>#DIV/0!</v>
      </c>
    </row>
    <row r="112" spans="2:11" hidden="1" outlineLevel="1" x14ac:dyDescent="0.3">
      <c r="B112" s="850" t="s">
        <v>2755</v>
      </c>
      <c r="D112" s="876">
        <f>'2015년 원장 (피벗) '!Z11</f>
        <v>13436060.666666666</v>
      </c>
      <c r="E112" s="876">
        <f>IFERROR('2016년 원장 (피벗)'!Z11,0)</f>
        <v>0</v>
      </c>
      <c r="F112" s="876" t="e">
        <v>#DIV/0!</v>
      </c>
      <c r="G112" s="876" t="e">
        <f>'사업계획(매출 확정본)'!AI54</f>
        <v>#DIV/0!</v>
      </c>
      <c r="H112" s="876" t="e">
        <f>'사업계획(매출 확정본)'!AJ54</f>
        <v>#DIV/0!</v>
      </c>
      <c r="I112" s="876" t="e">
        <f>'사업계획(매출 확정본)'!AK54</f>
        <v>#DIV/0!</v>
      </c>
      <c r="J112" s="876" t="e">
        <f>'사업계획(매출 확정본)'!AL54</f>
        <v>#DIV/0!</v>
      </c>
      <c r="K112" s="884">
        <f>IFERROR('사업계획(매출 확정본)'!AM54,0)</f>
        <v>0</v>
      </c>
    </row>
    <row r="113" spans="2:11" hidden="1" outlineLevel="1" x14ac:dyDescent="0.3">
      <c r="B113" s="1535" t="s">
        <v>37</v>
      </c>
      <c r="D113" s="870"/>
      <c r="E113" s="870">
        <f>E112/D112-1</f>
        <v>-1</v>
      </c>
      <c r="F113" s="870" t="e">
        <f>F112/E112-1</f>
        <v>#DIV/0!</v>
      </c>
      <c r="G113" s="870" t="e">
        <f t="shared" ref="G113:J113" si="81">G112/F112-1</f>
        <v>#DIV/0!</v>
      </c>
      <c r="H113" s="870" t="e">
        <f t="shared" si="81"/>
        <v>#DIV/0!</v>
      </c>
      <c r="I113" s="870" t="e">
        <f t="shared" si="81"/>
        <v>#DIV/0!</v>
      </c>
      <c r="J113" s="870" t="e">
        <f t="shared" si="81"/>
        <v>#DIV/0!</v>
      </c>
      <c r="K113" s="872"/>
    </row>
    <row r="114" spans="2:11" collapsed="1" x14ac:dyDescent="0.3">
      <c r="B114" s="849" t="s">
        <v>2759</v>
      </c>
      <c r="D114" s="962">
        <f>D116*D118/10^6</f>
        <v>2312.8034520000001</v>
      </c>
      <c r="E114" s="962">
        <f t="shared" ref="E114:K114" si="82">E116*E118/10^6</f>
        <v>3046.9459105454544</v>
      </c>
      <c r="F114" s="962">
        <f t="shared" si="82"/>
        <v>1992.3273655454545</v>
      </c>
      <c r="G114" s="962">
        <f t="shared" si="82"/>
        <v>0</v>
      </c>
      <c r="H114" s="962">
        <f t="shared" si="82"/>
        <v>0</v>
      </c>
      <c r="I114" s="962">
        <f t="shared" si="82"/>
        <v>0</v>
      </c>
      <c r="J114" s="962">
        <f t="shared" si="82"/>
        <v>0</v>
      </c>
      <c r="K114" s="1539">
        <f t="shared" si="82"/>
        <v>0</v>
      </c>
    </row>
    <row r="115" spans="2:11" x14ac:dyDescent="0.3">
      <c r="B115" s="1535" t="s">
        <v>37</v>
      </c>
      <c r="D115" s="870"/>
      <c r="E115" s="870">
        <f>E114/D114-1</f>
        <v>0.31742535575628072</v>
      </c>
      <c r="F115" s="870">
        <f>F114/E114-1</f>
        <v>-0.34612315937410432</v>
      </c>
      <c r="G115" s="870">
        <f t="shared" ref="G115:K115" si="83">G114/F114-1</f>
        <v>-1</v>
      </c>
      <c r="H115" s="870" t="e">
        <f t="shared" si="83"/>
        <v>#DIV/0!</v>
      </c>
      <c r="I115" s="870" t="e">
        <f t="shared" si="83"/>
        <v>#DIV/0!</v>
      </c>
      <c r="J115" s="870" t="e">
        <f t="shared" si="83"/>
        <v>#DIV/0!</v>
      </c>
      <c r="K115" s="871" t="e">
        <f t="shared" si="83"/>
        <v>#DIV/0!</v>
      </c>
    </row>
    <row r="116" spans="2:11" hidden="1" outlineLevel="1" x14ac:dyDescent="0.3">
      <c r="B116" s="850" t="s">
        <v>2753</v>
      </c>
      <c r="D116" s="123">
        <f>'2015년 원장 (피벗) '!S7</f>
        <v>114</v>
      </c>
      <c r="E116" s="123">
        <f>'2016년 원장 (피벗)'!S7</f>
        <v>138</v>
      </c>
      <c r="F116" s="123">
        <v>116</v>
      </c>
      <c r="G116" s="123">
        <f>'사업계획(매출 확정본)'!AI59</f>
        <v>0</v>
      </c>
      <c r="H116" s="123">
        <f>'사업계획(매출 확정본)'!AJ59</f>
        <v>0</v>
      </c>
      <c r="I116" s="123">
        <f>'사업계획(매출 확정본)'!AK59</f>
        <v>0</v>
      </c>
      <c r="J116" s="123">
        <f>'사업계획(매출 확정본)'!AL59</f>
        <v>0</v>
      </c>
      <c r="K116" s="236">
        <f>'사업계획(매출 확정본)'!AM59</f>
        <v>0</v>
      </c>
    </row>
    <row r="117" spans="2:11" hidden="1" outlineLevel="1" x14ac:dyDescent="0.3">
      <c r="B117" s="1535" t="s">
        <v>37</v>
      </c>
      <c r="D117" s="870"/>
      <c r="E117" s="870">
        <f>E116/D116-1</f>
        <v>0.21052631578947367</v>
      </c>
      <c r="F117" s="870">
        <f>F116/E116-1</f>
        <v>-0.15942028985507251</v>
      </c>
      <c r="G117" s="870">
        <f t="shared" ref="G117:K117" si="84">G116/F116-1</f>
        <v>-1</v>
      </c>
      <c r="H117" s="870" t="e">
        <f t="shared" si="84"/>
        <v>#DIV/0!</v>
      </c>
      <c r="I117" s="870" t="e">
        <f t="shared" si="84"/>
        <v>#DIV/0!</v>
      </c>
      <c r="J117" s="870" t="e">
        <f t="shared" si="84"/>
        <v>#DIV/0!</v>
      </c>
      <c r="K117" s="871" t="e">
        <f t="shared" si="84"/>
        <v>#DIV/0!</v>
      </c>
    </row>
    <row r="118" spans="2:11" hidden="1" outlineLevel="1" x14ac:dyDescent="0.3">
      <c r="B118" s="850" t="s">
        <v>2755</v>
      </c>
      <c r="D118" s="876">
        <f>'2015년 원장 (피벗) '!Z7</f>
        <v>20287749.578947369</v>
      </c>
      <c r="E118" s="876">
        <f>'2016년 원장 (피벗)'!Z7</f>
        <v>22079318.192358367</v>
      </c>
      <c r="F118" s="876">
        <v>17175235.909874607</v>
      </c>
      <c r="G118" s="876">
        <f>IFERROR('사업계획(매출 확정본)'!AI60,)</f>
        <v>0</v>
      </c>
      <c r="H118" s="876">
        <f>IFERROR('사업계획(매출 확정본)'!AJ60,)</f>
        <v>0</v>
      </c>
      <c r="I118" s="876">
        <f>IFERROR('사업계획(매출 확정본)'!AK60,)</f>
        <v>0</v>
      </c>
      <c r="J118" s="876">
        <f>IFERROR('사업계획(매출 확정본)'!AL60,)</f>
        <v>0</v>
      </c>
      <c r="K118" s="884">
        <f>IFERROR('사업계획(매출 확정본)'!AM60,)</f>
        <v>0</v>
      </c>
    </row>
    <row r="119" spans="2:11" hidden="1" outlineLevel="1" x14ac:dyDescent="0.3">
      <c r="B119" s="1535" t="s">
        <v>37</v>
      </c>
      <c r="D119" s="870"/>
      <c r="E119" s="870">
        <f>E118/D118-1</f>
        <v>8.8307902581275632E-2</v>
      </c>
      <c r="F119" s="870">
        <f>F118/E118-1</f>
        <v>-0.22211203442781391</v>
      </c>
      <c r="G119" s="870">
        <f t="shared" ref="G119:K119" si="85">G118/F118-1</f>
        <v>-1</v>
      </c>
      <c r="H119" s="870" t="e">
        <f t="shared" si="85"/>
        <v>#DIV/0!</v>
      </c>
      <c r="I119" s="870" t="e">
        <f t="shared" si="85"/>
        <v>#DIV/0!</v>
      </c>
      <c r="J119" s="870" t="e">
        <f t="shared" si="85"/>
        <v>#DIV/0!</v>
      </c>
      <c r="K119" s="871" t="e">
        <f t="shared" si="85"/>
        <v>#DIV/0!</v>
      </c>
    </row>
    <row r="120" spans="2:11" collapsed="1" x14ac:dyDescent="0.3">
      <c r="B120" s="849" t="s">
        <v>2760</v>
      </c>
      <c r="D120" s="123">
        <f>IFERROR(D122*D124,0)</f>
        <v>0</v>
      </c>
      <c r="E120" s="123">
        <f t="shared" ref="E120:J120" si="86">IFERROR(E122*E124,0)</f>
        <v>0</v>
      </c>
      <c r="F120" s="123">
        <f t="shared" si="86"/>
        <v>0</v>
      </c>
      <c r="G120" s="123">
        <f t="shared" si="86"/>
        <v>0</v>
      </c>
      <c r="H120" s="123">
        <f t="shared" si="86"/>
        <v>0</v>
      </c>
      <c r="I120" s="123">
        <f t="shared" si="86"/>
        <v>0</v>
      </c>
      <c r="J120" s="123">
        <f t="shared" si="86"/>
        <v>0</v>
      </c>
      <c r="K120" s="236">
        <f t="shared" ref="K120" si="87">K122*K124</f>
        <v>0</v>
      </c>
    </row>
    <row r="121" spans="2:11" x14ac:dyDescent="0.3">
      <c r="B121" s="1535" t="s">
        <v>37</v>
      </c>
      <c r="D121" s="870"/>
      <c r="E121" s="870" t="e">
        <f>E120/D120-1</f>
        <v>#DIV/0!</v>
      </c>
      <c r="F121" s="870" t="e">
        <f>F120/E120-1</f>
        <v>#DIV/0!</v>
      </c>
      <c r="G121" s="870" t="e">
        <f t="shared" ref="G121:K121" si="88">G120/F120-1</f>
        <v>#DIV/0!</v>
      </c>
      <c r="H121" s="870" t="e">
        <f t="shared" si="88"/>
        <v>#DIV/0!</v>
      </c>
      <c r="I121" s="870" t="e">
        <f t="shared" si="88"/>
        <v>#DIV/0!</v>
      </c>
      <c r="J121" s="870" t="e">
        <f t="shared" si="88"/>
        <v>#DIV/0!</v>
      </c>
      <c r="K121" s="871" t="e">
        <f t="shared" si="88"/>
        <v>#DIV/0!</v>
      </c>
    </row>
    <row r="122" spans="2:11" hidden="1" outlineLevel="1" x14ac:dyDescent="0.3">
      <c r="B122" s="850" t="s">
        <v>2753</v>
      </c>
      <c r="D122" s="123">
        <f>'2015년 원장 (피벗) '!S8</f>
        <v>0</v>
      </c>
      <c r="E122" s="123">
        <f>'2016년 원장 (피벗)'!S8</f>
        <v>0</v>
      </c>
      <c r="F122" s="123">
        <v>0</v>
      </c>
      <c r="G122" s="123">
        <f>'사업계획(매출 확정본)'!AI56</f>
        <v>0</v>
      </c>
      <c r="H122" s="123">
        <f>'사업계획(매출 확정본)'!AJ56</f>
        <v>0</v>
      </c>
      <c r="I122" s="123">
        <f>'사업계획(매출 확정본)'!AK56</f>
        <v>0</v>
      </c>
      <c r="J122" s="123">
        <f>'사업계획(매출 확정본)'!AL56</f>
        <v>0</v>
      </c>
      <c r="K122" s="236">
        <f>'사업계획(매출 확정본)'!AM56</f>
        <v>0</v>
      </c>
    </row>
    <row r="123" spans="2:11" hidden="1" outlineLevel="1" x14ac:dyDescent="0.3">
      <c r="B123" s="1535" t="s">
        <v>37</v>
      </c>
      <c r="D123" s="870"/>
      <c r="E123" s="870" t="e">
        <f>E122/D122-1</f>
        <v>#DIV/0!</v>
      </c>
      <c r="F123" s="870" t="e">
        <f>F122/E122-1</f>
        <v>#DIV/0!</v>
      </c>
      <c r="G123" s="870" t="e">
        <f t="shared" ref="G123:K123" si="89">G122/F122-1</f>
        <v>#DIV/0!</v>
      </c>
      <c r="H123" s="870" t="e">
        <f t="shared" si="89"/>
        <v>#DIV/0!</v>
      </c>
      <c r="I123" s="870" t="e">
        <f t="shared" si="89"/>
        <v>#DIV/0!</v>
      </c>
      <c r="J123" s="870" t="e">
        <f t="shared" si="89"/>
        <v>#DIV/0!</v>
      </c>
      <c r="K123" s="871" t="e">
        <f t="shared" si="89"/>
        <v>#DIV/0!</v>
      </c>
    </row>
    <row r="124" spans="2:11" hidden="1" outlineLevel="1" x14ac:dyDescent="0.3">
      <c r="B124" s="850" t="s">
        <v>2755</v>
      </c>
      <c r="D124" s="876">
        <f>IFERROR('2015년 원장 (피벗) '!Z8,0)</f>
        <v>0</v>
      </c>
      <c r="E124" s="876">
        <f>IFERROR('2016년 원장 (피벗)'!Z8,0)</f>
        <v>0</v>
      </c>
      <c r="F124" s="876" t="e">
        <v>#DIV/0!</v>
      </c>
      <c r="G124" s="876" t="e">
        <f>'사업계획(매출 확정본)'!AI57</f>
        <v>#DIV/0!</v>
      </c>
      <c r="H124" s="876" t="e">
        <f>'사업계획(매출 확정본)'!AJ57</f>
        <v>#DIV/0!</v>
      </c>
      <c r="I124" s="876" t="e">
        <f>'사업계획(매출 확정본)'!AK57</f>
        <v>#DIV/0!</v>
      </c>
      <c r="J124" s="876" t="e">
        <f>'사업계획(매출 확정본)'!AL57</f>
        <v>#DIV/0!</v>
      </c>
      <c r="K124" s="884">
        <f>IFERROR('사업계획(매출 확정본)'!AM57,0)</f>
        <v>0</v>
      </c>
    </row>
    <row r="125" spans="2:11" hidden="1" outlineLevel="1" x14ac:dyDescent="0.3">
      <c r="B125" s="1535" t="s">
        <v>37</v>
      </c>
      <c r="D125" s="870" t="e">
        <f>D124/#REF!-1</f>
        <v>#REF!</v>
      </c>
      <c r="E125" s="870" t="e">
        <f>E124/D124-1</f>
        <v>#DIV/0!</v>
      </c>
      <c r="F125" s="870" t="e">
        <f>F124/E124-1</f>
        <v>#DIV/0!</v>
      </c>
      <c r="G125" s="870" t="e">
        <f t="shared" ref="G125:K125" si="90">G124/F124-1</f>
        <v>#DIV/0!</v>
      </c>
      <c r="H125" s="870" t="e">
        <f t="shared" si="90"/>
        <v>#DIV/0!</v>
      </c>
      <c r="I125" s="870" t="e">
        <f t="shared" si="90"/>
        <v>#DIV/0!</v>
      </c>
      <c r="J125" s="870" t="e">
        <f t="shared" si="90"/>
        <v>#DIV/0!</v>
      </c>
      <c r="K125" s="871" t="e">
        <f t="shared" si="90"/>
        <v>#DIV/0!</v>
      </c>
    </row>
    <row r="126" spans="2:11" collapsed="1" x14ac:dyDescent="0.3">
      <c r="B126" s="849" t="s">
        <v>2773</v>
      </c>
      <c r="D126" s="123">
        <f ca="1">IFERROR(D128*D130,0)</f>
        <v>0</v>
      </c>
      <c r="E126" s="123">
        <f t="shared" ref="E126:J126" si="91">IFERROR(E128*E130,0)</f>
        <v>0</v>
      </c>
      <c r="F126" s="123">
        <f t="shared" si="91"/>
        <v>0</v>
      </c>
      <c r="G126" s="123">
        <f t="shared" si="91"/>
        <v>0</v>
      </c>
      <c r="H126" s="123">
        <f t="shared" si="91"/>
        <v>0</v>
      </c>
      <c r="I126" s="123">
        <f t="shared" si="91"/>
        <v>0</v>
      </c>
      <c r="J126" s="123">
        <f t="shared" si="91"/>
        <v>0</v>
      </c>
      <c r="K126" s="236">
        <f t="shared" ref="K126" si="92">K128*K130</f>
        <v>0</v>
      </c>
    </row>
    <row r="127" spans="2:11" x14ac:dyDescent="0.3">
      <c r="B127" s="1535" t="s">
        <v>37</v>
      </c>
      <c r="D127" s="870"/>
      <c r="E127" s="870" t="e">
        <f ca="1">E126/D126-1</f>
        <v>#DIV/0!</v>
      </c>
      <c r="F127" s="870" t="e">
        <f>F126/E126-1</f>
        <v>#DIV/0!</v>
      </c>
      <c r="G127" s="870" t="e">
        <f t="shared" ref="G127:K127" si="93">G126/F126-1</f>
        <v>#DIV/0!</v>
      </c>
      <c r="H127" s="870" t="e">
        <f t="shared" si="93"/>
        <v>#DIV/0!</v>
      </c>
      <c r="I127" s="870" t="e">
        <f t="shared" si="93"/>
        <v>#DIV/0!</v>
      </c>
      <c r="J127" s="870" t="e">
        <f t="shared" si="93"/>
        <v>#DIV/0!</v>
      </c>
      <c r="K127" s="871" t="e">
        <f t="shared" si="93"/>
        <v>#DIV/0!</v>
      </c>
    </row>
    <row r="128" spans="2:11" hidden="1" outlineLevel="1" x14ac:dyDescent="0.3">
      <c r="B128" s="850" t="s">
        <v>2753</v>
      </c>
      <c r="D128" s="123">
        <f>'2015년 원장 (피벗) '!S12</f>
        <v>0</v>
      </c>
      <c r="E128" s="123">
        <f>'2016년 원장 (피벗)'!S12</f>
        <v>0</v>
      </c>
      <c r="F128" s="123">
        <v>0</v>
      </c>
      <c r="G128" s="123">
        <f>'사업계획(매출 확정본)'!AI62</f>
        <v>0</v>
      </c>
      <c r="H128" s="123">
        <f>'사업계획(매출 확정본)'!AJ62</f>
        <v>0</v>
      </c>
      <c r="I128" s="123">
        <f>'사업계획(매출 확정본)'!AK62</f>
        <v>0</v>
      </c>
      <c r="J128" s="123">
        <f>'사업계획(매출 확정본)'!AL62</f>
        <v>0</v>
      </c>
      <c r="K128" s="236">
        <f>'사업계획(매출 확정본)'!AM62</f>
        <v>0</v>
      </c>
    </row>
    <row r="129" spans="2:12" hidden="1" outlineLevel="1" x14ac:dyDescent="0.3">
      <c r="B129" s="1535" t="s">
        <v>37</v>
      </c>
      <c r="D129" s="870"/>
      <c r="E129" s="870" t="e">
        <f>E128/D128-1</f>
        <v>#DIV/0!</v>
      </c>
      <c r="F129" s="870" t="e">
        <f>F128/E128-1</f>
        <v>#DIV/0!</v>
      </c>
      <c r="G129" s="870" t="e">
        <f t="shared" ref="G129:K129" si="94">G128/F128-1</f>
        <v>#DIV/0!</v>
      </c>
      <c r="H129" s="870" t="e">
        <f t="shared" si="94"/>
        <v>#DIV/0!</v>
      </c>
      <c r="I129" s="870" t="e">
        <f t="shared" si="94"/>
        <v>#DIV/0!</v>
      </c>
      <c r="J129" s="870" t="e">
        <f t="shared" si="94"/>
        <v>#DIV/0!</v>
      </c>
      <c r="K129" s="871" t="e">
        <f t="shared" si="94"/>
        <v>#DIV/0!</v>
      </c>
    </row>
    <row r="130" spans="2:12" hidden="1" outlineLevel="1" x14ac:dyDescent="0.3">
      <c r="B130" s="850" t="s">
        <v>2755</v>
      </c>
      <c r="D130" s="123" t="e">
        <f ca="1">IFRROR('2015년 원장 (피벗) '!Z12,0)</f>
        <v>#NAME?</v>
      </c>
      <c r="E130" s="123">
        <f>IFERROR('2016년 원장 (피벗)'!Z12,0)</f>
        <v>0</v>
      </c>
      <c r="F130" s="123" t="e">
        <v>#DIV/0!</v>
      </c>
      <c r="G130" s="123" t="e">
        <f>'사업계획(매출 확정본)'!AI63</f>
        <v>#DIV/0!</v>
      </c>
      <c r="H130" s="123" t="e">
        <f>'사업계획(매출 확정본)'!AJ63</f>
        <v>#DIV/0!</v>
      </c>
      <c r="I130" s="123" t="e">
        <f>'사업계획(매출 확정본)'!AK63</f>
        <v>#DIV/0!</v>
      </c>
      <c r="J130" s="123" t="e">
        <f>'사업계획(매출 확정본)'!AL63</f>
        <v>#DIV/0!</v>
      </c>
      <c r="K130" s="236">
        <f>IFERROR('사업계획(매출 확정본)'!AM63,0)</f>
        <v>0</v>
      </c>
    </row>
    <row r="131" spans="2:12" hidden="1" outlineLevel="1" x14ac:dyDescent="0.3">
      <c r="B131" s="1535" t="s">
        <v>37</v>
      </c>
      <c r="D131" s="870" t="e">
        <f ca="1">D130/#REF!-1</f>
        <v>#NAME?</v>
      </c>
      <c r="E131" s="870" t="e">
        <f ca="1">E130/D130-1</f>
        <v>#NAME?</v>
      </c>
      <c r="F131" s="870" t="e">
        <f>F130/E130-1</f>
        <v>#DIV/0!</v>
      </c>
      <c r="G131" s="870" t="e">
        <f t="shared" ref="G131:K131" si="95">G130/F130-1</f>
        <v>#DIV/0!</v>
      </c>
      <c r="H131" s="870" t="e">
        <f t="shared" si="95"/>
        <v>#DIV/0!</v>
      </c>
      <c r="I131" s="870" t="e">
        <f t="shared" si="95"/>
        <v>#DIV/0!</v>
      </c>
      <c r="J131" s="870" t="e">
        <f t="shared" si="95"/>
        <v>#DIV/0!</v>
      </c>
      <c r="K131" s="871" t="e">
        <f t="shared" si="95"/>
        <v>#DIV/0!</v>
      </c>
    </row>
    <row r="132" spans="2:12" collapsed="1" x14ac:dyDescent="0.3">
      <c r="B132" s="849" t="s">
        <v>2762</v>
      </c>
      <c r="D132" s="123">
        <f>D134*D136/10^6</f>
        <v>20.5</v>
      </c>
      <c r="E132" s="123">
        <f>IFERROR(E134*E136/10^6,0)</f>
        <v>0</v>
      </c>
      <c r="F132" s="123">
        <f t="shared" ref="F132:L132" si="96">IFERROR(F134*F136/10^6,0)</f>
        <v>0</v>
      </c>
      <c r="G132" s="123">
        <f t="shared" si="96"/>
        <v>0</v>
      </c>
      <c r="H132" s="123">
        <f t="shared" si="96"/>
        <v>0</v>
      </c>
      <c r="I132" s="123">
        <f t="shared" si="96"/>
        <v>0</v>
      </c>
      <c r="J132" s="123">
        <f t="shared" si="96"/>
        <v>0</v>
      </c>
      <c r="K132" s="236">
        <f t="shared" si="96"/>
        <v>0</v>
      </c>
      <c r="L132" s="123">
        <f t="shared" si="96"/>
        <v>0</v>
      </c>
    </row>
    <row r="133" spans="2:12" x14ac:dyDescent="0.3">
      <c r="B133" s="1535" t="s">
        <v>37</v>
      </c>
      <c r="D133" s="870"/>
      <c r="E133" s="870">
        <f>E132/D132-1</f>
        <v>-1</v>
      </c>
      <c r="F133" s="870" t="e">
        <f>F132/E132-1</f>
        <v>#DIV/0!</v>
      </c>
      <c r="G133" s="870" t="e">
        <f t="shared" ref="G133:K133" si="97">G132/F132-1</f>
        <v>#DIV/0!</v>
      </c>
      <c r="H133" s="870" t="e">
        <f t="shared" si="97"/>
        <v>#DIV/0!</v>
      </c>
      <c r="I133" s="870" t="e">
        <f t="shared" si="97"/>
        <v>#DIV/0!</v>
      </c>
      <c r="J133" s="870" t="e">
        <f t="shared" si="97"/>
        <v>#DIV/0!</v>
      </c>
      <c r="K133" s="871" t="e">
        <f t="shared" si="97"/>
        <v>#DIV/0!</v>
      </c>
    </row>
    <row r="134" spans="2:12" hidden="1" outlineLevel="1" x14ac:dyDescent="0.3">
      <c r="B134" s="850" t="s">
        <v>2753</v>
      </c>
      <c r="D134" s="876">
        <f>'2015년 원장 (피벗) '!S9</f>
        <v>2</v>
      </c>
      <c r="E134" s="876">
        <f>'2016년 원장 (피벗)'!S9</f>
        <v>0</v>
      </c>
      <c r="F134" s="876">
        <v>0</v>
      </c>
      <c r="G134" s="847">
        <f>'사업계획(매출 확정본)'!AI65</f>
        <v>0</v>
      </c>
      <c r="H134" s="847">
        <f>'사업계획(매출 확정본)'!AJ65</f>
        <v>0</v>
      </c>
      <c r="I134" s="847">
        <f>'사업계획(매출 확정본)'!AK65</f>
        <v>0</v>
      </c>
      <c r="J134" s="847">
        <f>'사업계획(매출 확정본)'!AL65</f>
        <v>0</v>
      </c>
      <c r="K134" s="872">
        <f>'사업계획(매출 확정본)'!AM65</f>
        <v>0</v>
      </c>
    </row>
    <row r="135" spans="2:12" hidden="1" outlineLevel="1" x14ac:dyDescent="0.3">
      <c r="B135" s="1535" t="s">
        <v>37</v>
      </c>
      <c r="D135" s="870"/>
      <c r="E135" s="870">
        <f>E134/D134-1</f>
        <v>-1</v>
      </c>
      <c r="F135" s="870" t="e">
        <f>F134/E134-1</f>
        <v>#DIV/0!</v>
      </c>
      <c r="G135" s="870" t="e">
        <f t="shared" ref="G135:K135" si="98">G134/F134-1</f>
        <v>#DIV/0!</v>
      </c>
      <c r="H135" s="870" t="e">
        <f t="shared" si="98"/>
        <v>#DIV/0!</v>
      </c>
      <c r="I135" s="870" t="e">
        <f t="shared" si="98"/>
        <v>#DIV/0!</v>
      </c>
      <c r="J135" s="870" t="e">
        <f t="shared" si="98"/>
        <v>#DIV/0!</v>
      </c>
      <c r="K135" s="871" t="e">
        <f t="shared" si="98"/>
        <v>#DIV/0!</v>
      </c>
    </row>
    <row r="136" spans="2:12" hidden="1" outlineLevel="1" x14ac:dyDescent="0.3">
      <c r="B136" s="850" t="s">
        <v>2755</v>
      </c>
      <c r="D136" s="876">
        <f>'2015년 원장 (피벗) '!Z9</f>
        <v>10250000</v>
      </c>
      <c r="E136" s="876">
        <f>IFERROR('2016년 원장 (피벗)'!Z9,0)</f>
        <v>0</v>
      </c>
      <c r="F136" s="876" t="e">
        <v>#DIV/0!</v>
      </c>
      <c r="G136" s="876" t="e">
        <f>'사업계획(매출 확정본)'!AI66</f>
        <v>#DIV/0!</v>
      </c>
      <c r="H136" s="876" t="e">
        <f>'사업계획(매출 확정본)'!AJ66</f>
        <v>#DIV/0!</v>
      </c>
      <c r="I136" s="876" t="e">
        <f>'사업계획(매출 확정본)'!AK66</f>
        <v>#DIV/0!</v>
      </c>
      <c r="J136" s="876" t="e">
        <f>'사업계획(매출 확정본)'!AL66</f>
        <v>#DIV/0!</v>
      </c>
      <c r="K136" s="884">
        <f>IFERROR('사업계획(매출 확정본)'!AM66,0)</f>
        <v>0</v>
      </c>
    </row>
    <row r="137" spans="2:12" hidden="1" outlineLevel="1" x14ac:dyDescent="0.3">
      <c r="B137" s="1535" t="s">
        <v>37</v>
      </c>
      <c r="D137" s="870"/>
      <c r="E137" s="870">
        <f>E136/D136-1</f>
        <v>-1</v>
      </c>
      <c r="F137" s="870" t="e">
        <f>F136/E136-1</f>
        <v>#DIV/0!</v>
      </c>
      <c r="G137" s="870" t="e">
        <f t="shared" ref="G137:K137" si="99">G136/F136-1</f>
        <v>#DIV/0!</v>
      </c>
      <c r="H137" s="870" t="e">
        <f t="shared" si="99"/>
        <v>#DIV/0!</v>
      </c>
      <c r="I137" s="870" t="e">
        <f t="shared" si="99"/>
        <v>#DIV/0!</v>
      </c>
      <c r="J137" s="870" t="e">
        <f t="shared" si="99"/>
        <v>#DIV/0!</v>
      </c>
      <c r="K137" s="871" t="e">
        <f t="shared" si="99"/>
        <v>#DIV/0!</v>
      </c>
    </row>
    <row r="138" spans="2:12" collapsed="1" x14ac:dyDescent="0.3">
      <c r="B138" s="873"/>
      <c r="D138" s="870"/>
      <c r="E138" s="870"/>
      <c r="F138" s="870"/>
      <c r="G138" s="870"/>
      <c r="H138" s="870"/>
      <c r="I138" s="870"/>
      <c r="J138" s="870"/>
      <c r="K138" s="872"/>
    </row>
    <row r="139" spans="2:12" x14ac:dyDescent="0.3">
      <c r="B139" s="1540" t="s">
        <v>2160</v>
      </c>
      <c r="C139" s="1541"/>
      <c r="D139" s="1545">
        <f>'2015년 원장 (피벗) '!J28/10^6</f>
        <v>1769.1896180000001</v>
      </c>
      <c r="E139" s="1545">
        <f>'2016년 원장 (피벗)'!J31/10^6</f>
        <v>1807.063948</v>
      </c>
      <c r="F139" s="1545">
        <f>817155555/10^6</f>
        <v>817.15555500000005</v>
      </c>
      <c r="G139" s="1543"/>
      <c r="H139" s="1543"/>
      <c r="I139" s="1543"/>
      <c r="J139" s="1543"/>
      <c r="K139" s="1544"/>
      <c r="L139" s="10" t="s">
        <v>2956</v>
      </c>
    </row>
    <row r="140" spans="2:12" x14ac:dyDescent="0.3">
      <c r="B140" s="1535"/>
      <c r="D140" s="870"/>
      <c r="E140" s="870"/>
      <c r="F140" s="870"/>
      <c r="G140" s="870"/>
      <c r="H140" s="870"/>
      <c r="I140" s="870"/>
      <c r="J140" s="870"/>
      <c r="K140" s="872"/>
    </row>
    <row r="141" spans="2:12" x14ac:dyDescent="0.3">
      <c r="B141" s="1540" t="s">
        <v>2961</v>
      </c>
      <c r="C141" s="1541"/>
      <c r="D141" s="1543"/>
      <c r="E141" s="1543"/>
      <c r="F141" s="1543"/>
      <c r="G141" s="1545">
        <f>IFERROR(G143+G147,0)</f>
        <v>12250</v>
      </c>
      <c r="H141" s="1545">
        <f t="shared" ref="H141:K141" si="100">IFERROR(H143+H147,0)</f>
        <v>16756</v>
      </c>
      <c r="I141" s="1545">
        <f t="shared" si="100"/>
        <v>27222.5</v>
      </c>
      <c r="J141" s="1545">
        <f t="shared" si="100"/>
        <v>30161</v>
      </c>
      <c r="K141" s="1546">
        <f t="shared" si="100"/>
        <v>34660</v>
      </c>
    </row>
    <row r="142" spans="2:12" x14ac:dyDescent="0.3">
      <c r="B142" s="845"/>
      <c r="D142" s="870"/>
      <c r="E142" s="870"/>
      <c r="F142" s="870"/>
      <c r="G142" s="870"/>
      <c r="H142" s="870"/>
      <c r="I142" s="870"/>
      <c r="J142" s="870"/>
      <c r="K142" s="872"/>
    </row>
    <row r="143" spans="2:12" x14ac:dyDescent="0.3">
      <c r="B143" s="844" t="s">
        <v>7532</v>
      </c>
      <c r="D143" s="870"/>
      <c r="E143" s="870"/>
      <c r="F143" s="870"/>
      <c r="G143" s="876">
        <f>G144*G145/10^6</f>
        <v>12250</v>
      </c>
      <c r="H143" s="876">
        <f t="shared" ref="H143:K143" si="101">H144*H145/10^6</f>
        <v>15331</v>
      </c>
      <c r="I143" s="876">
        <f t="shared" si="101"/>
        <v>19740</v>
      </c>
      <c r="J143" s="876">
        <f t="shared" si="101"/>
        <v>20732</v>
      </c>
      <c r="K143" s="884">
        <f t="shared" si="101"/>
        <v>23110</v>
      </c>
    </row>
    <row r="144" spans="2:12" hidden="1" outlineLevel="1" x14ac:dyDescent="0.3">
      <c r="B144" s="845" t="s">
        <v>2753</v>
      </c>
      <c r="D144" s="876"/>
      <c r="E144" s="876"/>
      <c r="F144" s="876"/>
      <c r="G144" s="847">
        <f>'사업계획(매출 확정본)'!AI68</f>
        <v>110</v>
      </c>
      <c r="H144" s="847">
        <f>'사업계획(매출 확정본)'!AJ68</f>
        <v>130</v>
      </c>
      <c r="I144" s="847">
        <f>'사업계획(매출 확정본)'!AK68</f>
        <v>160</v>
      </c>
      <c r="J144" s="847">
        <f>'사업계획(매출 확정본)'!AL68</f>
        <v>160</v>
      </c>
      <c r="K144" s="872">
        <f>'사업계획(매출 확정본)'!AM68</f>
        <v>170</v>
      </c>
    </row>
    <row r="145" spans="2:11" hidden="1" outlineLevel="1" x14ac:dyDescent="0.3">
      <c r="B145" s="845" t="s">
        <v>2755</v>
      </c>
      <c r="D145" s="870"/>
      <c r="E145" s="870"/>
      <c r="F145" s="870"/>
      <c r="G145" s="123">
        <f>'사업계획(매출 확정본)'!AI69</f>
        <v>111363636.36363636</v>
      </c>
      <c r="H145" s="123">
        <f>'사업계획(매출 확정본)'!AJ69</f>
        <v>117930769.23076923</v>
      </c>
      <c r="I145" s="123">
        <f>'사업계획(매출 확정본)'!AK69</f>
        <v>123375000</v>
      </c>
      <c r="J145" s="123">
        <f>'사업계획(매출 확정본)'!AL69</f>
        <v>129575000</v>
      </c>
      <c r="K145" s="236">
        <f>'사업계획(매출 확정본)'!AM69</f>
        <v>135941176.47058824</v>
      </c>
    </row>
    <row r="146" spans="2:11" hidden="1" outlineLevel="1" x14ac:dyDescent="0.3">
      <c r="B146" s="845"/>
      <c r="D146" s="870"/>
      <c r="E146" s="870"/>
      <c r="F146" s="870"/>
      <c r="G146" s="123"/>
      <c r="H146" s="123"/>
      <c r="I146" s="123"/>
      <c r="J146" s="123"/>
      <c r="K146" s="236"/>
    </row>
    <row r="147" spans="2:11" collapsed="1" x14ac:dyDescent="0.3">
      <c r="B147" s="844" t="s">
        <v>2849</v>
      </c>
      <c r="D147" s="870"/>
      <c r="E147" s="870"/>
      <c r="F147" s="870"/>
      <c r="G147" s="123">
        <f>IFERROR(G148*G149,0)/10^6</f>
        <v>0</v>
      </c>
      <c r="H147" s="876">
        <f t="shared" ref="H147:K147" si="102">IFERROR(H148*H149,0)/10^6</f>
        <v>1425</v>
      </c>
      <c r="I147" s="876">
        <f t="shared" si="102"/>
        <v>7482.5</v>
      </c>
      <c r="J147" s="876">
        <f t="shared" si="102"/>
        <v>9429</v>
      </c>
      <c r="K147" s="884">
        <f t="shared" si="102"/>
        <v>11550</v>
      </c>
    </row>
    <row r="148" spans="2:11" hidden="1" outlineLevel="1" x14ac:dyDescent="0.3">
      <c r="B148" s="845" t="s">
        <v>2753</v>
      </c>
      <c r="D148" s="870"/>
      <c r="E148" s="870"/>
      <c r="F148" s="870"/>
      <c r="G148" s="847">
        <f>'사업계획(매출 확정본)'!AI71</f>
        <v>0</v>
      </c>
      <c r="H148" s="847">
        <f>'사업계획(매출 확정본)'!AJ71</f>
        <v>5</v>
      </c>
      <c r="I148" s="847">
        <f>'사업계획(매출 확정본)'!AK71</f>
        <v>25</v>
      </c>
      <c r="J148" s="847">
        <f>'사업계획(매출 확정본)'!AL71</f>
        <v>30</v>
      </c>
      <c r="K148" s="872">
        <f>'사업계획(매출 확정본)'!AM71</f>
        <v>35</v>
      </c>
    </row>
    <row r="149" spans="2:11" hidden="1" outlineLevel="1" x14ac:dyDescent="0.3">
      <c r="B149" s="845" t="s">
        <v>2755</v>
      </c>
      <c r="D149" s="870"/>
      <c r="E149" s="870"/>
      <c r="F149" s="870"/>
      <c r="G149" s="123" t="e">
        <f>'사업계획(매출 확정본)'!AI72</f>
        <v>#DIV/0!</v>
      </c>
      <c r="H149" s="123">
        <f>'사업계획(매출 확정본)'!AJ72</f>
        <v>285000000</v>
      </c>
      <c r="I149" s="123">
        <f>'사업계획(매출 확정본)'!AK72</f>
        <v>299300000</v>
      </c>
      <c r="J149" s="123">
        <f>'사업계획(매출 확정본)'!AL72</f>
        <v>314300000</v>
      </c>
      <c r="K149" s="236">
        <f>'사업계획(매출 확정본)'!AM72</f>
        <v>330000000</v>
      </c>
    </row>
    <row r="150" spans="2:11" hidden="1" outlineLevel="1" x14ac:dyDescent="0.3">
      <c r="B150" s="873"/>
      <c r="D150" s="870"/>
      <c r="E150" s="870"/>
      <c r="F150" s="870"/>
      <c r="G150" s="870"/>
      <c r="H150" s="870"/>
      <c r="I150" s="870"/>
      <c r="J150" s="870"/>
      <c r="K150" s="872"/>
    </row>
    <row r="151" spans="2:11" hidden="1" outlineLevel="1" x14ac:dyDescent="0.3">
      <c r="B151" s="1475" t="s">
        <v>2958</v>
      </c>
      <c r="C151" s="1476"/>
      <c r="D151" s="1477">
        <f ca="1">D139+D98+D57+D11</f>
        <v>55129.32265100001</v>
      </c>
      <c r="E151" s="1477">
        <f>E139+E98+E57+E11</f>
        <v>74962.145393545448</v>
      </c>
      <c r="F151" s="1477">
        <f>F139+F98+F57+F11</f>
        <v>79031.855856272727</v>
      </c>
      <c r="G151" s="1477">
        <f>G139+G98+G57+G11+G141</f>
        <v>112042.8</v>
      </c>
      <c r="H151" s="1477">
        <f>H139+H98+H57+H11+H141</f>
        <v>142930.20000000001</v>
      </c>
      <c r="I151" s="1477">
        <f>I139+I98+I57+I11+I141</f>
        <v>187956.7</v>
      </c>
      <c r="J151" s="1477">
        <f>J139+J98+J57+J11+J141</f>
        <v>207998.6</v>
      </c>
      <c r="K151" s="1478">
        <f>K139+K98+K57+K11+K141</f>
        <v>226353.9</v>
      </c>
    </row>
    <row r="152" spans="2:11" hidden="1" outlineLevel="1" x14ac:dyDescent="0.3">
      <c r="B152" s="873"/>
      <c r="D152" s="870"/>
      <c r="E152" s="870"/>
      <c r="F152" s="870"/>
      <c r="G152" s="870" t="b">
        <f>G151='사업계획(매출 확정본)'!AI11/1000000</f>
        <v>1</v>
      </c>
      <c r="H152" s="870" t="b">
        <f>H151='사업계획(매출 확정본)'!AJ11/1000000</f>
        <v>1</v>
      </c>
      <c r="I152" s="870" t="b">
        <f>I151='사업계획(매출 확정본)'!AK11/1000000</f>
        <v>1</v>
      </c>
      <c r="J152" s="870" t="b">
        <f>J151='사업계획(매출 확정본)'!AL11/1000000</f>
        <v>1</v>
      </c>
      <c r="K152" s="871" t="b">
        <f>K151='사업계획(매출 확정본)'!AM11/1000000</f>
        <v>1</v>
      </c>
    </row>
    <row r="153" spans="2:11" ht="14.25" collapsed="1" thickBot="1" x14ac:dyDescent="0.35">
      <c r="B153" s="1479"/>
      <c r="C153" s="1480"/>
      <c r="D153" s="1480"/>
      <c r="E153" s="1480"/>
      <c r="F153" s="1480"/>
      <c r="G153" s="1480"/>
      <c r="H153" s="1480"/>
      <c r="I153" s="1480"/>
      <c r="J153" s="1480"/>
      <c r="K153" s="1474"/>
    </row>
    <row r="154" spans="2:11" x14ac:dyDescent="0.3">
      <c r="D154" s="962"/>
      <c r="E154" s="962"/>
      <c r="F154" s="962"/>
      <c r="G154" s="962"/>
      <c r="J154" s="847"/>
    </row>
    <row r="155" spans="2:11" x14ac:dyDescent="0.3">
      <c r="F155" s="879"/>
      <c r="J155" s="878"/>
    </row>
    <row r="156" spans="2:11" x14ac:dyDescent="0.3">
      <c r="B156" s="862" t="s">
        <v>2775</v>
      </c>
      <c r="C156" s="863"/>
      <c r="D156" s="863"/>
      <c r="E156" s="863"/>
      <c r="F156" s="863"/>
      <c r="G156" s="863"/>
      <c r="H156" s="863"/>
      <c r="I156" s="863"/>
      <c r="J156" s="997"/>
      <c r="K156" s="997"/>
    </row>
    <row r="157" spans="2:11" x14ac:dyDescent="0.3">
      <c r="B157" s="864" t="s">
        <v>2746</v>
      </c>
      <c r="C157" s="865"/>
      <c r="D157" s="865">
        <f>'Pro forma'!E$5</f>
        <v>2015</v>
      </c>
      <c r="E157" s="865">
        <f>'Pro forma'!F$5</f>
        <v>2016</v>
      </c>
      <c r="F157" s="866">
        <f>'Pro forma'!G$5</f>
        <v>2017</v>
      </c>
      <c r="G157" s="867">
        <f>'Pro forma'!H$5</f>
        <v>2018</v>
      </c>
      <c r="H157" s="867">
        <f>'Pro forma'!I$5</f>
        <v>2019</v>
      </c>
      <c r="I157" s="867">
        <f>'Pro forma'!J$5</f>
        <v>2020</v>
      </c>
      <c r="J157" s="867">
        <f>'Pro forma'!K$5</f>
        <v>2021</v>
      </c>
      <c r="K157" s="868">
        <f>J157+1</f>
        <v>2022</v>
      </c>
    </row>
    <row r="158" spans="2:11" x14ac:dyDescent="0.3">
      <c r="B158" s="846" t="s">
        <v>2776</v>
      </c>
      <c r="D158" s="848">
        <f t="shared" ref="D158:J158" si="103">D162+D175+D188+D201</f>
        <v>2915.399566</v>
      </c>
      <c r="E158" s="848">
        <f t="shared" si="103"/>
        <v>3160.0297220000002</v>
      </c>
      <c r="F158" s="848">
        <f t="shared" si="103"/>
        <v>7595.1137519999993</v>
      </c>
      <c r="G158" s="848">
        <f>G162+G175+G188+G201</f>
        <v>28842.666666666668</v>
      </c>
      <c r="H158" s="848">
        <f t="shared" si="103"/>
        <v>37847.300000000003</v>
      </c>
      <c r="I158" s="848">
        <f t="shared" si="103"/>
        <v>44529.7</v>
      </c>
      <c r="J158" s="848">
        <f t="shared" si="103"/>
        <v>51786.7</v>
      </c>
      <c r="K158" s="998">
        <f>K162+K175+K188+K201</f>
        <v>61025.1</v>
      </c>
    </row>
    <row r="159" spans="2:11" x14ac:dyDescent="0.3">
      <c r="B159" s="869" t="s">
        <v>37</v>
      </c>
      <c r="D159" s="870"/>
      <c r="E159" s="870">
        <f>E158/D158-1</f>
        <v>8.3909649590721003E-2</v>
      </c>
      <c r="F159" s="870">
        <f>F158/E158-1</f>
        <v>1.4034944035883972</v>
      </c>
      <c r="G159" s="870">
        <f t="shared" ref="G159:K159" si="104">G158/F158-1</f>
        <v>2.7975292547885293</v>
      </c>
      <c r="H159" s="870">
        <f t="shared" si="104"/>
        <v>0.31219836353550301</v>
      </c>
      <c r="I159" s="870">
        <f t="shared" si="104"/>
        <v>0.17656213256956232</v>
      </c>
      <c r="J159" s="870">
        <f t="shared" si="104"/>
        <v>0.1629698830218933</v>
      </c>
      <c r="K159" s="871">
        <f t="shared" si="104"/>
        <v>0.17839329403109305</v>
      </c>
    </row>
    <row r="160" spans="2:11" x14ac:dyDescent="0.3">
      <c r="B160" s="869" t="s">
        <v>7533</v>
      </c>
      <c r="D160" s="875">
        <f>D158/D$6</f>
        <v>4.7047808139998891E-2</v>
      </c>
      <c r="E160" s="875">
        <f t="shared" ref="E160:K160" si="105">E158/E$6</f>
        <v>3.877897075907321E-2</v>
      </c>
      <c r="F160" s="875">
        <f t="shared" si="105"/>
        <v>8.2256986460129605E-2</v>
      </c>
      <c r="G160" s="875">
        <f t="shared" si="105"/>
        <v>0.1929072808876319</v>
      </c>
      <c r="H160" s="875">
        <f t="shared" si="105"/>
        <v>0.19763688338333435</v>
      </c>
      <c r="I160" s="875">
        <f t="shared" si="105"/>
        <v>0.18055441745302153</v>
      </c>
      <c r="J160" s="875">
        <f t="shared" si="105"/>
        <v>0.18967320423963557</v>
      </c>
      <c r="K160" s="1538">
        <f t="shared" si="105"/>
        <v>0.20076797984387607</v>
      </c>
    </row>
    <row r="161" spans="2:13" x14ac:dyDescent="0.3">
      <c r="B161" s="869"/>
      <c r="F161" s="847"/>
      <c r="G161" s="847"/>
      <c r="H161" s="847"/>
      <c r="I161" s="847"/>
      <c r="J161" s="847"/>
      <c r="K161" s="872"/>
    </row>
    <row r="162" spans="2:13" x14ac:dyDescent="0.3">
      <c r="B162" s="1549" t="s">
        <v>2140</v>
      </c>
      <c r="C162" s="876"/>
      <c r="D162" s="996">
        <f>(D165+D168+D171)</f>
        <v>1669.4213199999999</v>
      </c>
      <c r="E162" s="996">
        <f t="shared" ref="E162:K162" si="106">(E165+E168+E171)</f>
        <v>2210.8785499999999</v>
      </c>
      <c r="F162" s="996">
        <f t="shared" si="106"/>
        <v>5943.3561</v>
      </c>
      <c r="G162" s="996">
        <f t="shared" si="106"/>
        <v>9391</v>
      </c>
      <c r="H162" s="996">
        <f t="shared" si="106"/>
        <v>15030</v>
      </c>
      <c r="I162" s="996">
        <f t="shared" si="106"/>
        <v>18493</v>
      </c>
      <c r="J162" s="996">
        <f t="shared" si="106"/>
        <v>22265</v>
      </c>
      <c r="K162" s="999">
        <f t="shared" si="106"/>
        <v>27723.5</v>
      </c>
    </row>
    <row r="163" spans="2:13" x14ac:dyDescent="0.3">
      <c r="B163" s="1535" t="s">
        <v>37</v>
      </c>
      <c r="C163" s="876"/>
      <c r="D163" s="870"/>
      <c r="E163" s="870">
        <f>E162/D162-1</f>
        <v>0.32433827429495143</v>
      </c>
      <c r="F163" s="870">
        <f>F162/E162-1</f>
        <v>1.688232738971573</v>
      </c>
      <c r="G163" s="870">
        <f t="shared" ref="G163:K163" si="107">G162/F162-1</f>
        <v>0.58008368369514329</v>
      </c>
      <c r="H163" s="870">
        <f t="shared" si="107"/>
        <v>0.6004685337024811</v>
      </c>
      <c r="I163" s="870">
        <f t="shared" si="107"/>
        <v>0.23040585495675314</v>
      </c>
      <c r="J163" s="870">
        <f t="shared" si="107"/>
        <v>0.2039690693776024</v>
      </c>
      <c r="K163" s="871">
        <f t="shared" si="107"/>
        <v>0.24516056591062196</v>
      </c>
    </row>
    <row r="164" spans="2:13" x14ac:dyDescent="0.3">
      <c r="B164" s="1536" t="s">
        <v>2778</v>
      </c>
      <c r="C164" s="876"/>
      <c r="D164" s="875">
        <f t="shared" ref="D164:K164" si="108">D162/D158</f>
        <v>0.57262179066949892</v>
      </c>
      <c r="E164" s="875">
        <f t="shared" si="108"/>
        <v>0.69963853017202726</v>
      </c>
      <c r="F164" s="875">
        <f t="shared" si="108"/>
        <v>0.78252364534171104</v>
      </c>
      <c r="G164" s="875">
        <f t="shared" si="108"/>
        <v>0.32559402736686388</v>
      </c>
      <c r="H164" s="875">
        <f t="shared" si="108"/>
        <v>0.39712211967564393</v>
      </c>
      <c r="I164" s="875">
        <f t="shared" si="108"/>
        <v>0.41529585871901226</v>
      </c>
      <c r="J164" s="875">
        <f t="shared" si="108"/>
        <v>0.4299366439645701</v>
      </c>
      <c r="K164" s="1538">
        <f t="shared" si="108"/>
        <v>0.45429667464698953</v>
      </c>
    </row>
    <row r="165" spans="2:13" x14ac:dyDescent="0.3">
      <c r="B165" s="1547" t="s">
        <v>2139</v>
      </c>
      <c r="C165" s="876"/>
      <c r="D165" s="123">
        <f>D166*D167/10^6</f>
        <v>1669.4213199999999</v>
      </c>
      <c r="E165" s="123">
        <f t="shared" ref="E165:K165" si="109">E166*E167/10^6</f>
        <v>2210.8785499999999</v>
      </c>
      <c r="F165" s="123">
        <f t="shared" si="109"/>
        <v>608.91849999999999</v>
      </c>
      <c r="G165" s="123">
        <f t="shared" si="109"/>
        <v>2686</v>
      </c>
      <c r="H165" s="123">
        <f t="shared" si="109"/>
        <v>5642</v>
      </c>
      <c r="I165" s="123">
        <f t="shared" si="109"/>
        <v>7405</v>
      </c>
      <c r="J165" s="123">
        <f t="shared" si="109"/>
        <v>9330</v>
      </c>
      <c r="K165" s="236">
        <f t="shared" si="109"/>
        <v>11427.5</v>
      </c>
    </row>
    <row r="166" spans="2:13" hidden="1" outlineLevel="1" x14ac:dyDescent="0.3">
      <c r="B166" s="1548" t="s">
        <v>2753</v>
      </c>
      <c r="C166" s="876"/>
      <c r="D166" s="876">
        <v>42</v>
      </c>
      <c r="E166" s="876">
        <v>16</v>
      </c>
      <c r="F166" s="876">
        <v>6</v>
      </c>
      <c r="G166" s="847">
        <f>'사업계획(매출 확정본)'!AI91</f>
        <v>30</v>
      </c>
      <c r="H166" s="847">
        <f>'사업계획(매출 확정본)'!AJ91</f>
        <v>60</v>
      </c>
      <c r="I166" s="847">
        <f>'사업계획(매출 확정본)'!AK91</f>
        <v>75</v>
      </c>
      <c r="J166" s="847">
        <f>'사업계획(매출 확정본)'!AL91</f>
        <v>90</v>
      </c>
      <c r="K166" s="872">
        <f>'사업계획(매출 확정본)'!AM91</f>
        <v>105</v>
      </c>
    </row>
    <row r="167" spans="2:13" hidden="1" outlineLevel="1" x14ac:dyDescent="0.3">
      <c r="B167" s="1548" t="s">
        <v>2755</v>
      </c>
      <c r="C167" s="876"/>
      <c r="D167" s="876">
        <v>39748126.666666664</v>
      </c>
      <c r="E167" s="876">
        <v>138179909.375</v>
      </c>
      <c r="F167" s="876">
        <v>101486416.66666667</v>
      </c>
      <c r="G167" s="876">
        <f>'사업계획(매출 확정본)'!AI92</f>
        <v>89533333.333333328</v>
      </c>
      <c r="H167" s="876">
        <f>'사업계획(매출 확정본)'!AJ92</f>
        <v>94033333.333333328</v>
      </c>
      <c r="I167" s="876">
        <f>'사업계획(매출 확정본)'!AK92</f>
        <v>98733333.333333328</v>
      </c>
      <c r="J167" s="876">
        <f>'사업계획(매출 확정본)'!AL92</f>
        <v>103666666.66666667</v>
      </c>
      <c r="K167" s="884">
        <f>'사업계획(매출 확정본)'!AM92</f>
        <v>108833333.33333333</v>
      </c>
    </row>
    <row r="168" spans="2:13" collapsed="1" x14ac:dyDescent="0.3">
      <c r="B168" s="1547" t="s">
        <v>649</v>
      </c>
      <c r="C168" s="876"/>
      <c r="D168" s="123">
        <f>IFERROR(D169*D170,0)/410^6</f>
        <v>0</v>
      </c>
      <c r="E168" s="123">
        <f t="shared" ref="E168:K168" si="110">IFERROR(E169*E170,0)/410^6</f>
        <v>0</v>
      </c>
      <c r="F168" s="123">
        <f t="shared" si="110"/>
        <v>0</v>
      </c>
      <c r="G168" s="123">
        <f t="shared" si="110"/>
        <v>0</v>
      </c>
      <c r="H168" s="123">
        <f t="shared" si="110"/>
        <v>0</v>
      </c>
      <c r="I168" s="123">
        <f t="shared" si="110"/>
        <v>0</v>
      </c>
      <c r="J168" s="123">
        <f t="shared" si="110"/>
        <v>0</v>
      </c>
      <c r="K168" s="236">
        <f t="shared" si="110"/>
        <v>0</v>
      </c>
    </row>
    <row r="169" spans="2:13" hidden="1" outlineLevel="1" x14ac:dyDescent="0.3">
      <c r="B169" s="1548" t="s">
        <v>2753</v>
      </c>
      <c r="C169" s="876"/>
      <c r="D169" s="123">
        <f>매출액!D168</f>
        <v>0</v>
      </c>
      <c r="E169" s="123">
        <f>매출액!E168</f>
        <v>0</v>
      </c>
      <c r="F169" s="123">
        <f>매출액!F168</f>
        <v>0</v>
      </c>
      <c r="G169" s="123">
        <f>매출액!G168</f>
        <v>0</v>
      </c>
      <c r="H169" s="123">
        <f>매출액!H168</f>
        <v>0</v>
      </c>
      <c r="I169" s="123">
        <f>매출액!I168</f>
        <v>0</v>
      </c>
      <c r="J169" s="123">
        <f>매출액!J168</f>
        <v>0</v>
      </c>
      <c r="K169" s="236">
        <f>매출액!K168</f>
        <v>0</v>
      </c>
    </row>
    <row r="170" spans="2:13" hidden="1" outlineLevel="1" x14ac:dyDescent="0.3">
      <c r="B170" s="1548" t="s">
        <v>2755</v>
      </c>
      <c r="C170" s="876"/>
      <c r="D170" s="123">
        <f>IFERROR(매출액!D169,0)</f>
        <v>0</v>
      </c>
      <c r="E170" s="123">
        <f>IFERROR(매출액!E169,0)</f>
        <v>0</v>
      </c>
      <c r="F170" s="123">
        <f>IFERROR(매출액!F169,0)</f>
        <v>0</v>
      </c>
      <c r="G170" s="123">
        <f>IFERROR(매출액!G169,0)</f>
        <v>0</v>
      </c>
      <c r="H170" s="123">
        <f>IFERROR(매출액!H169,0)</f>
        <v>0</v>
      </c>
      <c r="I170" s="123">
        <f>IFERROR(매출액!I169,0)</f>
        <v>0</v>
      </c>
      <c r="J170" s="123">
        <f>IFERROR(매출액!J169,0)</f>
        <v>0</v>
      </c>
      <c r="K170" s="236">
        <f>IFERROR(매출액!K169,0)</f>
        <v>0</v>
      </c>
    </row>
    <row r="171" spans="2:13" collapsed="1" x14ac:dyDescent="0.3">
      <c r="B171" s="1547" t="s">
        <v>648</v>
      </c>
      <c r="C171" s="876"/>
      <c r="D171" s="123">
        <f>D172*D173/10^6</f>
        <v>0</v>
      </c>
      <c r="E171" s="123">
        <f>IFERROR(E172*E173/10^6,0)</f>
        <v>0</v>
      </c>
      <c r="F171" s="123">
        <f t="shared" ref="F171:K171" si="111">F172*F173/10^6</f>
        <v>5334.4376000000002</v>
      </c>
      <c r="G171" s="123">
        <f t="shared" si="111"/>
        <v>6705</v>
      </c>
      <c r="H171" s="123">
        <f t="shared" si="111"/>
        <v>9388</v>
      </c>
      <c r="I171" s="123">
        <f t="shared" si="111"/>
        <v>11088</v>
      </c>
      <c r="J171" s="123">
        <f t="shared" si="111"/>
        <v>12935</v>
      </c>
      <c r="K171" s="236">
        <f t="shared" si="111"/>
        <v>16296</v>
      </c>
    </row>
    <row r="172" spans="2:13" hidden="1" outlineLevel="1" x14ac:dyDescent="0.3">
      <c r="B172" s="1548" t="s">
        <v>2753</v>
      </c>
      <c r="C172" s="876"/>
      <c r="D172" s="876">
        <v>42</v>
      </c>
      <c r="E172" s="876">
        <v>0</v>
      </c>
      <c r="F172" s="876">
        <v>21</v>
      </c>
      <c r="G172" s="876">
        <f>'사업계획(매출 확정본)'!AI79</f>
        <v>30</v>
      </c>
      <c r="H172" s="876">
        <f>'사업계획(매출 확정본)'!AJ79</f>
        <v>40</v>
      </c>
      <c r="I172" s="876">
        <f>'사업계획(매출 확정본)'!AK79</f>
        <v>45</v>
      </c>
      <c r="J172" s="876">
        <f>'사업계획(매출 확정본)'!AL79</f>
        <v>50</v>
      </c>
      <c r="K172" s="884">
        <f>'사업계획(매출 확정본)'!AM79</f>
        <v>60</v>
      </c>
    </row>
    <row r="173" spans="2:13" hidden="1" outlineLevel="1" x14ac:dyDescent="0.3">
      <c r="B173" s="1548" t="s">
        <v>2755</v>
      </c>
      <c r="C173" s="876"/>
      <c r="D173" s="876">
        <v>0</v>
      </c>
      <c r="E173" s="876" t="e">
        <v>#DIV/0!</v>
      </c>
      <c r="F173" s="876">
        <v>254020838.09523809</v>
      </c>
      <c r="G173" s="876">
        <f>'사업계획(매출 확정본)'!AI80</f>
        <v>223500000</v>
      </c>
      <c r="H173" s="876">
        <f>'사업계획(매출 확정본)'!AJ80</f>
        <v>234700000</v>
      </c>
      <c r="I173" s="876">
        <f>'사업계획(매출 확정본)'!AK80</f>
        <v>246400000</v>
      </c>
      <c r="J173" s="876">
        <f>'사업계획(매출 확정본)'!AL80</f>
        <v>258700000</v>
      </c>
      <c r="K173" s="884">
        <f>'사업계획(매출 확정본)'!AM80</f>
        <v>271600000</v>
      </c>
    </row>
    <row r="174" spans="2:13" collapsed="1" x14ac:dyDescent="0.3">
      <c r="B174" s="1548"/>
      <c r="C174" s="876"/>
      <c r="D174" s="876"/>
      <c r="E174" s="876"/>
      <c r="F174" s="876"/>
      <c r="G174" s="847"/>
      <c r="H174" s="847"/>
      <c r="I174" s="847"/>
      <c r="J174" s="847"/>
      <c r="K174" s="872"/>
      <c r="M174" s="859"/>
    </row>
    <row r="175" spans="2:13" x14ac:dyDescent="0.3">
      <c r="B175" s="1549" t="s">
        <v>2156</v>
      </c>
      <c r="C175" s="876"/>
      <c r="D175" s="996">
        <f t="shared" ref="D175:K175" si="112">D178+D181+D184</f>
        <v>21.611989999999999</v>
      </c>
      <c r="E175" s="996">
        <f t="shared" si="112"/>
        <v>199.636413</v>
      </c>
      <c r="F175" s="996">
        <f t="shared" si="112"/>
        <v>858.51522900000009</v>
      </c>
      <c r="G175" s="996">
        <f t="shared" si="112"/>
        <v>4285</v>
      </c>
      <c r="H175" s="996">
        <f t="shared" si="112"/>
        <v>5083.3</v>
      </c>
      <c r="I175" s="996">
        <f t="shared" si="112"/>
        <v>5949.7999999999993</v>
      </c>
      <c r="J175" s="996">
        <f t="shared" si="112"/>
        <v>6891.2999999999993</v>
      </c>
      <c r="K175" s="999">
        <f t="shared" si="112"/>
        <v>7911.2</v>
      </c>
      <c r="M175" s="859"/>
    </row>
    <row r="176" spans="2:13" x14ac:dyDescent="0.3">
      <c r="B176" s="1535" t="s">
        <v>37</v>
      </c>
      <c r="C176" s="876"/>
      <c r="D176" s="870"/>
      <c r="E176" s="870">
        <f>E175/D175-1</f>
        <v>8.2372989715431117</v>
      </c>
      <c r="F176" s="870">
        <f>F175/E175-1</f>
        <v>3.3003939817331824</v>
      </c>
      <c r="G176" s="870">
        <f t="shared" ref="G176:K176" si="113">G175/F175-1</f>
        <v>3.9911752934088014</v>
      </c>
      <c r="H176" s="870">
        <f t="shared" si="113"/>
        <v>0.18630105017502929</v>
      </c>
      <c r="I176" s="870">
        <f t="shared" si="113"/>
        <v>0.17046013416481398</v>
      </c>
      <c r="J176" s="870">
        <f t="shared" si="113"/>
        <v>0.15824061312985305</v>
      </c>
      <c r="K176" s="871">
        <f t="shared" si="113"/>
        <v>0.14799820062977975</v>
      </c>
      <c r="M176" s="859"/>
    </row>
    <row r="177" spans="2:20" x14ac:dyDescent="0.3">
      <c r="B177" s="1536" t="s">
        <v>2778</v>
      </c>
      <c r="C177" s="876"/>
      <c r="D177" s="875">
        <f t="shared" ref="D177:K177" si="114">D175/D158</f>
        <v>7.4130456257329351E-3</v>
      </c>
      <c r="E177" s="875">
        <f t="shared" si="114"/>
        <v>6.3175485853863747E-2</v>
      </c>
      <c r="F177" s="875">
        <f t="shared" si="114"/>
        <v>0.11303520355754115</v>
      </c>
      <c r="G177" s="875">
        <f t="shared" si="114"/>
        <v>0.14856462647928995</v>
      </c>
      <c r="H177" s="875">
        <f t="shared" si="114"/>
        <v>0.13431076985676652</v>
      </c>
      <c r="I177" s="875">
        <f t="shared" si="114"/>
        <v>0.13361419457126367</v>
      </c>
      <c r="J177" s="875">
        <f t="shared" si="114"/>
        <v>0.13307084637561381</v>
      </c>
      <c r="K177" s="1538">
        <f t="shared" si="114"/>
        <v>0.1296384602401307</v>
      </c>
      <c r="M177" s="859"/>
    </row>
    <row r="178" spans="2:20" x14ac:dyDescent="0.3">
      <c r="B178" s="1547" t="s">
        <v>2139</v>
      </c>
      <c r="C178" s="876"/>
      <c r="D178" s="123">
        <f>D179*D180/10^6</f>
        <v>21.611989999999999</v>
      </c>
      <c r="E178" s="123">
        <f t="shared" ref="E178:K178" si="115">E179*E180/10^6</f>
        <v>70.845872999999997</v>
      </c>
      <c r="F178" s="123">
        <f t="shared" si="115"/>
        <v>225.91931</v>
      </c>
      <c r="G178" s="123">
        <f t="shared" si="115"/>
        <v>485</v>
      </c>
      <c r="H178" s="123">
        <f t="shared" si="115"/>
        <v>661.7</v>
      </c>
      <c r="I178" s="123">
        <f t="shared" si="115"/>
        <v>854.4</v>
      </c>
      <c r="J178" s="123">
        <f t="shared" si="115"/>
        <v>1065.9000000000001</v>
      </c>
      <c r="K178" s="236">
        <f t="shared" si="115"/>
        <v>1295.8</v>
      </c>
      <c r="M178" s="859"/>
    </row>
    <row r="179" spans="2:20" outlineLevel="1" x14ac:dyDescent="0.3">
      <c r="B179" s="1548" t="s">
        <v>2753</v>
      </c>
      <c r="C179" s="876"/>
      <c r="D179" s="876">
        <v>8</v>
      </c>
      <c r="E179" s="876">
        <v>8</v>
      </c>
      <c r="F179" s="876">
        <v>2</v>
      </c>
      <c r="G179" s="847">
        <f>'사업계획(매출 확정본)'!AI94</f>
        <v>10</v>
      </c>
      <c r="H179" s="847">
        <f>'사업계획(매출 확정본)'!AJ94</f>
        <v>13</v>
      </c>
      <c r="I179" s="847">
        <f>'사업계획(매출 확정본)'!AK94</f>
        <v>16</v>
      </c>
      <c r="J179" s="847">
        <f>'사업계획(매출 확정본)'!AL94</f>
        <v>19</v>
      </c>
      <c r="K179" s="872">
        <f>'사업계획(매출 확정본)'!AM94</f>
        <v>22</v>
      </c>
      <c r="M179" s="859"/>
    </row>
    <row r="180" spans="2:20" outlineLevel="1" x14ac:dyDescent="0.3">
      <c r="B180" s="1548" t="s">
        <v>2755</v>
      </c>
      <c r="C180" s="876"/>
      <c r="D180" s="876">
        <v>2701498.75</v>
      </c>
      <c r="E180" s="876">
        <v>8855734.125</v>
      </c>
      <c r="F180" s="876">
        <v>112959655</v>
      </c>
      <c r="G180" s="876">
        <f>'사업계획(매출 확정본)'!AI95</f>
        <v>48500000</v>
      </c>
      <c r="H180" s="876">
        <f>'사업계획(매출 확정본)'!AJ95</f>
        <v>50900000</v>
      </c>
      <c r="I180" s="876">
        <f>'사업계획(매출 확정본)'!AK95</f>
        <v>53400000</v>
      </c>
      <c r="J180" s="876">
        <f>'사업계획(매출 확정본)'!AL95</f>
        <v>56100000</v>
      </c>
      <c r="K180" s="884">
        <f>'사업계획(매출 확정본)'!AM95</f>
        <v>58900000</v>
      </c>
      <c r="M180" s="859"/>
    </row>
    <row r="181" spans="2:20" x14ac:dyDescent="0.3">
      <c r="B181" s="1547" t="s">
        <v>649</v>
      </c>
      <c r="C181" s="876"/>
      <c r="D181" s="123">
        <f>IFERROR(D182*D183,0)/10^6</f>
        <v>0</v>
      </c>
      <c r="E181" s="123">
        <f t="shared" ref="E181:K181" si="116">IFERROR(E182*E183,0)/10^6</f>
        <v>128.79053999999999</v>
      </c>
      <c r="F181" s="123">
        <f t="shared" si="116"/>
        <v>130.44600399999999</v>
      </c>
      <c r="G181" s="123">
        <f t="shared" si="116"/>
        <v>0</v>
      </c>
      <c r="H181" s="123">
        <f t="shared" si="116"/>
        <v>0</v>
      </c>
      <c r="I181" s="123">
        <f t="shared" si="116"/>
        <v>0</v>
      </c>
      <c r="J181" s="123">
        <f t="shared" si="116"/>
        <v>0</v>
      </c>
      <c r="K181" s="236">
        <f t="shared" si="116"/>
        <v>0</v>
      </c>
      <c r="M181" s="859"/>
    </row>
    <row r="182" spans="2:20" outlineLevel="1" x14ac:dyDescent="0.3">
      <c r="B182" s="1548" t="s">
        <v>2753</v>
      </c>
      <c r="C182" s="876"/>
      <c r="D182" s="876">
        <v>0</v>
      </c>
      <c r="E182" s="876">
        <v>1</v>
      </c>
      <c r="F182" s="876">
        <v>1</v>
      </c>
      <c r="G182" s="876"/>
      <c r="H182" s="876"/>
      <c r="I182" s="876"/>
      <c r="J182" s="876"/>
      <c r="K182" s="872"/>
      <c r="M182" s="859"/>
    </row>
    <row r="183" spans="2:20" outlineLevel="1" x14ac:dyDescent="0.3">
      <c r="B183" s="1548" t="s">
        <v>2755</v>
      </c>
      <c r="C183" s="876"/>
      <c r="D183" s="876" t="e">
        <v>#DIV/0!</v>
      </c>
      <c r="E183" s="876">
        <v>128790540</v>
      </c>
      <c r="F183" s="876">
        <v>130446004</v>
      </c>
      <c r="G183" s="876"/>
      <c r="H183" s="876"/>
      <c r="I183" s="876"/>
      <c r="J183" s="876"/>
      <c r="K183" s="872"/>
      <c r="M183" s="859"/>
    </row>
    <row r="184" spans="2:20" x14ac:dyDescent="0.3">
      <c r="B184" s="1547" t="s">
        <v>648</v>
      </c>
      <c r="C184" s="876"/>
      <c r="D184" s="123">
        <f>D185*D186/10^6</f>
        <v>0</v>
      </c>
      <c r="E184" s="123">
        <f>IFERROR(E185*E186/10^6,0)</f>
        <v>0</v>
      </c>
      <c r="F184" s="123">
        <f t="shared" ref="F184:K184" si="117">IFERROR(F185*F186/10^6,0)</f>
        <v>502.14991500000002</v>
      </c>
      <c r="G184" s="123">
        <f t="shared" si="117"/>
        <v>3800</v>
      </c>
      <c r="H184" s="123">
        <f t="shared" si="117"/>
        <v>4421.6000000000004</v>
      </c>
      <c r="I184" s="123">
        <f t="shared" si="117"/>
        <v>5095.3999999999996</v>
      </c>
      <c r="J184" s="123">
        <f t="shared" si="117"/>
        <v>5825.4</v>
      </c>
      <c r="K184" s="236">
        <f t="shared" si="117"/>
        <v>6615.4</v>
      </c>
      <c r="M184" s="859"/>
    </row>
    <row r="185" spans="2:20" outlineLevel="1" x14ac:dyDescent="0.3">
      <c r="B185" s="1548" t="s">
        <v>2753</v>
      </c>
      <c r="C185" s="876"/>
      <c r="D185" s="876">
        <v>8</v>
      </c>
      <c r="E185" s="876">
        <v>0</v>
      </c>
      <c r="F185" s="876">
        <v>3</v>
      </c>
      <c r="G185" s="876">
        <f>'사업계획(매출 확정본)'!AI82</f>
        <v>20</v>
      </c>
      <c r="H185" s="876">
        <f>'사업계획(매출 확정본)'!AJ82</f>
        <v>22</v>
      </c>
      <c r="I185" s="876">
        <f>'사업계획(매출 확정본)'!AK82</f>
        <v>24</v>
      </c>
      <c r="J185" s="876">
        <f>'사업계획(매출 확정본)'!AL82</f>
        <v>26</v>
      </c>
      <c r="K185" s="884">
        <f>'사업계획(매출 확정본)'!AM82</f>
        <v>28</v>
      </c>
      <c r="M185" s="859"/>
    </row>
    <row r="186" spans="2:20" outlineLevel="1" x14ac:dyDescent="0.3">
      <c r="B186" s="1548" t="s">
        <v>2755</v>
      </c>
      <c r="C186" s="876"/>
      <c r="D186" s="876">
        <v>0</v>
      </c>
      <c r="E186" s="876" t="e">
        <v>#DIV/0!</v>
      </c>
      <c r="F186" s="876">
        <v>167383305</v>
      </c>
      <c r="G186" s="123">
        <f>'사업계획(매출 확정본)'!AI83</f>
        <v>190000000</v>
      </c>
      <c r="H186" s="123">
        <f>'사업계획(매출 확정본)'!AJ83</f>
        <v>200981818.18181819</v>
      </c>
      <c r="I186" s="123">
        <f>'사업계획(매출 확정본)'!AK83</f>
        <v>212308333.33333334</v>
      </c>
      <c r="J186" s="123">
        <f>'사업계획(매출 확정본)'!AL83</f>
        <v>224053846.15384614</v>
      </c>
      <c r="K186" s="236">
        <f>'사업계획(매출 확정본)'!AM83</f>
        <v>236264285.7142857</v>
      </c>
      <c r="M186" s="859"/>
    </row>
    <row r="187" spans="2:20" x14ac:dyDescent="0.3">
      <c r="B187" s="1548"/>
      <c r="C187" s="876"/>
      <c r="D187" s="876"/>
      <c r="E187" s="876"/>
      <c r="F187" s="876"/>
      <c r="G187" s="847"/>
      <c r="H187" s="847"/>
      <c r="I187" s="847"/>
      <c r="J187" s="847"/>
      <c r="K187" s="872"/>
      <c r="M187" s="859"/>
    </row>
    <row r="188" spans="2:20" x14ac:dyDescent="0.3">
      <c r="B188" s="1549" t="s">
        <v>2158</v>
      </c>
      <c r="C188" s="876"/>
      <c r="D188" s="996">
        <f t="shared" ref="D188:K188" si="118">D191+D194+D197</f>
        <v>379.46539899999999</v>
      </c>
      <c r="E188" s="996">
        <f>IFERROR(E191+E194+E197,0)</f>
        <v>31.038079</v>
      </c>
      <c r="F188" s="996">
        <f t="shared" si="118"/>
        <v>627.45213100000001</v>
      </c>
      <c r="G188" s="996">
        <f t="shared" si="118"/>
        <v>11666.666666666668</v>
      </c>
      <c r="H188" s="996">
        <f t="shared" si="118"/>
        <v>14059</v>
      </c>
      <c r="I188" s="996">
        <f t="shared" si="118"/>
        <v>16228.9</v>
      </c>
      <c r="J188" s="996">
        <f t="shared" si="118"/>
        <v>18580.400000000001</v>
      </c>
      <c r="K188" s="999">
        <f t="shared" si="118"/>
        <v>21136.400000000001</v>
      </c>
      <c r="M188" s="859"/>
    </row>
    <row r="189" spans="2:20" x14ac:dyDescent="0.3">
      <c r="B189" s="1535" t="s">
        <v>37</v>
      </c>
      <c r="C189" s="876"/>
      <c r="D189" s="870"/>
      <c r="E189" s="870">
        <f>E188/D188-1</f>
        <v>-0.91820577295902539</v>
      </c>
      <c r="F189" s="870">
        <f>F188/E188-1</f>
        <v>19.215559442322444</v>
      </c>
      <c r="G189" s="870">
        <f t="shared" ref="G189:K189" si="119">G188/F188-1</f>
        <v>17.593715903192411</v>
      </c>
      <c r="H189" s="870">
        <f t="shared" si="119"/>
        <v>0.20505714285714283</v>
      </c>
      <c r="I189" s="870">
        <f t="shared" si="119"/>
        <v>0.15434241411195671</v>
      </c>
      <c r="J189" s="870">
        <f t="shared" si="119"/>
        <v>0.14489583397519246</v>
      </c>
      <c r="K189" s="871">
        <f t="shared" si="119"/>
        <v>0.13756431508471301</v>
      </c>
      <c r="M189" s="1537">
        <v>2915399566</v>
      </c>
      <c r="N189" s="880">
        <v>3160029722</v>
      </c>
      <c r="O189" s="880">
        <v>7595113752</v>
      </c>
      <c r="P189" s="880">
        <v>21198500000</v>
      </c>
      <c r="Q189" s="880">
        <v>25961300000</v>
      </c>
      <c r="R189" s="880">
        <v>31731700000</v>
      </c>
      <c r="S189" s="880">
        <v>36964200000</v>
      </c>
      <c r="T189" s="880">
        <v>42646600000</v>
      </c>
    </row>
    <row r="190" spans="2:20" x14ac:dyDescent="0.3">
      <c r="B190" s="1536" t="s">
        <v>2778</v>
      </c>
      <c r="C190" s="876"/>
      <c r="D190" s="875">
        <f t="shared" ref="D190:K190" si="120">D188/D158</f>
        <v>0.1301589680623558</v>
      </c>
      <c r="E190" s="875">
        <f t="shared" si="120"/>
        <v>9.8220845151911502E-3</v>
      </c>
      <c r="F190" s="875">
        <f t="shared" si="120"/>
        <v>8.2612604825671621E-2</v>
      </c>
      <c r="G190" s="875">
        <f t="shared" si="120"/>
        <v>0.40449334319526631</v>
      </c>
      <c r="H190" s="875">
        <f t="shared" si="120"/>
        <v>0.37146639258282621</v>
      </c>
      <c r="I190" s="875">
        <f t="shared" si="120"/>
        <v>0.36445114159763037</v>
      </c>
      <c r="J190" s="875">
        <f t="shared" si="120"/>
        <v>0.35878710170758132</v>
      </c>
      <c r="K190" s="1538">
        <f t="shared" si="120"/>
        <v>0.3463558437429845</v>
      </c>
      <c r="M190" s="859"/>
    </row>
    <row r="191" spans="2:20" x14ac:dyDescent="0.3">
      <c r="B191" s="1547" t="s">
        <v>2139</v>
      </c>
      <c r="C191" s="876"/>
      <c r="D191" s="123">
        <f>D192*D193/10^6</f>
        <v>379.46539899999999</v>
      </c>
      <c r="E191" s="123">
        <f t="shared" ref="E191:K191" si="121">E192*E193/10^6</f>
        <v>31.038079</v>
      </c>
      <c r="F191" s="123">
        <f t="shared" si="121"/>
        <v>16.097843999999998</v>
      </c>
      <c r="G191" s="123">
        <f t="shared" si="121"/>
        <v>0</v>
      </c>
      <c r="H191" s="123">
        <f t="shared" si="121"/>
        <v>584</v>
      </c>
      <c r="I191" s="123">
        <f t="shared" si="121"/>
        <v>796.9</v>
      </c>
      <c r="J191" s="123">
        <f t="shared" si="121"/>
        <v>1030.4000000000001</v>
      </c>
      <c r="K191" s="236">
        <f t="shared" si="121"/>
        <v>1284.4000000000001</v>
      </c>
      <c r="M191" s="859"/>
    </row>
    <row r="192" spans="2:20" outlineLevel="1" x14ac:dyDescent="0.3">
      <c r="B192" s="1548" t="s">
        <v>2753</v>
      </c>
      <c r="C192" s="876"/>
      <c r="D192" s="876">
        <v>11</v>
      </c>
      <c r="E192" s="876">
        <v>1</v>
      </c>
      <c r="F192" s="876">
        <v>1</v>
      </c>
      <c r="G192" s="847">
        <f>'사업계획(매출 확정본)'!AI97</f>
        <v>0</v>
      </c>
      <c r="H192" s="847">
        <f>'사업계획(매출 확정본)'!AJ97</f>
        <v>10</v>
      </c>
      <c r="I192" s="847">
        <f>'사업계획(매출 확정본)'!AK97</f>
        <v>13</v>
      </c>
      <c r="J192" s="847">
        <f>'사업계획(매출 확정본)'!AL97</f>
        <v>16</v>
      </c>
      <c r="K192" s="872">
        <f>'사업계획(매출 확정본)'!AM97</f>
        <v>19</v>
      </c>
    </row>
    <row r="193" spans="2:12" outlineLevel="1" x14ac:dyDescent="0.3">
      <c r="B193" s="1548" t="s">
        <v>2755</v>
      </c>
      <c r="C193" s="876"/>
      <c r="D193" s="876">
        <v>34496854.454545453</v>
      </c>
      <c r="E193" s="876">
        <v>31038079</v>
      </c>
      <c r="F193" s="876">
        <v>16097844</v>
      </c>
      <c r="G193" s="876">
        <f>'사업계획(매출 확정본)'!AI98</f>
        <v>95600000</v>
      </c>
      <c r="H193" s="876">
        <f>'사업계획(매출 확정본)'!AJ98</f>
        <v>58400000</v>
      </c>
      <c r="I193" s="876">
        <f>'사업계획(매출 확정본)'!AK98</f>
        <v>61300000</v>
      </c>
      <c r="J193" s="876">
        <f>'사업계획(매출 확정본)'!AL98</f>
        <v>64400000</v>
      </c>
      <c r="K193" s="884">
        <f>'사업계획(매출 확정본)'!AM98</f>
        <v>67600000</v>
      </c>
    </row>
    <row r="194" spans="2:12" x14ac:dyDescent="0.3">
      <c r="B194" s="1547" t="s">
        <v>2098</v>
      </c>
      <c r="C194" s="876"/>
      <c r="D194" s="123">
        <f>IFERROR(D195*D196,0)</f>
        <v>0</v>
      </c>
      <c r="E194" s="123">
        <f t="shared" ref="E194:J194" si="122">IFERROR(E195*E196,0)</f>
        <v>0</v>
      </c>
      <c r="F194" s="123">
        <f t="shared" si="122"/>
        <v>0</v>
      </c>
      <c r="G194" s="123">
        <f t="shared" si="122"/>
        <v>0</v>
      </c>
      <c r="H194" s="123">
        <f t="shared" si="122"/>
        <v>0</v>
      </c>
      <c r="I194" s="123">
        <f t="shared" si="122"/>
        <v>0</v>
      </c>
      <c r="J194" s="123">
        <f t="shared" si="122"/>
        <v>0</v>
      </c>
      <c r="K194" s="236"/>
    </row>
    <row r="195" spans="2:12" hidden="1" outlineLevel="1" x14ac:dyDescent="0.3">
      <c r="B195" s="1548" t="s">
        <v>2753</v>
      </c>
      <c r="C195" s="876"/>
      <c r="D195" s="123">
        <f>매출액!D193</f>
        <v>0</v>
      </c>
      <c r="E195" s="123">
        <f>매출액!E193</f>
        <v>0</v>
      </c>
      <c r="F195" s="123">
        <f>매출액!F193</f>
        <v>0</v>
      </c>
      <c r="G195" s="123">
        <f>매출액!G193</f>
        <v>0</v>
      </c>
      <c r="H195" s="123">
        <f>매출액!H193</f>
        <v>0</v>
      </c>
      <c r="I195" s="123">
        <f>매출액!I193</f>
        <v>0</v>
      </c>
      <c r="J195" s="123">
        <f>매출액!J193</f>
        <v>0</v>
      </c>
      <c r="K195" s="236">
        <f>매출액!K193</f>
        <v>0</v>
      </c>
    </row>
    <row r="196" spans="2:12" hidden="1" outlineLevel="1" x14ac:dyDescent="0.3">
      <c r="B196" s="1548" t="s">
        <v>2755</v>
      </c>
      <c r="C196" s="876"/>
      <c r="D196" s="123">
        <f>매출액!D194</f>
        <v>0</v>
      </c>
      <c r="E196" s="123">
        <f>매출액!E194</f>
        <v>0</v>
      </c>
      <c r="F196" s="123">
        <f>매출액!F194</f>
        <v>0</v>
      </c>
      <c r="G196" s="123">
        <f>매출액!G194</f>
        <v>0</v>
      </c>
      <c r="H196" s="123">
        <f>매출액!H194</f>
        <v>0</v>
      </c>
      <c r="I196" s="123">
        <f>매출액!I194</f>
        <v>0</v>
      </c>
      <c r="J196" s="123">
        <f>매출액!J194</f>
        <v>0</v>
      </c>
      <c r="K196" s="236">
        <f>매출액!K194</f>
        <v>0</v>
      </c>
    </row>
    <row r="197" spans="2:12" collapsed="1" x14ac:dyDescent="0.3">
      <c r="B197" s="1547" t="s">
        <v>2124</v>
      </c>
      <c r="C197" s="876"/>
      <c r="D197" s="123">
        <f>D198*D199/10^6</f>
        <v>0</v>
      </c>
      <c r="E197" s="123">
        <f t="shared" ref="E197:K197" si="123">E198*E199/10^6</f>
        <v>0</v>
      </c>
      <c r="F197" s="123">
        <f t="shared" si="123"/>
        <v>611.354287</v>
      </c>
      <c r="G197" s="123">
        <f t="shared" si="123"/>
        <v>11666.666666666668</v>
      </c>
      <c r="H197" s="123">
        <f t="shared" si="123"/>
        <v>13475</v>
      </c>
      <c r="I197" s="123">
        <f t="shared" si="123"/>
        <v>15432</v>
      </c>
      <c r="J197" s="123">
        <f t="shared" si="123"/>
        <v>17550</v>
      </c>
      <c r="K197" s="236">
        <f t="shared" si="123"/>
        <v>19852</v>
      </c>
    </row>
    <row r="198" spans="2:12" hidden="1" outlineLevel="1" x14ac:dyDescent="0.3">
      <c r="B198" s="1548" t="s">
        <v>2753</v>
      </c>
      <c r="C198" s="876"/>
      <c r="D198" s="123">
        <f>매출액!D197</f>
        <v>11</v>
      </c>
      <c r="E198" s="123">
        <f>매출액!E197</f>
        <v>0</v>
      </c>
      <c r="F198" s="123">
        <f>매출액!F197</f>
        <v>7</v>
      </c>
      <c r="G198" s="123">
        <f>매출액!G197</f>
        <v>100</v>
      </c>
      <c r="H198" s="123">
        <f>매출액!H197</f>
        <v>110</v>
      </c>
      <c r="I198" s="123">
        <f>매출액!I197</f>
        <v>120</v>
      </c>
      <c r="J198" s="123">
        <f>매출액!J197</f>
        <v>130</v>
      </c>
      <c r="K198" s="236">
        <f>매출액!K197</f>
        <v>140</v>
      </c>
    </row>
    <row r="199" spans="2:12" hidden="1" outlineLevel="1" x14ac:dyDescent="0.3">
      <c r="B199" s="1548" t="s">
        <v>2755</v>
      </c>
      <c r="C199" s="876"/>
      <c r="D199" s="123">
        <f>매출액!D198</f>
        <v>0</v>
      </c>
      <c r="E199" s="123">
        <f>IFERROR(매출액!E198,0)</f>
        <v>0</v>
      </c>
      <c r="F199" s="123">
        <f>IFERROR(매출액!F198,0)</f>
        <v>87336326.714285716</v>
      </c>
      <c r="G199" s="123">
        <f>IFERROR(매출액!G198,0)</f>
        <v>116666666.66666667</v>
      </c>
      <c r="H199" s="123">
        <f>IFERROR(매출액!H198,0)</f>
        <v>122500000</v>
      </c>
      <c r="I199" s="123">
        <f>IFERROR(매출액!I198,0)</f>
        <v>128600000</v>
      </c>
      <c r="J199" s="123">
        <f>IFERROR(매출액!J198,0)</f>
        <v>135000000</v>
      </c>
      <c r="K199" s="236">
        <f>IFERROR(매출액!K198,0)</f>
        <v>141800000</v>
      </c>
    </row>
    <row r="200" spans="2:12" collapsed="1" x14ac:dyDescent="0.3">
      <c r="B200" s="1548"/>
      <c r="C200" s="876"/>
      <c r="D200" s="876"/>
      <c r="E200" s="876"/>
      <c r="F200" s="876"/>
      <c r="G200" s="876"/>
      <c r="H200" s="876"/>
      <c r="I200" s="876"/>
      <c r="J200" s="876"/>
      <c r="K200" s="872"/>
    </row>
    <row r="201" spans="2:12" x14ac:dyDescent="0.3">
      <c r="B201" s="1549" t="s">
        <v>3289</v>
      </c>
      <c r="C201" s="876"/>
      <c r="D201" s="996">
        <f>844900857/10^6</f>
        <v>844.90085699999997</v>
      </c>
      <c r="E201" s="996">
        <f>718476680/10^6</f>
        <v>718.47667999999999</v>
      </c>
      <c r="F201" s="996">
        <f>165790292/10^6</f>
        <v>165.79029199999999</v>
      </c>
      <c r="G201" s="996">
        <f>'사업계획(매출 확정본)'!S145/10^6</f>
        <v>3500</v>
      </c>
      <c r="H201" s="996">
        <f>'사업계획(매출 확정본)'!T145/10^6</f>
        <v>3675</v>
      </c>
      <c r="I201" s="996">
        <f>'사업계획(매출 확정본)'!U145/10^6</f>
        <v>3858</v>
      </c>
      <c r="J201" s="996">
        <f>'사업계획(매출 확정본)'!V145/10^6</f>
        <v>4050</v>
      </c>
      <c r="K201" s="999">
        <f>'사업계획(매출 확정본)'!W145/10^6</f>
        <v>4254</v>
      </c>
      <c r="L201" s="966" t="s">
        <v>2962</v>
      </c>
    </row>
    <row r="202" spans="2:12" x14ac:dyDescent="0.3">
      <c r="B202" s="1535" t="s">
        <v>37</v>
      </c>
      <c r="C202" s="876"/>
      <c r="D202" s="870"/>
      <c r="E202" s="870">
        <f>E201/D201-1</f>
        <v>-0.14963196681903712</v>
      </c>
      <c r="F202" s="870">
        <f>F201/E201-1</f>
        <v>-0.76924749735788223</v>
      </c>
      <c r="G202" s="870">
        <f t="shared" ref="G202:K202" si="124">G201/F201-1</f>
        <v>20.111006909861768</v>
      </c>
      <c r="H202" s="870">
        <f t="shared" si="124"/>
        <v>5.0000000000000044E-2</v>
      </c>
      <c r="I202" s="870">
        <f t="shared" si="124"/>
        <v>4.979591836734687E-2</v>
      </c>
      <c r="J202" s="870">
        <f t="shared" si="124"/>
        <v>4.9766718506998542E-2</v>
      </c>
      <c r="K202" s="871">
        <f t="shared" si="124"/>
        <v>5.0370370370370399E-2</v>
      </c>
    </row>
    <row r="203" spans="2:12" x14ac:dyDescent="0.3">
      <c r="B203" s="1536" t="s">
        <v>2778</v>
      </c>
      <c r="C203" s="876"/>
      <c r="D203" s="875">
        <f t="shared" ref="D203:J203" si="125">D201/D$158</f>
        <v>0.28980619564241233</v>
      </c>
      <c r="E203" s="875">
        <f t="shared" si="125"/>
        <v>0.2273638994589178</v>
      </c>
      <c r="F203" s="875">
        <f t="shared" si="125"/>
        <v>2.1828546275076251E-2</v>
      </c>
      <c r="G203" s="875">
        <f t="shared" si="125"/>
        <v>0.12134800295857988</v>
      </c>
      <c r="H203" s="875">
        <f t="shared" si="125"/>
        <v>9.7100717884763238E-2</v>
      </c>
      <c r="I203" s="875">
        <f t="shared" si="125"/>
        <v>8.6638805112093736E-2</v>
      </c>
      <c r="J203" s="875">
        <f t="shared" si="125"/>
        <v>7.8205407952234851E-2</v>
      </c>
      <c r="K203" s="1538">
        <f t="shared" ref="K203" si="126">K201/K$158</f>
        <v>6.9709021369895346E-2</v>
      </c>
    </row>
    <row r="204" spans="2:12" hidden="1" x14ac:dyDescent="0.3">
      <c r="B204" s="874"/>
      <c r="C204" s="876"/>
      <c r="D204" s="875"/>
      <c r="E204" s="875"/>
      <c r="F204" s="875"/>
      <c r="G204" s="875"/>
      <c r="H204" s="875"/>
      <c r="I204" s="875"/>
      <c r="J204" s="875"/>
      <c r="K204" s="872"/>
    </row>
    <row r="205" spans="2:12" hidden="1" x14ac:dyDescent="0.3">
      <c r="B205" s="873" t="s">
        <v>2789</v>
      </c>
      <c r="C205" s="876"/>
      <c r="D205" s="963">
        <f>D201+D188+D175+D162</f>
        <v>2915.399566</v>
      </c>
      <c r="E205" s="963">
        <f t="shared" ref="E205:K205" si="127">E201+E188+E175+E162</f>
        <v>3160.0297220000002</v>
      </c>
      <c r="F205" s="963">
        <f t="shared" si="127"/>
        <v>7595.1137520000002</v>
      </c>
      <c r="G205" s="963">
        <f t="shared" si="127"/>
        <v>28842.666666666668</v>
      </c>
      <c r="H205" s="963">
        <f t="shared" si="127"/>
        <v>37847.300000000003</v>
      </c>
      <c r="I205" s="963">
        <f t="shared" si="127"/>
        <v>44529.7</v>
      </c>
      <c r="J205" s="963">
        <f t="shared" si="127"/>
        <v>51786.7</v>
      </c>
      <c r="K205" s="1000">
        <f t="shared" si="127"/>
        <v>61025.1</v>
      </c>
    </row>
    <row r="206" spans="2:12" hidden="1" x14ac:dyDescent="0.3">
      <c r="B206" s="873"/>
      <c r="C206" s="876"/>
      <c r="D206" s="963"/>
      <c r="E206" s="963"/>
      <c r="F206" s="963"/>
      <c r="G206" s="963" t="b">
        <f>G205='사업계획(매출 확정본)'!AI102</f>
        <v>0</v>
      </c>
      <c r="H206" s="963" t="b">
        <f>H205='사업계획(매출 확정본)'!AJ102</f>
        <v>0</v>
      </c>
      <c r="I206" s="963" t="b">
        <f>I205='사업계획(매출 확정본)'!AK102</f>
        <v>0</v>
      </c>
      <c r="J206" s="963" t="b">
        <f>J205='사업계획(매출 확정본)'!AL102</f>
        <v>0</v>
      </c>
      <c r="K206" s="1000" t="b">
        <f>K205='사업계획(매출 확정본)'!AM102</f>
        <v>0</v>
      </c>
    </row>
    <row r="207" spans="2:12" ht="14.25" thickBot="1" x14ac:dyDescent="0.35">
      <c r="B207" s="1481"/>
      <c r="C207" s="1480"/>
      <c r="D207" s="1482"/>
      <c r="E207" s="1482"/>
      <c r="F207" s="1482"/>
      <c r="G207" s="1482"/>
      <c r="H207" s="1482"/>
      <c r="I207" s="1482"/>
      <c r="J207" s="1482"/>
      <c r="K207" s="1474"/>
    </row>
    <row r="208" spans="2:12" x14ac:dyDescent="0.3">
      <c r="B208" s="851"/>
    </row>
    <row r="209" spans="2:12" x14ac:dyDescent="0.3">
      <c r="B209" s="862" t="s">
        <v>2791</v>
      </c>
      <c r="C209" s="863"/>
      <c r="D209" s="863"/>
      <c r="E209" s="863"/>
      <c r="F209" s="863"/>
      <c r="G209" s="863"/>
      <c r="H209" s="863"/>
      <c r="I209" s="863"/>
      <c r="J209" s="997"/>
      <c r="K209" s="997"/>
    </row>
    <row r="210" spans="2:12" x14ac:dyDescent="0.3">
      <c r="B210" s="864" t="s">
        <v>2746</v>
      </c>
      <c r="C210" s="865"/>
      <c r="D210" s="865">
        <f>'Pro forma'!E$5</f>
        <v>2015</v>
      </c>
      <c r="E210" s="865">
        <f>'Pro forma'!F$5</f>
        <v>2016</v>
      </c>
      <c r="F210" s="866">
        <f>'Pro forma'!G$5</f>
        <v>2017</v>
      </c>
      <c r="G210" s="867">
        <f>'Pro forma'!H$5</f>
        <v>2018</v>
      </c>
      <c r="H210" s="867">
        <f>'Pro forma'!I$5</f>
        <v>2019</v>
      </c>
      <c r="I210" s="867">
        <f>'Pro forma'!J$5</f>
        <v>2020</v>
      </c>
      <c r="J210" s="867">
        <f>'Pro forma'!K$5</f>
        <v>2021</v>
      </c>
      <c r="K210" s="868">
        <f>J210+1</f>
        <v>2022</v>
      </c>
    </row>
    <row r="211" spans="2:12" x14ac:dyDescent="0.3">
      <c r="B211" s="1001" t="s">
        <v>2793</v>
      </c>
      <c r="D211" s="1004">
        <f>매출액!D210/10^6</f>
        <v>3664.2949210000002</v>
      </c>
      <c r="E211" s="1004">
        <f>매출액!E210/10^6</f>
        <v>3363.1988510000001</v>
      </c>
      <c r="F211" s="1004">
        <f>매출액!F210/10^6</f>
        <v>3678.2904600000002</v>
      </c>
      <c r="G211" s="1004">
        <f>매출액!G210/10^6</f>
        <v>5896.2308951452069</v>
      </c>
      <c r="H211" s="1004">
        <f>매출액!H210/10^6</f>
        <v>7521.6744055778981</v>
      </c>
      <c r="I211" s="1004">
        <f>매출액!I210/10^6</f>
        <v>9891.1853460422171</v>
      </c>
      <c r="J211" s="1004">
        <f>매출액!J210/10^6</f>
        <v>10945.886495758314</v>
      </c>
      <c r="K211" s="1004">
        <f>매출액!K210/10^6</f>
        <v>11911.830643438119</v>
      </c>
    </row>
    <row r="212" spans="2:12" hidden="1" x14ac:dyDescent="0.3">
      <c r="B212" s="235"/>
      <c r="F212" s="1002"/>
      <c r="G212" s="847"/>
      <c r="H212" s="847"/>
      <c r="I212" s="847"/>
      <c r="J212" s="847"/>
      <c r="K212" s="872"/>
    </row>
    <row r="213" spans="2:12" hidden="1" x14ac:dyDescent="0.3">
      <c r="B213" s="235" t="s">
        <v>2792</v>
      </c>
      <c r="D213" s="876">
        <f>IS!E7/10^6</f>
        <v>3664.2949210000002</v>
      </c>
      <c r="E213" s="876">
        <f>IS!F7/10^6</f>
        <v>3363.1988510000001</v>
      </c>
      <c r="F213" s="876">
        <f>IS!G7/10^6</f>
        <v>3904.170419</v>
      </c>
      <c r="G213" s="876">
        <f ca="1">G215*G216</f>
        <v>7548.2917023308491</v>
      </c>
      <c r="H213" s="876">
        <f t="shared" ref="H213:K213" ca="1" si="128">H215*H216</f>
        <v>9685.6072915359728</v>
      </c>
      <c r="I213" s="876">
        <f t="shared" ca="1" si="128"/>
        <v>12456.041105906152</v>
      </c>
      <c r="J213" s="876">
        <f t="shared" ca="1" si="128"/>
        <v>13918.648039240836</v>
      </c>
      <c r="K213" s="876">
        <f t="shared" ca="1" si="128"/>
        <v>15397.049620856116</v>
      </c>
      <c r="L213" s="966" t="s">
        <v>3234</v>
      </c>
    </row>
    <row r="214" spans="2:12" hidden="1" outlineLevel="1" x14ac:dyDescent="0.3">
      <c r="B214" s="235" t="s">
        <v>3235</v>
      </c>
      <c r="D214" s="876"/>
      <c r="E214" s="876"/>
      <c r="F214" s="876"/>
      <c r="G214" s="876">
        <v>7076052789.5793686</v>
      </c>
      <c r="H214" s="876">
        <v>9219524390.0422134</v>
      </c>
      <c r="I214" s="876">
        <v>11853706542.436646</v>
      </c>
      <c r="J214" s="876">
        <v>13274413235.35351</v>
      </c>
      <c r="K214" s="884">
        <v>14096733755.642439</v>
      </c>
      <c r="L214" s="966"/>
    </row>
    <row r="215" spans="2:12" hidden="1" outlineLevel="1" x14ac:dyDescent="0.3">
      <c r="B215" s="235" t="s">
        <v>2958</v>
      </c>
      <c r="D215" s="876">
        <f ca="1">D151</f>
        <v>55129.32265100001</v>
      </c>
      <c r="E215" s="876">
        <f>E151</f>
        <v>74962.145393545448</v>
      </c>
      <c r="F215" s="876">
        <f>F151</f>
        <v>79031.855856272727</v>
      </c>
      <c r="G215" s="876">
        <f>G205+G151</f>
        <v>140885.46666666667</v>
      </c>
      <c r="H215" s="876">
        <f>H205+H151</f>
        <v>180777.5</v>
      </c>
      <c r="I215" s="876">
        <f>I205+I151</f>
        <v>232486.40000000002</v>
      </c>
      <c r="J215" s="876">
        <f>J205+J151</f>
        <v>259785.3</v>
      </c>
      <c r="K215" s="884">
        <f>K205+K151</f>
        <v>287379</v>
      </c>
    </row>
    <row r="216" spans="2:12" hidden="1" outlineLevel="1" x14ac:dyDescent="0.3">
      <c r="B216" s="388" t="s">
        <v>2172</v>
      </c>
      <c r="D216" s="1483">
        <f ca="1">D213/D215</f>
        <v>6.6467258163084506E-2</v>
      </c>
      <c r="E216" s="1483">
        <f>E213/E215</f>
        <v>4.4865296121708725E-2</v>
      </c>
      <c r="F216" s="1483">
        <f>F213/F215</f>
        <v>4.9399958747016158E-2</v>
      </c>
      <c r="G216" s="1483">
        <f ca="1">AVERAGE(D216:F216)</f>
        <v>5.3577504343936461E-2</v>
      </c>
      <c r="H216" s="1483">
        <f ca="1">G216</f>
        <v>5.3577504343936461E-2</v>
      </c>
      <c r="I216" s="1483">
        <f t="shared" ref="I216:K216" ca="1" si="129">H216</f>
        <v>5.3577504343936461E-2</v>
      </c>
      <c r="J216" s="1483">
        <f t="shared" ca="1" si="129"/>
        <v>5.3577504343936461E-2</v>
      </c>
      <c r="K216" s="1483">
        <f t="shared" ca="1" si="129"/>
        <v>5.3577504343936461E-2</v>
      </c>
      <c r="L216" s="10" t="s">
        <v>3266</v>
      </c>
    </row>
    <row r="217" spans="2:12" ht="14.25" collapsed="1" thickBot="1" x14ac:dyDescent="0.35">
      <c r="B217" s="1479"/>
      <c r="C217" s="1480"/>
      <c r="D217" s="1480"/>
      <c r="E217" s="1480"/>
      <c r="F217" s="1480"/>
      <c r="G217" s="1480"/>
      <c r="H217" s="1480"/>
      <c r="I217" s="1480"/>
      <c r="J217" s="1480"/>
      <c r="K217" s="1474"/>
    </row>
    <row r="219" spans="2:12" x14ac:dyDescent="0.3">
      <c r="B219" s="862" t="s">
        <v>2955</v>
      </c>
      <c r="C219" s="863"/>
      <c r="D219" s="863"/>
      <c r="E219" s="863"/>
      <c r="F219" s="863"/>
      <c r="G219" s="863"/>
      <c r="H219" s="863"/>
      <c r="I219" s="863"/>
      <c r="J219" s="997"/>
      <c r="K219" s="997"/>
    </row>
    <row r="220" spans="2:12" x14ac:dyDescent="0.3">
      <c r="B220" s="864" t="s">
        <v>2746</v>
      </c>
      <c r="C220" s="865"/>
      <c r="D220" s="865">
        <f>'Pro forma'!E$5</f>
        <v>2015</v>
      </c>
      <c r="E220" s="865">
        <f>'Pro forma'!F$5</f>
        <v>2016</v>
      </c>
      <c r="F220" s="866">
        <f>'Pro forma'!G$5</f>
        <v>2017</v>
      </c>
      <c r="G220" s="867">
        <f>'Pro forma'!H$5</f>
        <v>2018</v>
      </c>
      <c r="H220" s="867">
        <f>'Pro forma'!I$5</f>
        <v>2019</v>
      </c>
      <c r="I220" s="867">
        <f>'Pro forma'!J$5</f>
        <v>2020</v>
      </c>
      <c r="J220" s="867">
        <f>'Pro forma'!K$5</f>
        <v>2021</v>
      </c>
      <c r="K220" s="868">
        <v>2022</v>
      </c>
    </row>
    <row r="221" spans="2:12" x14ac:dyDescent="0.3">
      <c r="B221" s="1001" t="s">
        <v>2773</v>
      </c>
      <c r="D221" s="123">
        <f>D223</f>
        <v>0</v>
      </c>
      <c r="E221" s="123">
        <f t="shared" ref="E221:F221" si="130">E223</f>
        <v>0</v>
      </c>
      <c r="F221" s="123">
        <f t="shared" si="130"/>
        <v>0</v>
      </c>
      <c r="G221" s="123">
        <f>G223+G224</f>
        <v>2734</v>
      </c>
      <c r="H221" s="123">
        <f t="shared" ref="H221:K221" si="131">H223+H224</f>
        <v>3200</v>
      </c>
      <c r="I221" s="123">
        <f t="shared" si="131"/>
        <v>4250</v>
      </c>
      <c r="J221" s="123">
        <f t="shared" si="131"/>
        <v>2300</v>
      </c>
      <c r="K221" s="236">
        <f t="shared" si="131"/>
        <v>4667.5</v>
      </c>
    </row>
    <row r="222" spans="2:12" x14ac:dyDescent="0.3">
      <c r="B222" s="235"/>
      <c r="F222" s="1002"/>
      <c r="G222" s="847"/>
      <c r="H222" s="847"/>
      <c r="I222" s="847"/>
      <c r="J222" s="847"/>
      <c r="K222" s="872"/>
    </row>
    <row r="223" spans="2:12" x14ac:dyDescent="0.3">
      <c r="B223" s="235" t="s">
        <v>2773</v>
      </c>
      <c r="D223" s="876"/>
      <c r="E223" s="876"/>
      <c r="F223" s="876"/>
      <c r="G223" s="876">
        <f>'사업계획(원재료)'!AH147/10^6</f>
        <v>2734</v>
      </c>
      <c r="H223" s="876">
        <f>'사업계획(원재료)'!AI147/10^6</f>
        <v>1300</v>
      </c>
      <c r="I223" s="876">
        <f>'사업계획(원재료)'!AJ147/10^6</f>
        <v>1400</v>
      </c>
      <c r="J223" s="876">
        <f>'사업계획(원재료)'!AK147/10^6</f>
        <v>2300</v>
      </c>
      <c r="K223" s="876">
        <f>'사업계획(원재료)'!AL147/10^6</f>
        <v>1933.5</v>
      </c>
      <c r="L223" s="10" t="s">
        <v>3263</v>
      </c>
    </row>
    <row r="224" spans="2:12" x14ac:dyDescent="0.3">
      <c r="B224" s="235"/>
      <c r="D224" s="876"/>
      <c r="E224" s="876"/>
      <c r="F224" s="876"/>
      <c r="G224" s="876"/>
      <c r="H224" s="876">
        <f>1900000000/10^6</f>
        <v>1900</v>
      </c>
      <c r="I224" s="876">
        <f>2850000000/10^6</f>
        <v>2850</v>
      </c>
      <c r="J224" s="876"/>
      <c r="K224" s="884">
        <f>G223</f>
        <v>2734</v>
      </c>
      <c r="L224" s="10" t="s">
        <v>3260</v>
      </c>
    </row>
    <row r="225" spans="2:12" ht="14.25" thickBot="1" x14ac:dyDescent="0.35">
      <c r="B225" s="1479"/>
      <c r="C225" s="1480"/>
      <c r="D225" s="1480"/>
      <c r="E225" s="1480"/>
      <c r="F225" s="1480"/>
      <c r="G225" s="1480"/>
      <c r="H225" s="1480"/>
      <c r="I225" s="1480"/>
      <c r="J225" s="1480"/>
      <c r="K225" s="1474"/>
      <c r="L225" s="10" t="s">
        <v>3261</v>
      </c>
    </row>
    <row r="226" spans="2:12" x14ac:dyDescent="0.3">
      <c r="L226" s="10" t="s">
        <v>3262</v>
      </c>
    </row>
    <row r="228" spans="2:12" x14ac:dyDescent="0.3">
      <c r="D228" s="123">
        <f t="shared" ref="D228:K228" ca="1" si="132">D221+D211+D158+D9</f>
        <v>61709.017138000003</v>
      </c>
      <c r="E228" s="123">
        <f t="shared" si="132"/>
        <v>81485.373966545449</v>
      </c>
      <c r="F228" s="123">
        <f t="shared" si="132"/>
        <v>90305.260068272735</v>
      </c>
      <c r="G228" s="123">
        <f t="shared" si="132"/>
        <v>149515.69756181189</v>
      </c>
      <c r="H228" s="123">
        <f t="shared" si="132"/>
        <v>191499.17440557791</v>
      </c>
      <c r="I228" s="123">
        <f t="shared" si="132"/>
        <v>246627.58534604218</v>
      </c>
      <c r="J228" s="123">
        <f t="shared" si="132"/>
        <v>273031.1864957583</v>
      </c>
      <c r="K228" s="123">
        <f t="shared" si="132"/>
        <v>303958.33064343809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BH225"/>
  <sheetViews>
    <sheetView showGridLines="0" zoomScale="70" zoomScaleNormal="70" workbookViewId="0">
      <selection activeCell="F189" sqref="F189"/>
    </sheetView>
  </sheetViews>
  <sheetFormatPr defaultColWidth="15.625" defaultRowHeight="13.5" outlineLevelCol="1" x14ac:dyDescent="0.3"/>
  <cols>
    <col min="1" max="1" width="1.625" style="10" customWidth="1"/>
    <col min="2" max="2" width="20.625" style="847" customWidth="1"/>
    <col min="3" max="3" width="15.625" style="847" customWidth="1" outlineLevel="1"/>
    <col min="4" max="5" width="17.625" style="847" customWidth="1" outlineLevel="1"/>
    <col min="6" max="10" width="17.625" style="10" customWidth="1" outlineLevel="1"/>
    <col min="11" max="11" width="20.375" style="10" bestFit="1" customWidth="1" outlineLevel="1"/>
    <col min="12" max="20" width="15.625" style="10" hidden="1" customWidth="1" outlineLevel="1"/>
    <col min="21" max="27" width="15.625" style="10" customWidth="1" outlineLevel="1"/>
    <col min="28" max="28" width="15.625" style="10" customWidth="1"/>
    <col min="29" max="40" width="15.625" style="10" customWidth="1" outlineLevel="1"/>
    <col min="41" max="41" width="15.625" style="10" customWidth="1"/>
    <col min="42" max="49" width="15.625" style="10" customWidth="1" outlineLevel="1"/>
    <col min="50" max="50" width="15.625" style="10" customWidth="1"/>
    <col min="51" max="60" width="15.625" style="10" customWidth="1" outlineLevel="1"/>
    <col min="61" max="16384" width="15.625" style="10"/>
  </cols>
  <sheetData>
    <row r="1" spans="1:20" s="856" customFormat="1" ht="30" customHeight="1" x14ac:dyDescent="0.3">
      <c r="B1" s="852" t="str">
        <f>"Project"&amp;" "&amp;Title!L6</f>
        <v>Project SVG1</v>
      </c>
      <c r="C1" s="853"/>
      <c r="D1" s="853"/>
      <c r="E1" s="853"/>
      <c r="F1" s="854"/>
      <c r="G1" s="854"/>
      <c r="H1" s="854"/>
      <c r="I1" s="854"/>
      <c r="J1" s="855" t="str">
        <f>Des!C12</f>
        <v>DRAFT - For Discussion Purposes Only</v>
      </c>
    </row>
    <row r="2" spans="1:20" s="856" customFormat="1" ht="20.100000000000001" customHeight="1" x14ac:dyDescent="0.3">
      <c r="B2" s="857" t="s">
        <v>2745</v>
      </c>
      <c r="C2" s="857"/>
      <c r="D2" s="857"/>
      <c r="E2" s="857"/>
      <c r="F2" s="858"/>
      <c r="G2" s="858"/>
      <c r="H2" s="858"/>
      <c r="I2" s="858"/>
      <c r="J2" s="858"/>
    </row>
    <row r="3" spans="1:20" s="856" customFormat="1" ht="14.1" customHeight="1" x14ac:dyDescent="0.3">
      <c r="B3" s="859"/>
      <c r="C3" s="859"/>
      <c r="D3" s="860"/>
      <c r="E3" s="860"/>
      <c r="F3" s="861"/>
      <c r="G3" s="1485" t="b">
        <f>'사업계획(매출 확정본)'!AI114=G6</f>
        <v>1</v>
      </c>
      <c r="H3" s="1485" t="b">
        <f>'사업계획(매출 확정본)'!AJ114=H6</f>
        <v>1</v>
      </c>
      <c r="I3" s="1485" t="b">
        <f>'사업계획(매출 확정본)'!AK114=I6</f>
        <v>1</v>
      </c>
      <c r="J3" s="1485" t="b">
        <f>'사업계획(매출 확정본)'!AL114=J6</f>
        <v>1</v>
      </c>
      <c r="K3" s="1485" t="b">
        <f>'사업계획(매출 확정본)'!AM114=K6</f>
        <v>1</v>
      </c>
    </row>
    <row r="4" spans="1:20" x14ac:dyDescent="0.3">
      <c r="B4" s="862" t="s">
        <v>152</v>
      </c>
      <c r="C4" s="863"/>
      <c r="D4" s="863"/>
      <c r="E4" s="863"/>
      <c r="F4" s="863"/>
      <c r="G4" s="863"/>
      <c r="H4" s="863"/>
      <c r="I4" s="863"/>
      <c r="J4" s="997"/>
      <c r="K4" s="997"/>
    </row>
    <row r="5" spans="1:20" x14ac:dyDescent="0.3">
      <c r="B5" s="864" t="s">
        <v>2746</v>
      </c>
      <c r="C5" s="865"/>
      <c r="D5" s="865">
        <f>'Pro forma'!E$5</f>
        <v>2015</v>
      </c>
      <c r="E5" s="865">
        <f>'Pro forma'!F$5</f>
        <v>2016</v>
      </c>
      <c r="F5" s="866">
        <f>'Pro forma'!G$5</f>
        <v>2017</v>
      </c>
      <c r="G5" s="867">
        <f>'Pro forma'!H$5</f>
        <v>2018</v>
      </c>
      <c r="H5" s="867">
        <f>'Pro forma'!I$5</f>
        <v>2019</v>
      </c>
      <c r="I5" s="867">
        <f>'Pro forma'!J$5</f>
        <v>2020</v>
      </c>
      <c r="J5" s="867">
        <f>'Pro forma'!K$5</f>
        <v>2021</v>
      </c>
      <c r="K5" s="868">
        <v>2022</v>
      </c>
    </row>
    <row r="6" spans="1:20" x14ac:dyDescent="0.3">
      <c r="B6" s="881" t="s">
        <v>2747</v>
      </c>
      <c r="C6" s="882"/>
      <c r="D6" s="883">
        <f>IS!E5</f>
        <v>61966745769</v>
      </c>
      <c r="E6" s="883">
        <f>IS!F5</f>
        <v>81488230867</v>
      </c>
      <c r="F6" s="883">
        <f>IS!G5</f>
        <v>92333965525</v>
      </c>
      <c r="G6" s="883">
        <f>G150+G204+G210+G220</f>
        <v>149515697561.81186</v>
      </c>
      <c r="H6" s="883">
        <f t="shared" ref="H6:J6" si="0">H150+H204+H210+H220</f>
        <v>191324174405.57791</v>
      </c>
      <c r="I6" s="883">
        <f t="shared" si="0"/>
        <v>246269585346.04221</v>
      </c>
      <c r="J6" s="883">
        <f t="shared" si="0"/>
        <v>272481186495.7583</v>
      </c>
      <c r="K6" s="883">
        <f>K150+K204+K210+K220</f>
        <v>303204330643.43811</v>
      </c>
      <c r="L6" s="10" t="s">
        <v>3236</v>
      </c>
    </row>
    <row r="7" spans="1:20" x14ac:dyDescent="0.3">
      <c r="B7" s="869" t="s">
        <v>2748</v>
      </c>
      <c r="D7" s="870" t="e">
        <f>D6/#REF!-1</f>
        <v>#REF!</v>
      </c>
      <c r="E7" s="870">
        <f>E6/D6-1</f>
        <v>0.31503163278530555</v>
      </c>
      <c r="F7" s="870">
        <f>F6/E6-1</f>
        <v>0.13309571876338477</v>
      </c>
      <c r="G7" s="870">
        <f t="shared" ref="G7:K7" si="1">G6/F6-1</f>
        <v>0.61929249666342501</v>
      </c>
      <c r="H7" s="870">
        <f t="shared" si="1"/>
        <v>0.27962600265755944</v>
      </c>
      <c r="I7" s="870">
        <f t="shared" si="1"/>
        <v>0.28718488456136471</v>
      </c>
      <c r="J7" s="870">
        <f t="shared" si="1"/>
        <v>0.10643458514329018</v>
      </c>
      <c r="K7" s="871">
        <f t="shared" si="1"/>
        <v>0.11275326763948179</v>
      </c>
    </row>
    <row r="8" spans="1:20" x14ac:dyDescent="0.3">
      <c r="B8" s="235"/>
      <c r="F8" s="847"/>
      <c r="G8" s="847"/>
      <c r="H8" s="847"/>
      <c r="I8" s="847"/>
      <c r="J8" s="847"/>
      <c r="K8" s="872"/>
      <c r="M8" s="10">
        <v>61709.017138000003</v>
      </c>
      <c r="N8" s="10">
        <v>81447.499636545457</v>
      </c>
      <c r="O8" s="10">
        <v>91483.174090272747</v>
      </c>
      <c r="P8" s="10">
        <v>154181.35278957937</v>
      </c>
      <c r="Q8" s="10">
        <v>194357.52439004224</v>
      </c>
      <c r="R8" s="10">
        <v>253491.10654243664</v>
      </c>
      <c r="S8" s="10">
        <v>279502.71323535353</v>
      </c>
      <c r="T8" s="10">
        <v>307288.73375564243</v>
      </c>
    </row>
    <row r="9" spans="1:20" x14ac:dyDescent="0.3">
      <c r="A9" s="1003"/>
      <c r="B9" s="1001"/>
      <c r="F9" s="847"/>
      <c r="G9" s="847"/>
      <c r="H9" s="847"/>
      <c r="I9" s="847"/>
      <c r="J9" s="847"/>
      <c r="K9" s="872"/>
      <c r="M9" s="10">
        <v>61709.017138000003</v>
      </c>
      <c r="N9" s="10">
        <v>81447.499636545457</v>
      </c>
      <c r="O9" s="10">
        <v>91257.294131272734</v>
      </c>
      <c r="P9" s="10">
        <v>153587.24501388345</v>
      </c>
      <c r="Q9" s="10">
        <v>193346.24396982935</v>
      </c>
      <c r="R9" s="10">
        <v>252459.9918318956</v>
      </c>
      <c r="S9" s="10">
        <v>278172.24230159214</v>
      </c>
      <c r="T9" s="10">
        <v>306131.27740482584</v>
      </c>
    </row>
    <row r="10" spans="1:20" x14ac:dyDescent="0.3">
      <c r="B10" s="842" t="s">
        <v>2749</v>
      </c>
      <c r="C10" s="840"/>
      <c r="D10" s="840">
        <f t="shared" ref="D10:E10" si="2">D14+D21+D28+D35+D42+D49</f>
        <v>34316995394</v>
      </c>
      <c r="E10" s="840">
        <f t="shared" si="2"/>
        <v>40921440045</v>
      </c>
      <c r="F10" s="840">
        <f>F14+F21+F28+F35+F42+F49</f>
        <v>48663640859.727272</v>
      </c>
      <c r="G10" s="840">
        <f t="shared" ref="G10:J10" si="3">G14+G21+G28+G35+G42+G49</f>
        <v>49040800000</v>
      </c>
      <c r="H10" s="840">
        <f t="shared" si="3"/>
        <v>62601700000</v>
      </c>
      <c r="I10" s="840">
        <f t="shared" si="3"/>
        <v>82093200000</v>
      </c>
      <c r="J10" s="840">
        <f t="shared" si="3"/>
        <v>89632200000</v>
      </c>
      <c r="K10" s="843">
        <f>K14+K21+K28+K35+K42+K49</f>
        <v>96991900000</v>
      </c>
      <c r="M10" s="10" t="b">
        <f>M9=D6/10^6</f>
        <v>0</v>
      </c>
    </row>
    <row r="11" spans="1:20" x14ac:dyDescent="0.3">
      <c r="B11" s="873" t="s">
        <v>2750</v>
      </c>
      <c r="D11" s="870" t="e">
        <f>D10/#REF!-1</f>
        <v>#REF!</v>
      </c>
      <c r="E11" s="870">
        <f>E10/D10-1</f>
        <v>0.19245404719070258</v>
      </c>
      <c r="F11" s="870">
        <f>F10/E10-1</f>
        <v>0.18919668531247735</v>
      </c>
      <c r="G11" s="870">
        <f t="shared" ref="G11:K11" si="4">G10/F10-1</f>
        <v>7.750327217806996E-3</v>
      </c>
      <c r="H11" s="870">
        <f t="shared" si="4"/>
        <v>0.27652281365719977</v>
      </c>
      <c r="I11" s="870">
        <f t="shared" si="4"/>
        <v>0.31135735930493902</v>
      </c>
      <c r="J11" s="870">
        <f t="shared" si="4"/>
        <v>9.1834646474982184E-2</v>
      </c>
      <c r="K11" s="871">
        <f t="shared" si="4"/>
        <v>8.2110000647088954E-2</v>
      </c>
    </row>
    <row r="12" spans="1:20" x14ac:dyDescent="0.3">
      <c r="B12" s="874" t="s">
        <v>58</v>
      </c>
      <c r="D12" s="875">
        <f t="shared" ref="D12:J12" si="5">D10/D$6</f>
        <v>0.55379695945188245</v>
      </c>
      <c r="E12" s="875">
        <f t="shared" si="5"/>
        <v>0.50217607634394978</v>
      </c>
      <c r="F12" s="875">
        <f t="shared" si="5"/>
        <v>0.52703943324681846</v>
      </c>
      <c r="G12" s="875">
        <f t="shared" si="5"/>
        <v>0.32799766713274942</v>
      </c>
      <c r="H12" s="875">
        <f t="shared" si="5"/>
        <v>0.32720224819731353</v>
      </c>
      <c r="I12" s="875">
        <f t="shared" si="5"/>
        <v>0.33334688847040495</v>
      </c>
      <c r="J12" s="875">
        <f t="shared" si="5"/>
        <v>0.3289482152977754</v>
      </c>
      <c r="K12" s="872"/>
      <c r="M12" s="10">
        <v>61966.745769000001</v>
      </c>
      <c r="N12" s="10">
        <v>81488.230867000006</v>
      </c>
      <c r="O12" s="10">
        <v>92318.490025000006</v>
      </c>
      <c r="P12" s="10">
        <v>153587.24501388345</v>
      </c>
      <c r="Q12" s="10">
        <v>193346.24396982935</v>
      </c>
      <c r="R12" s="10">
        <v>252459.99183189563</v>
      </c>
      <c r="S12" s="10">
        <v>278172.24230159208</v>
      </c>
      <c r="T12" s="10">
        <v>306131.27740482584</v>
      </c>
    </row>
    <row r="13" spans="1:20" x14ac:dyDescent="0.3">
      <c r="B13" s="235"/>
      <c r="F13" s="847"/>
      <c r="G13" s="847"/>
      <c r="H13" s="847"/>
      <c r="I13" s="847"/>
      <c r="J13" s="847"/>
      <c r="K13" s="872"/>
    </row>
    <row r="14" spans="1:20" x14ac:dyDescent="0.3">
      <c r="B14" s="844" t="s">
        <v>2751</v>
      </c>
      <c r="D14" s="123">
        <f t="shared" ref="D14:E14" si="6">D17*D19</f>
        <v>5284022890</v>
      </c>
      <c r="E14" s="123">
        <f t="shared" si="6"/>
        <v>13364806884</v>
      </c>
      <c r="F14" s="123">
        <f>F17*F19</f>
        <v>15325141368.09091</v>
      </c>
      <c r="G14" s="123">
        <f t="shared" ref="G14:K14" si="7">G17*G19</f>
        <v>23301900000</v>
      </c>
      <c r="H14" s="123">
        <f t="shared" si="7"/>
        <v>26056900000</v>
      </c>
      <c r="I14" s="123">
        <f t="shared" si="7"/>
        <v>34826100000</v>
      </c>
      <c r="J14" s="123">
        <f t="shared" si="7"/>
        <v>36651100000</v>
      </c>
      <c r="K14" s="236">
        <f t="shared" si="7"/>
        <v>38738700000</v>
      </c>
    </row>
    <row r="15" spans="1:20" x14ac:dyDescent="0.3">
      <c r="B15" s="873" t="s">
        <v>2750</v>
      </c>
      <c r="D15" s="870" t="e">
        <f>D14/#REF!-1</f>
        <v>#REF!</v>
      </c>
      <c r="E15" s="870">
        <f>E14/D14-1</f>
        <v>1.5292863339583298</v>
      </c>
      <c r="F15" s="870">
        <f>F14/E14-1</f>
        <v>0.14667884849408264</v>
      </c>
      <c r="G15" s="870">
        <f t="shared" ref="G15" si="8">G14/F14-1</f>
        <v>0.52050147142641157</v>
      </c>
      <c r="H15" s="870">
        <f t="shared" ref="H15" si="9">H14/G14-1</f>
        <v>0.11823070221741583</v>
      </c>
      <c r="I15" s="870">
        <f t="shared" ref="I15" si="10">I14/H14-1</f>
        <v>0.33654041731748596</v>
      </c>
      <c r="J15" s="870">
        <f t="shared" ref="J15" si="11">J14/I14-1</f>
        <v>5.2403226315895335E-2</v>
      </c>
      <c r="K15" s="871">
        <f t="shared" ref="K15" si="12">K14/J14-1</f>
        <v>5.6958727023199929E-2</v>
      </c>
    </row>
    <row r="16" spans="1:20" x14ac:dyDescent="0.3">
      <c r="B16" s="874" t="s">
        <v>2752</v>
      </c>
      <c r="D16" s="875">
        <f t="shared" ref="D16:J16" si="13">D14/D$6</f>
        <v>8.5271911965456623E-2</v>
      </c>
      <c r="E16" s="875">
        <f t="shared" si="13"/>
        <v>0.16400904451850479</v>
      </c>
      <c r="F16" s="875">
        <f t="shared" si="13"/>
        <v>0.16597512389892463</v>
      </c>
      <c r="G16" s="875">
        <f t="shared" si="13"/>
        <v>0.15584918761032882</v>
      </c>
      <c r="H16" s="875">
        <f t="shared" si="13"/>
        <v>0.13619240789072148</v>
      </c>
      <c r="I16" s="875">
        <f t="shared" si="13"/>
        <v>0.1414145394814573</v>
      </c>
      <c r="J16" s="875">
        <f t="shared" si="13"/>
        <v>0.13450873607587782</v>
      </c>
      <c r="K16" s="872"/>
    </row>
    <row r="17" spans="2:11" x14ac:dyDescent="0.3">
      <c r="B17" s="845" t="s">
        <v>2753</v>
      </c>
      <c r="D17" s="876">
        <v>103</v>
      </c>
      <c r="E17" s="876">
        <v>175</v>
      </c>
      <c r="F17" s="876">
        <v>228</v>
      </c>
      <c r="G17" s="847">
        <f>'사업계획(매출 확정본)'!AI14</f>
        <v>476</v>
      </c>
      <c r="H17" s="847">
        <f>'사업계획(매출 확정본)'!AJ14</f>
        <v>508</v>
      </c>
      <c r="I17" s="847">
        <f>'사업계획(매출 확정본)'!AK14</f>
        <v>571</v>
      </c>
      <c r="J17" s="847">
        <f>'사업계획(매출 확정본)'!AL14</f>
        <v>579</v>
      </c>
      <c r="K17" s="872">
        <f>'사업계획(매출 확정본)'!AM14</f>
        <v>584</v>
      </c>
    </row>
    <row r="18" spans="2:11" x14ac:dyDescent="0.3">
      <c r="B18" s="873" t="s">
        <v>2754</v>
      </c>
      <c r="D18" s="870" t="e">
        <f>D17/#REF!-1</f>
        <v>#REF!</v>
      </c>
      <c r="E18" s="870">
        <f>E17/D17-1</f>
        <v>0.69902912621359214</v>
      </c>
      <c r="F18" s="870">
        <f>F17/E17-1</f>
        <v>0.30285714285714294</v>
      </c>
      <c r="G18" s="870">
        <f t="shared" ref="G18" si="14">G17/F17-1</f>
        <v>1.0877192982456139</v>
      </c>
      <c r="H18" s="870">
        <f t="shared" ref="H18" si="15">H17/G17-1</f>
        <v>6.7226890756302504E-2</v>
      </c>
      <c r="I18" s="870">
        <f t="shared" ref="I18" si="16">I17/H17-1</f>
        <v>0.12401574803149606</v>
      </c>
      <c r="J18" s="870">
        <f t="shared" ref="J18" si="17">J17/I17-1</f>
        <v>1.4010507880910739E-2</v>
      </c>
      <c r="K18" s="871">
        <f t="shared" ref="K18" si="18">K17/J17-1</f>
        <v>8.6355785837650689E-3</v>
      </c>
    </row>
    <row r="19" spans="2:11" x14ac:dyDescent="0.3">
      <c r="B19" s="845" t="s">
        <v>2755</v>
      </c>
      <c r="D19" s="876">
        <v>51301193.106796116</v>
      </c>
      <c r="E19" s="876">
        <v>76370325.051428571</v>
      </c>
      <c r="F19" s="876">
        <v>67215532.316188201</v>
      </c>
      <c r="G19" s="876">
        <f>'사업계획(매출 확정본)'!AI15</f>
        <v>48953571.428571425</v>
      </c>
      <c r="H19" s="876">
        <f>'사업계획(매출 확정본)'!AJ15</f>
        <v>51293110.236220472</v>
      </c>
      <c r="I19" s="876">
        <f>'사업계획(매출 확정본)'!AK15</f>
        <v>60991418.563922942</v>
      </c>
      <c r="J19" s="876">
        <f>'사업계획(매출 확정본)'!AL15</f>
        <v>63300690.846286699</v>
      </c>
      <c r="K19" s="884">
        <f>'사업계획(매출 확정본)'!AM15</f>
        <v>66333390.410958901</v>
      </c>
    </row>
    <row r="20" spans="2:11" x14ac:dyDescent="0.3">
      <c r="B20" s="873" t="s">
        <v>2754</v>
      </c>
      <c r="D20" s="870" t="e">
        <f>D19/#REF!-1</f>
        <v>#REF!</v>
      </c>
      <c r="E20" s="870">
        <f>E19/D19-1</f>
        <v>0.48866567084404577</v>
      </c>
      <c r="F20" s="870">
        <f>F19/E19-1</f>
        <v>-0.11987369084884003</v>
      </c>
      <c r="G20" s="870">
        <f t="shared" ref="G20" si="19">G19/F19-1</f>
        <v>-0.2716925725100382</v>
      </c>
      <c r="H20" s="870">
        <f t="shared" ref="H20" si="20">H19/G19-1</f>
        <v>4.7790972943877907E-2</v>
      </c>
      <c r="I20" s="870">
        <f t="shared" ref="I20" si="21">I19/H19-1</f>
        <v>0.18907623817387553</v>
      </c>
      <c r="J20" s="870">
        <f t="shared" ref="J20" si="22">J19/I19-1</f>
        <v>3.7862249095641065E-2</v>
      </c>
      <c r="K20" s="871">
        <f t="shared" ref="K20" si="23">K19/J19-1</f>
        <v>4.7909422853480654E-2</v>
      </c>
    </row>
    <row r="21" spans="2:11" x14ac:dyDescent="0.3">
      <c r="B21" s="844" t="s">
        <v>2756</v>
      </c>
      <c r="D21" s="123">
        <f t="shared" ref="D21:K21" si="24">D24*D26</f>
        <v>24950094631</v>
      </c>
      <c r="E21" s="123">
        <f t="shared" si="24"/>
        <v>25586392091</v>
      </c>
      <c r="F21" s="123">
        <f t="shared" si="24"/>
        <v>30798914481.545452</v>
      </c>
      <c r="G21" s="123">
        <f t="shared" si="24"/>
        <v>21847000000</v>
      </c>
      <c r="H21" s="123">
        <f t="shared" si="24"/>
        <v>30808300000</v>
      </c>
      <c r="I21" s="123">
        <f t="shared" si="24"/>
        <v>39199100000</v>
      </c>
      <c r="J21" s="123">
        <f t="shared" si="24"/>
        <v>43024100000</v>
      </c>
      <c r="K21" s="236">
        <f t="shared" si="24"/>
        <v>46856200000</v>
      </c>
    </row>
    <row r="22" spans="2:11" x14ac:dyDescent="0.3">
      <c r="B22" s="873" t="s">
        <v>2754</v>
      </c>
      <c r="D22" s="870" t="e">
        <f>D21/#REF!-1</f>
        <v>#REF!</v>
      </c>
      <c r="E22" s="870">
        <f>E21/D21-1</f>
        <v>2.5502807480714429E-2</v>
      </c>
      <c r="F22" s="870">
        <f>F21/E21-1</f>
        <v>0.20372244636941028</v>
      </c>
      <c r="G22" s="870">
        <f t="shared" ref="G22" si="25">G21/F21-1</f>
        <v>-0.29065681801575804</v>
      </c>
      <c r="H22" s="870">
        <f t="shared" ref="H22" si="26">H21/G21-1</f>
        <v>0.41018446468622694</v>
      </c>
      <c r="I22" s="870">
        <f t="shared" ref="I22" si="27">I21/H21-1</f>
        <v>0.27235517701398648</v>
      </c>
      <c r="J22" s="870">
        <f t="shared" ref="J22" si="28">J21/I21-1</f>
        <v>9.7578770941169513E-2</v>
      </c>
      <c r="K22" s="871">
        <f t="shared" ref="K22" si="29">K21/J21-1</f>
        <v>8.906868476040164E-2</v>
      </c>
    </row>
    <row r="23" spans="2:11" x14ac:dyDescent="0.3">
      <c r="B23" s="874" t="s">
        <v>2757</v>
      </c>
      <c r="D23" s="875">
        <f t="shared" ref="D23:J23" si="30">D21/D$6</f>
        <v>0.40263683886207469</v>
      </c>
      <c r="E23" s="875">
        <f t="shared" si="30"/>
        <v>0.31398880327590512</v>
      </c>
      <c r="F23" s="875">
        <f t="shared" si="30"/>
        <v>0.3335599668705494</v>
      </c>
      <c r="G23" s="875">
        <f t="shared" si="30"/>
        <v>0.14611843676793967</v>
      </c>
      <c r="H23" s="875">
        <f t="shared" si="30"/>
        <v>0.16102669772765427</v>
      </c>
      <c r="I23" s="875">
        <f t="shared" si="30"/>
        <v>0.15917150282654655</v>
      </c>
      <c r="J23" s="875">
        <f t="shared" si="30"/>
        <v>0.15789750680885908</v>
      </c>
      <c r="K23" s="872"/>
    </row>
    <row r="24" spans="2:11" x14ac:dyDescent="0.3">
      <c r="B24" s="845" t="s">
        <v>2758</v>
      </c>
      <c r="D24" s="876">
        <v>642</v>
      </c>
      <c r="E24" s="876">
        <v>704</v>
      </c>
      <c r="F24" s="876">
        <v>841</v>
      </c>
      <c r="G24" s="847">
        <f>'사업계획(매출 확정본)'!AI17</f>
        <v>606</v>
      </c>
      <c r="H24" s="847">
        <f>'사업계획(매출 확정본)'!AJ17</f>
        <v>782</v>
      </c>
      <c r="I24" s="847">
        <f>'사업계획(매출 확정본)'!AK17</f>
        <v>939</v>
      </c>
      <c r="J24" s="847">
        <f>'사업계획(매출 확정본)'!AL17</f>
        <v>981</v>
      </c>
      <c r="K24" s="872">
        <f>'사업계획(매출 확정본)'!AM17</f>
        <v>1018</v>
      </c>
    </row>
    <row r="25" spans="2:11" x14ac:dyDescent="0.3">
      <c r="B25" s="873" t="s">
        <v>2754</v>
      </c>
      <c r="D25" s="870" t="e">
        <f>D24/#REF!-1</f>
        <v>#REF!</v>
      </c>
      <c r="E25" s="870">
        <f>E24/D24-1</f>
        <v>9.6573208722741333E-2</v>
      </c>
      <c r="F25" s="870">
        <f>F24/E24-1</f>
        <v>0.19460227272727271</v>
      </c>
      <c r="G25" s="870">
        <f t="shared" ref="G25" si="31">G24/F24-1</f>
        <v>-0.27942925089179549</v>
      </c>
      <c r="H25" s="870">
        <f t="shared" ref="H25" si="32">H24/G24-1</f>
        <v>0.29042904290429039</v>
      </c>
      <c r="I25" s="870">
        <f t="shared" ref="I25" si="33">I24/H24-1</f>
        <v>0.20076726342711004</v>
      </c>
      <c r="J25" s="870">
        <f t="shared" ref="J25" si="34">J24/I24-1</f>
        <v>4.4728434504792247E-2</v>
      </c>
      <c r="K25" s="871">
        <f t="shared" ref="K25" si="35">K24/J24-1</f>
        <v>3.771661569826712E-2</v>
      </c>
    </row>
    <row r="26" spans="2:11" x14ac:dyDescent="0.3">
      <c r="B26" s="845" t="s">
        <v>2755</v>
      </c>
      <c r="D26" s="876">
        <v>38863075.749221183</v>
      </c>
      <c r="E26" s="876">
        <v>36344306.94744318</v>
      </c>
      <c r="F26" s="876">
        <v>36621777.029186033</v>
      </c>
      <c r="G26" s="876">
        <f>'사업계획(매출 확정본)'!AI18</f>
        <v>36051155.115511551</v>
      </c>
      <c r="H26" s="876">
        <f>'사업계획(매출 확정본)'!AJ18</f>
        <v>39396803.06905371</v>
      </c>
      <c r="I26" s="876">
        <f>'사업계획(매출 확정본)'!AK18</f>
        <v>41745580.404685833</v>
      </c>
      <c r="J26" s="876">
        <f>'사업계획(매출 확정본)'!AL18</f>
        <v>43857390.417940877</v>
      </c>
      <c r="K26" s="884">
        <f>'사업계획(매출 확정본)'!AM18</f>
        <v>46027701.375245579</v>
      </c>
    </row>
    <row r="27" spans="2:11" x14ac:dyDescent="0.3">
      <c r="B27" s="873" t="s">
        <v>2754</v>
      </c>
      <c r="D27" s="870" t="e">
        <f>D26/#REF!-1</f>
        <v>#REF!</v>
      </c>
      <c r="E27" s="870">
        <f>E26/D26-1</f>
        <v>-6.4811360223553049E-2</v>
      </c>
      <c r="F27" s="870">
        <f>F26/E26-1</f>
        <v>7.6344854269501106E-3</v>
      </c>
      <c r="G27" s="870">
        <f t="shared" ref="G27" si="36">G26/F26-1</f>
        <v>-1.5581491668733571E-2</v>
      </c>
      <c r="H27" s="870">
        <f t="shared" ref="H27" si="37">H26/G26-1</f>
        <v>9.2802794884723205E-2</v>
      </c>
      <c r="I27" s="870">
        <f t="shared" ref="I27" si="38">I26/H26-1</f>
        <v>5.961847542591836E-2</v>
      </c>
      <c r="J27" s="870">
        <f t="shared" ref="J27" si="39">J26/I26-1</f>
        <v>5.0587630900875036E-2</v>
      </c>
      <c r="K27" s="871">
        <f t="shared" ref="K27" si="40">K26/J26-1</f>
        <v>4.948563826125163E-2</v>
      </c>
    </row>
    <row r="28" spans="2:11" x14ac:dyDescent="0.3">
      <c r="B28" s="844" t="s">
        <v>2759</v>
      </c>
      <c r="D28" s="123">
        <f t="shared" ref="D28:K28" si="41">D31*D33</f>
        <v>646664227</v>
      </c>
      <c r="E28" s="123">
        <f t="shared" si="41"/>
        <v>539003454</v>
      </c>
      <c r="F28" s="123">
        <f t="shared" si="41"/>
        <v>373794891.09090906</v>
      </c>
      <c r="G28" s="123">
        <f t="shared" si="41"/>
        <v>0</v>
      </c>
      <c r="H28" s="123">
        <f t="shared" si="41"/>
        <v>0</v>
      </c>
      <c r="I28" s="123">
        <f t="shared" si="41"/>
        <v>0</v>
      </c>
      <c r="J28" s="123">
        <f t="shared" si="41"/>
        <v>0</v>
      </c>
      <c r="K28" s="236">
        <f t="shared" si="41"/>
        <v>0</v>
      </c>
    </row>
    <row r="29" spans="2:11" x14ac:dyDescent="0.3">
      <c r="B29" s="873" t="s">
        <v>2754</v>
      </c>
      <c r="D29" s="870" t="e">
        <f>D28/#REF!-1</f>
        <v>#REF!</v>
      </c>
      <c r="E29" s="870">
        <f>E28/D28-1</f>
        <v>-0.16648635954312652</v>
      </c>
      <c r="F29" s="870">
        <f>F28/E28-1</f>
        <v>-0.30650742900265526</v>
      </c>
      <c r="G29" s="870">
        <f t="shared" ref="G29" si="42">G28/F28-1</f>
        <v>-1</v>
      </c>
      <c r="H29" s="870" t="e">
        <f t="shared" ref="H29" si="43">H28/G28-1</f>
        <v>#DIV/0!</v>
      </c>
      <c r="I29" s="870" t="e">
        <f t="shared" ref="I29" si="44">I28/H28-1</f>
        <v>#DIV/0!</v>
      </c>
      <c r="J29" s="870" t="e">
        <f t="shared" ref="J29" si="45">J28/I28-1</f>
        <v>#DIV/0!</v>
      </c>
      <c r="K29" s="871" t="e">
        <f t="shared" ref="K29" si="46">K28/J28-1</f>
        <v>#DIV/0!</v>
      </c>
    </row>
    <row r="30" spans="2:11" x14ac:dyDescent="0.3">
      <c r="B30" s="874" t="s">
        <v>2757</v>
      </c>
      <c r="D30" s="875">
        <f t="shared" ref="D30:J30" si="47">D28/D$6</f>
        <v>1.0435665435952353E-2</v>
      </c>
      <c r="E30" s="875">
        <f t="shared" si="47"/>
        <v>6.6144944891456505E-3</v>
      </c>
      <c r="F30" s="875">
        <f t="shared" si="47"/>
        <v>4.0482924021031218E-3</v>
      </c>
      <c r="G30" s="875">
        <f t="shared" si="47"/>
        <v>0</v>
      </c>
      <c r="H30" s="875">
        <f t="shared" si="47"/>
        <v>0</v>
      </c>
      <c r="I30" s="875">
        <f t="shared" si="47"/>
        <v>0</v>
      </c>
      <c r="J30" s="875">
        <f t="shared" si="47"/>
        <v>0</v>
      </c>
      <c r="K30" s="872"/>
    </row>
    <row r="31" spans="2:11" x14ac:dyDescent="0.3">
      <c r="B31" s="845" t="s">
        <v>2758</v>
      </c>
      <c r="D31" s="876">
        <v>32</v>
      </c>
      <c r="E31" s="876">
        <v>20</v>
      </c>
      <c r="F31" s="876">
        <v>28</v>
      </c>
      <c r="G31" s="847">
        <f>'사업계획(매출 확정본)'!AI23</f>
        <v>0</v>
      </c>
      <c r="H31" s="847">
        <f>'사업계획(매출 확정본)'!AJ23</f>
        <v>0</v>
      </c>
      <c r="I31" s="847">
        <f>'사업계획(매출 확정본)'!AK23</f>
        <v>0</v>
      </c>
      <c r="J31" s="847">
        <f>'사업계획(매출 확정본)'!AL23</f>
        <v>0</v>
      </c>
      <c r="K31" s="872">
        <f>'사업계획(매출 확정본)'!AM23</f>
        <v>0</v>
      </c>
    </row>
    <row r="32" spans="2:11" x14ac:dyDescent="0.3">
      <c r="B32" s="873" t="s">
        <v>2754</v>
      </c>
      <c r="D32" s="870" t="e">
        <f>D31/#REF!-1</f>
        <v>#REF!</v>
      </c>
      <c r="E32" s="870">
        <f>E31/D31-1</f>
        <v>-0.375</v>
      </c>
      <c r="F32" s="870">
        <f>F31/E31-1</f>
        <v>0.39999999999999991</v>
      </c>
      <c r="G32" s="870">
        <f t="shared" ref="G32" si="48">G31/F31-1</f>
        <v>-1</v>
      </c>
      <c r="H32" s="870" t="e">
        <f t="shared" ref="H32" si="49">H31/G31-1</f>
        <v>#DIV/0!</v>
      </c>
      <c r="I32" s="870" t="e">
        <f t="shared" ref="I32" si="50">I31/H31-1</f>
        <v>#DIV/0!</v>
      </c>
      <c r="J32" s="870" t="e">
        <f t="shared" ref="J32" si="51">J31/I31-1</f>
        <v>#DIV/0!</v>
      </c>
      <c r="K32" s="871" t="e">
        <f t="shared" ref="K32" si="52">K31/J31-1</f>
        <v>#DIV/0!</v>
      </c>
    </row>
    <row r="33" spans="2:11" x14ac:dyDescent="0.3">
      <c r="B33" s="845" t="s">
        <v>2755</v>
      </c>
      <c r="D33" s="876">
        <v>20208257.09375</v>
      </c>
      <c r="E33" s="876">
        <v>26950172.699999999</v>
      </c>
      <c r="F33" s="876">
        <v>13349817.538961038</v>
      </c>
      <c r="G33" s="876">
        <f>IFERROR('사업계획(매출 확정본)'!AI24,)</f>
        <v>0</v>
      </c>
      <c r="H33" s="876">
        <f>IFERROR('사업계획(매출 확정본)'!AJ24,)</f>
        <v>0</v>
      </c>
      <c r="I33" s="876">
        <f>IFERROR('사업계획(매출 확정본)'!AK24,)</f>
        <v>0</v>
      </c>
      <c r="J33" s="876">
        <f>IFERROR('사업계획(매출 확정본)'!AL24,)</f>
        <v>0</v>
      </c>
      <c r="K33" s="884">
        <f>IFERROR('사업계획(매출 확정본)'!AM24,)</f>
        <v>0</v>
      </c>
    </row>
    <row r="34" spans="2:11" x14ac:dyDescent="0.3">
      <c r="B34" s="873" t="s">
        <v>2754</v>
      </c>
      <c r="D34" s="870" t="e">
        <f>D33/#REF!-1</f>
        <v>#REF!</v>
      </c>
      <c r="E34" s="870">
        <f>E33/D33-1</f>
        <v>0.33362182473099744</v>
      </c>
      <c r="F34" s="870">
        <f>F33/E33-1</f>
        <v>-0.50464816357332509</v>
      </c>
      <c r="G34" s="870">
        <f t="shared" ref="G34" si="53">G33/F33-1</f>
        <v>-1</v>
      </c>
      <c r="H34" s="870" t="e">
        <f t="shared" ref="H34" si="54">H33/G33-1</f>
        <v>#DIV/0!</v>
      </c>
      <c r="I34" s="870" t="e">
        <f t="shared" ref="I34" si="55">I33/H33-1</f>
        <v>#DIV/0!</v>
      </c>
      <c r="J34" s="870" t="e">
        <f t="shared" ref="J34" si="56">J33/I33-1</f>
        <v>#DIV/0!</v>
      </c>
      <c r="K34" s="871" t="e">
        <f t="shared" ref="K34" si="57">K33/J33-1</f>
        <v>#DIV/0!</v>
      </c>
    </row>
    <row r="35" spans="2:11" x14ac:dyDescent="0.3">
      <c r="B35" s="844" t="s">
        <v>2760</v>
      </c>
      <c r="D35" s="123">
        <f t="shared" ref="D35:K35" si="58">D38*D40</f>
        <v>354477627</v>
      </c>
      <c r="E35" s="123">
        <f t="shared" si="58"/>
        <v>195693637</v>
      </c>
      <c r="F35" s="123">
        <f t="shared" si="58"/>
        <v>361498664</v>
      </c>
      <c r="G35" s="123">
        <f t="shared" si="58"/>
        <v>554400000</v>
      </c>
      <c r="H35" s="123">
        <f t="shared" si="58"/>
        <v>970000000</v>
      </c>
      <c r="I35" s="123">
        <f t="shared" si="58"/>
        <v>1528500000</v>
      </c>
      <c r="J35" s="123">
        <f t="shared" si="58"/>
        <v>2140000000</v>
      </c>
      <c r="K35" s="236">
        <f t="shared" si="58"/>
        <v>2810000000</v>
      </c>
    </row>
    <row r="36" spans="2:11" x14ac:dyDescent="0.3">
      <c r="B36" s="873" t="s">
        <v>2754</v>
      </c>
      <c r="D36" s="870" t="e">
        <f>D35/#REF!-1</f>
        <v>#REF!</v>
      </c>
      <c r="E36" s="870">
        <f>E35/D35-1</f>
        <v>-0.44793797381181411</v>
      </c>
      <c r="F36" s="870">
        <f>F35/E35-1</f>
        <v>0.84726836059569988</v>
      </c>
      <c r="G36" s="870">
        <f t="shared" ref="G36" si="59">G35/F35-1</f>
        <v>0.53361562630837267</v>
      </c>
      <c r="H36" s="870">
        <f t="shared" ref="H36" si="60">H35/G35-1</f>
        <v>0.74963924963924966</v>
      </c>
      <c r="I36" s="870">
        <f t="shared" ref="I36" si="61">I35/H35-1</f>
        <v>0.57577319587628861</v>
      </c>
      <c r="J36" s="870">
        <f t="shared" ref="J36" si="62">J35/I35-1</f>
        <v>0.40006542361792596</v>
      </c>
      <c r="K36" s="871">
        <f t="shared" ref="K36" si="63">K35/J35-1</f>
        <v>0.31308411214953269</v>
      </c>
    </row>
    <row r="37" spans="2:11" x14ac:dyDescent="0.3">
      <c r="B37" s="874" t="s">
        <v>2757</v>
      </c>
      <c r="D37" s="875">
        <f t="shared" ref="D37:J37" si="64">D35/D$6</f>
        <v>5.720449292616136E-3</v>
      </c>
      <c r="E37" s="875">
        <f t="shared" si="64"/>
        <v>2.401495711931689E-3</v>
      </c>
      <c r="F37" s="875">
        <f t="shared" si="64"/>
        <v>3.9151211793467481E-3</v>
      </c>
      <c r="G37" s="875">
        <f t="shared" si="64"/>
        <v>3.7079718654344195E-3</v>
      </c>
      <c r="H37" s="875">
        <f t="shared" si="64"/>
        <v>5.0699291033852768E-3</v>
      </c>
      <c r="I37" s="875">
        <f t="shared" si="64"/>
        <v>6.2066129597459219E-3</v>
      </c>
      <c r="J37" s="875">
        <f t="shared" si="64"/>
        <v>7.8537532353020398E-3</v>
      </c>
      <c r="K37" s="872"/>
    </row>
    <row r="38" spans="2:11" x14ac:dyDescent="0.3">
      <c r="B38" s="845" t="s">
        <v>2758</v>
      </c>
      <c r="D38" s="876">
        <v>7</v>
      </c>
      <c r="E38" s="876">
        <v>2</v>
      </c>
      <c r="F38" s="876">
        <v>6</v>
      </c>
      <c r="G38" s="847">
        <f>'사업계획(매출 확정본)'!AI20</f>
        <v>6</v>
      </c>
      <c r="H38" s="847">
        <f>'사업계획(매출 확정본)'!AJ20</f>
        <v>10</v>
      </c>
      <c r="I38" s="847">
        <f>'사업계획(매출 확정본)'!AK20</f>
        <v>15</v>
      </c>
      <c r="J38" s="847">
        <f>'사업계획(매출 확정본)'!AL20</f>
        <v>20</v>
      </c>
      <c r="K38" s="872">
        <f>'사업계획(매출 확정본)'!AM20</f>
        <v>25</v>
      </c>
    </row>
    <row r="39" spans="2:11" x14ac:dyDescent="0.3">
      <c r="B39" s="873" t="s">
        <v>2754</v>
      </c>
      <c r="D39" s="870" t="e">
        <f>D38/#REF!-1</f>
        <v>#REF!</v>
      </c>
      <c r="E39" s="870">
        <f>E38/D38-1</f>
        <v>-0.7142857142857143</v>
      </c>
      <c r="F39" s="870">
        <f>F38/E38-1</f>
        <v>2</v>
      </c>
      <c r="G39" s="870">
        <f t="shared" ref="G39" si="65">G38/F38-1</f>
        <v>0</v>
      </c>
      <c r="H39" s="870">
        <f t="shared" ref="H39" si="66">H38/G38-1</f>
        <v>0.66666666666666674</v>
      </c>
      <c r="I39" s="870">
        <f t="shared" ref="I39" si="67">I38/H38-1</f>
        <v>0.5</v>
      </c>
      <c r="J39" s="870">
        <f t="shared" ref="J39" si="68">J38/I38-1</f>
        <v>0.33333333333333326</v>
      </c>
      <c r="K39" s="871">
        <f t="shared" ref="K39" si="69">K38/J38-1</f>
        <v>0.25</v>
      </c>
    </row>
    <row r="40" spans="2:11" x14ac:dyDescent="0.3">
      <c r="B40" s="845" t="s">
        <v>2755</v>
      </c>
      <c r="D40" s="876">
        <v>50639661</v>
      </c>
      <c r="E40" s="876">
        <v>97846818.5</v>
      </c>
      <c r="F40" s="876">
        <v>60249777.333333336</v>
      </c>
      <c r="G40" s="876">
        <f>'사업계획(매출 확정본)'!AI21</f>
        <v>92400000</v>
      </c>
      <c r="H40" s="876">
        <f>'사업계획(매출 확정본)'!AJ21</f>
        <v>97000000</v>
      </c>
      <c r="I40" s="876">
        <f>'사업계획(매출 확정본)'!AK21</f>
        <v>101900000</v>
      </c>
      <c r="J40" s="876">
        <f>'사업계획(매출 확정본)'!AL21</f>
        <v>107000000</v>
      </c>
      <c r="K40" s="884">
        <f>'사업계획(매출 확정본)'!AM21</f>
        <v>112400000</v>
      </c>
    </row>
    <row r="41" spans="2:11" x14ac:dyDescent="0.3">
      <c r="B41" s="873" t="s">
        <v>2754</v>
      </c>
      <c r="D41" s="870" t="e">
        <f>D40/#REF!-1</f>
        <v>#REF!</v>
      </c>
      <c r="E41" s="870">
        <f>E40/D40-1</f>
        <v>0.93221709165865074</v>
      </c>
      <c r="F41" s="870">
        <f>F40/E40-1</f>
        <v>-0.38424387980143337</v>
      </c>
      <c r="G41" s="870">
        <f t="shared" ref="G41" si="70">G40/F40-1</f>
        <v>0.53361562630837267</v>
      </c>
      <c r="H41" s="870">
        <f t="shared" ref="H41" si="71">H40/G40-1</f>
        <v>4.9783549783549708E-2</v>
      </c>
      <c r="I41" s="870">
        <f t="shared" ref="I41" si="72">I40/H40-1</f>
        <v>5.0515463917525816E-2</v>
      </c>
      <c r="J41" s="870">
        <f t="shared" ref="J41" si="73">J40/I40-1</f>
        <v>5.0049067713444639E-2</v>
      </c>
      <c r="K41" s="871">
        <f t="shared" ref="K41" si="74">K40/J40-1</f>
        <v>5.0467289719626107E-2</v>
      </c>
    </row>
    <row r="42" spans="2:11" x14ac:dyDescent="0.3">
      <c r="B42" s="844" t="s">
        <v>2761</v>
      </c>
      <c r="D42" s="123">
        <f t="shared" ref="D42:F42" si="75">D45*D47</f>
        <v>642928745</v>
      </c>
      <c r="E42" s="123">
        <f t="shared" si="75"/>
        <v>5572727</v>
      </c>
      <c r="F42" s="123">
        <f t="shared" si="75"/>
        <v>13954545</v>
      </c>
      <c r="G42" s="123">
        <f>IFERROR(G45*G47,0)</f>
        <v>0</v>
      </c>
      <c r="H42" s="123">
        <f t="shared" ref="H42:J42" si="76">IFERROR(H45*H47,0)</f>
        <v>0</v>
      </c>
      <c r="I42" s="123">
        <f t="shared" si="76"/>
        <v>0</v>
      </c>
      <c r="J42" s="123">
        <f t="shared" si="76"/>
        <v>0</v>
      </c>
      <c r="K42" s="236">
        <f t="shared" ref="K42" si="77">K45*K47</f>
        <v>0</v>
      </c>
    </row>
    <row r="43" spans="2:11" x14ac:dyDescent="0.3">
      <c r="B43" s="873" t="s">
        <v>2754</v>
      </c>
      <c r="D43" s="870" t="e">
        <f>D42/#REF!-1</f>
        <v>#REF!</v>
      </c>
      <c r="E43" s="870">
        <f>E42/D42-1</f>
        <v>-0.991332278975954</v>
      </c>
      <c r="F43" s="870">
        <f>F42/E42-1</f>
        <v>1.504078344408402</v>
      </c>
      <c r="G43" s="870">
        <f t="shared" ref="G43" si="78">G42/F42-1</f>
        <v>-1</v>
      </c>
      <c r="H43" s="870" t="e">
        <f t="shared" ref="H43" si="79">H42/G42-1</f>
        <v>#DIV/0!</v>
      </c>
      <c r="I43" s="870" t="e">
        <f t="shared" ref="I43" si="80">I42/H42-1</f>
        <v>#DIV/0!</v>
      </c>
      <c r="J43" s="870" t="e">
        <f t="shared" ref="J43" si="81">J42/I42-1</f>
        <v>#DIV/0!</v>
      </c>
      <c r="K43" s="871" t="e">
        <f t="shared" ref="K43" si="82">K42/J42-1</f>
        <v>#DIV/0!</v>
      </c>
    </row>
    <row r="44" spans="2:11" x14ac:dyDescent="0.3">
      <c r="B44" s="874" t="s">
        <v>2757</v>
      </c>
      <c r="D44" s="875">
        <f t="shared" ref="D44:J44" si="83">D42/D$6</f>
        <v>1.037538339348517E-2</v>
      </c>
      <c r="E44" s="875">
        <f t="shared" si="83"/>
        <v>6.8386893919631872E-5</v>
      </c>
      <c r="F44" s="875">
        <f t="shared" si="83"/>
        <v>1.51131221546222E-4</v>
      </c>
      <c r="G44" s="875">
        <f t="shared" si="83"/>
        <v>0</v>
      </c>
      <c r="H44" s="875">
        <f t="shared" si="83"/>
        <v>0</v>
      </c>
      <c r="I44" s="875">
        <f t="shared" si="83"/>
        <v>0</v>
      </c>
      <c r="J44" s="875">
        <f t="shared" si="83"/>
        <v>0</v>
      </c>
      <c r="K44" s="872"/>
    </row>
    <row r="45" spans="2:11" x14ac:dyDescent="0.3">
      <c r="B45" s="845" t="s">
        <v>2758</v>
      </c>
      <c r="D45" s="876">
        <v>1</v>
      </c>
      <c r="E45" s="876">
        <v>1</v>
      </c>
      <c r="F45" s="876">
        <v>1</v>
      </c>
      <c r="G45" s="847">
        <f>'사업계획(매출 확정본)'!AI26</f>
        <v>0</v>
      </c>
      <c r="H45" s="847">
        <f>'사업계획(매출 확정본)'!AJ26</f>
        <v>0</v>
      </c>
      <c r="I45" s="847">
        <f>'사업계획(매출 확정본)'!AK26</f>
        <v>0</v>
      </c>
      <c r="J45" s="847">
        <f>'사업계획(매출 확정본)'!AL26</f>
        <v>0</v>
      </c>
      <c r="K45" s="872">
        <f>IFERROR('사업계획(매출 확정본)'!AM27,0)</f>
        <v>0</v>
      </c>
    </row>
    <row r="46" spans="2:11" x14ac:dyDescent="0.3">
      <c r="B46" s="873" t="s">
        <v>2754</v>
      </c>
      <c r="D46" s="870" t="e">
        <f>D45/#REF!-1</f>
        <v>#REF!</v>
      </c>
      <c r="E46" s="870">
        <f>E45/D45-1</f>
        <v>0</v>
      </c>
      <c r="F46" s="870">
        <f>F45/E45-1</f>
        <v>0</v>
      </c>
      <c r="G46" s="870">
        <f t="shared" ref="G46" si="84">G45/F45-1</f>
        <v>-1</v>
      </c>
      <c r="H46" s="870" t="e">
        <f t="shared" ref="H46" si="85">H45/G45-1</f>
        <v>#DIV/0!</v>
      </c>
      <c r="I46" s="870" t="e">
        <f t="shared" ref="I46" si="86">I45/H45-1</f>
        <v>#DIV/0!</v>
      </c>
      <c r="J46" s="870" t="e">
        <f t="shared" ref="J46" si="87">J45/I45-1</f>
        <v>#DIV/0!</v>
      </c>
      <c r="K46" s="871" t="e">
        <f t="shared" ref="K46" si="88">K45/J45-1</f>
        <v>#DIV/0!</v>
      </c>
    </row>
    <row r="47" spans="2:11" x14ac:dyDescent="0.3">
      <c r="B47" s="845" t="s">
        <v>2755</v>
      </c>
      <c r="D47" s="876">
        <v>642928745</v>
      </c>
      <c r="E47" s="876">
        <v>5572727</v>
      </c>
      <c r="F47" s="876">
        <v>13954545</v>
      </c>
      <c r="G47" s="123" t="e">
        <f>'사업계획(매출 확정본)'!AI27</f>
        <v>#DIV/0!</v>
      </c>
      <c r="H47" s="123" t="e">
        <f>'사업계획(매출 확정본)'!AJ27</f>
        <v>#DIV/0!</v>
      </c>
      <c r="I47" s="123" t="e">
        <f>'사업계획(매출 확정본)'!AK27</f>
        <v>#DIV/0!</v>
      </c>
      <c r="J47" s="123" t="e">
        <f>'사업계획(매출 확정본)'!AL27</f>
        <v>#DIV/0!</v>
      </c>
      <c r="K47" s="884"/>
    </row>
    <row r="48" spans="2:11" x14ac:dyDescent="0.3">
      <c r="B48" s="873" t="s">
        <v>2754</v>
      </c>
      <c r="D48" s="870" t="e">
        <f>D47/#REF!-1</f>
        <v>#REF!</v>
      </c>
      <c r="E48" s="870">
        <f>E47/D47-1</f>
        <v>-0.991332278975954</v>
      </c>
      <c r="F48" s="870">
        <f>F47/E47-1</f>
        <v>1.504078344408402</v>
      </c>
      <c r="G48" s="870" t="e">
        <f t="shared" ref="G48" si="89">G47/F47-1</f>
        <v>#DIV/0!</v>
      </c>
      <c r="H48" s="870" t="e">
        <f t="shared" ref="H48" si="90">H47/G47-1</f>
        <v>#DIV/0!</v>
      </c>
      <c r="I48" s="870" t="e">
        <f t="shared" ref="I48" si="91">I47/H47-1</f>
        <v>#DIV/0!</v>
      </c>
      <c r="J48" s="870" t="e">
        <f t="shared" ref="J48" si="92">J47/I47-1</f>
        <v>#DIV/0!</v>
      </c>
      <c r="K48" s="871" t="e">
        <f t="shared" ref="K48" si="93">K47/J47-1</f>
        <v>#DIV/0!</v>
      </c>
    </row>
    <row r="49" spans="2:11" x14ac:dyDescent="0.3">
      <c r="B49" s="844" t="s">
        <v>2762</v>
      </c>
      <c r="D49" s="123">
        <f t="shared" ref="D49:K49" si="94">D52*D54</f>
        <v>2438807274</v>
      </c>
      <c r="E49" s="123">
        <f t="shared" si="94"/>
        <v>1229971252</v>
      </c>
      <c r="F49" s="123">
        <f t="shared" si="94"/>
        <v>1790336910</v>
      </c>
      <c r="G49" s="123">
        <f t="shared" si="94"/>
        <v>3337500000</v>
      </c>
      <c r="H49" s="123">
        <f t="shared" si="94"/>
        <v>4766500000</v>
      </c>
      <c r="I49" s="123">
        <f t="shared" si="94"/>
        <v>6539499999.999999</v>
      </c>
      <c r="J49" s="123">
        <f t="shared" si="94"/>
        <v>7817000000</v>
      </c>
      <c r="K49" s="236">
        <f t="shared" si="94"/>
        <v>8587000000</v>
      </c>
    </row>
    <row r="50" spans="2:11" x14ac:dyDescent="0.3">
      <c r="B50" s="873" t="s">
        <v>2754</v>
      </c>
      <c r="D50" s="870" t="e">
        <f>D49/#REF!-1</f>
        <v>#REF!</v>
      </c>
      <c r="E50" s="870">
        <f>E49/D49-1</f>
        <v>-0.49566689212687665</v>
      </c>
      <c r="F50" s="870">
        <f>F49/E49-1</f>
        <v>0.45559248404287089</v>
      </c>
      <c r="G50" s="870">
        <f t="shared" ref="G50" si="95">G49/F49-1</f>
        <v>0.8641742687414069</v>
      </c>
      <c r="H50" s="870">
        <f t="shared" ref="H50" si="96">H49/G49-1</f>
        <v>0.42816479400749063</v>
      </c>
      <c r="I50" s="870">
        <f t="shared" ref="I50" si="97">I49/H49-1</f>
        <v>0.37197104793873881</v>
      </c>
      <c r="J50" s="870">
        <f t="shared" ref="J50" si="98">J49/I49-1</f>
        <v>0.1953513265540181</v>
      </c>
      <c r="K50" s="871">
        <f t="shared" ref="K50" si="99">K49/J49-1</f>
        <v>9.8503262121018231E-2</v>
      </c>
    </row>
    <row r="51" spans="2:11" x14ac:dyDescent="0.3">
      <c r="B51" s="874" t="s">
        <v>2757</v>
      </c>
      <c r="D51" s="875">
        <f t="shared" ref="D51:J51" si="100">D49/D$6</f>
        <v>3.9356710502297478E-2</v>
      </c>
      <c r="E51" s="875">
        <f t="shared" si="100"/>
        <v>1.5093851454542954E-2</v>
      </c>
      <c r="F51" s="875">
        <f t="shared" si="100"/>
        <v>1.9389797674348289E-2</v>
      </c>
      <c r="G51" s="875">
        <f t="shared" si="100"/>
        <v>2.2322070889046492E-2</v>
      </c>
      <c r="H51" s="875">
        <f t="shared" si="100"/>
        <v>2.4913213475552497E-2</v>
      </c>
      <c r="I51" s="875">
        <f t="shared" si="100"/>
        <v>2.6554233202655188E-2</v>
      </c>
      <c r="J51" s="875">
        <f t="shared" si="100"/>
        <v>2.8688219177736465E-2</v>
      </c>
      <c r="K51" s="872"/>
    </row>
    <row r="52" spans="2:11" x14ac:dyDescent="0.3">
      <c r="B52" s="845" t="s">
        <v>2758</v>
      </c>
      <c r="D52" s="876">
        <v>22</v>
      </c>
      <c r="E52" s="876">
        <v>23</v>
      </c>
      <c r="F52" s="876">
        <v>34</v>
      </c>
      <c r="G52" s="847">
        <f>'사업계획(매출 확정본)'!AI29</f>
        <v>53</v>
      </c>
      <c r="H52" s="847">
        <f>'사업계획(매출 확정본)'!AJ29</f>
        <v>70</v>
      </c>
      <c r="I52" s="847">
        <f>'사업계획(매출 확정본)'!AK29</f>
        <v>90</v>
      </c>
      <c r="J52" s="847">
        <f>'사업계획(매출 확정본)'!AL29</f>
        <v>105</v>
      </c>
      <c r="K52" s="872">
        <f>'사업계획(매출 확정본)'!AM29</f>
        <v>110</v>
      </c>
    </row>
    <row r="53" spans="2:11" x14ac:dyDescent="0.3">
      <c r="B53" s="873" t="s">
        <v>2754</v>
      </c>
      <c r="D53" s="870" t="e">
        <f>D52/#REF!-1</f>
        <v>#REF!</v>
      </c>
      <c r="E53" s="870">
        <f>E52/D52-1</f>
        <v>4.5454545454545414E-2</v>
      </c>
      <c r="F53" s="870">
        <f>F52/E52-1</f>
        <v>0.47826086956521729</v>
      </c>
      <c r="G53" s="870">
        <f t="shared" ref="G53" si="101">G52/F52-1</f>
        <v>0.55882352941176472</v>
      </c>
      <c r="H53" s="870">
        <f t="shared" ref="H53" si="102">H52/G52-1</f>
        <v>0.320754716981132</v>
      </c>
      <c r="I53" s="870">
        <f t="shared" ref="I53" si="103">I52/H52-1</f>
        <v>0.28571428571428581</v>
      </c>
      <c r="J53" s="870">
        <f t="shared" ref="J53" si="104">J52/I52-1</f>
        <v>0.16666666666666674</v>
      </c>
      <c r="K53" s="871">
        <f t="shared" ref="K53" si="105">K52/J52-1</f>
        <v>4.7619047619047672E-2</v>
      </c>
    </row>
    <row r="54" spans="2:11" x14ac:dyDescent="0.3">
      <c r="B54" s="845" t="s">
        <v>2755</v>
      </c>
      <c r="D54" s="876">
        <v>110854876.09090909</v>
      </c>
      <c r="E54" s="876">
        <v>53477010.956521742</v>
      </c>
      <c r="F54" s="876">
        <v>52656967.941176474</v>
      </c>
      <c r="G54" s="876">
        <f>'사업계획(매출 확정본)'!AI30</f>
        <v>62971698.113207549</v>
      </c>
      <c r="H54" s="876">
        <f>'사업계획(매출 확정본)'!AJ30</f>
        <v>68092857.142857149</v>
      </c>
      <c r="I54" s="876">
        <f>'사업계획(매출 확정본)'!AK30</f>
        <v>72661111.111111104</v>
      </c>
      <c r="J54" s="876">
        <f>'사업계획(매출 확정본)'!AL30</f>
        <v>74447619.047619045</v>
      </c>
      <c r="K54" s="884">
        <f>'사업계획(매출 확정본)'!AM30</f>
        <v>78063636.36363636</v>
      </c>
    </row>
    <row r="55" spans="2:11" x14ac:dyDescent="0.3">
      <c r="B55" s="845"/>
      <c r="F55" s="123"/>
      <c r="G55" s="847"/>
      <c r="H55" s="847"/>
      <c r="I55" s="847"/>
      <c r="J55" s="847"/>
      <c r="K55" s="872"/>
    </row>
    <row r="56" spans="2:11" x14ac:dyDescent="0.3">
      <c r="B56" s="842" t="s">
        <v>649</v>
      </c>
      <c r="C56" s="840"/>
      <c r="D56" s="841">
        <f t="shared" ref="D56" si="106">D60+D66+D72+D78+D84+D90</f>
        <v>870979546</v>
      </c>
      <c r="E56" s="841">
        <f>E60+E66+E72+E78+E84+E90</f>
        <v>20781154581</v>
      </c>
      <c r="F56" s="841">
        <f>F60+F66+F72+F78+F84+F90</f>
        <v>3467312078</v>
      </c>
      <c r="G56" s="841">
        <f t="shared" ref="G56:K56" si="107">G60+G66+G72+G78+G84+G90</f>
        <v>9332000000</v>
      </c>
      <c r="H56" s="841">
        <f t="shared" si="107"/>
        <v>13558000000</v>
      </c>
      <c r="I56" s="841">
        <f t="shared" si="107"/>
        <v>19319500000</v>
      </c>
      <c r="J56" s="841">
        <f t="shared" si="107"/>
        <v>22827900000</v>
      </c>
      <c r="K56" s="892">
        <f t="shared" si="107"/>
        <v>25928000000</v>
      </c>
    </row>
    <row r="57" spans="2:11" x14ac:dyDescent="0.3">
      <c r="B57" s="873" t="s">
        <v>2754</v>
      </c>
      <c r="D57" s="870" t="e">
        <f>D56/#REF!-1</f>
        <v>#REF!</v>
      </c>
      <c r="E57" s="870">
        <f>E56/D56-1</f>
        <v>22.859520784888787</v>
      </c>
      <c r="F57" s="870">
        <f>F56/E56-1</f>
        <v>-0.83315113390426687</v>
      </c>
      <c r="G57" s="870">
        <f t="shared" ref="G57" si="108">G56/F56-1</f>
        <v>1.6914219978095666</v>
      </c>
      <c r="H57" s="870">
        <f t="shared" ref="H57" si="109">H56/G56-1</f>
        <v>0.45285040720102865</v>
      </c>
      <c r="I57" s="870">
        <f t="shared" ref="I57" si="110">I56/H56-1</f>
        <v>0.42495205782563805</v>
      </c>
      <c r="J57" s="870">
        <f t="shared" ref="J57" si="111">J56/I56-1</f>
        <v>0.1815989026631124</v>
      </c>
      <c r="K57" s="871">
        <f t="shared" ref="K57" si="112">K56/J56-1</f>
        <v>0.1358031181142374</v>
      </c>
    </row>
    <row r="58" spans="2:11" x14ac:dyDescent="0.3">
      <c r="B58" s="874" t="s">
        <v>58</v>
      </c>
      <c r="D58" s="875">
        <f t="shared" ref="D58:J58" si="113">D56/D$6</f>
        <v>1.4055596032859991E-2</v>
      </c>
      <c r="E58" s="875">
        <f t="shared" si="113"/>
        <v>0.25502031839318862</v>
      </c>
      <c r="F58" s="875">
        <f t="shared" si="113"/>
        <v>3.7551859256615631E-2</v>
      </c>
      <c r="G58" s="875">
        <f t="shared" si="113"/>
        <v>6.241485109710318E-2</v>
      </c>
      <c r="H58" s="875">
        <f t="shared" si="113"/>
        <v>7.0864019364636682E-2</v>
      </c>
      <c r="I58" s="875">
        <f t="shared" si="113"/>
        <v>7.8448582974034245E-2</v>
      </c>
      <c r="J58" s="875">
        <f t="shared" si="113"/>
        <v>8.377789414960346E-2</v>
      </c>
      <c r="K58" s="872"/>
    </row>
    <row r="59" spans="2:11" x14ac:dyDescent="0.3">
      <c r="B59" s="235"/>
      <c r="F59" s="123"/>
      <c r="G59" s="847"/>
      <c r="H59" s="847"/>
      <c r="I59" s="847"/>
      <c r="J59" s="847"/>
      <c r="K59" s="872"/>
    </row>
    <row r="60" spans="2:11" x14ac:dyDescent="0.3">
      <c r="B60" s="844" t="s">
        <v>2763</v>
      </c>
      <c r="D60" s="123">
        <f t="shared" ref="D60:K60" si="114">D62*D64</f>
        <v>48000000</v>
      </c>
      <c r="E60" s="123">
        <f t="shared" si="114"/>
        <v>7761168100</v>
      </c>
      <c r="F60" s="123">
        <f t="shared" si="114"/>
        <v>1091440918</v>
      </c>
      <c r="G60" s="123">
        <f t="shared" si="114"/>
        <v>270000000</v>
      </c>
      <c r="H60" s="123">
        <f t="shared" si="114"/>
        <v>709000000</v>
      </c>
      <c r="I60" s="123">
        <f t="shared" si="114"/>
        <v>1489000000</v>
      </c>
      <c r="J60" s="123">
        <f t="shared" si="114"/>
        <v>2031900000</v>
      </c>
      <c r="K60" s="236">
        <f t="shared" si="114"/>
        <v>2461500000</v>
      </c>
    </row>
    <row r="61" spans="2:11" x14ac:dyDescent="0.3">
      <c r="B61" s="873" t="s">
        <v>2754</v>
      </c>
      <c r="D61" s="870" t="e">
        <f>D60/#REF!-1</f>
        <v>#REF!</v>
      </c>
      <c r="E61" s="870">
        <f>E60/D60-1</f>
        <v>160.69100208333333</v>
      </c>
      <c r="F61" s="870">
        <f>F60/E60-1</f>
        <v>-0.85937156573119444</v>
      </c>
      <c r="G61" s="870">
        <f t="shared" ref="G61" si="115">G60/F60-1</f>
        <v>-0.75262059947801951</v>
      </c>
      <c r="H61" s="870">
        <f t="shared" ref="H61" si="116">H60/G60-1</f>
        <v>1.6259259259259258</v>
      </c>
      <c r="I61" s="870">
        <f t="shared" ref="I61" si="117">I60/H60-1</f>
        <v>1.1001410437235544</v>
      </c>
      <c r="J61" s="870">
        <f t="shared" ref="J61" si="118">J60/I60-1</f>
        <v>0.36460711887172592</v>
      </c>
      <c r="K61" s="871">
        <f t="shared" ref="K61" si="119">K60/J60-1</f>
        <v>0.21142772774250695</v>
      </c>
    </row>
    <row r="62" spans="2:11" x14ac:dyDescent="0.3">
      <c r="B62" s="845" t="s">
        <v>2758</v>
      </c>
      <c r="D62" s="876">
        <v>2</v>
      </c>
      <c r="E62" s="876">
        <v>82</v>
      </c>
      <c r="F62" s="876">
        <v>11</v>
      </c>
      <c r="G62" s="847">
        <f>'사업계획(매출 확정본)'!AI32</f>
        <v>2</v>
      </c>
      <c r="H62" s="847">
        <f>'사업계획(매출 확정본)'!AJ32</f>
        <v>5</v>
      </c>
      <c r="I62" s="847">
        <f>'사업계획(매출 확정본)'!AK32</f>
        <v>10</v>
      </c>
      <c r="J62" s="847">
        <f>'사업계획(매출 확정본)'!AL32</f>
        <v>13</v>
      </c>
      <c r="K62" s="872">
        <f>'사업계획(매출 확정본)'!AM32</f>
        <v>15</v>
      </c>
    </row>
    <row r="63" spans="2:11" x14ac:dyDescent="0.3">
      <c r="B63" s="873" t="s">
        <v>2754</v>
      </c>
      <c r="D63" s="870" t="e">
        <f>D62/#REF!-1</f>
        <v>#REF!</v>
      </c>
      <c r="E63" s="870">
        <f>E62/D62-1</f>
        <v>40</v>
      </c>
      <c r="F63" s="870">
        <f>F62/E62-1</f>
        <v>-0.86585365853658536</v>
      </c>
      <c r="G63" s="870">
        <f t="shared" ref="G63:J63" si="120">G62/F62-1</f>
        <v>-0.81818181818181812</v>
      </c>
      <c r="H63" s="870">
        <f t="shared" si="120"/>
        <v>1.5</v>
      </c>
      <c r="I63" s="870">
        <f t="shared" si="120"/>
        <v>1</v>
      </c>
      <c r="J63" s="870">
        <f t="shared" si="120"/>
        <v>0.30000000000000004</v>
      </c>
      <c r="K63" s="872"/>
    </row>
    <row r="64" spans="2:11" x14ac:dyDescent="0.3">
      <c r="B64" s="845" t="s">
        <v>2755</v>
      </c>
      <c r="D64" s="876">
        <v>24000000</v>
      </c>
      <c r="E64" s="876">
        <v>94648391.463414639</v>
      </c>
      <c r="F64" s="876">
        <v>99221901.63636364</v>
      </c>
      <c r="G64" s="876">
        <f>'사업계획(매출 확정본)'!AI33</f>
        <v>135000000</v>
      </c>
      <c r="H64" s="876">
        <f>'사업계획(매출 확정본)'!AJ33</f>
        <v>141800000</v>
      </c>
      <c r="I64" s="876">
        <f>'사업계획(매출 확정본)'!AK33</f>
        <v>148900000</v>
      </c>
      <c r="J64" s="876">
        <f>'사업계획(매출 확정본)'!AL33</f>
        <v>156300000</v>
      </c>
      <c r="K64" s="884">
        <f>'사업계획(매출 확정본)'!AM33</f>
        <v>164100000</v>
      </c>
    </row>
    <row r="65" spans="2:51" x14ac:dyDescent="0.3">
      <c r="B65" s="873" t="s">
        <v>2754</v>
      </c>
      <c r="D65" s="870" t="e">
        <f>D64/#REF!-1</f>
        <v>#REF!</v>
      </c>
      <c r="E65" s="870">
        <f>E64/D64-1</f>
        <v>2.9436829776422768</v>
      </c>
      <c r="F65" s="870">
        <f>F64/E64-1</f>
        <v>4.8321055458368178E-2</v>
      </c>
      <c r="G65" s="870">
        <f t="shared" ref="G65" si="121">G64/F64-1</f>
        <v>0.36058670287089223</v>
      </c>
      <c r="H65" s="870">
        <f t="shared" ref="H65" si="122">H64/G64-1</f>
        <v>5.0370370370370399E-2</v>
      </c>
      <c r="I65" s="870">
        <f t="shared" ref="I65" si="123">I64/H64-1</f>
        <v>5.0070521861777184E-2</v>
      </c>
      <c r="J65" s="870">
        <f t="shared" ref="J65" si="124">J64/I64-1</f>
        <v>4.9697783747481461E-2</v>
      </c>
      <c r="K65" s="871">
        <f t="shared" ref="K65" si="125">K64/J64-1</f>
        <v>4.9904030710172798E-2</v>
      </c>
    </row>
    <row r="66" spans="2:51" x14ac:dyDescent="0.3">
      <c r="B66" s="844" t="s">
        <v>2756</v>
      </c>
      <c r="D66" s="123">
        <f t="shared" ref="D66:K66" si="126">D68*D70</f>
        <v>207600000</v>
      </c>
      <c r="E66" s="123">
        <f t="shared" si="126"/>
        <v>12612420115</v>
      </c>
      <c r="F66" s="123">
        <f t="shared" si="126"/>
        <v>1646307520</v>
      </c>
      <c r="G66" s="123">
        <f t="shared" si="126"/>
        <v>1944000000</v>
      </c>
      <c r="H66" s="123">
        <f t="shared" si="126"/>
        <v>2784500000</v>
      </c>
      <c r="I66" s="123">
        <f t="shared" si="126"/>
        <v>4140500000</v>
      </c>
      <c r="J66" s="123">
        <f t="shared" si="126"/>
        <v>3585000000</v>
      </c>
      <c r="K66" s="236">
        <f t="shared" si="126"/>
        <v>4035000000</v>
      </c>
    </row>
    <row r="67" spans="2:51" x14ac:dyDescent="0.3">
      <c r="B67" s="873" t="s">
        <v>2754</v>
      </c>
      <c r="D67" s="870" t="e">
        <f>D66/#REF!-1</f>
        <v>#REF!</v>
      </c>
      <c r="E67" s="870">
        <f>E66/D66-1</f>
        <v>59.753468762042388</v>
      </c>
      <c r="F67" s="870">
        <f>F66/E66-1</f>
        <v>-0.86946934014336863</v>
      </c>
      <c r="G67" s="870">
        <f t="shared" ref="G67" si="127">G66/F66-1</f>
        <v>0.18082434562407879</v>
      </c>
      <c r="H67" s="870">
        <f t="shared" ref="H67" si="128">H66/G66-1</f>
        <v>0.43235596707818935</v>
      </c>
      <c r="I67" s="870">
        <f t="shared" ref="I67" si="129">I66/H66-1</f>
        <v>0.48698150475848445</v>
      </c>
      <c r="J67" s="870">
        <f t="shared" ref="J67" si="130">J66/I66-1</f>
        <v>-0.13416254075594736</v>
      </c>
      <c r="K67" s="871">
        <f t="shared" ref="K67" si="131">K66/J66-1</f>
        <v>0.12552301255230125</v>
      </c>
    </row>
    <row r="68" spans="2:51" x14ac:dyDescent="0.3">
      <c r="B68" s="845" t="s">
        <v>2758</v>
      </c>
      <c r="D68" s="876">
        <v>12</v>
      </c>
      <c r="E68" s="876">
        <v>190</v>
      </c>
      <c r="F68" s="876">
        <v>60</v>
      </c>
      <c r="G68" s="847">
        <f>'사업계획(매출 확정본)'!AI35</f>
        <v>24</v>
      </c>
      <c r="H68" s="847">
        <f>'사업계획(매출 확정본)'!AJ35</f>
        <v>35</v>
      </c>
      <c r="I68" s="847">
        <f>'사업계획(매출 확정본)'!AK35</f>
        <v>50</v>
      </c>
      <c r="J68" s="847">
        <f>'사업계획(매출 확정본)'!AL35</f>
        <v>45</v>
      </c>
      <c r="K68" s="872">
        <f>'사업계획(매출 확정본)'!AM35</f>
        <v>50</v>
      </c>
    </row>
    <row r="69" spans="2:51" x14ac:dyDescent="0.3">
      <c r="B69" s="873" t="s">
        <v>2754</v>
      </c>
      <c r="D69" s="870" t="e">
        <f>D68/#REF!-1</f>
        <v>#REF!</v>
      </c>
      <c r="E69" s="870">
        <f>E68/D68-1</f>
        <v>14.833333333333334</v>
      </c>
      <c r="F69" s="870">
        <f>F68/E68-1</f>
        <v>-0.68421052631578949</v>
      </c>
      <c r="G69" s="870">
        <f t="shared" ref="G69" si="132">G68/F68-1</f>
        <v>-0.6</v>
      </c>
      <c r="H69" s="870">
        <f t="shared" ref="H69" si="133">H68/G68-1</f>
        <v>0.45833333333333326</v>
      </c>
      <c r="I69" s="870">
        <f t="shared" ref="I69" si="134">I68/H68-1</f>
        <v>0.4285714285714286</v>
      </c>
      <c r="J69" s="870">
        <f t="shared" ref="J69" si="135">J68/I68-1</f>
        <v>-9.9999999999999978E-2</v>
      </c>
      <c r="K69" s="871">
        <f t="shared" ref="K69" si="136">K68/J68-1</f>
        <v>0.11111111111111116</v>
      </c>
    </row>
    <row r="70" spans="2:51" x14ac:dyDescent="0.3">
      <c r="B70" s="845" t="s">
        <v>2755</v>
      </c>
      <c r="D70" s="876">
        <v>17300000</v>
      </c>
      <c r="E70" s="876">
        <v>66381158.5</v>
      </c>
      <c r="F70" s="876">
        <v>27438458.666666668</v>
      </c>
      <c r="G70" s="876">
        <f>'사업계획(매출 확정본)'!AI36</f>
        <v>81000000</v>
      </c>
      <c r="H70" s="876">
        <f>'사업계획(매출 확정본)'!AJ36</f>
        <v>79557142.857142851</v>
      </c>
      <c r="I70" s="876">
        <f>'사업계획(매출 확정본)'!AK36</f>
        <v>82810000</v>
      </c>
      <c r="J70" s="876">
        <f>'사업계획(매출 확정본)'!AL36</f>
        <v>79666666.666666672</v>
      </c>
      <c r="K70" s="884">
        <f>'사업계획(매출 확정본)'!AM36</f>
        <v>80700000</v>
      </c>
      <c r="AY70" s="880"/>
    </row>
    <row r="71" spans="2:51" x14ac:dyDescent="0.3">
      <c r="B71" s="873" t="s">
        <v>2754</v>
      </c>
      <c r="D71" s="870" t="e">
        <f>D70/#REF!-1</f>
        <v>#REF!</v>
      </c>
      <c r="E71" s="870">
        <f>E70/D70-1</f>
        <v>2.8370611849710983</v>
      </c>
      <c r="F71" s="870">
        <f>F70/E70-1</f>
        <v>-0.58665291045400081</v>
      </c>
      <c r="G71" s="870">
        <f t="shared" ref="G71" si="137">G70/F70-1</f>
        <v>1.9520608640601966</v>
      </c>
      <c r="H71" s="870">
        <f t="shared" ref="H71" si="138">H70/G70-1</f>
        <v>-1.781305114638454E-2</v>
      </c>
      <c r="I71" s="870">
        <f t="shared" ref="I71" si="139">I70/H70-1</f>
        <v>4.0887053330939116E-2</v>
      </c>
      <c r="J71" s="870">
        <f t="shared" ref="J71" si="140">J70/I70-1</f>
        <v>-3.7958378617719224E-2</v>
      </c>
      <c r="K71" s="871">
        <f t="shared" ref="K71" si="141">K70/J70-1</f>
        <v>1.2970711297071169E-2</v>
      </c>
    </row>
    <row r="72" spans="2:51" x14ac:dyDescent="0.3">
      <c r="B72" s="844" t="s">
        <v>2759</v>
      </c>
      <c r="D72" s="123">
        <f>IFERROR(D74*D76,0)</f>
        <v>0</v>
      </c>
      <c r="E72" s="123">
        <f t="shared" ref="E72:J72" si="142">IFERROR(E74*E76,0)</f>
        <v>0</v>
      </c>
      <c r="F72" s="123">
        <f t="shared" si="142"/>
        <v>54627273</v>
      </c>
      <c r="G72" s="123">
        <f t="shared" si="142"/>
        <v>4590000000</v>
      </c>
      <c r="H72" s="123">
        <f t="shared" si="142"/>
        <v>5769500000</v>
      </c>
      <c r="I72" s="123">
        <f t="shared" si="142"/>
        <v>7538500000.000001</v>
      </c>
      <c r="J72" s="123">
        <f t="shared" si="142"/>
        <v>9027000000</v>
      </c>
      <c r="K72" s="236">
        <f t="shared" ref="K72" si="143">K74*K76</f>
        <v>9977000000</v>
      </c>
    </row>
    <row r="73" spans="2:51" x14ac:dyDescent="0.3">
      <c r="B73" s="873" t="s">
        <v>2754</v>
      </c>
      <c r="D73" s="870" t="e">
        <f>D72/#REF!-1</f>
        <v>#REF!</v>
      </c>
      <c r="E73" s="870" t="e">
        <f>E72/D72-1</f>
        <v>#DIV/0!</v>
      </c>
      <c r="F73" s="870" t="e">
        <f>F72/E72-1</f>
        <v>#DIV/0!</v>
      </c>
      <c r="G73" s="870">
        <f t="shared" ref="G73" si="144">G72/F72-1</f>
        <v>83.02396363442854</v>
      </c>
      <c r="H73" s="870">
        <f t="shared" ref="H73" si="145">H72/G72-1</f>
        <v>0.2569716775599129</v>
      </c>
      <c r="I73" s="870">
        <f t="shared" ref="I73" si="146">I72/H72-1</f>
        <v>0.30661235808995602</v>
      </c>
      <c r="J73" s="870">
        <f t="shared" ref="J73" si="147">J72/I72-1</f>
        <v>0.19745307421900904</v>
      </c>
      <c r="K73" s="871">
        <f t="shared" ref="K73" si="148">K72/J72-1</f>
        <v>0.10523983604741338</v>
      </c>
    </row>
    <row r="74" spans="2:51" x14ac:dyDescent="0.3">
      <c r="B74" s="845" t="s">
        <v>2758</v>
      </c>
      <c r="D74" s="876">
        <v>0</v>
      </c>
      <c r="E74" s="876">
        <v>0</v>
      </c>
      <c r="F74" s="876">
        <v>2</v>
      </c>
      <c r="G74" s="847">
        <f>'사업계획(매출 확정본)'!AI41</f>
        <v>289</v>
      </c>
      <c r="H74" s="847">
        <f>'사업계획(매출 확정본)'!AJ41</f>
        <v>335</v>
      </c>
      <c r="I74" s="847">
        <f>'사업계획(매출 확정본)'!AK41</f>
        <v>405</v>
      </c>
      <c r="J74" s="847">
        <f>'사업계획(매출 확정본)'!AL41</f>
        <v>465</v>
      </c>
      <c r="K74" s="872">
        <f>'사업계획(매출 확정본)'!AM41</f>
        <v>485</v>
      </c>
    </row>
    <row r="75" spans="2:51" x14ac:dyDescent="0.3">
      <c r="B75" s="873" t="s">
        <v>2754</v>
      </c>
      <c r="D75" s="870" t="e">
        <f>D74/#REF!-1</f>
        <v>#REF!</v>
      </c>
      <c r="E75" s="870" t="e">
        <f>E74/D74-1</f>
        <v>#DIV/0!</v>
      </c>
      <c r="F75" s="870" t="e">
        <f>F74/E74-1</f>
        <v>#DIV/0!</v>
      </c>
      <c r="G75" s="870">
        <f t="shared" ref="G75" si="149">G74/F74-1</f>
        <v>143.5</v>
      </c>
      <c r="H75" s="870">
        <f t="shared" ref="H75" si="150">H74/G74-1</f>
        <v>0.15916955017301038</v>
      </c>
      <c r="I75" s="870">
        <f t="shared" ref="I75" si="151">I74/H74-1</f>
        <v>0.20895522388059695</v>
      </c>
      <c r="J75" s="870">
        <f t="shared" ref="J75" si="152">J74/I74-1</f>
        <v>0.14814814814814814</v>
      </c>
      <c r="K75" s="871">
        <f t="shared" ref="K75" si="153">K74/J74-1</f>
        <v>4.3010752688172005E-2</v>
      </c>
    </row>
    <row r="76" spans="2:51" x14ac:dyDescent="0.3">
      <c r="B76" s="845" t="s">
        <v>2755</v>
      </c>
      <c r="D76" s="876" t="e">
        <v>#DIV/0!</v>
      </c>
      <c r="E76" s="876" t="e">
        <v>#DIV/0!</v>
      </c>
      <c r="F76" s="876">
        <v>27313636.5</v>
      </c>
      <c r="G76" s="876">
        <f>'사업계획(매출 확정본)'!AI42</f>
        <v>15882352.94117647</v>
      </c>
      <c r="H76" s="876">
        <f>'사업계획(매출 확정본)'!AJ42</f>
        <v>17222388.059701491</v>
      </c>
      <c r="I76" s="876">
        <f>'사업계획(매출 확정본)'!AK42</f>
        <v>18613580.246913582</v>
      </c>
      <c r="J76" s="876">
        <f>'사업계획(매출 확정본)'!AL42</f>
        <v>19412903.225806452</v>
      </c>
      <c r="K76" s="884">
        <f>'사업계획(매출 확정본)'!AM42</f>
        <v>20571134.020618558</v>
      </c>
    </row>
    <row r="77" spans="2:51" x14ac:dyDescent="0.3">
      <c r="B77" s="873" t="s">
        <v>2748</v>
      </c>
      <c r="D77" s="870" t="e">
        <f>D76/#REF!-1</f>
        <v>#DIV/0!</v>
      </c>
      <c r="E77" s="870" t="e">
        <f>E76/D76-1</f>
        <v>#DIV/0!</v>
      </c>
      <c r="F77" s="870" t="e">
        <f>F76/E76-1</f>
        <v>#DIV/0!</v>
      </c>
      <c r="G77" s="870">
        <f t="shared" ref="G77" si="154">G76/F76-1</f>
        <v>-0.4185192828067229</v>
      </c>
      <c r="H77" s="870">
        <f t="shared" ref="H77" si="155">H76/G76-1</f>
        <v>8.4372581536760638E-2</v>
      </c>
      <c r="I77" s="870">
        <f t="shared" ref="I77" si="156">I76/H76-1</f>
        <v>8.0778123358358656E-2</v>
      </c>
      <c r="J77" s="870">
        <f t="shared" ref="J77" si="157">J76/I76-1</f>
        <v>4.2943000126233644E-2</v>
      </c>
      <c r="K77" s="871">
        <f t="shared" ref="K77" si="158">K76/J76-1</f>
        <v>5.9662935591849875E-2</v>
      </c>
    </row>
    <row r="78" spans="2:51" x14ac:dyDescent="0.3">
      <c r="B78" s="844" t="s">
        <v>2760</v>
      </c>
      <c r="D78" s="123">
        <f>D80*D82</f>
        <v>462526183</v>
      </c>
      <c r="E78" s="123">
        <f t="shared" ref="E78:K78" si="159">E80*E82</f>
        <v>407566366</v>
      </c>
      <c r="F78" s="123">
        <f t="shared" si="159"/>
        <v>580436367</v>
      </c>
      <c r="G78" s="123">
        <f t="shared" si="159"/>
        <v>2528000000</v>
      </c>
      <c r="H78" s="123">
        <f t="shared" si="159"/>
        <v>4295000000</v>
      </c>
      <c r="I78" s="123">
        <f t="shared" si="159"/>
        <v>6151500000</v>
      </c>
      <c r="J78" s="123">
        <f t="shared" si="159"/>
        <v>8184000000</v>
      </c>
      <c r="K78" s="236">
        <f t="shared" si="159"/>
        <v>9454500000</v>
      </c>
    </row>
    <row r="79" spans="2:51" x14ac:dyDescent="0.3">
      <c r="B79" s="873" t="s">
        <v>2754</v>
      </c>
      <c r="D79" s="870" t="e">
        <f>D78/#REF!-1</f>
        <v>#REF!</v>
      </c>
      <c r="E79" s="870">
        <f>E78/D78-1</f>
        <v>-0.11882530983116257</v>
      </c>
      <c r="F79" s="870">
        <f>F78/E78-1</f>
        <v>0.42415178341777104</v>
      </c>
      <c r="G79" s="870">
        <f t="shared" ref="G79" si="160">G78/F78-1</f>
        <v>3.3553439166226466</v>
      </c>
      <c r="H79" s="870">
        <f t="shared" ref="H79" si="161">H78/G78-1</f>
        <v>0.69897151898734178</v>
      </c>
      <c r="I79" s="870">
        <f t="shared" ref="I79" si="162">I78/H78-1</f>
        <v>0.43224679860302673</v>
      </c>
      <c r="J79" s="870">
        <f t="shared" ref="J79" si="163">J78/I78-1</f>
        <v>0.33040721775176785</v>
      </c>
      <c r="K79" s="871">
        <f t="shared" ref="K79" si="164">K78/J78-1</f>
        <v>0.155241935483871</v>
      </c>
    </row>
    <row r="80" spans="2:51" x14ac:dyDescent="0.3">
      <c r="B80" s="845" t="s">
        <v>2758</v>
      </c>
      <c r="D80" s="123">
        <v>7</v>
      </c>
      <c r="E80" s="123">
        <v>4</v>
      </c>
      <c r="F80" s="123">
        <v>9</v>
      </c>
      <c r="G80" s="123">
        <f>'사업계획(매출 확정본)'!AI38</f>
        <v>24</v>
      </c>
      <c r="H80" s="123">
        <f>'사업계획(매출 확정본)'!AJ38</f>
        <v>40</v>
      </c>
      <c r="I80" s="123">
        <f>'사업계획(매출 확정본)'!AK38</f>
        <v>55</v>
      </c>
      <c r="J80" s="123">
        <f>'사업계획(매출 확정본)'!AL38</f>
        <v>70</v>
      </c>
      <c r="K80" s="236">
        <f>'사업계획(매출 확정본)'!AM38</f>
        <v>77</v>
      </c>
    </row>
    <row r="81" spans="2:11" x14ac:dyDescent="0.3">
      <c r="B81" s="873" t="s">
        <v>2764</v>
      </c>
      <c r="D81" s="870" t="e">
        <f>D80/#REF!-1</f>
        <v>#REF!</v>
      </c>
      <c r="E81" s="870">
        <f>E80/D80-1</f>
        <v>-0.4285714285714286</v>
      </c>
      <c r="F81" s="870">
        <f>F80/E80-1</f>
        <v>1.25</v>
      </c>
      <c r="G81" s="870">
        <f t="shared" ref="G81:J81" si="165">G80/F80-1</f>
        <v>1.6666666666666665</v>
      </c>
      <c r="H81" s="870">
        <f t="shared" si="165"/>
        <v>0.66666666666666674</v>
      </c>
      <c r="I81" s="870">
        <f t="shared" si="165"/>
        <v>0.375</v>
      </c>
      <c r="J81" s="870">
        <f t="shared" si="165"/>
        <v>0.27272727272727271</v>
      </c>
      <c r="K81" s="872"/>
    </row>
    <row r="82" spans="2:11" x14ac:dyDescent="0.3">
      <c r="B82" s="845" t="s">
        <v>2765</v>
      </c>
      <c r="D82" s="876">
        <v>66075169</v>
      </c>
      <c r="E82" s="876">
        <v>101891591.5</v>
      </c>
      <c r="F82" s="876">
        <v>64492929.666666664</v>
      </c>
      <c r="G82" s="876">
        <f>'사업계획(매출 확정본)'!AI39</f>
        <v>105333333.33333333</v>
      </c>
      <c r="H82" s="876">
        <f>'사업계획(매출 확정본)'!AJ39</f>
        <v>107375000</v>
      </c>
      <c r="I82" s="876">
        <f>'사업계획(매출 확정본)'!AK39</f>
        <v>111845454.54545455</v>
      </c>
      <c r="J82" s="876">
        <f>'사업계획(매출 확정본)'!AL39</f>
        <v>116914285.71428572</v>
      </c>
      <c r="K82" s="884">
        <f>'사업계획(매출 확정본)'!AM39</f>
        <v>122785714.28571428</v>
      </c>
    </row>
    <row r="83" spans="2:11" x14ac:dyDescent="0.3">
      <c r="B83" s="873" t="s">
        <v>2748</v>
      </c>
      <c r="D83" s="870" t="e">
        <f>D82/#REF!-1</f>
        <v>#REF!</v>
      </c>
      <c r="E83" s="870">
        <f>E82/D82-1</f>
        <v>0.54205570779546552</v>
      </c>
      <c r="F83" s="870">
        <f>F82/E82-1</f>
        <v>-0.36704365181432397</v>
      </c>
      <c r="G83" s="870">
        <f t="shared" ref="G83" si="166">G82/F82-1</f>
        <v>0.6332539687334926</v>
      </c>
      <c r="H83" s="870">
        <f t="shared" ref="H83" si="167">H82/G82-1</f>
        <v>1.9382911392405111E-2</v>
      </c>
      <c r="I83" s="870">
        <f t="shared" ref="I83" si="168">I82/H82-1</f>
        <v>4.1634035347655862E-2</v>
      </c>
      <c r="J83" s="870">
        <f t="shared" ref="J83" si="169">J82/I82-1</f>
        <v>4.5319956804960482E-2</v>
      </c>
      <c r="K83" s="871">
        <f t="shared" ref="K83" si="170">K82/J82-1</f>
        <v>5.0219941348973673E-2</v>
      </c>
    </row>
    <row r="84" spans="2:11" x14ac:dyDescent="0.3">
      <c r="B84" s="844" t="s">
        <v>2766</v>
      </c>
      <c r="D84" s="123">
        <f>IFERROR(D86*D88,0)</f>
        <v>0</v>
      </c>
      <c r="E84" s="123">
        <f t="shared" ref="E84:J84" si="171">IFERROR(E86*E88,0)</f>
        <v>0</v>
      </c>
      <c r="F84" s="123">
        <f t="shared" si="171"/>
        <v>0</v>
      </c>
      <c r="G84" s="123">
        <f t="shared" si="171"/>
        <v>0</v>
      </c>
      <c r="H84" s="123">
        <f t="shared" si="171"/>
        <v>0</v>
      </c>
      <c r="I84" s="123">
        <f t="shared" si="171"/>
        <v>0</v>
      </c>
      <c r="J84" s="123">
        <f t="shared" si="171"/>
        <v>0</v>
      </c>
      <c r="K84" s="236">
        <f t="shared" ref="K84" si="172">K86*K88</f>
        <v>0</v>
      </c>
    </row>
    <row r="85" spans="2:11" x14ac:dyDescent="0.3">
      <c r="B85" s="873" t="s">
        <v>2754</v>
      </c>
      <c r="D85" s="870" t="e">
        <f>D84/#REF!-1</f>
        <v>#REF!</v>
      </c>
      <c r="E85" s="870" t="e">
        <f>E84/D84-1</f>
        <v>#DIV/0!</v>
      </c>
      <c r="F85" s="870" t="e">
        <f>F84/E84-1</f>
        <v>#DIV/0!</v>
      </c>
      <c r="G85" s="870" t="e">
        <f t="shared" ref="G85" si="173">G84/F84-1</f>
        <v>#DIV/0!</v>
      </c>
      <c r="H85" s="870" t="e">
        <f t="shared" ref="H85" si="174">H84/G84-1</f>
        <v>#DIV/0!</v>
      </c>
      <c r="I85" s="870" t="e">
        <f t="shared" ref="I85" si="175">I84/H84-1</f>
        <v>#DIV/0!</v>
      </c>
      <c r="J85" s="870" t="e">
        <f t="shared" ref="J85" si="176">J84/I84-1</f>
        <v>#DIV/0!</v>
      </c>
      <c r="K85" s="871" t="e">
        <f t="shared" ref="K85" si="177">K84/J84-1</f>
        <v>#DIV/0!</v>
      </c>
    </row>
    <row r="86" spans="2:11" x14ac:dyDescent="0.3">
      <c r="B86" s="845" t="s">
        <v>2758</v>
      </c>
      <c r="D86" s="123">
        <v>0</v>
      </c>
      <c r="E86" s="123">
        <v>0</v>
      </c>
      <c r="F86" s="123">
        <v>0</v>
      </c>
      <c r="G86" s="123">
        <f>'사업계획(매출 확정본)'!AI44</f>
        <v>0</v>
      </c>
      <c r="H86" s="123">
        <f>'사업계획(매출 확정본)'!AJ44</f>
        <v>0</v>
      </c>
      <c r="I86" s="123">
        <f>'사업계획(매출 확정본)'!AK44</f>
        <v>0</v>
      </c>
      <c r="J86" s="123">
        <f>'사업계획(매출 확정본)'!AL44</f>
        <v>0</v>
      </c>
      <c r="K86" s="236">
        <f>'사업계획(매출 확정본)'!AM44</f>
        <v>0</v>
      </c>
    </row>
    <row r="87" spans="2:11" x14ac:dyDescent="0.3">
      <c r="B87" s="873" t="s">
        <v>2748</v>
      </c>
      <c r="D87" s="870" t="e">
        <f>D86/#REF!-1</f>
        <v>#REF!</v>
      </c>
      <c r="E87" s="870" t="e">
        <f>E86/D86-1</f>
        <v>#DIV/0!</v>
      </c>
      <c r="F87" s="870" t="e">
        <f>F86/E86-1</f>
        <v>#DIV/0!</v>
      </c>
      <c r="G87" s="870" t="e">
        <f t="shared" ref="G87" si="178">G86/F86-1</f>
        <v>#DIV/0!</v>
      </c>
      <c r="H87" s="870" t="e">
        <f t="shared" ref="H87" si="179">H86/G86-1</f>
        <v>#DIV/0!</v>
      </c>
      <c r="I87" s="870" t="e">
        <f t="shared" ref="I87" si="180">I86/H86-1</f>
        <v>#DIV/0!</v>
      </c>
      <c r="J87" s="870" t="e">
        <f t="shared" ref="J87" si="181">J86/I86-1</f>
        <v>#DIV/0!</v>
      </c>
      <c r="K87" s="871" t="e">
        <f t="shared" ref="K87" si="182">K86/J86-1</f>
        <v>#DIV/0!</v>
      </c>
    </row>
    <row r="88" spans="2:11" x14ac:dyDescent="0.3">
      <c r="B88" s="845" t="s">
        <v>2755</v>
      </c>
      <c r="D88" s="876" t="e">
        <v>#DIV/0!</v>
      </c>
      <c r="E88" s="876" t="e">
        <v>#DIV/0!</v>
      </c>
      <c r="F88" s="876" t="e">
        <v>#DIV/0!</v>
      </c>
      <c r="G88" s="876" t="e">
        <f>'사업계획(매출 확정본)'!AI45</f>
        <v>#DIV/0!</v>
      </c>
      <c r="H88" s="876" t="e">
        <f>'사업계획(매출 확정본)'!AJ45</f>
        <v>#DIV/0!</v>
      </c>
      <c r="I88" s="876" t="e">
        <f>'사업계획(매출 확정본)'!AK45</f>
        <v>#DIV/0!</v>
      </c>
      <c r="J88" s="876" t="e">
        <f>'사업계획(매출 확정본)'!AL45</f>
        <v>#DIV/0!</v>
      </c>
      <c r="K88" s="872"/>
    </row>
    <row r="89" spans="2:11" x14ac:dyDescent="0.3">
      <c r="B89" s="873" t="s">
        <v>2748</v>
      </c>
      <c r="D89" s="870" t="e">
        <f>D88/#REF!-1</f>
        <v>#DIV/0!</v>
      </c>
      <c r="E89" s="870" t="e">
        <f>E88/D88-1</f>
        <v>#DIV/0!</v>
      </c>
      <c r="F89" s="870" t="e">
        <f>F88/E88-1</f>
        <v>#DIV/0!</v>
      </c>
      <c r="G89" s="870" t="e">
        <f t="shared" ref="G89" si="183">G88/F88-1</f>
        <v>#DIV/0!</v>
      </c>
      <c r="H89" s="870" t="e">
        <f t="shared" ref="H89" si="184">H88/G88-1</f>
        <v>#DIV/0!</v>
      </c>
      <c r="I89" s="870" t="e">
        <f t="shared" ref="I89" si="185">I88/H88-1</f>
        <v>#DIV/0!</v>
      </c>
      <c r="J89" s="870" t="e">
        <f t="shared" ref="J89" si="186">J88/I88-1</f>
        <v>#DIV/0!</v>
      </c>
      <c r="K89" s="871" t="e">
        <f t="shared" ref="K89" si="187">K88/J88-1</f>
        <v>#DIV/0!</v>
      </c>
    </row>
    <row r="90" spans="2:11" x14ac:dyDescent="0.3">
      <c r="B90" s="844" t="s">
        <v>2767</v>
      </c>
      <c r="D90" s="123">
        <f t="shared" ref="D90:F90" si="188">D92*D94</f>
        <v>152853363</v>
      </c>
      <c r="E90" s="123">
        <f>IFERROR(E92*E94,0)</f>
        <v>0</v>
      </c>
      <c r="F90" s="123">
        <f t="shared" si="188"/>
        <v>94500000</v>
      </c>
      <c r="G90" s="123">
        <f>IFERROR(G92*G94,0)</f>
        <v>0</v>
      </c>
      <c r="H90" s="123">
        <f t="shared" ref="H90:J90" si="189">IFERROR(H92*H94,0)</f>
        <v>0</v>
      </c>
      <c r="I90" s="123">
        <f t="shared" si="189"/>
        <v>0</v>
      </c>
      <c r="J90" s="123">
        <f t="shared" si="189"/>
        <v>0</v>
      </c>
      <c r="K90" s="236">
        <f t="shared" ref="K90" si="190">K92*K94</f>
        <v>0</v>
      </c>
    </row>
    <row r="91" spans="2:11" x14ac:dyDescent="0.3">
      <c r="B91" s="873" t="s">
        <v>2748</v>
      </c>
      <c r="D91" s="870" t="e">
        <f>D90/#REF!-1</f>
        <v>#REF!</v>
      </c>
      <c r="E91" s="870">
        <f>E90/D90-1</f>
        <v>-1</v>
      </c>
      <c r="F91" s="870" t="e">
        <f>F90/E90-1</f>
        <v>#DIV/0!</v>
      </c>
      <c r="G91" s="870">
        <f t="shared" ref="G91" si="191">G90/F90-1</f>
        <v>-1</v>
      </c>
      <c r="H91" s="870" t="e">
        <f t="shared" ref="H91" si="192">H90/G90-1</f>
        <v>#DIV/0!</v>
      </c>
      <c r="I91" s="870" t="e">
        <f t="shared" ref="I91" si="193">I90/H90-1</f>
        <v>#DIV/0!</v>
      </c>
      <c r="J91" s="870" t="e">
        <f t="shared" ref="J91" si="194">J90/I90-1</f>
        <v>#DIV/0!</v>
      </c>
      <c r="K91" s="871" t="e">
        <f t="shared" ref="K91" si="195">K90/J90-1</f>
        <v>#DIV/0!</v>
      </c>
    </row>
    <row r="92" spans="2:11" x14ac:dyDescent="0.3">
      <c r="B92" s="845" t="s">
        <v>2753</v>
      </c>
      <c r="D92" s="876">
        <v>8</v>
      </c>
      <c r="E92" s="876">
        <v>0</v>
      </c>
      <c r="F92" s="876">
        <v>4</v>
      </c>
      <c r="G92" s="847">
        <f>'사업계획(매출 확정본)'!AI47</f>
        <v>0</v>
      </c>
      <c r="H92" s="847">
        <f>'사업계획(매출 확정본)'!AJ47</f>
        <v>0</v>
      </c>
      <c r="I92" s="847">
        <f>'사업계획(매출 확정본)'!AK47</f>
        <v>0</v>
      </c>
      <c r="J92" s="847">
        <f>'사업계획(매출 확정본)'!AL47</f>
        <v>0</v>
      </c>
      <c r="K92" s="872">
        <f>'사업계획(매출 확정본)'!AM47</f>
        <v>0</v>
      </c>
    </row>
    <row r="93" spans="2:11" x14ac:dyDescent="0.3">
      <c r="B93" s="873" t="s">
        <v>2764</v>
      </c>
      <c r="D93" s="870" t="e">
        <f>D92/#REF!-1</f>
        <v>#REF!</v>
      </c>
      <c r="E93" s="870">
        <f>E92/D92-1</f>
        <v>-1</v>
      </c>
      <c r="F93" s="870" t="e">
        <f>F92/E92-1</f>
        <v>#DIV/0!</v>
      </c>
      <c r="G93" s="870">
        <f t="shared" ref="G93" si="196">G92/F92-1</f>
        <v>-1</v>
      </c>
      <c r="H93" s="870" t="e">
        <f t="shared" ref="H93" si="197">H92/G92-1</f>
        <v>#DIV/0!</v>
      </c>
      <c r="I93" s="870" t="e">
        <f t="shared" ref="I93" si="198">I92/H92-1</f>
        <v>#DIV/0!</v>
      </c>
      <c r="J93" s="870" t="e">
        <f t="shared" ref="J93" si="199">J92/I92-1</f>
        <v>#DIV/0!</v>
      </c>
      <c r="K93" s="871" t="e">
        <f t="shared" ref="K93" si="200">K92/J92-1</f>
        <v>#DIV/0!</v>
      </c>
    </row>
    <row r="94" spans="2:11" x14ac:dyDescent="0.3">
      <c r="B94" s="845" t="s">
        <v>2765</v>
      </c>
      <c r="D94" s="876">
        <v>19106670.375</v>
      </c>
      <c r="E94" s="876" t="e">
        <v>#DIV/0!</v>
      </c>
      <c r="F94" s="876">
        <v>23625000</v>
      </c>
      <c r="G94" s="876" t="e">
        <f>'사업계획(매출 확정본)'!AI48</f>
        <v>#DIV/0!</v>
      </c>
      <c r="H94" s="876" t="e">
        <f>'사업계획(매출 확정본)'!AJ48</f>
        <v>#DIV/0!</v>
      </c>
      <c r="I94" s="876" t="e">
        <f>'사업계획(매출 확정본)'!AK48</f>
        <v>#DIV/0!</v>
      </c>
      <c r="J94" s="876" t="e">
        <f>'사업계획(매출 확정본)'!AL48</f>
        <v>#DIV/0!</v>
      </c>
      <c r="K94" s="884">
        <f>IFERROR('사업계획(매출 확정본)'!AM48,0)</f>
        <v>0</v>
      </c>
    </row>
    <row r="95" spans="2:11" x14ac:dyDescent="0.3">
      <c r="B95" s="873" t="s">
        <v>2748</v>
      </c>
      <c r="D95" s="870" t="e">
        <f>D94/#REF!-1</f>
        <v>#REF!</v>
      </c>
      <c r="E95" s="870" t="e">
        <f>E94/D94-1</f>
        <v>#DIV/0!</v>
      </c>
      <c r="F95" s="870" t="e">
        <f>F94/E94-1</f>
        <v>#DIV/0!</v>
      </c>
      <c r="G95" s="870" t="e">
        <f t="shared" ref="G95" si="201">G94/F94-1</f>
        <v>#DIV/0!</v>
      </c>
      <c r="H95" s="870" t="e">
        <f t="shared" ref="H95" si="202">H94/G94-1</f>
        <v>#DIV/0!</v>
      </c>
      <c r="I95" s="870" t="e">
        <f t="shared" ref="I95" si="203">I94/H94-1</f>
        <v>#DIV/0!</v>
      </c>
      <c r="J95" s="870" t="e">
        <f t="shared" ref="J95" si="204">J94/I94-1</f>
        <v>#DIV/0!</v>
      </c>
      <c r="K95" s="871" t="e">
        <f t="shared" ref="K95" si="205">K94/J94-1</f>
        <v>#DIV/0!</v>
      </c>
    </row>
    <row r="96" spans="2:11" x14ac:dyDescent="0.3">
      <c r="B96" s="235"/>
      <c r="F96" s="847"/>
      <c r="G96" s="847"/>
      <c r="H96" s="847"/>
      <c r="I96" s="847"/>
      <c r="J96" s="847"/>
      <c r="K96" s="872"/>
    </row>
    <row r="97" spans="2:11" x14ac:dyDescent="0.3">
      <c r="B97" s="842" t="s">
        <v>2768</v>
      </c>
      <c r="C97" s="840"/>
      <c r="D97" s="841">
        <f t="shared" ref="D97" si="206">D101+D107+D113+D119+D125+D131</f>
        <v>18172158093</v>
      </c>
      <c r="E97" s="841">
        <f>E101+E107+E113+E119+E125+E131</f>
        <v>11452486819.545454</v>
      </c>
      <c r="F97" s="841">
        <f>F101+F107+F113+F119+F125+F131</f>
        <v>26083747363.545456</v>
      </c>
      <c r="G97" s="841">
        <f t="shared" ref="G97:K97" si="207">G101+G107+G113+G119+G125+G131</f>
        <v>41420000000</v>
      </c>
      <c r="H97" s="841">
        <f t="shared" si="207"/>
        <v>50014500000.000008</v>
      </c>
      <c r="I97" s="841">
        <f t="shared" si="207"/>
        <v>59321499999.999992</v>
      </c>
      <c r="J97" s="841">
        <f t="shared" si="207"/>
        <v>65377500000.000008</v>
      </c>
      <c r="K97" s="892">
        <f t="shared" si="207"/>
        <v>68774000000</v>
      </c>
    </row>
    <row r="98" spans="2:11" x14ac:dyDescent="0.3">
      <c r="B98" s="873" t="s">
        <v>2748</v>
      </c>
      <c r="D98" s="870" t="e">
        <f>D97/#REF!-1</f>
        <v>#REF!</v>
      </c>
      <c r="E98" s="870">
        <f>E97/D97-1</f>
        <v>-0.36977838510237238</v>
      </c>
      <c r="F98" s="870">
        <f>F97/E97-1</f>
        <v>1.2775618758215441</v>
      </c>
      <c r="G98" s="870">
        <f t="shared" ref="G98" si="208">G97/F97-1</f>
        <v>0.58796201415017646</v>
      </c>
      <c r="H98" s="870">
        <f t="shared" ref="H98" si="209">H97/G97-1</f>
        <v>0.20749637856108172</v>
      </c>
      <c r="I98" s="870">
        <f t="shared" ref="I98" si="210">I97/H97-1</f>
        <v>0.18608603504983523</v>
      </c>
      <c r="J98" s="870">
        <f t="shared" ref="J98" si="211">J97/I97-1</f>
        <v>0.10208777593284091</v>
      </c>
      <c r="K98" s="871">
        <f t="shared" ref="K98" si="212">K97/J97-1</f>
        <v>5.1952124201751326E-2</v>
      </c>
    </row>
    <row r="99" spans="2:11" x14ac:dyDescent="0.3">
      <c r="B99" s="874" t="s">
        <v>58</v>
      </c>
      <c r="D99" s="875">
        <f t="shared" ref="D99:J99" si="213">D97/D$6</f>
        <v>0.29325661477758214</v>
      </c>
      <c r="E99" s="875">
        <f t="shared" si="213"/>
        <v>0.1405416057962712</v>
      </c>
      <c r="F99" s="875">
        <f t="shared" si="213"/>
        <v>0.28249352462267113</v>
      </c>
      <c r="G99" s="875">
        <f t="shared" si="213"/>
        <v>0.27702776815709534</v>
      </c>
      <c r="H99" s="875">
        <f t="shared" si="213"/>
        <v>0.2614123393208897</v>
      </c>
      <c r="I99" s="875">
        <f t="shared" si="213"/>
        <v>0.24088033411290002</v>
      </c>
      <c r="J99" s="875">
        <f t="shared" si="213"/>
        <v>0.239933996327551</v>
      </c>
      <c r="K99" s="872"/>
    </row>
    <row r="100" spans="2:11" x14ac:dyDescent="0.3">
      <c r="B100" s="844"/>
      <c r="F100" s="123"/>
      <c r="G100" s="877"/>
      <c r="H100" s="877"/>
      <c r="I100" s="877"/>
      <c r="J100" s="877"/>
      <c r="K100" s="872"/>
    </row>
    <row r="101" spans="2:11" x14ac:dyDescent="0.3">
      <c r="B101" s="844" t="s">
        <v>2769</v>
      </c>
      <c r="D101" s="123">
        <f t="shared" ref="D101:K101" si="214">D103*D105</f>
        <v>15758238277.000002</v>
      </c>
      <c r="E101" s="123">
        <f t="shared" si="214"/>
        <v>8405540909</v>
      </c>
      <c r="F101" s="123">
        <f t="shared" si="214"/>
        <v>24091419998</v>
      </c>
      <c r="G101" s="123">
        <f t="shared" si="214"/>
        <v>41420000000</v>
      </c>
      <c r="H101" s="123">
        <f t="shared" si="214"/>
        <v>50014500000.000008</v>
      </c>
      <c r="I101" s="123">
        <f t="shared" si="214"/>
        <v>59321499999.999992</v>
      </c>
      <c r="J101" s="123">
        <f t="shared" si="214"/>
        <v>65377500000.000008</v>
      </c>
      <c r="K101" s="236">
        <f t="shared" si="214"/>
        <v>68774000000</v>
      </c>
    </row>
    <row r="102" spans="2:11" x14ac:dyDescent="0.3">
      <c r="B102" s="873" t="s">
        <v>2748</v>
      </c>
      <c r="D102" s="870" t="e">
        <f>D101/#REF!-1</f>
        <v>#REF!</v>
      </c>
      <c r="E102" s="870">
        <f>E101/D101-1</f>
        <v>-0.4665938691085576</v>
      </c>
      <c r="F102" s="870">
        <f>F101/E101-1</f>
        <v>1.8661355954147791</v>
      </c>
      <c r="G102" s="870">
        <f t="shared" ref="G102" si="215">G101/F101-1</f>
        <v>0.71928429305697095</v>
      </c>
      <c r="H102" s="870">
        <f t="shared" ref="H102" si="216">H101/G101-1</f>
        <v>0.20749637856108172</v>
      </c>
      <c r="I102" s="870">
        <f t="shared" ref="I102" si="217">I101/H101-1</f>
        <v>0.18608603504983523</v>
      </c>
      <c r="J102" s="870">
        <f t="shared" ref="J102" si="218">J101/I101-1</f>
        <v>0.10208777593284091</v>
      </c>
      <c r="K102" s="871">
        <f t="shared" ref="K102" si="219">K101/J101-1</f>
        <v>5.1952124201751326E-2</v>
      </c>
    </row>
    <row r="103" spans="2:11" x14ac:dyDescent="0.3">
      <c r="B103" s="845" t="s">
        <v>2753</v>
      </c>
      <c r="D103" s="876">
        <v>108</v>
      </c>
      <c r="E103" s="876">
        <v>50</v>
      </c>
      <c r="F103" s="876">
        <v>155</v>
      </c>
      <c r="G103" s="876">
        <f>'사업계획(매출 확정본)'!AI50</f>
        <v>260</v>
      </c>
      <c r="H103" s="876">
        <f>'사업계획(매출 확정본)'!AJ50</f>
        <v>305</v>
      </c>
      <c r="I103" s="876">
        <f>'사업계획(매출 확정본)'!AK50</f>
        <v>345</v>
      </c>
      <c r="J103" s="876">
        <f>'사업계획(매출 확정본)'!AL50</f>
        <v>365</v>
      </c>
      <c r="K103" s="884">
        <f>'사업계획(매출 확정본)'!AM50</f>
        <v>370</v>
      </c>
    </row>
    <row r="104" spans="2:11" x14ac:dyDescent="0.3">
      <c r="B104" s="873" t="s">
        <v>2764</v>
      </c>
      <c r="D104" s="870" t="e">
        <f>D103/#REF!-1</f>
        <v>#REF!</v>
      </c>
      <c r="E104" s="870">
        <f>E103/D103-1</f>
        <v>-0.53703703703703698</v>
      </c>
      <c r="F104" s="870">
        <f>F103/E103-1</f>
        <v>2.1</v>
      </c>
      <c r="G104" s="870">
        <f t="shared" ref="G104:J104" si="220">G103/F103-1</f>
        <v>0.67741935483870974</v>
      </c>
      <c r="H104" s="870">
        <f t="shared" si="220"/>
        <v>0.17307692307692313</v>
      </c>
      <c r="I104" s="870">
        <f t="shared" si="220"/>
        <v>0.13114754098360648</v>
      </c>
      <c r="J104" s="870">
        <f t="shared" si="220"/>
        <v>5.7971014492753659E-2</v>
      </c>
      <c r="K104" s="872"/>
    </row>
    <row r="105" spans="2:11" x14ac:dyDescent="0.3">
      <c r="B105" s="845" t="s">
        <v>2765</v>
      </c>
      <c r="D105" s="876">
        <v>145909613.67592594</v>
      </c>
      <c r="E105" s="876">
        <v>168110818.18000001</v>
      </c>
      <c r="F105" s="876">
        <v>155428516.11612904</v>
      </c>
      <c r="G105" s="876">
        <f>'사업계획(매출 확정본)'!AI51</f>
        <v>159307692.30769232</v>
      </c>
      <c r="H105" s="876">
        <f>'사업계획(매출 확정본)'!AJ51</f>
        <v>163981967.21311477</v>
      </c>
      <c r="I105" s="876">
        <f>'사업계획(매출 확정본)'!AK51</f>
        <v>171946376.81159419</v>
      </c>
      <c r="J105" s="876">
        <f>'사업계획(매출 확정본)'!AL51</f>
        <v>179116438.3561644</v>
      </c>
      <c r="K105" s="884">
        <f>'사업계획(매출 확정본)'!AM51</f>
        <v>185875675.67567569</v>
      </c>
    </row>
    <row r="106" spans="2:11" x14ac:dyDescent="0.3">
      <c r="B106" s="873" t="s">
        <v>2748</v>
      </c>
      <c r="D106" s="870" t="e">
        <f>D105/#REF!-1</f>
        <v>#REF!</v>
      </c>
      <c r="E106" s="870">
        <f>E105/D105-1</f>
        <v>0.15215724272551556</v>
      </c>
      <c r="F106" s="870">
        <f>F105/E105-1</f>
        <v>-7.5440130511361558E-2</v>
      </c>
      <c r="G106" s="870">
        <f t="shared" ref="G106" si="221">G105/F105-1</f>
        <v>2.495794393780959E-2</v>
      </c>
      <c r="H106" s="870">
        <f t="shared" ref="H106" si="222">H105/G105-1</f>
        <v>2.9341175166823774E-2</v>
      </c>
      <c r="I106" s="870">
        <f t="shared" ref="I106" si="223">I105/H105-1</f>
        <v>4.8568813594781934E-2</v>
      </c>
      <c r="J106" s="870">
        <f t="shared" ref="J106" si="224">J105/I105-1</f>
        <v>4.169940464884947E-2</v>
      </c>
      <c r="K106" s="871">
        <f t="shared" ref="K106" si="225">K105/J105-1</f>
        <v>3.7736554955781765E-2</v>
      </c>
    </row>
    <row r="107" spans="2:11" x14ac:dyDescent="0.3">
      <c r="B107" s="844" t="s">
        <v>2770</v>
      </c>
      <c r="D107" s="123">
        <f t="shared" ref="D107" si="226">D109*D111</f>
        <v>80616364</v>
      </c>
      <c r="E107" s="123">
        <f>IFERROR(E109*E111,0)</f>
        <v>0</v>
      </c>
      <c r="F107" s="123">
        <f t="shared" ref="F107" si="227">IFERROR(F109*F111,0)</f>
        <v>0</v>
      </c>
      <c r="G107" s="123">
        <f>IFERROR(G109*G111,0)</f>
        <v>0</v>
      </c>
      <c r="H107" s="123">
        <f t="shared" ref="H107:J107" si="228">IFERROR(H109*H111,0)</f>
        <v>0</v>
      </c>
      <c r="I107" s="123">
        <f t="shared" si="228"/>
        <v>0</v>
      </c>
      <c r="J107" s="123">
        <f t="shared" si="228"/>
        <v>0</v>
      </c>
      <c r="K107" s="236">
        <f t="shared" ref="K107" si="229">K109*K111</f>
        <v>0</v>
      </c>
    </row>
    <row r="108" spans="2:11" x14ac:dyDescent="0.3">
      <c r="B108" s="873" t="s">
        <v>2748</v>
      </c>
      <c r="D108" s="870" t="e">
        <f>D107/#REF!-1</f>
        <v>#REF!</v>
      </c>
      <c r="E108" s="870">
        <f>E107/D107-1</f>
        <v>-1</v>
      </c>
      <c r="F108" s="870" t="e">
        <f>F107/E107-1</f>
        <v>#DIV/0!</v>
      </c>
      <c r="G108" s="870" t="e">
        <f t="shared" ref="G108" si="230">G107/F107-1</f>
        <v>#DIV/0!</v>
      </c>
      <c r="H108" s="870" t="e">
        <f t="shared" ref="H108" si="231">H107/G107-1</f>
        <v>#DIV/0!</v>
      </c>
      <c r="I108" s="870" t="e">
        <f t="shared" ref="I108" si="232">I107/H107-1</f>
        <v>#DIV/0!</v>
      </c>
      <c r="J108" s="870" t="e">
        <f t="shared" ref="J108" si="233">J107/I107-1</f>
        <v>#DIV/0!</v>
      </c>
      <c r="K108" s="871" t="e">
        <f t="shared" ref="K108" si="234">K107/J107-1</f>
        <v>#DIV/0!</v>
      </c>
    </row>
    <row r="109" spans="2:11" x14ac:dyDescent="0.3">
      <c r="B109" s="845" t="s">
        <v>3233</v>
      </c>
      <c r="D109" s="876">
        <v>6</v>
      </c>
      <c r="E109" s="876">
        <v>0</v>
      </c>
      <c r="F109" s="876">
        <v>0</v>
      </c>
      <c r="G109" s="847">
        <f>'사업계획(매출 확정본)'!AI53</f>
        <v>0</v>
      </c>
      <c r="H109" s="847">
        <f>'사업계획(매출 확정본)'!AJ53</f>
        <v>0</v>
      </c>
      <c r="I109" s="847">
        <f>'사업계획(매출 확정본)'!AK53</f>
        <v>0</v>
      </c>
      <c r="J109" s="847">
        <f>'사업계획(매출 확정본)'!AL53</f>
        <v>0</v>
      </c>
      <c r="K109" s="872">
        <f>'사업계획(매출 확정본)'!AM53</f>
        <v>0</v>
      </c>
    </row>
    <row r="110" spans="2:11" x14ac:dyDescent="0.3">
      <c r="B110" s="873" t="s">
        <v>2764</v>
      </c>
      <c r="D110" s="870" t="e">
        <f>D109/#REF!-1</f>
        <v>#REF!</v>
      </c>
      <c r="E110" s="870">
        <f>E109/D109-1</f>
        <v>-1</v>
      </c>
      <c r="F110" s="870" t="e">
        <f>F109/E109-1</f>
        <v>#DIV/0!</v>
      </c>
      <c r="G110" s="870" t="e">
        <f t="shared" ref="G110" si="235">G109/F109-1</f>
        <v>#DIV/0!</v>
      </c>
      <c r="H110" s="870" t="e">
        <f t="shared" ref="H110" si="236">H109/G109-1</f>
        <v>#DIV/0!</v>
      </c>
      <c r="I110" s="870" t="e">
        <f t="shared" ref="I110" si="237">I109/H109-1</f>
        <v>#DIV/0!</v>
      </c>
      <c r="J110" s="870" t="e">
        <f t="shared" ref="J110" si="238">J109/I109-1</f>
        <v>#DIV/0!</v>
      </c>
      <c r="K110" s="871" t="e">
        <f t="shared" ref="K110" si="239">K109/J109-1</f>
        <v>#DIV/0!</v>
      </c>
    </row>
    <row r="111" spans="2:11" x14ac:dyDescent="0.3">
      <c r="B111" s="845" t="s">
        <v>2765</v>
      </c>
      <c r="D111" s="876">
        <v>13436060.666666666</v>
      </c>
      <c r="E111" s="876" t="e">
        <v>#DIV/0!</v>
      </c>
      <c r="F111" s="876" t="e">
        <v>#DIV/0!</v>
      </c>
      <c r="G111" s="876" t="e">
        <f>'사업계획(매출 확정본)'!AI54</f>
        <v>#DIV/0!</v>
      </c>
      <c r="H111" s="876" t="e">
        <f>'사업계획(매출 확정본)'!AJ54</f>
        <v>#DIV/0!</v>
      </c>
      <c r="I111" s="876" t="e">
        <f>'사업계획(매출 확정본)'!AK54</f>
        <v>#DIV/0!</v>
      </c>
      <c r="J111" s="876" t="e">
        <f>'사업계획(매출 확정본)'!AL54</f>
        <v>#DIV/0!</v>
      </c>
      <c r="K111" s="884">
        <f>IFERROR('사업계획(매출 확정본)'!AM54,0)</f>
        <v>0</v>
      </c>
    </row>
    <row r="112" spans="2:11" x14ac:dyDescent="0.3">
      <c r="B112" s="873" t="s">
        <v>2748</v>
      </c>
      <c r="D112" s="870" t="e">
        <f>D111/#REF!-1</f>
        <v>#REF!</v>
      </c>
      <c r="E112" s="870" t="e">
        <f>E111/D111-1</f>
        <v>#DIV/0!</v>
      </c>
      <c r="F112" s="870" t="e">
        <f>F111/E111-1</f>
        <v>#DIV/0!</v>
      </c>
      <c r="G112" s="870" t="e">
        <f t="shared" ref="G112:J112" si="240">G111/F111-1</f>
        <v>#DIV/0!</v>
      </c>
      <c r="H112" s="870" t="e">
        <f t="shared" si="240"/>
        <v>#DIV/0!</v>
      </c>
      <c r="I112" s="870" t="e">
        <f t="shared" si="240"/>
        <v>#DIV/0!</v>
      </c>
      <c r="J112" s="870" t="e">
        <f t="shared" si="240"/>
        <v>#DIV/0!</v>
      </c>
      <c r="K112" s="872"/>
    </row>
    <row r="113" spans="2:11" x14ac:dyDescent="0.3">
      <c r="B113" s="844" t="s">
        <v>2771</v>
      </c>
      <c r="D113" s="123">
        <f t="shared" ref="D113:K113" si="241">D115*D117</f>
        <v>2312803452</v>
      </c>
      <c r="E113" s="123">
        <f t="shared" si="241"/>
        <v>3046945910.5454545</v>
      </c>
      <c r="F113" s="123">
        <f t="shared" si="241"/>
        <v>1992327365.5454545</v>
      </c>
      <c r="G113" s="123">
        <f t="shared" si="241"/>
        <v>0</v>
      </c>
      <c r="H113" s="123">
        <f t="shared" si="241"/>
        <v>0</v>
      </c>
      <c r="I113" s="123">
        <f t="shared" si="241"/>
        <v>0</v>
      </c>
      <c r="J113" s="123">
        <f t="shared" si="241"/>
        <v>0</v>
      </c>
      <c r="K113" s="236">
        <f t="shared" si="241"/>
        <v>0</v>
      </c>
    </row>
    <row r="114" spans="2:11" x14ac:dyDescent="0.3">
      <c r="B114" s="873" t="s">
        <v>2748</v>
      </c>
      <c r="D114" s="870" t="e">
        <f>D113/#REF!-1</f>
        <v>#REF!</v>
      </c>
      <c r="E114" s="870">
        <f>E113/D113-1</f>
        <v>0.31742535575628095</v>
      </c>
      <c r="F114" s="870">
        <f>F113/E113-1</f>
        <v>-0.34612315937410443</v>
      </c>
      <c r="G114" s="870">
        <f t="shared" ref="G114" si="242">G113/F113-1</f>
        <v>-1</v>
      </c>
      <c r="H114" s="870" t="e">
        <f t="shared" ref="H114" si="243">H113/G113-1</f>
        <v>#DIV/0!</v>
      </c>
      <c r="I114" s="870" t="e">
        <f t="shared" ref="I114" si="244">I113/H113-1</f>
        <v>#DIV/0!</v>
      </c>
      <c r="J114" s="870" t="e">
        <f t="shared" ref="J114" si="245">J113/I113-1</f>
        <v>#DIV/0!</v>
      </c>
      <c r="K114" s="871" t="e">
        <f t="shared" ref="K114" si="246">K113/J113-1</f>
        <v>#DIV/0!</v>
      </c>
    </row>
    <row r="115" spans="2:11" x14ac:dyDescent="0.3">
      <c r="B115" s="845" t="s">
        <v>2753</v>
      </c>
      <c r="D115" s="123">
        <v>114</v>
      </c>
      <c r="E115" s="123">
        <v>138</v>
      </c>
      <c r="F115" s="123">
        <v>116</v>
      </c>
      <c r="G115" s="123">
        <f>'사업계획(매출 확정본)'!AI59</f>
        <v>0</v>
      </c>
      <c r="H115" s="123">
        <f>'사업계획(매출 확정본)'!AJ59</f>
        <v>0</v>
      </c>
      <c r="I115" s="123">
        <f>'사업계획(매출 확정본)'!AK59</f>
        <v>0</v>
      </c>
      <c r="J115" s="123">
        <f>'사업계획(매출 확정본)'!AL59</f>
        <v>0</v>
      </c>
      <c r="K115" s="236">
        <f>'사업계획(매출 확정본)'!AM59</f>
        <v>0</v>
      </c>
    </row>
    <row r="116" spans="2:11" x14ac:dyDescent="0.3">
      <c r="B116" s="873" t="s">
        <v>2764</v>
      </c>
      <c r="D116" s="870" t="e">
        <f>D115/#REF!-1</f>
        <v>#REF!</v>
      </c>
      <c r="E116" s="870">
        <f>E115/D115-1</f>
        <v>0.21052631578947367</v>
      </c>
      <c r="F116" s="870">
        <f>F115/E115-1</f>
        <v>-0.15942028985507251</v>
      </c>
      <c r="G116" s="870">
        <f t="shared" ref="G116" si="247">G115/F115-1</f>
        <v>-1</v>
      </c>
      <c r="H116" s="870" t="e">
        <f t="shared" ref="H116" si="248">H115/G115-1</f>
        <v>#DIV/0!</v>
      </c>
      <c r="I116" s="870" t="e">
        <f t="shared" ref="I116" si="249">I115/H115-1</f>
        <v>#DIV/0!</v>
      </c>
      <c r="J116" s="870" t="e">
        <f t="shared" ref="J116" si="250">J115/I115-1</f>
        <v>#DIV/0!</v>
      </c>
      <c r="K116" s="871" t="e">
        <f t="shared" ref="K116" si="251">K115/J115-1</f>
        <v>#DIV/0!</v>
      </c>
    </row>
    <row r="117" spans="2:11" x14ac:dyDescent="0.3">
      <c r="B117" s="845" t="s">
        <v>2765</v>
      </c>
      <c r="D117" s="876">
        <v>20287749.578947369</v>
      </c>
      <c r="E117" s="876">
        <v>22079318.192358367</v>
      </c>
      <c r="F117" s="876">
        <v>17175235.909874607</v>
      </c>
      <c r="G117" s="876">
        <f>IFERROR('사업계획(매출 확정본)'!AI60,)</f>
        <v>0</v>
      </c>
      <c r="H117" s="876">
        <f>IFERROR('사업계획(매출 확정본)'!AJ60,)</f>
        <v>0</v>
      </c>
      <c r="I117" s="876">
        <f>IFERROR('사업계획(매출 확정본)'!AK60,)</f>
        <v>0</v>
      </c>
      <c r="J117" s="876">
        <f>IFERROR('사업계획(매출 확정본)'!AL60,)</f>
        <v>0</v>
      </c>
      <c r="K117" s="884">
        <f>IFERROR('사업계획(매출 확정본)'!AM60,)</f>
        <v>0</v>
      </c>
    </row>
    <row r="118" spans="2:11" x14ac:dyDescent="0.3">
      <c r="B118" s="873" t="s">
        <v>2748</v>
      </c>
      <c r="D118" s="870" t="e">
        <f>D117/#REF!-1</f>
        <v>#REF!</v>
      </c>
      <c r="E118" s="870">
        <f>E117/D117-1</f>
        <v>8.8307902581275632E-2</v>
      </c>
      <c r="F118" s="870">
        <f>F117/E117-1</f>
        <v>-0.22211203442781391</v>
      </c>
      <c r="G118" s="870">
        <f t="shared" ref="G118" si="252">G117/F117-1</f>
        <v>-1</v>
      </c>
      <c r="H118" s="870" t="e">
        <f t="shared" ref="H118" si="253">H117/G117-1</f>
        <v>#DIV/0!</v>
      </c>
      <c r="I118" s="870" t="e">
        <f t="shared" ref="I118" si="254">I117/H117-1</f>
        <v>#DIV/0!</v>
      </c>
      <c r="J118" s="870" t="e">
        <f t="shared" ref="J118" si="255">J117/I117-1</f>
        <v>#DIV/0!</v>
      </c>
      <c r="K118" s="871" t="e">
        <f t="shared" ref="K118" si="256">K117/J117-1</f>
        <v>#DIV/0!</v>
      </c>
    </row>
    <row r="119" spans="2:11" x14ac:dyDescent="0.3">
      <c r="B119" s="844" t="s">
        <v>2772</v>
      </c>
      <c r="D119" s="123">
        <f>IFERROR(D121*D123,0)</f>
        <v>0</v>
      </c>
      <c r="E119" s="123">
        <f t="shared" ref="E119:J119" si="257">IFERROR(E121*E123,0)</f>
        <v>0</v>
      </c>
      <c r="F119" s="123">
        <f t="shared" si="257"/>
        <v>0</v>
      </c>
      <c r="G119" s="123">
        <f t="shared" si="257"/>
        <v>0</v>
      </c>
      <c r="H119" s="123">
        <f t="shared" si="257"/>
        <v>0</v>
      </c>
      <c r="I119" s="123">
        <f t="shared" si="257"/>
        <v>0</v>
      </c>
      <c r="J119" s="123">
        <f t="shared" si="257"/>
        <v>0</v>
      </c>
      <c r="K119" s="236">
        <f t="shared" ref="K119" si="258">K121*K123</f>
        <v>0</v>
      </c>
    </row>
    <row r="120" spans="2:11" x14ac:dyDescent="0.3">
      <c r="B120" s="873" t="s">
        <v>2748</v>
      </c>
      <c r="D120" s="870" t="e">
        <f>D119/#REF!-1</f>
        <v>#REF!</v>
      </c>
      <c r="E120" s="870" t="e">
        <f>E119/D119-1</f>
        <v>#DIV/0!</v>
      </c>
      <c r="F120" s="870" t="e">
        <f>F119/E119-1</f>
        <v>#DIV/0!</v>
      </c>
      <c r="G120" s="870" t="e">
        <f t="shared" ref="G120" si="259">G119/F119-1</f>
        <v>#DIV/0!</v>
      </c>
      <c r="H120" s="870" t="e">
        <f t="shared" ref="H120" si="260">H119/G119-1</f>
        <v>#DIV/0!</v>
      </c>
      <c r="I120" s="870" t="e">
        <f t="shared" ref="I120" si="261">I119/H119-1</f>
        <v>#DIV/0!</v>
      </c>
      <c r="J120" s="870" t="e">
        <f t="shared" ref="J120" si="262">J119/I119-1</f>
        <v>#DIV/0!</v>
      </c>
      <c r="K120" s="871" t="e">
        <f t="shared" ref="K120" si="263">K119/J119-1</f>
        <v>#DIV/0!</v>
      </c>
    </row>
    <row r="121" spans="2:11" x14ac:dyDescent="0.3">
      <c r="B121" s="845" t="s">
        <v>2753</v>
      </c>
      <c r="D121" s="123">
        <v>0</v>
      </c>
      <c r="E121" s="123">
        <v>0</v>
      </c>
      <c r="F121" s="123">
        <v>0</v>
      </c>
      <c r="G121" s="123">
        <f>'사업계획(매출 확정본)'!AI56</f>
        <v>0</v>
      </c>
      <c r="H121" s="123">
        <f>'사업계획(매출 확정본)'!AJ56</f>
        <v>0</v>
      </c>
      <c r="I121" s="123">
        <f>'사업계획(매출 확정본)'!AK56</f>
        <v>0</v>
      </c>
      <c r="J121" s="123">
        <f>'사업계획(매출 확정본)'!AL56</f>
        <v>0</v>
      </c>
      <c r="K121" s="236">
        <f>'사업계획(매출 확정본)'!AM56</f>
        <v>0</v>
      </c>
    </row>
    <row r="122" spans="2:11" x14ac:dyDescent="0.3">
      <c r="B122" s="873" t="s">
        <v>2764</v>
      </c>
      <c r="D122" s="870" t="e">
        <f>D121/#REF!-1</f>
        <v>#REF!</v>
      </c>
      <c r="E122" s="870" t="e">
        <f>E121/D121-1</f>
        <v>#DIV/0!</v>
      </c>
      <c r="F122" s="870" t="e">
        <f>F121/E121-1</f>
        <v>#DIV/0!</v>
      </c>
      <c r="G122" s="870" t="e">
        <f t="shared" ref="G122" si="264">G121/F121-1</f>
        <v>#DIV/0!</v>
      </c>
      <c r="H122" s="870" t="e">
        <f t="shared" ref="H122" si="265">H121/G121-1</f>
        <v>#DIV/0!</v>
      </c>
      <c r="I122" s="870" t="e">
        <f t="shared" ref="I122" si="266">I121/H121-1</f>
        <v>#DIV/0!</v>
      </c>
      <c r="J122" s="870" t="e">
        <f t="shared" ref="J122" si="267">J121/I121-1</f>
        <v>#DIV/0!</v>
      </c>
      <c r="K122" s="871" t="e">
        <f t="shared" ref="K122" si="268">K121/J121-1</f>
        <v>#DIV/0!</v>
      </c>
    </row>
    <row r="123" spans="2:11" x14ac:dyDescent="0.3">
      <c r="B123" s="845" t="s">
        <v>2765</v>
      </c>
      <c r="D123" s="876" t="e">
        <v>#DIV/0!</v>
      </c>
      <c r="E123" s="876" t="e">
        <v>#DIV/0!</v>
      </c>
      <c r="F123" s="876" t="e">
        <v>#DIV/0!</v>
      </c>
      <c r="G123" s="876" t="e">
        <f>'사업계획(매출 확정본)'!AI57</f>
        <v>#DIV/0!</v>
      </c>
      <c r="H123" s="876" t="e">
        <f>'사업계획(매출 확정본)'!AJ57</f>
        <v>#DIV/0!</v>
      </c>
      <c r="I123" s="876" t="e">
        <f>'사업계획(매출 확정본)'!AK57</f>
        <v>#DIV/0!</v>
      </c>
      <c r="J123" s="876" t="e">
        <f>'사업계획(매출 확정본)'!AL57</f>
        <v>#DIV/0!</v>
      </c>
      <c r="K123" s="884">
        <f>IFERROR('사업계획(매출 확정본)'!AM57,0)</f>
        <v>0</v>
      </c>
    </row>
    <row r="124" spans="2:11" x14ac:dyDescent="0.3">
      <c r="B124" s="873" t="s">
        <v>2748</v>
      </c>
      <c r="D124" s="870" t="e">
        <f>D123/#REF!-1</f>
        <v>#DIV/0!</v>
      </c>
      <c r="E124" s="870" t="e">
        <f>E123/D123-1</f>
        <v>#DIV/0!</v>
      </c>
      <c r="F124" s="870" t="e">
        <f>F123/E123-1</f>
        <v>#DIV/0!</v>
      </c>
      <c r="G124" s="870" t="e">
        <f t="shared" ref="G124" si="269">G123/F123-1</f>
        <v>#DIV/0!</v>
      </c>
      <c r="H124" s="870" t="e">
        <f t="shared" ref="H124" si="270">H123/G123-1</f>
        <v>#DIV/0!</v>
      </c>
      <c r="I124" s="870" t="e">
        <f t="shared" ref="I124" si="271">I123/H123-1</f>
        <v>#DIV/0!</v>
      </c>
      <c r="J124" s="870" t="e">
        <f t="shared" ref="J124" si="272">J123/I123-1</f>
        <v>#DIV/0!</v>
      </c>
      <c r="K124" s="871" t="e">
        <f t="shared" ref="K124" si="273">K123/J123-1</f>
        <v>#DIV/0!</v>
      </c>
    </row>
    <row r="125" spans="2:11" x14ac:dyDescent="0.3">
      <c r="B125" s="844" t="s">
        <v>2773</v>
      </c>
      <c r="D125" s="123">
        <f>IFERROR(D127*D129,0)</f>
        <v>0</v>
      </c>
      <c r="E125" s="123">
        <f t="shared" ref="E125:J125" si="274">IFERROR(E127*E129,0)</f>
        <v>0</v>
      </c>
      <c r="F125" s="123">
        <f t="shared" si="274"/>
        <v>0</v>
      </c>
      <c r="G125" s="123">
        <f t="shared" si="274"/>
        <v>0</v>
      </c>
      <c r="H125" s="123">
        <f t="shared" si="274"/>
        <v>0</v>
      </c>
      <c r="I125" s="123">
        <f t="shared" si="274"/>
        <v>0</v>
      </c>
      <c r="J125" s="123">
        <f t="shared" si="274"/>
        <v>0</v>
      </c>
      <c r="K125" s="236">
        <f t="shared" ref="K125" si="275">K127*K129</f>
        <v>0</v>
      </c>
    </row>
    <row r="126" spans="2:11" x14ac:dyDescent="0.3">
      <c r="B126" s="873" t="s">
        <v>2748</v>
      </c>
      <c r="D126" s="870" t="e">
        <f>D125/#REF!-1</f>
        <v>#REF!</v>
      </c>
      <c r="E126" s="870" t="e">
        <f>E125/D125-1</f>
        <v>#DIV/0!</v>
      </c>
      <c r="F126" s="870" t="e">
        <f>F125/E125-1</f>
        <v>#DIV/0!</v>
      </c>
      <c r="G126" s="870" t="e">
        <f t="shared" ref="G126" si="276">G125/F125-1</f>
        <v>#DIV/0!</v>
      </c>
      <c r="H126" s="870" t="e">
        <f t="shared" ref="H126" si="277">H125/G125-1</f>
        <v>#DIV/0!</v>
      </c>
      <c r="I126" s="870" t="e">
        <f t="shared" ref="I126" si="278">I125/H125-1</f>
        <v>#DIV/0!</v>
      </c>
      <c r="J126" s="870" t="e">
        <f t="shared" ref="J126" si="279">J125/I125-1</f>
        <v>#DIV/0!</v>
      </c>
      <c r="K126" s="871" t="e">
        <f t="shared" ref="K126" si="280">K125/J125-1</f>
        <v>#DIV/0!</v>
      </c>
    </row>
    <row r="127" spans="2:11" x14ac:dyDescent="0.3">
      <c r="B127" s="845" t="s">
        <v>2753</v>
      </c>
      <c r="D127" s="123">
        <v>0</v>
      </c>
      <c r="E127" s="123">
        <v>0</v>
      </c>
      <c r="F127" s="123">
        <v>0</v>
      </c>
      <c r="G127" s="123">
        <f>'사업계획(매출 확정본)'!AI62</f>
        <v>0</v>
      </c>
      <c r="H127" s="123">
        <f>'사업계획(매출 확정본)'!AJ62</f>
        <v>0</v>
      </c>
      <c r="I127" s="123">
        <f>'사업계획(매출 확정본)'!AK62</f>
        <v>0</v>
      </c>
      <c r="J127" s="123">
        <f>'사업계획(매출 확정본)'!AL62</f>
        <v>0</v>
      </c>
      <c r="K127" s="236">
        <f>'사업계획(매출 확정본)'!AM62</f>
        <v>0</v>
      </c>
    </row>
    <row r="128" spans="2:11" x14ac:dyDescent="0.3">
      <c r="B128" s="873" t="s">
        <v>2764</v>
      </c>
      <c r="D128" s="870" t="e">
        <f>D127/#REF!-1</f>
        <v>#REF!</v>
      </c>
      <c r="E128" s="870" t="e">
        <f>E127/D127-1</f>
        <v>#DIV/0!</v>
      </c>
      <c r="F128" s="870" t="e">
        <f>F127/E127-1</f>
        <v>#DIV/0!</v>
      </c>
      <c r="G128" s="870" t="e">
        <f t="shared" ref="G128" si="281">G127/F127-1</f>
        <v>#DIV/0!</v>
      </c>
      <c r="H128" s="870" t="e">
        <f t="shared" ref="H128" si="282">H127/G127-1</f>
        <v>#DIV/0!</v>
      </c>
      <c r="I128" s="870" t="e">
        <f t="shared" ref="I128" si="283">I127/H127-1</f>
        <v>#DIV/0!</v>
      </c>
      <c r="J128" s="870" t="e">
        <f t="shared" ref="J128" si="284">J127/I127-1</f>
        <v>#DIV/0!</v>
      </c>
      <c r="K128" s="871" t="e">
        <f t="shared" ref="K128" si="285">K127/J127-1</f>
        <v>#DIV/0!</v>
      </c>
    </row>
    <row r="129" spans="2:12" x14ac:dyDescent="0.3">
      <c r="B129" s="845" t="s">
        <v>2765</v>
      </c>
      <c r="D129" s="123" t="e">
        <v>#DIV/0!</v>
      </c>
      <c r="E129" s="123" t="e">
        <v>#DIV/0!</v>
      </c>
      <c r="F129" s="123" t="e">
        <v>#DIV/0!</v>
      </c>
      <c r="G129" s="123" t="e">
        <f>'사업계획(매출 확정본)'!AI63</f>
        <v>#DIV/0!</v>
      </c>
      <c r="H129" s="123" t="e">
        <f>'사업계획(매출 확정본)'!AJ63</f>
        <v>#DIV/0!</v>
      </c>
      <c r="I129" s="123" t="e">
        <f>'사업계획(매출 확정본)'!AK63</f>
        <v>#DIV/0!</v>
      </c>
      <c r="J129" s="123" t="e">
        <f>'사업계획(매출 확정본)'!AL63</f>
        <v>#DIV/0!</v>
      </c>
      <c r="K129" s="236">
        <f>IFERROR('사업계획(매출 확정본)'!AM63,0)</f>
        <v>0</v>
      </c>
    </row>
    <row r="130" spans="2:12" x14ac:dyDescent="0.3">
      <c r="B130" s="873" t="s">
        <v>2748</v>
      </c>
      <c r="D130" s="870" t="e">
        <f>D129/#REF!-1</f>
        <v>#DIV/0!</v>
      </c>
      <c r="E130" s="870" t="e">
        <f>E129/D129-1</f>
        <v>#DIV/0!</v>
      </c>
      <c r="F130" s="870" t="e">
        <f>F129/E129-1</f>
        <v>#DIV/0!</v>
      </c>
      <c r="G130" s="870" t="e">
        <f t="shared" ref="G130" si="286">G129/F129-1</f>
        <v>#DIV/0!</v>
      </c>
      <c r="H130" s="870" t="e">
        <f t="shared" ref="H130" si="287">H129/G129-1</f>
        <v>#DIV/0!</v>
      </c>
      <c r="I130" s="870" t="e">
        <f t="shared" ref="I130" si="288">I129/H129-1</f>
        <v>#DIV/0!</v>
      </c>
      <c r="J130" s="870" t="e">
        <f t="shared" ref="J130" si="289">J129/I129-1</f>
        <v>#DIV/0!</v>
      </c>
      <c r="K130" s="871" t="e">
        <f t="shared" ref="K130" si="290">K129/J129-1</f>
        <v>#DIV/0!</v>
      </c>
    </row>
    <row r="131" spans="2:12" x14ac:dyDescent="0.3">
      <c r="B131" s="844" t="s">
        <v>2767</v>
      </c>
      <c r="D131" s="123">
        <f t="shared" ref="D131" si="291">D133*D135</f>
        <v>20500000</v>
      </c>
      <c r="E131" s="123">
        <f>IFERROR(E133*E135,0)</f>
        <v>0</v>
      </c>
      <c r="F131" s="123">
        <f t="shared" ref="F131:J131" si="292">IFERROR(F133*F135,0)</f>
        <v>0</v>
      </c>
      <c r="G131" s="123">
        <f t="shared" si="292"/>
        <v>0</v>
      </c>
      <c r="H131" s="123">
        <f t="shared" si="292"/>
        <v>0</v>
      </c>
      <c r="I131" s="123">
        <f t="shared" si="292"/>
        <v>0</v>
      </c>
      <c r="J131" s="123">
        <f t="shared" si="292"/>
        <v>0</v>
      </c>
      <c r="K131" s="236">
        <f t="shared" ref="K131" si="293">K133*K135</f>
        <v>0</v>
      </c>
    </row>
    <row r="132" spans="2:12" x14ac:dyDescent="0.3">
      <c r="B132" s="873" t="s">
        <v>2748</v>
      </c>
      <c r="D132" s="870" t="e">
        <f>D131/#REF!-1</f>
        <v>#REF!</v>
      </c>
      <c r="E132" s="870">
        <f>E131/D131-1</f>
        <v>-1</v>
      </c>
      <c r="F132" s="870" t="e">
        <f>F131/E131-1</f>
        <v>#DIV/0!</v>
      </c>
      <c r="G132" s="870" t="e">
        <f t="shared" ref="G132" si="294">G131/F131-1</f>
        <v>#DIV/0!</v>
      </c>
      <c r="H132" s="870" t="e">
        <f t="shared" ref="H132" si="295">H131/G131-1</f>
        <v>#DIV/0!</v>
      </c>
      <c r="I132" s="870" t="e">
        <f t="shared" ref="I132" si="296">I131/H131-1</f>
        <v>#DIV/0!</v>
      </c>
      <c r="J132" s="870" t="e">
        <f t="shared" ref="J132" si="297">J131/I131-1</f>
        <v>#DIV/0!</v>
      </c>
      <c r="K132" s="871" t="e">
        <f t="shared" ref="K132" si="298">K131/J131-1</f>
        <v>#DIV/0!</v>
      </c>
    </row>
    <row r="133" spans="2:12" x14ac:dyDescent="0.3">
      <c r="B133" s="845" t="s">
        <v>2753</v>
      </c>
      <c r="D133" s="876">
        <v>2</v>
      </c>
      <c r="E133" s="876">
        <v>0</v>
      </c>
      <c r="F133" s="876">
        <v>0</v>
      </c>
      <c r="G133" s="847">
        <f>'사업계획(매출 확정본)'!AI65</f>
        <v>0</v>
      </c>
      <c r="H133" s="847">
        <f>'사업계획(매출 확정본)'!AJ65</f>
        <v>0</v>
      </c>
      <c r="I133" s="847">
        <f>'사업계획(매출 확정본)'!AK65</f>
        <v>0</v>
      </c>
      <c r="J133" s="847">
        <f>'사업계획(매출 확정본)'!AL65</f>
        <v>0</v>
      </c>
      <c r="K133" s="872">
        <f>'사업계획(매출 확정본)'!AM65</f>
        <v>0</v>
      </c>
    </row>
    <row r="134" spans="2:12" x14ac:dyDescent="0.3">
      <c r="B134" s="873" t="s">
        <v>2764</v>
      </c>
      <c r="D134" s="870" t="e">
        <f>D133/#REF!-1</f>
        <v>#REF!</v>
      </c>
      <c r="E134" s="870">
        <f>E133/D133-1</f>
        <v>-1</v>
      </c>
      <c r="F134" s="870" t="e">
        <f>F133/E133-1</f>
        <v>#DIV/0!</v>
      </c>
      <c r="G134" s="870" t="e">
        <f t="shared" ref="G134" si="299">G133/F133-1</f>
        <v>#DIV/0!</v>
      </c>
      <c r="H134" s="870" t="e">
        <f t="shared" ref="H134" si="300">H133/G133-1</f>
        <v>#DIV/0!</v>
      </c>
      <c r="I134" s="870" t="e">
        <f t="shared" ref="I134" si="301">I133/H133-1</f>
        <v>#DIV/0!</v>
      </c>
      <c r="J134" s="870" t="e">
        <f t="shared" ref="J134" si="302">J133/I133-1</f>
        <v>#DIV/0!</v>
      </c>
      <c r="K134" s="871" t="e">
        <f t="shared" ref="K134" si="303">K133/J133-1</f>
        <v>#DIV/0!</v>
      </c>
    </row>
    <row r="135" spans="2:12" x14ac:dyDescent="0.3">
      <c r="B135" s="845" t="s">
        <v>2765</v>
      </c>
      <c r="D135" s="876">
        <v>10250000</v>
      </c>
      <c r="E135" s="876" t="e">
        <v>#DIV/0!</v>
      </c>
      <c r="F135" s="876" t="e">
        <v>#DIV/0!</v>
      </c>
      <c r="G135" s="876" t="e">
        <f>'사업계획(매출 확정본)'!AI66</f>
        <v>#DIV/0!</v>
      </c>
      <c r="H135" s="876" t="e">
        <f>'사업계획(매출 확정본)'!AJ66</f>
        <v>#DIV/0!</v>
      </c>
      <c r="I135" s="876" t="e">
        <f>'사업계획(매출 확정본)'!AK66</f>
        <v>#DIV/0!</v>
      </c>
      <c r="J135" s="876" t="e">
        <f>'사업계획(매출 확정본)'!AL66</f>
        <v>#DIV/0!</v>
      </c>
      <c r="K135" s="884">
        <f>IFERROR('사업계획(매출 확정본)'!AM66,0)</f>
        <v>0</v>
      </c>
    </row>
    <row r="136" spans="2:12" x14ac:dyDescent="0.3">
      <c r="B136" s="873" t="s">
        <v>2748</v>
      </c>
      <c r="D136" s="870" t="e">
        <f>D135/#REF!-1</f>
        <v>#REF!</v>
      </c>
      <c r="E136" s="870" t="e">
        <f>E135/D135-1</f>
        <v>#DIV/0!</v>
      </c>
      <c r="F136" s="870" t="e">
        <f>F135/E135-1</f>
        <v>#DIV/0!</v>
      </c>
      <c r="G136" s="870" t="e">
        <f t="shared" ref="G136" si="304">G135/F135-1</f>
        <v>#DIV/0!</v>
      </c>
      <c r="H136" s="870" t="e">
        <f t="shared" ref="H136" si="305">H135/G135-1</f>
        <v>#DIV/0!</v>
      </c>
      <c r="I136" s="870" t="e">
        <f t="shared" ref="I136" si="306">I135/H135-1</f>
        <v>#DIV/0!</v>
      </c>
      <c r="J136" s="870" t="e">
        <f t="shared" ref="J136" si="307">J135/I135-1</f>
        <v>#DIV/0!</v>
      </c>
      <c r="K136" s="871" t="e">
        <f t="shared" ref="K136" si="308">K135/J135-1</f>
        <v>#DIV/0!</v>
      </c>
    </row>
    <row r="137" spans="2:12" x14ac:dyDescent="0.3">
      <c r="B137" s="873"/>
      <c r="D137" s="870"/>
      <c r="E137" s="870"/>
      <c r="F137" s="870"/>
      <c r="G137" s="870"/>
      <c r="H137" s="870"/>
      <c r="I137" s="870"/>
      <c r="J137" s="870"/>
      <c r="K137" s="872"/>
    </row>
    <row r="138" spans="2:12" x14ac:dyDescent="0.3">
      <c r="B138" s="842" t="s">
        <v>2774</v>
      </c>
      <c r="C138" s="840"/>
      <c r="D138" s="841">
        <v>1769189618</v>
      </c>
      <c r="E138" s="841">
        <v>1807063948</v>
      </c>
      <c r="F138" s="841">
        <v>817155555</v>
      </c>
      <c r="G138" s="841"/>
      <c r="H138" s="841"/>
      <c r="I138" s="841"/>
      <c r="J138" s="841"/>
      <c r="K138" s="892"/>
      <c r="L138" s="10" t="s">
        <v>2956</v>
      </c>
    </row>
    <row r="139" spans="2:12" x14ac:dyDescent="0.3">
      <c r="B139" s="873"/>
      <c r="D139" s="870"/>
      <c r="E139" s="870"/>
      <c r="F139" s="870"/>
      <c r="G139" s="870"/>
      <c r="H139" s="870"/>
      <c r="I139" s="870"/>
      <c r="J139" s="870"/>
      <c r="K139" s="872"/>
    </row>
    <row r="140" spans="2:12" x14ac:dyDescent="0.3">
      <c r="B140" s="842" t="s">
        <v>2961</v>
      </c>
      <c r="C140" s="840"/>
      <c r="D140" s="841">
        <v>0</v>
      </c>
      <c r="E140" s="841">
        <v>0</v>
      </c>
      <c r="F140" s="841">
        <v>0</v>
      </c>
      <c r="G140" s="841">
        <f>IFERROR(G142+G146,0)</f>
        <v>12250000000</v>
      </c>
      <c r="H140" s="841">
        <f t="shared" ref="H140:K140" si="309">IFERROR(H142+H146,0)</f>
        <v>16756000000</v>
      </c>
      <c r="I140" s="841">
        <f t="shared" si="309"/>
        <v>27222500000</v>
      </c>
      <c r="J140" s="841">
        <f t="shared" si="309"/>
        <v>30161000000</v>
      </c>
      <c r="K140" s="892">
        <f t="shared" si="309"/>
        <v>34660000000</v>
      </c>
    </row>
    <row r="141" spans="2:12" x14ac:dyDescent="0.3">
      <c r="B141" s="845"/>
      <c r="D141" s="870"/>
      <c r="E141" s="870"/>
      <c r="F141" s="870"/>
      <c r="G141" s="870"/>
      <c r="H141" s="870"/>
      <c r="I141" s="870"/>
      <c r="J141" s="870"/>
      <c r="K141" s="872"/>
    </row>
    <row r="142" spans="2:12" x14ac:dyDescent="0.3">
      <c r="B142" s="844" t="s">
        <v>3278</v>
      </c>
      <c r="D142" s="870"/>
      <c r="E142" s="870"/>
      <c r="F142" s="870"/>
      <c r="G142" s="876">
        <f>G143*G144</f>
        <v>12250000000</v>
      </c>
      <c r="H142" s="876">
        <f t="shared" ref="H142:K142" si="310">H143*H144</f>
        <v>15331000000</v>
      </c>
      <c r="I142" s="876">
        <f t="shared" si="310"/>
        <v>19740000000</v>
      </c>
      <c r="J142" s="876">
        <f t="shared" si="310"/>
        <v>20732000000</v>
      </c>
      <c r="K142" s="884">
        <f t="shared" si="310"/>
        <v>23110000000</v>
      </c>
    </row>
    <row r="143" spans="2:12" x14ac:dyDescent="0.3">
      <c r="B143" s="845" t="s">
        <v>2753</v>
      </c>
      <c r="D143" s="876"/>
      <c r="E143" s="876"/>
      <c r="F143" s="876"/>
      <c r="G143" s="847">
        <f>'사업계획(매출 확정본)'!AI68</f>
        <v>110</v>
      </c>
      <c r="H143" s="847">
        <f>'사업계획(매출 확정본)'!AJ68</f>
        <v>130</v>
      </c>
      <c r="I143" s="847">
        <f>'사업계획(매출 확정본)'!AK68</f>
        <v>160</v>
      </c>
      <c r="J143" s="847">
        <f>'사업계획(매출 확정본)'!AL68</f>
        <v>160</v>
      </c>
      <c r="K143" s="872">
        <f>'사업계획(매출 확정본)'!AM68</f>
        <v>170</v>
      </c>
    </row>
    <row r="144" spans="2:12" x14ac:dyDescent="0.3">
      <c r="B144" s="845" t="s">
        <v>2765</v>
      </c>
      <c r="D144" s="870"/>
      <c r="E144" s="870"/>
      <c r="F144" s="870"/>
      <c r="G144" s="123">
        <f>'사업계획(매출 확정본)'!AI69</f>
        <v>111363636.36363636</v>
      </c>
      <c r="H144" s="123">
        <f>'사업계획(매출 확정본)'!AJ69</f>
        <v>117930769.23076923</v>
      </c>
      <c r="I144" s="123">
        <f>'사업계획(매출 확정본)'!AK69</f>
        <v>123375000</v>
      </c>
      <c r="J144" s="123">
        <f>'사업계획(매출 확정본)'!AL69</f>
        <v>129575000</v>
      </c>
      <c r="K144" s="236">
        <f>'사업계획(매출 확정본)'!AM69</f>
        <v>135941176.47058824</v>
      </c>
    </row>
    <row r="145" spans="2:21" x14ac:dyDescent="0.3">
      <c r="B145" s="845"/>
      <c r="D145" s="870"/>
      <c r="E145" s="870"/>
      <c r="F145" s="870"/>
      <c r="G145" s="123"/>
      <c r="H145" s="123"/>
      <c r="I145" s="123"/>
      <c r="J145" s="123"/>
      <c r="K145" s="236"/>
    </row>
    <row r="146" spans="2:21" x14ac:dyDescent="0.3">
      <c r="B146" s="844" t="s">
        <v>2901</v>
      </c>
      <c r="D146" s="870"/>
      <c r="E146" s="870"/>
      <c r="F146" s="870"/>
      <c r="G146" s="876">
        <f>IFERROR(G147*G148,0)</f>
        <v>0</v>
      </c>
      <c r="H146" s="876">
        <f t="shared" ref="H146:K146" si="311">H147*H148</f>
        <v>1425000000</v>
      </c>
      <c r="I146" s="876">
        <f t="shared" si="311"/>
        <v>7482500000</v>
      </c>
      <c r="J146" s="876">
        <f t="shared" si="311"/>
        <v>9429000000</v>
      </c>
      <c r="K146" s="884">
        <f t="shared" si="311"/>
        <v>11550000000</v>
      </c>
    </row>
    <row r="147" spans="2:21" x14ac:dyDescent="0.3">
      <c r="B147" s="845" t="s">
        <v>2753</v>
      </c>
      <c r="D147" s="870"/>
      <c r="E147" s="870"/>
      <c r="F147" s="870"/>
      <c r="G147" s="847">
        <f>'사업계획(매출 확정본)'!AI71</f>
        <v>0</v>
      </c>
      <c r="H147" s="847">
        <f>'사업계획(매출 확정본)'!AJ71</f>
        <v>5</v>
      </c>
      <c r="I147" s="847">
        <f>'사업계획(매출 확정본)'!AK71</f>
        <v>25</v>
      </c>
      <c r="J147" s="847">
        <f>'사업계획(매출 확정본)'!AL71</f>
        <v>30</v>
      </c>
      <c r="K147" s="872">
        <f>'사업계획(매출 확정본)'!AM71</f>
        <v>35</v>
      </c>
    </row>
    <row r="148" spans="2:21" x14ac:dyDescent="0.3">
      <c r="B148" s="845" t="s">
        <v>2765</v>
      </c>
      <c r="D148" s="870"/>
      <c r="E148" s="870"/>
      <c r="F148" s="870"/>
      <c r="G148" s="123" t="e">
        <f>'사업계획(매출 확정본)'!AI72</f>
        <v>#DIV/0!</v>
      </c>
      <c r="H148" s="123">
        <f>'사업계획(매출 확정본)'!AJ72</f>
        <v>285000000</v>
      </c>
      <c r="I148" s="123">
        <f>'사업계획(매출 확정본)'!AK72</f>
        <v>299300000</v>
      </c>
      <c r="J148" s="123">
        <f>'사업계획(매출 확정본)'!AL72</f>
        <v>314300000</v>
      </c>
      <c r="K148" s="236">
        <f>'사업계획(매출 확정본)'!AM72</f>
        <v>330000000</v>
      </c>
    </row>
    <row r="149" spans="2:21" x14ac:dyDescent="0.3">
      <c r="B149" s="873"/>
      <c r="D149" s="870"/>
      <c r="E149" s="870"/>
      <c r="F149" s="870"/>
      <c r="G149" s="870"/>
      <c r="H149" s="870"/>
      <c r="I149" s="870"/>
      <c r="J149" s="870"/>
      <c r="K149" s="872"/>
    </row>
    <row r="150" spans="2:21" x14ac:dyDescent="0.3">
      <c r="B150" s="1475" t="s">
        <v>2958</v>
      </c>
      <c r="C150" s="1476"/>
      <c r="D150" s="1477">
        <f>D138+D97+D56+D10</f>
        <v>55129322651</v>
      </c>
      <c r="E150" s="1477">
        <f>E138+E97+E56+E10</f>
        <v>74962145393.545456</v>
      </c>
      <c r="F150" s="1477">
        <f>F138+F97+F56+F10</f>
        <v>79031855856.272736</v>
      </c>
      <c r="G150" s="1477">
        <f>G138+G97+G56+G10+G140</f>
        <v>112042800000</v>
      </c>
      <c r="H150" s="1477">
        <f>H138+H97+H56+H10+H140</f>
        <v>142930200000</v>
      </c>
      <c r="I150" s="1477">
        <f>I138+I97+I56+I10+I140</f>
        <v>187956700000</v>
      </c>
      <c r="J150" s="1477">
        <f>J138+J97+J56+J10+J140</f>
        <v>207998600000</v>
      </c>
      <c r="K150" s="1478">
        <f>K138+K97+K56+K10+K140</f>
        <v>226353900000</v>
      </c>
      <c r="N150" s="10">
        <v>55129.322651000002</v>
      </c>
      <c r="O150" s="10">
        <v>74924.271063545457</v>
      </c>
      <c r="P150" s="10">
        <v>79983.88991927274</v>
      </c>
      <c r="Q150" s="10">
        <v>123172.8</v>
      </c>
      <c r="R150" s="10">
        <v>155976.70000000001</v>
      </c>
      <c r="S150" s="10">
        <v>205655.7</v>
      </c>
      <c r="T150" s="10">
        <v>226964.1</v>
      </c>
      <c r="U150" s="10">
        <v>245877.9</v>
      </c>
    </row>
    <row r="151" spans="2:21" x14ac:dyDescent="0.3">
      <c r="B151" s="873"/>
      <c r="D151" s="870"/>
      <c r="E151" s="870"/>
      <c r="F151" s="870"/>
      <c r="G151" s="870" t="b">
        <f>G150='사업계획(매출 확정본)'!AI11</f>
        <v>1</v>
      </c>
      <c r="H151" s="870" t="b">
        <f>H150='사업계획(매출 확정본)'!AJ11</f>
        <v>1</v>
      </c>
      <c r="I151" s="870" t="b">
        <f>I150='사업계획(매출 확정본)'!AK11</f>
        <v>1</v>
      </c>
      <c r="J151" s="870" t="b">
        <f>J150='사업계획(매출 확정본)'!AL11</f>
        <v>1</v>
      </c>
      <c r="K151" s="871" t="b">
        <f>K150='사업계획(매출 확정본)'!AM11</f>
        <v>1</v>
      </c>
      <c r="L151" s="10" t="s">
        <v>3282</v>
      </c>
    </row>
    <row r="152" spans="2:21" ht="14.25" thickBot="1" x14ac:dyDescent="0.35">
      <c r="B152" s="1479"/>
      <c r="C152" s="1480"/>
      <c r="D152" s="1480"/>
      <c r="E152" s="1480"/>
      <c r="F152" s="1480"/>
      <c r="G152" s="1480"/>
      <c r="H152" s="1480"/>
      <c r="I152" s="1480"/>
      <c r="J152" s="1480"/>
      <c r="K152" s="1474"/>
    </row>
    <row r="153" spans="2:21" x14ac:dyDescent="0.3">
      <c r="D153" s="962">
        <f>D150+D204</f>
        <v>58044722217</v>
      </c>
      <c r="E153" s="962">
        <f t="shared" ref="E153:F153" si="312">E150+E204</f>
        <v>78122175115.545456</v>
      </c>
      <c r="F153" s="962">
        <f t="shared" si="312"/>
        <v>86626969608.272736</v>
      </c>
      <c r="G153" s="962"/>
      <c r="J153" s="847"/>
    </row>
    <row r="154" spans="2:21" x14ac:dyDescent="0.3">
      <c r="D154" s="962"/>
      <c r="F154" s="879"/>
      <c r="J154" s="878"/>
    </row>
    <row r="155" spans="2:21" x14ac:dyDescent="0.3">
      <c r="B155" s="862" t="s">
        <v>2775</v>
      </c>
      <c r="C155" s="863"/>
      <c r="D155" s="863"/>
      <c r="E155" s="863"/>
      <c r="F155" s="863"/>
      <c r="G155" s="863"/>
      <c r="H155" s="863"/>
      <c r="I155" s="863"/>
      <c r="J155" s="997"/>
      <c r="K155" s="997"/>
    </row>
    <row r="156" spans="2:21" x14ac:dyDescent="0.3">
      <c r="B156" s="864" t="s">
        <v>2746</v>
      </c>
      <c r="C156" s="865"/>
      <c r="D156" s="865">
        <f>'Pro forma'!E$5</f>
        <v>2015</v>
      </c>
      <c r="E156" s="865">
        <f>'Pro forma'!F$5</f>
        <v>2016</v>
      </c>
      <c r="F156" s="866">
        <f>'Pro forma'!G$5</f>
        <v>2017</v>
      </c>
      <c r="G156" s="867">
        <f>'Pro forma'!H$5</f>
        <v>2018</v>
      </c>
      <c r="H156" s="867">
        <f>'Pro forma'!I$5</f>
        <v>2019</v>
      </c>
      <c r="I156" s="867">
        <f>'Pro forma'!J$5</f>
        <v>2020</v>
      </c>
      <c r="J156" s="867">
        <f>'Pro forma'!K$5</f>
        <v>2021</v>
      </c>
      <c r="K156" s="868">
        <f>J156+1</f>
        <v>2022</v>
      </c>
    </row>
    <row r="157" spans="2:21" x14ac:dyDescent="0.3">
      <c r="B157" s="846" t="s">
        <v>2776</v>
      </c>
      <c r="D157" s="848">
        <f t="shared" ref="D157:J157" si="313">D161+D174+D187+D200</f>
        <v>2915399566</v>
      </c>
      <c r="E157" s="848">
        <f t="shared" si="313"/>
        <v>3160029722</v>
      </c>
      <c r="F157" s="848">
        <f t="shared" si="313"/>
        <v>7595113752</v>
      </c>
      <c r="G157" s="848">
        <f>G161+G174+G187+G200</f>
        <v>28842666666.666668</v>
      </c>
      <c r="H157" s="848">
        <f t="shared" si="313"/>
        <v>37672300000</v>
      </c>
      <c r="I157" s="848">
        <f t="shared" si="313"/>
        <v>44171700000</v>
      </c>
      <c r="J157" s="848">
        <f t="shared" si="313"/>
        <v>51236700000</v>
      </c>
      <c r="K157" s="998">
        <f>K161+K174+K187+K200</f>
        <v>60271100000</v>
      </c>
    </row>
    <row r="158" spans="2:21" x14ac:dyDescent="0.3">
      <c r="B158" s="869" t="s">
        <v>2764</v>
      </c>
      <c r="D158" s="870" t="e">
        <f>D157/#REF!-1</f>
        <v>#REF!</v>
      </c>
      <c r="E158" s="870">
        <f>E157/D157-1</f>
        <v>8.3909649590721003E-2</v>
      </c>
      <c r="F158" s="870">
        <f>F157/E157-1</f>
        <v>1.4034944035883976</v>
      </c>
      <c r="G158" s="870">
        <f t="shared" ref="G158:J158" si="314">G157/F157-1</f>
        <v>2.7975292547885289</v>
      </c>
      <c r="H158" s="870">
        <f t="shared" si="314"/>
        <v>0.30613096338757395</v>
      </c>
      <c r="I158" s="870">
        <f t="shared" si="314"/>
        <v>0.17252464012019431</v>
      </c>
      <c r="J158" s="870">
        <f t="shared" si="314"/>
        <v>0.15994403656639888</v>
      </c>
      <c r="K158" s="872"/>
    </row>
    <row r="159" spans="2:21" x14ac:dyDescent="0.3">
      <c r="B159" s="874"/>
      <c r="F159" s="847"/>
      <c r="G159" s="847" t="b">
        <f>G157='사업계획(매출 확정본)'!AI102</f>
        <v>1</v>
      </c>
      <c r="H159" s="847" t="b">
        <f>H157='사업계획(매출 확정본)'!AJ102</f>
        <v>1</v>
      </c>
      <c r="I159" s="847" t="b">
        <f>I157='사업계획(매출 확정본)'!AK102</f>
        <v>1</v>
      </c>
      <c r="J159" s="847" t="b">
        <f>J157='사업계획(매출 확정본)'!AL102</f>
        <v>1</v>
      </c>
      <c r="K159" s="872" t="b">
        <f>K157='사업계획(매출 확정본)'!AM102</f>
        <v>1</v>
      </c>
    </row>
    <row r="160" spans="2:21" x14ac:dyDescent="0.3">
      <c r="B160" s="235"/>
      <c r="F160" s="847"/>
      <c r="G160" s="847"/>
      <c r="H160" s="847"/>
      <c r="I160" s="847"/>
      <c r="J160" s="847"/>
      <c r="K160" s="872"/>
    </row>
    <row r="161" spans="2:13" x14ac:dyDescent="0.3">
      <c r="B161" s="844" t="s">
        <v>2777</v>
      </c>
      <c r="C161" s="876"/>
      <c r="D161" s="996">
        <f t="shared" ref="D161:K161" si="315">D164+D167+D170</f>
        <v>1669421320</v>
      </c>
      <c r="E161" s="996">
        <f t="shared" si="315"/>
        <v>2210878550</v>
      </c>
      <c r="F161" s="996">
        <f t="shared" si="315"/>
        <v>5943356100</v>
      </c>
      <c r="G161" s="996">
        <f t="shared" si="315"/>
        <v>9391000000</v>
      </c>
      <c r="H161" s="996">
        <f t="shared" si="315"/>
        <v>15030000000</v>
      </c>
      <c r="I161" s="996">
        <f t="shared" si="315"/>
        <v>18493000000</v>
      </c>
      <c r="J161" s="996">
        <f t="shared" si="315"/>
        <v>22265000000</v>
      </c>
      <c r="K161" s="999">
        <f t="shared" si="315"/>
        <v>27723500000</v>
      </c>
    </row>
    <row r="162" spans="2:13" x14ac:dyDescent="0.3">
      <c r="B162" s="873" t="s">
        <v>2764</v>
      </c>
      <c r="C162" s="876"/>
      <c r="D162" s="870" t="e">
        <f>D161/#REF!-1</f>
        <v>#REF!</v>
      </c>
      <c r="E162" s="870">
        <f>E161/D161-1</f>
        <v>0.32433827429495143</v>
      </c>
      <c r="F162" s="870">
        <f>F161/E161-1</f>
        <v>1.688232738971573</v>
      </c>
      <c r="G162" s="870">
        <f t="shared" ref="G162:J162" si="316">G161/F161-1</f>
        <v>0.58008368369514329</v>
      </c>
      <c r="H162" s="870">
        <f t="shared" si="316"/>
        <v>0.6004685337024811</v>
      </c>
      <c r="I162" s="870">
        <f t="shared" si="316"/>
        <v>0.23040585495675314</v>
      </c>
      <c r="J162" s="870">
        <f t="shared" si="316"/>
        <v>0.2039690693776024</v>
      </c>
      <c r="K162" s="872"/>
    </row>
    <row r="163" spans="2:13" x14ac:dyDescent="0.3">
      <c r="B163" s="874" t="s">
        <v>2778</v>
      </c>
      <c r="C163" s="876"/>
      <c r="D163" s="875">
        <f t="shared" ref="D163:J163" si="317">D161/D157</f>
        <v>0.57262179066949892</v>
      </c>
      <c r="E163" s="875">
        <f t="shared" si="317"/>
        <v>0.69963853017202726</v>
      </c>
      <c r="F163" s="875">
        <f t="shared" si="317"/>
        <v>0.78252364534171104</v>
      </c>
      <c r="G163" s="875">
        <f t="shared" si="317"/>
        <v>0.32559402736686388</v>
      </c>
      <c r="H163" s="875">
        <f t="shared" si="317"/>
        <v>0.39896688017455795</v>
      </c>
      <c r="I163" s="875">
        <f t="shared" si="317"/>
        <v>0.41866172232447474</v>
      </c>
      <c r="J163" s="875">
        <f t="shared" si="317"/>
        <v>0.4345517958806871</v>
      </c>
      <c r="K163" s="872"/>
    </row>
    <row r="164" spans="2:13" x14ac:dyDescent="0.3">
      <c r="B164" s="849" t="s">
        <v>2779</v>
      </c>
      <c r="C164" s="876"/>
      <c r="D164" s="123">
        <f t="shared" ref="D164:K164" si="318">D165*D166</f>
        <v>1669421320</v>
      </c>
      <c r="E164" s="123">
        <f t="shared" si="318"/>
        <v>2210878550</v>
      </c>
      <c r="F164" s="123">
        <f t="shared" si="318"/>
        <v>608918500</v>
      </c>
      <c r="G164" s="123">
        <f t="shared" si="318"/>
        <v>2686000000</v>
      </c>
      <c r="H164" s="123">
        <f t="shared" si="318"/>
        <v>5642000000</v>
      </c>
      <c r="I164" s="123">
        <f t="shared" si="318"/>
        <v>7405000000</v>
      </c>
      <c r="J164" s="123">
        <f t="shared" si="318"/>
        <v>9330000000</v>
      </c>
      <c r="K164" s="236">
        <f t="shared" si="318"/>
        <v>11427500000</v>
      </c>
    </row>
    <row r="165" spans="2:13" x14ac:dyDescent="0.3">
      <c r="B165" s="850" t="s">
        <v>2780</v>
      </c>
      <c r="C165" s="876"/>
      <c r="D165" s="876">
        <v>42</v>
      </c>
      <c r="E165" s="876">
        <v>16</v>
      </c>
      <c r="F165" s="876">
        <v>6</v>
      </c>
      <c r="G165" s="847">
        <f>'사업계획(매출 확정본)'!AI91</f>
        <v>30</v>
      </c>
      <c r="H165" s="847">
        <f>'사업계획(매출 확정본)'!AJ91</f>
        <v>60</v>
      </c>
      <c r="I165" s="847">
        <f>'사업계획(매출 확정본)'!AK91</f>
        <v>75</v>
      </c>
      <c r="J165" s="847">
        <f>'사업계획(매출 확정본)'!AL91</f>
        <v>90</v>
      </c>
      <c r="K165" s="872">
        <f>'사업계획(매출 확정본)'!AM91</f>
        <v>105</v>
      </c>
    </row>
    <row r="166" spans="2:13" x14ac:dyDescent="0.3">
      <c r="B166" s="850" t="s">
        <v>2765</v>
      </c>
      <c r="C166" s="876"/>
      <c r="D166" s="876">
        <v>39748126.666666664</v>
      </c>
      <c r="E166" s="876">
        <v>138179909.375</v>
      </c>
      <c r="F166" s="876">
        <v>101486416.66666667</v>
      </c>
      <c r="G166" s="876">
        <f>'사업계획(매출 확정본)'!AI92</f>
        <v>89533333.333333328</v>
      </c>
      <c r="H166" s="876">
        <f>'사업계획(매출 확정본)'!AJ92</f>
        <v>94033333.333333328</v>
      </c>
      <c r="I166" s="876">
        <f>'사업계획(매출 확정본)'!AK92</f>
        <v>98733333.333333328</v>
      </c>
      <c r="J166" s="876">
        <f>'사업계획(매출 확정본)'!AL92</f>
        <v>103666666.66666667</v>
      </c>
      <c r="K166" s="884">
        <f>'사업계획(매출 확정본)'!AM92</f>
        <v>108833333.33333333</v>
      </c>
    </row>
    <row r="167" spans="2:13" x14ac:dyDescent="0.3">
      <c r="B167" s="849" t="s">
        <v>649</v>
      </c>
      <c r="C167" s="876"/>
      <c r="D167" s="876">
        <f>IFERROR(D168*D169,0)</f>
        <v>0</v>
      </c>
      <c r="E167" s="876">
        <f t="shared" ref="E167:J167" si="319">IFERROR(E168*E169,0)</f>
        <v>0</v>
      </c>
      <c r="F167" s="876">
        <f t="shared" si="319"/>
        <v>0</v>
      </c>
      <c r="G167" s="876">
        <f t="shared" si="319"/>
        <v>0</v>
      </c>
      <c r="H167" s="876">
        <f t="shared" si="319"/>
        <v>0</v>
      </c>
      <c r="I167" s="876">
        <f t="shared" si="319"/>
        <v>0</v>
      </c>
      <c r="J167" s="876">
        <f t="shared" si="319"/>
        <v>0</v>
      </c>
      <c r="K167" s="872"/>
    </row>
    <row r="168" spans="2:13" x14ac:dyDescent="0.3">
      <c r="B168" s="850" t="s">
        <v>2758</v>
      </c>
      <c r="C168" s="876"/>
      <c r="D168" s="876">
        <v>0</v>
      </c>
      <c r="E168" s="876">
        <v>0</v>
      </c>
      <c r="F168" s="876">
        <v>0</v>
      </c>
      <c r="G168" s="876"/>
      <c r="H168" s="876"/>
      <c r="I168" s="876"/>
      <c r="J168" s="876"/>
      <c r="K168" s="872"/>
    </row>
    <row r="169" spans="2:13" x14ac:dyDescent="0.3">
      <c r="B169" s="850" t="s">
        <v>2755</v>
      </c>
      <c r="C169" s="876"/>
      <c r="D169" s="876" t="e">
        <v>#DIV/0!</v>
      </c>
      <c r="E169" s="876" t="e">
        <v>#DIV/0!</v>
      </c>
      <c r="F169" s="876" t="e">
        <v>#DIV/0!</v>
      </c>
      <c r="G169" s="876"/>
      <c r="H169" s="876"/>
      <c r="I169" s="876"/>
      <c r="J169" s="876"/>
      <c r="K169" s="872"/>
    </row>
    <row r="170" spans="2:13" x14ac:dyDescent="0.3">
      <c r="B170" s="849" t="s">
        <v>648</v>
      </c>
      <c r="C170" s="876"/>
      <c r="D170" s="876">
        <f>D171*D172</f>
        <v>0</v>
      </c>
      <c r="E170" s="876">
        <f>IFERROR(E171*E172,0)</f>
        <v>0</v>
      </c>
      <c r="F170" s="876">
        <f t="shared" ref="F170:K170" si="320">F171*F172</f>
        <v>5334437600</v>
      </c>
      <c r="G170" s="876">
        <f t="shared" si="320"/>
        <v>6705000000</v>
      </c>
      <c r="H170" s="876">
        <f t="shared" si="320"/>
        <v>9388000000</v>
      </c>
      <c r="I170" s="876">
        <f t="shared" si="320"/>
        <v>11088000000</v>
      </c>
      <c r="J170" s="876">
        <f t="shared" si="320"/>
        <v>12935000000</v>
      </c>
      <c r="K170" s="884">
        <f t="shared" si="320"/>
        <v>16296000000</v>
      </c>
    </row>
    <row r="171" spans="2:13" x14ac:dyDescent="0.3">
      <c r="B171" s="850" t="s">
        <v>2758</v>
      </c>
      <c r="C171" s="876"/>
      <c r="D171" s="876">
        <v>42</v>
      </c>
      <c r="E171" s="876">
        <v>0</v>
      </c>
      <c r="F171" s="876">
        <v>21</v>
      </c>
      <c r="G171" s="876">
        <f>'사업계획(매출 확정본)'!AI79</f>
        <v>30</v>
      </c>
      <c r="H171" s="876">
        <f>'사업계획(매출 확정본)'!AJ79</f>
        <v>40</v>
      </c>
      <c r="I171" s="876">
        <f>'사업계획(매출 확정본)'!AK79</f>
        <v>45</v>
      </c>
      <c r="J171" s="876">
        <f>'사업계획(매출 확정본)'!AL79</f>
        <v>50</v>
      </c>
      <c r="K171" s="884">
        <f>'사업계획(매출 확정본)'!AM79</f>
        <v>60</v>
      </c>
    </row>
    <row r="172" spans="2:13" x14ac:dyDescent="0.3">
      <c r="B172" s="850" t="s">
        <v>2755</v>
      </c>
      <c r="C172" s="876"/>
      <c r="D172" s="876">
        <v>0</v>
      </c>
      <c r="E172" s="876" t="e">
        <v>#DIV/0!</v>
      </c>
      <c r="F172" s="876">
        <v>254020838.09523809</v>
      </c>
      <c r="G172" s="876">
        <f>'사업계획(매출 확정본)'!AI80</f>
        <v>223500000</v>
      </c>
      <c r="H172" s="876">
        <f>'사업계획(매출 확정본)'!AJ80</f>
        <v>234700000</v>
      </c>
      <c r="I172" s="876">
        <f>'사업계획(매출 확정본)'!AK80</f>
        <v>246400000</v>
      </c>
      <c r="J172" s="876">
        <f>'사업계획(매출 확정본)'!AL80</f>
        <v>258700000</v>
      </c>
      <c r="K172" s="884">
        <f>'사업계획(매출 확정본)'!AM80</f>
        <v>271600000</v>
      </c>
    </row>
    <row r="173" spans="2:13" x14ac:dyDescent="0.3">
      <c r="B173" s="850"/>
      <c r="C173" s="876"/>
      <c r="D173" s="876"/>
      <c r="E173" s="876"/>
      <c r="F173" s="876"/>
      <c r="G173" s="847"/>
      <c r="H173" s="847"/>
      <c r="I173" s="847"/>
      <c r="J173" s="847"/>
      <c r="K173" s="872"/>
      <c r="M173" s="859"/>
    </row>
    <row r="174" spans="2:13" x14ac:dyDescent="0.3">
      <c r="B174" s="844" t="s">
        <v>2781</v>
      </c>
      <c r="C174" s="876"/>
      <c r="D174" s="996">
        <f t="shared" ref="D174:K174" si="321">D177+D180+D183</f>
        <v>21611990</v>
      </c>
      <c r="E174" s="996">
        <f t="shared" si="321"/>
        <v>199636413</v>
      </c>
      <c r="F174" s="996">
        <f t="shared" si="321"/>
        <v>858515229</v>
      </c>
      <c r="G174" s="996">
        <f t="shared" si="321"/>
        <v>4285000000</v>
      </c>
      <c r="H174" s="996">
        <f t="shared" si="321"/>
        <v>5083300000</v>
      </c>
      <c r="I174" s="996">
        <f t="shared" si="321"/>
        <v>5949800000</v>
      </c>
      <c r="J174" s="996">
        <f t="shared" si="321"/>
        <v>6891300000</v>
      </c>
      <c r="K174" s="999">
        <f t="shared" si="321"/>
        <v>7911200000</v>
      </c>
      <c r="M174" s="859"/>
    </row>
    <row r="175" spans="2:13" x14ac:dyDescent="0.3">
      <c r="B175" s="873" t="s">
        <v>2754</v>
      </c>
      <c r="C175" s="876"/>
      <c r="D175" s="870" t="e">
        <f>D174/#REF!-1</f>
        <v>#REF!</v>
      </c>
      <c r="E175" s="870">
        <f>E174/D174-1</f>
        <v>8.2372989715431117</v>
      </c>
      <c r="F175" s="870">
        <f>F174/E174-1</f>
        <v>3.3003939817331824</v>
      </c>
      <c r="G175" s="870">
        <f t="shared" ref="G175:J175" si="322">G174/F174-1</f>
        <v>3.9911752934088023</v>
      </c>
      <c r="H175" s="870">
        <f t="shared" si="322"/>
        <v>0.18630105017502907</v>
      </c>
      <c r="I175" s="870">
        <f t="shared" si="322"/>
        <v>0.1704601341648142</v>
      </c>
      <c r="J175" s="870">
        <f t="shared" si="322"/>
        <v>0.15824061312985305</v>
      </c>
      <c r="K175" s="872"/>
      <c r="M175" s="859"/>
    </row>
    <row r="176" spans="2:13" x14ac:dyDescent="0.3">
      <c r="B176" s="874" t="s">
        <v>2782</v>
      </c>
      <c r="C176" s="876"/>
      <c r="D176" s="875">
        <f t="shared" ref="D176:J176" si="323">D174/D157</f>
        <v>7.413045625732936E-3</v>
      </c>
      <c r="E176" s="875">
        <f t="shared" si="323"/>
        <v>6.3175485853863747E-2</v>
      </c>
      <c r="F176" s="875">
        <f t="shared" si="323"/>
        <v>0.11303520355754114</v>
      </c>
      <c r="G176" s="875">
        <f t="shared" si="323"/>
        <v>0.14856462647928995</v>
      </c>
      <c r="H176" s="875">
        <f t="shared" si="323"/>
        <v>0.13493468675923689</v>
      </c>
      <c r="I176" s="875">
        <f t="shared" si="323"/>
        <v>0.13469710244341965</v>
      </c>
      <c r="J176" s="875">
        <f t="shared" si="323"/>
        <v>0.13449929445104777</v>
      </c>
      <c r="K176" s="872"/>
      <c r="M176" s="859"/>
    </row>
    <row r="177" spans="2:13" x14ac:dyDescent="0.3">
      <c r="B177" s="849" t="s">
        <v>2783</v>
      </c>
      <c r="C177" s="876"/>
      <c r="D177" s="123">
        <f t="shared" ref="D177:K177" si="324">D178*D179</f>
        <v>21611990</v>
      </c>
      <c r="E177" s="123">
        <f t="shared" si="324"/>
        <v>70845873</v>
      </c>
      <c r="F177" s="123">
        <f t="shared" si="324"/>
        <v>225919310</v>
      </c>
      <c r="G177" s="123">
        <f t="shared" si="324"/>
        <v>485000000</v>
      </c>
      <c r="H177" s="123">
        <f t="shared" si="324"/>
        <v>661700000</v>
      </c>
      <c r="I177" s="123">
        <f t="shared" si="324"/>
        <v>854400000</v>
      </c>
      <c r="J177" s="123">
        <f t="shared" si="324"/>
        <v>1065900000</v>
      </c>
      <c r="K177" s="236">
        <f t="shared" si="324"/>
        <v>1295800000</v>
      </c>
      <c r="M177" s="859"/>
    </row>
    <row r="178" spans="2:13" x14ac:dyDescent="0.3">
      <c r="B178" s="850" t="s">
        <v>2758</v>
      </c>
      <c r="C178" s="876"/>
      <c r="D178" s="876">
        <v>8</v>
      </c>
      <c r="E178" s="876">
        <v>8</v>
      </c>
      <c r="F178" s="876">
        <v>2</v>
      </c>
      <c r="G178" s="847">
        <f>'사업계획(매출 확정본)'!AI94</f>
        <v>10</v>
      </c>
      <c r="H178" s="847">
        <f>'사업계획(매출 확정본)'!AJ94</f>
        <v>13</v>
      </c>
      <c r="I178" s="847">
        <f>'사업계획(매출 확정본)'!AK94</f>
        <v>16</v>
      </c>
      <c r="J178" s="847">
        <f>'사업계획(매출 확정본)'!AL94</f>
        <v>19</v>
      </c>
      <c r="K178" s="872">
        <f>'사업계획(매출 확정본)'!AM94</f>
        <v>22</v>
      </c>
      <c r="M178" s="859"/>
    </row>
    <row r="179" spans="2:13" x14ac:dyDescent="0.3">
      <c r="B179" s="850" t="s">
        <v>2755</v>
      </c>
      <c r="C179" s="876"/>
      <c r="D179" s="876">
        <v>2701498.75</v>
      </c>
      <c r="E179" s="876">
        <v>8855734.125</v>
      </c>
      <c r="F179" s="876">
        <v>112959655</v>
      </c>
      <c r="G179" s="876">
        <f>'사업계획(매출 확정본)'!AI95</f>
        <v>48500000</v>
      </c>
      <c r="H179" s="876">
        <f>'사업계획(매출 확정본)'!AJ95</f>
        <v>50900000</v>
      </c>
      <c r="I179" s="876">
        <f>'사업계획(매출 확정본)'!AK95</f>
        <v>53400000</v>
      </c>
      <c r="J179" s="876">
        <f>'사업계획(매출 확정본)'!AL95</f>
        <v>56100000</v>
      </c>
      <c r="K179" s="884">
        <f>'사업계획(매출 확정본)'!AM95</f>
        <v>58900000</v>
      </c>
      <c r="M179" s="859"/>
    </row>
    <row r="180" spans="2:13" x14ac:dyDescent="0.3">
      <c r="B180" s="849" t="s">
        <v>649</v>
      </c>
      <c r="C180" s="876"/>
      <c r="D180" s="123">
        <f>IFERROR(D181*D182,0)</f>
        <v>0</v>
      </c>
      <c r="E180" s="123">
        <f t="shared" ref="E180:J180" si="325">IFERROR(E181*E182,0)</f>
        <v>128790540</v>
      </c>
      <c r="F180" s="123">
        <f t="shared" si="325"/>
        <v>130446004</v>
      </c>
      <c r="G180" s="123">
        <f t="shared" si="325"/>
        <v>0</v>
      </c>
      <c r="H180" s="123">
        <f t="shared" si="325"/>
        <v>0</v>
      </c>
      <c r="I180" s="123">
        <f t="shared" si="325"/>
        <v>0</v>
      </c>
      <c r="J180" s="123">
        <f t="shared" si="325"/>
        <v>0</v>
      </c>
      <c r="K180" s="872"/>
      <c r="M180" s="859"/>
    </row>
    <row r="181" spans="2:13" x14ac:dyDescent="0.3">
      <c r="B181" s="850" t="s">
        <v>2758</v>
      </c>
      <c r="C181" s="876"/>
      <c r="D181" s="876">
        <v>0</v>
      </c>
      <c r="E181" s="876">
        <v>1</v>
      </c>
      <c r="F181" s="876">
        <v>1</v>
      </c>
      <c r="G181" s="876"/>
      <c r="H181" s="876"/>
      <c r="I181" s="876"/>
      <c r="J181" s="876"/>
      <c r="K181" s="872"/>
      <c r="M181" s="859"/>
    </row>
    <row r="182" spans="2:13" x14ac:dyDescent="0.3">
      <c r="B182" s="850" t="s">
        <v>2755</v>
      </c>
      <c r="C182" s="876"/>
      <c r="D182" s="876" t="e">
        <v>#DIV/0!</v>
      </c>
      <c r="E182" s="876">
        <v>128790540</v>
      </c>
      <c r="F182" s="876">
        <v>130446004</v>
      </c>
      <c r="G182" s="876"/>
      <c r="H182" s="876"/>
      <c r="I182" s="876"/>
      <c r="J182" s="876"/>
      <c r="K182" s="872"/>
      <c r="M182" s="859"/>
    </row>
    <row r="183" spans="2:13" x14ac:dyDescent="0.3">
      <c r="B183" s="849" t="s">
        <v>648</v>
      </c>
      <c r="C183" s="876"/>
      <c r="D183" s="123">
        <f t="shared" ref="D183:K183" si="326">D184*D185</f>
        <v>0</v>
      </c>
      <c r="E183" s="123">
        <f>IFERROR(E184*E185,0)</f>
        <v>0</v>
      </c>
      <c r="F183" s="123">
        <f t="shared" si="326"/>
        <v>502149915</v>
      </c>
      <c r="G183" s="123">
        <f t="shared" si="326"/>
        <v>3800000000</v>
      </c>
      <c r="H183" s="123">
        <f t="shared" si="326"/>
        <v>4421600000</v>
      </c>
      <c r="I183" s="123">
        <f t="shared" si="326"/>
        <v>5095400000</v>
      </c>
      <c r="J183" s="123">
        <f t="shared" si="326"/>
        <v>5825400000</v>
      </c>
      <c r="K183" s="236">
        <f t="shared" si="326"/>
        <v>6615400000</v>
      </c>
      <c r="M183" s="859"/>
    </row>
    <row r="184" spans="2:13" x14ac:dyDescent="0.3">
      <c r="B184" s="850" t="s">
        <v>2758</v>
      </c>
      <c r="C184" s="876"/>
      <c r="D184" s="876">
        <v>8</v>
      </c>
      <c r="E184" s="876">
        <v>0</v>
      </c>
      <c r="F184" s="876">
        <v>3</v>
      </c>
      <c r="G184" s="876">
        <f>'사업계획(매출 확정본)'!AI82</f>
        <v>20</v>
      </c>
      <c r="H184" s="876">
        <f>'사업계획(매출 확정본)'!AJ82</f>
        <v>22</v>
      </c>
      <c r="I184" s="876">
        <f>'사업계획(매출 확정본)'!AK82</f>
        <v>24</v>
      </c>
      <c r="J184" s="876">
        <f>'사업계획(매출 확정본)'!AL82</f>
        <v>26</v>
      </c>
      <c r="K184" s="884">
        <f>'사업계획(매출 확정본)'!AM82</f>
        <v>28</v>
      </c>
      <c r="M184" s="859"/>
    </row>
    <row r="185" spans="2:13" x14ac:dyDescent="0.3">
      <c r="B185" s="850" t="s">
        <v>2755</v>
      </c>
      <c r="C185" s="876"/>
      <c r="D185" s="876">
        <v>0</v>
      </c>
      <c r="E185" s="876" t="e">
        <v>#DIV/0!</v>
      </c>
      <c r="F185" s="876">
        <v>167383305</v>
      </c>
      <c r="G185" s="123">
        <f>'사업계획(매출 확정본)'!AI83</f>
        <v>190000000</v>
      </c>
      <c r="H185" s="123">
        <f>'사업계획(매출 확정본)'!AJ83</f>
        <v>200981818.18181819</v>
      </c>
      <c r="I185" s="123">
        <f>'사업계획(매출 확정본)'!AK83</f>
        <v>212308333.33333334</v>
      </c>
      <c r="J185" s="123">
        <f>'사업계획(매출 확정본)'!AL83</f>
        <v>224053846.15384614</v>
      </c>
      <c r="K185" s="236">
        <f>'사업계획(매출 확정본)'!AM83</f>
        <v>236264285.7142857</v>
      </c>
      <c r="M185" s="859"/>
    </row>
    <row r="186" spans="2:13" x14ac:dyDescent="0.3">
      <c r="B186" s="850"/>
      <c r="C186" s="876"/>
      <c r="D186" s="876"/>
      <c r="E186" s="876"/>
      <c r="F186" s="876"/>
      <c r="G186" s="847"/>
      <c r="H186" s="847"/>
      <c r="I186" s="847"/>
      <c r="J186" s="847"/>
      <c r="K186" s="872"/>
      <c r="M186" s="859"/>
    </row>
    <row r="187" spans="2:13" x14ac:dyDescent="0.3">
      <c r="B187" s="844" t="s">
        <v>2784</v>
      </c>
      <c r="C187" s="876"/>
      <c r="D187" s="996">
        <f t="shared" ref="D187:K187" si="327">D190+D193+D196</f>
        <v>379465399</v>
      </c>
      <c r="E187" s="996">
        <f t="shared" si="327"/>
        <v>31038079</v>
      </c>
      <c r="F187" s="996">
        <f t="shared" si="327"/>
        <v>627452131</v>
      </c>
      <c r="G187" s="996">
        <f t="shared" si="327"/>
        <v>11666666666.666668</v>
      </c>
      <c r="H187" s="996">
        <f t="shared" si="327"/>
        <v>14059000000</v>
      </c>
      <c r="I187" s="996">
        <f t="shared" si="327"/>
        <v>16228900000</v>
      </c>
      <c r="J187" s="996">
        <f t="shared" si="327"/>
        <v>18580400000</v>
      </c>
      <c r="K187" s="999">
        <f t="shared" si="327"/>
        <v>21136400000</v>
      </c>
      <c r="M187" s="859"/>
    </row>
    <row r="188" spans="2:13" x14ac:dyDescent="0.3">
      <c r="B188" s="873" t="s">
        <v>2754</v>
      </c>
      <c r="C188" s="876"/>
      <c r="D188" s="870" t="e">
        <f>D187/#REF!-1</f>
        <v>#REF!</v>
      </c>
      <c r="E188" s="870">
        <f>E187/D187-1</f>
        <v>-0.91820577295902539</v>
      </c>
      <c r="F188" s="870">
        <f>F187/E187-1</f>
        <v>19.215559442322444</v>
      </c>
      <c r="G188" s="870">
        <f t="shared" ref="G188:J188" si="328">G187/F187-1</f>
        <v>17.593715903192411</v>
      </c>
      <c r="H188" s="870">
        <f t="shared" si="328"/>
        <v>0.20505714285714283</v>
      </c>
      <c r="I188" s="870">
        <f t="shared" si="328"/>
        <v>0.15434241411195671</v>
      </c>
      <c r="J188" s="870">
        <f t="shared" si="328"/>
        <v>0.14489583397519246</v>
      </c>
      <c r="K188" s="872"/>
      <c r="M188" s="859"/>
    </row>
    <row r="189" spans="2:13" x14ac:dyDescent="0.3">
      <c r="B189" s="874" t="s">
        <v>2782</v>
      </c>
      <c r="C189" s="876"/>
      <c r="D189" s="875">
        <f t="shared" ref="D189:J189" si="329">D187/D157</f>
        <v>0.1301589680623558</v>
      </c>
      <c r="E189" s="875">
        <f t="shared" si="329"/>
        <v>9.8220845151911519E-3</v>
      </c>
      <c r="F189" s="875">
        <f t="shared" si="329"/>
        <v>8.2612604825671607E-2</v>
      </c>
      <c r="G189" s="875">
        <f t="shared" si="329"/>
        <v>0.40449334319526631</v>
      </c>
      <c r="H189" s="875">
        <f t="shared" si="329"/>
        <v>0.37319197394371995</v>
      </c>
      <c r="I189" s="875">
        <f t="shared" si="329"/>
        <v>0.36740492215604109</v>
      </c>
      <c r="J189" s="875">
        <f t="shared" si="329"/>
        <v>0.36263849935690629</v>
      </c>
      <c r="K189" s="872"/>
      <c r="M189" s="859"/>
    </row>
    <row r="190" spans="2:13" x14ac:dyDescent="0.3">
      <c r="B190" s="849" t="s">
        <v>2783</v>
      </c>
      <c r="C190" s="876"/>
      <c r="D190" s="123">
        <f t="shared" ref="D190:K190" si="330">D191*D192</f>
        <v>379465399</v>
      </c>
      <c r="E190" s="123">
        <f t="shared" si="330"/>
        <v>31038079</v>
      </c>
      <c r="F190" s="123">
        <f t="shared" si="330"/>
        <v>16097844</v>
      </c>
      <c r="G190" s="123">
        <f t="shared" si="330"/>
        <v>0</v>
      </c>
      <c r="H190" s="123">
        <f t="shared" si="330"/>
        <v>584000000</v>
      </c>
      <c r="I190" s="123">
        <f t="shared" si="330"/>
        <v>796900000</v>
      </c>
      <c r="J190" s="123">
        <f t="shared" si="330"/>
        <v>1030400000</v>
      </c>
      <c r="K190" s="236">
        <f t="shared" si="330"/>
        <v>1284400000</v>
      </c>
      <c r="M190" s="859"/>
    </row>
    <row r="191" spans="2:13" x14ac:dyDescent="0.3">
      <c r="B191" s="850" t="s">
        <v>2758</v>
      </c>
      <c r="C191" s="876"/>
      <c r="D191" s="876">
        <v>11</v>
      </c>
      <c r="E191" s="876">
        <v>1</v>
      </c>
      <c r="F191" s="876">
        <v>1</v>
      </c>
      <c r="G191" s="847">
        <f>'사업계획(매출 확정본)'!AI97</f>
        <v>0</v>
      </c>
      <c r="H191" s="847">
        <f>'사업계획(매출 확정본)'!AJ97</f>
        <v>10</v>
      </c>
      <c r="I191" s="847">
        <f>'사업계획(매출 확정본)'!AK97</f>
        <v>13</v>
      </c>
      <c r="J191" s="847">
        <f>'사업계획(매출 확정본)'!AL97</f>
        <v>16</v>
      </c>
      <c r="K191" s="872">
        <f>'사업계획(매출 확정본)'!AM97</f>
        <v>19</v>
      </c>
    </row>
    <row r="192" spans="2:13" x14ac:dyDescent="0.3">
      <c r="B192" s="850" t="s">
        <v>2785</v>
      </c>
      <c r="C192" s="876"/>
      <c r="D192" s="876">
        <v>34496854.454545453</v>
      </c>
      <c r="E192" s="876">
        <v>31038079</v>
      </c>
      <c r="F192" s="876">
        <v>16097844</v>
      </c>
      <c r="G192" s="876">
        <f>'사업계획(매출 확정본)'!AI98</f>
        <v>95600000</v>
      </c>
      <c r="H192" s="876">
        <f>'사업계획(매출 확정본)'!AJ98</f>
        <v>58400000</v>
      </c>
      <c r="I192" s="876">
        <f>'사업계획(매출 확정본)'!AK98</f>
        <v>61300000</v>
      </c>
      <c r="J192" s="876">
        <f>'사업계획(매출 확정본)'!AL98</f>
        <v>64400000</v>
      </c>
      <c r="K192" s="884">
        <f>'사업계획(매출 확정본)'!AM98</f>
        <v>67600000</v>
      </c>
    </row>
    <row r="193" spans="2:19" x14ac:dyDescent="0.3">
      <c r="B193" s="849" t="s">
        <v>2786</v>
      </c>
      <c r="C193" s="876"/>
      <c r="D193" s="123">
        <f>IFERROR(D194*D195,0)</f>
        <v>0</v>
      </c>
      <c r="E193" s="123">
        <f t="shared" ref="E193:J193" si="331">IFERROR(E194*E195,0)</f>
        <v>0</v>
      </c>
      <c r="F193" s="123">
        <f t="shared" si="331"/>
        <v>0</v>
      </c>
      <c r="G193" s="123">
        <f t="shared" si="331"/>
        <v>0</v>
      </c>
      <c r="H193" s="123">
        <f t="shared" si="331"/>
        <v>0</v>
      </c>
      <c r="I193" s="123">
        <f t="shared" si="331"/>
        <v>0</v>
      </c>
      <c r="J193" s="123">
        <f t="shared" si="331"/>
        <v>0</v>
      </c>
      <c r="K193" s="872"/>
    </row>
    <row r="194" spans="2:19" x14ac:dyDescent="0.3">
      <c r="B194" s="850" t="s">
        <v>2753</v>
      </c>
      <c r="C194" s="876"/>
      <c r="D194" s="876">
        <v>0</v>
      </c>
      <c r="E194" s="876">
        <v>0</v>
      </c>
      <c r="F194" s="876">
        <v>0</v>
      </c>
      <c r="G194" s="876"/>
      <c r="H194" s="876"/>
      <c r="I194" s="876"/>
      <c r="J194" s="876"/>
      <c r="K194" s="872"/>
    </row>
    <row r="195" spans="2:19" x14ac:dyDescent="0.3">
      <c r="B195" s="850" t="s">
        <v>2785</v>
      </c>
      <c r="C195" s="876"/>
      <c r="D195" s="876" t="e">
        <v>#DIV/0!</v>
      </c>
      <c r="E195" s="876" t="e">
        <v>#DIV/0!</v>
      </c>
      <c r="F195" s="876" t="e">
        <v>#DIV/0!</v>
      </c>
      <c r="G195" s="876"/>
      <c r="H195" s="876"/>
      <c r="I195" s="876"/>
      <c r="J195" s="876"/>
      <c r="K195" s="872"/>
    </row>
    <row r="196" spans="2:19" x14ac:dyDescent="0.3">
      <c r="B196" s="849" t="s">
        <v>2768</v>
      </c>
      <c r="C196" s="876"/>
      <c r="D196" s="123">
        <f t="shared" ref="D196:K196" si="332">D197*D198</f>
        <v>0</v>
      </c>
      <c r="E196" s="123">
        <f>IFERROR(E197*E198,0)</f>
        <v>0</v>
      </c>
      <c r="F196" s="123">
        <f t="shared" si="332"/>
        <v>611354287</v>
      </c>
      <c r="G196" s="123">
        <f t="shared" si="332"/>
        <v>11666666666.666668</v>
      </c>
      <c r="H196" s="123">
        <f t="shared" si="332"/>
        <v>13475000000</v>
      </c>
      <c r="I196" s="123">
        <f t="shared" si="332"/>
        <v>15432000000</v>
      </c>
      <c r="J196" s="123">
        <f t="shared" si="332"/>
        <v>17550000000</v>
      </c>
      <c r="K196" s="236">
        <f t="shared" si="332"/>
        <v>19852000000</v>
      </c>
    </row>
    <row r="197" spans="2:19" x14ac:dyDescent="0.3">
      <c r="B197" s="850" t="s">
        <v>2753</v>
      </c>
      <c r="C197" s="876"/>
      <c r="D197" s="876">
        <v>11</v>
      </c>
      <c r="E197" s="876">
        <v>0</v>
      </c>
      <c r="F197" s="876">
        <v>7</v>
      </c>
      <c r="G197" s="876">
        <f>'사업계획(매출 확정본)'!AI85</f>
        <v>100</v>
      </c>
      <c r="H197" s="876">
        <f>'사업계획(매출 확정본)'!AJ85</f>
        <v>110</v>
      </c>
      <c r="I197" s="876">
        <f>'사업계획(매출 확정본)'!AK85</f>
        <v>120</v>
      </c>
      <c r="J197" s="876">
        <f>'사업계획(매출 확정본)'!AL85</f>
        <v>130</v>
      </c>
      <c r="K197" s="884">
        <f>'사업계획(매출 확정본)'!AM85</f>
        <v>140</v>
      </c>
    </row>
    <row r="198" spans="2:19" x14ac:dyDescent="0.3">
      <c r="B198" s="850" t="s">
        <v>2785</v>
      </c>
      <c r="C198" s="876"/>
      <c r="D198" s="876">
        <v>0</v>
      </c>
      <c r="E198" s="876" t="e">
        <v>#DIV/0!</v>
      </c>
      <c r="F198" s="876">
        <v>87336326.714285716</v>
      </c>
      <c r="G198" s="876">
        <f>'사업계획(매출 확정본)'!AI86</f>
        <v>116666666.66666667</v>
      </c>
      <c r="H198" s="876">
        <f>'사업계획(매출 확정본)'!AJ86</f>
        <v>122500000</v>
      </c>
      <c r="I198" s="876">
        <f>'사업계획(매출 확정본)'!AK86</f>
        <v>128600000</v>
      </c>
      <c r="J198" s="876">
        <f>'사업계획(매출 확정본)'!AL86</f>
        <v>135000000</v>
      </c>
      <c r="K198" s="884">
        <f>'사업계획(매출 확정본)'!AM86</f>
        <v>141800000</v>
      </c>
    </row>
    <row r="199" spans="2:19" x14ac:dyDescent="0.3">
      <c r="B199" s="850"/>
      <c r="C199" s="876"/>
      <c r="D199" s="876"/>
      <c r="E199" s="876"/>
      <c r="F199" s="876"/>
      <c r="G199" s="876"/>
      <c r="H199" s="876"/>
      <c r="I199" s="876"/>
      <c r="J199" s="876"/>
      <c r="K199" s="872"/>
    </row>
    <row r="200" spans="2:19" x14ac:dyDescent="0.3">
      <c r="B200" s="844" t="s">
        <v>2787</v>
      </c>
      <c r="C200" s="876"/>
      <c r="D200" s="996">
        <v>844900857</v>
      </c>
      <c r="E200" s="996">
        <v>718476680</v>
      </c>
      <c r="F200" s="996">
        <v>165790292</v>
      </c>
      <c r="G200" s="996">
        <f>'사업계획(매출 확정본)'!AI87</f>
        <v>3500000000</v>
      </c>
      <c r="H200" s="996">
        <f>'사업계획(매출 확정본)'!AJ87</f>
        <v>3500000000</v>
      </c>
      <c r="I200" s="996">
        <f>'사업계획(매출 확정본)'!AK87</f>
        <v>3500000000</v>
      </c>
      <c r="J200" s="996">
        <f>'사업계획(매출 확정본)'!AL87</f>
        <v>3500000000</v>
      </c>
      <c r="K200" s="999">
        <f>J200</f>
        <v>3500000000</v>
      </c>
      <c r="L200" s="966" t="s">
        <v>2962</v>
      </c>
    </row>
    <row r="201" spans="2:19" x14ac:dyDescent="0.3">
      <c r="B201" s="873" t="s">
        <v>2748</v>
      </c>
      <c r="C201" s="876"/>
      <c r="D201" s="870" t="e">
        <f>D200/#REF!-1</f>
        <v>#REF!</v>
      </c>
      <c r="E201" s="870">
        <f>E200/D200-1</f>
        <v>-0.14963196681903712</v>
      </c>
      <c r="F201" s="870">
        <f>F200/E200-1</f>
        <v>-0.76924749735788223</v>
      </c>
      <c r="G201" s="870">
        <f t="shared" ref="G201:J201" si="333">G200/F200-1</f>
        <v>20.111006909861768</v>
      </c>
      <c r="H201" s="870">
        <f t="shared" si="333"/>
        <v>0</v>
      </c>
      <c r="I201" s="870">
        <f t="shared" si="333"/>
        <v>0</v>
      </c>
      <c r="J201" s="870">
        <f t="shared" si="333"/>
        <v>0</v>
      </c>
      <c r="K201" s="872"/>
    </row>
    <row r="202" spans="2:19" x14ac:dyDescent="0.3">
      <c r="B202" s="874" t="s">
        <v>2788</v>
      </c>
      <c r="C202" s="876"/>
      <c r="D202" s="875">
        <f t="shared" ref="D202:J202" si="334">D200/D$157</f>
        <v>0.28980619564241233</v>
      </c>
      <c r="E202" s="875">
        <f t="shared" si="334"/>
        <v>0.2273638994589178</v>
      </c>
      <c r="F202" s="875">
        <f t="shared" si="334"/>
        <v>2.1828546275076251E-2</v>
      </c>
      <c r="G202" s="875">
        <f t="shared" si="334"/>
        <v>0.12134800295857988</v>
      </c>
      <c r="H202" s="875">
        <f t="shared" si="334"/>
        <v>9.2906459122485227E-2</v>
      </c>
      <c r="I202" s="875">
        <f t="shared" si="334"/>
        <v>7.9236253076064536E-2</v>
      </c>
      <c r="J202" s="875">
        <f t="shared" si="334"/>
        <v>6.8310410311358843E-2</v>
      </c>
      <c r="K202" s="872"/>
      <c r="L202" s="10">
        <v>2915.399566</v>
      </c>
      <c r="M202" s="10">
        <v>3160.0297220000002</v>
      </c>
      <c r="N202" s="10">
        <v>7595.1137519999993</v>
      </c>
      <c r="O202" s="10">
        <v>21198.5</v>
      </c>
      <c r="P202" s="10">
        <v>25961.3</v>
      </c>
      <c r="Q202" s="10">
        <v>31731.699999999997</v>
      </c>
      <c r="R202" s="10">
        <v>36964.199999999997</v>
      </c>
      <c r="S202" s="10">
        <v>42646.600000000006</v>
      </c>
    </row>
    <row r="203" spans="2:19" x14ac:dyDescent="0.3">
      <c r="B203" s="874"/>
      <c r="C203" s="876"/>
      <c r="D203" s="875"/>
      <c r="E203" s="875"/>
      <c r="F203" s="875"/>
      <c r="G203" s="875"/>
      <c r="H203" s="875"/>
      <c r="I203" s="875"/>
      <c r="J203" s="875"/>
      <c r="K203" s="872"/>
    </row>
    <row r="204" spans="2:19" x14ac:dyDescent="0.3">
      <c r="B204" s="873" t="s">
        <v>2789</v>
      </c>
      <c r="C204" s="876"/>
      <c r="D204" s="963">
        <f>D200+D187+D174+D161</f>
        <v>2915399566</v>
      </c>
      <c r="E204" s="963">
        <f t="shared" ref="E204:K204" si="335">E200+E187+E174+E161</f>
        <v>3160029722</v>
      </c>
      <c r="F204" s="963">
        <f t="shared" si="335"/>
        <v>7595113752</v>
      </c>
      <c r="G204" s="963">
        <f t="shared" si="335"/>
        <v>28842666666.666668</v>
      </c>
      <c r="H204" s="963">
        <f t="shared" si="335"/>
        <v>37672300000</v>
      </c>
      <c r="I204" s="963">
        <f t="shared" si="335"/>
        <v>44171700000</v>
      </c>
      <c r="J204" s="963">
        <f t="shared" si="335"/>
        <v>51236700000</v>
      </c>
      <c r="K204" s="1000">
        <f t="shared" si="335"/>
        <v>60271100000</v>
      </c>
    </row>
    <row r="205" spans="2:19" x14ac:dyDescent="0.3">
      <c r="B205" s="873"/>
      <c r="C205" s="876"/>
      <c r="D205" s="963"/>
      <c r="E205" s="963"/>
      <c r="F205" s="963"/>
      <c r="G205" s="963" t="b">
        <f>G204='사업계획(매출 확정본)'!AI102</f>
        <v>1</v>
      </c>
      <c r="H205" s="963" t="b">
        <f>H204='사업계획(매출 확정본)'!AJ102</f>
        <v>1</v>
      </c>
      <c r="I205" s="963" t="b">
        <f>I204='사업계획(매출 확정본)'!AK102</f>
        <v>1</v>
      </c>
      <c r="J205" s="963" t="b">
        <f>J204='사업계획(매출 확정본)'!AL102</f>
        <v>1</v>
      </c>
      <c r="K205" s="1000" t="b">
        <f>K204='사업계획(매출 확정본)'!AM102</f>
        <v>1</v>
      </c>
    </row>
    <row r="206" spans="2:19" ht="14.25" thickBot="1" x14ac:dyDescent="0.35">
      <c r="B206" s="1481"/>
      <c r="C206" s="1480"/>
      <c r="D206" s="1482"/>
      <c r="E206" s="1482"/>
      <c r="F206" s="1482"/>
      <c r="G206" s="1482"/>
      <c r="H206" s="1482"/>
      <c r="I206" s="1482"/>
      <c r="J206" s="1482"/>
      <c r="K206" s="1474"/>
    </row>
    <row r="207" spans="2:19" x14ac:dyDescent="0.3">
      <c r="B207" s="851"/>
    </row>
    <row r="208" spans="2:19" x14ac:dyDescent="0.3">
      <c r="B208" s="862" t="s">
        <v>2791</v>
      </c>
      <c r="C208" s="863"/>
      <c r="D208" s="863"/>
      <c r="E208" s="863"/>
      <c r="F208" s="863"/>
      <c r="G208" s="863"/>
      <c r="H208" s="863"/>
      <c r="I208" s="863"/>
      <c r="J208" s="997"/>
      <c r="K208" s="997"/>
    </row>
    <row r="209" spans="2:12" x14ac:dyDescent="0.3">
      <c r="B209" s="864" t="s">
        <v>2746</v>
      </c>
      <c r="C209" s="865"/>
      <c r="D209" s="865">
        <f>'Pro forma'!E$5</f>
        <v>2015</v>
      </c>
      <c r="E209" s="865">
        <f>'Pro forma'!F$5</f>
        <v>2016</v>
      </c>
      <c r="F209" s="866">
        <f>'Pro forma'!G$5</f>
        <v>2017</v>
      </c>
      <c r="G209" s="867">
        <f>'Pro forma'!H$5</f>
        <v>2018</v>
      </c>
      <c r="H209" s="867">
        <f>'Pro forma'!I$5</f>
        <v>2019</v>
      </c>
      <c r="I209" s="867">
        <f>'Pro forma'!J$5</f>
        <v>2020</v>
      </c>
      <c r="J209" s="867">
        <f>'Pro forma'!K$5</f>
        <v>2021</v>
      </c>
      <c r="K209" s="868">
        <f>J209+1</f>
        <v>2022</v>
      </c>
    </row>
    <row r="210" spans="2:12" x14ac:dyDescent="0.3">
      <c r="B210" s="1001" t="s">
        <v>2793</v>
      </c>
      <c r="D210" s="1004">
        <f>D212</f>
        <v>3664294921</v>
      </c>
      <c r="E210" s="1004">
        <f t="shared" ref="E210:F210" si="336">E212</f>
        <v>3363198851</v>
      </c>
      <c r="F210" s="1004">
        <f t="shared" si="336"/>
        <v>3678290460</v>
      </c>
      <c r="G210" s="1004">
        <f>G214*G215</f>
        <v>5896230895.1452065</v>
      </c>
      <c r="H210" s="1004">
        <f t="shared" ref="H210:K210" si="337">H214*H215</f>
        <v>7521674405.577898</v>
      </c>
      <c r="I210" s="1004">
        <f t="shared" si="337"/>
        <v>9891185346.0422173</v>
      </c>
      <c r="J210" s="1004">
        <f t="shared" si="337"/>
        <v>10945886495.758314</v>
      </c>
      <c r="K210" s="1005">
        <f t="shared" si="337"/>
        <v>11911830643.43812</v>
      </c>
    </row>
    <row r="211" spans="2:12" x14ac:dyDescent="0.3">
      <c r="B211" s="235"/>
      <c r="F211" s="1002"/>
      <c r="G211" s="847"/>
      <c r="H211" s="847"/>
      <c r="I211" s="847"/>
      <c r="J211" s="847"/>
      <c r="K211" s="872"/>
    </row>
    <row r="212" spans="2:12" x14ac:dyDescent="0.3">
      <c r="B212" s="235" t="s">
        <v>2792</v>
      </c>
      <c r="D212" s="876">
        <f>IS!E7</f>
        <v>3664294921</v>
      </c>
      <c r="E212" s="876">
        <f>IS!F7</f>
        <v>3363198851</v>
      </c>
      <c r="F212" s="876">
        <v>3678290460</v>
      </c>
      <c r="G212" s="876">
        <f>'사업계획(매출 확정본)'!AI106</f>
        <v>5896230895.1452065</v>
      </c>
      <c r="H212" s="876">
        <f>'사업계획(매출 확정본)'!AJ106</f>
        <v>7521674405.577898</v>
      </c>
      <c r="I212" s="876">
        <f>'사업계획(매출 확정본)'!AK106</f>
        <v>9891185346.0422173</v>
      </c>
      <c r="J212" s="876">
        <f>'사업계획(매출 확정본)'!AL106</f>
        <v>10945886495.758314</v>
      </c>
      <c r="K212" s="884">
        <f>'사업계획(매출 확정본)'!AM106</f>
        <v>11911830643.43812</v>
      </c>
      <c r="L212" s="966" t="s">
        <v>3234</v>
      </c>
    </row>
    <row r="213" spans="2:12" x14ac:dyDescent="0.3">
      <c r="B213" s="235" t="s">
        <v>3235</v>
      </c>
      <c r="D213" s="876"/>
      <c r="E213" s="876"/>
      <c r="F213" s="876"/>
      <c r="G213" s="876">
        <f>G214*G215</f>
        <v>5896230895.1452065</v>
      </c>
      <c r="H213" s="876">
        <f t="shared" ref="H213:K213" si="338">H214*H215</f>
        <v>7521674405.577898</v>
      </c>
      <c r="I213" s="876">
        <f t="shared" si="338"/>
        <v>9891185346.0422173</v>
      </c>
      <c r="J213" s="876">
        <f t="shared" si="338"/>
        <v>10945886495.758314</v>
      </c>
      <c r="K213" s="884">
        <f t="shared" si="338"/>
        <v>11911830643.43812</v>
      </c>
      <c r="L213" s="966"/>
    </row>
    <row r="214" spans="2:12" x14ac:dyDescent="0.3">
      <c r="B214" s="235" t="s">
        <v>3265</v>
      </c>
      <c r="D214" s="876">
        <f>D150</f>
        <v>55129322651</v>
      </c>
      <c r="E214" s="876">
        <f t="shared" ref="E214:K214" si="339">E150</f>
        <v>74962145393.545456</v>
      </c>
      <c r="F214" s="876">
        <f t="shared" si="339"/>
        <v>79031855856.272736</v>
      </c>
      <c r="G214" s="876">
        <f t="shared" si="339"/>
        <v>112042800000</v>
      </c>
      <c r="H214" s="876">
        <f>H150</f>
        <v>142930200000</v>
      </c>
      <c r="I214" s="876">
        <f t="shared" si="339"/>
        <v>187956700000</v>
      </c>
      <c r="J214" s="876">
        <f t="shared" si="339"/>
        <v>207998600000</v>
      </c>
      <c r="K214" s="876">
        <f t="shared" si="339"/>
        <v>226353900000</v>
      </c>
    </row>
    <row r="215" spans="2:12" x14ac:dyDescent="0.3">
      <c r="B215" s="388" t="s">
        <v>2172</v>
      </c>
      <c r="D215" s="1483">
        <f>D212/D214</f>
        <v>6.6467258163084519E-2</v>
      </c>
      <c r="E215" s="1483">
        <f>E212/E214</f>
        <v>4.4865296121708718E-2</v>
      </c>
      <c r="F215" s="1483">
        <f>F212/F214</f>
        <v>4.6541871251123544E-2</v>
      </c>
      <c r="G215" s="1483">
        <f>AVERAGE(D215:F215)</f>
        <v>5.2624808511972265E-2</v>
      </c>
      <c r="H215" s="1483">
        <f>G215</f>
        <v>5.2624808511972265E-2</v>
      </c>
      <c r="I215" s="1483">
        <f t="shared" ref="I215:K215" si="340">H215</f>
        <v>5.2624808511972265E-2</v>
      </c>
      <c r="J215" s="1483">
        <f t="shared" si="340"/>
        <v>5.2624808511972265E-2</v>
      </c>
      <c r="K215" s="1484">
        <f t="shared" si="340"/>
        <v>5.2624808511972265E-2</v>
      </c>
      <c r="L215" s="10" t="s">
        <v>3266</v>
      </c>
    </row>
    <row r="216" spans="2:12" ht="14.25" thickBot="1" x14ac:dyDescent="0.35">
      <c r="B216" s="1479"/>
      <c r="C216" s="1480"/>
      <c r="D216" s="1480"/>
      <c r="E216" s="1480"/>
      <c r="F216" s="1480"/>
      <c r="G216" s="1480"/>
      <c r="H216" s="1480"/>
      <c r="I216" s="1480"/>
      <c r="J216" s="1480"/>
      <c r="K216" s="1474"/>
    </row>
    <row r="218" spans="2:12" x14ac:dyDescent="0.3">
      <c r="B218" s="862" t="s">
        <v>2955</v>
      </c>
      <c r="C218" s="863"/>
      <c r="D218" s="863"/>
      <c r="E218" s="863"/>
      <c r="F218" s="863"/>
      <c r="G218" s="863"/>
      <c r="H218" s="863"/>
      <c r="I218" s="863"/>
      <c r="J218" s="997"/>
      <c r="K218" s="997"/>
    </row>
    <row r="219" spans="2:12" x14ac:dyDescent="0.3">
      <c r="B219" s="864" t="s">
        <v>2746</v>
      </c>
      <c r="C219" s="865"/>
      <c r="D219" s="865">
        <f>'Pro forma'!E$5</f>
        <v>2015</v>
      </c>
      <c r="E219" s="865">
        <f>'Pro forma'!F$5</f>
        <v>2016</v>
      </c>
      <c r="F219" s="866">
        <f>'Pro forma'!G$5</f>
        <v>2017</v>
      </c>
      <c r="G219" s="867">
        <f>'Pro forma'!H$5</f>
        <v>2018</v>
      </c>
      <c r="H219" s="867">
        <f>'Pro forma'!I$5</f>
        <v>2019</v>
      </c>
      <c r="I219" s="867">
        <f>'Pro forma'!J$5</f>
        <v>2020</v>
      </c>
      <c r="J219" s="867">
        <f>'Pro forma'!K$5</f>
        <v>2021</v>
      </c>
      <c r="K219" s="868">
        <v>2022</v>
      </c>
    </row>
    <row r="220" spans="2:12" x14ac:dyDescent="0.3">
      <c r="B220" s="1001" t="s">
        <v>2957</v>
      </c>
      <c r="D220" s="876">
        <f>D222</f>
        <v>0</v>
      </c>
      <c r="E220" s="876">
        <f t="shared" ref="E220:F220" si="341">E222</f>
        <v>0</v>
      </c>
      <c r="F220" s="876">
        <f t="shared" si="341"/>
        <v>0</v>
      </c>
      <c r="G220" s="1004">
        <f>G222+G223</f>
        <v>2734000000</v>
      </c>
      <c r="H220" s="1004">
        <f t="shared" ref="H220:K220" si="342">H222+H223</f>
        <v>3200000000</v>
      </c>
      <c r="I220" s="1004">
        <f t="shared" si="342"/>
        <v>4250000000</v>
      </c>
      <c r="J220" s="1004">
        <f t="shared" si="342"/>
        <v>2300000000</v>
      </c>
      <c r="K220" s="1005">
        <f t="shared" si="342"/>
        <v>4667500000</v>
      </c>
    </row>
    <row r="221" spans="2:12" x14ac:dyDescent="0.3">
      <c r="B221" s="235"/>
      <c r="F221" s="1002"/>
      <c r="G221" s="847"/>
      <c r="H221" s="847"/>
      <c r="I221" s="847"/>
      <c r="J221" s="847"/>
      <c r="K221" s="872"/>
    </row>
    <row r="222" spans="2:12" x14ac:dyDescent="0.3">
      <c r="B222" s="235" t="s">
        <v>3264</v>
      </c>
      <c r="D222" s="876"/>
      <c r="E222" s="876"/>
      <c r="F222" s="876"/>
      <c r="G222" s="876">
        <f>'사업계획(원재료)'!AH147</f>
        <v>2734000000</v>
      </c>
      <c r="H222" s="876">
        <f>'사업계획(원재료)'!AI147</f>
        <v>1300000000</v>
      </c>
      <c r="I222" s="876">
        <f>'사업계획(원재료)'!AJ147</f>
        <v>1400000000</v>
      </c>
      <c r="J222" s="876">
        <f>'사업계획(원재료)'!AK147</f>
        <v>2300000000</v>
      </c>
      <c r="K222" s="884">
        <f>'사업계획(원재료)'!AL147</f>
        <v>1933500000</v>
      </c>
      <c r="L222" s="10" t="s">
        <v>3263</v>
      </c>
    </row>
    <row r="223" spans="2:12" x14ac:dyDescent="0.3">
      <c r="B223" s="235"/>
      <c r="D223" s="876"/>
      <c r="E223" s="876"/>
      <c r="F223" s="876"/>
      <c r="G223" s="876"/>
      <c r="H223" s="876">
        <v>1900000000</v>
      </c>
      <c r="I223" s="876">
        <v>2850000000</v>
      </c>
      <c r="J223" s="876"/>
      <c r="K223" s="884">
        <f>G222</f>
        <v>2734000000</v>
      </c>
      <c r="L223" s="10" t="s">
        <v>3260</v>
      </c>
    </row>
    <row r="224" spans="2:12" ht="14.25" thickBot="1" x14ac:dyDescent="0.35">
      <c r="B224" s="1479"/>
      <c r="C224" s="1480"/>
      <c r="D224" s="1480"/>
      <c r="E224" s="1480"/>
      <c r="F224" s="1480"/>
      <c r="G224" s="1480"/>
      <c r="H224" s="1480"/>
      <c r="I224" s="1480"/>
      <c r="J224" s="1480"/>
      <c r="K224" s="1474"/>
      <c r="L224" s="10" t="s">
        <v>3261</v>
      </c>
    </row>
    <row r="225" spans="12:12" x14ac:dyDescent="0.3">
      <c r="L225" s="10" t="s">
        <v>3262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0"/>
  <sheetViews>
    <sheetView topLeftCell="A865" workbookViewId="0">
      <selection activeCell="B882" sqref="B882"/>
    </sheetView>
  </sheetViews>
  <sheetFormatPr defaultRowHeight="16.5" x14ac:dyDescent="0.3"/>
  <cols>
    <col min="1" max="1" width="10.25" customWidth="1"/>
    <col min="2" max="3" width="9" customWidth="1"/>
    <col min="5" max="5" width="14.625" bestFit="1" customWidth="1"/>
  </cols>
  <sheetData>
    <row r="1" spans="1:6" x14ac:dyDescent="0.3">
      <c r="A1" t="s">
        <v>3372</v>
      </c>
      <c r="B1" t="s">
        <v>3373</v>
      </c>
      <c r="C1" t="s">
        <v>3374</v>
      </c>
      <c r="D1" t="s">
        <v>3375</v>
      </c>
      <c r="E1" t="s">
        <v>3376</v>
      </c>
      <c r="F1" t="s">
        <v>3377</v>
      </c>
    </row>
    <row r="2" spans="1:6" x14ac:dyDescent="0.3">
      <c r="A2">
        <v>13</v>
      </c>
      <c r="B2" t="s">
        <v>2037</v>
      </c>
      <c r="C2" t="s">
        <v>3586</v>
      </c>
      <c r="E2">
        <v>36883000</v>
      </c>
      <c r="F2">
        <v>36883000</v>
      </c>
    </row>
    <row r="3" spans="1:6" x14ac:dyDescent="0.3">
      <c r="A3">
        <v>13</v>
      </c>
      <c r="B3" t="s">
        <v>2037</v>
      </c>
      <c r="C3" t="s">
        <v>3587</v>
      </c>
      <c r="E3">
        <v>38000000</v>
      </c>
      <c r="F3">
        <v>74883000</v>
      </c>
    </row>
    <row r="4" spans="1:6" x14ac:dyDescent="0.3">
      <c r="A4">
        <v>13</v>
      </c>
      <c r="B4" t="s">
        <v>2028</v>
      </c>
      <c r="C4" t="s">
        <v>3588</v>
      </c>
      <c r="E4">
        <v>12864000</v>
      </c>
      <c r="F4">
        <v>87747000</v>
      </c>
    </row>
    <row r="5" spans="1:6" x14ac:dyDescent="0.3">
      <c r="A5">
        <v>13</v>
      </c>
      <c r="B5" t="s">
        <v>2037</v>
      </c>
      <c r="C5" t="s">
        <v>3589</v>
      </c>
      <c r="E5">
        <v>38500000</v>
      </c>
      <c r="F5">
        <v>126247000</v>
      </c>
    </row>
    <row r="6" spans="1:6" x14ac:dyDescent="0.3">
      <c r="A6">
        <v>13</v>
      </c>
      <c r="B6" t="s">
        <v>3590</v>
      </c>
      <c r="C6" t="s">
        <v>3591</v>
      </c>
      <c r="E6">
        <v>13000000</v>
      </c>
      <c r="F6">
        <v>139247000</v>
      </c>
    </row>
    <row r="7" spans="1:6" x14ac:dyDescent="0.3">
      <c r="A7">
        <v>13</v>
      </c>
      <c r="B7" t="s">
        <v>2039</v>
      </c>
      <c r="C7" t="s">
        <v>3592</v>
      </c>
      <c r="E7">
        <v>41870000</v>
      </c>
      <c r="F7">
        <v>181117000</v>
      </c>
    </row>
    <row r="8" spans="1:6" x14ac:dyDescent="0.3">
      <c r="A8">
        <v>13</v>
      </c>
      <c r="B8" t="s">
        <v>2028</v>
      </c>
      <c r="C8" t="s">
        <v>3593</v>
      </c>
      <c r="E8">
        <v>12880000</v>
      </c>
      <c r="F8">
        <v>193997000</v>
      </c>
    </row>
    <row r="9" spans="1:6" x14ac:dyDescent="0.3">
      <c r="A9">
        <v>13</v>
      </c>
      <c r="B9" t="s">
        <v>2037</v>
      </c>
      <c r="C9" t="s">
        <v>3594</v>
      </c>
      <c r="E9">
        <v>41818189</v>
      </c>
      <c r="F9">
        <v>235815189</v>
      </c>
    </row>
    <row r="10" spans="1:6" x14ac:dyDescent="0.3">
      <c r="A10">
        <v>13</v>
      </c>
      <c r="B10" t="s">
        <v>2039</v>
      </c>
      <c r="C10" t="s">
        <v>3595</v>
      </c>
      <c r="E10">
        <v>40300000</v>
      </c>
      <c r="F10">
        <v>158207594.5</v>
      </c>
    </row>
    <row r="11" spans="1:6" x14ac:dyDescent="0.3">
      <c r="A11">
        <v>13</v>
      </c>
      <c r="B11" t="s">
        <v>2039</v>
      </c>
      <c r="C11" t="s">
        <v>3595</v>
      </c>
      <c r="E11">
        <v>40300000</v>
      </c>
      <c r="F11">
        <v>158207594.5</v>
      </c>
    </row>
    <row r="12" spans="1:6" x14ac:dyDescent="0.3">
      <c r="A12">
        <v>13</v>
      </c>
      <c r="B12" t="s">
        <v>3596</v>
      </c>
      <c r="C12" t="s">
        <v>3597</v>
      </c>
      <c r="E12">
        <v>51580000</v>
      </c>
      <c r="F12">
        <v>367995189</v>
      </c>
    </row>
    <row r="13" spans="1:6" x14ac:dyDescent="0.3">
      <c r="A13">
        <v>13</v>
      </c>
      <c r="B13" t="s">
        <v>2037</v>
      </c>
      <c r="C13" t="s">
        <v>3594</v>
      </c>
      <c r="E13">
        <v>-41818182</v>
      </c>
      <c r="F13">
        <v>326177007</v>
      </c>
    </row>
    <row r="14" spans="1:6" x14ac:dyDescent="0.3">
      <c r="A14">
        <v>13</v>
      </c>
      <c r="B14" t="s">
        <v>2037</v>
      </c>
      <c r="C14" t="s">
        <v>3594</v>
      </c>
      <c r="E14">
        <v>41818182</v>
      </c>
      <c r="F14">
        <v>367995189</v>
      </c>
    </row>
    <row r="15" spans="1:6" x14ac:dyDescent="0.3">
      <c r="A15">
        <v>13</v>
      </c>
      <c r="B15" t="s">
        <v>2037</v>
      </c>
      <c r="C15" t="s">
        <v>3594</v>
      </c>
      <c r="E15">
        <v>-41818189</v>
      </c>
      <c r="F15">
        <v>326177000</v>
      </c>
    </row>
    <row r="16" spans="1:6" x14ac:dyDescent="0.3">
      <c r="A16">
        <v>13</v>
      </c>
      <c r="B16" t="s">
        <v>2037</v>
      </c>
      <c r="C16" t="s">
        <v>3594</v>
      </c>
      <c r="E16">
        <v>41818182</v>
      </c>
      <c r="F16">
        <v>367995182</v>
      </c>
    </row>
    <row r="17" spans="1:6" x14ac:dyDescent="0.3">
      <c r="A17">
        <v>13</v>
      </c>
      <c r="B17" t="s">
        <v>2037</v>
      </c>
      <c r="C17" t="s">
        <v>3598</v>
      </c>
      <c r="E17">
        <v>37500000</v>
      </c>
      <c r="F17">
        <v>405495182</v>
      </c>
    </row>
    <row r="18" spans="1:6" x14ac:dyDescent="0.3">
      <c r="A18">
        <v>13</v>
      </c>
      <c r="B18" t="s">
        <v>2027</v>
      </c>
      <c r="C18" t="s">
        <v>3599</v>
      </c>
      <c r="E18">
        <v>16220000</v>
      </c>
      <c r="F18">
        <v>421715182</v>
      </c>
    </row>
    <row r="19" spans="1:6" x14ac:dyDescent="0.3">
      <c r="A19">
        <v>13</v>
      </c>
      <c r="B19" t="s">
        <v>2037</v>
      </c>
      <c r="C19" t="s">
        <v>3600</v>
      </c>
      <c r="E19">
        <v>38383000</v>
      </c>
      <c r="F19">
        <v>460098182</v>
      </c>
    </row>
    <row r="20" spans="1:6" x14ac:dyDescent="0.3">
      <c r="A20">
        <v>13</v>
      </c>
      <c r="B20" t="s">
        <v>3601</v>
      </c>
      <c r="C20" t="s">
        <v>3602</v>
      </c>
      <c r="E20">
        <v>136000000</v>
      </c>
      <c r="F20">
        <v>596098182</v>
      </c>
    </row>
    <row r="21" spans="1:6" x14ac:dyDescent="0.3">
      <c r="A21">
        <v>13</v>
      </c>
      <c r="B21" t="s">
        <v>2037</v>
      </c>
      <c r="C21" t="s">
        <v>3603</v>
      </c>
      <c r="E21">
        <v>38181818</v>
      </c>
      <c r="F21">
        <v>634280000</v>
      </c>
    </row>
    <row r="22" spans="1:6" x14ac:dyDescent="0.3">
      <c r="A22">
        <v>13</v>
      </c>
      <c r="B22" t="s">
        <v>2043</v>
      </c>
      <c r="C22" t="s">
        <v>3604</v>
      </c>
      <c r="E22">
        <v>51000000</v>
      </c>
      <c r="F22">
        <v>685280000</v>
      </c>
    </row>
    <row r="23" spans="1:6" x14ac:dyDescent="0.3">
      <c r="A23">
        <v>13</v>
      </c>
      <c r="B23" t="s">
        <v>2039</v>
      </c>
      <c r="C23" t="s">
        <v>3605</v>
      </c>
      <c r="E23">
        <v>39690000</v>
      </c>
      <c r="F23">
        <v>724970000</v>
      </c>
    </row>
    <row r="24" spans="1:6" x14ac:dyDescent="0.3">
      <c r="A24">
        <v>13</v>
      </c>
      <c r="B24" t="s">
        <v>3606</v>
      </c>
      <c r="C24" t="s">
        <v>3597</v>
      </c>
      <c r="E24">
        <v>19946000</v>
      </c>
      <c r="F24">
        <v>744916000</v>
      </c>
    </row>
    <row r="25" spans="1:6" x14ac:dyDescent="0.3">
      <c r="A25">
        <v>13</v>
      </c>
      <c r="B25" t="s">
        <v>3937</v>
      </c>
      <c r="C25" t="s">
        <v>3607</v>
      </c>
      <c r="E25">
        <v>38181818</v>
      </c>
      <c r="F25">
        <v>783097818</v>
      </c>
    </row>
    <row r="26" spans="1:6" x14ac:dyDescent="0.3">
      <c r="A26">
        <v>13</v>
      </c>
      <c r="B26" t="s">
        <v>3937</v>
      </c>
      <c r="C26" t="s">
        <v>3608</v>
      </c>
      <c r="E26">
        <v>36500000</v>
      </c>
      <c r="F26">
        <v>819597818</v>
      </c>
    </row>
    <row r="27" spans="1:6" x14ac:dyDescent="0.3">
      <c r="A27">
        <v>13</v>
      </c>
      <c r="B27" t="s">
        <v>2041</v>
      </c>
      <c r="C27" t="s">
        <v>3609</v>
      </c>
      <c r="E27">
        <v>54000000</v>
      </c>
      <c r="F27">
        <v>463798909</v>
      </c>
    </row>
    <row r="28" spans="1:6" x14ac:dyDescent="0.3">
      <c r="A28">
        <v>13</v>
      </c>
      <c r="B28" t="s">
        <v>2041</v>
      </c>
      <c r="C28" t="s">
        <v>3609</v>
      </c>
      <c r="E28">
        <v>54000000</v>
      </c>
      <c r="F28">
        <v>463798909</v>
      </c>
    </row>
    <row r="29" spans="1:6" x14ac:dyDescent="0.3">
      <c r="A29">
        <v>13</v>
      </c>
      <c r="B29" t="s">
        <v>3610</v>
      </c>
      <c r="C29" t="s">
        <v>3597</v>
      </c>
      <c r="E29">
        <v>4903000</v>
      </c>
      <c r="F29">
        <v>932500818</v>
      </c>
    </row>
    <row r="30" spans="1:6" x14ac:dyDescent="0.3">
      <c r="A30">
        <v>13</v>
      </c>
      <c r="B30" t="s">
        <v>7152</v>
      </c>
      <c r="C30" t="s">
        <v>3611</v>
      </c>
      <c r="E30">
        <v>44363636</v>
      </c>
      <c r="F30">
        <v>976864454</v>
      </c>
    </row>
    <row r="31" spans="1:6" x14ac:dyDescent="0.3">
      <c r="A31">
        <v>13</v>
      </c>
      <c r="B31" t="s">
        <v>3937</v>
      </c>
      <c r="C31" t="s">
        <v>3612</v>
      </c>
      <c r="E31">
        <v>42000000</v>
      </c>
      <c r="F31">
        <v>1018864454</v>
      </c>
    </row>
    <row r="32" spans="1:6" x14ac:dyDescent="0.3">
      <c r="A32">
        <v>13</v>
      </c>
      <c r="B32" t="s">
        <v>3937</v>
      </c>
      <c r="C32" t="s">
        <v>3613</v>
      </c>
      <c r="E32">
        <v>60900000</v>
      </c>
      <c r="F32">
        <v>1079764454</v>
      </c>
    </row>
    <row r="33" spans="1:6" x14ac:dyDescent="0.3">
      <c r="A33">
        <v>13</v>
      </c>
      <c r="B33" t="s">
        <v>7153</v>
      </c>
      <c r="C33" t="s">
        <v>214</v>
      </c>
      <c r="E33">
        <v>54495816</v>
      </c>
      <c r="F33">
        <v>1134260270</v>
      </c>
    </row>
    <row r="34" spans="1:6" x14ac:dyDescent="0.3">
      <c r="A34">
        <v>13</v>
      </c>
      <c r="B34" t="s">
        <v>7154</v>
      </c>
      <c r="C34" t="s">
        <v>214</v>
      </c>
      <c r="E34">
        <v>40340907</v>
      </c>
      <c r="F34">
        <v>1174601177</v>
      </c>
    </row>
    <row r="35" spans="1:6" x14ac:dyDescent="0.3">
      <c r="A35">
        <v>13</v>
      </c>
      <c r="B35" t="s">
        <v>2037</v>
      </c>
      <c r="C35" t="s">
        <v>3614</v>
      </c>
      <c r="E35">
        <v>37800000</v>
      </c>
      <c r="F35">
        <v>1212401177</v>
      </c>
    </row>
    <row r="36" spans="1:6" x14ac:dyDescent="0.3">
      <c r="A36">
        <v>13</v>
      </c>
      <c r="B36" t="s">
        <v>2037</v>
      </c>
      <c r="C36" t="s">
        <v>3615</v>
      </c>
      <c r="E36">
        <v>38181818</v>
      </c>
      <c r="F36">
        <v>1250582995</v>
      </c>
    </row>
    <row r="37" spans="1:6" x14ac:dyDescent="0.3">
      <c r="A37">
        <v>13</v>
      </c>
      <c r="B37" t="s">
        <v>2037</v>
      </c>
      <c r="C37" t="s">
        <v>3616</v>
      </c>
      <c r="E37">
        <v>38333000</v>
      </c>
      <c r="F37">
        <v>1288915995</v>
      </c>
    </row>
    <row r="38" spans="1:6" x14ac:dyDescent="0.3">
      <c r="A38">
        <v>13</v>
      </c>
      <c r="B38" t="s">
        <v>2037</v>
      </c>
      <c r="C38" t="s">
        <v>3617</v>
      </c>
      <c r="E38">
        <v>45006000</v>
      </c>
      <c r="F38">
        <v>1333921995</v>
      </c>
    </row>
    <row r="39" spans="1:6" x14ac:dyDescent="0.3">
      <c r="A39">
        <v>13</v>
      </c>
      <c r="B39" t="s">
        <v>2037</v>
      </c>
      <c r="C39" t="s">
        <v>3617</v>
      </c>
      <c r="E39">
        <v>45006000</v>
      </c>
      <c r="F39">
        <v>1378927995</v>
      </c>
    </row>
    <row r="40" spans="1:6" x14ac:dyDescent="0.3">
      <c r="A40">
        <v>13</v>
      </c>
      <c r="B40" t="s">
        <v>2037</v>
      </c>
      <c r="C40" t="s">
        <v>3618</v>
      </c>
      <c r="E40">
        <v>45006000</v>
      </c>
      <c r="F40">
        <v>1423933995</v>
      </c>
    </row>
    <row r="41" spans="1:6" x14ac:dyDescent="0.3">
      <c r="A41">
        <v>13</v>
      </c>
      <c r="B41" t="s">
        <v>2037</v>
      </c>
      <c r="C41" t="s">
        <v>3619</v>
      </c>
      <c r="E41">
        <v>45006000</v>
      </c>
      <c r="F41">
        <v>1468939995</v>
      </c>
    </row>
    <row r="42" spans="1:6" x14ac:dyDescent="0.3">
      <c r="A42">
        <v>13</v>
      </c>
      <c r="B42" t="s">
        <v>2037</v>
      </c>
      <c r="C42" t="s">
        <v>3620</v>
      </c>
      <c r="E42">
        <v>38000000</v>
      </c>
      <c r="F42">
        <v>1506939995</v>
      </c>
    </row>
    <row r="43" spans="1:6" x14ac:dyDescent="0.3">
      <c r="A43">
        <v>13</v>
      </c>
      <c r="B43" t="s">
        <v>2037</v>
      </c>
      <c r="C43" t="s">
        <v>3621</v>
      </c>
      <c r="E43">
        <v>38181818</v>
      </c>
      <c r="F43">
        <v>1545121813</v>
      </c>
    </row>
    <row r="44" spans="1:6" x14ac:dyDescent="0.3">
      <c r="A44">
        <v>13</v>
      </c>
      <c r="B44" t="s">
        <v>2041</v>
      </c>
      <c r="C44" t="s">
        <v>3622</v>
      </c>
      <c r="E44">
        <v>48247000</v>
      </c>
      <c r="F44">
        <v>1593368813</v>
      </c>
    </row>
    <row r="45" spans="1:6" x14ac:dyDescent="0.3">
      <c r="A45">
        <v>13</v>
      </c>
      <c r="B45" t="s">
        <v>3937</v>
      </c>
      <c r="C45" t="s">
        <v>3623</v>
      </c>
      <c r="E45">
        <v>62500000</v>
      </c>
      <c r="F45">
        <v>1655868813</v>
      </c>
    </row>
    <row r="46" spans="1:6" x14ac:dyDescent="0.3">
      <c r="A46">
        <v>13</v>
      </c>
      <c r="B46" t="s">
        <v>3624</v>
      </c>
      <c r="C46" t="s">
        <v>3597</v>
      </c>
      <c r="E46">
        <v>4104000</v>
      </c>
      <c r="F46">
        <v>1659972813</v>
      </c>
    </row>
    <row r="47" spans="1:6" x14ac:dyDescent="0.3">
      <c r="A47">
        <v>13</v>
      </c>
      <c r="B47" t="s">
        <v>2039</v>
      </c>
      <c r="C47" t="s">
        <v>3625</v>
      </c>
      <c r="E47">
        <v>46270000</v>
      </c>
      <c r="F47">
        <v>1706242813</v>
      </c>
    </row>
    <row r="48" spans="1:6" x14ac:dyDescent="0.3">
      <c r="A48">
        <v>13</v>
      </c>
      <c r="B48" t="s">
        <v>2043</v>
      </c>
      <c r="C48" t="s">
        <v>3626</v>
      </c>
      <c r="E48">
        <v>54300000</v>
      </c>
      <c r="F48">
        <v>1760542813</v>
      </c>
    </row>
    <row r="49" spans="1:6" x14ac:dyDescent="0.3">
      <c r="A49">
        <v>13</v>
      </c>
      <c r="B49" t="s">
        <v>3627</v>
      </c>
      <c r="C49" t="s">
        <v>3628</v>
      </c>
      <c r="E49">
        <v>132950000</v>
      </c>
      <c r="F49">
        <v>1893492813</v>
      </c>
    </row>
    <row r="50" spans="1:6" x14ac:dyDescent="0.3">
      <c r="A50">
        <v>13</v>
      </c>
      <c r="B50" t="s">
        <v>3627</v>
      </c>
      <c r="C50" t="s">
        <v>3629</v>
      </c>
      <c r="E50">
        <v>132950000</v>
      </c>
      <c r="F50">
        <v>2026442813</v>
      </c>
    </row>
    <row r="51" spans="1:6" x14ac:dyDescent="0.3">
      <c r="A51">
        <v>13</v>
      </c>
      <c r="B51" t="s">
        <v>2043</v>
      </c>
      <c r="C51" t="s">
        <v>3630</v>
      </c>
      <c r="E51">
        <v>54300000</v>
      </c>
      <c r="F51">
        <v>2080742813</v>
      </c>
    </row>
    <row r="52" spans="1:6" x14ac:dyDescent="0.3">
      <c r="A52">
        <v>13</v>
      </c>
      <c r="B52" t="s">
        <v>2041</v>
      </c>
      <c r="C52" t="s">
        <v>3631</v>
      </c>
      <c r="E52">
        <v>48300000</v>
      </c>
      <c r="F52">
        <v>2129042813</v>
      </c>
    </row>
    <row r="53" spans="1:6" x14ac:dyDescent="0.3">
      <c r="A53">
        <v>13</v>
      </c>
      <c r="B53" t="s">
        <v>2041</v>
      </c>
      <c r="C53" t="s">
        <v>3632</v>
      </c>
      <c r="E53">
        <v>49000000</v>
      </c>
      <c r="F53">
        <v>2178042813</v>
      </c>
    </row>
    <row r="54" spans="1:6" x14ac:dyDescent="0.3">
      <c r="A54">
        <v>13</v>
      </c>
      <c r="B54" t="s">
        <v>2032</v>
      </c>
      <c r="C54" t="s">
        <v>3633</v>
      </c>
      <c r="E54">
        <v>39090909</v>
      </c>
      <c r="F54">
        <v>2217133722</v>
      </c>
    </row>
    <row r="55" spans="1:6" x14ac:dyDescent="0.3">
      <c r="A55">
        <v>13</v>
      </c>
      <c r="B55" t="s">
        <v>2028</v>
      </c>
      <c r="C55" t="s">
        <v>3634</v>
      </c>
      <c r="E55">
        <v>14727273</v>
      </c>
      <c r="F55">
        <v>2231860995</v>
      </c>
    </row>
    <row r="56" spans="1:6" x14ac:dyDescent="0.3">
      <c r="A56">
        <v>13</v>
      </c>
      <c r="B56" t="s">
        <v>2027</v>
      </c>
      <c r="C56" t="s">
        <v>3635</v>
      </c>
      <c r="E56">
        <v>14517000</v>
      </c>
      <c r="F56">
        <v>2246377995</v>
      </c>
    </row>
    <row r="57" spans="1:6" x14ac:dyDescent="0.3">
      <c r="A57">
        <v>13</v>
      </c>
      <c r="B57" t="s">
        <v>2037</v>
      </c>
      <c r="C57" t="s">
        <v>3636</v>
      </c>
      <c r="E57">
        <v>39090909</v>
      </c>
      <c r="F57">
        <v>2285468904</v>
      </c>
    </row>
    <row r="58" spans="1:6" x14ac:dyDescent="0.3">
      <c r="A58">
        <v>13</v>
      </c>
      <c r="B58" t="s">
        <v>2037</v>
      </c>
      <c r="C58" t="s">
        <v>3637</v>
      </c>
      <c r="E58">
        <v>38000000</v>
      </c>
      <c r="F58">
        <v>2323468904</v>
      </c>
    </row>
    <row r="59" spans="1:6" x14ac:dyDescent="0.3">
      <c r="A59">
        <v>13</v>
      </c>
      <c r="B59" t="s">
        <v>2037</v>
      </c>
      <c r="C59" t="s">
        <v>3638</v>
      </c>
      <c r="E59">
        <v>36818181</v>
      </c>
      <c r="F59">
        <v>2360287085</v>
      </c>
    </row>
    <row r="60" spans="1:6" x14ac:dyDescent="0.3">
      <c r="A60">
        <v>13</v>
      </c>
      <c r="B60" t="s">
        <v>2037</v>
      </c>
      <c r="C60" t="s">
        <v>3639</v>
      </c>
      <c r="E60">
        <v>34772727</v>
      </c>
      <c r="F60">
        <v>2395059812</v>
      </c>
    </row>
    <row r="61" spans="1:6" x14ac:dyDescent="0.3">
      <c r="A61">
        <v>13</v>
      </c>
      <c r="B61" t="s">
        <v>2037</v>
      </c>
      <c r="C61" t="s">
        <v>3640</v>
      </c>
      <c r="E61">
        <v>37383000</v>
      </c>
      <c r="F61">
        <v>2432442812</v>
      </c>
    </row>
    <row r="62" spans="1:6" x14ac:dyDescent="0.3">
      <c r="A62">
        <v>13</v>
      </c>
      <c r="B62" t="s">
        <v>2039</v>
      </c>
      <c r="C62" t="s">
        <v>3640</v>
      </c>
      <c r="E62">
        <v>41497000</v>
      </c>
      <c r="F62">
        <v>2473939812</v>
      </c>
    </row>
    <row r="63" spans="1:6" x14ac:dyDescent="0.3">
      <c r="A63">
        <v>13</v>
      </c>
      <c r="B63" t="s">
        <v>2028</v>
      </c>
      <c r="C63" t="s">
        <v>214</v>
      </c>
      <c r="E63">
        <v>11603520</v>
      </c>
    </row>
    <row r="64" spans="1:6" x14ac:dyDescent="0.3">
      <c r="A64">
        <v>13</v>
      </c>
      <c r="B64" t="s">
        <v>2028</v>
      </c>
      <c r="C64" t="s">
        <v>214</v>
      </c>
      <c r="E64">
        <v>11603520</v>
      </c>
    </row>
    <row r="65" spans="1:6" x14ac:dyDescent="0.3">
      <c r="A65">
        <v>13</v>
      </c>
      <c r="B65" t="s">
        <v>7155</v>
      </c>
      <c r="C65" t="s">
        <v>214</v>
      </c>
      <c r="E65">
        <v>36995264</v>
      </c>
      <c r="F65">
        <v>2534142116</v>
      </c>
    </row>
    <row r="66" spans="1:6" x14ac:dyDescent="0.3">
      <c r="A66">
        <v>13</v>
      </c>
      <c r="B66" t="s">
        <v>2028</v>
      </c>
      <c r="C66" t="s">
        <v>3641</v>
      </c>
      <c r="E66">
        <v>15700000</v>
      </c>
      <c r="F66">
        <v>2549842116</v>
      </c>
    </row>
    <row r="67" spans="1:6" x14ac:dyDescent="0.3">
      <c r="A67">
        <v>13</v>
      </c>
      <c r="B67" t="s">
        <v>2037</v>
      </c>
      <c r="C67" t="s">
        <v>3642</v>
      </c>
      <c r="E67">
        <v>38454545</v>
      </c>
      <c r="F67">
        <v>2588296661</v>
      </c>
    </row>
    <row r="68" spans="1:6" x14ac:dyDescent="0.3">
      <c r="A68">
        <v>13</v>
      </c>
      <c r="B68" t="s">
        <v>2039</v>
      </c>
      <c r="C68" t="s">
        <v>3643</v>
      </c>
      <c r="E68">
        <v>41272727</v>
      </c>
      <c r="F68">
        <v>2629569388</v>
      </c>
    </row>
    <row r="69" spans="1:6" x14ac:dyDescent="0.3">
      <c r="A69">
        <v>13</v>
      </c>
      <c r="B69" t="s">
        <v>2037</v>
      </c>
      <c r="C69" t="s">
        <v>3644</v>
      </c>
      <c r="E69">
        <v>42727273</v>
      </c>
      <c r="F69">
        <v>2672296661</v>
      </c>
    </row>
    <row r="70" spans="1:6" x14ac:dyDescent="0.3">
      <c r="A70">
        <v>13</v>
      </c>
      <c r="B70" t="s">
        <v>2037</v>
      </c>
      <c r="C70" t="s">
        <v>3645</v>
      </c>
      <c r="E70">
        <v>37727273</v>
      </c>
      <c r="F70">
        <v>2710023934</v>
      </c>
    </row>
    <row r="71" spans="1:6" x14ac:dyDescent="0.3">
      <c r="A71">
        <v>13</v>
      </c>
      <c r="B71" t="s">
        <v>2037</v>
      </c>
      <c r="C71" t="s">
        <v>3646</v>
      </c>
      <c r="E71">
        <v>37220000</v>
      </c>
      <c r="F71">
        <v>2747243934</v>
      </c>
    </row>
    <row r="72" spans="1:6" x14ac:dyDescent="0.3">
      <c r="A72">
        <v>13</v>
      </c>
      <c r="B72" t="s">
        <v>2030</v>
      </c>
      <c r="C72" t="s">
        <v>3646</v>
      </c>
      <c r="E72">
        <v>35820000</v>
      </c>
      <c r="F72">
        <v>2783063934</v>
      </c>
    </row>
    <row r="73" spans="1:6" x14ac:dyDescent="0.3">
      <c r="A73">
        <v>13</v>
      </c>
      <c r="B73" t="s">
        <v>2039</v>
      </c>
      <c r="C73" t="s">
        <v>3647</v>
      </c>
      <c r="E73">
        <v>44547000</v>
      </c>
      <c r="F73">
        <v>2827610934</v>
      </c>
    </row>
    <row r="74" spans="1:6" x14ac:dyDescent="0.3">
      <c r="A74">
        <v>13</v>
      </c>
      <c r="B74" t="s">
        <v>2028</v>
      </c>
      <c r="C74" t="s">
        <v>3648</v>
      </c>
      <c r="E74">
        <v>13700000</v>
      </c>
      <c r="F74">
        <v>2841310934</v>
      </c>
    </row>
    <row r="75" spans="1:6" x14ac:dyDescent="0.3">
      <c r="A75">
        <v>13</v>
      </c>
      <c r="B75" t="s">
        <v>2037</v>
      </c>
      <c r="C75" t="s">
        <v>3649</v>
      </c>
      <c r="E75">
        <v>36483000</v>
      </c>
      <c r="F75">
        <v>2877793934</v>
      </c>
    </row>
    <row r="76" spans="1:6" x14ac:dyDescent="0.3">
      <c r="A76">
        <v>13</v>
      </c>
      <c r="B76" t="s">
        <v>3650</v>
      </c>
      <c r="C76" t="s">
        <v>3597</v>
      </c>
      <c r="E76">
        <v>19000000</v>
      </c>
      <c r="F76">
        <v>2896793934</v>
      </c>
    </row>
    <row r="77" spans="1:6" x14ac:dyDescent="0.3">
      <c r="A77">
        <v>13</v>
      </c>
      <c r="B77" t="s">
        <v>3650</v>
      </c>
      <c r="C77" t="s">
        <v>3597</v>
      </c>
      <c r="E77">
        <v>19000000</v>
      </c>
      <c r="F77">
        <v>2915793934</v>
      </c>
    </row>
    <row r="78" spans="1:6" x14ac:dyDescent="0.3">
      <c r="A78">
        <v>13</v>
      </c>
      <c r="B78" t="s">
        <v>3651</v>
      </c>
      <c r="C78" t="s">
        <v>3597</v>
      </c>
      <c r="E78">
        <v>37362000</v>
      </c>
      <c r="F78">
        <v>2953155934</v>
      </c>
    </row>
    <row r="79" spans="1:6" x14ac:dyDescent="0.3">
      <c r="A79">
        <v>13</v>
      </c>
      <c r="B79" t="s">
        <v>2039</v>
      </c>
      <c r="C79" t="s">
        <v>3652</v>
      </c>
      <c r="E79">
        <v>38636364</v>
      </c>
      <c r="F79">
        <v>2991792298</v>
      </c>
    </row>
    <row r="80" spans="1:6" x14ac:dyDescent="0.3">
      <c r="A80">
        <v>13</v>
      </c>
      <c r="B80" t="s">
        <v>2027</v>
      </c>
      <c r="C80" t="s">
        <v>3653</v>
      </c>
      <c r="E80">
        <v>15385728</v>
      </c>
      <c r="F80">
        <v>3007178026</v>
      </c>
    </row>
    <row r="81" spans="1:6" x14ac:dyDescent="0.3">
      <c r="A81">
        <v>13</v>
      </c>
      <c r="B81" t="s">
        <v>7156</v>
      </c>
      <c r="C81" t="s">
        <v>214</v>
      </c>
      <c r="E81">
        <v>11965932</v>
      </c>
      <c r="F81">
        <v>3019143958</v>
      </c>
    </row>
    <row r="82" spans="1:6" x14ac:dyDescent="0.3">
      <c r="A82">
        <v>13</v>
      </c>
      <c r="B82" t="s">
        <v>2039</v>
      </c>
      <c r="C82" t="s">
        <v>3654</v>
      </c>
      <c r="E82">
        <v>43368182</v>
      </c>
      <c r="F82">
        <v>3062512140</v>
      </c>
    </row>
    <row r="83" spans="1:6" x14ac:dyDescent="0.3">
      <c r="A83">
        <v>13</v>
      </c>
      <c r="B83" t="s">
        <v>2030</v>
      </c>
      <c r="C83" t="s">
        <v>3655</v>
      </c>
      <c r="E83">
        <v>34353000</v>
      </c>
      <c r="F83">
        <v>3096865140</v>
      </c>
    </row>
    <row r="84" spans="1:6" x14ac:dyDescent="0.3">
      <c r="A84">
        <v>13</v>
      </c>
      <c r="B84" t="s">
        <v>2028</v>
      </c>
      <c r="C84" t="s">
        <v>3656</v>
      </c>
      <c r="E84">
        <v>13700000</v>
      </c>
      <c r="F84">
        <v>3110565140</v>
      </c>
    </row>
    <row r="85" spans="1:6" x14ac:dyDescent="0.3">
      <c r="A85">
        <v>13</v>
      </c>
      <c r="B85" t="s">
        <v>2037</v>
      </c>
      <c r="C85" t="s">
        <v>3657</v>
      </c>
      <c r="E85">
        <v>36363636</v>
      </c>
      <c r="F85">
        <v>3146928776</v>
      </c>
    </row>
    <row r="86" spans="1:6" x14ac:dyDescent="0.3">
      <c r="A86">
        <v>13</v>
      </c>
      <c r="B86" t="s">
        <v>2027</v>
      </c>
      <c r="C86" t="s">
        <v>3658</v>
      </c>
      <c r="E86">
        <v>13545455</v>
      </c>
      <c r="F86">
        <v>3160474231</v>
      </c>
    </row>
    <row r="87" spans="1:6" x14ac:dyDescent="0.3">
      <c r="A87">
        <v>13</v>
      </c>
      <c r="B87" t="s">
        <v>2027</v>
      </c>
      <c r="C87" t="s">
        <v>3659</v>
      </c>
      <c r="E87">
        <v>12000000</v>
      </c>
      <c r="F87">
        <v>3172474231</v>
      </c>
    </row>
    <row r="88" spans="1:6" x14ac:dyDescent="0.3">
      <c r="A88">
        <v>13</v>
      </c>
      <c r="B88" t="s">
        <v>2027</v>
      </c>
      <c r="C88" t="s">
        <v>3660</v>
      </c>
      <c r="E88">
        <v>13482727</v>
      </c>
      <c r="F88">
        <v>3185956958</v>
      </c>
    </row>
    <row r="89" spans="1:6" x14ac:dyDescent="0.3">
      <c r="A89">
        <v>13</v>
      </c>
      <c r="B89" t="s">
        <v>2027</v>
      </c>
      <c r="C89" t="s">
        <v>3661</v>
      </c>
      <c r="E89">
        <v>13517000</v>
      </c>
      <c r="F89">
        <v>3199473958</v>
      </c>
    </row>
    <row r="90" spans="1:6" x14ac:dyDescent="0.3">
      <c r="A90">
        <v>13</v>
      </c>
      <c r="B90" t="s">
        <v>2037</v>
      </c>
      <c r="C90" t="s">
        <v>3662</v>
      </c>
      <c r="E90">
        <v>38000000</v>
      </c>
      <c r="F90">
        <v>3237473958</v>
      </c>
    </row>
    <row r="91" spans="1:6" x14ac:dyDescent="0.3">
      <c r="A91">
        <v>13</v>
      </c>
      <c r="B91" t="s">
        <v>2039</v>
      </c>
      <c r="C91" t="s">
        <v>3663</v>
      </c>
      <c r="E91">
        <v>43636364</v>
      </c>
      <c r="F91">
        <v>3281110322</v>
      </c>
    </row>
    <row r="92" spans="1:6" x14ac:dyDescent="0.3">
      <c r="A92">
        <v>13</v>
      </c>
      <c r="B92" t="s">
        <v>2037</v>
      </c>
      <c r="C92" t="s">
        <v>3664</v>
      </c>
      <c r="E92">
        <v>37500000</v>
      </c>
      <c r="F92">
        <v>3318610322</v>
      </c>
    </row>
    <row r="93" spans="1:6" x14ac:dyDescent="0.3">
      <c r="A93">
        <v>13</v>
      </c>
      <c r="B93" t="s">
        <v>2027</v>
      </c>
      <c r="C93" t="s">
        <v>3665</v>
      </c>
      <c r="E93">
        <v>14785728</v>
      </c>
      <c r="F93">
        <v>3333396050</v>
      </c>
    </row>
    <row r="94" spans="1:6" x14ac:dyDescent="0.3">
      <c r="A94">
        <v>13</v>
      </c>
      <c r="B94" t="s">
        <v>2027</v>
      </c>
      <c r="C94" t="s">
        <v>3633</v>
      </c>
      <c r="E94">
        <v>14698818</v>
      </c>
      <c r="F94">
        <v>3348094868</v>
      </c>
    </row>
    <row r="95" spans="1:6" x14ac:dyDescent="0.3">
      <c r="A95">
        <v>13</v>
      </c>
      <c r="B95" t="s">
        <v>3666</v>
      </c>
      <c r="C95" t="s">
        <v>3667</v>
      </c>
      <c r="E95">
        <v>59090909</v>
      </c>
      <c r="F95">
        <v>3407185777</v>
      </c>
    </row>
    <row r="96" spans="1:6" x14ac:dyDescent="0.3">
      <c r="A96">
        <v>13</v>
      </c>
      <c r="B96" t="s">
        <v>2028</v>
      </c>
      <c r="C96" t="s">
        <v>3668</v>
      </c>
      <c r="E96">
        <v>14500000</v>
      </c>
      <c r="F96">
        <v>3421685777</v>
      </c>
    </row>
    <row r="97" spans="1:6" x14ac:dyDescent="0.3">
      <c r="A97">
        <v>13</v>
      </c>
      <c r="B97" t="s">
        <v>2041</v>
      </c>
      <c r="C97" t="s">
        <v>3669</v>
      </c>
      <c r="E97">
        <v>48181818</v>
      </c>
      <c r="F97">
        <v>3469867595</v>
      </c>
    </row>
    <row r="98" spans="1:6" x14ac:dyDescent="0.3">
      <c r="A98">
        <v>13</v>
      </c>
      <c r="B98" t="s">
        <v>3670</v>
      </c>
      <c r="C98" t="s">
        <v>3597</v>
      </c>
      <c r="E98">
        <v>5348000</v>
      </c>
      <c r="F98">
        <v>3475215595</v>
      </c>
    </row>
    <row r="99" spans="1:6" x14ac:dyDescent="0.3">
      <c r="A99">
        <v>13</v>
      </c>
      <c r="B99" t="s">
        <v>2039</v>
      </c>
      <c r="C99" t="s">
        <v>3671</v>
      </c>
      <c r="E99">
        <v>40800000</v>
      </c>
      <c r="F99">
        <v>3516015595</v>
      </c>
    </row>
    <row r="100" spans="1:6" x14ac:dyDescent="0.3">
      <c r="A100">
        <v>13</v>
      </c>
      <c r="B100" t="s">
        <v>2027</v>
      </c>
      <c r="C100" t="s">
        <v>3672</v>
      </c>
      <c r="E100">
        <v>13510000</v>
      </c>
      <c r="F100">
        <v>3529525595</v>
      </c>
    </row>
    <row r="101" spans="1:6" x14ac:dyDescent="0.3">
      <c r="A101">
        <v>13</v>
      </c>
      <c r="B101" t="s">
        <v>2039</v>
      </c>
      <c r="C101" t="s">
        <v>3673</v>
      </c>
      <c r="E101">
        <v>41000000</v>
      </c>
      <c r="F101">
        <v>3570525595</v>
      </c>
    </row>
    <row r="102" spans="1:6" x14ac:dyDescent="0.3">
      <c r="A102">
        <v>13</v>
      </c>
      <c r="B102" t="s">
        <v>2039</v>
      </c>
      <c r="C102" t="s">
        <v>3674</v>
      </c>
      <c r="E102">
        <v>43000000</v>
      </c>
      <c r="F102">
        <v>3613525595</v>
      </c>
    </row>
    <row r="103" spans="1:6" x14ac:dyDescent="0.3">
      <c r="A103">
        <v>13</v>
      </c>
      <c r="B103" t="s">
        <v>2041</v>
      </c>
      <c r="C103" t="s">
        <v>3675</v>
      </c>
      <c r="E103">
        <v>48000000</v>
      </c>
      <c r="F103">
        <v>3661525595</v>
      </c>
    </row>
    <row r="104" spans="1:6" x14ac:dyDescent="0.3">
      <c r="A104">
        <v>13</v>
      </c>
      <c r="B104" t="s">
        <v>2041</v>
      </c>
      <c r="C104" t="s">
        <v>3676</v>
      </c>
      <c r="E104">
        <v>49500000</v>
      </c>
      <c r="F104">
        <v>3711025595</v>
      </c>
    </row>
    <row r="105" spans="1:6" x14ac:dyDescent="0.3">
      <c r="A105">
        <v>13</v>
      </c>
      <c r="B105" t="s">
        <v>2041</v>
      </c>
      <c r="C105" t="s">
        <v>3677</v>
      </c>
      <c r="E105">
        <v>49067000</v>
      </c>
      <c r="F105">
        <v>3760092595</v>
      </c>
    </row>
    <row r="106" spans="1:6" x14ac:dyDescent="0.3">
      <c r="A106">
        <v>13</v>
      </c>
      <c r="B106" t="s">
        <v>3601</v>
      </c>
      <c r="C106" t="s">
        <v>3678</v>
      </c>
      <c r="E106">
        <v>168000000</v>
      </c>
      <c r="F106">
        <v>3928092595</v>
      </c>
    </row>
    <row r="107" spans="1:6" x14ac:dyDescent="0.3">
      <c r="A107">
        <v>13</v>
      </c>
      <c r="B107" t="s">
        <v>2037</v>
      </c>
      <c r="C107" t="s">
        <v>3679</v>
      </c>
      <c r="E107">
        <v>41402427</v>
      </c>
      <c r="F107">
        <v>3969495022</v>
      </c>
    </row>
    <row r="108" spans="1:6" x14ac:dyDescent="0.3">
      <c r="A108">
        <v>13</v>
      </c>
      <c r="B108" t="s">
        <v>2037</v>
      </c>
      <c r="C108" t="s">
        <v>3680</v>
      </c>
      <c r="E108">
        <v>35770000</v>
      </c>
      <c r="F108">
        <v>4005265022</v>
      </c>
    </row>
    <row r="109" spans="1:6" x14ac:dyDescent="0.3">
      <c r="A109">
        <v>13</v>
      </c>
      <c r="B109" t="s">
        <v>2037</v>
      </c>
      <c r="C109" t="s">
        <v>3681</v>
      </c>
      <c r="E109">
        <v>37727273</v>
      </c>
      <c r="F109">
        <v>4042992295</v>
      </c>
    </row>
    <row r="110" spans="1:6" x14ac:dyDescent="0.3">
      <c r="A110">
        <v>13</v>
      </c>
      <c r="B110" t="s">
        <v>2041</v>
      </c>
      <c r="C110" t="s">
        <v>3682</v>
      </c>
      <c r="E110">
        <v>48700000</v>
      </c>
      <c r="F110">
        <v>4091692295</v>
      </c>
    </row>
    <row r="111" spans="1:6" x14ac:dyDescent="0.3">
      <c r="A111">
        <v>13</v>
      </c>
      <c r="B111" t="s">
        <v>2039</v>
      </c>
      <c r="C111" t="s">
        <v>3683</v>
      </c>
      <c r="E111">
        <v>42000000</v>
      </c>
      <c r="F111">
        <v>4133692295</v>
      </c>
    </row>
    <row r="112" spans="1:6" x14ac:dyDescent="0.3">
      <c r="A112">
        <v>13</v>
      </c>
      <c r="B112" t="s">
        <v>2037</v>
      </c>
      <c r="C112" t="s">
        <v>3684</v>
      </c>
      <c r="E112">
        <v>38400000</v>
      </c>
      <c r="F112">
        <v>4172092295</v>
      </c>
    </row>
    <row r="113" spans="1:6" x14ac:dyDescent="0.3">
      <c r="A113">
        <v>13</v>
      </c>
      <c r="B113" t="s">
        <v>2037</v>
      </c>
      <c r="C113" t="s">
        <v>3646</v>
      </c>
      <c r="E113">
        <v>37220000</v>
      </c>
      <c r="F113">
        <v>4209312295</v>
      </c>
    </row>
    <row r="114" spans="1:6" x14ac:dyDescent="0.3">
      <c r="A114">
        <v>13</v>
      </c>
      <c r="B114" t="s">
        <v>2039</v>
      </c>
      <c r="C114" t="s">
        <v>3685</v>
      </c>
      <c r="E114">
        <v>45454546</v>
      </c>
      <c r="F114">
        <v>4254766841</v>
      </c>
    </row>
    <row r="115" spans="1:6" x14ac:dyDescent="0.3">
      <c r="A115">
        <v>13</v>
      </c>
      <c r="B115" t="s">
        <v>2026</v>
      </c>
      <c r="C115" t="s">
        <v>3686</v>
      </c>
      <c r="E115">
        <v>12150000</v>
      </c>
      <c r="F115">
        <v>4266916841</v>
      </c>
    </row>
    <row r="116" spans="1:6" x14ac:dyDescent="0.3">
      <c r="A116">
        <v>13</v>
      </c>
      <c r="B116" t="s">
        <v>2037</v>
      </c>
      <c r="C116" t="s">
        <v>3687</v>
      </c>
      <c r="E116">
        <v>38383000</v>
      </c>
      <c r="F116">
        <v>4305299841</v>
      </c>
    </row>
    <row r="117" spans="1:6" x14ac:dyDescent="0.3">
      <c r="A117">
        <v>13</v>
      </c>
      <c r="B117" t="s">
        <v>2037</v>
      </c>
      <c r="C117" t="s">
        <v>3688</v>
      </c>
      <c r="E117">
        <v>36700000</v>
      </c>
      <c r="F117">
        <v>4341999841</v>
      </c>
    </row>
    <row r="118" spans="1:6" x14ac:dyDescent="0.3">
      <c r="A118">
        <v>13</v>
      </c>
      <c r="B118" t="s">
        <v>2028</v>
      </c>
      <c r="C118" t="s">
        <v>3648</v>
      </c>
      <c r="E118">
        <v>13700000</v>
      </c>
      <c r="F118">
        <v>4355699841</v>
      </c>
    </row>
    <row r="119" spans="1:6" x14ac:dyDescent="0.3">
      <c r="A119">
        <v>13</v>
      </c>
      <c r="B119" t="s">
        <v>2037</v>
      </c>
      <c r="C119" t="s">
        <v>3689</v>
      </c>
      <c r="E119">
        <v>36363636</v>
      </c>
      <c r="F119">
        <v>4392063477</v>
      </c>
    </row>
    <row r="120" spans="1:6" x14ac:dyDescent="0.3">
      <c r="A120">
        <v>13</v>
      </c>
      <c r="B120" t="s">
        <v>2039</v>
      </c>
      <c r="C120" t="s">
        <v>3690</v>
      </c>
      <c r="E120">
        <v>43227273</v>
      </c>
      <c r="F120">
        <v>4435290750</v>
      </c>
    </row>
    <row r="121" spans="1:6" x14ac:dyDescent="0.3">
      <c r="A121">
        <v>13</v>
      </c>
      <c r="B121" t="s">
        <v>2039</v>
      </c>
      <c r="C121" t="s">
        <v>3691</v>
      </c>
      <c r="E121">
        <v>44347000</v>
      </c>
      <c r="F121">
        <v>4479637750</v>
      </c>
    </row>
    <row r="122" spans="1:6" x14ac:dyDescent="0.3">
      <c r="A122">
        <v>13</v>
      </c>
      <c r="B122" t="s">
        <v>2027</v>
      </c>
      <c r="C122" t="s">
        <v>3692</v>
      </c>
      <c r="E122">
        <v>17445000</v>
      </c>
      <c r="F122">
        <v>4497082750</v>
      </c>
    </row>
    <row r="123" spans="1:6" x14ac:dyDescent="0.3">
      <c r="A123">
        <v>13</v>
      </c>
      <c r="B123" t="s">
        <v>2039</v>
      </c>
      <c r="C123" t="s">
        <v>3693</v>
      </c>
      <c r="E123">
        <v>43545455</v>
      </c>
      <c r="F123">
        <v>4540628205</v>
      </c>
    </row>
    <row r="124" spans="1:6" x14ac:dyDescent="0.3">
      <c r="A124">
        <v>13</v>
      </c>
      <c r="B124" t="s">
        <v>2028</v>
      </c>
      <c r="C124" t="s">
        <v>3694</v>
      </c>
      <c r="E124">
        <v>16000000</v>
      </c>
      <c r="F124">
        <v>4556628205</v>
      </c>
    </row>
    <row r="125" spans="1:6" x14ac:dyDescent="0.3">
      <c r="A125">
        <v>13</v>
      </c>
      <c r="B125" t="s">
        <v>7155</v>
      </c>
      <c r="C125" t="s">
        <v>3695</v>
      </c>
      <c r="E125">
        <v>41699288</v>
      </c>
      <c r="F125">
        <v>4598327493</v>
      </c>
    </row>
    <row r="126" spans="1:6" x14ac:dyDescent="0.3">
      <c r="A126">
        <v>13</v>
      </c>
      <c r="B126" t="s">
        <v>3696</v>
      </c>
      <c r="C126" t="s">
        <v>3697</v>
      </c>
      <c r="E126">
        <v>4850000</v>
      </c>
      <c r="F126">
        <v>4603177493</v>
      </c>
    </row>
    <row r="127" spans="1:6" x14ac:dyDescent="0.3">
      <c r="A127">
        <v>13</v>
      </c>
      <c r="B127" t="s">
        <v>2034</v>
      </c>
      <c r="C127" t="s">
        <v>3697</v>
      </c>
      <c r="E127">
        <v>41272728</v>
      </c>
      <c r="F127">
        <v>4644450221</v>
      </c>
    </row>
    <row r="128" spans="1:6" x14ac:dyDescent="0.3">
      <c r="A128">
        <v>13</v>
      </c>
      <c r="B128" t="s">
        <v>3627</v>
      </c>
      <c r="C128" t="s">
        <v>3698</v>
      </c>
      <c r="E128">
        <v>125090910</v>
      </c>
      <c r="F128">
        <v>4769541131</v>
      </c>
    </row>
    <row r="129" spans="1:6" x14ac:dyDescent="0.3">
      <c r="A129">
        <v>13</v>
      </c>
      <c r="B129" t="s">
        <v>2028</v>
      </c>
      <c r="C129" t="s">
        <v>3699</v>
      </c>
      <c r="E129">
        <v>13130230</v>
      </c>
      <c r="F129">
        <v>2397900795.5</v>
      </c>
    </row>
    <row r="130" spans="1:6" x14ac:dyDescent="0.3">
      <c r="A130">
        <v>13</v>
      </c>
      <c r="B130" t="s">
        <v>2028</v>
      </c>
      <c r="C130" t="s">
        <v>3699</v>
      </c>
      <c r="E130">
        <v>13130230</v>
      </c>
      <c r="F130">
        <v>2397900795.5</v>
      </c>
    </row>
    <row r="131" spans="1:6" x14ac:dyDescent="0.3">
      <c r="A131">
        <v>13</v>
      </c>
      <c r="B131" t="s">
        <v>2028</v>
      </c>
      <c r="C131" t="s">
        <v>3700</v>
      </c>
      <c r="E131">
        <v>15884000</v>
      </c>
      <c r="F131">
        <v>4811685591</v>
      </c>
    </row>
    <row r="132" spans="1:6" x14ac:dyDescent="0.3">
      <c r="A132">
        <v>13</v>
      </c>
      <c r="B132" t="s">
        <v>2037</v>
      </c>
      <c r="C132" t="s">
        <v>3701</v>
      </c>
      <c r="E132">
        <v>38181818</v>
      </c>
      <c r="F132">
        <v>4849867409</v>
      </c>
    </row>
    <row r="133" spans="1:6" x14ac:dyDescent="0.3">
      <c r="A133">
        <v>13</v>
      </c>
      <c r="B133" t="s">
        <v>2039</v>
      </c>
      <c r="C133" t="s">
        <v>3702</v>
      </c>
      <c r="E133">
        <v>44000000</v>
      </c>
      <c r="F133">
        <v>4893867409</v>
      </c>
    </row>
    <row r="134" spans="1:6" x14ac:dyDescent="0.3">
      <c r="A134">
        <v>13</v>
      </c>
      <c r="B134" t="s">
        <v>2028</v>
      </c>
      <c r="C134" t="s">
        <v>3703</v>
      </c>
      <c r="E134">
        <v>14000000</v>
      </c>
      <c r="F134">
        <v>4907867409</v>
      </c>
    </row>
    <row r="135" spans="1:6" x14ac:dyDescent="0.3">
      <c r="A135">
        <v>13</v>
      </c>
      <c r="B135" t="s">
        <v>2039</v>
      </c>
      <c r="C135" t="s">
        <v>3704</v>
      </c>
      <c r="E135">
        <v>43000000</v>
      </c>
      <c r="F135">
        <v>4950867409</v>
      </c>
    </row>
    <row r="136" spans="1:6" x14ac:dyDescent="0.3">
      <c r="A136">
        <v>13</v>
      </c>
      <c r="B136" t="s">
        <v>2037</v>
      </c>
      <c r="C136" t="s">
        <v>3705</v>
      </c>
      <c r="E136">
        <v>38181818</v>
      </c>
      <c r="F136">
        <v>4989049227</v>
      </c>
    </row>
    <row r="137" spans="1:6" x14ac:dyDescent="0.3">
      <c r="A137">
        <v>13</v>
      </c>
      <c r="B137" t="s">
        <v>2037</v>
      </c>
      <c r="C137" t="s">
        <v>3706</v>
      </c>
      <c r="E137">
        <v>35700000</v>
      </c>
      <c r="F137">
        <v>5024749227</v>
      </c>
    </row>
    <row r="138" spans="1:6" x14ac:dyDescent="0.3">
      <c r="A138">
        <v>13</v>
      </c>
      <c r="B138" t="s">
        <v>2037</v>
      </c>
      <c r="C138" t="s">
        <v>3706</v>
      </c>
      <c r="E138">
        <v>35700000</v>
      </c>
      <c r="F138">
        <v>5060449227</v>
      </c>
    </row>
    <row r="139" spans="1:6" x14ac:dyDescent="0.3">
      <c r="A139">
        <v>13</v>
      </c>
      <c r="B139" t="s">
        <v>3666</v>
      </c>
      <c r="C139" t="s">
        <v>3707</v>
      </c>
      <c r="E139">
        <v>58636364</v>
      </c>
      <c r="F139">
        <v>5119085591</v>
      </c>
    </row>
    <row r="140" spans="1:6" x14ac:dyDescent="0.3">
      <c r="A140">
        <v>13</v>
      </c>
      <c r="B140" t="s">
        <v>2037</v>
      </c>
      <c r="C140" t="s">
        <v>3708</v>
      </c>
      <c r="E140">
        <v>39500000</v>
      </c>
      <c r="F140">
        <v>5158585591</v>
      </c>
    </row>
    <row r="141" spans="1:6" x14ac:dyDescent="0.3">
      <c r="A141">
        <v>13</v>
      </c>
      <c r="B141" t="s">
        <v>2026</v>
      </c>
      <c r="C141" t="s">
        <v>3709</v>
      </c>
      <c r="E141">
        <v>13300000</v>
      </c>
      <c r="F141">
        <v>5171885591</v>
      </c>
    </row>
    <row r="142" spans="1:6" x14ac:dyDescent="0.3">
      <c r="A142">
        <v>13</v>
      </c>
      <c r="B142" t="s">
        <v>2043</v>
      </c>
      <c r="C142" t="s">
        <v>3710</v>
      </c>
      <c r="E142">
        <v>52430000</v>
      </c>
      <c r="F142">
        <v>5224315591</v>
      </c>
    </row>
    <row r="143" spans="1:6" x14ac:dyDescent="0.3">
      <c r="A143">
        <v>13</v>
      </c>
      <c r="B143" t="s">
        <v>2043</v>
      </c>
      <c r="C143" t="s">
        <v>3711</v>
      </c>
      <c r="E143">
        <v>52550000</v>
      </c>
      <c r="F143">
        <v>5276865591</v>
      </c>
    </row>
    <row r="144" spans="1:6" x14ac:dyDescent="0.3">
      <c r="A144">
        <v>13</v>
      </c>
      <c r="B144" t="s">
        <v>2037</v>
      </c>
      <c r="C144" t="s">
        <v>3712</v>
      </c>
      <c r="E144">
        <v>38636363</v>
      </c>
      <c r="F144">
        <v>5315501954</v>
      </c>
    </row>
    <row r="145" spans="1:6" x14ac:dyDescent="0.3">
      <c r="A145">
        <v>13</v>
      </c>
      <c r="B145" t="s">
        <v>2039</v>
      </c>
      <c r="C145" t="s">
        <v>3713</v>
      </c>
      <c r="E145">
        <v>42727272</v>
      </c>
      <c r="F145">
        <v>5358229226</v>
      </c>
    </row>
    <row r="146" spans="1:6" x14ac:dyDescent="0.3">
      <c r="A146">
        <v>13</v>
      </c>
      <c r="B146" t="s">
        <v>2032</v>
      </c>
      <c r="C146" t="s">
        <v>3714</v>
      </c>
      <c r="E146">
        <v>37050000</v>
      </c>
      <c r="F146">
        <v>5395279226</v>
      </c>
    </row>
    <row r="147" spans="1:6" x14ac:dyDescent="0.3">
      <c r="A147">
        <v>13</v>
      </c>
      <c r="B147" t="s">
        <v>7157</v>
      </c>
      <c r="C147" t="s">
        <v>3715</v>
      </c>
      <c r="E147">
        <v>201355280</v>
      </c>
      <c r="F147">
        <v>5596634506</v>
      </c>
    </row>
    <row r="148" spans="1:6" x14ac:dyDescent="0.3">
      <c r="A148">
        <v>13</v>
      </c>
      <c r="B148" t="s">
        <v>2032</v>
      </c>
      <c r="C148" t="s">
        <v>3716</v>
      </c>
      <c r="E148">
        <v>32700000</v>
      </c>
      <c r="F148">
        <v>5629334506</v>
      </c>
    </row>
    <row r="149" spans="1:6" x14ac:dyDescent="0.3">
      <c r="A149">
        <v>13</v>
      </c>
      <c r="B149" t="s">
        <v>2039</v>
      </c>
      <c r="C149" t="s">
        <v>3717</v>
      </c>
      <c r="E149">
        <v>38963000</v>
      </c>
      <c r="F149">
        <v>5668297506</v>
      </c>
    </row>
    <row r="150" spans="1:6" x14ac:dyDescent="0.3">
      <c r="A150">
        <v>13</v>
      </c>
      <c r="B150" t="s">
        <v>3718</v>
      </c>
      <c r="C150" t="s">
        <v>3597</v>
      </c>
      <c r="E150">
        <v>13000000</v>
      </c>
      <c r="F150">
        <v>5681297506</v>
      </c>
    </row>
    <row r="151" spans="1:6" x14ac:dyDescent="0.3">
      <c r="A151">
        <v>13</v>
      </c>
      <c r="B151" t="s">
        <v>2032</v>
      </c>
      <c r="C151" t="s">
        <v>3719</v>
      </c>
      <c r="E151">
        <v>32727272.5</v>
      </c>
      <c r="F151">
        <v>2873376025.5</v>
      </c>
    </row>
    <row r="152" spans="1:6" x14ac:dyDescent="0.3">
      <c r="A152">
        <v>13</v>
      </c>
      <c r="B152" t="s">
        <v>2032</v>
      </c>
      <c r="C152" t="s">
        <v>3719</v>
      </c>
      <c r="E152">
        <v>32727272.5</v>
      </c>
      <c r="F152">
        <v>2873376025.5</v>
      </c>
    </row>
    <row r="153" spans="1:6" x14ac:dyDescent="0.3">
      <c r="A153">
        <v>13</v>
      </c>
      <c r="B153" t="s">
        <v>2032</v>
      </c>
      <c r="C153" t="s">
        <v>3720</v>
      </c>
      <c r="E153">
        <v>32700000</v>
      </c>
      <c r="F153">
        <v>5779452051</v>
      </c>
    </row>
    <row r="154" spans="1:6" x14ac:dyDescent="0.3">
      <c r="A154">
        <v>13</v>
      </c>
      <c r="B154" t="s">
        <v>2037</v>
      </c>
      <c r="C154" t="s">
        <v>3721</v>
      </c>
      <c r="E154">
        <v>38500000</v>
      </c>
      <c r="F154">
        <v>5817952051</v>
      </c>
    </row>
    <row r="155" spans="1:6" x14ac:dyDescent="0.3">
      <c r="A155">
        <v>13</v>
      </c>
      <c r="B155" t="s">
        <v>2823</v>
      </c>
      <c r="C155" t="s">
        <v>3722</v>
      </c>
      <c r="E155">
        <v>22500000</v>
      </c>
      <c r="F155">
        <v>5840452051</v>
      </c>
    </row>
    <row r="156" spans="1:6" x14ac:dyDescent="0.3">
      <c r="A156">
        <v>13</v>
      </c>
      <c r="B156" t="s">
        <v>2823</v>
      </c>
      <c r="C156" t="s">
        <v>3722</v>
      </c>
      <c r="E156">
        <v>22500000</v>
      </c>
      <c r="F156">
        <v>5862952051</v>
      </c>
    </row>
    <row r="157" spans="1:6" x14ac:dyDescent="0.3">
      <c r="A157">
        <v>13</v>
      </c>
      <c r="B157" t="s">
        <v>3723</v>
      </c>
      <c r="C157" t="s">
        <v>3724</v>
      </c>
      <c r="E157">
        <v>40118163</v>
      </c>
      <c r="F157">
        <v>5903070214</v>
      </c>
    </row>
    <row r="158" spans="1:6" x14ac:dyDescent="0.3">
      <c r="A158">
        <v>13</v>
      </c>
      <c r="B158" t="s">
        <v>2026</v>
      </c>
      <c r="C158" t="s">
        <v>3725</v>
      </c>
      <c r="E158">
        <v>16363637</v>
      </c>
      <c r="F158">
        <v>5919433851</v>
      </c>
    </row>
    <row r="159" spans="1:6" x14ac:dyDescent="0.3">
      <c r="A159">
        <v>13</v>
      </c>
      <c r="B159" t="s">
        <v>2041</v>
      </c>
      <c r="C159" t="s">
        <v>3726</v>
      </c>
      <c r="E159">
        <v>47800000</v>
      </c>
      <c r="F159">
        <v>5967233851</v>
      </c>
    </row>
    <row r="160" spans="1:6" x14ac:dyDescent="0.3">
      <c r="A160">
        <v>13</v>
      </c>
      <c r="B160" t="s">
        <v>2032</v>
      </c>
      <c r="C160" t="s">
        <v>3727</v>
      </c>
      <c r="E160">
        <v>32000000</v>
      </c>
      <c r="F160">
        <v>5999233851</v>
      </c>
    </row>
    <row r="161" spans="1:6" x14ac:dyDescent="0.3">
      <c r="A161">
        <v>13</v>
      </c>
      <c r="B161" t="s">
        <v>3728</v>
      </c>
      <c r="C161" t="s">
        <v>3729</v>
      </c>
      <c r="E161">
        <v>33040000</v>
      </c>
      <c r="F161">
        <v>6032273851</v>
      </c>
    </row>
    <row r="162" spans="1:6" x14ac:dyDescent="0.3">
      <c r="A162">
        <v>13</v>
      </c>
      <c r="B162" t="s">
        <v>3728</v>
      </c>
      <c r="C162" t="s">
        <v>3729</v>
      </c>
      <c r="E162">
        <v>-33040000</v>
      </c>
      <c r="F162">
        <v>5999233851</v>
      </c>
    </row>
    <row r="163" spans="1:6" x14ac:dyDescent="0.3">
      <c r="A163">
        <v>13</v>
      </c>
      <c r="B163" t="s">
        <v>3728</v>
      </c>
      <c r="C163" t="s">
        <v>3729</v>
      </c>
      <c r="E163">
        <v>30040000</v>
      </c>
      <c r="F163">
        <v>6029273851</v>
      </c>
    </row>
    <row r="164" spans="1:6" x14ac:dyDescent="0.3">
      <c r="A164">
        <v>13</v>
      </c>
      <c r="B164" t="s">
        <v>2032</v>
      </c>
      <c r="C164" t="s">
        <v>3730</v>
      </c>
      <c r="E164">
        <v>35000000</v>
      </c>
      <c r="F164">
        <v>6064273851</v>
      </c>
    </row>
    <row r="165" spans="1:6" x14ac:dyDescent="0.3">
      <c r="A165">
        <v>13</v>
      </c>
      <c r="B165" t="s">
        <v>2037</v>
      </c>
      <c r="C165" t="s">
        <v>3731</v>
      </c>
      <c r="E165">
        <v>38181818</v>
      </c>
      <c r="F165">
        <v>6102455669</v>
      </c>
    </row>
    <row r="166" spans="1:6" x14ac:dyDescent="0.3">
      <c r="A166">
        <v>13</v>
      </c>
      <c r="B166" t="s">
        <v>2037</v>
      </c>
      <c r="C166" t="s">
        <v>3732</v>
      </c>
      <c r="E166">
        <v>37000000</v>
      </c>
      <c r="F166">
        <v>6139455669</v>
      </c>
    </row>
    <row r="167" spans="1:6" x14ac:dyDescent="0.3">
      <c r="A167">
        <v>13</v>
      </c>
      <c r="B167" t="s">
        <v>2037</v>
      </c>
      <c r="C167" t="s">
        <v>3733</v>
      </c>
      <c r="E167">
        <v>39090909</v>
      </c>
      <c r="F167">
        <v>6178546578</v>
      </c>
    </row>
    <row r="168" spans="1:6" x14ac:dyDescent="0.3">
      <c r="A168">
        <v>13</v>
      </c>
      <c r="B168" t="s">
        <v>2039</v>
      </c>
      <c r="C168" t="s">
        <v>3734</v>
      </c>
      <c r="E168">
        <v>42000000</v>
      </c>
      <c r="F168">
        <v>6220546578</v>
      </c>
    </row>
    <row r="169" spans="1:6" x14ac:dyDescent="0.3">
      <c r="A169">
        <v>13</v>
      </c>
      <c r="B169" t="s">
        <v>2032</v>
      </c>
      <c r="C169" t="s">
        <v>3712</v>
      </c>
      <c r="E169">
        <v>38181818</v>
      </c>
      <c r="F169">
        <v>6258728396</v>
      </c>
    </row>
    <row r="170" spans="1:6" x14ac:dyDescent="0.3">
      <c r="A170">
        <v>13</v>
      </c>
      <c r="B170" t="s">
        <v>2039</v>
      </c>
      <c r="C170" t="s">
        <v>3735</v>
      </c>
      <c r="E170">
        <v>39090909</v>
      </c>
      <c r="F170">
        <v>6297819305</v>
      </c>
    </row>
    <row r="171" spans="1:6" x14ac:dyDescent="0.3">
      <c r="A171">
        <v>13</v>
      </c>
      <c r="B171" t="s">
        <v>2028</v>
      </c>
      <c r="C171" t="s">
        <v>3736</v>
      </c>
      <c r="E171">
        <v>15070000</v>
      </c>
      <c r="F171">
        <v>6312889305</v>
      </c>
    </row>
    <row r="172" spans="1:6" x14ac:dyDescent="0.3">
      <c r="A172">
        <v>13</v>
      </c>
      <c r="B172" t="s">
        <v>7158</v>
      </c>
      <c r="C172" t="s">
        <v>214</v>
      </c>
      <c r="E172">
        <v>53559097</v>
      </c>
      <c r="F172">
        <v>6366448402</v>
      </c>
    </row>
    <row r="173" spans="1:6" x14ac:dyDescent="0.3">
      <c r="A173">
        <v>13</v>
      </c>
      <c r="B173" t="s">
        <v>7158</v>
      </c>
      <c r="C173" t="s">
        <v>214</v>
      </c>
      <c r="E173">
        <v>44674835</v>
      </c>
      <c r="F173">
        <v>6411123237</v>
      </c>
    </row>
    <row r="174" spans="1:6" x14ac:dyDescent="0.3">
      <c r="A174">
        <v>13</v>
      </c>
      <c r="B174" t="s">
        <v>2037</v>
      </c>
      <c r="C174" t="s">
        <v>3737</v>
      </c>
      <c r="E174">
        <v>38500000</v>
      </c>
      <c r="F174">
        <v>6449623237</v>
      </c>
    </row>
    <row r="175" spans="1:6" x14ac:dyDescent="0.3">
      <c r="A175">
        <v>13</v>
      </c>
      <c r="B175" t="s">
        <v>3666</v>
      </c>
      <c r="C175" t="s">
        <v>3738</v>
      </c>
      <c r="E175">
        <v>6636364</v>
      </c>
      <c r="F175">
        <v>6456259601</v>
      </c>
    </row>
    <row r="176" spans="1:6" x14ac:dyDescent="0.3">
      <c r="A176">
        <v>13</v>
      </c>
      <c r="B176" t="s">
        <v>2041</v>
      </c>
      <c r="C176" t="s">
        <v>3739</v>
      </c>
      <c r="E176">
        <v>48300000</v>
      </c>
      <c r="F176">
        <v>6504559601</v>
      </c>
    </row>
    <row r="177" spans="1:6" x14ac:dyDescent="0.3">
      <c r="A177">
        <v>13</v>
      </c>
      <c r="B177" t="s">
        <v>2041</v>
      </c>
      <c r="C177" t="s">
        <v>3740</v>
      </c>
      <c r="E177">
        <v>49090909</v>
      </c>
      <c r="F177">
        <v>6553650510</v>
      </c>
    </row>
    <row r="178" spans="1:6" x14ac:dyDescent="0.3">
      <c r="A178">
        <v>13</v>
      </c>
      <c r="B178" t="s">
        <v>3741</v>
      </c>
      <c r="C178" t="s">
        <v>3742</v>
      </c>
      <c r="E178">
        <v>129545455</v>
      </c>
      <c r="F178">
        <v>6683195965</v>
      </c>
    </row>
    <row r="179" spans="1:6" x14ac:dyDescent="0.3">
      <c r="A179">
        <v>13</v>
      </c>
      <c r="B179" t="s">
        <v>2028</v>
      </c>
      <c r="C179" t="s">
        <v>3743</v>
      </c>
      <c r="E179">
        <v>13300000</v>
      </c>
      <c r="F179">
        <v>6696495965</v>
      </c>
    </row>
    <row r="180" spans="1:6" x14ac:dyDescent="0.3">
      <c r="A180">
        <v>13</v>
      </c>
      <c r="B180" t="s">
        <v>2032</v>
      </c>
      <c r="C180" t="s">
        <v>3744</v>
      </c>
      <c r="E180">
        <v>34000000</v>
      </c>
      <c r="F180">
        <v>6730495965</v>
      </c>
    </row>
    <row r="181" spans="1:6" x14ac:dyDescent="0.3">
      <c r="A181">
        <v>13</v>
      </c>
      <c r="B181" t="s">
        <v>2062</v>
      </c>
      <c r="C181" t="s">
        <v>3745</v>
      </c>
      <c r="E181">
        <v>153950000</v>
      </c>
      <c r="F181">
        <v>6884445965</v>
      </c>
    </row>
    <row r="182" spans="1:6" x14ac:dyDescent="0.3">
      <c r="A182">
        <v>13</v>
      </c>
      <c r="B182" t="s">
        <v>2043</v>
      </c>
      <c r="C182" t="s">
        <v>3746</v>
      </c>
      <c r="E182">
        <v>57500000</v>
      </c>
      <c r="F182">
        <v>6941945965</v>
      </c>
    </row>
    <row r="183" spans="1:6" x14ac:dyDescent="0.3">
      <c r="A183">
        <v>13</v>
      </c>
      <c r="B183" t="s">
        <v>2027</v>
      </c>
      <c r="C183" t="s">
        <v>3747</v>
      </c>
      <c r="E183">
        <v>17545455</v>
      </c>
      <c r="F183">
        <v>6959491420</v>
      </c>
    </row>
    <row r="184" spans="1:6" x14ac:dyDescent="0.3">
      <c r="A184">
        <v>13</v>
      </c>
      <c r="B184" t="s">
        <v>2037</v>
      </c>
      <c r="C184" t="s">
        <v>3748</v>
      </c>
      <c r="E184">
        <v>38000000</v>
      </c>
      <c r="F184">
        <v>6997491420</v>
      </c>
    </row>
    <row r="185" spans="1:6" x14ac:dyDescent="0.3">
      <c r="A185">
        <v>13</v>
      </c>
      <c r="B185" t="s">
        <v>2045</v>
      </c>
      <c r="C185" t="s">
        <v>3749</v>
      </c>
      <c r="E185">
        <v>39090910</v>
      </c>
      <c r="F185">
        <v>7036582330</v>
      </c>
    </row>
    <row r="186" spans="1:6" x14ac:dyDescent="0.3">
      <c r="A186">
        <v>13</v>
      </c>
      <c r="B186" t="s">
        <v>2027</v>
      </c>
      <c r="C186" t="s">
        <v>3750</v>
      </c>
      <c r="E186">
        <v>13100000</v>
      </c>
      <c r="F186">
        <v>7049682330</v>
      </c>
    </row>
    <row r="187" spans="1:6" x14ac:dyDescent="0.3">
      <c r="A187">
        <v>13</v>
      </c>
      <c r="B187" t="s">
        <v>2037</v>
      </c>
      <c r="C187" t="s">
        <v>3751</v>
      </c>
      <c r="E187">
        <v>37500000</v>
      </c>
      <c r="F187">
        <v>7087182330</v>
      </c>
    </row>
    <row r="188" spans="1:6" x14ac:dyDescent="0.3">
      <c r="A188">
        <v>13</v>
      </c>
      <c r="B188" t="s">
        <v>2037</v>
      </c>
      <c r="C188" t="s">
        <v>3752</v>
      </c>
      <c r="E188">
        <v>39090909</v>
      </c>
      <c r="F188">
        <v>7126273239</v>
      </c>
    </row>
    <row r="189" spans="1:6" x14ac:dyDescent="0.3">
      <c r="A189">
        <v>13</v>
      </c>
      <c r="B189" t="s">
        <v>2039</v>
      </c>
      <c r="C189" t="s">
        <v>3753</v>
      </c>
      <c r="E189">
        <v>40272727</v>
      </c>
      <c r="F189">
        <v>7166545966</v>
      </c>
    </row>
    <row r="190" spans="1:6" x14ac:dyDescent="0.3">
      <c r="A190">
        <v>13</v>
      </c>
      <c r="B190" t="s">
        <v>2039</v>
      </c>
      <c r="C190" t="s">
        <v>3754</v>
      </c>
      <c r="E190">
        <v>42545455</v>
      </c>
      <c r="F190">
        <v>7209091421</v>
      </c>
    </row>
    <row r="191" spans="1:6" x14ac:dyDescent="0.3">
      <c r="A191">
        <v>13</v>
      </c>
      <c r="B191" t="s">
        <v>2037</v>
      </c>
      <c r="C191" t="s">
        <v>3755</v>
      </c>
      <c r="E191">
        <v>38936000</v>
      </c>
      <c r="F191">
        <v>7248027421</v>
      </c>
    </row>
    <row r="192" spans="1:6" x14ac:dyDescent="0.3">
      <c r="A192">
        <v>13</v>
      </c>
      <c r="B192" t="s">
        <v>2027</v>
      </c>
      <c r="C192" t="s">
        <v>3750</v>
      </c>
      <c r="E192">
        <v>-13100000</v>
      </c>
      <c r="F192">
        <v>7234927421</v>
      </c>
    </row>
    <row r="193" spans="1:6" x14ac:dyDescent="0.3">
      <c r="A193">
        <v>13</v>
      </c>
      <c r="B193" t="s">
        <v>2027</v>
      </c>
      <c r="C193" t="s">
        <v>3750</v>
      </c>
      <c r="E193">
        <v>13100000</v>
      </c>
      <c r="F193">
        <v>7248027421</v>
      </c>
    </row>
    <row r="194" spans="1:6" x14ac:dyDescent="0.3">
      <c r="A194">
        <v>13</v>
      </c>
      <c r="B194" t="s">
        <v>7154</v>
      </c>
      <c r="C194" t="s">
        <v>214</v>
      </c>
      <c r="E194">
        <v>28975109</v>
      </c>
      <c r="F194">
        <v>7277002530</v>
      </c>
    </row>
    <row r="195" spans="1:6" x14ac:dyDescent="0.3">
      <c r="A195">
        <v>13</v>
      </c>
      <c r="B195" t="s">
        <v>2039</v>
      </c>
      <c r="C195" t="s">
        <v>3756</v>
      </c>
      <c r="E195">
        <v>43636363</v>
      </c>
      <c r="F195">
        <v>7320638893</v>
      </c>
    </row>
    <row r="196" spans="1:6" x14ac:dyDescent="0.3">
      <c r="A196">
        <v>13</v>
      </c>
      <c r="B196" t="s">
        <v>2037</v>
      </c>
      <c r="C196" t="s">
        <v>3757</v>
      </c>
      <c r="E196">
        <v>37727273</v>
      </c>
      <c r="F196">
        <v>7358366166</v>
      </c>
    </row>
    <row r="197" spans="1:6" x14ac:dyDescent="0.3">
      <c r="A197">
        <v>13</v>
      </c>
      <c r="B197" t="s">
        <v>2039</v>
      </c>
      <c r="C197" t="s">
        <v>3758</v>
      </c>
      <c r="E197">
        <v>42181818</v>
      </c>
      <c r="F197">
        <v>7400547984</v>
      </c>
    </row>
    <row r="198" spans="1:6" x14ac:dyDescent="0.3">
      <c r="A198">
        <v>13</v>
      </c>
      <c r="B198" t="s">
        <v>3759</v>
      </c>
      <c r="C198" t="s">
        <v>3597</v>
      </c>
      <c r="E198">
        <v>20535000</v>
      </c>
      <c r="F198">
        <v>7421082984</v>
      </c>
    </row>
    <row r="199" spans="1:6" x14ac:dyDescent="0.3">
      <c r="A199">
        <v>13</v>
      </c>
      <c r="B199" t="s">
        <v>2068</v>
      </c>
      <c r="C199" t="s">
        <v>3760</v>
      </c>
      <c r="E199">
        <v>201500000</v>
      </c>
      <c r="F199">
        <v>7622582984</v>
      </c>
    </row>
    <row r="200" spans="1:6" x14ac:dyDescent="0.3">
      <c r="A200">
        <v>13</v>
      </c>
      <c r="B200" t="s">
        <v>3761</v>
      </c>
      <c r="C200" t="s">
        <v>3762</v>
      </c>
      <c r="E200">
        <v>46377000</v>
      </c>
      <c r="F200">
        <v>7668959984</v>
      </c>
    </row>
    <row r="201" spans="1:6" x14ac:dyDescent="0.3">
      <c r="A201">
        <v>13</v>
      </c>
      <c r="B201" t="s">
        <v>2028</v>
      </c>
      <c r="C201" t="s">
        <v>3763</v>
      </c>
      <c r="E201">
        <v>15100000</v>
      </c>
      <c r="F201">
        <v>7684059984</v>
      </c>
    </row>
    <row r="202" spans="1:6" x14ac:dyDescent="0.3">
      <c r="A202">
        <v>13</v>
      </c>
      <c r="B202" t="s">
        <v>2030</v>
      </c>
      <c r="C202" t="s">
        <v>3764</v>
      </c>
      <c r="E202">
        <v>36618182</v>
      </c>
      <c r="F202">
        <v>7720678166</v>
      </c>
    </row>
    <row r="203" spans="1:6" x14ac:dyDescent="0.3">
      <c r="A203">
        <v>13</v>
      </c>
      <c r="B203" t="s">
        <v>2037</v>
      </c>
      <c r="C203" t="s">
        <v>3765</v>
      </c>
      <c r="E203">
        <v>39700000</v>
      </c>
      <c r="F203">
        <v>7760378166</v>
      </c>
    </row>
    <row r="204" spans="1:6" x14ac:dyDescent="0.3">
      <c r="A204">
        <v>13</v>
      </c>
      <c r="B204" t="s">
        <v>2028</v>
      </c>
      <c r="C204" t="s">
        <v>3766</v>
      </c>
      <c r="E204">
        <v>13110000</v>
      </c>
      <c r="F204">
        <v>7773488166</v>
      </c>
    </row>
    <row r="205" spans="1:6" x14ac:dyDescent="0.3">
      <c r="A205">
        <v>13</v>
      </c>
      <c r="B205" t="s">
        <v>2032</v>
      </c>
      <c r="C205" t="s">
        <v>3767</v>
      </c>
      <c r="E205">
        <v>33000000</v>
      </c>
      <c r="F205">
        <v>7806488166</v>
      </c>
    </row>
    <row r="206" spans="1:6" x14ac:dyDescent="0.3">
      <c r="A206">
        <v>13</v>
      </c>
      <c r="B206" t="s">
        <v>2043</v>
      </c>
      <c r="C206" t="s">
        <v>3768</v>
      </c>
      <c r="E206">
        <v>50000000</v>
      </c>
      <c r="F206">
        <v>7856488166</v>
      </c>
    </row>
    <row r="207" spans="1:6" x14ac:dyDescent="0.3">
      <c r="A207">
        <v>13</v>
      </c>
      <c r="B207" t="s">
        <v>2067</v>
      </c>
      <c r="C207" t="s">
        <v>3769</v>
      </c>
      <c r="E207">
        <v>93636364</v>
      </c>
      <c r="F207">
        <v>7950124530</v>
      </c>
    </row>
    <row r="208" spans="1:6" x14ac:dyDescent="0.3">
      <c r="A208">
        <v>13</v>
      </c>
      <c r="B208" t="s">
        <v>2034</v>
      </c>
      <c r="C208" t="s">
        <v>3770</v>
      </c>
      <c r="E208">
        <v>41272728</v>
      </c>
      <c r="F208">
        <v>7991397258</v>
      </c>
    </row>
    <row r="209" spans="1:6" x14ac:dyDescent="0.3">
      <c r="A209">
        <v>13</v>
      </c>
      <c r="B209" t="s">
        <v>2034</v>
      </c>
      <c r="C209" t="s">
        <v>3771</v>
      </c>
      <c r="E209">
        <v>41272728</v>
      </c>
      <c r="F209">
        <v>8032669986</v>
      </c>
    </row>
    <row r="210" spans="1:6" x14ac:dyDescent="0.3">
      <c r="A210">
        <v>13</v>
      </c>
      <c r="B210" t="s">
        <v>3772</v>
      </c>
      <c r="C210" t="s">
        <v>214</v>
      </c>
      <c r="E210">
        <v>1970000</v>
      </c>
      <c r="F210">
        <v>8034639986</v>
      </c>
    </row>
    <row r="211" spans="1:6" x14ac:dyDescent="0.3">
      <c r="A211">
        <v>13</v>
      </c>
      <c r="B211" t="s">
        <v>3773</v>
      </c>
      <c r="C211" t="s">
        <v>3770</v>
      </c>
      <c r="E211">
        <v>3350000</v>
      </c>
      <c r="F211">
        <v>8037989986</v>
      </c>
    </row>
    <row r="212" spans="1:6" x14ac:dyDescent="0.3">
      <c r="A212">
        <v>13</v>
      </c>
      <c r="B212" t="s">
        <v>3774</v>
      </c>
      <c r="C212" t="s">
        <v>3597</v>
      </c>
      <c r="E212">
        <v>11165000</v>
      </c>
      <c r="F212">
        <v>8049154986</v>
      </c>
    </row>
    <row r="213" spans="1:6" x14ac:dyDescent="0.3">
      <c r="A213">
        <v>13</v>
      </c>
      <c r="B213" t="s">
        <v>2039</v>
      </c>
      <c r="C213" t="s">
        <v>3775</v>
      </c>
      <c r="E213">
        <v>46800000</v>
      </c>
      <c r="F213">
        <v>8095954986</v>
      </c>
    </row>
    <row r="214" spans="1:6" x14ac:dyDescent="0.3">
      <c r="A214">
        <v>13</v>
      </c>
      <c r="B214" t="s">
        <v>3776</v>
      </c>
      <c r="C214" t="s">
        <v>3777</v>
      </c>
      <c r="E214">
        <v>3636364</v>
      </c>
      <c r="F214">
        <v>8099591350</v>
      </c>
    </row>
    <row r="215" spans="1:6" x14ac:dyDescent="0.3">
      <c r="A215">
        <v>13</v>
      </c>
      <c r="B215" t="s">
        <v>2039</v>
      </c>
      <c r="C215" t="s">
        <v>3777</v>
      </c>
      <c r="E215">
        <v>45363637</v>
      </c>
      <c r="F215">
        <v>8144954987</v>
      </c>
    </row>
    <row r="216" spans="1:6" x14ac:dyDescent="0.3">
      <c r="A216">
        <v>13</v>
      </c>
      <c r="B216" t="s">
        <v>2047</v>
      </c>
      <c r="C216" t="s">
        <v>3623</v>
      </c>
      <c r="E216">
        <v>104545455</v>
      </c>
      <c r="F216">
        <v>8249500442</v>
      </c>
    </row>
    <row r="217" spans="1:6" x14ac:dyDescent="0.3">
      <c r="A217">
        <v>13</v>
      </c>
      <c r="B217" t="s">
        <v>2028</v>
      </c>
      <c r="C217" t="s">
        <v>3778</v>
      </c>
      <c r="E217">
        <v>13517273</v>
      </c>
      <c r="F217">
        <v>8263017715</v>
      </c>
    </row>
    <row r="218" spans="1:6" x14ac:dyDescent="0.3">
      <c r="A218">
        <v>13</v>
      </c>
      <c r="B218" t="s">
        <v>2039</v>
      </c>
      <c r="C218" t="s">
        <v>3779</v>
      </c>
      <c r="E218">
        <v>40909099</v>
      </c>
      <c r="F218">
        <v>8303926814</v>
      </c>
    </row>
    <row r="219" spans="1:6" x14ac:dyDescent="0.3">
      <c r="A219">
        <v>13</v>
      </c>
      <c r="B219" t="s">
        <v>2037</v>
      </c>
      <c r="C219" t="s">
        <v>3780</v>
      </c>
      <c r="E219">
        <v>40300000</v>
      </c>
      <c r="F219">
        <v>8344226814</v>
      </c>
    </row>
    <row r="220" spans="1:6" x14ac:dyDescent="0.3">
      <c r="A220">
        <v>13</v>
      </c>
      <c r="B220" t="s">
        <v>2032</v>
      </c>
      <c r="C220" t="s">
        <v>3680</v>
      </c>
      <c r="E220">
        <v>33000000</v>
      </c>
      <c r="F220">
        <v>8377226814</v>
      </c>
    </row>
    <row r="221" spans="1:6" x14ac:dyDescent="0.3">
      <c r="A221">
        <v>13</v>
      </c>
      <c r="B221" t="s">
        <v>2037</v>
      </c>
      <c r="C221" t="s">
        <v>3781</v>
      </c>
      <c r="E221">
        <v>38618182</v>
      </c>
      <c r="F221">
        <v>8415844996</v>
      </c>
    </row>
    <row r="222" spans="1:6" x14ac:dyDescent="0.3">
      <c r="A222">
        <v>13</v>
      </c>
      <c r="B222" t="s">
        <v>2041</v>
      </c>
      <c r="C222" t="s">
        <v>3782</v>
      </c>
      <c r="E222">
        <v>49500000</v>
      </c>
      <c r="F222">
        <v>8465344996</v>
      </c>
    </row>
    <row r="223" spans="1:6" x14ac:dyDescent="0.3">
      <c r="A223">
        <v>13</v>
      </c>
      <c r="B223" t="s">
        <v>2027</v>
      </c>
      <c r="C223" t="s">
        <v>3783</v>
      </c>
      <c r="E223">
        <v>14998818</v>
      </c>
      <c r="F223">
        <v>8480343814</v>
      </c>
    </row>
    <row r="224" spans="1:6" x14ac:dyDescent="0.3">
      <c r="A224">
        <v>13</v>
      </c>
      <c r="B224" t="s">
        <v>2041</v>
      </c>
      <c r="C224" t="s">
        <v>3784</v>
      </c>
      <c r="E224">
        <v>49767000</v>
      </c>
      <c r="F224">
        <v>8530110814</v>
      </c>
    </row>
    <row r="225" spans="1:6" x14ac:dyDescent="0.3">
      <c r="A225">
        <v>13</v>
      </c>
      <c r="B225" t="s">
        <v>2039</v>
      </c>
      <c r="C225" t="s">
        <v>3785</v>
      </c>
      <c r="E225">
        <v>42272727</v>
      </c>
      <c r="F225">
        <v>8572383541</v>
      </c>
    </row>
    <row r="226" spans="1:6" x14ac:dyDescent="0.3">
      <c r="A226">
        <v>13</v>
      </c>
      <c r="B226" t="s">
        <v>2039</v>
      </c>
      <c r="C226" t="s">
        <v>3786</v>
      </c>
      <c r="E226">
        <v>43000000</v>
      </c>
      <c r="F226">
        <v>8615383541</v>
      </c>
    </row>
    <row r="227" spans="1:6" x14ac:dyDescent="0.3">
      <c r="A227">
        <v>13</v>
      </c>
      <c r="B227" t="s">
        <v>2039</v>
      </c>
      <c r="C227" t="s">
        <v>3787</v>
      </c>
      <c r="E227">
        <v>45363637</v>
      </c>
      <c r="F227">
        <v>8660747178</v>
      </c>
    </row>
    <row r="228" spans="1:6" x14ac:dyDescent="0.3">
      <c r="A228">
        <v>13</v>
      </c>
      <c r="B228" t="s">
        <v>3788</v>
      </c>
      <c r="C228" t="s">
        <v>3762</v>
      </c>
      <c r="E228">
        <v>150000</v>
      </c>
      <c r="F228">
        <v>8660897178</v>
      </c>
    </row>
    <row r="229" spans="1:6" x14ac:dyDescent="0.3">
      <c r="A229">
        <v>13</v>
      </c>
      <c r="B229" t="s">
        <v>2037</v>
      </c>
      <c r="C229" t="s">
        <v>3789</v>
      </c>
      <c r="E229">
        <v>36500000</v>
      </c>
      <c r="F229">
        <v>8697397178</v>
      </c>
    </row>
    <row r="230" spans="1:6" x14ac:dyDescent="0.3">
      <c r="A230">
        <v>13</v>
      </c>
      <c r="B230" t="s">
        <v>2039</v>
      </c>
      <c r="C230" t="s">
        <v>3790</v>
      </c>
      <c r="E230">
        <v>41000000</v>
      </c>
      <c r="F230">
        <v>8738397178</v>
      </c>
    </row>
    <row r="231" spans="1:6" x14ac:dyDescent="0.3">
      <c r="A231">
        <v>13</v>
      </c>
      <c r="B231" t="s">
        <v>3791</v>
      </c>
      <c r="C231" t="s">
        <v>3587</v>
      </c>
      <c r="E231">
        <v>1800000</v>
      </c>
      <c r="F231">
        <v>8740197178</v>
      </c>
    </row>
    <row r="232" spans="1:6" x14ac:dyDescent="0.3">
      <c r="A232">
        <v>13</v>
      </c>
      <c r="B232" t="s">
        <v>2028</v>
      </c>
      <c r="C232" t="s">
        <v>3792</v>
      </c>
      <c r="E232">
        <v>14899000</v>
      </c>
      <c r="F232">
        <v>8755096178</v>
      </c>
    </row>
    <row r="233" spans="1:6" x14ac:dyDescent="0.3">
      <c r="A233">
        <v>13</v>
      </c>
      <c r="B233" t="s">
        <v>2037</v>
      </c>
      <c r="C233" t="s">
        <v>3482</v>
      </c>
      <c r="E233">
        <v>37272728</v>
      </c>
      <c r="F233">
        <v>8792368906</v>
      </c>
    </row>
    <row r="234" spans="1:6" x14ac:dyDescent="0.3">
      <c r="A234">
        <v>13</v>
      </c>
      <c r="B234" t="s">
        <v>2032</v>
      </c>
      <c r="C234" t="s">
        <v>3464</v>
      </c>
      <c r="E234">
        <v>36818182</v>
      </c>
      <c r="F234">
        <v>8829187088</v>
      </c>
    </row>
    <row r="235" spans="1:6" x14ac:dyDescent="0.3">
      <c r="A235">
        <v>13</v>
      </c>
      <c r="B235" t="s">
        <v>2037</v>
      </c>
      <c r="C235" t="s">
        <v>3793</v>
      </c>
      <c r="E235">
        <v>35454546</v>
      </c>
      <c r="F235">
        <v>8864641634</v>
      </c>
    </row>
    <row r="236" spans="1:6" x14ac:dyDescent="0.3">
      <c r="A236">
        <v>13</v>
      </c>
      <c r="B236" t="s">
        <v>3666</v>
      </c>
      <c r="C236" t="s">
        <v>3738</v>
      </c>
      <c r="E236">
        <v>60263636</v>
      </c>
      <c r="F236">
        <v>8924905270</v>
      </c>
    </row>
    <row r="237" spans="1:6" x14ac:dyDescent="0.3">
      <c r="A237">
        <v>13</v>
      </c>
      <c r="B237" t="s">
        <v>2037</v>
      </c>
      <c r="C237" t="s">
        <v>3794</v>
      </c>
      <c r="E237">
        <v>38000000</v>
      </c>
      <c r="F237">
        <v>8962905270</v>
      </c>
    </row>
    <row r="238" spans="1:6" x14ac:dyDescent="0.3">
      <c r="A238">
        <v>13</v>
      </c>
      <c r="B238" t="s">
        <v>2037</v>
      </c>
      <c r="C238" t="s">
        <v>3795</v>
      </c>
      <c r="E238">
        <v>38181819</v>
      </c>
      <c r="F238">
        <v>9001087089</v>
      </c>
    </row>
    <row r="239" spans="1:6" x14ac:dyDescent="0.3">
      <c r="A239">
        <v>13</v>
      </c>
      <c r="B239" t="s">
        <v>2034</v>
      </c>
      <c r="C239" t="s">
        <v>3796</v>
      </c>
      <c r="E239">
        <v>41272728</v>
      </c>
      <c r="F239">
        <v>9042359817</v>
      </c>
    </row>
    <row r="240" spans="1:6" x14ac:dyDescent="0.3">
      <c r="A240">
        <v>13</v>
      </c>
      <c r="B240" t="s">
        <v>2039</v>
      </c>
      <c r="C240" t="s">
        <v>3797</v>
      </c>
      <c r="E240">
        <v>39583000</v>
      </c>
      <c r="F240">
        <v>9081942817</v>
      </c>
    </row>
    <row r="241" spans="1:6" x14ac:dyDescent="0.3">
      <c r="A241">
        <v>13</v>
      </c>
      <c r="B241" t="s">
        <v>2043</v>
      </c>
      <c r="C241" t="s">
        <v>3798</v>
      </c>
      <c r="E241">
        <v>51270000</v>
      </c>
      <c r="F241">
        <v>9133212817</v>
      </c>
    </row>
    <row r="242" spans="1:6" x14ac:dyDescent="0.3">
      <c r="A242">
        <v>13</v>
      </c>
      <c r="B242" t="s">
        <v>3799</v>
      </c>
      <c r="C242" t="s">
        <v>3800</v>
      </c>
      <c r="E242">
        <v>7904000</v>
      </c>
      <c r="F242">
        <v>9141116817</v>
      </c>
    </row>
    <row r="243" spans="1:6" x14ac:dyDescent="0.3">
      <c r="A243">
        <v>13</v>
      </c>
      <c r="B243" t="s">
        <v>2037</v>
      </c>
      <c r="C243" t="s">
        <v>3801</v>
      </c>
      <c r="E243">
        <v>38000000</v>
      </c>
      <c r="F243">
        <v>9179116817</v>
      </c>
    </row>
    <row r="244" spans="1:6" x14ac:dyDescent="0.3">
      <c r="A244">
        <v>13</v>
      </c>
      <c r="B244" t="s">
        <v>2041</v>
      </c>
      <c r="C244" t="s">
        <v>3802</v>
      </c>
      <c r="E244">
        <v>50000000</v>
      </c>
      <c r="F244">
        <v>9229116817</v>
      </c>
    </row>
    <row r="245" spans="1:6" x14ac:dyDescent="0.3">
      <c r="A245">
        <v>13</v>
      </c>
      <c r="B245" t="s">
        <v>2032</v>
      </c>
      <c r="C245" t="s">
        <v>3803</v>
      </c>
      <c r="E245">
        <v>33300000</v>
      </c>
      <c r="F245">
        <v>9262416817</v>
      </c>
    </row>
    <row r="246" spans="1:6" x14ac:dyDescent="0.3">
      <c r="A246">
        <v>13</v>
      </c>
      <c r="B246" t="s">
        <v>2027</v>
      </c>
      <c r="C246" t="s">
        <v>3804</v>
      </c>
      <c r="E246">
        <v>12760000</v>
      </c>
      <c r="F246">
        <v>9275176817</v>
      </c>
    </row>
    <row r="247" spans="1:6" x14ac:dyDescent="0.3">
      <c r="A247">
        <v>13</v>
      </c>
      <c r="B247" t="s">
        <v>2026</v>
      </c>
      <c r="C247" t="s">
        <v>3804</v>
      </c>
      <c r="E247">
        <v>14300000</v>
      </c>
      <c r="F247">
        <v>9289476817</v>
      </c>
    </row>
    <row r="248" spans="1:6" x14ac:dyDescent="0.3">
      <c r="A248">
        <v>13</v>
      </c>
      <c r="B248" t="s">
        <v>3670</v>
      </c>
      <c r="C248" t="s">
        <v>3597</v>
      </c>
      <c r="E248">
        <v>51514000</v>
      </c>
      <c r="F248">
        <v>9340990817</v>
      </c>
    </row>
    <row r="249" spans="1:6" x14ac:dyDescent="0.3">
      <c r="A249">
        <v>13</v>
      </c>
      <c r="B249" t="s">
        <v>2039</v>
      </c>
      <c r="C249" t="s">
        <v>3805</v>
      </c>
      <c r="E249">
        <v>44545455</v>
      </c>
      <c r="F249">
        <v>9385536272</v>
      </c>
    </row>
    <row r="250" spans="1:6" x14ac:dyDescent="0.3">
      <c r="A250">
        <v>13</v>
      </c>
      <c r="B250" t="s">
        <v>2028</v>
      </c>
      <c r="C250" t="s">
        <v>3806</v>
      </c>
      <c r="E250">
        <v>14200000</v>
      </c>
      <c r="F250">
        <v>9399736272</v>
      </c>
    </row>
    <row r="251" spans="1:6" x14ac:dyDescent="0.3">
      <c r="A251">
        <v>13</v>
      </c>
      <c r="B251" t="s">
        <v>7153</v>
      </c>
      <c r="C251" t="s">
        <v>214</v>
      </c>
      <c r="E251">
        <v>61182846</v>
      </c>
      <c r="F251">
        <v>9460919118</v>
      </c>
    </row>
    <row r="252" spans="1:6" x14ac:dyDescent="0.3">
      <c r="A252">
        <v>13</v>
      </c>
      <c r="B252" t="s">
        <v>2037</v>
      </c>
      <c r="C252" t="s">
        <v>3807</v>
      </c>
      <c r="E252">
        <v>35000000</v>
      </c>
      <c r="F252">
        <v>9495919118</v>
      </c>
    </row>
    <row r="253" spans="1:6" x14ac:dyDescent="0.3">
      <c r="A253">
        <v>13</v>
      </c>
      <c r="B253" t="s">
        <v>2037</v>
      </c>
      <c r="C253" t="s">
        <v>3808</v>
      </c>
      <c r="E253">
        <v>38181818</v>
      </c>
      <c r="F253">
        <v>9534100936</v>
      </c>
    </row>
    <row r="254" spans="1:6" x14ac:dyDescent="0.3">
      <c r="A254">
        <v>13</v>
      </c>
      <c r="B254" t="s">
        <v>2032</v>
      </c>
      <c r="C254" t="s">
        <v>3809</v>
      </c>
      <c r="E254">
        <v>33000000</v>
      </c>
      <c r="F254">
        <v>9567100936</v>
      </c>
    </row>
    <row r="255" spans="1:6" x14ac:dyDescent="0.3">
      <c r="A255">
        <v>13</v>
      </c>
      <c r="B255" t="s">
        <v>2037</v>
      </c>
      <c r="C255" t="s">
        <v>3810</v>
      </c>
      <c r="E255">
        <v>35413637</v>
      </c>
      <c r="F255">
        <v>9602514573</v>
      </c>
    </row>
    <row r="256" spans="1:6" x14ac:dyDescent="0.3">
      <c r="A256">
        <v>13</v>
      </c>
      <c r="B256" t="s">
        <v>2041</v>
      </c>
      <c r="C256" t="s">
        <v>3811</v>
      </c>
      <c r="E256">
        <v>48636364</v>
      </c>
      <c r="F256">
        <v>9651150937</v>
      </c>
    </row>
    <row r="257" spans="1:6" x14ac:dyDescent="0.3">
      <c r="A257">
        <v>13</v>
      </c>
      <c r="B257" t="s">
        <v>3812</v>
      </c>
      <c r="C257" t="s">
        <v>3787</v>
      </c>
      <c r="E257">
        <v>3790909</v>
      </c>
      <c r="F257">
        <v>9654941846</v>
      </c>
    </row>
    <row r="258" spans="1:6" x14ac:dyDescent="0.3">
      <c r="A258">
        <v>13</v>
      </c>
      <c r="B258" t="s">
        <v>2039</v>
      </c>
      <c r="C258" t="s">
        <v>3813</v>
      </c>
      <c r="E258">
        <v>41000000</v>
      </c>
      <c r="F258">
        <v>9695941846</v>
      </c>
    </row>
    <row r="259" spans="1:6" x14ac:dyDescent="0.3">
      <c r="A259">
        <v>13</v>
      </c>
      <c r="B259" t="s">
        <v>2028</v>
      </c>
      <c r="C259" t="s">
        <v>3814</v>
      </c>
      <c r="E259">
        <v>13500000</v>
      </c>
      <c r="F259">
        <v>9709441846</v>
      </c>
    </row>
    <row r="260" spans="1:6" x14ac:dyDescent="0.3">
      <c r="A260">
        <v>13</v>
      </c>
      <c r="B260" t="s">
        <v>3815</v>
      </c>
      <c r="C260" t="s">
        <v>3816</v>
      </c>
      <c r="E260">
        <v>14600000</v>
      </c>
      <c r="F260">
        <v>9724041846</v>
      </c>
    </row>
    <row r="261" spans="1:6" x14ac:dyDescent="0.3">
      <c r="A261">
        <v>13</v>
      </c>
      <c r="B261" t="s">
        <v>2041</v>
      </c>
      <c r="C261" t="s">
        <v>3817</v>
      </c>
      <c r="E261">
        <v>47272727</v>
      </c>
      <c r="F261">
        <v>9771314573</v>
      </c>
    </row>
    <row r="262" spans="1:6" x14ac:dyDescent="0.3">
      <c r="A262">
        <v>13</v>
      </c>
      <c r="B262" t="s">
        <v>3818</v>
      </c>
      <c r="C262" t="s">
        <v>3597</v>
      </c>
      <c r="E262">
        <v>60000000</v>
      </c>
      <c r="F262">
        <v>9831314573</v>
      </c>
    </row>
    <row r="263" spans="1:6" x14ac:dyDescent="0.3">
      <c r="A263">
        <v>13</v>
      </c>
      <c r="B263" t="s">
        <v>2032</v>
      </c>
      <c r="C263" t="s">
        <v>3819</v>
      </c>
      <c r="E263">
        <v>33636364</v>
      </c>
      <c r="F263">
        <v>9864950937</v>
      </c>
    </row>
    <row r="264" spans="1:6" x14ac:dyDescent="0.3">
      <c r="A264">
        <v>13</v>
      </c>
      <c r="B264" t="s">
        <v>2027</v>
      </c>
      <c r="C264" t="s">
        <v>3820</v>
      </c>
      <c r="E264">
        <v>13760000</v>
      </c>
      <c r="F264">
        <v>9878710937</v>
      </c>
    </row>
    <row r="265" spans="1:6" x14ac:dyDescent="0.3">
      <c r="A265">
        <v>13</v>
      </c>
      <c r="B265" t="s">
        <v>2032</v>
      </c>
      <c r="C265" t="s">
        <v>3819</v>
      </c>
      <c r="E265">
        <v>-33636364</v>
      </c>
      <c r="F265">
        <v>9845074573</v>
      </c>
    </row>
    <row r="266" spans="1:6" x14ac:dyDescent="0.3">
      <c r="A266">
        <v>13</v>
      </c>
      <c r="B266" t="s">
        <v>2032</v>
      </c>
      <c r="C266" t="s">
        <v>3821</v>
      </c>
      <c r="E266">
        <v>33636364</v>
      </c>
      <c r="F266">
        <v>9878710937</v>
      </c>
    </row>
    <row r="267" spans="1:6" x14ac:dyDescent="0.3">
      <c r="A267">
        <v>13</v>
      </c>
      <c r="B267" t="s">
        <v>2032</v>
      </c>
      <c r="C267" t="s">
        <v>3821</v>
      </c>
      <c r="E267">
        <v>-33636364</v>
      </c>
      <c r="F267">
        <v>9845074573</v>
      </c>
    </row>
    <row r="268" spans="1:6" x14ac:dyDescent="0.3">
      <c r="A268">
        <v>13</v>
      </c>
      <c r="B268" t="s">
        <v>2032</v>
      </c>
      <c r="C268" t="s">
        <v>3819</v>
      </c>
      <c r="E268">
        <v>33636364</v>
      </c>
      <c r="F268">
        <v>9878710937</v>
      </c>
    </row>
    <row r="269" spans="1:6" x14ac:dyDescent="0.3">
      <c r="A269">
        <v>13</v>
      </c>
      <c r="B269" t="s">
        <v>2032</v>
      </c>
      <c r="C269" t="s">
        <v>3819</v>
      </c>
      <c r="E269">
        <v>-33636364</v>
      </c>
      <c r="F269">
        <v>9845074573</v>
      </c>
    </row>
    <row r="270" spans="1:6" x14ac:dyDescent="0.3">
      <c r="A270">
        <v>13</v>
      </c>
      <c r="B270" t="s">
        <v>2032</v>
      </c>
      <c r="C270" t="s">
        <v>3819</v>
      </c>
      <c r="E270">
        <v>33636364</v>
      </c>
      <c r="F270">
        <v>9878710937</v>
      </c>
    </row>
    <row r="271" spans="1:6" x14ac:dyDescent="0.3">
      <c r="A271">
        <v>13</v>
      </c>
      <c r="B271" t="s">
        <v>2032</v>
      </c>
      <c r="C271" t="s">
        <v>3819</v>
      </c>
      <c r="E271">
        <v>-33636364</v>
      </c>
      <c r="F271">
        <v>9845074573</v>
      </c>
    </row>
    <row r="272" spans="1:6" x14ac:dyDescent="0.3">
      <c r="A272">
        <v>13</v>
      </c>
      <c r="B272" t="s">
        <v>2032</v>
      </c>
      <c r="C272" t="s">
        <v>3819</v>
      </c>
      <c r="E272">
        <v>33636364</v>
      </c>
      <c r="F272">
        <v>9878710937</v>
      </c>
    </row>
    <row r="273" spans="1:6" x14ac:dyDescent="0.3">
      <c r="A273">
        <v>13</v>
      </c>
      <c r="B273" t="s">
        <v>2037</v>
      </c>
      <c r="C273" t="s">
        <v>3822</v>
      </c>
      <c r="E273">
        <v>37250000</v>
      </c>
      <c r="F273">
        <v>9915960937</v>
      </c>
    </row>
    <row r="274" spans="1:6" x14ac:dyDescent="0.3">
      <c r="A274">
        <v>13</v>
      </c>
      <c r="B274" t="s">
        <v>2039</v>
      </c>
      <c r="C274" t="s">
        <v>3823</v>
      </c>
      <c r="E274">
        <v>43500000</v>
      </c>
      <c r="F274">
        <v>9959460937</v>
      </c>
    </row>
    <row r="275" spans="1:6" x14ac:dyDescent="0.3">
      <c r="A275">
        <v>13</v>
      </c>
      <c r="B275" t="s">
        <v>2039</v>
      </c>
      <c r="C275" t="s">
        <v>3824</v>
      </c>
      <c r="E275">
        <v>40533000</v>
      </c>
      <c r="F275">
        <v>9999993937</v>
      </c>
    </row>
    <row r="276" spans="1:6" x14ac:dyDescent="0.3">
      <c r="A276">
        <v>13</v>
      </c>
      <c r="B276" t="s">
        <v>2027</v>
      </c>
      <c r="C276" t="s">
        <v>3599</v>
      </c>
      <c r="E276">
        <v>16220000</v>
      </c>
      <c r="F276">
        <v>10016213937</v>
      </c>
    </row>
    <row r="277" spans="1:6" x14ac:dyDescent="0.3">
      <c r="A277">
        <v>13</v>
      </c>
      <c r="B277" t="s">
        <v>2028</v>
      </c>
      <c r="C277" t="s">
        <v>3825</v>
      </c>
      <c r="E277">
        <v>15454546</v>
      </c>
      <c r="F277">
        <v>10031668483</v>
      </c>
    </row>
    <row r="278" spans="1:6" x14ac:dyDescent="0.3">
      <c r="A278">
        <v>13</v>
      </c>
      <c r="B278" t="s">
        <v>2034</v>
      </c>
      <c r="C278" t="s">
        <v>3826</v>
      </c>
      <c r="E278">
        <v>1200000</v>
      </c>
      <c r="F278">
        <v>10032868483</v>
      </c>
    </row>
    <row r="279" spans="1:6" x14ac:dyDescent="0.3">
      <c r="A279">
        <v>13</v>
      </c>
      <c r="B279" t="s">
        <v>2028</v>
      </c>
      <c r="C279" t="s">
        <v>3827</v>
      </c>
      <c r="E279">
        <v>13273909</v>
      </c>
      <c r="F279">
        <v>10046142392</v>
      </c>
    </row>
    <row r="280" spans="1:6" x14ac:dyDescent="0.3">
      <c r="A280">
        <v>13</v>
      </c>
      <c r="B280" t="s">
        <v>3666</v>
      </c>
      <c r="C280" t="s">
        <v>3828</v>
      </c>
      <c r="E280">
        <v>58400000</v>
      </c>
      <c r="F280">
        <v>10104542392</v>
      </c>
    </row>
    <row r="281" spans="1:6" x14ac:dyDescent="0.3">
      <c r="A281">
        <v>13</v>
      </c>
      <c r="B281" t="s">
        <v>2028</v>
      </c>
      <c r="C281" t="s">
        <v>3829</v>
      </c>
      <c r="E281">
        <v>15181819</v>
      </c>
      <c r="F281">
        <v>10119724211</v>
      </c>
    </row>
    <row r="282" spans="1:6" x14ac:dyDescent="0.3">
      <c r="A282">
        <v>13</v>
      </c>
      <c r="B282" t="s">
        <v>2028</v>
      </c>
      <c r="C282" t="s">
        <v>3830</v>
      </c>
      <c r="E282">
        <v>14000000</v>
      </c>
      <c r="F282">
        <v>10133724211</v>
      </c>
    </row>
    <row r="283" spans="1:6" x14ac:dyDescent="0.3">
      <c r="A283">
        <v>13</v>
      </c>
      <c r="B283" t="s">
        <v>2026</v>
      </c>
      <c r="C283" t="s">
        <v>3831</v>
      </c>
      <c r="E283">
        <v>13486364</v>
      </c>
      <c r="F283">
        <v>10147210575</v>
      </c>
    </row>
    <row r="284" spans="1:6" x14ac:dyDescent="0.3">
      <c r="A284">
        <v>13</v>
      </c>
      <c r="B284" t="s">
        <v>2034</v>
      </c>
      <c r="C284" t="s">
        <v>3826</v>
      </c>
      <c r="E284">
        <v>41272728</v>
      </c>
      <c r="F284">
        <v>10188483303</v>
      </c>
    </row>
    <row r="285" spans="1:6" x14ac:dyDescent="0.3">
      <c r="A285">
        <v>13</v>
      </c>
      <c r="B285" t="s">
        <v>2028</v>
      </c>
      <c r="C285" t="s">
        <v>3829</v>
      </c>
      <c r="E285">
        <v>-15181819</v>
      </c>
      <c r="F285">
        <v>10173301484</v>
      </c>
    </row>
    <row r="286" spans="1:6" x14ac:dyDescent="0.3">
      <c r="A286">
        <v>13</v>
      </c>
      <c r="B286" t="s">
        <v>2820</v>
      </c>
      <c r="C286" t="s">
        <v>3832</v>
      </c>
      <c r="E286">
        <v>60563637</v>
      </c>
      <c r="F286">
        <v>10233865121</v>
      </c>
    </row>
    <row r="287" spans="1:6" x14ac:dyDescent="0.3">
      <c r="A287">
        <v>13</v>
      </c>
      <c r="B287" t="s">
        <v>2039</v>
      </c>
      <c r="C287" t="s">
        <v>3833</v>
      </c>
      <c r="E287">
        <v>40600000</v>
      </c>
      <c r="F287">
        <v>10274465121</v>
      </c>
    </row>
    <row r="288" spans="1:6" x14ac:dyDescent="0.3">
      <c r="A288">
        <v>13</v>
      </c>
      <c r="B288" t="s">
        <v>2032</v>
      </c>
      <c r="C288" t="s">
        <v>3834</v>
      </c>
      <c r="E288">
        <v>31370000</v>
      </c>
      <c r="F288">
        <v>10305835121</v>
      </c>
    </row>
    <row r="289" spans="1:6" x14ac:dyDescent="0.3">
      <c r="A289">
        <v>13</v>
      </c>
      <c r="B289" t="s">
        <v>2037</v>
      </c>
      <c r="C289" t="s">
        <v>3719</v>
      </c>
      <c r="E289">
        <v>37000000</v>
      </c>
      <c r="F289">
        <v>10342835121</v>
      </c>
    </row>
    <row r="290" spans="1:6" x14ac:dyDescent="0.3">
      <c r="A290">
        <v>13</v>
      </c>
      <c r="B290" t="s">
        <v>2037</v>
      </c>
      <c r="C290" t="s">
        <v>3835</v>
      </c>
      <c r="E290">
        <v>36818182</v>
      </c>
      <c r="F290">
        <v>10379653303</v>
      </c>
    </row>
    <row r="291" spans="1:6" x14ac:dyDescent="0.3">
      <c r="A291">
        <v>13</v>
      </c>
      <c r="B291" t="s">
        <v>2037</v>
      </c>
      <c r="C291" t="s">
        <v>3836</v>
      </c>
      <c r="E291">
        <v>37000000</v>
      </c>
      <c r="F291">
        <v>10416653303</v>
      </c>
    </row>
    <row r="292" spans="1:6" x14ac:dyDescent="0.3">
      <c r="A292">
        <v>13</v>
      </c>
      <c r="B292" t="s">
        <v>3627</v>
      </c>
      <c r="C292" t="s">
        <v>3837</v>
      </c>
      <c r="E292">
        <v>118636364</v>
      </c>
      <c r="F292">
        <v>10535289667</v>
      </c>
    </row>
    <row r="293" spans="1:6" x14ac:dyDescent="0.3">
      <c r="A293">
        <v>13</v>
      </c>
      <c r="B293" t="s">
        <v>2028</v>
      </c>
      <c r="C293" t="s">
        <v>3838</v>
      </c>
      <c r="E293">
        <v>15500000</v>
      </c>
      <c r="F293">
        <v>10550789667</v>
      </c>
    </row>
    <row r="294" spans="1:6" x14ac:dyDescent="0.3">
      <c r="A294">
        <v>13</v>
      </c>
      <c r="B294" t="s">
        <v>2041</v>
      </c>
      <c r="C294" t="s">
        <v>3839</v>
      </c>
      <c r="E294">
        <v>49709091</v>
      </c>
      <c r="F294">
        <v>10600498758</v>
      </c>
    </row>
    <row r="295" spans="1:6" x14ac:dyDescent="0.3">
      <c r="A295">
        <v>13</v>
      </c>
      <c r="B295" t="s">
        <v>2039</v>
      </c>
      <c r="C295" t="s">
        <v>3840</v>
      </c>
      <c r="E295">
        <v>42727273</v>
      </c>
      <c r="F295">
        <v>10643226031</v>
      </c>
    </row>
    <row r="296" spans="1:6" x14ac:dyDescent="0.3">
      <c r="A296">
        <v>13</v>
      </c>
      <c r="B296" t="s">
        <v>2037</v>
      </c>
      <c r="C296" t="s">
        <v>3841</v>
      </c>
      <c r="E296">
        <v>40500000</v>
      </c>
      <c r="F296">
        <v>10683726031</v>
      </c>
    </row>
    <row r="297" spans="1:6" x14ac:dyDescent="0.3">
      <c r="A297">
        <v>13</v>
      </c>
      <c r="B297" t="s">
        <v>2028</v>
      </c>
      <c r="C297" t="s">
        <v>3829</v>
      </c>
      <c r="E297">
        <v>15181819</v>
      </c>
      <c r="F297">
        <v>10698907850</v>
      </c>
    </row>
    <row r="298" spans="1:6" x14ac:dyDescent="0.3">
      <c r="A298">
        <v>13</v>
      </c>
      <c r="B298" t="s">
        <v>2041</v>
      </c>
      <c r="C298" t="s">
        <v>3842</v>
      </c>
      <c r="E298">
        <v>48181819</v>
      </c>
      <c r="F298">
        <v>10747089669</v>
      </c>
    </row>
    <row r="299" spans="1:6" x14ac:dyDescent="0.3">
      <c r="A299">
        <v>13</v>
      </c>
      <c r="B299" t="s">
        <v>7159</v>
      </c>
      <c r="C299" t="s">
        <v>3843</v>
      </c>
      <c r="E299">
        <v>3500000</v>
      </c>
      <c r="F299">
        <v>10750589669</v>
      </c>
    </row>
    <row r="300" spans="1:6" x14ac:dyDescent="0.3">
      <c r="A300">
        <v>13</v>
      </c>
      <c r="B300" t="s">
        <v>2043</v>
      </c>
      <c r="C300" t="s">
        <v>3844</v>
      </c>
      <c r="E300">
        <v>52545455</v>
      </c>
      <c r="F300">
        <v>10803135124</v>
      </c>
    </row>
    <row r="301" spans="1:6" x14ac:dyDescent="0.3">
      <c r="A301">
        <v>13</v>
      </c>
      <c r="B301" t="s">
        <v>2041</v>
      </c>
      <c r="C301" t="s">
        <v>3845</v>
      </c>
      <c r="E301">
        <v>47217000</v>
      </c>
      <c r="F301">
        <v>10850352124</v>
      </c>
    </row>
    <row r="302" spans="1:6" x14ac:dyDescent="0.3">
      <c r="A302">
        <v>13</v>
      </c>
      <c r="B302" t="s">
        <v>7156</v>
      </c>
      <c r="C302" t="s">
        <v>214</v>
      </c>
      <c r="E302">
        <v>12239533</v>
      </c>
      <c r="F302">
        <v>10862591657</v>
      </c>
    </row>
    <row r="303" spans="1:6" x14ac:dyDescent="0.3">
      <c r="A303">
        <v>13</v>
      </c>
      <c r="B303" t="s">
        <v>2028</v>
      </c>
      <c r="C303" t="s">
        <v>3846</v>
      </c>
      <c r="E303">
        <v>13909091</v>
      </c>
      <c r="F303">
        <v>10876500748</v>
      </c>
    </row>
    <row r="304" spans="1:6" x14ac:dyDescent="0.3">
      <c r="A304">
        <v>13</v>
      </c>
      <c r="B304" t="s">
        <v>3627</v>
      </c>
      <c r="C304" t="s">
        <v>3847</v>
      </c>
      <c r="E304">
        <v>42863636</v>
      </c>
      <c r="F304">
        <v>10919364384</v>
      </c>
    </row>
    <row r="305" spans="1:6" x14ac:dyDescent="0.3">
      <c r="A305">
        <v>13</v>
      </c>
      <c r="B305" t="s">
        <v>3627</v>
      </c>
      <c r="C305" t="s">
        <v>3847</v>
      </c>
      <c r="E305">
        <v>118636364</v>
      </c>
      <c r="F305">
        <v>11038000748</v>
      </c>
    </row>
    <row r="306" spans="1:6" x14ac:dyDescent="0.3">
      <c r="A306">
        <v>13</v>
      </c>
      <c r="B306" t="s">
        <v>2027</v>
      </c>
      <c r="C306" t="s">
        <v>3848</v>
      </c>
      <c r="E306">
        <v>18000000</v>
      </c>
      <c r="F306">
        <v>11056000748</v>
      </c>
    </row>
    <row r="307" spans="1:6" x14ac:dyDescent="0.3">
      <c r="A307">
        <v>13</v>
      </c>
      <c r="B307" t="s">
        <v>2027</v>
      </c>
      <c r="C307" t="s">
        <v>3849</v>
      </c>
      <c r="E307">
        <v>15090000</v>
      </c>
      <c r="F307">
        <v>11071090748</v>
      </c>
    </row>
    <row r="308" spans="1:6" x14ac:dyDescent="0.3">
      <c r="A308">
        <v>13</v>
      </c>
      <c r="B308" t="s">
        <v>2028</v>
      </c>
      <c r="C308" t="s">
        <v>3850</v>
      </c>
      <c r="E308">
        <v>27800000</v>
      </c>
      <c r="F308">
        <v>11098890748</v>
      </c>
    </row>
    <row r="309" spans="1:6" x14ac:dyDescent="0.3">
      <c r="A309">
        <v>13</v>
      </c>
      <c r="B309" t="s">
        <v>2045</v>
      </c>
      <c r="C309" t="s">
        <v>3851</v>
      </c>
      <c r="E309">
        <v>31600000</v>
      </c>
      <c r="F309">
        <v>11130490748</v>
      </c>
    </row>
    <row r="310" spans="1:6" x14ac:dyDescent="0.3">
      <c r="A310">
        <v>13</v>
      </c>
      <c r="B310" t="s">
        <v>2037</v>
      </c>
      <c r="C310" t="s">
        <v>3852</v>
      </c>
      <c r="E310">
        <v>39000000</v>
      </c>
      <c r="F310">
        <v>11169490748</v>
      </c>
    </row>
    <row r="311" spans="1:6" x14ac:dyDescent="0.3">
      <c r="A311">
        <v>13</v>
      </c>
      <c r="B311" t="s">
        <v>2037</v>
      </c>
      <c r="C311" t="s">
        <v>3853</v>
      </c>
      <c r="E311">
        <v>36818182</v>
      </c>
      <c r="F311">
        <v>11206308930</v>
      </c>
    </row>
    <row r="312" spans="1:6" x14ac:dyDescent="0.3">
      <c r="A312">
        <v>13</v>
      </c>
      <c r="B312" t="s">
        <v>2026</v>
      </c>
      <c r="C312" t="s">
        <v>3854</v>
      </c>
      <c r="E312">
        <v>15536364</v>
      </c>
      <c r="F312">
        <v>11221845294</v>
      </c>
    </row>
    <row r="313" spans="1:6" x14ac:dyDescent="0.3">
      <c r="A313">
        <v>13</v>
      </c>
      <c r="B313" t="s">
        <v>2028</v>
      </c>
      <c r="C313" t="s">
        <v>3855</v>
      </c>
      <c r="E313">
        <v>13000000</v>
      </c>
      <c r="F313">
        <v>11234845294</v>
      </c>
    </row>
    <row r="314" spans="1:6" x14ac:dyDescent="0.3">
      <c r="A314">
        <v>13</v>
      </c>
      <c r="B314" t="s">
        <v>2039</v>
      </c>
      <c r="C314" t="s">
        <v>3856</v>
      </c>
      <c r="E314">
        <v>40000000</v>
      </c>
      <c r="F314">
        <v>11274845294</v>
      </c>
    </row>
    <row r="315" spans="1:6" x14ac:dyDescent="0.3">
      <c r="A315">
        <v>13</v>
      </c>
      <c r="B315" t="s">
        <v>2037</v>
      </c>
      <c r="C315" t="s">
        <v>3857</v>
      </c>
      <c r="E315">
        <v>38333000</v>
      </c>
      <c r="F315">
        <v>11313178294</v>
      </c>
    </row>
    <row r="316" spans="1:6" x14ac:dyDescent="0.3">
      <c r="A316">
        <v>13</v>
      </c>
      <c r="B316" t="s">
        <v>3858</v>
      </c>
      <c r="C316" t="s">
        <v>3597</v>
      </c>
      <c r="E316">
        <v>13576000</v>
      </c>
      <c r="F316">
        <v>11326754294</v>
      </c>
    </row>
    <row r="317" spans="1:6" x14ac:dyDescent="0.3">
      <c r="A317">
        <v>13</v>
      </c>
      <c r="B317" t="s">
        <v>2039</v>
      </c>
      <c r="C317" t="s">
        <v>3859</v>
      </c>
      <c r="E317">
        <v>40000000</v>
      </c>
      <c r="F317">
        <v>11366754294</v>
      </c>
    </row>
    <row r="318" spans="1:6" x14ac:dyDescent="0.3">
      <c r="A318">
        <v>13</v>
      </c>
      <c r="B318" t="s">
        <v>2027</v>
      </c>
      <c r="C318" t="s">
        <v>3804</v>
      </c>
      <c r="E318">
        <v>12760000</v>
      </c>
      <c r="F318">
        <v>11379514294</v>
      </c>
    </row>
    <row r="319" spans="1:6" x14ac:dyDescent="0.3">
      <c r="A319">
        <v>13</v>
      </c>
      <c r="B319" t="s">
        <v>2027</v>
      </c>
      <c r="C319" t="s">
        <v>3860</v>
      </c>
      <c r="E319">
        <v>16517000</v>
      </c>
      <c r="F319">
        <v>11396031294</v>
      </c>
    </row>
    <row r="320" spans="1:6" x14ac:dyDescent="0.3">
      <c r="A320">
        <v>13</v>
      </c>
      <c r="B320" t="s">
        <v>3627</v>
      </c>
      <c r="C320" t="s">
        <v>3861</v>
      </c>
      <c r="E320">
        <v>143000000</v>
      </c>
      <c r="F320">
        <v>11539031294</v>
      </c>
    </row>
    <row r="321" spans="1:6" x14ac:dyDescent="0.3">
      <c r="A321">
        <v>13</v>
      </c>
      <c r="B321" t="s">
        <v>2028</v>
      </c>
      <c r="C321" t="s">
        <v>3862</v>
      </c>
      <c r="E321">
        <v>14110000</v>
      </c>
      <c r="F321">
        <v>11553141294</v>
      </c>
    </row>
    <row r="322" spans="1:6" x14ac:dyDescent="0.3">
      <c r="A322">
        <v>13</v>
      </c>
      <c r="B322" t="s">
        <v>2028</v>
      </c>
      <c r="C322" t="s">
        <v>3863</v>
      </c>
      <c r="E322">
        <v>15200000</v>
      </c>
      <c r="F322">
        <v>11568341294</v>
      </c>
    </row>
    <row r="323" spans="1:6" x14ac:dyDescent="0.3">
      <c r="A323">
        <v>13</v>
      </c>
      <c r="B323" t="s">
        <v>2041</v>
      </c>
      <c r="C323" t="s">
        <v>3864</v>
      </c>
      <c r="E323">
        <v>49700000</v>
      </c>
      <c r="F323">
        <v>11618041294</v>
      </c>
    </row>
    <row r="324" spans="1:6" x14ac:dyDescent="0.3">
      <c r="A324">
        <v>13</v>
      </c>
      <c r="B324" t="s">
        <v>2041</v>
      </c>
      <c r="C324" t="s">
        <v>3865</v>
      </c>
      <c r="E324">
        <v>49709091</v>
      </c>
      <c r="F324">
        <v>11667750385</v>
      </c>
    </row>
    <row r="325" spans="1:6" x14ac:dyDescent="0.3">
      <c r="A325">
        <v>13</v>
      </c>
      <c r="B325" t="s">
        <v>2028</v>
      </c>
      <c r="C325" t="s">
        <v>3866</v>
      </c>
      <c r="E325">
        <v>16363636</v>
      </c>
      <c r="F325">
        <v>11684114021</v>
      </c>
    </row>
    <row r="326" spans="1:6" x14ac:dyDescent="0.3">
      <c r="A326">
        <v>13</v>
      </c>
      <c r="B326" t="s">
        <v>2041</v>
      </c>
      <c r="C326" t="s">
        <v>3865</v>
      </c>
      <c r="E326">
        <v>4090909</v>
      </c>
      <c r="F326">
        <v>11688204930</v>
      </c>
    </row>
    <row r="327" spans="1:6" x14ac:dyDescent="0.3">
      <c r="A327">
        <v>13</v>
      </c>
      <c r="B327" t="s">
        <v>3867</v>
      </c>
      <c r="C327" t="s">
        <v>3868</v>
      </c>
      <c r="E327">
        <v>300000</v>
      </c>
      <c r="F327">
        <v>11688504930</v>
      </c>
    </row>
    <row r="328" spans="1:6" x14ac:dyDescent="0.3">
      <c r="A328">
        <v>13</v>
      </c>
      <c r="B328" t="s">
        <v>3812</v>
      </c>
      <c r="C328" t="s">
        <v>3868</v>
      </c>
      <c r="E328">
        <v>1000000</v>
      </c>
      <c r="F328">
        <v>11689504930</v>
      </c>
    </row>
    <row r="329" spans="1:6" x14ac:dyDescent="0.3">
      <c r="A329">
        <v>13</v>
      </c>
      <c r="B329" t="s">
        <v>3812</v>
      </c>
      <c r="C329" t="s">
        <v>3868</v>
      </c>
      <c r="E329">
        <v>1818182</v>
      </c>
      <c r="F329">
        <v>11691323112</v>
      </c>
    </row>
    <row r="330" spans="1:6" x14ac:dyDescent="0.3">
      <c r="A330">
        <v>13</v>
      </c>
      <c r="B330" t="s">
        <v>2026</v>
      </c>
      <c r="C330" t="s">
        <v>3868</v>
      </c>
      <c r="E330">
        <v>180000</v>
      </c>
      <c r="F330">
        <v>11691503112</v>
      </c>
    </row>
    <row r="331" spans="1:6" x14ac:dyDescent="0.3">
      <c r="A331">
        <v>13</v>
      </c>
      <c r="B331" t="s">
        <v>2037</v>
      </c>
      <c r="C331" t="s">
        <v>3869</v>
      </c>
      <c r="E331">
        <v>36500000</v>
      </c>
      <c r="F331">
        <v>11728003112</v>
      </c>
    </row>
    <row r="332" spans="1:6" x14ac:dyDescent="0.3">
      <c r="A332">
        <v>13</v>
      </c>
      <c r="B332" t="s">
        <v>2027</v>
      </c>
      <c r="C332" t="s">
        <v>3870</v>
      </c>
      <c r="E332">
        <v>12500000</v>
      </c>
      <c r="F332">
        <v>11740503112</v>
      </c>
    </row>
    <row r="333" spans="1:6" x14ac:dyDescent="0.3">
      <c r="A333">
        <v>13</v>
      </c>
      <c r="B333" t="s">
        <v>7156</v>
      </c>
      <c r="C333" t="s">
        <v>214</v>
      </c>
      <c r="E333">
        <v>12332662</v>
      </c>
      <c r="F333">
        <v>11752835774</v>
      </c>
    </row>
    <row r="334" spans="1:6" x14ac:dyDescent="0.3">
      <c r="A334">
        <v>13</v>
      </c>
      <c r="B334" t="s">
        <v>2026</v>
      </c>
      <c r="C334" t="s">
        <v>3868</v>
      </c>
      <c r="E334">
        <v>29090910</v>
      </c>
      <c r="F334">
        <v>11781926684</v>
      </c>
    </row>
    <row r="335" spans="1:6" x14ac:dyDescent="0.3">
      <c r="A335">
        <v>13</v>
      </c>
      <c r="B335" t="s">
        <v>2037</v>
      </c>
      <c r="C335" t="s">
        <v>3871</v>
      </c>
      <c r="E335">
        <v>39090909</v>
      </c>
      <c r="F335">
        <v>11821017593</v>
      </c>
    </row>
    <row r="336" spans="1:6" x14ac:dyDescent="0.3">
      <c r="A336">
        <v>13</v>
      </c>
      <c r="B336" t="s">
        <v>2037</v>
      </c>
      <c r="C336" t="s">
        <v>3872</v>
      </c>
      <c r="E336">
        <v>38500000</v>
      </c>
      <c r="F336">
        <v>11859517593</v>
      </c>
    </row>
    <row r="337" spans="1:6" x14ac:dyDescent="0.3">
      <c r="A337">
        <v>13</v>
      </c>
      <c r="B337" t="s">
        <v>3666</v>
      </c>
      <c r="C337" t="s">
        <v>3873</v>
      </c>
      <c r="E337">
        <v>60000000</v>
      </c>
      <c r="F337">
        <v>11919517593</v>
      </c>
    </row>
    <row r="338" spans="1:6" x14ac:dyDescent="0.3">
      <c r="A338">
        <v>13</v>
      </c>
      <c r="B338" t="s">
        <v>7159</v>
      </c>
      <c r="C338" t="s">
        <v>3874</v>
      </c>
      <c r="E338">
        <v>3500000</v>
      </c>
      <c r="F338">
        <v>11923017593</v>
      </c>
    </row>
    <row r="339" spans="1:6" x14ac:dyDescent="0.3">
      <c r="A339">
        <v>13</v>
      </c>
      <c r="B339" t="s">
        <v>2041</v>
      </c>
      <c r="C339" t="s">
        <v>3875</v>
      </c>
      <c r="E339">
        <v>50000000</v>
      </c>
      <c r="F339">
        <v>11973017593</v>
      </c>
    </row>
    <row r="340" spans="1:6" x14ac:dyDescent="0.3">
      <c r="A340">
        <v>13</v>
      </c>
      <c r="B340" t="s">
        <v>2037</v>
      </c>
      <c r="C340" t="s">
        <v>3876</v>
      </c>
      <c r="E340">
        <v>37727273</v>
      </c>
      <c r="F340">
        <v>12010744866</v>
      </c>
    </row>
    <row r="341" spans="1:6" x14ac:dyDescent="0.3">
      <c r="A341">
        <v>13</v>
      </c>
      <c r="B341" t="s">
        <v>2043</v>
      </c>
      <c r="C341" t="s">
        <v>3877</v>
      </c>
      <c r="E341">
        <v>53000000</v>
      </c>
      <c r="F341">
        <v>12063744866</v>
      </c>
    </row>
    <row r="342" spans="1:6" x14ac:dyDescent="0.3">
      <c r="A342">
        <v>13</v>
      </c>
      <c r="B342" t="s">
        <v>2041</v>
      </c>
      <c r="C342" t="s">
        <v>3878</v>
      </c>
      <c r="E342">
        <v>48181819</v>
      </c>
      <c r="F342">
        <v>12111926685</v>
      </c>
    </row>
    <row r="343" spans="1:6" x14ac:dyDescent="0.3">
      <c r="A343">
        <v>13</v>
      </c>
      <c r="B343" t="s">
        <v>2028</v>
      </c>
      <c r="C343" t="s">
        <v>3879</v>
      </c>
      <c r="E343">
        <v>14727273</v>
      </c>
      <c r="F343">
        <v>12126653958</v>
      </c>
    </row>
    <row r="344" spans="1:6" x14ac:dyDescent="0.3">
      <c r="A344">
        <v>13</v>
      </c>
      <c r="B344" t="s">
        <v>2032</v>
      </c>
      <c r="C344" t="s">
        <v>3880</v>
      </c>
      <c r="E344">
        <v>33500000</v>
      </c>
      <c r="F344">
        <v>12160153958</v>
      </c>
    </row>
    <row r="345" spans="1:6" x14ac:dyDescent="0.3">
      <c r="A345">
        <v>13</v>
      </c>
      <c r="B345" t="s">
        <v>2820</v>
      </c>
      <c r="C345" t="s">
        <v>3881</v>
      </c>
      <c r="E345">
        <v>29545455</v>
      </c>
      <c r="F345">
        <v>12189699413</v>
      </c>
    </row>
    <row r="346" spans="1:6" x14ac:dyDescent="0.3">
      <c r="A346">
        <v>13</v>
      </c>
      <c r="B346" t="s">
        <v>2041</v>
      </c>
      <c r="C346" t="s">
        <v>3882</v>
      </c>
      <c r="E346">
        <v>8066364</v>
      </c>
      <c r="F346">
        <v>12197765777</v>
      </c>
    </row>
    <row r="347" spans="1:6" x14ac:dyDescent="0.3">
      <c r="A347">
        <v>13</v>
      </c>
      <c r="B347" t="s">
        <v>3883</v>
      </c>
      <c r="C347" t="s">
        <v>3661</v>
      </c>
      <c r="E347">
        <v>3500000</v>
      </c>
      <c r="F347">
        <v>12201265777</v>
      </c>
    </row>
    <row r="348" spans="1:6" x14ac:dyDescent="0.3">
      <c r="A348">
        <v>13</v>
      </c>
      <c r="B348" t="s">
        <v>2043</v>
      </c>
      <c r="C348" t="s">
        <v>3884</v>
      </c>
      <c r="E348">
        <v>52500000</v>
      </c>
      <c r="F348">
        <v>12253765777</v>
      </c>
    </row>
    <row r="349" spans="1:6" x14ac:dyDescent="0.3">
      <c r="A349">
        <v>13</v>
      </c>
      <c r="B349" t="s">
        <v>3728</v>
      </c>
      <c r="C349" t="s">
        <v>3885</v>
      </c>
      <c r="E349">
        <v>30000000</v>
      </c>
      <c r="F349">
        <v>12283765777</v>
      </c>
    </row>
    <row r="350" spans="1:6" x14ac:dyDescent="0.3">
      <c r="A350">
        <v>13</v>
      </c>
      <c r="B350" t="s">
        <v>2026</v>
      </c>
      <c r="C350" t="s">
        <v>3886</v>
      </c>
      <c r="E350">
        <v>13636364</v>
      </c>
      <c r="F350">
        <v>12297402141</v>
      </c>
    </row>
    <row r="351" spans="1:6" x14ac:dyDescent="0.3">
      <c r="A351">
        <v>13</v>
      </c>
      <c r="B351" t="s">
        <v>2027</v>
      </c>
      <c r="C351" t="s">
        <v>3887</v>
      </c>
      <c r="E351">
        <v>14181818</v>
      </c>
      <c r="F351">
        <v>12311583959</v>
      </c>
    </row>
    <row r="352" spans="1:6" x14ac:dyDescent="0.3">
      <c r="A352">
        <v>13</v>
      </c>
      <c r="B352" t="s">
        <v>7154</v>
      </c>
      <c r="C352" t="s">
        <v>3888</v>
      </c>
      <c r="E352">
        <v>60046503</v>
      </c>
      <c r="F352">
        <v>12371630462</v>
      </c>
    </row>
    <row r="353" spans="1:6" x14ac:dyDescent="0.3">
      <c r="A353">
        <v>13</v>
      </c>
      <c r="B353" t="s">
        <v>2028</v>
      </c>
      <c r="C353" t="s">
        <v>3838</v>
      </c>
      <c r="E353">
        <v>-15500000</v>
      </c>
      <c r="F353">
        <v>12356130462</v>
      </c>
    </row>
    <row r="354" spans="1:6" x14ac:dyDescent="0.3">
      <c r="A354">
        <v>13</v>
      </c>
      <c r="B354" t="s">
        <v>2032</v>
      </c>
      <c r="C354" t="s">
        <v>3889</v>
      </c>
      <c r="E354">
        <v>34272728</v>
      </c>
      <c r="F354">
        <v>12390403190</v>
      </c>
    </row>
    <row r="355" spans="1:6" x14ac:dyDescent="0.3">
      <c r="A355">
        <v>13</v>
      </c>
      <c r="B355" t="s">
        <v>2041</v>
      </c>
      <c r="C355" t="s">
        <v>3882</v>
      </c>
      <c r="E355">
        <v>72727273</v>
      </c>
      <c r="F355">
        <v>12463130463</v>
      </c>
    </row>
    <row r="356" spans="1:6" x14ac:dyDescent="0.3">
      <c r="A356">
        <v>13</v>
      </c>
      <c r="B356" t="s">
        <v>7160</v>
      </c>
      <c r="C356" t="s">
        <v>3890</v>
      </c>
      <c r="E356">
        <v>50044799</v>
      </c>
      <c r="F356">
        <v>12513175262</v>
      </c>
    </row>
    <row r="357" spans="1:6" x14ac:dyDescent="0.3">
      <c r="A357">
        <v>13</v>
      </c>
      <c r="B357" t="s">
        <v>2039</v>
      </c>
      <c r="C357" t="s">
        <v>3891</v>
      </c>
      <c r="E357">
        <v>40000000</v>
      </c>
      <c r="F357">
        <v>12553175262</v>
      </c>
    </row>
    <row r="358" spans="1:6" x14ac:dyDescent="0.3">
      <c r="A358">
        <v>13</v>
      </c>
      <c r="B358" t="s">
        <v>2028</v>
      </c>
      <c r="C358" t="s">
        <v>3892</v>
      </c>
      <c r="E358">
        <v>15983636</v>
      </c>
      <c r="F358">
        <v>12569158898</v>
      </c>
    </row>
    <row r="359" spans="1:6" x14ac:dyDescent="0.3">
      <c r="A359">
        <v>13</v>
      </c>
      <c r="B359" t="s">
        <v>3893</v>
      </c>
      <c r="C359" t="s">
        <v>3597</v>
      </c>
      <c r="E359">
        <v>9730000</v>
      </c>
      <c r="F359">
        <v>12578888898</v>
      </c>
    </row>
    <row r="360" spans="1:6" x14ac:dyDescent="0.3">
      <c r="A360">
        <v>13</v>
      </c>
      <c r="B360" t="s">
        <v>3894</v>
      </c>
      <c r="C360" t="s">
        <v>3895</v>
      </c>
      <c r="E360">
        <v>3951818</v>
      </c>
      <c r="F360">
        <v>12582840716</v>
      </c>
    </row>
    <row r="361" spans="1:6" x14ac:dyDescent="0.3">
      <c r="A361">
        <v>13</v>
      </c>
      <c r="B361" t="s">
        <v>2041</v>
      </c>
      <c r="C361" t="s">
        <v>3896</v>
      </c>
      <c r="E361">
        <v>46981818</v>
      </c>
      <c r="F361">
        <v>12629822534</v>
      </c>
    </row>
    <row r="362" spans="1:6" x14ac:dyDescent="0.3">
      <c r="A362">
        <v>13</v>
      </c>
      <c r="B362" t="s">
        <v>2026</v>
      </c>
      <c r="C362" t="s">
        <v>3897</v>
      </c>
      <c r="E362">
        <v>15000000</v>
      </c>
      <c r="F362">
        <v>12644822534</v>
      </c>
    </row>
    <row r="363" spans="1:6" x14ac:dyDescent="0.3">
      <c r="A363">
        <v>13</v>
      </c>
      <c r="B363" t="s">
        <v>3898</v>
      </c>
      <c r="C363" t="s">
        <v>3749</v>
      </c>
      <c r="E363">
        <v>9000000</v>
      </c>
      <c r="F363">
        <v>12653822534</v>
      </c>
    </row>
    <row r="364" spans="1:6" x14ac:dyDescent="0.3">
      <c r="A364">
        <v>13</v>
      </c>
      <c r="B364" t="s">
        <v>2034</v>
      </c>
      <c r="C364" t="s">
        <v>3895</v>
      </c>
      <c r="E364">
        <v>41272728</v>
      </c>
      <c r="F364">
        <v>12695095262</v>
      </c>
    </row>
    <row r="365" spans="1:6" x14ac:dyDescent="0.3">
      <c r="A365">
        <v>13</v>
      </c>
      <c r="B365" t="s">
        <v>2045</v>
      </c>
      <c r="C365" t="s">
        <v>3749</v>
      </c>
      <c r="E365">
        <v>39181819</v>
      </c>
      <c r="F365">
        <v>12734277081</v>
      </c>
    </row>
    <row r="366" spans="1:6" x14ac:dyDescent="0.3">
      <c r="A366">
        <v>13</v>
      </c>
      <c r="B366" t="s">
        <v>2037</v>
      </c>
      <c r="C366" t="s">
        <v>3899</v>
      </c>
      <c r="E366">
        <v>37272728</v>
      </c>
      <c r="F366">
        <v>12771549809</v>
      </c>
    </row>
    <row r="367" spans="1:6" x14ac:dyDescent="0.3">
      <c r="A367">
        <v>13</v>
      </c>
      <c r="B367" t="s">
        <v>2037</v>
      </c>
      <c r="C367" t="s">
        <v>3900</v>
      </c>
      <c r="E367">
        <v>37272728</v>
      </c>
      <c r="F367">
        <v>12808822537</v>
      </c>
    </row>
    <row r="368" spans="1:6" x14ac:dyDescent="0.3">
      <c r="A368">
        <v>13</v>
      </c>
      <c r="B368" t="s">
        <v>2037</v>
      </c>
      <c r="C368" t="s">
        <v>3621</v>
      </c>
      <c r="E368">
        <v>37272727</v>
      </c>
      <c r="F368">
        <v>12846095264</v>
      </c>
    </row>
    <row r="369" spans="1:6" x14ac:dyDescent="0.3">
      <c r="A369">
        <v>13</v>
      </c>
      <c r="B369" t="s">
        <v>2037</v>
      </c>
      <c r="C369" t="s">
        <v>3901</v>
      </c>
      <c r="E369">
        <v>38000000</v>
      </c>
      <c r="F369">
        <v>12884095264</v>
      </c>
    </row>
    <row r="370" spans="1:6" x14ac:dyDescent="0.3">
      <c r="A370">
        <v>13</v>
      </c>
      <c r="B370" t="s">
        <v>2026</v>
      </c>
      <c r="C370" t="s">
        <v>3902</v>
      </c>
      <c r="E370">
        <v>13636364</v>
      </c>
      <c r="F370">
        <v>12897731628</v>
      </c>
    </row>
    <row r="371" spans="1:6" x14ac:dyDescent="0.3">
      <c r="A371">
        <v>13</v>
      </c>
      <c r="B371" t="s">
        <v>2041</v>
      </c>
      <c r="C371" t="s">
        <v>3903</v>
      </c>
      <c r="E371">
        <v>72727273</v>
      </c>
      <c r="F371">
        <v>12970458901</v>
      </c>
    </row>
    <row r="372" spans="1:6" x14ac:dyDescent="0.3">
      <c r="A372">
        <v>13</v>
      </c>
      <c r="B372" t="s">
        <v>2063</v>
      </c>
      <c r="C372" t="s">
        <v>3904</v>
      </c>
      <c r="E372">
        <v>133000000</v>
      </c>
      <c r="F372">
        <v>13103458901</v>
      </c>
    </row>
    <row r="373" spans="1:6" x14ac:dyDescent="0.3">
      <c r="A373">
        <v>13</v>
      </c>
      <c r="B373" t="s">
        <v>3905</v>
      </c>
      <c r="C373" t="s">
        <v>3904</v>
      </c>
      <c r="E373">
        <v>-133000000</v>
      </c>
      <c r="F373">
        <v>12970458901</v>
      </c>
    </row>
    <row r="374" spans="1:6" x14ac:dyDescent="0.3">
      <c r="A374">
        <v>13</v>
      </c>
      <c r="B374" t="s">
        <v>2028</v>
      </c>
      <c r="C374" t="s">
        <v>3906</v>
      </c>
      <c r="E374">
        <v>13800000</v>
      </c>
      <c r="F374">
        <v>12984258901</v>
      </c>
    </row>
    <row r="375" spans="1:6" x14ac:dyDescent="0.3">
      <c r="A375">
        <v>13</v>
      </c>
      <c r="B375" t="s">
        <v>2041</v>
      </c>
      <c r="C375" t="s">
        <v>3903</v>
      </c>
      <c r="E375">
        <v>2990000</v>
      </c>
      <c r="F375">
        <v>12987248901</v>
      </c>
    </row>
    <row r="376" spans="1:6" x14ac:dyDescent="0.3">
      <c r="A376">
        <v>13</v>
      </c>
      <c r="B376" t="s">
        <v>2032</v>
      </c>
      <c r="C376" t="s">
        <v>3907</v>
      </c>
      <c r="E376">
        <v>33500000</v>
      </c>
      <c r="F376">
        <v>13020748901</v>
      </c>
    </row>
    <row r="377" spans="1:6" x14ac:dyDescent="0.3">
      <c r="A377">
        <v>13</v>
      </c>
      <c r="B377" t="s">
        <v>2027</v>
      </c>
      <c r="C377" t="s">
        <v>3908</v>
      </c>
      <c r="E377">
        <v>16254545</v>
      </c>
      <c r="F377">
        <v>13037003446</v>
      </c>
    </row>
    <row r="378" spans="1:6" x14ac:dyDescent="0.3">
      <c r="A378">
        <v>13</v>
      </c>
      <c r="B378" t="s">
        <v>3883</v>
      </c>
      <c r="C378" t="s">
        <v>3909</v>
      </c>
      <c r="E378">
        <v>3600000</v>
      </c>
      <c r="F378">
        <v>13040603446</v>
      </c>
    </row>
    <row r="379" spans="1:6" x14ac:dyDescent="0.3">
      <c r="A379">
        <v>13</v>
      </c>
      <c r="B379" t="s">
        <v>3883</v>
      </c>
      <c r="C379" t="s">
        <v>3910</v>
      </c>
      <c r="E379">
        <v>3600000</v>
      </c>
      <c r="F379">
        <v>13044203446</v>
      </c>
    </row>
    <row r="380" spans="1:6" x14ac:dyDescent="0.3">
      <c r="A380">
        <v>13</v>
      </c>
      <c r="B380" t="s">
        <v>3666</v>
      </c>
      <c r="C380" t="s">
        <v>3911</v>
      </c>
      <c r="E380">
        <v>60000000</v>
      </c>
      <c r="F380">
        <v>13104203446</v>
      </c>
    </row>
    <row r="381" spans="1:6" x14ac:dyDescent="0.3">
      <c r="A381">
        <v>13</v>
      </c>
      <c r="B381" t="s">
        <v>2037</v>
      </c>
      <c r="C381" t="s">
        <v>3912</v>
      </c>
      <c r="E381">
        <v>36000000</v>
      </c>
      <c r="F381">
        <v>13140203446</v>
      </c>
    </row>
    <row r="382" spans="1:6" x14ac:dyDescent="0.3">
      <c r="A382">
        <v>13</v>
      </c>
      <c r="B382" t="s">
        <v>2037</v>
      </c>
      <c r="C382" t="s">
        <v>3913</v>
      </c>
      <c r="E382">
        <v>38181818</v>
      </c>
      <c r="F382">
        <v>13178385264</v>
      </c>
    </row>
    <row r="383" spans="1:6" x14ac:dyDescent="0.3">
      <c r="A383">
        <v>13</v>
      </c>
      <c r="B383" t="s">
        <v>2037</v>
      </c>
      <c r="C383" t="s">
        <v>3912</v>
      </c>
      <c r="E383">
        <v>-36000000</v>
      </c>
      <c r="F383">
        <v>13142385264</v>
      </c>
    </row>
    <row r="384" spans="1:6" x14ac:dyDescent="0.3">
      <c r="A384">
        <v>13</v>
      </c>
      <c r="B384" t="s">
        <v>2037</v>
      </c>
      <c r="C384" t="s">
        <v>3912</v>
      </c>
      <c r="E384">
        <v>36000000</v>
      </c>
      <c r="F384">
        <v>13178385264</v>
      </c>
    </row>
    <row r="385" spans="1:6" x14ac:dyDescent="0.3">
      <c r="A385">
        <v>13</v>
      </c>
      <c r="B385" t="s">
        <v>3883</v>
      </c>
      <c r="C385" t="s">
        <v>3914</v>
      </c>
      <c r="E385">
        <v>3600000</v>
      </c>
      <c r="F385">
        <v>13181985264</v>
      </c>
    </row>
    <row r="386" spans="1:6" x14ac:dyDescent="0.3">
      <c r="A386">
        <v>13</v>
      </c>
      <c r="B386" t="s">
        <v>3915</v>
      </c>
      <c r="C386" t="s">
        <v>3597</v>
      </c>
      <c r="E386">
        <v>11464000</v>
      </c>
      <c r="F386">
        <v>13193449264</v>
      </c>
    </row>
    <row r="387" spans="1:6" x14ac:dyDescent="0.3">
      <c r="A387">
        <v>13</v>
      </c>
      <c r="B387" t="s">
        <v>3627</v>
      </c>
      <c r="C387" t="s">
        <v>3837</v>
      </c>
      <c r="E387">
        <v>7760000</v>
      </c>
      <c r="F387">
        <v>13201209264</v>
      </c>
    </row>
    <row r="388" spans="1:6" x14ac:dyDescent="0.3">
      <c r="A388">
        <v>13</v>
      </c>
      <c r="B388" t="s">
        <v>3916</v>
      </c>
      <c r="C388" t="s">
        <v>3917</v>
      </c>
      <c r="E388">
        <v>22200000</v>
      </c>
      <c r="F388">
        <v>13223409264</v>
      </c>
    </row>
    <row r="389" spans="1:6" x14ac:dyDescent="0.3">
      <c r="A389">
        <v>13</v>
      </c>
      <c r="B389" t="s">
        <v>7161</v>
      </c>
      <c r="C389" t="s">
        <v>214</v>
      </c>
      <c r="E389">
        <v>14368609</v>
      </c>
      <c r="F389">
        <v>13237777873</v>
      </c>
    </row>
    <row r="390" spans="1:6" x14ac:dyDescent="0.3">
      <c r="A390">
        <v>13</v>
      </c>
      <c r="B390" t="s">
        <v>3666</v>
      </c>
      <c r="C390" t="s">
        <v>3918</v>
      </c>
      <c r="E390">
        <v>60350000</v>
      </c>
      <c r="F390">
        <v>13298127873</v>
      </c>
    </row>
    <row r="391" spans="1:6" x14ac:dyDescent="0.3">
      <c r="A391">
        <v>13</v>
      </c>
      <c r="B391" t="s">
        <v>2037</v>
      </c>
      <c r="C391" t="s">
        <v>3919</v>
      </c>
      <c r="E391">
        <v>35909091</v>
      </c>
      <c r="F391">
        <v>13334036964</v>
      </c>
    </row>
    <row r="392" spans="1:6" x14ac:dyDescent="0.3">
      <c r="A392">
        <v>13</v>
      </c>
      <c r="B392" t="s">
        <v>3883</v>
      </c>
      <c r="C392" t="s">
        <v>3920</v>
      </c>
      <c r="E392">
        <v>3600000</v>
      </c>
      <c r="F392">
        <v>13337636964</v>
      </c>
    </row>
    <row r="393" spans="1:6" x14ac:dyDescent="0.3">
      <c r="A393">
        <v>13</v>
      </c>
      <c r="B393" t="s">
        <v>2039</v>
      </c>
      <c r="C393" t="s">
        <v>3921</v>
      </c>
      <c r="E393">
        <v>39583000</v>
      </c>
      <c r="F393">
        <v>13377219964</v>
      </c>
    </row>
    <row r="394" spans="1:6" x14ac:dyDescent="0.3">
      <c r="A394">
        <v>13</v>
      </c>
      <c r="B394" t="s">
        <v>7162</v>
      </c>
      <c r="C394" t="s">
        <v>3922</v>
      </c>
      <c r="E394">
        <v>133182339</v>
      </c>
      <c r="F394">
        <v>13510402303</v>
      </c>
    </row>
    <row r="395" spans="1:6" x14ac:dyDescent="0.3">
      <c r="A395">
        <v>13</v>
      </c>
      <c r="B395" t="s">
        <v>2027</v>
      </c>
      <c r="C395" t="s">
        <v>3923</v>
      </c>
      <c r="E395">
        <v>15000000</v>
      </c>
      <c r="F395">
        <v>13525402303</v>
      </c>
    </row>
    <row r="396" spans="1:6" x14ac:dyDescent="0.3">
      <c r="A396">
        <v>13</v>
      </c>
      <c r="B396" t="s">
        <v>2032</v>
      </c>
      <c r="C396" t="s">
        <v>3924</v>
      </c>
      <c r="E396">
        <v>33300000</v>
      </c>
      <c r="F396">
        <v>13558702303</v>
      </c>
    </row>
    <row r="397" spans="1:6" x14ac:dyDescent="0.3">
      <c r="A397">
        <v>13</v>
      </c>
      <c r="B397" t="s">
        <v>2039</v>
      </c>
      <c r="C397" t="s">
        <v>3925</v>
      </c>
      <c r="E397">
        <v>42600000</v>
      </c>
      <c r="F397">
        <v>13601302303</v>
      </c>
    </row>
    <row r="398" spans="1:6" x14ac:dyDescent="0.3">
      <c r="A398">
        <v>13</v>
      </c>
      <c r="B398" t="s">
        <v>3883</v>
      </c>
      <c r="C398" t="s">
        <v>3925</v>
      </c>
      <c r="E398">
        <v>3600000</v>
      </c>
      <c r="F398">
        <v>13604902303</v>
      </c>
    </row>
    <row r="399" spans="1:6" x14ac:dyDescent="0.3">
      <c r="A399">
        <v>13</v>
      </c>
      <c r="B399" t="s">
        <v>2027</v>
      </c>
      <c r="C399" t="s">
        <v>3926</v>
      </c>
      <c r="E399">
        <v>13000000</v>
      </c>
      <c r="F399">
        <v>13617902303</v>
      </c>
    </row>
    <row r="400" spans="1:6" x14ac:dyDescent="0.3">
      <c r="A400">
        <v>13</v>
      </c>
      <c r="B400" t="s">
        <v>3927</v>
      </c>
      <c r="C400" t="s">
        <v>3597</v>
      </c>
      <c r="E400">
        <v>16108000</v>
      </c>
      <c r="F400">
        <v>13634010303</v>
      </c>
    </row>
    <row r="401" spans="1:6" x14ac:dyDescent="0.3">
      <c r="A401">
        <v>13</v>
      </c>
      <c r="B401" t="s">
        <v>2041</v>
      </c>
      <c r="C401" t="s">
        <v>3928</v>
      </c>
      <c r="E401">
        <v>49709091</v>
      </c>
      <c r="F401">
        <v>13683719394</v>
      </c>
    </row>
    <row r="402" spans="1:6" x14ac:dyDescent="0.3">
      <c r="A402">
        <v>13</v>
      </c>
      <c r="B402" t="s">
        <v>7163</v>
      </c>
      <c r="C402" t="s">
        <v>3929</v>
      </c>
      <c r="E402">
        <v>26669396</v>
      </c>
      <c r="F402">
        <v>13710388790</v>
      </c>
    </row>
    <row r="403" spans="1:6" x14ac:dyDescent="0.3">
      <c r="A403">
        <v>13</v>
      </c>
      <c r="B403" t="s">
        <v>7154</v>
      </c>
      <c r="C403" t="s">
        <v>214</v>
      </c>
      <c r="E403">
        <v>29256262</v>
      </c>
      <c r="F403">
        <v>13739645052</v>
      </c>
    </row>
    <row r="404" spans="1:6" x14ac:dyDescent="0.3">
      <c r="A404">
        <v>13</v>
      </c>
      <c r="B404" t="s">
        <v>2026</v>
      </c>
      <c r="C404" t="s">
        <v>3930</v>
      </c>
      <c r="E404">
        <v>14545454</v>
      </c>
      <c r="F404">
        <v>13754190506</v>
      </c>
    </row>
    <row r="405" spans="1:6" x14ac:dyDescent="0.3">
      <c r="A405">
        <v>13</v>
      </c>
      <c r="B405" t="s">
        <v>2041</v>
      </c>
      <c r="C405" t="s">
        <v>3931</v>
      </c>
      <c r="E405">
        <v>50000000</v>
      </c>
      <c r="F405">
        <v>13804190506</v>
      </c>
    </row>
    <row r="406" spans="1:6" x14ac:dyDescent="0.3">
      <c r="A406">
        <v>13</v>
      </c>
      <c r="B406" t="s">
        <v>2028</v>
      </c>
      <c r="C406" t="s">
        <v>3932</v>
      </c>
      <c r="E406">
        <v>14200000</v>
      </c>
      <c r="F406">
        <v>13818390506</v>
      </c>
    </row>
    <row r="407" spans="1:6" x14ac:dyDescent="0.3">
      <c r="A407">
        <v>13</v>
      </c>
      <c r="B407" t="s">
        <v>2039</v>
      </c>
      <c r="C407" t="s">
        <v>3933</v>
      </c>
      <c r="E407">
        <v>42272727</v>
      </c>
      <c r="F407">
        <v>13860663233</v>
      </c>
    </row>
    <row r="408" spans="1:6" x14ac:dyDescent="0.3">
      <c r="A408">
        <v>13</v>
      </c>
      <c r="B408" t="s">
        <v>2039</v>
      </c>
      <c r="C408" t="s">
        <v>3436</v>
      </c>
      <c r="E408">
        <v>43940000</v>
      </c>
      <c r="F408">
        <v>13904603233</v>
      </c>
    </row>
    <row r="409" spans="1:6" x14ac:dyDescent="0.3">
      <c r="A409">
        <v>13</v>
      </c>
      <c r="B409" t="s">
        <v>2037</v>
      </c>
      <c r="C409" t="s">
        <v>3934</v>
      </c>
      <c r="E409">
        <v>37200000</v>
      </c>
      <c r="F409">
        <v>13941803233</v>
      </c>
    </row>
    <row r="410" spans="1:6" x14ac:dyDescent="0.3">
      <c r="A410">
        <v>13</v>
      </c>
      <c r="B410" t="s">
        <v>3935</v>
      </c>
      <c r="C410" t="s">
        <v>3597</v>
      </c>
      <c r="E410">
        <v>4788000</v>
      </c>
      <c r="F410">
        <v>13946591233</v>
      </c>
    </row>
    <row r="411" spans="1:6" x14ac:dyDescent="0.3">
      <c r="A411">
        <v>13</v>
      </c>
      <c r="B411" t="s">
        <v>3937</v>
      </c>
      <c r="C411" t="s">
        <v>3597</v>
      </c>
      <c r="E411">
        <v>19000000</v>
      </c>
      <c r="F411">
        <v>13965591233</v>
      </c>
    </row>
    <row r="412" spans="1:6" x14ac:dyDescent="0.3">
      <c r="A412">
        <v>13</v>
      </c>
      <c r="B412" t="s">
        <v>7154</v>
      </c>
      <c r="C412" t="s">
        <v>3929</v>
      </c>
      <c r="E412">
        <v>29140587</v>
      </c>
      <c r="F412">
        <v>13994731820</v>
      </c>
    </row>
    <row r="413" spans="1:6" x14ac:dyDescent="0.3">
      <c r="A413">
        <v>13</v>
      </c>
      <c r="B413" t="s">
        <v>2028</v>
      </c>
      <c r="C413" t="s">
        <v>3936</v>
      </c>
      <c r="E413">
        <v>13879842</v>
      </c>
      <c r="F413">
        <v>14008611662</v>
      </c>
    </row>
    <row r="414" spans="1:6" x14ac:dyDescent="0.3">
      <c r="A414">
        <v>13</v>
      </c>
      <c r="B414" t="s">
        <v>3937</v>
      </c>
      <c r="C414" t="s">
        <v>3938</v>
      </c>
      <c r="E414">
        <v>14209091</v>
      </c>
      <c r="F414">
        <v>14022820753</v>
      </c>
    </row>
    <row r="415" spans="1:6" x14ac:dyDescent="0.3">
      <c r="A415">
        <v>13</v>
      </c>
      <c r="B415" t="s">
        <v>2028</v>
      </c>
      <c r="C415" t="s">
        <v>3939</v>
      </c>
      <c r="E415">
        <v>13500000</v>
      </c>
      <c r="F415">
        <v>14036320753</v>
      </c>
    </row>
    <row r="416" spans="1:6" x14ac:dyDescent="0.3">
      <c r="A416">
        <v>13</v>
      </c>
      <c r="B416" t="s">
        <v>2034</v>
      </c>
      <c r="C416" t="s">
        <v>3940</v>
      </c>
      <c r="E416">
        <v>41272728</v>
      </c>
      <c r="F416">
        <v>14077593481</v>
      </c>
    </row>
    <row r="417" spans="1:6" x14ac:dyDescent="0.3">
      <c r="A417">
        <v>13</v>
      </c>
      <c r="B417" t="s">
        <v>2062</v>
      </c>
      <c r="C417" t="s">
        <v>3904</v>
      </c>
      <c r="E417">
        <v>156000000</v>
      </c>
      <c r="F417">
        <v>14233593481</v>
      </c>
    </row>
    <row r="418" spans="1:6" x14ac:dyDescent="0.3">
      <c r="A418">
        <v>13</v>
      </c>
      <c r="B418" t="s">
        <v>2037</v>
      </c>
      <c r="C418" t="s">
        <v>3941</v>
      </c>
      <c r="E418">
        <v>38318182</v>
      </c>
      <c r="F418">
        <v>14271911663</v>
      </c>
    </row>
    <row r="419" spans="1:6" x14ac:dyDescent="0.3">
      <c r="A419">
        <v>13</v>
      </c>
      <c r="B419" t="s">
        <v>2043</v>
      </c>
      <c r="C419" t="s">
        <v>3942</v>
      </c>
      <c r="E419">
        <v>50454545</v>
      </c>
      <c r="F419">
        <v>14322366208</v>
      </c>
    </row>
    <row r="420" spans="1:6" x14ac:dyDescent="0.3">
      <c r="A420">
        <v>13</v>
      </c>
      <c r="B420" t="s">
        <v>7164</v>
      </c>
      <c r="C420" t="s">
        <v>3890</v>
      </c>
      <c r="E420">
        <v>233360201</v>
      </c>
      <c r="F420">
        <v>14555726409</v>
      </c>
    </row>
    <row r="421" spans="1:6" x14ac:dyDescent="0.3">
      <c r="A421">
        <v>13</v>
      </c>
      <c r="B421" t="s">
        <v>2037</v>
      </c>
      <c r="C421" t="s">
        <v>3943</v>
      </c>
      <c r="E421">
        <v>38045455</v>
      </c>
      <c r="F421">
        <v>14593771864</v>
      </c>
    </row>
    <row r="422" spans="1:6" x14ac:dyDescent="0.3">
      <c r="A422">
        <v>13</v>
      </c>
      <c r="B422" t="s">
        <v>2037</v>
      </c>
      <c r="C422" t="s">
        <v>3944</v>
      </c>
      <c r="E422">
        <v>37520000</v>
      </c>
      <c r="F422">
        <v>14631291864</v>
      </c>
    </row>
    <row r="423" spans="1:6" x14ac:dyDescent="0.3">
      <c r="A423">
        <v>13</v>
      </c>
      <c r="B423" t="s">
        <v>2037</v>
      </c>
      <c r="C423" t="s">
        <v>3945</v>
      </c>
      <c r="E423">
        <v>45526400</v>
      </c>
      <c r="F423">
        <v>14676818264</v>
      </c>
    </row>
    <row r="424" spans="1:6" x14ac:dyDescent="0.3">
      <c r="A424">
        <v>13</v>
      </c>
      <c r="B424" t="s">
        <v>2037</v>
      </c>
      <c r="C424" t="s">
        <v>3945</v>
      </c>
      <c r="E424">
        <v>-45526400</v>
      </c>
      <c r="F424">
        <v>14631291864</v>
      </c>
    </row>
    <row r="425" spans="1:6" x14ac:dyDescent="0.3">
      <c r="A425">
        <v>13</v>
      </c>
      <c r="B425" t="s">
        <v>2037</v>
      </c>
      <c r="C425" t="s">
        <v>3945</v>
      </c>
      <c r="E425">
        <v>41926400</v>
      </c>
      <c r="F425">
        <v>14673218264</v>
      </c>
    </row>
    <row r="426" spans="1:6" x14ac:dyDescent="0.3">
      <c r="A426">
        <v>13</v>
      </c>
      <c r="B426" t="s">
        <v>3883</v>
      </c>
      <c r="C426" t="s">
        <v>3945</v>
      </c>
      <c r="E426">
        <v>3600000</v>
      </c>
      <c r="F426">
        <v>14676818264</v>
      </c>
    </row>
    <row r="427" spans="1:6" x14ac:dyDescent="0.3">
      <c r="A427">
        <v>13</v>
      </c>
      <c r="B427" t="s">
        <v>2037</v>
      </c>
      <c r="C427" t="s">
        <v>3946</v>
      </c>
      <c r="E427">
        <v>38000000</v>
      </c>
      <c r="F427">
        <v>14714818264</v>
      </c>
    </row>
    <row r="428" spans="1:6" x14ac:dyDescent="0.3">
      <c r="A428">
        <v>13</v>
      </c>
      <c r="B428" t="s">
        <v>2039</v>
      </c>
      <c r="C428" t="s">
        <v>3947</v>
      </c>
      <c r="E428">
        <v>41000000</v>
      </c>
      <c r="F428">
        <v>14755818264</v>
      </c>
    </row>
    <row r="429" spans="1:6" x14ac:dyDescent="0.3">
      <c r="A429">
        <v>13</v>
      </c>
      <c r="B429" t="s">
        <v>2043</v>
      </c>
      <c r="C429" t="s">
        <v>3948</v>
      </c>
      <c r="E429">
        <v>49090909</v>
      </c>
      <c r="F429">
        <v>14804909173</v>
      </c>
    </row>
    <row r="430" spans="1:6" x14ac:dyDescent="0.3">
      <c r="A430">
        <v>13</v>
      </c>
      <c r="B430" t="s">
        <v>2037</v>
      </c>
      <c r="C430" t="s">
        <v>3949</v>
      </c>
      <c r="E430">
        <v>36500000</v>
      </c>
      <c r="F430">
        <v>14841409173</v>
      </c>
    </row>
    <row r="431" spans="1:6" x14ac:dyDescent="0.3">
      <c r="A431">
        <v>13</v>
      </c>
      <c r="B431" t="s">
        <v>2039</v>
      </c>
      <c r="C431" t="s">
        <v>3950</v>
      </c>
      <c r="E431">
        <v>45630000</v>
      </c>
      <c r="F431">
        <v>14887039173</v>
      </c>
    </row>
    <row r="432" spans="1:6" x14ac:dyDescent="0.3">
      <c r="A432">
        <v>13</v>
      </c>
      <c r="B432" t="s">
        <v>2039</v>
      </c>
      <c r="C432" t="s">
        <v>3951</v>
      </c>
      <c r="E432">
        <v>45630000</v>
      </c>
      <c r="F432">
        <v>7489149586.5</v>
      </c>
    </row>
    <row r="433" spans="1:6" x14ac:dyDescent="0.3">
      <c r="A433">
        <v>13</v>
      </c>
      <c r="B433" t="s">
        <v>2039</v>
      </c>
      <c r="C433" t="s">
        <v>3951</v>
      </c>
      <c r="E433">
        <v>45630000</v>
      </c>
      <c r="F433">
        <v>7489149586.5</v>
      </c>
    </row>
    <row r="434" spans="1:6" x14ac:dyDescent="0.3">
      <c r="A434">
        <v>13</v>
      </c>
      <c r="B434" t="s">
        <v>3952</v>
      </c>
      <c r="C434" t="s">
        <v>3729</v>
      </c>
      <c r="E434">
        <v>11850000</v>
      </c>
      <c r="F434">
        <v>14990149173</v>
      </c>
    </row>
    <row r="435" spans="1:6" x14ac:dyDescent="0.3">
      <c r="A435">
        <v>13</v>
      </c>
      <c r="B435" t="s">
        <v>2043</v>
      </c>
      <c r="C435" t="s">
        <v>3953</v>
      </c>
      <c r="E435">
        <v>52545455</v>
      </c>
      <c r="F435">
        <v>15042694628</v>
      </c>
    </row>
    <row r="436" spans="1:6" x14ac:dyDescent="0.3">
      <c r="A436">
        <v>13</v>
      </c>
      <c r="B436" t="s">
        <v>2037</v>
      </c>
      <c r="C436" t="s">
        <v>3954</v>
      </c>
      <c r="E436">
        <v>35000000</v>
      </c>
      <c r="F436">
        <v>15077694628</v>
      </c>
    </row>
    <row r="437" spans="1:6" x14ac:dyDescent="0.3">
      <c r="A437">
        <v>13</v>
      </c>
      <c r="B437" t="s">
        <v>2032</v>
      </c>
      <c r="C437" t="s">
        <v>3955</v>
      </c>
      <c r="E437">
        <v>35000000</v>
      </c>
      <c r="F437">
        <v>15112694628</v>
      </c>
    </row>
    <row r="438" spans="1:6" x14ac:dyDescent="0.3">
      <c r="A438">
        <v>13</v>
      </c>
      <c r="B438" t="s">
        <v>2032</v>
      </c>
      <c r="C438" t="s">
        <v>3956</v>
      </c>
      <c r="E438">
        <v>35000000</v>
      </c>
      <c r="F438">
        <v>15147694628</v>
      </c>
    </row>
    <row r="439" spans="1:6" x14ac:dyDescent="0.3">
      <c r="A439">
        <v>13</v>
      </c>
      <c r="B439" t="s">
        <v>2028</v>
      </c>
      <c r="C439" t="s">
        <v>3957</v>
      </c>
      <c r="E439">
        <v>43181819</v>
      </c>
      <c r="F439">
        <v>15190876447</v>
      </c>
    </row>
    <row r="440" spans="1:6" x14ac:dyDescent="0.3">
      <c r="A440">
        <v>13</v>
      </c>
      <c r="B440" t="s">
        <v>2041</v>
      </c>
      <c r="C440" t="s">
        <v>3958</v>
      </c>
      <c r="E440">
        <v>48017000</v>
      </c>
      <c r="F440">
        <v>15238893447</v>
      </c>
    </row>
    <row r="441" spans="1:6" x14ac:dyDescent="0.3">
      <c r="A441">
        <v>13</v>
      </c>
      <c r="B441" t="s">
        <v>3627</v>
      </c>
      <c r="C441" t="s">
        <v>3959</v>
      </c>
      <c r="E441">
        <v>132000000</v>
      </c>
      <c r="F441">
        <v>15370893447</v>
      </c>
    </row>
    <row r="442" spans="1:6" x14ac:dyDescent="0.3">
      <c r="A442">
        <v>13</v>
      </c>
      <c r="B442" t="s">
        <v>2041</v>
      </c>
      <c r="C442" t="s">
        <v>3960</v>
      </c>
      <c r="E442">
        <v>49545455</v>
      </c>
      <c r="F442">
        <v>15420438902</v>
      </c>
    </row>
    <row r="443" spans="1:6" x14ac:dyDescent="0.3">
      <c r="A443">
        <v>13</v>
      </c>
      <c r="B443" t="s">
        <v>2041</v>
      </c>
      <c r="C443" t="s">
        <v>3961</v>
      </c>
      <c r="E443">
        <v>49500000</v>
      </c>
      <c r="F443">
        <v>15469938902</v>
      </c>
    </row>
    <row r="444" spans="1:6" x14ac:dyDescent="0.3">
      <c r="A444">
        <v>13</v>
      </c>
      <c r="B444" t="s">
        <v>2027</v>
      </c>
      <c r="C444" t="s">
        <v>3962</v>
      </c>
      <c r="E444">
        <v>14500000</v>
      </c>
      <c r="F444">
        <v>15484438902</v>
      </c>
    </row>
    <row r="445" spans="1:6" x14ac:dyDescent="0.3">
      <c r="A445">
        <v>13</v>
      </c>
      <c r="B445" t="s">
        <v>2032</v>
      </c>
      <c r="C445" t="s">
        <v>3962</v>
      </c>
      <c r="E445">
        <v>34500000</v>
      </c>
      <c r="F445">
        <v>15518938902</v>
      </c>
    </row>
    <row r="446" spans="1:6" x14ac:dyDescent="0.3">
      <c r="A446">
        <v>13</v>
      </c>
      <c r="B446" t="s">
        <v>2041</v>
      </c>
      <c r="C446" t="s">
        <v>3963</v>
      </c>
      <c r="E446">
        <v>49300000</v>
      </c>
      <c r="F446">
        <v>15568238902</v>
      </c>
    </row>
    <row r="447" spans="1:6" x14ac:dyDescent="0.3">
      <c r="A447">
        <v>13</v>
      </c>
      <c r="B447" t="s">
        <v>3788</v>
      </c>
      <c r="C447" t="s">
        <v>3762</v>
      </c>
      <c r="E447">
        <v>450000</v>
      </c>
      <c r="F447">
        <v>15568688902</v>
      </c>
    </row>
    <row r="448" spans="1:6" x14ac:dyDescent="0.3">
      <c r="A448">
        <v>13</v>
      </c>
      <c r="B448" t="s">
        <v>3788</v>
      </c>
      <c r="C448" t="s">
        <v>3762</v>
      </c>
      <c r="E448">
        <v>450000</v>
      </c>
      <c r="F448">
        <v>15569138902</v>
      </c>
    </row>
    <row r="449" spans="1:6" x14ac:dyDescent="0.3">
      <c r="A449">
        <v>13</v>
      </c>
      <c r="B449" t="s">
        <v>3788</v>
      </c>
      <c r="C449" t="s">
        <v>3762</v>
      </c>
      <c r="E449">
        <v>900000</v>
      </c>
      <c r="F449">
        <v>15570038902</v>
      </c>
    </row>
    <row r="450" spans="1:6" x14ac:dyDescent="0.3">
      <c r="A450">
        <v>13</v>
      </c>
      <c r="B450" t="s">
        <v>3788</v>
      </c>
      <c r="C450" t="s">
        <v>3762</v>
      </c>
      <c r="E450">
        <v>750000</v>
      </c>
      <c r="F450">
        <v>15570788902</v>
      </c>
    </row>
    <row r="451" spans="1:6" x14ac:dyDescent="0.3">
      <c r="A451">
        <v>13</v>
      </c>
      <c r="B451" t="s">
        <v>3788</v>
      </c>
      <c r="C451" t="s">
        <v>3762</v>
      </c>
      <c r="E451">
        <v>750000</v>
      </c>
      <c r="F451">
        <v>15571538902</v>
      </c>
    </row>
    <row r="452" spans="1:6" x14ac:dyDescent="0.3">
      <c r="A452">
        <v>13</v>
      </c>
      <c r="B452" t="s">
        <v>2028</v>
      </c>
      <c r="C452" t="s">
        <v>3964</v>
      </c>
      <c r="E452">
        <v>15000000</v>
      </c>
      <c r="F452">
        <v>15586538902</v>
      </c>
    </row>
    <row r="453" spans="1:6" x14ac:dyDescent="0.3">
      <c r="A453">
        <v>13</v>
      </c>
      <c r="B453" t="s">
        <v>2027</v>
      </c>
      <c r="C453" t="s">
        <v>3965</v>
      </c>
      <c r="E453">
        <v>14310000</v>
      </c>
      <c r="F453">
        <v>15600848902</v>
      </c>
    </row>
    <row r="454" spans="1:6" x14ac:dyDescent="0.3">
      <c r="A454">
        <v>13</v>
      </c>
      <c r="B454" t="s">
        <v>2037</v>
      </c>
      <c r="C454" t="s">
        <v>3966</v>
      </c>
      <c r="E454">
        <v>38636364</v>
      </c>
      <c r="F454">
        <v>15639485266</v>
      </c>
    </row>
    <row r="455" spans="1:6" x14ac:dyDescent="0.3">
      <c r="A455">
        <v>13</v>
      </c>
      <c r="B455" t="s">
        <v>3967</v>
      </c>
      <c r="C455" t="s">
        <v>3597</v>
      </c>
      <c r="E455">
        <v>19000000</v>
      </c>
      <c r="F455">
        <v>15658485266</v>
      </c>
    </row>
    <row r="456" spans="1:6" x14ac:dyDescent="0.3">
      <c r="A456">
        <v>13</v>
      </c>
      <c r="B456" t="s">
        <v>3967</v>
      </c>
      <c r="C456" t="s">
        <v>3597</v>
      </c>
      <c r="E456">
        <v>19000000</v>
      </c>
      <c r="F456">
        <v>15677485266</v>
      </c>
    </row>
    <row r="457" spans="1:6" x14ac:dyDescent="0.3">
      <c r="A457">
        <v>13</v>
      </c>
      <c r="B457" t="s">
        <v>7165</v>
      </c>
      <c r="C457" t="s">
        <v>3762</v>
      </c>
      <c r="E457">
        <v>93900000</v>
      </c>
      <c r="F457">
        <v>15771385266</v>
      </c>
    </row>
    <row r="458" spans="1:6" x14ac:dyDescent="0.3">
      <c r="A458">
        <v>13</v>
      </c>
      <c r="B458" t="s">
        <v>7165</v>
      </c>
      <c r="C458" t="s">
        <v>3762</v>
      </c>
      <c r="E458">
        <v>93900000</v>
      </c>
      <c r="F458">
        <v>15865285266</v>
      </c>
    </row>
    <row r="459" spans="1:6" x14ac:dyDescent="0.3">
      <c r="A459">
        <v>13</v>
      </c>
      <c r="B459" t="s">
        <v>3761</v>
      </c>
      <c r="C459" t="s">
        <v>3762</v>
      </c>
      <c r="E459">
        <v>89600000</v>
      </c>
      <c r="F459">
        <v>15954885266</v>
      </c>
    </row>
    <row r="460" spans="1:6" x14ac:dyDescent="0.3">
      <c r="A460">
        <v>13</v>
      </c>
      <c r="B460" t="s">
        <v>7165</v>
      </c>
      <c r="C460" t="s">
        <v>3762</v>
      </c>
      <c r="E460">
        <v>125200000</v>
      </c>
      <c r="F460">
        <v>16080085266</v>
      </c>
    </row>
    <row r="461" spans="1:6" x14ac:dyDescent="0.3">
      <c r="A461">
        <v>13</v>
      </c>
      <c r="B461" t="s">
        <v>3761</v>
      </c>
      <c r="C461" t="s">
        <v>3762</v>
      </c>
      <c r="E461">
        <v>89600000</v>
      </c>
      <c r="F461">
        <v>16169685266</v>
      </c>
    </row>
    <row r="462" spans="1:6" x14ac:dyDescent="0.3">
      <c r="A462">
        <v>13</v>
      </c>
      <c r="B462" t="s">
        <v>7165</v>
      </c>
      <c r="C462" t="s">
        <v>3762</v>
      </c>
      <c r="E462">
        <v>93900000</v>
      </c>
      <c r="F462">
        <v>16263585266</v>
      </c>
    </row>
    <row r="463" spans="1:6" x14ac:dyDescent="0.3">
      <c r="A463">
        <v>13</v>
      </c>
      <c r="B463" t="s">
        <v>3761</v>
      </c>
      <c r="C463" t="s">
        <v>3762</v>
      </c>
      <c r="E463">
        <v>134400000</v>
      </c>
      <c r="F463">
        <v>16397985266</v>
      </c>
    </row>
    <row r="464" spans="1:6" x14ac:dyDescent="0.3">
      <c r="A464">
        <v>13</v>
      </c>
      <c r="B464" t="s">
        <v>7165</v>
      </c>
      <c r="C464" t="s">
        <v>3762</v>
      </c>
      <c r="E464">
        <v>62600000</v>
      </c>
      <c r="F464">
        <v>16460585266</v>
      </c>
    </row>
    <row r="465" spans="1:6" x14ac:dyDescent="0.3">
      <c r="A465">
        <v>13</v>
      </c>
      <c r="B465" t="s">
        <v>2027</v>
      </c>
      <c r="C465" t="s">
        <v>3968</v>
      </c>
      <c r="E465">
        <v>11363636</v>
      </c>
      <c r="F465">
        <v>16471948902</v>
      </c>
    </row>
    <row r="466" spans="1:6" x14ac:dyDescent="0.3">
      <c r="A466">
        <v>13</v>
      </c>
      <c r="B466" t="s">
        <v>2032</v>
      </c>
      <c r="C466" t="s">
        <v>3969</v>
      </c>
      <c r="E466">
        <v>35545455</v>
      </c>
      <c r="F466">
        <v>16507494357</v>
      </c>
    </row>
    <row r="467" spans="1:6" x14ac:dyDescent="0.3">
      <c r="A467">
        <v>13</v>
      </c>
      <c r="B467" t="s">
        <v>2037</v>
      </c>
      <c r="C467" t="s">
        <v>3970</v>
      </c>
      <c r="E467">
        <v>39090909</v>
      </c>
      <c r="F467">
        <v>16546585266</v>
      </c>
    </row>
    <row r="468" spans="1:6" x14ac:dyDescent="0.3">
      <c r="A468">
        <v>13</v>
      </c>
      <c r="B468" t="s">
        <v>2041</v>
      </c>
      <c r="C468" t="s">
        <v>3971</v>
      </c>
      <c r="E468">
        <v>47900000</v>
      </c>
      <c r="F468">
        <v>16594485266</v>
      </c>
    </row>
    <row r="469" spans="1:6" x14ac:dyDescent="0.3">
      <c r="A469">
        <v>13</v>
      </c>
      <c r="B469" t="s">
        <v>2037</v>
      </c>
      <c r="C469" t="s">
        <v>3972</v>
      </c>
      <c r="E469">
        <v>37500000</v>
      </c>
      <c r="F469">
        <v>16631985266</v>
      </c>
    </row>
    <row r="470" spans="1:6" x14ac:dyDescent="0.3">
      <c r="A470">
        <v>13</v>
      </c>
      <c r="B470" t="s">
        <v>2028</v>
      </c>
      <c r="C470" t="s">
        <v>3973</v>
      </c>
      <c r="E470">
        <v>14200000</v>
      </c>
      <c r="F470">
        <v>16646185266</v>
      </c>
    </row>
    <row r="471" spans="1:6" x14ac:dyDescent="0.3">
      <c r="A471">
        <v>13</v>
      </c>
      <c r="B471" t="s">
        <v>2037</v>
      </c>
      <c r="C471" t="s">
        <v>3974</v>
      </c>
      <c r="E471">
        <v>38181818</v>
      </c>
      <c r="F471">
        <v>16684367084</v>
      </c>
    </row>
    <row r="472" spans="1:6" x14ac:dyDescent="0.3">
      <c r="A472">
        <v>13</v>
      </c>
      <c r="B472" t="s">
        <v>2028</v>
      </c>
      <c r="C472" t="s">
        <v>3975</v>
      </c>
      <c r="E472">
        <v>13636364</v>
      </c>
      <c r="F472">
        <v>16698003448</v>
      </c>
    </row>
    <row r="473" spans="1:6" x14ac:dyDescent="0.3">
      <c r="A473">
        <v>13</v>
      </c>
      <c r="B473" t="s">
        <v>2027</v>
      </c>
      <c r="C473" t="s">
        <v>3976</v>
      </c>
      <c r="E473">
        <v>13681819</v>
      </c>
      <c r="F473">
        <v>16711685267</v>
      </c>
    </row>
    <row r="474" spans="1:6" x14ac:dyDescent="0.3">
      <c r="A474">
        <v>13</v>
      </c>
      <c r="B474" t="s">
        <v>2027</v>
      </c>
      <c r="C474" t="s">
        <v>3976</v>
      </c>
      <c r="E474">
        <v>13681819</v>
      </c>
      <c r="F474">
        <v>16725367086</v>
      </c>
    </row>
    <row r="475" spans="1:6" x14ac:dyDescent="0.3">
      <c r="A475">
        <v>13</v>
      </c>
      <c r="B475" t="s">
        <v>2032</v>
      </c>
      <c r="C475" t="s">
        <v>3977</v>
      </c>
      <c r="E475">
        <v>38727273</v>
      </c>
      <c r="F475">
        <v>16764094359</v>
      </c>
    </row>
    <row r="476" spans="1:6" x14ac:dyDescent="0.3">
      <c r="A476">
        <v>13</v>
      </c>
      <c r="B476" t="s">
        <v>2027</v>
      </c>
      <c r="C476" t="s">
        <v>3976</v>
      </c>
      <c r="E476">
        <v>-13681819</v>
      </c>
      <c r="F476">
        <v>16750412540</v>
      </c>
    </row>
    <row r="477" spans="1:6" x14ac:dyDescent="0.3">
      <c r="A477">
        <v>13</v>
      </c>
      <c r="B477" t="s">
        <v>2027</v>
      </c>
      <c r="C477" t="s">
        <v>3976</v>
      </c>
      <c r="E477">
        <v>13681819</v>
      </c>
      <c r="F477">
        <v>16764094359</v>
      </c>
    </row>
    <row r="478" spans="1:6" x14ac:dyDescent="0.3">
      <c r="A478">
        <v>13</v>
      </c>
      <c r="B478" t="s">
        <v>2037</v>
      </c>
      <c r="C478" t="s">
        <v>3978</v>
      </c>
      <c r="E478">
        <v>40318000</v>
      </c>
      <c r="F478">
        <v>16804412359</v>
      </c>
    </row>
    <row r="479" spans="1:6" x14ac:dyDescent="0.3">
      <c r="A479">
        <v>13</v>
      </c>
      <c r="B479" t="s">
        <v>2037</v>
      </c>
      <c r="C479" t="s">
        <v>3979</v>
      </c>
      <c r="E479">
        <v>40318000</v>
      </c>
      <c r="F479">
        <v>16844730359</v>
      </c>
    </row>
    <row r="480" spans="1:6" x14ac:dyDescent="0.3">
      <c r="A480">
        <v>13</v>
      </c>
      <c r="B480" t="s">
        <v>2037</v>
      </c>
      <c r="C480" t="s">
        <v>3980</v>
      </c>
      <c r="E480">
        <v>35000000</v>
      </c>
      <c r="F480">
        <v>16879730359</v>
      </c>
    </row>
    <row r="481" spans="1:6" x14ac:dyDescent="0.3">
      <c r="A481">
        <v>13</v>
      </c>
      <c r="B481" t="s">
        <v>2037</v>
      </c>
      <c r="C481" t="s">
        <v>3981</v>
      </c>
      <c r="E481">
        <v>38000000</v>
      </c>
      <c r="F481">
        <v>16917730359</v>
      </c>
    </row>
    <row r="482" spans="1:6" x14ac:dyDescent="0.3">
      <c r="A482">
        <v>13</v>
      </c>
      <c r="B482" t="s">
        <v>2037</v>
      </c>
      <c r="C482" t="s">
        <v>3982</v>
      </c>
      <c r="E482">
        <v>38454545</v>
      </c>
      <c r="F482">
        <v>16956184904</v>
      </c>
    </row>
    <row r="483" spans="1:6" x14ac:dyDescent="0.3">
      <c r="A483">
        <v>13</v>
      </c>
      <c r="B483" t="s">
        <v>2037</v>
      </c>
      <c r="C483" t="s">
        <v>3983</v>
      </c>
      <c r="E483">
        <v>39545455</v>
      </c>
      <c r="F483">
        <v>16995730359</v>
      </c>
    </row>
    <row r="484" spans="1:6" x14ac:dyDescent="0.3">
      <c r="A484">
        <v>13</v>
      </c>
      <c r="B484" t="s">
        <v>2041</v>
      </c>
      <c r="C484" t="s">
        <v>3984</v>
      </c>
      <c r="E484">
        <v>48181818</v>
      </c>
      <c r="F484">
        <v>17043912177</v>
      </c>
    </row>
    <row r="485" spans="1:6" x14ac:dyDescent="0.3">
      <c r="A485">
        <v>13</v>
      </c>
      <c r="B485" t="s">
        <v>2037</v>
      </c>
      <c r="C485" t="s">
        <v>3985</v>
      </c>
      <c r="E485">
        <v>38636363</v>
      </c>
      <c r="F485">
        <v>17082548540</v>
      </c>
    </row>
    <row r="486" spans="1:6" x14ac:dyDescent="0.3">
      <c r="A486">
        <v>13</v>
      </c>
      <c r="B486" t="s">
        <v>2027</v>
      </c>
      <c r="C486" t="s">
        <v>3986</v>
      </c>
      <c r="E486">
        <v>12500000</v>
      </c>
      <c r="F486">
        <v>17095048540</v>
      </c>
    </row>
    <row r="487" spans="1:6" x14ac:dyDescent="0.3">
      <c r="A487">
        <v>13</v>
      </c>
      <c r="B487" t="s">
        <v>2037</v>
      </c>
      <c r="C487" t="s">
        <v>3987</v>
      </c>
      <c r="E487">
        <v>37713000</v>
      </c>
      <c r="F487">
        <v>17132761540</v>
      </c>
    </row>
    <row r="488" spans="1:6" x14ac:dyDescent="0.3">
      <c r="A488">
        <v>13</v>
      </c>
      <c r="B488" t="s">
        <v>2043</v>
      </c>
      <c r="C488" t="s">
        <v>3988</v>
      </c>
      <c r="E488">
        <v>52545455</v>
      </c>
      <c r="F488">
        <v>17185306995</v>
      </c>
    </row>
    <row r="489" spans="1:6" x14ac:dyDescent="0.3">
      <c r="A489">
        <v>13</v>
      </c>
      <c r="B489" t="s">
        <v>3989</v>
      </c>
      <c r="C489" t="s">
        <v>3597</v>
      </c>
      <c r="E489">
        <v>40590000</v>
      </c>
      <c r="F489">
        <v>17225896995</v>
      </c>
    </row>
    <row r="490" spans="1:6" x14ac:dyDescent="0.3">
      <c r="A490">
        <v>13</v>
      </c>
      <c r="B490" t="s">
        <v>2026</v>
      </c>
      <c r="C490" t="s">
        <v>3990</v>
      </c>
      <c r="E490">
        <v>13500000</v>
      </c>
      <c r="F490">
        <v>17239396995</v>
      </c>
    </row>
    <row r="491" spans="1:6" x14ac:dyDescent="0.3">
      <c r="A491">
        <v>13</v>
      </c>
      <c r="B491" t="s">
        <v>2027</v>
      </c>
      <c r="C491" t="s">
        <v>3464</v>
      </c>
      <c r="E491">
        <v>14699091</v>
      </c>
      <c r="F491">
        <v>17254096086</v>
      </c>
    </row>
    <row r="492" spans="1:6" x14ac:dyDescent="0.3">
      <c r="A492">
        <v>13</v>
      </c>
      <c r="B492" t="s">
        <v>2039</v>
      </c>
      <c r="C492" t="s">
        <v>3991</v>
      </c>
      <c r="E492">
        <v>39400000</v>
      </c>
      <c r="F492">
        <v>17293496086</v>
      </c>
    </row>
    <row r="493" spans="1:6" x14ac:dyDescent="0.3">
      <c r="A493">
        <v>13</v>
      </c>
      <c r="B493" t="s">
        <v>2041</v>
      </c>
      <c r="C493" t="s">
        <v>3992</v>
      </c>
      <c r="E493">
        <v>49000000</v>
      </c>
      <c r="F493">
        <v>17342496086</v>
      </c>
    </row>
    <row r="494" spans="1:6" x14ac:dyDescent="0.3">
      <c r="A494">
        <v>13</v>
      </c>
      <c r="B494" t="s">
        <v>2028</v>
      </c>
      <c r="C494" t="s">
        <v>3993</v>
      </c>
      <c r="E494">
        <v>14661739</v>
      </c>
      <c r="F494">
        <v>17357157825</v>
      </c>
    </row>
    <row r="495" spans="1:6" x14ac:dyDescent="0.3">
      <c r="A495">
        <v>13</v>
      </c>
      <c r="B495" t="s">
        <v>2039</v>
      </c>
      <c r="C495" t="s">
        <v>3994</v>
      </c>
      <c r="E495">
        <v>42727272</v>
      </c>
      <c r="F495">
        <v>17399885097</v>
      </c>
    </row>
    <row r="496" spans="1:6" x14ac:dyDescent="0.3">
      <c r="A496">
        <v>13</v>
      </c>
      <c r="B496" t="s">
        <v>2028</v>
      </c>
      <c r="C496" t="s">
        <v>3995</v>
      </c>
      <c r="E496">
        <v>13800000</v>
      </c>
      <c r="F496">
        <v>17413685097</v>
      </c>
    </row>
    <row r="497" spans="1:6" x14ac:dyDescent="0.3">
      <c r="A497">
        <v>13</v>
      </c>
      <c r="B497" t="s">
        <v>3666</v>
      </c>
      <c r="C497" t="s">
        <v>3996</v>
      </c>
      <c r="E497">
        <v>58000000</v>
      </c>
      <c r="F497">
        <v>17471685097</v>
      </c>
    </row>
    <row r="498" spans="1:6" x14ac:dyDescent="0.3">
      <c r="A498">
        <v>13</v>
      </c>
      <c r="B498" t="s">
        <v>2032</v>
      </c>
      <c r="C498" t="s">
        <v>3997</v>
      </c>
      <c r="E498">
        <v>38600000</v>
      </c>
      <c r="F498">
        <v>17510285097</v>
      </c>
    </row>
    <row r="499" spans="1:6" x14ac:dyDescent="0.3">
      <c r="A499">
        <v>13</v>
      </c>
      <c r="B499" t="s">
        <v>2027</v>
      </c>
      <c r="C499" t="s">
        <v>3665</v>
      </c>
      <c r="E499">
        <v>14789727</v>
      </c>
      <c r="F499">
        <v>17525074824</v>
      </c>
    </row>
    <row r="500" spans="1:6" x14ac:dyDescent="0.3">
      <c r="A500">
        <v>13</v>
      </c>
      <c r="B500" t="s">
        <v>2063</v>
      </c>
      <c r="C500" t="s">
        <v>3998</v>
      </c>
      <c r="E500">
        <v>137000000</v>
      </c>
      <c r="F500">
        <v>17662074824</v>
      </c>
    </row>
    <row r="501" spans="1:6" x14ac:dyDescent="0.3">
      <c r="A501">
        <v>13</v>
      </c>
      <c r="B501" t="s">
        <v>3601</v>
      </c>
      <c r="C501" t="s">
        <v>3999</v>
      </c>
      <c r="E501">
        <v>148000000</v>
      </c>
      <c r="F501">
        <v>17810074824</v>
      </c>
    </row>
    <row r="502" spans="1:6" x14ac:dyDescent="0.3">
      <c r="A502">
        <v>13</v>
      </c>
      <c r="B502" t="s">
        <v>2037</v>
      </c>
      <c r="C502" t="s">
        <v>4000</v>
      </c>
      <c r="E502">
        <v>37500000</v>
      </c>
      <c r="F502">
        <v>17847574824</v>
      </c>
    </row>
    <row r="503" spans="1:6" x14ac:dyDescent="0.3">
      <c r="A503">
        <v>13</v>
      </c>
      <c r="B503" t="s">
        <v>2028</v>
      </c>
      <c r="C503" t="s">
        <v>4001</v>
      </c>
      <c r="E503">
        <v>13909091</v>
      </c>
      <c r="F503">
        <v>17861483915</v>
      </c>
    </row>
    <row r="504" spans="1:6" x14ac:dyDescent="0.3">
      <c r="A504">
        <v>13</v>
      </c>
      <c r="B504" t="s">
        <v>2039</v>
      </c>
      <c r="C504" t="s">
        <v>4002</v>
      </c>
      <c r="E504">
        <v>42000000</v>
      </c>
      <c r="F504">
        <v>17903483915</v>
      </c>
    </row>
    <row r="505" spans="1:6" x14ac:dyDescent="0.3">
      <c r="A505">
        <v>13</v>
      </c>
      <c r="B505" t="s">
        <v>2039</v>
      </c>
      <c r="C505" t="s">
        <v>4003</v>
      </c>
      <c r="E505">
        <v>41513000</v>
      </c>
      <c r="F505">
        <v>17944996915</v>
      </c>
    </row>
    <row r="506" spans="1:6" x14ac:dyDescent="0.3">
      <c r="A506">
        <v>13</v>
      </c>
      <c r="B506" t="s">
        <v>2041</v>
      </c>
      <c r="C506" t="s">
        <v>4004</v>
      </c>
      <c r="E506">
        <v>49363636</v>
      </c>
      <c r="F506">
        <v>17994360551</v>
      </c>
    </row>
    <row r="507" spans="1:6" x14ac:dyDescent="0.3">
      <c r="A507">
        <v>13</v>
      </c>
      <c r="B507" t="s">
        <v>7166</v>
      </c>
      <c r="C507" t="s">
        <v>4005</v>
      </c>
      <c r="E507">
        <v>109527000</v>
      </c>
      <c r="F507">
        <v>18103887551</v>
      </c>
    </row>
    <row r="508" spans="1:6" x14ac:dyDescent="0.3">
      <c r="A508">
        <v>13</v>
      </c>
      <c r="B508" t="s">
        <v>7167</v>
      </c>
      <c r="C508" t="s">
        <v>4006</v>
      </c>
      <c r="E508">
        <v>8200000</v>
      </c>
      <c r="F508">
        <v>18112087551</v>
      </c>
    </row>
    <row r="509" spans="1:6" x14ac:dyDescent="0.3">
      <c r="A509">
        <v>13</v>
      </c>
      <c r="B509" t="s">
        <v>2028</v>
      </c>
      <c r="C509" t="s">
        <v>3668</v>
      </c>
      <c r="E509">
        <v>28000000</v>
      </c>
      <c r="F509">
        <v>18140087551</v>
      </c>
    </row>
    <row r="510" spans="1:6" x14ac:dyDescent="0.3">
      <c r="A510">
        <v>13</v>
      </c>
      <c r="B510" t="s">
        <v>3666</v>
      </c>
      <c r="C510" t="s">
        <v>4007</v>
      </c>
      <c r="E510">
        <v>59545455</v>
      </c>
      <c r="F510">
        <v>18199633006</v>
      </c>
    </row>
    <row r="511" spans="1:6" x14ac:dyDescent="0.3">
      <c r="A511">
        <v>13</v>
      </c>
      <c r="B511" t="s">
        <v>2039</v>
      </c>
      <c r="C511" t="s">
        <v>4008</v>
      </c>
      <c r="E511">
        <v>39000000</v>
      </c>
      <c r="F511">
        <v>18238633006</v>
      </c>
    </row>
    <row r="512" spans="1:6" x14ac:dyDescent="0.3">
      <c r="A512">
        <v>13</v>
      </c>
      <c r="B512" t="s">
        <v>2032</v>
      </c>
      <c r="C512" t="s">
        <v>4009</v>
      </c>
      <c r="E512">
        <v>35454545</v>
      </c>
      <c r="F512">
        <v>18274087551</v>
      </c>
    </row>
    <row r="513" spans="1:6" x14ac:dyDescent="0.3">
      <c r="A513">
        <v>13</v>
      </c>
      <c r="B513" t="s">
        <v>2039</v>
      </c>
      <c r="C513" t="s">
        <v>4010</v>
      </c>
      <c r="E513">
        <v>41818182</v>
      </c>
      <c r="F513">
        <v>18315905733</v>
      </c>
    </row>
    <row r="514" spans="1:6" x14ac:dyDescent="0.3">
      <c r="A514">
        <v>13</v>
      </c>
      <c r="B514" t="s">
        <v>2030</v>
      </c>
      <c r="C514" t="s">
        <v>4011</v>
      </c>
      <c r="E514">
        <v>33000000</v>
      </c>
      <c r="F514">
        <v>18348905733</v>
      </c>
    </row>
    <row r="515" spans="1:6" x14ac:dyDescent="0.3">
      <c r="A515">
        <v>13</v>
      </c>
      <c r="B515" t="s">
        <v>2032</v>
      </c>
      <c r="C515" t="s">
        <v>4012</v>
      </c>
      <c r="E515">
        <v>35000000</v>
      </c>
      <c r="F515">
        <v>18383905733</v>
      </c>
    </row>
    <row r="516" spans="1:6" x14ac:dyDescent="0.3">
      <c r="A516">
        <v>13</v>
      </c>
      <c r="B516" t="s">
        <v>2045</v>
      </c>
      <c r="C516" t="s">
        <v>3851</v>
      </c>
      <c r="E516">
        <v>47400000</v>
      </c>
      <c r="F516">
        <v>18431305733</v>
      </c>
    </row>
    <row r="517" spans="1:6" x14ac:dyDescent="0.3">
      <c r="A517">
        <v>13</v>
      </c>
      <c r="B517" t="s">
        <v>7168</v>
      </c>
      <c r="C517" t="s">
        <v>4013</v>
      </c>
      <c r="E517">
        <v>11083978</v>
      </c>
      <c r="F517">
        <v>18442389711</v>
      </c>
    </row>
    <row r="518" spans="1:6" x14ac:dyDescent="0.3">
      <c r="A518">
        <v>13</v>
      </c>
      <c r="B518" t="s">
        <v>4014</v>
      </c>
      <c r="C518" t="s">
        <v>4015</v>
      </c>
      <c r="E518">
        <v>395000000</v>
      </c>
      <c r="F518">
        <v>18837389711</v>
      </c>
    </row>
    <row r="519" spans="1:6" x14ac:dyDescent="0.3">
      <c r="A519">
        <v>13</v>
      </c>
      <c r="B519" t="s">
        <v>7154</v>
      </c>
      <c r="C519" t="s">
        <v>214</v>
      </c>
      <c r="E519">
        <v>54680585</v>
      </c>
      <c r="F519">
        <v>18892070296</v>
      </c>
    </row>
    <row r="520" spans="1:6" x14ac:dyDescent="0.3">
      <c r="A520">
        <v>13</v>
      </c>
      <c r="B520" t="s">
        <v>7169</v>
      </c>
      <c r="C520" t="s">
        <v>214</v>
      </c>
      <c r="E520">
        <v>43365659</v>
      </c>
      <c r="F520">
        <v>18935435955</v>
      </c>
    </row>
    <row r="521" spans="1:6" x14ac:dyDescent="0.3">
      <c r="A521">
        <v>13</v>
      </c>
      <c r="B521" t="s">
        <v>4016</v>
      </c>
      <c r="C521" t="s">
        <v>214</v>
      </c>
      <c r="E521">
        <v>30559999</v>
      </c>
      <c r="F521">
        <v>18965995954</v>
      </c>
    </row>
    <row r="522" spans="1:6" x14ac:dyDescent="0.3">
      <c r="A522">
        <v>13</v>
      </c>
      <c r="B522" t="s">
        <v>2032</v>
      </c>
      <c r="C522" t="s">
        <v>4017</v>
      </c>
      <c r="E522">
        <v>34643000</v>
      </c>
      <c r="F522">
        <v>19000638954</v>
      </c>
    </row>
    <row r="523" spans="1:6" x14ac:dyDescent="0.3">
      <c r="A523">
        <v>13</v>
      </c>
      <c r="B523" t="s">
        <v>2039</v>
      </c>
      <c r="C523" t="s">
        <v>4018</v>
      </c>
      <c r="E523">
        <v>42818181</v>
      </c>
      <c r="F523">
        <v>19043457135</v>
      </c>
    </row>
    <row r="524" spans="1:6" x14ac:dyDescent="0.3">
      <c r="A524">
        <v>13</v>
      </c>
      <c r="B524" t="s">
        <v>2028</v>
      </c>
      <c r="C524" t="s">
        <v>4019</v>
      </c>
      <c r="E524">
        <v>14000000</v>
      </c>
      <c r="F524">
        <v>19057457135</v>
      </c>
    </row>
    <row r="525" spans="1:6" x14ac:dyDescent="0.3">
      <c r="A525">
        <v>13</v>
      </c>
      <c r="B525" t="s">
        <v>2028</v>
      </c>
      <c r="C525" t="s">
        <v>4020</v>
      </c>
      <c r="E525">
        <v>14000000</v>
      </c>
      <c r="F525">
        <v>19071457135</v>
      </c>
    </row>
    <row r="526" spans="1:6" x14ac:dyDescent="0.3">
      <c r="A526">
        <v>13</v>
      </c>
      <c r="B526" t="s">
        <v>2037</v>
      </c>
      <c r="C526" t="s">
        <v>4021</v>
      </c>
      <c r="E526">
        <v>38300000</v>
      </c>
      <c r="F526">
        <v>19109757135</v>
      </c>
    </row>
    <row r="527" spans="1:6" x14ac:dyDescent="0.3">
      <c r="A527">
        <v>13</v>
      </c>
      <c r="B527" t="s">
        <v>2027</v>
      </c>
      <c r="C527" t="s">
        <v>4022</v>
      </c>
      <c r="E527">
        <v>17244273</v>
      </c>
      <c r="F527">
        <v>19127001408</v>
      </c>
    </row>
    <row r="528" spans="1:6" x14ac:dyDescent="0.3">
      <c r="A528">
        <v>13</v>
      </c>
      <c r="B528" t="s">
        <v>2039</v>
      </c>
      <c r="C528" t="s">
        <v>4023</v>
      </c>
      <c r="E528">
        <v>43000000</v>
      </c>
      <c r="F528">
        <v>19170001408</v>
      </c>
    </row>
    <row r="529" spans="1:6" x14ac:dyDescent="0.3">
      <c r="A529">
        <v>13</v>
      </c>
      <c r="B529" t="s">
        <v>2037</v>
      </c>
      <c r="C529" t="s">
        <v>4024</v>
      </c>
      <c r="E529">
        <v>39740909</v>
      </c>
      <c r="F529">
        <v>19209742317</v>
      </c>
    </row>
    <row r="530" spans="1:6" x14ac:dyDescent="0.3">
      <c r="A530">
        <v>13</v>
      </c>
      <c r="B530" t="s">
        <v>2027</v>
      </c>
      <c r="C530" t="s">
        <v>4025</v>
      </c>
      <c r="E530">
        <v>14500000</v>
      </c>
      <c r="F530">
        <v>19224242317</v>
      </c>
    </row>
    <row r="531" spans="1:6" x14ac:dyDescent="0.3">
      <c r="A531">
        <v>13</v>
      </c>
      <c r="B531" t="s">
        <v>2039</v>
      </c>
      <c r="C531" t="s">
        <v>4026</v>
      </c>
      <c r="E531">
        <v>43636364</v>
      </c>
      <c r="F531">
        <v>19267878681</v>
      </c>
    </row>
    <row r="532" spans="1:6" x14ac:dyDescent="0.3">
      <c r="A532">
        <v>13</v>
      </c>
      <c r="B532" t="s">
        <v>2043</v>
      </c>
      <c r="C532" t="s">
        <v>4027</v>
      </c>
      <c r="E532">
        <v>49500000</v>
      </c>
      <c r="F532">
        <v>19317378681</v>
      </c>
    </row>
    <row r="533" spans="1:6" x14ac:dyDescent="0.3">
      <c r="A533">
        <v>13</v>
      </c>
      <c r="B533" t="s">
        <v>7158</v>
      </c>
      <c r="C533" t="s">
        <v>214</v>
      </c>
      <c r="E533">
        <v>60358233</v>
      </c>
      <c r="F533">
        <v>19377736914</v>
      </c>
    </row>
    <row r="534" spans="1:6" x14ac:dyDescent="0.3">
      <c r="A534">
        <v>13</v>
      </c>
      <c r="B534" t="s">
        <v>2046</v>
      </c>
      <c r="C534" t="s">
        <v>214</v>
      </c>
      <c r="E534">
        <v>-60358233</v>
      </c>
      <c r="F534">
        <v>19317378681</v>
      </c>
    </row>
    <row r="535" spans="1:6" x14ac:dyDescent="0.3">
      <c r="A535">
        <v>13</v>
      </c>
      <c r="B535" t="s">
        <v>2046</v>
      </c>
      <c r="C535" t="s">
        <v>214</v>
      </c>
      <c r="E535">
        <v>60358233</v>
      </c>
      <c r="F535">
        <v>19377736914</v>
      </c>
    </row>
    <row r="536" spans="1:6" x14ac:dyDescent="0.3">
      <c r="A536">
        <v>13</v>
      </c>
      <c r="B536" t="s">
        <v>2037</v>
      </c>
      <c r="C536" t="s">
        <v>4028</v>
      </c>
      <c r="E536">
        <v>40630000</v>
      </c>
      <c r="F536">
        <v>19418366914</v>
      </c>
    </row>
    <row r="537" spans="1:6" x14ac:dyDescent="0.3">
      <c r="A537">
        <v>13</v>
      </c>
      <c r="B537" t="s">
        <v>2037</v>
      </c>
      <c r="C537" t="s">
        <v>4029</v>
      </c>
      <c r="E537">
        <v>40630000</v>
      </c>
      <c r="F537">
        <v>19458996914</v>
      </c>
    </row>
    <row r="538" spans="1:6" x14ac:dyDescent="0.3">
      <c r="A538">
        <v>13</v>
      </c>
      <c r="B538" t="s">
        <v>2037</v>
      </c>
      <c r="C538" t="s">
        <v>4030</v>
      </c>
      <c r="E538">
        <v>40630000</v>
      </c>
      <c r="F538">
        <v>19499626914</v>
      </c>
    </row>
    <row r="539" spans="1:6" x14ac:dyDescent="0.3">
      <c r="A539">
        <v>13</v>
      </c>
      <c r="B539" t="s">
        <v>2037</v>
      </c>
      <c r="C539" t="s">
        <v>4031</v>
      </c>
      <c r="E539">
        <v>40630000</v>
      </c>
      <c r="F539">
        <v>19540256914</v>
      </c>
    </row>
    <row r="540" spans="1:6" x14ac:dyDescent="0.3">
      <c r="A540">
        <v>13</v>
      </c>
      <c r="B540" t="s">
        <v>2037</v>
      </c>
      <c r="C540" t="s">
        <v>4032</v>
      </c>
      <c r="E540">
        <v>37500000</v>
      </c>
      <c r="F540">
        <v>19577756914</v>
      </c>
    </row>
    <row r="541" spans="1:6" x14ac:dyDescent="0.3">
      <c r="A541">
        <v>13</v>
      </c>
      <c r="B541" t="s">
        <v>2027</v>
      </c>
      <c r="C541" t="s">
        <v>3913</v>
      </c>
      <c r="E541">
        <v>12700000</v>
      </c>
      <c r="F541">
        <v>19590456914</v>
      </c>
    </row>
    <row r="542" spans="1:6" x14ac:dyDescent="0.3">
      <c r="A542">
        <v>13</v>
      </c>
      <c r="B542" t="s">
        <v>7170</v>
      </c>
      <c r="C542" t="s">
        <v>4033</v>
      </c>
      <c r="E542">
        <v>111614378</v>
      </c>
      <c r="F542">
        <v>19702071292</v>
      </c>
    </row>
    <row r="543" spans="1:6" x14ac:dyDescent="0.3">
      <c r="A543">
        <v>13</v>
      </c>
      <c r="B543" t="s">
        <v>3666</v>
      </c>
      <c r="C543" t="s">
        <v>4034</v>
      </c>
      <c r="E543">
        <v>58200000</v>
      </c>
      <c r="F543">
        <v>19760271292</v>
      </c>
    </row>
    <row r="544" spans="1:6" x14ac:dyDescent="0.3">
      <c r="A544">
        <v>13</v>
      </c>
      <c r="B544" t="s">
        <v>3937</v>
      </c>
      <c r="C544" t="s">
        <v>3925</v>
      </c>
      <c r="E544">
        <v>39800000</v>
      </c>
      <c r="F544">
        <v>19800071292</v>
      </c>
    </row>
    <row r="545" spans="1:6" x14ac:dyDescent="0.3">
      <c r="A545">
        <v>13</v>
      </c>
      <c r="B545" t="s">
        <v>3937</v>
      </c>
      <c r="C545" t="s">
        <v>4035</v>
      </c>
      <c r="E545">
        <v>41818182</v>
      </c>
      <c r="F545">
        <v>19841889474</v>
      </c>
    </row>
    <row r="546" spans="1:6" x14ac:dyDescent="0.3">
      <c r="A546">
        <v>13</v>
      </c>
      <c r="B546" t="s">
        <v>3670</v>
      </c>
      <c r="C546" t="s">
        <v>3597</v>
      </c>
      <c r="E546">
        <v>21820000</v>
      </c>
      <c r="F546">
        <v>19863709474</v>
      </c>
    </row>
    <row r="547" spans="1:6" x14ac:dyDescent="0.3">
      <c r="A547">
        <v>13</v>
      </c>
      <c r="B547" t="s">
        <v>3937</v>
      </c>
      <c r="C547" t="s">
        <v>4036</v>
      </c>
      <c r="E547">
        <v>37500000</v>
      </c>
      <c r="F547">
        <v>19901209474</v>
      </c>
    </row>
    <row r="548" spans="1:6" x14ac:dyDescent="0.3">
      <c r="A548">
        <v>13</v>
      </c>
      <c r="B548" t="s">
        <v>3937</v>
      </c>
      <c r="C548" t="s">
        <v>4037</v>
      </c>
      <c r="E548">
        <v>37000000</v>
      </c>
      <c r="F548">
        <v>19938209474</v>
      </c>
    </row>
    <row r="549" spans="1:6" x14ac:dyDescent="0.3">
      <c r="A549">
        <v>13</v>
      </c>
      <c r="B549" t="s">
        <v>7171</v>
      </c>
      <c r="C549" t="s">
        <v>4038</v>
      </c>
      <c r="E549">
        <v>48480000</v>
      </c>
      <c r="F549">
        <v>19986689474</v>
      </c>
    </row>
    <row r="550" spans="1:6" x14ac:dyDescent="0.3">
      <c r="A550">
        <v>13</v>
      </c>
      <c r="B550" t="s">
        <v>3937</v>
      </c>
      <c r="C550" t="s">
        <v>3658</v>
      </c>
      <c r="E550">
        <v>12636364</v>
      </c>
      <c r="F550">
        <v>19999325838</v>
      </c>
    </row>
    <row r="551" spans="1:6" x14ac:dyDescent="0.3">
      <c r="A551">
        <v>13</v>
      </c>
      <c r="B551" t="s">
        <v>2041</v>
      </c>
      <c r="C551" t="s">
        <v>4039</v>
      </c>
      <c r="E551">
        <v>72727273</v>
      </c>
      <c r="F551">
        <v>20072053111</v>
      </c>
    </row>
    <row r="552" spans="1:6" x14ac:dyDescent="0.3">
      <c r="A552">
        <v>13</v>
      </c>
      <c r="B552" t="s">
        <v>3937</v>
      </c>
      <c r="C552" t="s">
        <v>4040</v>
      </c>
      <c r="E552">
        <v>32000000</v>
      </c>
      <c r="F552">
        <v>20104053111</v>
      </c>
    </row>
    <row r="553" spans="1:6" x14ac:dyDescent="0.3">
      <c r="A553">
        <v>13</v>
      </c>
      <c r="B553" t="s">
        <v>3937</v>
      </c>
      <c r="C553" t="s">
        <v>4041</v>
      </c>
      <c r="E553">
        <v>60850000</v>
      </c>
      <c r="F553">
        <v>20164903111</v>
      </c>
    </row>
    <row r="554" spans="1:6" x14ac:dyDescent="0.3">
      <c r="A554">
        <v>13</v>
      </c>
      <c r="B554" t="s">
        <v>2032</v>
      </c>
      <c r="C554" t="s">
        <v>4042</v>
      </c>
      <c r="E554">
        <v>32727273</v>
      </c>
      <c r="F554">
        <v>20197630384</v>
      </c>
    </row>
    <row r="555" spans="1:6" x14ac:dyDescent="0.3">
      <c r="A555">
        <v>13</v>
      </c>
      <c r="B555" t="s">
        <v>2032</v>
      </c>
      <c r="C555" t="s">
        <v>4042</v>
      </c>
      <c r="E555">
        <v>32727273</v>
      </c>
      <c r="F555">
        <v>20230357657</v>
      </c>
    </row>
    <row r="556" spans="1:6" x14ac:dyDescent="0.3">
      <c r="A556">
        <v>13</v>
      </c>
      <c r="B556" t="s">
        <v>2027</v>
      </c>
      <c r="C556" t="s">
        <v>3661</v>
      </c>
      <c r="E556">
        <v>14080909</v>
      </c>
      <c r="F556">
        <v>20244438566</v>
      </c>
    </row>
    <row r="557" spans="1:6" x14ac:dyDescent="0.3">
      <c r="A557">
        <v>13</v>
      </c>
      <c r="B557" t="s">
        <v>2028</v>
      </c>
      <c r="C557" t="s">
        <v>3507</v>
      </c>
      <c r="E557">
        <v>15460000</v>
      </c>
      <c r="F557">
        <v>20259898566</v>
      </c>
    </row>
    <row r="558" spans="1:6" x14ac:dyDescent="0.3">
      <c r="A558">
        <v>13</v>
      </c>
      <c r="B558" t="s">
        <v>3666</v>
      </c>
      <c r="C558" t="s">
        <v>4043</v>
      </c>
      <c r="E558">
        <v>60000000</v>
      </c>
      <c r="F558">
        <v>20319898566</v>
      </c>
    </row>
    <row r="559" spans="1:6" x14ac:dyDescent="0.3">
      <c r="A559">
        <v>13</v>
      </c>
      <c r="B559" t="s">
        <v>2028</v>
      </c>
      <c r="C559" t="s">
        <v>3507</v>
      </c>
      <c r="E559">
        <v>-15460000</v>
      </c>
      <c r="F559">
        <v>20304438566</v>
      </c>
    </row>
    <row r="560" spans="1:6" x14ac:dyDescent="0.3">
      <c r="A560">
        <v>13</v>
      </c>
      <c r="B560" t="s">
        <v>2028</v>
      </c>
      <c r="C560" t="s">
        <v>3507</v>
      </c>
      <c r="E560">
        <v>15160000</v>
      </c>
      <c r="F560">
        <v>20319598566</v>
      </c>
    </row>
    <row r="561" spans="1:6" x14ac:dyDescent="0.3">
      <c r="A561">
        <v>13</v>
      </c>
      <c r="B561" t="s">
        <v>2041</v>
      </c>
      <c r="C561" t="s">
        <v>4044</v>
      </c>
      <c r="E561">
        <v>47000000</v>
      </c>
      <c r="F561">
        <v>20366598566</v>
      </c>
    </row>
    <row r="562" spans="1:6" x14ac:dyDescent="0.3">
      <c r="A562">
        <v>13</v>
      </c>
      <c r="B562" t="s">
        <v>2039</v>
      </c>
      <c r="C562" t="s">
        <v>4045</v>
      </c>
      <c r="E562">
        <v>41280000</v>
      </c>
      <c r="F562">
        <v>20407878566</v>
      </c>
    </row>
    <row r="563" spans="1:6" x14ac:dyDescent="0.3">
      <c r="A563">
        <v>13</v>
      </c>
      <c r="B563" t="s">
        <v>2028</v>
      </c>
      <c r="C563" t="s">
        <v>4046</v>
      </c>
      <c r="E563">
        <v>16363636</v>
      </c>
      <c r="F563">
        <v>20424242202</v>
      </c>
    </row>
    <row r="564" spans="1:6" x14ac:dyDescent="0.3">
      <c r="A564">
        <v>13</v>
      </c>
      <c r="B564" t="s">
        <v>2026</v>
      </c>
      <c r="C564" t="s">
        <v>4047</v>
      </c>
      <c r="E564">
        <v>16300000</v>
      </c>
      <c r="F564">
        <v>20440542202</v>
      </c>
    </row>
    <row r="565" spans="1:6" x14ac:dyDescent="0.3">
      <c r="A565">
        <v>13</v>
      </c>
      <c r="B565" t="s">
        <v>2032</v>
      </c>
      <c r="C565" t="s">
        <v>4048</v>
      </c>
      <c r="E565">
        <v>34909091</v>
      </c>
      <c r="F565">
        <v>20475451293</v>
      </c>
    </row>
    <row r="566" spans="1:6" x14ac:dyDescent="0.3">
      <c r="A566">
        <v>13</v>
      </c>
      <c r="B566" t="s">
        <v>7156</v>
      </c>
      <c r="C566" t="s">
        <v>4049</v>
      </c>
      <c r="E566">
        <v>25990968</v>
      </c>
      <c r="F566">
        <v>20501442261</v>
      </c>
    </row>
    <row r="567" spans="1:6" x14ac:dyDescent="0.3">
      <c r="A567">
        <v>13</v>
      </c>
      <c r="B567" t="s">
        <v>2027</v>
      </c>
      <c r="C567" t="s">
        <v>3665</v>
      </c>
      <c r="E567">
        <v>14590909</v>
      </c>
      <c r="F567">
        <v>20516033170</v>
      </c>
    </row>
    <row r="568" spans="1:6" x14ac:dyDescent="0.3">
      <c r="A568">
        <v>13</v>
      </c>
      <c r="B568" t="s">
        <v>2028</v>
      </c>
      <c r="C568" t="s">
        <v>4050</v>
      </c>
      <c r="E568">
        <v>15350000</v>
      </c>
      <c r="F568">
        <v>20531383170</v>
      </c>
    </row>
    <row r="569" spans="1:6" x14ac:dyDescent="0.3">
      <c r="A569">
        <v>13</v>
      </c>
      <c r="B569" t="s">
        <v>2037</v>
      </c>
      <c r="C569" t="s">
        <v>4051</v>
      </c>
      <c r="E569">
        <v>43000000</v>
      </c>
      <c r="F569">
        <v>20574383170</v>
      </c>
    </row>
    <row r="570" spans="1:6" x14ac:dyDescent="0.3">
      <c r="A570">
        <v>13</v>
      </c>
      <c r="B570" t="s">
        <v>2038</v>
      </c>
      <c r="C570" t="s">
        <v>4052</v>
      </c>
      <c r="E570">
        <v>40550000</v>
      </c>
      <c r="F570">
        <v>20614933170</v>
      </c>
    </row>
    <row r="571" spans="1:6" x14ac:dyDescent="0.3">
      <c r="A571">
        <v>13</v>
      </c>
      <c r="B571" t="s">
        <v>4053</v>
      </c>
      <c r="C571" t="s">
        <v>3597</v>
      </c>
      <c r="E571">
        <v>1600000</v>
      </c>
      <c r="F571">
        <v>20616533170</v>
      </c>
    </row>
    <row r="572" spans="1:6" x14ac:dyDescent="0.3">
      <c r="A572">
        <v>13</v>
      </c>
      <c r="B572" t="s">
        <v>4054</v>
      </c>
      <c r="C572" t="s">
        <v>4055</v>
      </c>
      <c r="E572">
        <v>114000000</v>
      </c>
      <c r="F572">
        <v>20730533170</v>
      </c>
    </row>
    <row r="573" spans="1:6" x14ac:dyDescent="0.3">
      <c r="A573">
        <v>13</v>
      </c>
      <c r="B573" t="s">
        <v>2027</v>
      </c>
      <c r="C573" t="s">
        <v>4056</v>
      </c>
      <c r="E573">
        <v>13636363</v>
      </c>
      <c r="F573">
        <v>20744169533</v>
      </c>
    </row>
    <row r="574" spans="1:6" x14ac:dyDescent="0.3">
      <c r="A574">
        <v>13</v>
      </c>
      <c r="B574" t="s">
        <v>4057</v>
      </c>
      <c r="C574" t="s">
        <v>3597</v>
      </c>
      <c r="E574">
        <v>14640000</v>
      </c>
      <c r="F574">
        <v>20758809533</v>
      </c>
    </row>
    <row r="575" spans="1:6" x14ac:dyDescent="0.3">
      <c r="A575">
        <v>13</v>
      </c>
      <c r="B575" t="s">
        <v>2038</v>
      </c>
      <c r="C575" t="s">
        <v>4058</v>
      </c>
      <c r="E575">
        <v>42000000</v>
      </c>
      <c r="F575">
        <v>20800809533</v>
      </c>
    </row>
    <row r="576" spans="1:6" x14ac:dyDescent="0.3">
      <c r="A576">
        <v>13</v>
      </c>
      <c r="B576" t="s">
        <v>2039</v>
      </c>
      <c r="C576" t="s">
        <v>4059</v>
      </c>
      <c r="E576">
        <v>45363637</v>
      </c>
      <c r="F576">
        <v>20846173170</v>
      </c>
    </row>
    <row r="577" spans="1:6" x14ac:dyDescent="0.3">
      <c r="A577">
        <v>13</v>
      </c>
      <c r="B577" t="s">
        <v>3812</v>
      </c>
      <c r="C577" t="s">
        <v>4059</v>
      </c>
      <c r="E577">
        <v>5572727</v>
      </c>
      <c r="F577">
        <v>20851745897</v>
      </c>
    </row>
    <row r="578" spans="1:6" x14ac:dyDescent="0.3">
      <c r="A578">
        <v>13</v>
      </c>
      <c r="B578" t="s">
        <v>2038</v>
      </c>
      <c r="C578" t="s">
        <v>4060</v>
      </c>
      <c r="E578">
        <v>40870000</v>
      </c>
      <c r="F578">
        <v>20892615897</v>
      </c>
    </row>
    <row r="579" spans="1:6" x14ac:dyDescent="0.3">
      <c r="A579">
        <v>13</v>
      </c>
      <c r="B579" t="s">
        <v>7172</v>
      </c>
      <c r="C579" t="s">
        <v>4061</v>
      </c>
      <c r="E579">
        <v>39314480</v>
      </c>
      <c r="F579">
        <v>20931930377</v>
      </c>
    </row>
    <row r="580" spans="1:6" x14ac:dyDescent="0.3">
      <c r="A580">
        <v>13</v>
      </c>
      <c r="B580" t="s">
        <v>2038</v>
      </c>
      <c r="C580" t="s">
        <v>4062</v>
      </c>
      <c r="E580">
        <v>40800000</v>
      </c>
      <c r="F580">
        <v>20972730377</v>
      </c>
    </row>
    <row r="581" spans="1:6" x14ac:dyDescent="0.3">
      <c r="A581">
        <v>13</v>
      </c>
      <c r="B581" t="s">
        <v>2037</v>
      </c>
      <c r="C581" t="s">
        <v>4063</v>
      </c>
      <c r="E581">
        <v>39431818</v>
      </c>
      <c r="F581">
        <v>21012162195</v>
      </c>
    </row>
    <row r="582" spans="1:6" x14ac:dyDescent="0.3">
      <c r="A582">
        <v>13</v>
      </c>
      <c r="B582" t="s">
        <v>7173</v>
      </c>
      <c r="C582" t="s">
        <v>4064</v>
      </c>
      <c r="E582">
        <v>214380986</v>
      </c>
      <c r="F582">
        <v>21226543181</v>
      </c>
    </row>
    <row r="583" spans="1:6" x14ac:dyDescent="0.3">
      <c r="A583">
        <v>13</v>
      </c>
      <c r="B583" t="s">
        <v>7174</v>
      </c>
      <c r="C583" t="s">
        <v>4049</v>
      </c>
      <c r="E583">
        <v>545005</v>
      </c>
      <c r="F583">
        <v>21227088186</v>
      </c>
    </row>
    <row r="584" spans="1:6" x14ac:dyDescent="0.3">
      <c r="A584">
        <v>13</v>
      </c>
      <c r="B584" t="s">
        <v>2037</v>
      </c>
      <c r="C584" t="s">
        <v>4065</v>
      </c>
      <c r="E584">
        <v>45006000</v>
      </c>
      <c r="F584">
        <v>21272094186</v>
      </c>
    </row>
    <row r="585" spans="1:6" x14ac:dyDescent="0.3">
      <c r="A585">
        <v>13</v>
      </c>
      <c r="B585" t="s">
        <v>2038</v>
      </c>
      <c r="C585" t="s">
        <v>4066</v>
      </c>
      <c r="E585">
        <v>40818182</v>
      </c>
      <c r="F585">
        <v>21312912368</v>
      </c>
    </row>
    <row r="586" spans="1:6" x14ac:dyDescent="0.3">
      <c r="A586">
        <v>13</v>
      </c>
      <c r="B586" t="s">
        <v>2038</v>
      </c>
      <c r="C586" t="s">
        <v>4067</v>
      </c>
      <c r="E586">
        <v>40200000</v>
      </c>
      <c r="F586">
        <v>21353112368</v>
      </c>
    </row>
    <row r="587" spans="1:6" x14ac:dyDescent="0.3">
      <c r="A587">
        <v>13</v>
      </c>
      <c r="B587" t="s">
        <v>2041</v>
      </c>
      <c r="C587" t="s">
        <v>4068</v>
      </c>
      <c r="E587">
        <v>49400000</v>
      </c>
      <c r="F587">
        <v>21402512368</v>
      </c>
    </row>
    <row r="588" spans="1:6" x14ac:dyDescent="0.3">
      <c r="A588">
        <v>13</v>
      </c>
      <c r="B588" t="s">
        <v>2043</v>
      </c>
      <c r="C588" t="s">
        <v>4069</v>
      </c>
      <c r="E588">
        <v>52727273</v>
      </c>
      <c r="F588">
        <v>21455239641</v>
      </c>
    </row>
    <row r="589" spans="1:6" x14ac:dyDescent="0.3">
      <c r="A589">
        <v>13</v>
      </c>
      <c r="B589" t="s">
        <v>4070</v>
      </c>
      <c r="C589" t="s">
        <v>4039</v>
      </c>
      <c r="E589">
        <v>14155000</v>
      </c>
      <c r="F589">
        <v>21469394641</v>
      </c>
    </row>
    <row r="590" spans="1:6" x14ac:dyDescent="0.3">
      <c r="A590">
        <v>13</v>
      </c>
      <c r="B590" t="s">
        <v>2037</v>
      </c>
      <c r="C590" t="s">
        <v>4071</v>
      </c>
      <c r="E590">
        <v>36363637</v>
      </c>
      <c r="F590">
        <v>21505758278</v>
      </c>
    </row>
    <row r="591" spans="1:6" x14ac:dyDescent="0.3">
      <c r="A591">
        <v>13</v>
      </c>
      <c r="B591" t="s">
        <v>2038</v>
      </c>
      <c r="C591" t="s">
        <v>3836</v>
      </c>
      <c r="E591">
        <v>38636363</v>
      </c>
      <c r="F591">
        <v>21544394641</v>
      </c>
    </row>
    <row r="592" spans="1:6" x14ac:dyDescent="0.3">
      <c r="A592">
        <v>13</v>
      </c>
      <c r="B592" t="s">
        <v>2038</v>
      </c>
      <c r="C592" t="s">
        <v>4072</v>
      </c>
      <c r="E592">
        <v>40500000</v>
      </c>
      <c r="F592">
        <v>21584894641</v>
      </c>
    </row>
    <row r="593" spans="1:6" x14ac:dyDescent="0.3">
      <c r="A593">
        <v>13</v>
      </c>
      <c r="B593" t="s">
        <v>2038</v>
      </c>
      <c r="C593" t="s">
        <v>4073</v>
      </c>
      <c r="E593">
        <v>39000000</v>
      </c>
      <c r="F593">
        <v>21623894641</v>
      </c>
    </row>
    <row r="594" spans="1:6" x14ac:dyDescent="0.3">
      <c r="A594">
        <v>13</v>
      </c>
      <c r="B594" t="s">
        <v>2028</v>
      </c>
      <c r="C594" t="s">
        <v>4074</v>
      </c>
      <c r="E594">
        <v>14400000</v>
      </c>
      <c r="F594">
        <v>21638294641</v>
      </c>
    </row>
    <row r="595" spans="1:6" x14ac:dyDescent="0.3">
      <c r="A595">
        <v>13</v>
      </c>
      <c r="B595" t="s">
        <v>2039</v>
      </c>
      <c r="C595" t="s">
        <v>4075</v>
      </c>
      <c r="E595">
        <v>42480000</v>
      </c>
      <c r="F595">
        <v>21680774641</v>
      </c>
    </row>
    <row r="596" spans="1:6" x14ac:dyDescent="0.3">
      <c r="A596">
        <v>13</v>
      </c>
      <c r="B596" t="s">
        <v>2037</v>
      </c>
      <c r="C596" t="s">
        <v>4076</v>
      </c>
      <c r="E596">
        <v>36750000</v>
      </c>
      <c r="F596">
        <v>21717524641</v>
      </c>
    </row>
    <row r="597" spans="1:6" x14ac:dyDescent="0.3">
      <c r="A597">
        <v>13</v>
      </c>
      <c r="B597" t="s">
        <v>2041</v>
      </c>
      <c r="C597" t="s">
        <v>4077</v>
      </c>
      <c r="E597">
        <v>49709091</v>
      </c>
      <c r="F597">
        <v>21767233732</v>
      </c>
    </row>
    <row r="598" spans="1:6" x14ac:dyDescent="0.3">
      <c r="A598">
        <v>13</v>
      </c>
      <c r="B598" t="s">
        <v>2026</v>
      </c>
      <c r="C598" t="s">
        <v>4078</v>
      </c>
      <c r="E598">
        <v>29090910</v>
      </c>
      <c r="F598">
        <v>21796324642</v>
      </c>
    </row>
    <row r="599" spans="1:6" x14ac:dyDescent="0.3">
      <c r="A599">
        <v>13</v>
      </c>
      <c r="B599" t="s">
        <v>2039</v>
      </c>
      <c r="C599" t="s">
        <v>4079</v>
      </c>
      <c r="E599">
        <v>40700000</v>
      </c>
      <c r="F599">
        <v>21837024642</v>
      </c>
    </row>
    <row r="600" spans="1:6" x14ac:dyDescent="0.3">
      <c r="A600">
        <v>13</v>
      </c>
      <c r="B600" t="s">
        <v>2039</v>
      </c>
      <c r="C600" t="s">
        <v>4080</v>
      </c>
      <c r="E600">
        <v>43636364</v>
      </c>
      <c r="F600">
        <v>21880661006</v>
      </c>
    </row>
    <row r="601" spans="1:6" x14ac:dyDescent="0.3">
      <c r="A601">
        <v>13</v>
      </c>
      <c r="B601" t="s">
        <v>7175</v>
      </c>
      <c r="C601" t="s">
        <v>3890</v>
      </c>
      <c r="E601">
        <v>60986989</v>
      </c>
      <c r="F601">
        <v>21941647995</v>
      </c>
    </row>
    <row r="602" spans="1:6" x14ac:dyDescent="0.3">
      <c r="A602">
        <v>13</v>
      </c>
      <c r="B602" t="s">
        <v>7176</v>
      </c>
      <c r="C602" t="s">
        <v>4081</v>
      </c>
      <c r="E602">
        <v>66114048</v>
      </c>
      <c r="F602">
        <v>22007762043</v>
      </c>
    </row>
    <row r="603" spans="1:6" x14ac:dyDescent="0.3">
      <c r="A603">
        <v>13</v>
      </c>
      <c r="B603" t="s">
        <v>7177</v>
      </c>
      <c r="C603" t="s">
        <v>4082</v>
      </c>
      <c r="E603">
        <v>155625600</v>
      </c>
      <c r="F603">
        <v>22163387643</v>
      </c>
    </row>
    <row r="604" spans="1:6" x14ac:dyDescent="0.3">
      <c r="A604">
        <v>13</v>
      </c>
      <c r="B604" t="s">
        <v>2032</v>
      </c>
      <c r="C604" t="s">
        <v>4083</v>
      </c>
      <c r="E604">
        <v>33754363</v>
      </c>
      <c r="F604">
        <v>22197142006</v>
      </c>
    </row>
    <row r="605" spans="1:6" x14ac:dyDescent="0.3">
      <c r="A605">
        <v>13</v>
      </c>
      <c r="B605" t="s">
        <v>3601</v>
      </c>
      <c r="C605" t="s">
        <v>4084</v>
      </c>
      <c r="E605">
        <v>159000000</v>
      </c>
      <c r="F605">
        <v>22356142006</v>
      </c>
    </row>
    <row r="606" spans="1:6" x14ac:dyDescent="0.3">
      <c r="A606">
        <v>13</v>
      </c>
      <c r="B606" t="s">
        <v>2032</v>
      </c>
      <c r="C606" t="s">
        <v>4085</v>
      </c>
      <c r="E606">
        <v>35400000</v>
      </c>
      <c r="F606">
        <v>22391542006</v>
      </c>
    </row>
    <row r="607" spans="1:6" x14ac:dyDescent="0.3">
      <c r="A607">
        <v>13</v>
      </c>
      <c r="B607" t="s">
        <v>2026</v>
      </c>
      <c r="C607" t="s">
        <v>4086</v>
      </c>
      <c r="E607">
        <v>14580909</v>
      </c>
      <c r="F607">
        <v>22406122915</v>
      </c>
    </row>
    <row r="608" spans="1:6" x14ac:dyDescent="0.3">
      <c r="A608">
        <v>13</v>
      </c>
      <c r="B608" t="s">
        <v>2038</v>
      </c>
      <c r="C608" t="s">
        <v>4087</v>
      </c>
      <c r="E608">
        <v>40000000</v>
      </c>
      <c r="F608">
        <v>22446122915</v>
      </c>
    </row>
    <row r="609" spans="1:6" x14ac:dyDescent="0.3">
      <c r="A609">
        <v>13</v>
      </c>
      <c r="B609" t="s">
        <v>2038</v>
      </c>
      <c r="C609" t="s">
        <v>4088</v>
      </c>
      <c r="E609">
        <v>39500000</v>
      </c>
      <c r="F609">
        <v>22485622915</v>
      </c>
    </row>
    <row r="610" spans="1:6" x14ac:dyDescent="0.3">
      <c r="A610">
        <v>13</v>
      </c>
      <c r="B610" t="s">
        <v>3651</v>
      </c>
      <c r="C610" t="s">
        <v>3597</v>
      </c>
      <c r="E610">
        <v>13764000</v>
      </c>
      <c r="F610">
        <v>22499386915</v>
      </c>
    </row>
    <row r="611" spans="1:6" x14ac:dyDescent="0.3">
      <c r="A611">
        <v>13</v>
      </c>
      <c r="B611" t="s">
        <v>2038</v>
      </c>
      <c r="C611" t="s">
        <v>4089</v>
      </c>
      <c r="E611">
        <v>40700000</v>
      </c>
      <c r="F611">
        <v>22540086915</v>
      </c>
    </row>
    <row r="612" spans="1:6" x14ac:dyDescent="0.3">
      <c r="A612">
        <v>13</v>
      </c>
      <c r="B612" t="s">
        <v>2038</v>
      </c>
      <c r="C612" t="s">
        <v>4090</v>
      </c>
      <c r="E612">
        <v>39000000</v>
      </c>
      <c r="F612">
        <v>22579086915</v>
      </c>
    </row>
    <row r="613" spans="1:6" x14ac:dyDescent="0.3">
      <c r="A613">
        <v>13</v>
      </c>
      <c r="B613" t="s">
        <v>2038</v>
      </c>
      <c r="C613" t="s">
        <v>4091</v>
      </c>
      <c r="E613">
        <v>40000000</v>
      </c>
      <c r="F613">
        <v>22619086915</v>
      </c>
    </row>
    <row r="614" spans="1:6" x14ac:dyDescent="0.3">
      <c r="A614">
        <v>13</v>
      </c>
      <c r="B614" t="s">
        <v>2038</v>
      </c>
      <c r="C614" t="s">
        <v>3934</v>
      </c>
      <c r="E614">
        <v>41000000</v>
      </c>
      <c r="F614">
        <v>22660086915</v>
      </c>
    </row>
    <row r="615" spans="1:6" x14ac:dyDescent="0.3">
      <c r="A615">
        <v>13</v>
      </c>
      <c r="B615" t="s">
        <v>2038</v>
      </c>
      <c r="C615" t="s">
        <v>4092</v>
      </c>
      <c r="E615">
        <v>43000000</v>
      </c>
      <c r="F615">
        <v>22703086915</v>
      </c>
    </row>
    <row r="616" spans="1:6" x14ac:dyDescent="0.3">
      <c r="A616">
        <v>13</v>
      </c>
      <c r="B616" t="s">
        <v>2037</v>
      </c>
      <c r="C616" t="s">
        <v>4093</v>
      </c>
      <c r="E616">
        <v>38633000</v>
      </c>
      <c r="F616">
        <v>22741719915</v>
      </c>
    </row>
    <row r="617" spans="1:6" x14ac:dyDescent="0.3">
      <c r="A617">
        <v>13</v>
      </c>
      <c r="B617" t="s">
        <v>2038</v>
      </c>
      <c r="C617" t="s">
        <v>4094</v>
      </c>
      <c r="E617">
        <v>39272727</v>
      </c>
      <c r="F617">
        <v>22780992642</v>
      </c>
    </row>
    <row r="618" spans="1:6" x14ac:dyDescent="0.3">
      <c r="A618">
        <v>13</v>
      </c>
      <c r="B618" t="s">
        <v>2038</v>
      </c>
      <c r="C618" t="s">
        <v>4094</v>
      </c>
      <c r="E618">
        <v>39272727</v>
      </c>
      <c r="F618">
        <v>22820265369</v>
      </c>
    </row>
    <row r="619" spans="1:6" x14ac:dyDescent="0.3">
      <c r="A619">
        <v>13</v>
      </c>
      <c r="B619" t="s">
        <v>2028</v>
      </c>
      <c r="C619" t="s">
        <v>4095</v>
      </c>
      <c r="E619">
        <v>12499091</v>
      </c>
      <c r="F619">
        <v>22832764460</v>
      </c>
    </row>
    <row r="620" spans="1:6" x14ac:dyDescent="0.3">
      <c r="A620">
        <v>13</v>
      </c>
      <c r="B620" t="s">
        <v>2037</v>
      </c>
      <c r="C620" t="s">
        <v>4096</v>
      </c>
      <c r="E620">
        <v>36000000</v>
      </c>
      <c r="F620">
        <v>22868764460</v>
      </c>
    </row>
    <row r="621" spans="1:6" x14ac:dyDescent="0.3">
      <c r="A621">
        <v>13</v>
      </c>
      <c r="B621" t="s">
        <v>2038</v>
      </c>
      <c r="C621" t="s">
        <v>4097</v>
      </c>
      <c r="E621">
        <v>40500000</v>
      </c>
      <c r="F621">
        <v>22909264460</v>
      </c>
    </row>
    <row r="622" spans="1:6" x14ac:dyDescent="0.3">
      <c r="A622">
        <v>13</v>
      </c>
      <c r="B622" t="s">
        <v>2038</v>
      </c>
      <c r="C622" t="s">
        <v>4098</v>
      </c>
      <c r="E622">
        <v>40500000</v>
      </c>
      <c r="F622">
        <v>22949764460</v>
      </c>
    </row>
    <row r="623" spans="1:6" x14ac:dyDescent="0.3">
      <c r="A623">
        <v>13</v>
      </c>
      <c r="B623" t="s">
        <v>2037</v>
      </c>
      <c r="C623" t="s">
        <v>3822</v>
      </c>
      <c r="E623">
        <v>37250000</v>
      </c>
      <c r="F623">
        <v>22987014460</v>
      </c>
    </row>
    <row r="624" spans="1:6" x14ac:dyDescent="0.3">
      <c r="A624">
        <v>13</v>
      </c>
      <c r="B624" t="s">
        <v>2027</v>
      </c>
      <c r="C624" t="s">
        <v>4099</v>
      </c>
      <c r="E624">
        <v>12480000</v>
      </c>
      <c r="F624">
        <v>22999494460</v>
      </c>
    </row>
    <row r="625" spans="1:6" x14ac:dyDescent="0.3">
      <c r="A625">
        <v>13</v>
      </c>
      <c r="B625" t="s">
        <v>2038</v>
      </c>
      <c r="C625" t="s">
        <v>4100</v>
      </c>
      <c r="E625">
        <v>40100000</v>
      </c>
      <c r="F625">
        <v>23039594460</v>
      </c>
    </row>
    <row r="626" spans="1:6" x14ac:dyDescent="0.3">
      <c r="A626">
        <v>13</v>
      </c>
      <c r="B626" t="s">
        <v>2027</v>
      </c>
      <c r="C626" t="s">
        <v>3804</v>
      </c>
      <c r="E626">
        <v>13300000</v>
      </c>
      <c r="F626">
        <v>23052894460</v>
      </c>
    </row>
    <row r="627" spans="1:6" x14ac:dyDescent="0.3">
      <c r="A627">
        <v>13</v>
      </c>
      <c r="B627" t="s">
        <v>4101</v>
      </c>
      <c r="C627" t="s">
        <v>4102</v>
      </c>
      <c r="E627">
        <v>16876000</v>
      </c>
      <c r="F627">
        <v>23069770460</v>
      </c>
    </row>
    <row r="628" spans="1:6" x14ac:dyDescent="0.3">
      <c r="A628">
        <v>13</v>
      </c>
      <c r="B628" t="s">
        <v>7178</v>
      </c>
      <c r="C628" t="s">
        <v>4082</v>
      </c>
      <c r="E628">
        <v>238465920</v>
      </c>
      <c r="F628">
        <v>23308236380</v>
      </c>
    </row>
    <row r="629" spans="1:6" x14ac:dyDescent="0.3">
      <c r="A629">
        <v>13</v>
      </c>
      <c r="B629" t="s">
        <v>2038</v>
      </c>
      <c r="C629" t="s">
        <v>4103</v>
      </c>
      <c r="E629">
        <v>41500000</v>
      </c>
      <c r="F629">
        <v>23349736380</v>
      </c>
    </row>
    <row r="630" spans="1:6" x14ac:dyDescent="0.3">
      <c r="A630">
        <v>13</v>
      </c>
      <c r="B630" t="s">
        <v>4104</v>
      </c>
      <c r="C630" t="s">
        <v>3597</v>
      </c>
      <c r="E630">
        <v>84722000</v>
      </c>
      <c r="F630">
        <v>23434458380</v>
      </c>
    </row>
    <row r="631" spans="1:6" x14ac:dyDescent="0.3">
      <c r="A631">
        <v>13</v>
      </c>
      <c r="B631" t="s">
        <v>2038</v>
      </c>
      <c r="C631" t="s">
        <v>4105</v>
      </c>
      <c r="E631">
        <v>40000000</v>
      </c>
      <c r="F631">
        <v>23474458380</v>
      </c>
    </row>
    <row r="632" spans="1:6" x14ac:dyDescent="0.3">
      <c r="A632">
        <v>13</v>
      </c>
      <c r="B632" t="s">
        <v>2038</v>
      </c>
      <c r="C632" t="s">
        <v>4106</v>
      </c>
      <c r="E632">
        <v>40909091</v>
      </c>
      <c r="F632">
        <v>23515367471</v>
      </c>
    </row>
    <row r="633" spans="1:6" x14ac:dyDescent="0.3">
      <c r="A633">
        <v>13</v>
      </c>
      <c r="B633" t="s">
        <v>2038</v>
      </c>
      <c r="C633" t="s">
        <v>4107</v>
      </c>
      <c r="E633">
        <v>40454546</v>
      </c>
      <c r="F633">
        <v>23555822017</v>
      </c>
    </row>
    <row r="634" spans="1:6" x14ac:dyDescent="0.3">
      <c r="A634">
        <v>13</v>
      </c>
      <c r="B634" t="s">
        <v>2037</v>
      </c>
      <c r="C634" t="s">
        <v>4108</v>
      </c>
      <c r="E634">
        <v>37500000</v>
      </c>
      <c r="F634">
        <v>23593322017</v>
      </c>
    </row>
    <row r="635" spans="1:6" x14ac:dyDescent="0.3">
      <c r="A635">
        <v>13</v>
      </c>
      <c r="B635" t="s">
        <v>2038</v>
      </c>
      <c r="C635" t="s">
        <v>4109</v>
      </c>
      <c r="E635">
        <v>40500000</v>
      </c>
      <c r="F635">
        <v>23633822017</v>
      </c>
    </row>
    <row r="636" spans="1:6" x14ac:dyDescent="0.3">
      <c r="A636">
        <v>13</v>
      </c>
      <c r="B636" t="s">
        <v>3666</v>
      </c>
      <c r="C636" t="s">
        <v>4110</v>
      </c>
      <c r="E636">
        <v>60500000</v>
      </c>
      <c r="F636">
        <v>23694322017</v>
      </c>
    </row>
    <row r="637" spans="1:6" x14ac:dyDescent="0.3">
      <c r="A637">
        <v>13</v>
      </c>
      <c r="B637" t="s">
        <v>7179</v>
      </c>
      <c r="C637" t="s">
        <v>4111</v>
      </c>
      <c r="E637">
        <v>31999909</v>
      </c>
      <c r="F637">
        <v>23726321926</v>
      </c>
    </row>
    <row r="638" spans="1:6" x14ac:dyDescent="0.3">
      <c r="A638">
        <v>13</v>
      </c>
      <c r="B638" t="s">
        <v>3666</v>
      </c>
      <c r="C638" t="s">
        <v>4112</v>
      </c>
      <c r="E638">
        <v>60168181</v>
      </c>
      <c r="F638">
        <v>23786490107</v>
      </c>
    </row>
    <row r="639" spans="1:6" x14ac:dyDescent="0.3">
      <c r="A639">
        <v>13</v>
      </c>
      <c r="B639" t="s">
        <v>2028</v>
      </c>
      <c r="C639" t="s">
        <v>4113</v>
      </c>
      <c r="E639">
        <v>14000000</v>
      </c>
      <c r="F639">
        <v>23800490107</v>
      </c>
    </row>
    <row r="640" spans="1:6" x14ac:dyDescent="0.3">
      <c r="A640">
        <v>13</v>
      </c>
      <c r="B640" t="s">
        <v>2028</v>
      </c>
      <c r="C640" t="s">
        <v>4114</v>
      </c>
      <c r="E640">
        <v>16100000</v>
      </c>
      <c r="F640">
        <v>23816590107</v>
      </c>
    </row>
    <row r="641" spans="1:6" x14ac:dyDescent="0.3">
      <c r="A641">
        <v>13</v>
      </c>
      <c r="B641" t="s">
        <v>2041</v>
      </c>
      <c r="C641" t="s">
        <v>4115</v>
      </c>
      <c r="E641">
        <v>50000000</v>
      </c>
      <c r="F641">
        <v>23866590107</v>
      </c>
    </row>
    <row r="642" spans="1:6" x14ac:dyDescent="0.3">
      <c r="A642">
        <v>13</v>
      </c>
      <c r="B642" t="s">
        <v>2038</v>
      </c>
      <c r="C642" t="s">
        <v>4116</v>
      </c>
      <c r="E642">
        <v>39500000</v>
      </c>
      <c r="F642">
        <v>23906090107</v>
      </c>
    </row>
    <row r="643" spans="1:6" x14ac:dyDescent="0.3">
      <c r="A643">
        <v>13</v>
      </c>
      <c r="B643" t="s">
        <v>2028</v>
      </c>
      <c r="C643" t="s">
        <v>4117</v>
      </c>
      <c r="E643">
        <v>14500000</v>
      </c>
      <c r="F643">
        <v>23920590107</v>
      </c>
    </row>
    <row r="644" spans="1:6" x14ac:dyDescent="0.3">
      <c r="A644">
        <v>13</v>
      </c>
      <c r="B644" t="s">
        <v>4070</v>
      </c>
      <c r="C644" t="s">
        <v>4118</v>
      </c>
      <c r="E644">
        <v>4250000</v>
      </c>
      <c r="F644">
        <v>23924840107</v>
      </c>
    </row>
    <row r="645" spans="1:6" x14ac:dyDescent="0.3">
      <c r="A645">
        <v>13</v>
      </c>
      <c r="B645" t="s">
        <v>2028</v>
      </c>
      <c r="C645" t="s">
        <v>4119</v>
      </c>
      <c r="E645">
        <v>13500000</v>
      </c>
      <c r="F645">
        <v>23938340107</v>
      </c>
    </row>
    <row r="646" spans="1:6" x14ac:dyDescent="0.3">
      <c r="A646">
        <v>13</v>
      </c>
      <c r="B646" t="s">
        <v>2027</v>
      </c>
      <c r="C646" t="s">
        <v>4120</v>
      </c>
      <c r="E646">
        <v>13800000</v>
      </c>
      <c r="F646">
        <v>23952140107</v>
      </c>
    </row>
    <row r="647" spans="1:6" x14ac:dyDescent="0.3">
      <c r="A647">
        <v>13</v>
      </c>
      <c r="B647" t="s">
        <v>2041</v>
      </c>
      <c r="C647" t="s">
        <v>4118</v>
      </c>
      <c r="E647">
        <v>49709091</v>
      </c>
      <c r="F647">
        <v>24001849198</v>
      </c>
    </row>
    <row r="648" spans="1:6" x14ac:dyDescent="0.3">
      <c r="A648">
        <v>13</v>
      </c>
      <c r="B648" t="s">
        <v>4121</v>
      </c>
      <c r="C648" t="s">
        <v>4122</v>
      </c>
      <c r="E648">
        <v>300000</v>
      </c>
      <c r="F648">
        <v>24002149198</v>
      </c>
    </row>
    <row r="649" spans="1:6" x14ac:dyDescent="0.3">
      <c r="A649">
        <v>13</v>
      </c>
      <c r="B649" t="s">
        <v>2038</v>
      </c>
      <c r="C649" t="s">
        <v>3464</v>
      </c>
      <c r="E649">
        <v>40909091</v>
      </c>
      <c r="F649">
        <v>24043058289</v>
      </c>
    </row>
    <row r="650" spans="1:6" x14ac:dyDescent="0.3">
      <c r="A650">
        <v>13</v>
      </c>
      <c r="B650" t="s">
        <v>2043</v>
      </c>
      <c r="C650" t="s">
        <v>4123</v>
      </c>
      <c r="E650">
        <v>54000000</v>
      </c>
      <c r="F650">
        <v>24097058289</v>
      </c>
    </row>
    <row r="651" spans="1:6" x14ac:dyDescent="0.3">
      <c r="A651">
        <v>13</v>
      </c>
      <c r="B651" t="s">
        <v>2037</v>
      </c>
      <c r="C651" t="s">
        <v>4124</v>
      </c>
      <c r="E651">
        <v>36363636</v>
      </c>
      <c r="F651">
        <v>24133421925</v>
      </c>
    </row>
    <row r="652" spans="1:6" x14ac:dyDescent="0.3">
      <c r="A652">
        <v>13</v>
      </c>
      <c r="B652" t="s">
        <v>2028</v>
      </c>
      <c r="C652" t="s">
        <v>4125</v>
      </c>
      <c r="E652">
        <v>16218182</v>
      </c>
      <c r="F652">
        <v>24149640107</v>
      </c>
    </row>
    <row r="653" spans="1:6" x14ac:dyDescent="0.3">
      <c r="A653">
        <v>13</v>
      </c>
      <c r="B653" t="s">
        <v>2038</v>
      </c>
      <c r="C653" t="s">
        <v>4126</v>
      </c>
      <c r="E653">
        <v>40500000</v>
      </c>
      <c r="F653">
        <v>24190140107</v>
      </c>
    </row>
    <row r="654" spans="1:6" x14ac:dyDescent="0.3">
      <c r="A654">
        <v>13</v>
      </c>
      <c r="B654" t="s">
        <v>4127</v>
      </c>
      <c r="C654" t="s">
        <v>4122</v>
      </c>
      <c r="E654">
        <v>29090910</v>
      </c>
      <c r="F654">
        <v>24219231017</v>
      </c>
    </row>
    <row r="655" spans="1:6" x14ac:dyDescent="0.3">
      <c r="A655">
        <v>13</v>
      </c>
      <c r="B655" t="s">
        <v>2038</v>
      </c>
      <c r="C655" t="s">
        <v>4128</v>
      </c>
      <c r="E655">
        <v>40909090</v>
      </c>
      <c r="F655">
        <v>24260140107</v>
      </c>
    </row>
    <row r="656" spans="1:6" x14ac:dyDescent="0.3">
      <c r="A656">
        <v>13</v>
      </c>
      <c r="B656" t="s">
        <v>4129</v>
      </c>
      <c r="C656" t="s">
        <v>4130</v>
      </c>
      <c r="E656">
        <v>16600000</v>
      </c>
      <c r="F656">
        <v>24276740107</v>
      </c>
    </row>
    <row r="657" spans="1:6" x14ac:dyDescent="0.3">
      <c r="A657">
        <v>13</v>
      </c>
      <c r="B657" t="s">
        <v>3883</v>
      </c>
      <c r="C657" t="s">
        <v>4125</v>
      </c>
      <c r="E657">
        <v>3600000</v>
      </c>
      <c r="F657">
        <v>24280340107</v>
      </c>
    </row>
    <row r="658" spans="1:6" x14ac:dyDescent="0.3">
      <c r="A658">
        <v>13</v>
      </c>
      <c r="B658" t="s">
        <v>4131</v>
      </c>
      <c r="C658" t="s">
        <v>3597</v>
      </c>
      <c r="E658">
        <v>2940000</v>
      </c>
      <c r="F658">
        <v>24283280107</v>
      </c>
    </row>
    <row r="659" spans="1:6" x14ac:dyDescent="0.3">
      <c r="A659">
        <v>13</v>
      </c>
      <c r="B659" t="s">
        <v>4132</v>
      </c>
      <c r="C659" t="s">
        <v>3684</v>
      </c>
      <c r="E659">
        <v>38400000</v>
      </c>
      <c r="F659">
        <v>24321680107</v>
      </c>
    </row>
    <row r="660" spans="1:6" x14ac:dyDescent="0.3">
      <c r="A660">
        <v>13</v>
      </c>
      <c r="B660" t="s">
        <v>2028</v>
      </c>
      <c r="C660" t="s">
        <v>3804</v>
      </c>
      <c r="E660">
        <v>14000000</v>
      </c>
      <c r="F660">
        <v>24335680107</v>
      </c>
    </row>
    <row r="661" spans="1:6" x14ac:dyDescent="0.3">
      <c r="A661">
        <v>13</v>
      </c>
      <c r="B661" t="s">
        <v>2043</v>
      </c>
      <c r="C661" t="s">
        <v>4133</v>
      </c>
      <c r="E661">
        <v>50800000</v>
      </c>
      <c r="F661">
        <v>24386480107</v>
      </c>
    </row>
    <row r="662" spans="1:6" x14ac:dyDescent="0.3">
      <c r="A662">
        <v>13</v>
      </c>
      <c r="B662" t="s">
        <v>2028</v>
      </c>
      <c r="C662" t="s">
        <v>4134</v>
      </c>
      <c r="E662">
        <v>13900000</v>
      </c>
      <c r="F662">
        <v>24400380107</v>
      </c>
    </row>
    <row r="663" spans="1:6" x14ac:dyDescent="0.3">
      <c r="A663">
        <v>13</v>
      </c>
      <c r="B663" t="s">
        <v>2038</v>
      </c>
      <c r="C663" t="s">
        <v>4087</v>
      </c>
      <c r="E663">
        <v>40000000</v>
      </c>
      <c r="F663">
        <v>24440380107</v>
      </c>
    </row>
    <row r="664" spans="1:6" x14ac:dyDescent="0.3">
      <c r="A664">
        <v>13</v>
      </c>
      <c r="B664" t="s">
        <v>4135</v>
      </c>
      <c r="C664" t="s">
        <v>3618</v>
      </c>
      <c r="E664">
        <v>-485000</v>
      </c>
      <c r="F664">
        <v>24439895107</v>
      </c>
    </row>
    <row r="665" spans="1:6" x14ac:dyDescent="0.3">
      <c r="A665">
        <v>13</v>
      </c>
      <c r="B665" t="s">
        <v>2038</v>
      </c>
      <c r="C665" t="s">
        <v>3816</v>
      </c>
      <c r="E665">
        <v>40500000</v>
      </c>
      <c r="F665">
        <v>24480395107</v>
      </c>
    </row>
    <row r="666" spans="1:6" x14ac:dyDescent="0.3">
      <c r="A666">
        <v>13</v>
      </c>
      <c r="B666" t="s">
        <v>2038</v>
      </c>
      <c r="C666" t="s">
        <v>4136</v>
      </c>
      <c r="E666">
        <v>40500000</v>
      </c>
      <c r="F666">
        <v>24520895107</v>
      </c>
    </row>
    <row r="667" spans="1:6" x14ac:dyDescent="0.3">
      <c r="A667">
        <v>13</v>
      </c>
      <c r="B667" t="s">
        <v>2034</v>
      </c>
      <c r="C667" t="s">
        <v>4137</v>
      </c>
      <c r="E667">
        <v>41053637</v>
      </c>
      <c r="F667">
        <v>24561948744</v>
      </c>
    </row>
    <row r="668" spans="1:6" x14ac:dyDescent="0.3">
      <c r="A668">
        <v>13</v>
      </c>
      <c r="B668" t="s">
        <v>2037</v>
      </c>
      <c r="C668" t="s">
        <v>4138</v>
      </c>
      <c r="E668">
        <v>38450000</v>
      </c>
      <c r="F668">
        <v>24600398744</v>
      </c>
    </row>
    <row r="669" spans="1:6" x14ac:dyDescent="0.3">
      <c r="A669">
        <v>13</v>
      </c>
      <c r="B669" t="s">
        <v>2028</v>
      </c>
      <c r="C669" t="s">
        <v>4139</v>
      </c>
      <c r="E669">
        <v>15000000</v>
      </c>
      <c r="F669">
        <v>24615398744</v>
      </c>
    </row>
    <row r="670" spans="1:6" x14ac:dyDescent="0.3">
      <c r="A670">
        <v>13</v>
      </c>
      <c r="B670" t="s">
        <v>2062</v>
      </c>
      <c r="C670" t="s">
        <v>4064</v>
      </c>
      <c r="E670">
        <v>109141876</v>
      </c>
      <c r="F670">
        <v>24724540620</v>
      </c>
    </row>
    <row r="671" spans="1:6" x14ac:dyDescent="0.3">
      <c r="A671">
        <v>13</v>
      </c>
      <c r="B671" t="s">
        <v>2038</v>
      </c>
      <c r="C671" t="s">
        <v>4140</v>
      </c>
      <c r="E671">
        <v>39300000</v>
      </c>
      <c r="F671">
        <v>24763840620</v>
      </c>
    </row>
    <row r="672" spans="1:6" x14ac:dyDescent="0.3">
      <c r="A672">
        <v>13</v>
      </c>
      <c r="B672" t="s">
        <v>2038</v>
      </c>
      <c r="C672" t="s">
        <v>4141</v>
      </c>
      <c r="E672">
        <v>40000000</v>
      </c>
      <c r="F672">
        <v>24803840620</v>
      </c>
    </row>
    <row r="673" spans="1:6" x14ac:dyDescent="0.3">
      <c r="A673">
        <v>13</v>
      </c>
      <c r="B673" t="s">
        <v>2038</v>
      </c>
      <c r="C673" t="s">
        <v>4142</v>
      </c>
      <c r="E673">
        <v>40909091</v>
      </c>
      <c r="F673">
        <v>24844749711</v>
      </c>
    </row>
    <row r="674" spans="1:6" x14ac:dyDescent="0.3">
      <c r="A674">
        <v>13</v>
      </c>
      <c r="B674" t="s">
        <v>2045</v>
      </c>
      <c r="C674" t="s">
        <v>4143</v>
      </c>
      <c r="E674">
        <v>81700000</v>
      </c>
      <c r="F674">
        <v>24926449711</v>
      </c>
    </row>
    <row r="675" spans="1:6" x14ac:dyDescent="0.3">
      <c r="A675">
        <v>13</v>
      </c>
      <c r="B675" t="s">
        <v>2039</v>
      </c>
      <c r="C675" t="s">
        <v>3436</v>
      </c>
      <c r="E675">
        <v>44194545</v>
      </c>
      <c r="F675">
        <v>24970644256</v>
      </c>
    </row>
    <row r="676" spans="1:6" x14ac:dyDescent="0.3">
      <c r="A676">
        <v>13</v>
      </c>
      <c r="B676" t="s">
        <v>2038</v>
      </c>
      <c r="C676" t="s">
        <v>4144</v>
      </c>
      <c r="E676">
        <v>39500000</v>
      </c>
      <c r="F676">
        <v>25010144256</v>
      </c>
    </row>
    <row r="677" spans="1:6" x14ac:dyDescent="0.3">
      <c r="A677">
        <v>13</v>
      </c>
      <c r="B677" t="s">
        <v>2038</v>
      </c>
      <c r="C677" t="s">
        <v>4145</v>
      </c>
      <c r="E677">
        <v>38500000</v>
      </c>
      <c r="F677">
        <v>25048644256</v>
      </c>
    </row>
    <row r="678" spans="1:6" x14ac:dyDescent="0.3">
      <c r="A678">
        <v>13</v>
      </c>
      <c r="B678" t="s">
        <v>2030</v>
      </c>
      <c r="C678" t="s">
        <v>4146</v>
      </c>
      <c r="E678">
        <v>36000000</v>
      </c>
      <c r="F678">
        <v>25084644256</v>
      </c>
    </row>
    <row r="679" spans="1:6" x14ac:dyDescent="0.3">
      <c r="A679">
        <v>13</v>
      </c>
      <c r="B679" t="s">
        <v>2027</v>
      </c>
      <c r="C679" t="s">
        <v>4147</v>
      </c>
      <c r="E679">
        <v>12500000</v>
      </c>
      <c r="F679">
        <v>25097144256</v>
      </c>
    </row>
    <row r="680" spans="1:6" x14ac:dyDescent="0.3">
      <c r="A680">
        <v>13</v>
      </c>
      <c r="B680" t="s">
        <v>2043</v>
      </c>
      <c r="C680" t="s">
        <v>4148</v>
      </c>
      <c r="E680">
        <v>52000000</v>
      </c>
      <c r="F680">
        <v>25149144256</v>
      </c>
    </row>
    <row r="681" spans="1:6" x14ac:dyDescent="0.3">
      <c r="A681">
        <v>13</v>
      </c>
      <c r="B681" t="s">
        <v>2038</v>
      </c>
      <c r="C681" t="s">
        <v>4149</v>
      </c>
      <c r="E681">
        <v>40500000</v>
      </c>
      <c r="F681">
        <v>25189644256</v>
      </c>
    </row>
    <row r="682" spans="1:6" x14ac:dyDescent="0.3">
      <c r="A682">
        <v>13</v>
      </c>
      <c r="B682" t="s">
        <v>2038</v>
      </c>
      <c r="C682" t="s">
        <v>4149</v>
      </c>
      <c r="E682">
        <v>40500000</v>
      </c>
      <c r="F682">
        <v>25230144256</v>
      </c>
    </row>
    <row r="683" spans="1:6" x14ac:dyDescent="0.3">
      <c r="A683">
        <v>13</v>
      </c>
      <c r="B683" t="s">
        <v>2027</v>
      </c>
      <c r="C683" t="s">
        <v>4150</v>
      </c>
      <c r="E683">
        <v>14200000</v>
      </c>
      <c r="F683">
        <v>25244344256</v>
      </c>
    </row>
    <row r="684" spans="1:6" x14ac:dyDescent="0.3">
      <c r="A684">
        <v>13</v>
      </c>
      <c r="B684" t="s">
        <v>2027</v>
      </c>
      <c r="C684" t="s">
        <v>4094</v>
      </c>
      <c r="E684">
        <v>13200000</v>
      </c>
      <c r="F684">
        <v>25257544256</v>
      </c>
    </row>
    <row r="685" spans="1:6" x14ac:dyDescent="0.3">
      <c r="A685">
        <v>13</v>
      </c>
      <c r="B685" t="s">
        <v>2027</v>
      </c>
      <c r="C685" t="s">
        <v>4151</v>
      </c>
      <c r="E685">
        <v>14320000</v>
      </c>
      <c r="F685">
        <v>25271864256</v>
      </c>
    </row>
    <row r="686" spans="1:6" x14ac:dyDescent="0.3">
      <c r="A686">
        <v>13</v>
      </c>
      <c r="B686" t="s">
        <v>4152</v>
      </c>
      <c r="C686" t="s">
        <v>4153</v>
      </c>
      <c r="E686">
        <v>10750000</v>
      </c>
      <c r="F686">
        <v>25282614256</v>
      </c>
    </row>
    <row r="687" spans="1:6" x14ac:dyDescent="0.3">
      <c r="A687">
        <v>13</v>
      </c>
      <c r="B687" t="s">
        <v>2028</v>
      </c>
      <c r="C687" t="s">
        <v>4154</v>
      </c>
      <c r="E687">
        <v>15035455</v>
      </c>
      <c r="F687">
        <v>25297649711</v>
      </c>
    </row>
    <row r="688" spans="1:6" x14ac:dyDescent="0.3">
      <c r="A688">
        <v>13</v>
      </c>
      <c r="B688" t="s">
        <v>2028</v>
      </c>
      <c r="C688" t="s">
        <v>4155</v>
      </c>
      <c r="E688">
        <v>15000000</v>
      </c>
      <c r="F688">
        <v>25312649711</v>
      </c>
    </row>
    <row r="689" spans="1:6" x14ac:dyDescent="0.3">
      <c r="A689">
        <v>13</v>
      </c>
      <c r="B689" t="s">
        <v>7180</v>
      </c>
      <c r="C689" t="s">
        <v>4156</v>
      </c>
      <c r="E689">
        <v>6041818</v>
      </c>
      <c r="F689">
        <v>25318691529</v>
      </c>
    </row>
    <row r="690" spans="1:6" x14ac:dyDescent="0.3">
      <c r="A690">
        <v>13</v>
      </c>
      <c r="B690" t="s">
        <v>2038</v>
      </c>
      <c r="C690" t="s">
        <v>4157</v>
      </c>
      <c r="E690">
        <v>40909091</v>
      </c>
      <c r="F690">
        <v>25359600620</v>
      </c>
    </row>
    <row r="691" spans="1:6" x14ac:dyDescent="0.3">
      <c r="A691">
        <v>13</v>
      </c>
      <c r="B691" t="s">
        <v>2037</v>
      </c>
      <c r="C691" t="s">
        <v>4138</v>
      </c>
      <c r="E691">
        <v>38450000</v>
      </c>
      <c r="F691">
        <v>25398050620</v>
      </c>
    </row>
    <row r="692" spans="1:6" x14ac:dyDescent="0.3">
      <c r="A692">
        <v>13</v>
      </c>
      <c r="B692" t="s">
        <v>2027</v>
      </c>
      <c r="C692" t="s">
        <v>4158</v>
      </c>
      <c r="E692">
        <v>14272727</v>
      </c>
      <c r="F692">
        <v>25412323347</v>
      </c>
    </row>
    <row r="693" spans="1:6" x14ac:dyDescent="0.3">
      <c r="A693">
        <v>13</v>
      </c>
      <c r="B693" t="s">
        <v>2039</v>
      </c>
      <c r="C693" t="s">
        <v>4159</v>
      </c>
      <c r="E693">
        <v>43636363</v>
      </c>
      <c r="F693">
        <v>25455959710</v>
      </c>
    </row>
    <row r="694" spans="1:6" x14ac:dyDescent="0.3">
      <c r="A694">
        <v>13</v>
      </c>
      <c r="B694" t="s">
        <v>2038</v>
      </c>
      <c r="C694" t="s">
        <v>4160</v>
      </c>
      <c r="E694">
        <v>41141000</v>
      </c>
      <c r="F694">
        <v>25497100710</v>
      </c>
    </row>
    <row r="695" spans="1:6" x14ac:dyDescent="0.3">
      <c r="A695">
        <v>13</v>
      </c>
      <c r="B695" t="s">
        <v>2037</v>
      </c>
      <c r="C695" t="s">
        <v>4138</v>
      </c>
      <c r="E695">
        <v>-38450000</v>
      </c>
      <c r="F695">
        <v>25458650710</v>
      </c>
    </row>
    <row r="696" spans="1:6" x14ac:dyDescent="0.3">
      <c r="A696">
        <v>13</v>
      </c>
      <c r="B696" t="s">
        <v>2047</v>
      </c>
      <c r="C696" t="s">
        <v>4161</v>
      </c>
      <c r="E696">
        <v>108000000</v>
      </c>
      <c r="F696">
        <v>25566650710</v>
      </c>
    </row>
    <row r="697" spans="1:6" x14ac:dyDescent="0.3">
      <c r="A697">
        <v>13</v>
      </c>
      <c r="B697" t="s">
        <v>2043</v>
      </c>
      <c r="C697" t="s">
        <v>4162</v>
      </c>
      <c r="E697">
        <v>53000000</v>
      </c>
      <c r="F697">
        <v>25619650710</v>
      </c>
    </row>
    <row r="698" spans="1:6" x14ac:dyDescent="0.3">
      <c r="A698">
        <v>13</v>
      </c>
      <c r="B698" t="s">
        <v>2038</v>
      </c>
      <c r="C698" t="s">
        <v>4163</v>
      </c>
      <c r="E698">
        <v>40909091</v>
      </c>
      <c r="F698">
        <v>25660559801</v>
      </c>
    </row>
    <row r="699" spans="1:6" x14ac:dyDescent="0.3">
      <c r="A699">
        <v>13</v>
      </c>
      <c r="B699" t="s">
        <v>2038</v>
      </c>
      <c r="C699" t="s">
        <v>4164</v>
      </c>
      <c r="E699">
        <v>40500000</v>
      </c>
      <c r="F699">
        <v>25701059801</v>
      </c>
    </row>
    <row r="700" spans="1:6" x14ac:dyDescent="0.3">
      <c r="A700">
        <v>13</v>
      </c>
      <c r="B700" t="s">
        <v>2038</v>
      </c>
      <c r="C700" t="s">
        <v>4165</v>
      </c>
      <c r="E700">
        <v>40454545</v>
      </c>
      <c r="F700">
        <v>25741514346</v>
      </c>
    </row>
    <row r="701" spans="1:6" x14ac:dyDescent="0.3">
      <c r="A701">
        <v>13</v>
      </c>
      <c r="B701" t="s">
        <v>2041</v>
      </c>
      <c r="C701" t="s">
        <v>4166</v>
      </c>
      <c r="E701">
        <v>50000000</v>
      </c>
      <c r="F701">
        <v>25791514346</v>
      </c>
    </row>
    <row r="702" spans="1:6" x14ac:dyDescent="0.3">
      <c r="A702">
        <v>13</v>
      </c>
      <c r="B702" t="s">
        <v>3666</v>
      </c>
      <c r="C702" t="s">
        <v>4167</v>
      </c>
      <c r="E702">
        <v>60500000</v>
      </c>
      <c r="F702">
        <v>25852014346</v>
      </c>
    </row>
    <row r="703" spans="1:6" x14ac:dyDescent="0.3">
      <c r="A703">
        <v>13</v>
      </c>
      <c r="B703" t="s">
        <v>2838</v>
      </c>
      <c r="C703" t="s">
        <v>3722</v>
      </c>
      <c r="E703">
        <v>25150000</v>
      </c>
      <c r="F703">
        <v>25877164346</v>
      </c>
    </row>
    <row r="704" spans="1:6" x14ac:dyDescent="0.3">
      <c r="A704">
        <v>13</v>
      </c>
      <c r="B704" t="s">
        <v>4168</v>
      </c>
      <c r="C704" t="s">
        <v>3597</v>
      </c>
      <c r="E704">
        <v>6418000</v>
      </c>
      <c r="F704">
        <v>25883582346</v>
      </c>
    </row>
    <row r="705" spans="1:6" x14ac:dyDescent="0.3">
      <c r="A705">
        <v>13</v>
      </c>
      <c r="B705" t="s">
        <v>4169</v>
      </c>
      <c r="C705" t="s">
        <v>4170</v>
      </c>
      <c r="E705">
        <v>130160000</v>
      </c>
      <c r="F705">
        <v>26013742346</v>
      </c>
    </row>
    <row r="706" spans="1:6" x14ac:dyDescent="0.3">
      <c r="A706">
        <v>13</v>
      </c>
      <c r="B706" t="s">
        <v>2027</v>
      </c>
      <c r="C706" t="s">
        <v>3870</v>
      </c>
      <c r="E706">
        <v>13600000</v>
      </c>
      <c r="F706">
        <v>26027342346</v>
      </c>
    </row>
    <row r="707" spans="1:6" x14ac:dyDescent="0.3">
      <c r="A707">
        <v>13</v>
      </c>
      <c r="B707" t="s">
        <v>7181</v>
      </c>
      <c r="C707" t="s">
        <v>4171</v>
      </c>
      <c r="E707">
        <v>8907409</v>
      </c>
      <c r="F707">
        <v>26036249755</v>
      </c>
    </row>
    <row r="708" spans="1:6" x14ac:dyDescent="0.3">
      <c r="A708">
        <v>13</v>
      </c>
      <c r="B708" t="s">
        <v>2030</v>
      </c>
      <c r="C708" t="s">
        <v>4171</v>
      </c>
      <c r="E708">
        <v>-8907409</v>
      </c>
      <c r="F708">
        <v>26027342346</v>
      </c>
    </row>
    <row r="709" spans="1:6" x14ac:dyDescent="0.3">
      <c r="A709">
        <v>13</v>
      </c>
      <c r="B709" t="s">
        <v>2030</v>
      </c>
      <c r="C709" t="s">
        <v>4171</v>
      </c>
      <c r="E709">
        <v>8907409</v>
      </c>
      <c r="F709">
        <v>26036249755</v>
      </c>
    </row>
    <row r="710" spans="1:6" x14ac:dyDescent="0.3">
      <c r="A710">
        <v>13</v>
      </c>
      <c r="B710" t="s">
        <v>2028</v>
      </c>
      <c r="C710" t="s">
        <v>4172</v>
      </c>
      <c r="E710">
        <v>16190000</v>
      </c>
      <c r="F710">
        <v>26052439755</v>
      </c>
    </row>
    <row r="711" spans="1:6" x14ac:dyDescent="0.3">
      <c r="A711">
        <v>13</v>
      </c>
      <c r="B711" t="s">
        <v>7182</v>
      </c>
      <c r="C711" t="s">
        <v>214</v>
      </c>
      <c r="E711">
        <v>60112724</v>
      </c>
      <c r="F711">
        <v>26112552479</v>
      </c>
    </row>
    <row r="712" spans="1:6" x14ac:dyDescent="0.3">
      <c r="A712">
        <v>13</v>
      </c>
      <c r="B712" t="s">
        <v>7183</v>
      </c>
      <c r="C712" t="s">
        <v>4015</v>
      </c>
      <c r="E712">
        <v>18266000</v>
      </c>
      <c r="F712">
        <v>26130818479</v>
      </c>
    </row>
    <row r="713" spans="1:6" x14ac:dyDescent="0.3">
      <c r="A713">
        <v>13</v>
      </c>
      <c r="B713" t="s">
        <v>2028</v>
      </c>
      <c r="C713" t="s">
        <v>4173</v>
      </c>
      <c r="E713">
        <v>14260000</v>
      </c>
      <c r="F713">
        <v>26145078479</v>
      </c>
    </row>
    <row r="714" spans="1:6" x14ac:dyDescent="0.3">
      <c r="A714">
        <v>13</v>
      </c>
      <c r="B714" t="s">
        <v>2038</v>
      </c>
      <c r="C714" t="s">
        <v>3646</v>
      </c>
      <c r="E714">
        <v>37727273</v>
      </c>
      <c r="F714">
        <v>26182805752</v>
      </c>
    </row>
    <row r="715" spans="1:6" x14ac:dyDescent="0.3">
      <c r="A715">
        <v>13</v>
      </c>
      <c r="B715" t="s">
        <v>4174</v>
      </c>
      <c r="C715" t="s">
        <v>3597</v>
      </c>
      <c r="E715">
        <v>25250000</v>
      </c>
      <c r="F715">
        <v>26208055752</v>
      </c>
    </row>
    <row r="716" spans="1:6" x14ac:dyDescent="0.3">
      <c r="A716">
        <v>13</v>
      </c>
      <c r="B716" t="s">
        <v>7176</v>
      </c>
      <c r="C716" t="s">
        <v>4061</v>
      </c>
      <c r="E716">
        <v>23559146</v>
      </c>
      <c r="F716">
        <v>26231614898</v>
      </c>
    </row>
    <row r="717" spans="1:6" x14ac:dyDescent="0.3">
      <c r="A717">
        <v>13</v>
      </c>
      <c r="B717" t="s">
        <v>2041</v>
      </c>
      <c r="C717" t="s">
        <v>4175</v>
      </c>
      <c r="E717">
        <v>73041025</v>
      </c>
      <c r="F717">
        <v>26304655923</v>
      </c>
    </row>
    <row r="718" spans="1:6" x14ac:dyDescent="0.3">
      <c r="A718">
        <v>13</v>
      </c>
      <c r="B718" t="s">
        <v>2038</v>
      </c>
      <c r="C718" t="s">
        <v>4176</v>
      </c>
      <c r="E718">
        <v>40909091</v>
      </c>
      <c r="F718">
        <v>26345565014</v>
      </c>
    </row>
    <row r="719" spans="1:6" x14ac:dyDescent="0.3">
      <c r="A719">
        <v>13</v>
      </c>
      <c r="B719" t="s">
        <v>2038</v>
      </c>
      <c r="C719" t="s">
        <v>4177</v>
      </c>
      <c r="E719">
        <v>38800000</v>
      </c>
      <c r="F719">
        <v>26384365014</v>
      </c>
    </row>
    <row r="720" spans="1:6" x14ac:dyDescent="0.3">
      <c r="A720">
        <v>13</v>
      </c>
      <c r="B720" t="s">
        <v>2038</v>
      </c>
      <c r="C720" t="s">
        <v>4178</v>
      </c>
      <c r="E720">
        <v>39272727</v>
      </c>
      <c r="F720">
        <v>26423637741</v>
      </c>
    </row>
    <row r="721" spans="1:6" x14ac:dyDescent="0.3">
      <c r="A721">
        <v>13</v>
      </c>
      <c r="B721" t="s">
        <v>2038</v>
      </c>
      <c r="C721" t="s">
        <v>4179</v>
      </c>
      <c r="E721">
        <v>39272727</v>
      </c>
      <c r="F721">
        <v>26462910468</v>
      </c>
    </row>
    <row r="722" spans="1:6" x14ac:dyDescent="0.3">
      <c r="A722">
        <v>13</v>
      </c>
      <c r="B722" t="s">
        <v>2038</v>
      </c>
      <c r="C722" t="s">
        <v>4180</v>
      </c>
      <c r="E722">
        <v>39272727</v>
      </c>
      <c r="F722">
        <v>26502183195</v>
      </c>
    </row>
    <row r="723" spans="1:6" x14ac:dyDescent="0.3">
      <c r="A723">
        <v>13</v>
      </c>
      <c r="B723" t="s">
        <v>2038</v>
      </c>
      <c r="C723" t="s">
        <v>4181</v>
      </c>
      <c r="E723">
        <v>39090909</v>
      </c>
      <c r="F723">
        <v>26541274104</v>
      </c>
    </row>
    <row r="724" spans="1:6" x14ac:dyDescent="0.3">
      <c r="A724">
        <v>13</v>
      </c>
      <c r="B724" t="s">
        <v>2037</v>
      </c>
      <c r="C724" t="s">
        <v>4165</v>
      </c>
      <c r="E724">
        <v>39090909</v>
      </c>
      <c r="F724">
        <v>26580365013</v>
      </c>
    </row>
    <row r="725" spans="1:6" x14ac:dyDescent="0.3">
      <c r="A725">
        <v>13</v>
      </c>
      <c r="B725" t="s">
        <v>4182</v>
      </c>
      <c r="C725" t="s">
        <v>4183</v>
      </c>
      <c r="E725">
        <v>3600000</v>
      </c>
      <c r="F725">
        <v>26583965013</v>
      </c>
    </row>
    <row r="726" spans="1:6" x14ac:dyDescent="0.3">
      <c r="A726">
        <v>13</v>
      </c>
      <c r="B726" t="s">
        <v>2038</v>
      </c>
      <c r="C726" t="s">
        <v>4184</v>
      </c>
      <c r="E726">
        <v>39000000</v>
      </c>
      <c r="F726">
        <v>26622965013</v>
      </c>
    </row>
    <row r="727" spans="1:6" x14ac:dyDescent="0.3">
      <c r="A727">
        <v>13</v>
      </c>
      <c r="B727" t="s">
        <v>2037</v>
      </c>
      <c r="C727" t="s">
        <v>4185</v>
      </c>
      <c r="E727">
        <v>40636364</v>
      </c>
      <c r="F727">
        <v>26663601377</v>
      </c>
    </row>
    <row r="728" spans="1:6" x14ac:dyDescent="0.3">
      <c r="A728">
        <v>13</v>
      </c>
      <c r="B728" t="s">
        <v>3937</v>
      </c>
      <c r="C728" t="s">
        <v>4186</v>
      </c>
      <c r="E728">
        <v>50272727</v>
      </c>
      <c r="F728">
        <v>26713874104</v>
      </c>
    </row>
    <row r="729" spans="1:6" x14ac:dyDescent="0.3">
      <c r="A729">
        <v>13</v>
      </c>
      <c r="B729" t="s">
        <v>2038</v>
      </c>
      <c r="C729" t="s">
        <v>4187</v>
      </c>
      <c r="E729">
        <v>40500000</v>
      </c>
      <c r="F729">
        <v>26754374104</v>
      </c>
    </row>
    <row r="730" spans="1:6" x14ac:dyDescent="0.3">
      <c r="A730">
        <v>13</v>
      </c>
      <c r="B730" t="s">
        <v>2039</v>
      </c>
      <c r="C730" t="s">
        <v>4188</v>
      </c>
      <c r="E730">
        <v>41818182</v>
      </c>
      <c r="F730">
        <v>26796192286</v>
      </c>
    </row>
    <row r="731" spans="1:6" x14ac:dyDescent="0.3">
      <c r="A731">
        <v>13</v>
      </c>
      <c r="B731" t="s">
        <v>2038</v>
      </c>
      <c r="C731" t="s">
        <v>4189</v>
      </c>
      <c r="E731">
        <v>40000000</v>
      </c>
      <c r="F731">
        <v>26836192286</v>
      </c>
    </row>
    <row r="732" spans="1:6" x14ac:dyDescent="0.3">
      <c r="A732">
        <v>13</v>
      </c>
      <c r="B732" t="s">
        <v>2039</v>
      </c>
      <c r="C732" t="s">
        <v>4190</v>
      </c>
      <c r="E732">
        <v>39454545</v>
      </c>
      <c r="F732">
        <v>26875646831</v>
      </c>
    </row>
    <row r="733" spans="1:6" x14ac:dyDescent="0.3">
      <c r="A733">
        <v>13</v>
      </c>
      <c r="B733" t="s">
        <v>2038</v>
      </c>
      <c r="C733" t="s">
        <v>4191</v>
      </c>
      <c r="E733">
        <v>40525363</v>
      </c>
      <c r="F733">
        <v>26916172194</v>
      </c>
    </row>
    <row r="734" spans="1:6" x14ac:dyDescent="0.3">
      <c r="A734">
        <v>13</v>
      </c>
      <c r="B734" t="s">
        <v>2027</v>
      </c>
      <c r="C734" t="s">
        <v>4192</v>
      </c>
      <c r="E734">
        <v>13000000</v>
      </c>
      <c r="F734">
        <v>26929172194</v>
      </c>
    </row>
    <row r="735" spans="1:6" x14ac:dyDescent="0.3">
      <c r="A735">
        <v>13</v>
      </c>
      <c r="B735" t="s">
        <v>7184</v>
      </c>
      <c r="C735" t="s">
        <v>4175</v>
      </c>
      <c r="E735">
        <v>235562880</v>
      </c>
      <c r="F735">
        <v>27164735074</v>
      </c>
    </row>
    <row r="736" spans="1:6" x14ac:dyDescent="0.3">
      <c r="A736">
        <v>13</v>
      </c>
      <c r="B736" t="s">
        <v>2028</v>
      </c>
      <c r="C736" t="s">
        <v>4193</v>
      </c>
      <c r="E736">
        <v>1000000</v>
      </c>
      <c r="F736">
        <v>27165735074</v>
      </c>
    </row>
    <row r="737" spans="1:6" x14ac:dyDescent="0.3">
      <c r="A737">
        <v>13</v>
      </c>
      <c r="B737" t="s">
        <v>2041</v>
      </c>
      <c r="C737" t="s">
        <v>4194</v>
      </c>
      <c r="E737">
        <v>50000000</v>
      </c>
      <c r="F737">
        <v>27215735074</v>
      </c>
    </row>
    <row r="738" spans="1:6" x14ac:dyDescent="0.3">
      <c r="A738">
        <v>13</v>
      </c>
      <c r="B738" t="s">
        <v>2038</v>
      </c>
      <c r="C738" t="s">
        <v>4195</v>
      </c>
      <c r="E738">
        <v>38000000</v>
      </c>
      <c r="F738">
        <v>27253735074</v>
      </c>
    </row>
    <row r="739" spans="1:6" x14ac:dyDescent="0.3">
      <c r="A739">
        <v>13</v>
      </c>
      <c r="B739" t="s">
        <v>4196</v>
      </c>
      <c r="C739" t="s">
        <v>214</v>
      </c>
      <c r="E739">
        <v>149541928</v>
      </c>
      <c r="F739">
        <v>27403277002</v>
      </c>
    </row>
    <row r="740" spans="1:6" x14ac:dyDescent="0.3">
      <c r="A740">
        <v>13</v>
      </c>
      <c r="B740" t="s">
        <v>2026</v>
      </c>
      <c r="C740" t="s">
        <v>4197</v>
      </c>
      <c r="E740">
        <v>12200000</v>
      </c>
      <c r="F740">
        <v>27415477002</v>
      </c>
    </row>
    <row r="741" spans="1:6" x14ac:dyDescent="0.3">
      <c r="A741">
        <v>13</v>
      </c>
      <c r="B741" t="s">
        <v>2032</v>
      </c>
      <c r="C741" t="s">
        <v>4198</v>
      </c>
      <c r="E741">
        <v>32500000</v>
      </c>
      <c r="F741">
        <v>27447977002</v>
      </c>
    </row>
    <row r="742" spans="1:6" x14ac:dyDescent="0.3">
      <c r="A742">
        <v>13</v>
      </c>
      <c r="B742" t="s">
        <v>4199</v>
      </c>
      <c r="C742" t="s">
        <v>3722</v>
      </c>
      <c r="E742">
        <v>9000000</v>
      </c>
      <c r="F742">
        <v>27456977002</v>
      </c>
    </row>
    <row r="743" spans="1:6" x14ac:dyDescent="0.3">
      <c r="A743">
        <v>13</v>
      </c>
      <c r="B743" t="s">
        <v>3670</v>
      </c>
      <c r="C743" t="s">
        <v>3597</v>
      </c>
      <c r="E743">
        <v>1740000</v>
      </c>
      <c r="F743">
        <v>27458717002</v>
      </c>
    </row>
    <row r="744" spans="1:6" x14ac:dyDescent="0.3">
      <c r="A744">
        <v>13</v>
      </c>
      <c r="B744" t="s">
        <v>2041</v>
      </c>
      <c r="C744" t="s">
        <v>4200</v>
      </c>
      <c r="E744">
        <v>49300000</v>
      </c>
      <c r="F744">
        <v>27508017002</v>
      </c>
    </row>
    <row r="745" spans="1:6" x14ac:dyDescent="0.3">
      <c r="A745">
        <v>13</v>
      </c>
      <c r="B745" t="s">
        <v>2028</v>
      </c>
      <c r="C745" t="s">
        <v>4201</v>
      </c>
      <c r="E745">
        <v>13363636</v>
      </c>
      <c r="F745">
        <v>27521380638</v>
      </c>
    </row>
    <row r="746" spans="1:6" x14ac:dyDescent="0.3">
      <c r="A746">
        <v>13</v>
      </c>
      <c r="B746" t="s">
        <v>2043</v>
      </c>
      <c r="C746" t="s">
        <v>4202</v>
      </c>
      <c r="E746">
        <v>50000000</v>
      </c>
      <c r="F746">
        <v>27571380638</v>
      </c>
    </row>
    <row r="747" spans="1:6" x14ac:dyDescent="0.3">
      <c r="A747">
        <v>13</v>
      </c>
      <c r="B747" t="s">
        <v>2027</v>
      </c>
      <c r="C747" t="s">
        <v>4203</v>
      </c>
      <c r="E747">
        <v>15181000</v>
      </c>
      <c r="F747">
        <v>27586561638</v>
      </c>
    </row>
    <row r="748" spans="1:6" x14ac:dyDescent="0.3">
      <c r="A748">
        <v>13</v>
      </c>
      <c r="B748" t="s">
        <v>4204</v>
      </c>
      <c r="C748" t="s">
        <v>3597</v>
      </c>
      <c r="E748">
        <v>21114000</v>
      </c>
      <c r="F748">
        <v>27607675638</v>
      </c>
    </row>
    <row r="749" spans="1:6" x14ac:dyDescent="0.3">
      <c r="A749">
        <v>13</v>
      </c>
      <c r="B749" t="s">
        <v>2038</v>
      </c>
      <c r="C749" t="s">
        <v>4205</v>
      </c>
      <c r="E749">
        <v>40909091</v>
      </c>
      <c r="F749">
        <v>27648584729</v>
      </c>
    </row>
    <row r="750" spans="1:6" x14ac:dyDescent="0.3">
      <c r="A750">
        <v>13</v>
      </c>
      <c r="B750" t="s">
        <v>2045</v>
      </c>
      <c r="C750" t="s">
        <v>4206</v>
      </c>
      <c r="E750">
        <v>78272728</v>
      </c>
      <c r="F750">
        <v>27726857457</v>
      </c>
    </row>
    <row r="751" spans="1:6" x14ac:dyDescent="0.3">
      <c r="A751">
        <v>13</v>
      </c>
      <c r="B751" t="s">
        <v>2047</v>
      </c>
      <c r="C751" t="s">
        <v>214</v>
      </c>
      <c r="E751">
        <v>57035900</v>
      </c>
      <c r="F751">
        <v>27783893357</v>
      </c>
    </row>
    <row r="752" spans="1:6" x14ac:dyDescent="0.3">
      <c r="A752">
        <v>13</v>
      </c>
      <c r="B752" t="s">
        <v>7185</v>
      </c>
      <c r="C752" t="s">
        <v>3890</v>
      </c>
      <c r="E752">
        <v>71440158</v>
      </c>
      <c r="F752">
        <v>27855333515</v>
      </c>
    </row>
    <row r="753" spans="1:6" x14ac:dyDescent="0.3">
      <c r="A753">
        <v>13</v>
      </c>
      <c r="B753" t="s">
        <v>2047</v>
      </c>
      <c r="C753" t="s">
        <v>4207</v>
      </c>
      <c r="E753">
        <v>103000000</v>
      </c>
      <c r="F753">
        <v>27958333515</v>
      </c>
    </row>
    <row r="754" spans="1:6" x14ac:dyDescent="0.3">
      <c r="A754">
        <v>13</v>
      </c>
      <c r="B754" t="s">
        <v>2038</v>
      </c>
      <c r="C754" t="s">
        <v>4208</v>
      </c>
      <c r="E754">
        <v>40909090</v>
      </c>
      <c r="F754">
        <v>27999242605</v>
      </c>
    </row>
    <row r="755" spans="1:6" x14ac:dyDescent="0.3">
      <c r="A755">
        <v>13</v>
      </c>
      <c r="B755" t="s">
        <v>3627</v>
      </c>
      <c r="C755" t="s">
        <v>4209</v>
      </c>
      <c r="E755">
        <v>132000000</v>
      </c>
      <c r="F755">
        <v>28131242605</v>
      </c>
    </row>
    <row r="756" spans="1:6" x14ac:dyDescent="0.3">
      <c r="A756">
        <v>13</v>
      </c>
      <c r="B756" t="s">
        <v>2045</v>
      </c>
      <c r="C756" t="s">
        <v>4210</v>
      </c>
      <c r="E756">
        <v>78272728</v>
      </c>
      <c r="F756">
        <v>28209515333</v>
      </c>
    </row>
    <row r="757" spans="1:6" x14ac:dyDescent="0.3">
      <c r="A757">
        <v>13</v>
      </c>
      <c r="B757" t="s">
        <v>2045</v>
      </c>
      <c r="C757" t="s">
        <v>4210</v>
      </c>
      <c r="E757">
        <v>-78272728</v>
      </c>
      <c r="F757">
        <v>28131242605</v>
      </c>
    </row>
    <row r="758" spans="1:6" x14ac:dyDescent="0.3">
      <c r="A758">
        <v>13</v>
      </c>
      <c r="B758" t="s">
        <v>2034</v>
      </c>
      <c r="C758" t="s">
        <v>4211</v>
      </c>
      <c r="E758">
        <v>41272728</v>
      </c>
      <c r="F758">
        <v>28172515333</v>
      </c>
    </row>
    <row r="759" spans="1:6" x14ac:dyDescent="0.3">
      <c r="A759">
        <v>13</v>
      </c>
      <c r="B759" t="s">
        <v>2028</v>
      </c>
      <c r="C759" t="s">
        <v>4193</v>
      </c>
      <c r="E759">
        <v>10000000</v>
      </c>
      <c r="F759">
        <v>28182515333</v>
      </c>
    </row>
    <row r="760" spans="1:6" x14ac:dyDescent="0.3">
      <c r="A760">
        <v>13</v>
      </c>
      <c r="B760" t="s">
        <v>2041</v>
      </c>
      <c r="C760" t="s">
        <v>4212</v>
      </c>
      <c r="E760">
        <v>51500000</v>
      </c>
      <c r="F760">
        <v>28234015333</v>
      </c>
    </row>
    <row r="761" spans="1:6" x14ac:dyDescent="0.3">
      <c r="A761">
        <v>13</v>
      </c>
      <c r="B761" t="s">
        <v>2028</v>
      </c>
      <c r="C761" t="s">
        <v>4213</v>
      </c>
      <c r="E761">
        <v>14000000</v>
      </c>
      <c r="F761">
        <v>28248015333</v>
      </c>
    </row>
    <row r="762" spans="1:6" x14ac:dyDescent="0.3">
      <c r="A762">
        <v>13</v>
      </c>
      <c r="B762" t="s">
        <v>2037</v>
      </c>
      <c r="C762" t="s">
        <v>4214</v>
      </c>
      <c r="E762">
        <v>38181818</v>
      </c>
      <c r="F762">
        <v>28286197151</v>
      </c>
    </row>
    <row r="763" spans="1:6" x14ac:dyDescent="0.3">
      <c r="A763">
        <v>13</v>
      </c>
      <c r="B763" t="s">
        <v>2039</v>
      </c>
      <c r="C763" t="s">
        <v>4190</v>
      </c>
      <c r="E763">
        <v>39454545</v>
      </c>
      <c r="F763">
        <v>28325651696</v>
      </c>
    </row>
    <row r="764" spans="1:6" x14ac:dyDescent="0.3">
      <c r="A764">
        <v>13</v>
      </c>
      <c r="B764" t="s">
        <v>2028</v>
      </c>
      <c r="C764" t="s">
        <v>4213</v>
      </c>
      <c r="E764">
        <v>-14000000</v>
      </c>
      <c r="F764">
        <v>28311651696</v>
      </c>
    </row>
    <row r="765" spans="1:6" x14ac:dyDescent="0.3">
      <c r="A765">
        <v>13</v>
      </c>
      <c r="B765" t="s">
        <v>2038</v>
      </c>
      <c r="C765" t="s">
        <v>4215</v>
      </c>
      <c r="E765">
        <v>40000000</v>
      </c>
      <c r="F765">
        <v>28351651696</v>
      </c>
    </row>
    <row r="766" spans="1:6" x14ac:dyDescent="0.3">
      <c r="A766">
        <v>13</v>
      </c>
      <c r="B766" t="s">
        <v>3883</v>
      </c>
      <c r="C766" t="s">
        <v>4022</v>
      </c>
      <c r="E766">
        <v>3600000</v>
      </c>
      <c r="F766">
        <v>28355251696</v>
      </c>
    </row>
    <row r="767" spans="1:6" x14ac:dyDescent="0.3">
      <c r="A767">
        <v>13</v>
      </c>
      <c r="B767" t="s">
        <v>4216</v>
      </c>
      <c r="C767" t="s">
        <v>3597</v>
      </c>
      <c r="E767">
        <v>20627000</v>
      </c>
      <c r="F767">
        <v>28375878696</v>
      </c>
    </row>
    <row r="768" spans="1:6" x14ac:dyDescent="0.3">
      <c r="A768">
        <v>13</v>
      </c>
      <c r="B768" t="s">
        <v>3650</v>
      </c>
      <c r="C768" t="s">
        <v>3597</v>
      </c>
      <c r="E768">
        <v>19000000</v>
      </c>
      <c r="F768">
        <v>28394878696</v>
      </c>
    </row>
    <row r="769" spans="1:6" x14ac:dyDescent="0.3">
      <c r="A769">
        <v>13</v>
      </c>
      <c r="B769" t="s">
        <v>2037</v>
      </c>
      <c r="C769" t="s">
        <v>4217</v>
      </c>
      <c r="E769">
        <v>38070000</v>
      </c>
      <c r="F769">
        <v>28432948696</v>
      </c>
    </row>
    <row r="770" spans="1:6" x14ac:dyDescent="0.3">
      <c r="A770">
        <v>13</v>
      </c>
      <c r="B770" t="s">
        <v>2038</v>
      </c>
      <c r="C770" t="s">
        <v>4218</v>
      </c>
      <c r="E770">
        <v>39500000</v>
      </c>
      <c r="F770">
        <v>28472448696</v>
      </c>
    </row>
    <row r="771" spans="1:6" x14ac:dyDescent="0.3">
      <c r="A771">
        <v>13</v>
      </c>
      <c r="B771" t="s">
        <v>2041</v>
      </c>
      <c r="C771" t="s">
        <v>4219</v>
      </c>
      <c r="E771">
        <v>72000000</v>
      </c>
      <c r="F771">
        <v>28544448696</v>
      </c>
    </row>
    <row r="772" spans="1:6" x14ac:dyDescent="0.3">
      <c r="A772">
        <v>13</v>
      </c>
      <c r="B772" t="s">
        <v>2034</v>
      </c>
      <c r="C772" t="s">
        <v>4220</v>
      </c>
      <c r="E772">
        <v>41272728</v>
      </c>
      <c r="F772">
        <v>28585721424</v>
      </c>
    </row>
    <row r="773" spans="1:6" x14ac:dyDescent="0.3">
      <c r="A773">
        <v>13</v>
      </c>
      <c r="B773" t="s">
        <v>2034</v>
      </c>
      <c r="C773" t="s">
        <v>4221</v>
      </c>
      <c r="E773">
        <v>41272728</v>
      </c>
      <c r="F773">
        <v>28626994152</v>
      </c>
    </row>
    <row r="774" spans="1:6" x14ac:dyDescent="0.3">
      <c r="A774">
        <v>13</v>
      </c>
      <c r="B774" t="s">
        <v>2045</v>
      </c>
      <c r="C774" t="s">
        <v>4210</v>
      </c>
      <c r="E774">
        <v>78272728</v>
      </c>
      <c r="F774">
        <v>28705266880</v>
      </c>
    </row>
    <row r="775" spans="1:6" x14ac:dyDescent="0.3">
      <c r="A775">
        <v>13</v>
      </c>
      <c r="B775" t="s">
        <v>2038</v>
      </c>
      <c r="C775" t="s">
        <v>4222</v>
      </c>
      <c r="E775">
        <v>40500000</v>
      </c>
      <c r="F775">
        <v>28745766880</v>
      </c>
    </row>
    <row r="776" spans="1:6" x14ac:dyDescent="0.3">
      <c r="A776">
        <v>13</v>
      </c>
      <c r="B776" t="s">
        <v>2027</v>
      </c>
      <c r="C776" t="s">
        <v>4223</v>
      </c>
      <c r="E776">
        <v>14580909</v>
      </c>
      <c r="F776">
        <v>28760347789</v>
      </c>
    </row>
    <row r="777" spans="1:6" x14ac:dyDescent="0.3">
      <c r="A777">
        <v>13</v>
      </c>
      <c r="B777" t="s">
        <v>2038</v>
      </c>
      <c r="C777" t="s">
        <v>4224</v>
      </c>
      <c r="E777">
        <v>40909091</v>
      </c>
      <c r="F777">
        <v>28801256880</v>
      </c>
    </row>
    <row r="778" spans="1:6" x14ac:dyDescent="0.3">
      <c r="A778">
        <v>13</v>
      </c>
      <c r="B778" t="s">
        <v>3894</v>
      </c>
      <c r="C778" t="s">
        <v>4220</v>
      </c>
      <c r="E778">
        <v>2350000</v>
      </c>
      <c r="F778">
        <v>28803606880</v>
      </c>
    </row>
    <row r="779" spans="1:6" x14ac:dyDescent="0.3">
      <c r="A779">
        <v>13</v>
      </c>
      <c r="B779" t="s">
        <v>2038</v>
      </c>
      <c r="C779" t="s">
        <v>4225</v>
      </c>
      <c r="E779">
        <v>40600000</v>
      </c>
      <c r="F779">
        <v>28844206880</v>
      </c>
    </row>
    <row r="780" spans="1:6" x14ac:dyDescent="0.3">
      <c r="A780">
        <v>13</v>
      </c>
      <c r="B780" t="s">
        <v>2038</v>
      </c>
      <c r="C780" t="s">
        <v>4024</v>
      </c>
      <c r="E780">
        <v>40454545</v>
      </c>
      <c r="F780">
        <v>28884661425</v>
      </c>
    </row>
    <row r="781" spans="1:6" x14ac:dyDescent="0.3">
      <c r="A781">
        <v>13</v>
      </c>
      <c r="B781" t="s">
        <v>2041</v>
      </c>
      <c r="C781" t="s">
        <v>214</v>
      </c>
      <c r="E781">
        <v>41760200</v>
      </c>
      <c r="F781">
        <v>28926421625</v>
      </c>
    </row>
    <row r="782" spans="1:6" x14ac:dyDescent="0.3">
      <c r="A782">
        <v>13</v>
      </c>
      <c r="B782" t="s">
        <v>2027</v>
      </c>
      <c r="C782" t="s">
        <v>4226</v>
      </c>
      <c r="E782">
        <v>12727272</v>
      </c>
      <c r="F782">
        <v>28939148897</v>
      </c>
    </row>
    <row r="783" spans="1:6" x14ac:dyDescent="0.3">
      <c r="A783">
        <v>13</v>
      </c>
      <c r="B783" t="s">
        <v>4227</v>
      </c>
      <c r="C783" t="s">
        <v>4228</v>
      </c>
      <c r="E783">
        <v>9730000</v>
      </c>
      <c r="F783">
        <v>28948878897</v>
      </c>
    </row>
    <row r="784" spans="1:6" x14ac:dyDescent="0.3">
      <c r="A784">
        <v>13</v>
      </c>
      <c r="B784" t="s">
        <v>2028</v>
      </c>
      <c r="C784" t="s">
        <v>4229</v>
      </c>
      <c r="E784">
        <v>13400000</v>
      </c>
      <c r="F784">
        <v>28962278897</v>
      </c>
    </row>
    <row r="785" spans="1:6" x14ac:dyDescent="0.3">
      <c r="A785">
        <v>13</v>
      </c>
      <c r="B785" t="s">
        <v>2028</v>
      </c>
      <c r="C785" t="s">
        <v>4230</v>
      </c>
      <c r="E785">
        <v>18000000</v>
      </c>
      <c r="F785">
        <v>28980278897</v>
      </c>
    </row>
    <row r="786" spans="1:6" x14ac:dyDescent="0.3">
      <c r="A786">
        <v>13</v>
      </c>
      <c r="B786" t="s">
        <v>4231</v>
      </c>
      <c r="C786" t="s">
        <v>3597</v>
      </c>
      <c r="E786">
        <v>12650000</v>
      </c>
      <c r="F786">
        <v>28992928897</v>
      </c>
    </row>
    <row r="787" spans="1:6" x14ac:dyDescent="0.3">
      <c r="A787">
        <v>13</v>
      </c>
      <c r="B787" t="s">
        <v>2032</v>
      </c>
      <c r="C787" t="s">
        <v>4232</v>
      </c>
      <c r="E787">
        <v>35000000</v>
      </c>
      <c r="F787">
        <v>29027928897</v>
      </c>
    </row>
    <row r="788" spans="1:6" x14ac:dyDescent="0.3">
      <c r="A788">
        <v>13</v>
      </c>
      <c r="B788" t="s">
        <v>2027</v>
      </c>
      <c r="C788" t="s">
        <v>4233</v>
      </c>
      <c r="E788">
        <v>14000000</v>
      </c>
      <c r="F788">
        <v>29041928897</v>
      </c>
    </row>
    <row r="789" spans="1:6" x14ac:dyDescent="0.3">
      <c r="A789">
        <v>13</v>
      </c>
      <c r="B789" t="s">
        <v>2820</v>
      </c>
      <c r="C789" t="s">
        <v>4234</v>
      </c>
      <c r="E789">
        <v>63181819</v>
      </c>
      <c r="F789">
        <v>29105110716</v>
      </c>
    </row>
    <row r="790" spans="1:6" x14ac:dyDescent="0.3">
      <c r="A790">
        <v>13</v>
      </c>
      <c r="B790" t="s">
        <v>3937</v>
      </c>
      <c r="C790" t="s">
        <v>4175</v>
      </c>
      <c r="E790">
        <v>235397120</v>
      </c>
      <c r="F790">
        <v>29340507836</v>
      </c>
    </row>
    <row r="791" spans="1:6" x14ac:dyDescent="0.3">
      <c r="A791">
        <v>13</v>
      </c>
      <c r="B791" t="s">
        <v>2028</v>
      </c>
      <c r="C791" t="s">
        <v>4213</v>
      </c>
      <c r="E791">
        <v>14000000</v>
      </c>
      <c r="F791">
        <v>29354507836</v>
      </c>
    </row>
    <row r="792" spans="1:6" x14ac:dyDescent="0.3">
      <c r="A792">
        <v>13</v>
      </c>
      <c r="B792" t="s">
        <v>2032</v>
      </c>
      <c r="C792" t="s">
        <v>4235</v>
      </c>
      <c r="E792">
        <v>34500000</v>
      </c>
      <c r="F792">
        <v>29389007836</v>
      </c>
    </row>
    <row r="793" spans="1:6" x14ac:dyDescent="0.3">
      <c r="A793">
        <v>13</v>
      </c>
      <c r="B793" t="s">
        <v>2032</v>
      </c>
      <c r="C793" t="s">
        <v>4235</v>
      </c>
      <c r="E793">
        <v>34500000</v>
      </c>
      <c r="F793">
        <v>29423507836</v>
      </c>
    </row>
    <row r="794" spans="1:6" x14ac:dyDescent="0.3">
      <c r="A794">
        <v>13</v>
      </c>
      <c r="B794" t="s">
        <v>3883</v>
      </c>
      <c r="C794" t="s">
        <v>4235</v>
      </c>
      <c r="E794">
        <v>3600000</v>
      </c>
      <c r="F794">
        <v>29427107836</v>
      </c>
    </row>
    <row r="795" spans="1:6" x14ac:dyDescent="0.3">
      <c r="A795">
        <v>13</v>
      </c>
      <c r="B795" t="s">
        <v>2038</v>
      </c>
      <c r="C795" t="s">
        <v>4236</v>
      </c>
      <c r="E795">
        <v>39500000</v>
      </c>
      <c r="F795">
        <v>29466607836</v>
      </c>
    </row>
    <row r="796" spans="1:6" x14ac:dyDescent="0.3">
      <c r="A796">
        <v>13</v>
      </c>
      <c r="B796" t="s">
        <v>2038</v>
      </c>
      <c r="C796" t="s">
        <v>4237</v>
      </c>
      <c r="E796">
        <v>39090909</v>
      </c>
      <c r="F796">
        <v>29505698745</v>
      </c>
    </row>
    <row r="797" spans="1:6" x14ac:dyDescent="0.3">
      <c r="A797">
        <v>13</v>
      </c>
      <c r="B797" t="s">
        <v>2041</v>
      </c>
      <c r="C797" t="s">
        <v>4238</v>
      </c>
      <c r="E797">
        <v>72727273</v>
      </c>
      <c r="F797">
        <v>29578426018</v>
      </c>
    </row>
    <row r="798" spans="1:6" x14ac:dyDescent="0.3">
      <c r="A798">
        <v>13</v>
      </c>
      <c r="B798" t="s">
        <v>2043</v>
      </c>
      <c r="C798" t="s">
        <v>4239</v>
      </c>
      <c r="E798">
        <v>53181818</v>
      </c>
      <c r="F798">
        <v>29631607836</v>
      </c>
    </row>
    <row r="799" spans="1:6" x14ac:dyDescent="0.3">
      <c r="A799">
        <v>13</v>
      </c>
      <c r="B799" t="s">
        <v>2039</v>
      </c>
      <c r="C799" t="s">
        <v>4240</v>
      </c>
      <c r="E799">
        <v>43181818</v>
      </c>
      <c r="F799">
        <v>29674789654</v>
      </c>
    </row>
    <row r="800" spans="1:6" x14ac:dyDescent="0.3">
      <c r="A800">
        <v>13</v>
      </c>
      <c r="B800" t="s">
        <v>4070</v>
      </c>
      <c r="C800" t="s">
        <v>4241</v>
      </c>
      <c r="E800">
        <v>10260000</v>
      </c>
      <c r="F800">
        <v>29685049654</v>
      </c>
    </row>
    <row r="801" spans="1:6" x14ac:dyDescent="0.3">
      <c r="A801">
        <v>13</v>
      </c>
      <c r="B801" t="s">
        <v>2041</v>
      </c>
      <c r="C801" t="s">
        <v>4242</v>
      </c>
      <c r="E801">
        <v>48000000</v>
      </c>
      <c r="F801">
        <v>29733049654</v>
      </c>
    </row>
    <row r="802" spans="1:6" x14ac:dyDescent="0.3">
      <c r="A802">
        <v>13</v>
      </c>
      <c r="B802" t="s">
        <v>2043</v>
      </c>
      <c r="C802" t="s">
        <v>4243</v>
      </c>
      <c r="E802">
        <v>52000000</v>
      </c>
      <c r="F802">
        <v>29785049654</v>
      </c>
    </row>
    <row r="803" spans="1:6" x14ac:dyDescent="0.3">
      <c r="A803">
        <v>13</v>
      </c>
      <c r="B803" t="s">
        <v>2038</v>
      </c>
      <c r="C803" t="s">
        <v>3816</v>
      </c>
      <c r="E803">
        <v>40500000</v>
      </c>
      <c r="F803">
        <v>29825549654</v>
      </c>
    </row>
    <row r="804" spans="1:6" x14ac:dyDescent="0.3">
      <c r="A804">
        <v>13</v>
      </c>
      <c r="B804" t="s">
        <v>2041</v>
      </c>
      <c r="C804" t="s">
        <v>4241</v>
      </c>
      <c r="E804">
        <v>72727273</v>
      </c>
      <c r="F804">
        <v>29898276927</v>
      </c>
    </row>
    <row r="805" spans="1:6" x14ac:dyDescent="0.3">
      <c r="A805">
        <v>13</v>
      </c>
      <c r="B805" t="s">
        <v>4244</v>
      </c>
      <c r="C805" t="s">
        <v>3722</v>
      </c>
      <c r="E805">
        <v>25150000</v>
      </c>
      <c r="F805">
        <v>29923426927</v>
      </c>
    </row>
    <row r="806" spans="1:6" x14ac:dyDescent="0.3">
      <c r="A806">
        <v>13</v>
      </c>
      <c r="B806" t="s">
        <v>2038</v>
      </c>
      <c r="C806" t="s">
        <v>4245</v>
      </c>
      <c r="E806">
        <v>40909091</v>
      </c>
      <c r="F806">
        <v>29964336018</v>
      </c>
    </row>
    <row r="807" spans="1:6" x14ac:dyDescent="0.3">
      <c r="A807">
        <v>13</v>
      </c>
      <c r="B807" t="s">
        <v>2038</v>
      </c>
      <c r="C807" t="s">
        <v>4246</v>
      </c>
      <c r="E807">
        <v>40909091</v>
      </c>
      <c r="F807">
        <v>30005245109</v>
      </c>
    </row>
    <row r="808" spans="1:6" x14ac:dyDescent="0.3">
      <c r="A808">
        <v>13</v>
      </c>
      <c r="B808" t="s">
        <v>2039</v>
      </c>
      <c r="C808" t="s">
        <v>4247</v>
      </c>
      <c r="E808">
        <v>43181818</v>
      </c>
      <c r="F808">
        <v>30048426927</v>
      </c>
    </row>
    <row r="809" spans="1:6" x14ac:dyDescent="0.3">
      <c r="A809">
        <v>13</v>
      </c>
      <c r="B809" t="s">
        <v>2041</v>
      </c>
      <c r="C809" t="s">
        <v>4248</v>
      </c>
      <c r="E809">
        <v>50000000</v>
      </c>
      <c r="F809">
        <v>30098426927</v>
      </c>
    </row>
    <row r="810" spans="1:6" x14ac:dyDescent="0.3">
      <c r="A810">
        <v>13</v>
      </c>
      <c r="B810" t="s">
        <v>4249</v>
      </c>
      <c r="C810" t="s">
        <v>3597</v>
      </c>
      <c r="E810">
        <v>880000</v>
      </c>
      <c r="F810">
        <v>30099306927</v>
      </c>
    </row>
    <row r="811" spans="1:6" x14ac:dyDescent="0.3">
      <c r="A811">
        <v>13</v>
      </c>
      <c r="B811" t="s">
        <v>2032</v>
      </c>
      <c r="C811" t="s">
        <v>4250</v>
      </c>
      <c r="E811">
        <v>39090909</v>
      </c>
      <c r="F811">
        <v>30138397836</v>
      </c>
    </row>
    <row r="812" spans="1:6" x14ac:dyDescent="0.3">
      <c r="A812">
        <v>13</v>
      </c>
      <c r="B812" t="s">
        <v>2026</v>
      </c>
      <c r="C812" t="s">
        <v>4251</v>
      </c>
      <c r="E812">
        <v>13000000</v>
      </c>
      <c r="F812">
        <v>30151397836</v>
      </c>
    </row>
    <row r="813" spans="1:6" x14ac:dyDescent="0.3">
      <c r="A813">
        <v>13</v>
      </c>
      <c r="B813" t="s">
        <v>3666</v>
      </c>
      <c r="C813" t="s">
        <v>4252</v>
      </c>
      <c r="E813">
        <v>61000000</v>
      </c>
      <c r="F813">
        <v>30212397836</v>
      </c>
    </row>
    <row r="814" spans="1:6" x14ac:dyDescent="0.3">
      <c r="A814">
        <v>13</v>
      </c>
      <c r="B814" t="s">
        <v>4253</v>
      </c>
      <c r="C814" t="s">
        <v>4254</v>
      </c>
      <c r="E814">
        <v>2151780</v>
      </c>
      <c r="F814">
        <v>30214549616</v>
      </c>
    </row>
    <row r="815" spans="1:6" x14ac:dyDescent="0.3">
      <c r="A815">
        <v>13</v>
      </c>
      <c r="B815" t="s">
        <v>2038</v>
      </c>
      <c r="C815" t="s">
        <v>3816</v>
      </c>
      <c r="E815">
        <v>40500000</v>
      </c>
      <c r="F815">
        <v>30255049616</v>
      </c>
    </row>
    <row r="816" spans="1:6" x14ac:dyDescent="0.3">
      <c r="A816">
        <v>13</v>
      </c>
      <c r="B816" t="s">
        <v>2041</v>
      </c>
      <c r="C816" t="s">
        <v>4255</v>
      </c>
      <c r="E816">
        <v>72727273</v>
      </c>
      <c r="F816">
        <v>30327776889</v>
      </c>
    </row>
    <row r="817" spans="1:6" x14ac:dyDescent="0.3">
      <c r="A817">
        <v>13</v>
      </c>
      <c r="B817" t="s">
        <v>2041</v>
      </c>
      <c r="C817" t="s">
        <v>4256</v>
      </c>
      <c r="E817">
        <v>107087882</v>
      </c>
      <c r="F817">
        <v>30434864771</v>
      </c>
    </row>
    <row r="818" spans="1:6" x14ac:dyDescent="0.3">
      <c r="A818">
        <v>13</v>
      </c>
      <c r="B818" t="s">
        <v>3627</v>
      </c>
      <c r="C818" t="s">
        <v>4257</v>
      </c>
      <c r="E818">
        <v>133000000</v>
      </c>
      <c r="F818">
        <v>30567864771</v>
      </c>
    </row>
    <row r="819" spans="1:6" x14ac:dyDescent="0.3">
      <c r="A819">
        <v>13</v>
      </c>
      <c r="B819" t="s">
        <v>4070</v>
      </c>
      <c r="C819" t="s">
        <v>4255</v>
      </c>
      <c r="E819">
        <v>9430000</v>
      </c>
      <c r="F819">
        <v>30577294771</v>
      </c>
    </row>
    <row r="820" spans="1:6" x14ac:dyDescent="0.3">
      <c r="A820">
        <v>13</v>
      </c>
      <c r="B820" t="s">
        <v>2038</v>
      </c>
      <c r="C820" t="s">
        <v>4258</v>
      </c>
      <c r="E820">
        <v>40909090</v>
      </c>
      <c r="F820">
        <v>30618203861</v>
      </c>
    </row>
    <row r="821" spans="1:6" x14ac:dyDescent="0.3">
      <c r="A821">
        <v>13</v>
      </c>
      <c r="B821" t="s">
        <v>2039</v>
      </c>
      <c r="C821" t="s">
        <v>3742</v>
      </c>
      <c r="E821">
        <v>44750000</v>
      </c>
      <c r="F821">
        <v>30662953861</v>
      </c>
    </row>
    <row r="822" spans="1:6" x14ac:dyDescent="0.3">
      <c r="A822">
        <v>13</v>
      </c>
      <c r="B822" t="s">
        <v>2027</v>
      </c>
      <c r="C822" t="s">
        <v>4072</v>
      </c>
      <c r="E822">
        <v>16399091</v>
      </c>
      <c r="F822">
        <v>30679352952</v>
      </c>
    </row>
    <row r="823" spans="1:6" x14ac:dyDescent="0.3">
      <c r="A823">
        <v>13</v>
      </c>
      <c r="B823" t="s">
        <v>2027</v>
      </c>
      <c r="C823" t="s">
        <v>3808</v>
      </c>
      <c r="E823">
        <v>14035455</v>
      </c>
      <c r="F823">
        <v>30693388407</v>
      </c>
    </row>
    <row r="824" spans="1:6" x14ac:dyDescent="0.3">
      <c r="A824">
        <v>13</v>
      </c>
      <c r="B824" t="s">
        <v>2820</v>
      </c>
      <c r="C824" t="s">
        <v>4259</v>
      </c>
      <c r="E824">
        <v>29920000</v>
      </c>
      <c r="F824">
        <v>30723308407</v>
      </c>
    </row>
    <row r="825" spans="1:6" x14ac:dyDescent="0.3">
      <c r="A825">
        <v>13</v>
      </c>
      <c r="B825" t="s">
        <v>3670</v>
      </c>
      <c r="C825" t="s">
        <v>3597</v>
      </c>
      <c r="E825">
        <v>1920000</v>
      </c>
      <c r="F825">
        <v>30725228407</v>
      </c>
    </row>
    <row r="826" spans="1:6" x14ac:dyDescent="0.3">
      <c r="A826">
        <v>13</v>
      </c>
      <c r="B826" t="s">
        <v>2038</v>
      </c>
      <c r="C826" t="s">
        <v>4260</v>
      </c>
      <c r="E826">
        <v>41363636</v>
      </c>
      <c r="F826">
        <v>30766592043</v>
      </c>
    </row>
    <row r="827" spans="1:6" x14ac:dyDescent="0.3">
      <c r="A827">
        <v>13</v>
      </c>
      <c r="B827" t="s">
        <v>2041</v>
      </c>
      <c r="C827" t="s">
        <v>4261</v>
      </c>
      <c r="E827">
        <v>47800000</v>
      </c>
      <c r="F827">
        <v>30814392043</v>
      </c>
    </row>
    <row r="828" spans="1:6" x14ac:dyDescent="0.3">
      <c r="A828">
        <v>13</v>
      </c>
      <c r="B828" t="s">
        <v>2027</v>
      </c>
      <c r="C828" t="s">
        <v>4262</v>
      </c>
      <c r="E828">
        <v>12727273</v>
      </c>
      <c r="F828">
        <v>30827119316</v>
      </c>
    </row>
    <row r="829" spans="1:6" x14ac:dyDescent="0.3">
      <c r="A829">
        <v>13</v>
      </c>
      <c r="B829" t="s">
        <v>2038</v>
      </c>
      <c r="C829" t="s">
        <v>4263</v>
      </c>
      <c r="E829">
        <v>40550000</v>
      </c>
      <c r="F829">
        <v>30867669316</v>
      </c>
    </row>
    <row r="830" spans="1:6" x14ac:dyDescent="0.3">
      <c r="A830">
        <v>13</v>
      </c>
      <c r="B830" t="s">
        <v>2038</v>
      </c>
      <c r="C830" t="s">
        <v>4263</v>
      </c>
      <c r="E830">
        <v>-40550000</v>
      </c>
      <c r="F830">
        <v>30827119316</v>
      </c>
    </row>
    <row r="831" spans="1:6" x14ac:dyDescent="0.3">
      <c r="A831">
        <v>13</v>
      </c>
      <c r="B831" t="s">
        <v>2038</v>
      </c>
      <c r="C831" t="s">
        <v>3808</v>
      </c>
      <c r="E831">
        <v>40000000</v>
      </c>
      <c r="F831">
        <v>30867119316</v>
      </c>
    </row>
    <row r="832" spans="1:6" x14ac:dyDescent="0.3">
      <c r="A832">
        <v>13</v>
      </c>
      <c r="B832" t="s">
        <v>2028</v>
      </c>
      <c r="C832" t="s">
        <v>3879</v>
      </c>
      <c r="E832">
        <v>14000000</v>
      </c>
      <c r="F832">
        <v>30881119316</v>
      </c>
    </row>
    <row r="833" spans="1:6" x14ac:dyDescent="0.3">
      <c r="A833">
        <v>13</v>
      </c>
      <c r="B833" t="s">
        <v>2032</v>
      </c>
      <c r="C833" t="s">
        <v>4264</v>
      </c>
      <c r="E833">
        <v>34818182</v>
      </c>
      <c r="F833">
        <v>30915937498</v>
      </c>
    </row>
    <row r="834" spans="1:6" x14ac:dyDescent="0.3">
      <c r="A834">
        <v>13</v>
      </c>
      <c r="B834" t="s">
        <v>2038</v>
      </c>
      <c r="C834" t="s">
        <v>4265</v>
      </c>
      <c r="E834">
        <v>40909090</v>
      </c>
      <c r="F834">
        <v>30956846588</v>
      </c>
    </row>
    <row r="835" spans="1:6" x14ac:dyDescent="0.3">
      <c r="A835">
        <v>13</v>
      </c>
      <c r="B835" t="s">
        <v>2038</v>
      </c>
      <c r="C835" t="s">
        <v>4266</v>
      </c>
      <c r="E835">
        <v>40700000</v>
      </c>
      <c r="F835">
        <v>30997546588</v>
      </c>
    </row>
    <row r="836" spans="1:6" x14ac:dyDescent="0.3">
      <c r="A836">
        <v>13</v>
      </c>
      <c r="B836" t="s">
        <v>2041</v>
      </c>
      <c r="C836" t="s">
        <v>4267</v>
      </c>
      <c r="E836">
        <v>48000000</v>
      </c>
      <c r="F836">
        <v>31045546588</v>
      </c>
    </row>
    <row r="837" spans="1:6" x14ac:dyDescent="0.3">
      <c r="A837">
        <v>13</v>
      </c>
      <c r="B837" t="s">
        <v>2032</v>
      </c>
      <c r="C837" t="s">
        <v>4268</v>
      </c>
      <c r="E837">
        <v>32750000</v>
      </c>
      <c r="F837">
        <v>31078296588</v>
      </c>
    </row>
    <row r="838" spans="1:6" x14ac:dyDescent="0.3">
      <c r="A838">
        <v>13</v>
      </c>
      <c r="B838" t="s">
        <v>2032</v>
      </c>
      <c r="C838" t="s">
        <v>4269</v>
      </c>
      <c r="E838">
        <v>33000000</v>
      </c>
      <c r="F838">
        <v>31111296588</v>
      </c>
    </row>
    <row r="839" spans="1:6" x14ac:dyDescent="0.3">
      <c r="A839">
        <v>13</v>
      </c>
      <c r="B839" t="s">
        <v>2032</v>
      </c>
      <c r="C839" t="s">
        <v>4268</v>
      </c>
      <c r="E839">
        <v>-32750000</v>
      </c>
      <c r="F839">
        <v>31078546588</v>
      </c>
    </row>
    <row r="840" spans="1:6" x14ac:dyDescent="0.3">
      <c r="A840">
        <v>13</v>
      </c>
      <c r="B840" t="s">
        <v>2041</v>
      </c>
      <c r="C840" t="s">
        <v>4270</v>
      </c>
      <c r="E840">
        <v>150608301</v>
      </c>
      <c r="F840">
        <v>31229154889</v>
      </c>
    </row>
    <row r="841" spans="1:6" x14ac:dyDescent="0.3">
      <c r="A841">
        <v>13</v>
      </c>
      <c r="B841" t="s">
        <v>2028</v>
      </c>
      <c r="C841" t="s">
        <v>4271</v>
      </c>
      <c r="E841">
        <v>45110000</v>
      </c>
      <c r="F841">
        <v>31274264889</v>
      </c>
    </row>
    <row r="842" spans="1:6" x14ac:dyDescent="0.3">
      <c r="A842">
        <v>13</v>
      </c>
      <c r="B842" t="s">
        <v>2028</v>
      </c>
      <c r="C842" t="s">
        <v>4271</v>
      </c>
      <c r="E842">
        <v>45110000</v>
      </c>
      <c r="F842">
        <v>31319374889</v>
      </c>
    </row>
    <row r="843" spans="1:6" x14ac:dyDescent="0.3">
      <c r="A843">
        <v>13</v>
      </c>
      <c r="B843" t="s">
        <v>2028</v>
      </c>
      <c r="C843" t="s">
        <v>4271</v>
      </c>
      <c r="E843">
        <v>45110000</v>
      </c>
      <c r="F843">
        <v>31364484889</v>
      </c>
    </row>
    <row r="844" spans="1:6" x14ac:dyDescent="0.3">
      <c r="A844">
        <v>13</v>
      </c>
      <c r="B844" t="s">
        <v>2028</v>
      </c>
      <c r="C844" t="s">
        <v>4271</v>
      </c>
      <c r="E844">
        <v>45110000</v>
      </c>
      <c r="F844">
        <v>31409594889</v>
      </c>
    </row>
    <row r="845" spans="1:6" x14ac:dyDescent="0.3">
      <c r="A845">
        <v>13</v>
      </c>
      <c r="B845" t="s">
        <v>2028</v>
      </c>
      <c r="C845" t="s">
        <v>4271</v>
      </c>
      <c r="E845">
        <v>45110000</v>
      </c>
      <c r="F845">
        <v>31454704889</v>
      </c>
    </row>
    <row r="846" spans="1:6" x14ac:dyDescent="0.3">
      <c r="A846">
        <v>13</v>
      </c>
      <c r="B846" t="s">
        <v>2028</v>
      </c>
      <c r="C846" t="s">
        <v>4271</v>
      </c>
      <c r="E846">
        <v>45110000</v>
      </c>
      <c r="F846">
        <v>31499814889</v>
      </c>
    </row>
    <row r="847" spans="1:6" x14ac:dyDescent="0.3">
      <c r="A847">
        <v>13</v>
      </c>
      <c r="B847" t="s">
        <v>2041</v>
      </c>
      <c r="C847" t="s">
        <v>4272</v>
      </c>
      <c r="E847">
        <v>49454545</v>
      </c>
      <c r="F847">
        <v>31549269434</v>
      </c>
    </row>
    <row r="848" spans="1:6" x14ac:dyDescent="0.3">
      <c r="A848">
        <v>13</v>
      </c>
      <c r="B848" t="s">
        <v>2038</v>
      </c>
      <c r="C848" t="s">
        <v>4273</v>
      </c>
      <c r="E848">
        <v>39500000</v>
      </c>
      <c r="F848">
        <v>31588769434</v>
      </c>
    </row>
    <row r="849" spans="1:6" x14ac:dyDescent="0.3">
      <c r="A849">
        <v>13</v>
      </c>
      <c r="B849" t="s">
        <v>2028</v>
      </c>
      <c r="C849" t="s">
        <v>4271</v>
      </c>
      <c r="E849">
        <v>-45110000</v>
      </c>
      <c r="F849">
        <v>31543659434</v>
      </c>
    </row>
    <row r="850" spans="1:6" x14ac:dyDescent="0.3">
      <c r="A850">
        <v>13</v>
      </c>
      <c r="B850" t="s">
        <v>2028</v>
      </c>
      <c r="C850" t="s">
        <v>4271</v>
      </c>
      <c r="E850">
        <v>-45110000</v>
      </c>
      <c r="F850">
        <v>31498549434</v>
      </c>
    </row>
    <row r="851" spans="1:6" x14ac:dyDescent="0.3">
      <c r="A851">
        <v>13</v>
      </c>
      <c r="B851" t="s">
        <v>2028</v>
      </c>
      <c r="C851" t="s">
        <v>4271</v>
      </c>
      <c r="E851">
        <v>-45110000</v>
      </c>
      <c r="F851">
        <v>31453439434</v>
      </c>
    </row>
    <row r="852" spans="1:6" x14ac:dyDescent="0.3">
      <c r="A852">
        <v>13</v>
      </c>
      <c r="B852" t="s">
        <v>2028</v>
      </c>
      <c r="C852" t="s">
        <v>4271</v>
      </c>
      <c r="E852">
        <v>-45110000</v>
      </c>
      <c r="F852">
        <v>31408329434</v>
      </c>
    </row>
    <row r="853" spans="1:6" x14ac:dyDescent="0.3">
      <c r="A853">
        <v>13</v>
      </c>
      <c r="B853" t="s">
        <v>2028</v>
      </c>
      <c r="C853" t="s">
        <v>4271</v>
      </c>
      <c r="E853">
        <v>-45110000</v>
      </c>
      <c r="F853">
        <v>31363219434</v>
      </c>
    </row>
    <row r="854" spans="1:6" x14ac:dyDescent="0.3">
      <c r="A854">
        <v>13</v>
      </c>
      <c r="B854" t="s">
        <v>2028</v>
      </c>
      <c r="C854" t="s">
        <v>4271</v>
      </c>
      <c r="E854">
        <v>-45110000</v>
      </c>
      <c r="F854">
        <v>31318109434</v>
      </c>
    </row>
    <row r="855" spans="1:6" x14ac:dyDescent="0.3">
      <c r="A855">
        <v>13</v>
      </c>
      <c r="B855" t="s">
        <v>2028</v>
      </c>
      <c r="C855" t="s">
        <v>4274</v>
      </c>
      <c r="E855">
        <v>45110000</v>
      </c>
      <c r="F855">
        <v>31363219434</v>
      </c>
    </row>
    <row r="856" spans="1:6" x14ac:dyDescent="0.3">
      <c r="A856">
        <v>13</v>
      </c>
      <c r="B856" t="s">
        <v>2028</v>
      </c>
      <c r="C856" t="s">
        <v>4274</v>
      </c>
      <c r="E856">
        <v>45110000</v>
      </c>
      <c r="F856">
        <v>31408329434</v>
      </c>
    </row>
    <row r="857" spans="1:6" x14ac:dyDescent="0.3">
      <c r="A857">
        <v>13</v>
      </c>
      <c r="B857" t="s">
        <v>2028</v>
      </c>
      <c r="C857" t="s">
        <v>4274</v>
      </c>
      <c r="E857">
        <v>45110000</v>
      </c>
      <c r="F857">
        <v>31453439434</v>
      </c>
    </row>
    <row r="858" spans="1:6" x14ac:dyDescent="0.3">
      <c r="A858">
        <v>13</v>
      </c>
      <c r="B858" t="s">
        <v>2028</v>
      </c>
      <c r="C858" t="s">
        <v>4274</v>
      </c>
      <c r="E858">
        <v>45110000</v>
      </c>
      <c r="F858">
        <v>31498549434</v>
      </c>
    </row>
    <row r="859" spans="1:6" x14ac:dyDescent="0.3">
      <c r="A859">
        <v>13</v>
      </c>
      <c r="B859" t="s">
        <v>2028</v>
      </c>
      <c r="C859" t="s">
        <v>4274</v>
      </c>
      <c r="E859">
        <v>45110000</v>
      </c>
      <c r="F859">
        <v>31543659434</v>
      </c>
    </row>
    <row r="860" spans="1:6" x14ac:dyDescent="0.3">
      <c r="A860">
        <v>13</v>
      </c>
      <c r="B860" t="s">
        <v>2028</v>
      </c>
      <c r="C860" t="s">
        <v>4274</v>
      </c>
      <c r="E860">
        <v>45110000</v>
      </c>
      <c r="F860">
        <v>31588769434</v>
      </c>
    </row>
    <row r="861" spans="1:6" x14ac:dyDescent="0.3">
      <c r="A861">
        <v>13</v>
      </c>
      <c r="B861" t="s">
        <v>2026</v>
      </c>
      <c r="C861" t="s">
        <v>4275</v>
      </c>
      <c r="E861">
        <v>13636364</v>
      </c>
      <c r="F861">
        <v>31602405798</v>
      </c>
    </row>
    <row r="862" spans="1:6" x14ac:dyDescent="0.3">
      <c r="A862">
        <v>13</v>
      </c>
      <c r="B862" t="s">
        <v>3883</v>
      </c>
      <c r="C862" t="s">
        <v>4276</v>
      </c>
      <c r="E862">
        <v>3600000</v>
      </c>
      <c r="F862">
        <v>31606005798</v>
      </c>
    </row>
    <row r="863" spans="1:6" x14ac:dyDescent="0.3">
      <c r="A863">
        <v>13</v>
      </c>
      <c r="B863" t="s">
        <v>2027</v>
      </c>
      <c r="C863" t="s">
        <v>4277</v>
      </c>
      <c r="E863">
        <v>14000000</v>
      </c>
      <c r="F863">
        <v>31620005798</v>
      </c>
    </row>
    <row r="864" spans="1:6" x14ac:dyDescent="0.3">
      <c r="A864">
        <v>13</v>
      </c>
      <c r="B864" t="s">
        <v>2039</v>
      </c>
      <c r="C864" t="s">
        <v>4278</v>
      </c>
      <c r="E864">
        <v>43636363</v>
      </c>
      <c r="F864">
        <v>31663642161</v>
      </c>
    </row>
    <row r="865" spans="1:6" x14ac:dyDescent="0.3">
      <c r="A865">
        <v>13</v>
      </c>
      <c r="B865" t="s">
        <v>2028</v>
      </c>
      <c r="C865" t="s">
        <v>4279</v>
      </c>
      <c r="E865">
        <v>13000000</v>
      </c>
      <c r="F865">
        <v>31676642161</v>
      </c>
    </row>
    <row r="866" spans="1:6" x14ac:dyDescent="0.3">
      <c r="A866">
        <v>13</v>
      </c>
      <c r="B866" t="s">
        <v>2038</v>
      </c>
      <c r="C866" t="s">
        <v>4280</v>
      </c>
      <c r="E866">
        <v>40909090</v>
      </c>
      <c r="F866">
        <v>31717551251</v>
      </c>
    </row>
    <row r="867" spans="1:6" x14ac:dyDescent="0.3">
      <c r="A867">
        <v>13</v>
      </c>
      <c r="B867" t="s">
        <v>2039</v>
      </c>
      <c r="C867" t="s">
        <v>4281</v>
      </c>
      <c r="E867">
        <v>40500000</v>
      </c>
      <c r="F867">
        <v>31758051251</v>
      </c>
    </row>
    <row r="868" spans="1:6" x14ac:dyDescent="0.3">
      <c r="A868">
        <v>13</v>
      </c>
      <c r="B868" t="s">
        <v>2032</v>
      </c>
      <c r="C868" t="s">
        <v>4282</v>
      </c>
      <c r="E868">
        <v>33000000</v>
      </c>
      <c r="F868">
        <v>31791051251</v>
      </c>
    </row>
    <row r="869" spans="1:6" x14ac:dyDescent="0.3">
      <c r="A869">
        <v>13</v>
      </c>
      <c r="B869" t="s">
        <v>2043</v>
      </c>
      <c r="C869" t="s">
        <v>4283</v>
      </c>
      <c r="E869">
        <v>50000000</v>
      </c>
      <c r="F869">
        <v>31841051251</v>
      </c>
    </row>
    <row r="870" spans="1:6" x14ac:dyDescent="0.3">
      <c r="A870">
        <v>13</v>
      </c>
      <c r="B870" t="s">
        <v>2041</v>
      </c>
      <c r="C870" t="s">
        <v>4283</v>
      </c>
      <c r="E870">
        <v>-50000000</v>
      </c>
      <c r="F870">
        <v>31791051251</v>
      </c>
    </row>
    <row r="871" spans="1:6" x14ac:dyDescent="0.3">
      <c r="A871">
        <v>13</v>
      </c>
      <c r="B871" t="s">
        <v>2027</v>
      </c>
      <c r="C871" t="s">
        <v>3658</v>
      </c>
      <c r="E871">
        <v>13400000</v>
      </c>
      <c r="F871">
        <v>31804451251</v>
      </c>
    </row>
    <row r="872" spans="1:6" x14ac:dyDescent="0.3">
      <c r="A872">
        <v>13</v>
      </c>
      <c r="B872" t="s">
        <v>2038</v>
      </c>
      <c r="C872" t="s">
        <v>4284</v>
      </c>
      <c r="E872">
        <v>38000000</v>
      </c>
      <c r="F872">
        <v>31842451251</v>
      </c>
    </row>
    <row r="873" spans="1:6" x14ac:dyDescent="0.3">
      <c r="A873">
        <v>13</v>
      </c>
      <c r="B873" t="s">
        <v>2027</v>
      </c>
      <c r="C873" t="s">
        <v>4285</v>
      </c>
      <c r="E873">
        <v>15200909</v>
      </c>
      <c r="F873">
        <v>31857652160</v>
      </c>
    </row>
    <row r="874" spans="1:6" x14ac:dyDescent="0.3">
      <c r="A874">
        <v>13</v>
      </c>
      <c r="B874" t="s">
        <v>2041</v>
      </c>
      <c r="C874" t="s">
        <v>4286</v>
      </c>
      <c r="E874">
        <v>48636363</v>
      </c>
      <c r="F874">
        <v>31906288523</v>
      </c>
    </row>
    <row r="875" spans="1:6" x14ac:dyDescent="0.3">
      <c r="A875">
        <v>13</v>
      </c>
      <c r="B875" t="s">
        <v>2032</v>
      </c>
      <c r="C875" t="s">
        <v>4287</v>
      </c>
      <c r="E875">
        <v>32727273</v>
      </c>
      <c r="F875">
        <v>31939015796</v>
      </c>
    </row>
    <row r="876" spans="1:6" x14ac:dyDescent="0.3">
      <c r="A876">
        <v>13</v>
      </c>
      <c r="B876" t="s">
        <v>2028</v>
      </c>
      <c r="C876" t="s">
        <v>4288</v>
      </c>
      <c r="E876">
        <v>15929091</v>
      </c>
      <c r="F876">
        <v>31954944887</v>
      </c>
    </row>
    <row r="877" spans="1:6" x14ac:dyDescent="0.3">
      <c r="A877">
        <v>13</v>
      </c>
      <c r="B877" t="s">
        <v>2030</v>
      </c>
      <c r="C877" t="s">
        <v>4171</v>
      </c>
      <c r="E877">
        <v>35629637</v>
      </c>
      <c r="F877">
        <v>31990574524</v>
      </c>
    </row>
    <row r="878" spans="1:6" x14ac:dyDescent="0.3">
      <c r="A878">
        <v>13</v>
      </c>
      <c r="B878" t="s">
        <v>2038</v>
      </c>
      <c r="C878" t="s">
        <v>4289</v>
      </c>
      <c r="E878">
        <v>40000000</v>
      </c>
      <c r="F878">
        <v>32030574524</v>
      </c>
    </row>
    <row r="879" spans="1:6" x14ac:dyDescent="0.3">
      <c r="A879">
        <v>13</v>
      </c>
      <c r="B879" t="s">
        <v>2030</v>
      </c>
      <c r="C879" t="s">
        <v>4171</v>
      </c>
      <c r="E879">
        <v>-35629637</v>
      </c>
      <c r="F879">
        <v>31994944887</v>
      </c>
    </row>
    <row r="880" spans="1:6" x14ac:dyDescent="0.3">
      <c r="A880">
        <v>13</v>
      </c>
      <c r="B880" t="s">
        <v>2030</v>
      </c>
      <c r="C880" t="s">
        <v>4171</v>
      </c>
      <c r="E880">
        <v>26722227</v>
      </c>
      <c r="F880">
        <v>32021667114</v>
      </c>
    </row>
    <row r="881" spans="1:6" x14ac:dyDescent="0.3">
      <c r="A881">
        <v>13</v>
      </c>
      <c r="B881" t="s">
        <v>2039</v>
      </c>
      <c r="C881" t="s">
        <v>4081</v>
      </c>
      <c r="E881">
        <v>64708336</v>
      </c>
      <c r="F881">
        <v>32086375450</v>
      </c>
    </row>
    <row r="882" spans="1:6" x14ac:dyDescent="0.3">
      <c r="A882">
        <v>13</v>
      </c>
      <c r="B882" t="s">
        <v>2038</v>
      </c>
      <c r="C882" t="s">
        <v>4290</v>
      </c>
      <c r="E882">
        <v>39000000</v>
      </c>
      <c r="F882">
        <v>32125375450</v>
      </c>
    </row>
    <row r="884" spans="1:6" x14ac:dyDescent="0.3">
      <c r="C884" t="s">
        <v>3374</v>
      </c>
      <c r="D884" t="s">
        <v>3375</v>
      </c>
      <c r="E884" t="s">
        <v>3376</v>
      </c>
    </row>
    <row r="885" spans="1:6" x14ac:dyDescent="0.3">
      <c r="B885" t="s">
        <v>2037</v>
      </c>
      <c r="E885" s="1042">
        <v>4865982374</v>
      </c>
    </row>
    <row r="886" spans="1:6" x14ac:dyDescent="0.3">
      <c r="B886" t="s">
        <v>2039</v>
      </c>
      <c r="E886" s="1042">
        <v>3364552525</v>
      </c>
    </row>
    <row r="887" spans="1:6" x14ac:dyDescent="0.3">
      <c r="B887" t="s">
        <v>2041</v>
      </c>
      <c r="E887" s="1042">
        <v>3352077865</v>
      </c>
    </row>
    <row r="888" spans="1:6" x14ac:dyDescent="0.3">
      <c r="B888" t="s">
        <v>2038</v>
      </c>
      <c r="E888" s="1042">
        <v>3254377266</v>
      </c>
    </row>
    <row r="889" spans="1:6" x14ac:dyDescent="0.3">
      <c r="B889" t="s">
        <v>2032</v>
      </c>
      <c r="E889" s="1042">
        <v>1515999183</v>
      </c>
    </row>
    <row r="890" spans="1:6" x14ac:dyDescent="0.3">
      <c r="B890" t="s">
        <v>2028</v>
      </c>
      <c r="E890" s="1042">
        <v>1383420902</v>
      </c>
    </row>
    <row r="891" spans="1:6" x14ac:dyDescent="0.3">
      <c r="B891" t="s">
        <v>2043</v>
      </c>
      <c r="E891" s="1042">
        <v>1303240910</v>
      </c>
    </row>
    <row r="892" spans="1:6" x14ac:dyDescent="0.3">
      <c r="B892" t="s">
        <v>3627</v>
      </c>
      <c r="E892" s="1042">
        <v>1218887274</v>
      </c>
    </row>
    <row r="893" spans="1:6" x14ac:dyDescent="0.3">
      <c r="B893" t="s">
        <v>3666</v>
      </c>
      <c r="E893" s="1042">
        <v>901290909</v>
      </c>
    </row>
    <row r="894" spans="1:6" x14ac:dyDescent="0.3">
      <c r="B894" t="s">
        <v>2027</v>
      </c>
      <c r="E894" s="1042">
        <v>853998274</v>
      </c>
    </row>
    <row r="895" spans="1:6" x14ac:dyDescent="0.3">
      <c r="B895" t="s">
        <v>3937</v>
      </c>
      <c r="E895" s="1042">
        <v>820565302</v>
      </c>
    </row>
    <row r="896" spans="1:6" x14ac:dyDescent="0.3">
      <c r="B896" t="s">
        <v>3601</v>
      </c>
      <c r="E896" s="1042">
        <v>611000000</v>
      </c>
    </row>
    <row r="897" spans="2:5" x14ac:dyDescent="0.3">
      <c r="B897" t="s">
        <v>7165</v>
      </c>
      <c r="E897" s="1042">
        <v>469500000</v>
      </c>
    </row>
    <row r="898" spans="2:5" x14ac:dyDescent="0.3">
      <c r="B898" t="s">
        <v>2034</v>
      </c>
      <c r="E898" s="1042">
        <v>454980917</v>
      </c>
    </row>
    <row r="899" spans="2:5" x14ac:dyDescent="0.3">
      <c r="B899" t="s">
        <v>2062</v>
      </c>
      <c r="E899" s="1042">
        <v>419091876</v>
      </c>
    </row>
    <row r="900" spans="2:5" x14ac:dyDescent="0.3">
      <c r="B900" t="s">
        <v>2045</v>
      </c>
      <c r="E900" s="1042">
        <v>395518185</v>
      </c>
    </row>
    <row r="901" spans="2:5" x14ac:dyDescent="0.3">
      <c r="B901" t="s">
        <v>4014</v>
      </c>
      <c r="E901" s="1042">
        <v>395000000</v>
      </c>
    </row>
    <row r="902" spans="2:5" x14ac:dyDescent="0.3">
      <c r="B902" t="s">
        <v>2047</v>
      </c>
      <c r="E902" s="1042">
        <v>372581355</v>
      </c>
    </row>
    <row r="903" spans="2:5" x14ac:dyDescent="0.3">
      <c r="B903" t="s">
        <v>3761</v>
      </c>
      <c r="E903" s="1042">
        <v>359977000</v>
      </c>
    </row>
    <row r="904" spans="2:5" x14ac:dyDescent="0.3">
      <c r="B904" t="s">
        <v>2026</v>
      </c>
      <c r="E904" s="1042">
        <v>283533640</v>
      </c>
    </row>
    <row r="905" spans="2:5" x14ac:dyDescent="0.3">
      <c r="B905" t="s">
        <v>2063</v>
      </c>
      <c r="E905" s="1042">
        <v>270000000</v>
      </c>
    </row>
    <row r="906" spans="2:5" x14ac:dyDescent="0.3">
      <c r="B906" t="s">
        <v>7154</v>
      </c>
      <c r="E906" s="1042">
        <v>242439953</v>
      </c>
    </row>
    <row r="907" spans="2:5" x14ac:dyDescent="0.3">
      <c r="B907" t="s">
        <v>7178</v>
      </c>
      <c r="E907" s="1042">
        <v>238465920</v>
      </c>
    </row>
    <row r="908" spans="2:5" x14ac:dyDescent="0.3">
      <c r="B908" t="s">
        <v>7184</v>
      </c>
      <c r="E908" s="1042">
        <v>235562880</v>
      </c>
    </row>
    <row r="909" spans="2:5" x14ac:dyDescent="0.3">
      <c r="B909" t="s">
        <v>7164</v>
      </c>
      <c r="E909" s="1042">
        <v>233360201</v>
      </c>
    </row>
    <row r="910" spans="2:5" x14ac:dyDescent="0.3">
      <c r="B910" t="s">
        <v>7173</v>
      </c>
      <c r="E910" s="1042">
        <v>214380986</v>
      </c>
    </row>
    <row r="911" spans="2:5" x14ac:dyDescent="0.3">
      <c r="B911" t="s">
        <v>2030</v>
      </c>
      <c r="E911" s="1042">
        <v>202513409</v>
      </c>
    </row>
    <row r="912" spans="2:5" x14ac:dyDescent="0.3">
      <c r="B912" t="s">
        <v>2068</v>
      </c>
      <c r="E912" s="1042">
        <v>201500000</v>
      </c>
    </row>
    <row r="913" spans="2:5" x14ac:dyDescent="0.3">
      <c r="B913" t="s">
        <v>7157</v>
      </c>
      <c r="E913" s="1042">
        <v>201355280</v>
      </c>
    </row>
    <row r="914" spans="2:5" x14ac:dyDescent="0.3">
      <c r="B914" t="s">
        <v>2820</v>
      </c>
      <c r="E914" s="1042">
        <v>183210911</v>
      </c>
    </row>
    <row r="915" spans="2:5" x14ac:dyDescent="0.3">
      <c r="B915" t="s">
        <v>7158</v>
      </c>
      <c r="E915" s="1042">
        <v>158592165</v>
      </c>
    </row>
    <row r="916" spans="2:5" x14ac:dyDescent="0.3">
      <c r="B916" t="s">
        <v>7177</v>
      </c>
      <c r="E916" s="1042">
        <v>155625600</v>
      </c>
    </row>
    <row r="917" spans="2:5" x14ac:dyDescent="0.3">
      <c r="B917" t="s">
        <v>4196</v>
      </c>
      <c r="E917" s="1042">
        <v>149541928</v>
      </c>
    </row>
    <row r="918" spans="2:5" x14ac:dyDescent="0.3">
      <c r="B918" t="s">
        <v>7162</v>
      </c>
      <c r="E918" s="1042">
        <v>133182339</v>
      </c>
    </row>
    <row r="919" spans="2:5" x14ac:dyDescent="0.3">
      <c r="B919" t="s">
        <v>4169</v>
      </c>
      <c r="E919" s="1042">
        <v>130160000</v>
      </c>
    </row>
    <row r="920" spans="2:5" x14ac:dyDescent="0.3">
      <c r="B920" t="s">
        <v>3741</v>
      </c>
      <c r="E920" s="1042">
        <v>129545455</v>
      </c>
    </row>
    <row r="921" spans="2:5" x14ac:dyDescent="0.3">
      <c r="B921" t="s">
        <v>7153</v>
      </c>
      <c r="E921" s="1042">
        <v>115678662</v>
      </c>
    </row>
    <row r="922" spans="2:5" x14ac:dyDescent="0.3">
      <c r="B922" t="s">
        <v>4054</v>
      </c>
      <c r="E922" s="1042">
        <v>114000000</v>
      </c>
    </row>
    <row r="923" spans="2:5" x14ac:dyDescent="0.3">
      <c r="B923" t="s">
        <v>7170</v>
      </c>
      <c r="E923" s="1042">
        <v>111614378</v>
      </c>
    </row>
    <row r="924" spans="2:5" x14ac:dyDescent="0.3">
      <c r="B924" t="s">
        <v>7166</v>
      </c>
      <c r="E924" s="1042">
        <v>109527000</v>
      </c>
    </row>
    <row r="925" spans="2:5" x14ac:dyDescent="0.3">
      <c r="B925" t="s">
        <v>2067</v>
      </c>
      <c r="E925" s="1042">
        <v>93636364</v>
      </c>
    </row>
    <row r="926" spans="2:5" x14ac:dyDescent="0.3">
      <c r="B926" t="s">
        <v>7176</v>
      </c>
      <c r="E926" s="1042">
        <v>89673194</v>
      </c>
    </row>
    <row r="927" spans="2:5" x14ac:dyDescent="0.3">
      <c r="B927" t="s">
        <v>4104</v>
      </c>
      <c r="E927" s="1042">
        <v>84722000</v>
      </c>
    </row>
    <row r="928" spans="2:5" x14ac:dyDescent="0.3">
      <c r="B928" t="s">
        <v>3670</v>
      </c>
      <c r="E928" s="1042">
        <v>82342000</v>
      </c>
    </row>
    <row r="929" spans="2:5" x14ac:dyDescent="0.3">
      <c r="B929" t="s">
        <v>7155</v>
      </c>
      <c r="E929" s="1042">
        <v>78694552</v>
      </c>
    </row>
    <row r="930" spans="2:5" x14ac:dyDescent="0.3">
      <c r="B930" t="s">
        <v>7185</v>
      </c>
      <c r="E930" s="1042">
        <v>71440158</v>
      </c>
    </row>
    <row r="931" spans="2:5" x14ac:dyDescent="0.3">
      <c r="B931" t="s">
        <v>7156</v>
      </c>
      <c r="E931" s="1042">
        <v>62529095</v>
      </c>
    </row>
    <row r="932" spans="2:5" x14ac:dyDescent="0.3">
      <c r="B932" t="s">
        <v>7175</v>
      </c>
      <c r="E932" s="1042">
        <v>60986989</v>
      </c>
    </row>
    <row r="933" spans="2:5" x14ac:dyDescent="0.3">
      <c r="B933" t="s">
        <v>7182</v>
      </c>
      <c r="E933" s="1042">
        <v>60112724</v>
      </c>
    </row>
    <row r="934" spans="2:5" x14ac:dyDescent="0.3">
      <c r="B934" t="s">
        <v>3728</v>
      </c>
      <c r="E934" s="1042">
        <v>60040000</v>
      </c>
    </row>
    <row r="935" spans="2:5" x14ac:dyDescent="0.3">
      <c r="B935" t="s">
        <v>3818</v>
      </c>
      <c r="E935" s="1042">
        <v>60000000</v>
      </c>
    </row>
    <row r="936" spans="2:5" x14ac:dyDescent="0.3">
      <c r="B936" t="s">
        <v>3650</v>
      </c>
      <c r="E936" s="1042">
        <v>57000000</v>
      </c>
    </row>
    <row r="937" spans="2:5" x14ac:dyDescent="0.3">
      <c r="B937" t="s">
        <v>3596</v>
      </c>
      <c r="E937" s="1042">
        <v>51580000</v>
      </c>
    </row>
    <row r="938" spans="2:5" x14ac:dyDescent="0.3">
      <c r="B938" t="s">
        <v>3651</v>
      </c>
      <c r="E938" s="1042">
        <v>51126000</v>
      </c>
    </row>
    <row r="939" spans="2:5" x14ac:dyDescent="0.3">
      <c r="B939" t="s">
        <v>7160</v>
      </c>
      <c r="E939" s="1042">
        <v>50044799</v>
      </c>
    </row>
    <row r="940" spans="2:5" x14ac:dyDescent="0.3">
      <c r="B940" t="s">
        <v>7171</v>
      </c>
      <c r="E940" s="1042">
        <v>48480000</v>
      </c>
    </row>
    <row r="941" spans="2:5" x14ac:dyDescent="0.3">
      <c r="B941" t="s">
        <v>2823</v>
      </c>
      <c r="E941" s="1042">
        <v>45000000</v>
      </c>
    </row>
    <row r="942" spans="2:5" x14ac:dyDescent="0.3">
      <c r="B942" t="s">
        <v>7152</v>
      </c>
      <c r="E942" s="1042">
        <v>44363636</v>
      </c>
    </row>
    <row r="943" spans="2:5" x14ac:dyDescent="0.3">
      <c r="B943" t="s">
        <v>7169</v>
      </c>
      <c r="E943" s="1042">
        <v>43365659</v>
      </c>
    </row>
    <row r="944" spans="2:5" x14ac:dyDescent="0.3">
      <c r="B944" t="s">
        <v>3989</v>
      </c>
      <c r="E944" s="1042">
        <v>40590000</v>
      </c>
    </row>
    <row r="945" spans="2:5" x14ac:dyDescent="0.3">
      <c r="B945" t="s">
        <v>3723</v>
      </c>
      <c r="E945" s="1042">
        <v>40118163</v>
      </c>
    </row>
    <row r="946" spans="2:5" x14ac:dyDescent="0.3">
      <c r="B946" t="s">
        <v>3883</v>
      </c>
      <c r="E946" s="1042">
        <v>39500000</v>
      </c>
    </row>
    <row r="947" spans="2:5" x14ac:dyDescent="0.3">
      <c r="B947" t="s">
        <v>7172</v>
      </c>
      <c r="E947" s="1042">
        <v>39314480</v>
      </c>
    </row>
    <row r="948" spans="2:5" x14ac:dyDescent="0.3">
      <c r="B948" t="s">
        <v>4132</v>
      </c>
      <c r="E948" s="1042">
        <v>38400000</v>
      </c>
    </row>
    <row r="949" spans="2:5" x14ac:dyDescent="0.3">
      <c r="B949" t="s">
        <v>4070</v>
      </c>
      <c r="E949" s="1042">
        <v>38095000</v>
      </c>
    </row>
    <row r="950" spans="2:5" x14ac:dyDescent="0.3">
      <c r="B950" t="s">
        <v>3967</v>
      </c>
      <c r="E950" s="1042">
        <v>38000000</v>
      </c>
    </row>
    <row r="951" spans="2:5" x14ac:dyDescent="0.3">
      <c r="B951" t="s">
        <v>7179</v>
      </c>
      <c r="E951" s="1042">
        <v>31999909</v>
      </c>
    </row>
    <row r="952" spans="2:5" x14ac:dyDescent="0.3">
      <c r="B952" t="s">
        <v>4016</v>
      </c>
      <c r="E952" s="1042">
        <v>30559999</v>
      </c>
    </row>
    <row r="953" spans="2:5" x14ac:dyDescent="0.3">
      <c r="B953" t="s">
        <v>4127</v>
      </c>
      <c r="E953" s="1042">
        <v>29090910</v>
      </c>
    </row>
    <row r="954" spans="2:5" x14ac:dyDescent="0.3">
      <c r="B954" t="s">
        <v>7163</v>
      </c>
      <c r="E954" s="1042">
        <v>26669396</v>
      </c>
    </row>
    <row r="955" spans="2:5" x14ac:dyDescent="0.3">
      <c r="B955" t="s">
        <v>4174</v>
      </c>
      <c r="E955" s="1042">
        <v>25250000</v>
      </c>
    </row>
    <row r="956" spans="2:5" x14ac:dyDescent="0.3">
      <c r="B956" t="s">
        <v>2838</v>
      </c>
      <c r="E956" s="1042">
        <v>25150000</v>
      </c>
    </row>
    <row r="957" spans="2:5" x14ac:dyDescent="0.3">
      <c r="B957" t="s">
        <v>4244</v>
      </c>
      <c r="E957" s="1042">
        <v>25150000</v>
      </c>
    </row>
    <row r="958" spans="2:5" x14ac:dyDescent="0.3">
      <c r="B958" t="s">
        <v>3916</v>
      </c>
      <c r="E958" s="1042">
        <v>22200000</v>
      </c>
    </row>
    <row r="959" spans="2:5" x14ac:dyDescent="0.3">
      <c r="B959" t="s">
        <v>4204</v>
      </c>
      <c r="E959" s="1042">
        <v>21114000</v>
      </c>
    </row>
    <row r="960" spans="2:5" x14ac:dyDescent="0.3">
      <c r="B960" t="s">
        <v>4216</v>
      </c>
      <c r="E960" s="1042">
        <v>20627000</v>
      </c>
    </row>
    <row r="961" spans="2:5" x14ac:dyDescent="0.3">
      <c r="B961" t="s">
        <v>3759</v>
      </c>
      <c r="E961" s="1042">
        <v>20535000</v>
      </c>
    </row>
    <row r="962" spans="2:5" x14ac:dyDescent="0.3">
      <c r="B962" t="s">
        <v>3606</v>
      </c>
      <c r="E962" s="1042">
        <v>19946000</v>
      </c>
    </row>
    <row r="963" spans="2:5" x14ac:dyDescent="0.3">
      <c r="B963" t="s">
        <v>7183</v>
      </c>
      <c r="E963" s="1042">
        <v>18266000</v>
      </c>
    </row>
    <row r="964" spans="2:5" x14ac:dyDescent="0.3">
      <c r="B964" t="s">
        <v>4101</v>
      </c>
      <c r="E964" s="1042">
        <v>16876000</v>
      </c>
    </row>
    <row r="965" spans="2:5" x14ac:dyDescent="0.3">
      <c r="B965" t="s">
        <v>4129</v>
      </c>
      <c r="E965" s="1042">
        <v>16600000</v>
      </c>
    </row>
    <row r="966" spans="2:5" x14ac:dyDescent="0.3">
      <c r="B966" t="s">
        <v>3927</v>
      </c>
      <c r="E966" s="1042">
        <v>16108000</v>
      </c>
    </row>
    <row r="967" spans="2:5" x14ac:dyDescent="0.3">
      <c r="B967" t="s">
        <v>4057</v>
      </c>
      <c r="E967" s="1042">
        <v>14640000</v>
      </c>
    </row>
    <row r="968" spans="2:5" x14ac:dyDescent="0.3">
      <c r="B968" t="s">
        <v>3815</v>
      </c>
      <c r="E968" s="1042">
        <v>14600000</v>
      </c>
    </row>
    <row r="969" spans="2:5" x14ac:dyDescent="0.3">
      <c r="B969" t="s">
        <v>7161</v>
      </c>
      <c r="E969" s="1042">
        <v>14368609</v>
      </c>
    </row>
    <row r="970" spans="2:5" x14ac:dyDescent="0.3">
      <c r="B970" t="s">
        <v>3858</v>
      </c>
      <c r="E970" s="1042">
        <v>13576000</v>
      </c>
    </row>
    <row r="971" spans="2:5" x14ac:dyDescent="0.3">
      <c r="B971" t="s">
        <v>3590</v>
      </c>
      <c r="E971" s="1042">
        <v>13000000</v>
      </c>
    </row>
    <row r="972" spans="2:5" x14ac:dyDescent="0.3">
      <c r="B972" t="s">
        <v>3718</v>
      </c>
      <c r="E972" s="1042">
        <v>13000000</v>
      </c>
    </row>
    <row r="973" spans="2:5" x14ac:dyDescent="0.3">
      <c r="B973" t="s">
        <v>4231</v>
      </c>
      <c r="E973" s="1042">
        <v>12650000</v>
      </c>
    </row>
    <row r="974" spans="2:5" x14ac:dyDescent="0.3">
      <c r="B974" t="s">
        <v>3812</v>
      </c>
      <c r="E974" s="1042">
        <v>12181818</v>
      </c>
    </row>
    <row r="975" spans="2:5" x14ac:dyDescent="0.3">
      <c r="B975" t="s">
        <v>3952</v>
      </c>
      <c r="E975" s="1042">
        <v>11850000</v>
      </c>
    </row>
    <row r="976" spans="2:5" x14ac:dyDescent="0.3">
      <c r="B976" t="s">
        <v>3915</v>
      </c>
      <c r="E976" s="1042">
        <v>11464000</v>
      </c>
    </row>
    <row r="977" spans="2:5" x14ac:dyDescent="0.3">
      <c r="B977" t="s">
        <v>3774</v>
      </c>
      <c r="E977" s="1042">
        <v>11165000</v>
      </c>
    </row>
    <row r="978" spans="2:5" x14ac:dyDescent="0.3">
      <c r="B978" t="s">
        <v>7168</v>
      </c>
      <c r="E978" s="1042">
        <v>11083978</v>
      </c>
    </row>
    <row r="979" spans="2:5" x14ac:dyDescent="0.3">
      <c r="B979" t="s">
        <v>4152</v>
      </c>
      <c r="E979" s="1042">
        <v>10750000</v>
      </c>
    </row>
    <row r="980" spans="2:5" x14ac:dyDescent="0.3">
      <c r="B980" t="s">
        <v>3893</v>
      </c>
      <c r="E980" s="1042">
        <v>9730000</v>
      </c>
    </row>
    <row r="981" spans="2:5" x14ac:dyDescent="0.3">
      <c r="B981" t="s">
        <v>4227</v>
      </c>
      <c r="E981" s="1042">
        <v>9730000</v>
      </c>
    </row>
    <row r="982" spans="2:5" x14ac:dyDescent="0.3">
      <c r="B982" t="s">
        <v>3898</v>
      </c>
      <c r="E982" s="1042">
        <v>9000000</v>
      </c>
    </row>
    <row r="983" spans="2:5" x14ac:dyDescent="0.3">
      <c r="B983" t="s">
        <v>4199</v>
      </c>
      <c r="E983" s="1042">
        <v>9000000</v>
      </c>
    </row>
    <row r="984" spans="2:5" x14ac:dyDescent="0.3">
      <c r="B984" t="s">
        <v>7181</v>
      </c>
      <c r="E984" s="1042">
        <v>8907409</v>
      </c>
    </row>
    <row r="985" spans="2:5" x14ac:dyDescent="0.3">
      <c r="B985" t="s">
        <v>7167</v>
      </c>
      <c r="E985" s="1042">
        <v>8200000</v>
      </c>
    </row>
    <row r="986" spans="2:5" x14ac:dyDescent="0.3">
      <c r="B986" t="s">
        <v>3799</v>
      </c>
      <c r="E986" s="1042">
        <v>7904000</v>
      </c>
    </row>
    <row r="987" spans="2:5" x14ac:dyDescent="0.3">
      <c r="B987" t="s">
        <v>7159</v>
      </c>
      <c r="E987" s="1042">
        <v>7000000</v>
      </c>
    </row>
    <row r="988" spans="2:5" x14ac:dyDescent="0.3">
      <c r="B988" t="s">
        <v>4168</v>
      </c>
      <c r="E988" s="1042">
        <v>6418000</v>
      </c>
    </row>
    <row r="989" spans="2:5" x14ac:dyDescent="0.3">
      <c r="B989" t="s">
        <v>3894</v>
      </c>
      <c r="E989" s="1042">
        <v>6301818</v>
      </c>
    </row>
    <row r="990" spans="2:5" x14ac:dyDescent="0.3">
      <c r="B990" t="s">
        <v>7180</v>
      </c>
      <c r="E990" s="1042">
        <v>6041818</v>
      </c>
    </row>
    <row r="991" spans="2:5" x14ac:dyDescent="0.3">
      <c r="B991" t="s">
        <v>3610</v>
      </c>
      <c r="E991" s="1042">
        <v>4903000</v>
      </c>
    </row>
    <row r="992" spans="2:5" x14ac:dyDescent="0.3">
      <c r="B992" t="s">
        <v>3696</v>
      </c>
      <c r="E992" s="1042">
        <v>4850000</v>
      </c>
    </row>
    <row r="993" spans="2:5" x14ac:dyDescent="0.3">
      <c r="B993" t="s">
        <v>3935</v>
      </c>
      <c r="E993" s="1042">
        <v>4788000</v>
      </c>
    </row>
    <row r="994" spans="2:5" x14ac:dyDescent="0.3">
      <c r="B994" t="s">
        <v>3624</v>
      </c>
      <c r="E994" s="1042">
        <v>4104000</v>
      </c>
    </row>
    <row r="995" spans="2:5" x14ac:dyDescent="0.3">
      <c r="B995" t="s">
        <v>3776</v>
      </c>
      <c r="E995" s="1042">
        <v>3636364</v>
      </c>
    </row>
    <row r="996" spans="2:5" x14ac:dyDescent="0.3">
      <c r="B996" t="s">
        <v>4182</v>
      </c>
      <c r="E996" s="1042">
        <v>3600000</v>
      </c>
    </row>
    <row r="997" spans="2:5" x14ac:dyDescent="0.3">
      <c r="B997" t="s">
        <v>3788</v>
      </c>
      <c r="E997" s="1042">
        <v>3450000</v>
      </c>
    </row>
    <row r="998" spans="2:5" x14ac:dyDescent="0.3">
      <c r="B998" t="s">
        <v>3773</v>
      </c>
      <c r="E998" s="1042">
        <v>3350000</v>
      </c>
    </row>
    <row r="999" spans="2:5" x14ac:dyDescent="0.3">
      <c r="B999" t="s">
        <v>4131</v>
      </c>
      <c r="E999" s="1042">
        <v>2940000</v>
      </c>
    </row>
    <row r="1000" spans="2:5" x14ac:dyDescent="0.3">
      <c r="B1000" t="s">
        <v>4253</v>
      </c>
      <c r="E1000" s="1042">
        <v>2151780</v>
      </c>
    </row>
    <row r="1001" spans="2:5" x14ac:dyDescent="0.3">
      <c r="B1001" t="s">
        <v>3772</v>
      </c>
      <c r="E1001" s="1042">
        <v>1970000</v>
      </c>
    </row>
    <row r="1002" spans="2:5" x14ac:dyDescent="0.3">
      <c r="B1002" t="s">
        <v>3791</v>
      </c>
      <c r="E1002" s="1042">
        <v>1800000</v>
      </c>
    </row>
    <row r="1003" spans="2:5" x14ac:dyDescent="0.3">
      <c r="B1003" t="s">
        <v>4053</v>
      </c>
      <c r="E1003" s="1042">
        <v>1600000</v>
      </c>
    </row>
    <row r="1004" spans="2:5" x14ac:dyDescent="0.3">
      <c r="B1004" t="s">
        <v>4249</v>
      </c>
      <c r="E1004" s="1042">
        <v>880000</v>
      </c>
    </row>
    <row r="1005" spans="2:5" x14ac:dyDescent="0.3">
      <c r="B1005" t="s">
        <v>7174</v>
      </c>
      <c r="E1005" s="1042">
        <v>545005</v>
      </c>
    </row>
    <row r="1006" spans="2:5" x14ac:dyDescent="0.3">
      <c r="B1006" t="s">
        <v>3867</v>
      </c>
      <c r="E1006" s="1042">
        <v>300000</v>
      </c>
    </row>
    <row r="1007" spans="2:5" x14ac:dyDescent="0.3">
      <c r="B1007" t="s">
        <v>4121</v>
      </c>
      <c r="E1007" s="1042">
        <v>300000</v>
      </c>
    </row>
    <row r="1008" spans="2:5" x14ac:dyDescent="0.3">
      <c r="B1008" t="s">
        <v>2046</v>
      </c>
      <c r="E1008" s="1042">
        <v>0</v>
      </c>
    </row>
    <row r="1009" spans="2:5" x14ac:dyDescent="0.3">
      <c r="B1009" t="s">
        <v>4135</v>
      </c>
      <c r="E1009" s="1042">
        <v>-485000</v>
      </c>
    </row>
    <row r="1010" spans="2:5" x14ac:dyDescent="0.3">
      <c r="B1010" t="s">
        <v>3905</v>
      </c>
      <c r="E1010" s="1042">
        <v>-133000000</v>
      </c>
    </row>
  </sheetData>
  <autoFilter ref="B884:E884">
    <sortState ref="B885:E1010">
      <sortCondition descending="1" ref="E884"/>
    </sortState>
  </autoFilter>
  <dataConsolidate topLabels="1">
    <dataRefs count="1">
      <dataRef ref="B1:E882" sheet="Sheet4"/>
    </dataRefs>
  </dataConsolidate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4"/>
  <sheetViews>
    <sheetView topLeftCell="A1496" workbookViewId="0">
      <selection activeCell="B882" sqref="B882"/>
    </sheetView>
  </sheetViews>
  <sheetFormatPr defaultRowHeight="16.5" x14ac:dyDescent="0.3"/>
  <cols>
    <col min="1" max="1" width="10.25" customWidth="1"/>
    <col min="5" max="5" width="15.625" bestFit="1" customWidth="1"/>
  </cols>
  <sheetData>
    <row r="1" spans="1:6" x14ac:dyDescent="0.3">
      <c r="A1" t="s">
        <v>3372</v>
      </c>
      <c r="B1" t="s">
        <v>3373</v>
      </c>
      <c r="C1" t="s">
        <v>3374</v>
      </c>
      <c r="D1" t="s">
        <v>3375</v>
      </c>
      <c r="E1" t="s">
        <v>3376</v>
      </c>
      <c r="F1" t="s">
        <v>3377</v>
      </c>
    </row>
    <row r="2" spans="1:6" x14ac:dyDescent="0.3">
      <c r="A2">
        <v>16</v>
      </c>
      <c r="B2" t="s">
        <v>2954</v>
      </c>
      <c r="C2" t="s">
        <v>6192</v>
      </c>
      <c r="E2">
        <v>13545455</v>
      </c>
      <c r="F2">
        <v>206288303394</v>
      </c>
    </row>
    <row r="3" spans="1:6" x14ac:dyDescent="0.3">
      <c r="A3">
        <v>16</v>
      </c>
      <c r="B3" t="s">
        <v>7156</v>
      </c>
      <c r="C3" t="s">
        <v>6192</v>
      </c>
      <c r="E3">
        <v>-13545455</v>
      </c>
      <c r="F3">
        <v>206274757939</v>
      </c>
    </row>
    <row r="4" spans="1:6" x14ac:dyDescent="0.3">
      <c r="A4">
        <v>16</v>
      </c>
      <c r="B4" t="s">
        <v>7156</v>
      </c>
      <c r="C4" t="s">
        <v>6192</v>
      </c>
      <c r="E4">
        <v>13545455</v>
      </c>
      <c r="F4">
        <v>206288303394</v>
      </c>
    </row>
    <row r="5" spans="1:6" x14ac:dyDescent="0.3">
      <c r="A5">
        <v>16</v>
      </c>
      <c r="B5" t="s">
        <v>7344</v>
      </c>
      <c r="C5" t="s">
        <v>6191</v>
      </c>
      <c r="E5">
        <v>202000000</v>
      </c>
      <c r="F5">
        <v>206274757939</v>
      </c>
    </row>
    <row r="6" spans="1:6" x14ac:dyDescent="0.3">
      <c r="A6">
        <v>16</v>
      </c>
      <c r="B6" t="s">
        <v>7343</v>
      </c>
      <c r="C6" t="s">
        <v>4477</v>
      </c>
      <c r="E6">
        <v>30909090</v>
      </c>
      <c r="F6">
        <v>206072757939</v>
      </c>
    </row>
    <row r="7" spans="1:6" x14ac:dyDescent="0.3">
      <c r="A7">
        <v>16</v>
      </c>
      <c r="B7" t="s">
        <v>7176</v>
      </c>
      <c r="C7" t="s">
        <v>6190</v>
      </c>
      <c r="E7">
        <v>41000000</v>
      </c>
      <c r="F7">
        <v>206041848849</v>
      </c>
    </row>
    <row r="8" spans="1:6" x14ac:dyDescent="0.3">
      <c r="A8">
        <v>16</v>
      </c>
      <c r="B8" t="s">
        <v>7251</v>
      </c>
      <c r="C8" t="s">
        <v>6127</v>
      </c>
      <c r="E8">
        <v>35500000</v>
      </c>
      <c r="F8">
        <v>206000848849</v>
      </c>
    </row>
    <row r="9" spans="1:6" x14ac:dyDescent="0.3">
      <c r="A9">
        <v>16</v>
      </c>
      <c r="B9" t="s">
        <v>7170</v>
      </c>
      <c r="C9" t="s">
        <v>5225</v>
      </c>
      <c r="E9">
        <v>171950000</v>
      </c>
      <c r="F9">
        <v>205965348849</v>
      </c>
    </row>
    <row r="10" spans="1:6" x14ac:dyDescent="0.3">
      <c r="A10">
        <v>16</v>
      </c>
      <c r="B10" t="s">
        <v>7203</v>
      </c>
      <c r="C10" t="s">
        <v>4800</v>
      </c>
      <c r="E10">
        <v>18373000</v>
      </c>
      <c r="F10">
        <v>205793398849</v>
      </c>
    </row>
    <row r="11" spans="1:6" x14ac:dyDescent="0.3">
      <c r="A11">
        <v>16</v>
      </c>
      <c r="B11" t="s">
        <v>7176</v>
      </c>
      <c r="C11" t="s">
        <v>6189</v>
      </c>
      <c r="E11">
        <v>40000000</v>
      </c>
      <c r="F11">
        <v>205775025849</v>
      </c>
    </row>
    <row r="12" spans="1:6" x14ac:dyDescent="0.3">
      <c r="A12">
        <v>16</v>
      </c>
      <c r="B12" t="s">
        <v>7203</v>
      </c>
      <c r="C12" t="s">
        <v>6188</v>
      </c>
      <c r="E12">
        <v>37500000</v>
      </c>
      <c r="F12">
        <v>205735025849</v>
      </c>
    </row>
    <row r="13" spans="1:6" x14ac:dyDescent="0.3">
      <c r="A13">
        <v>16</v>
      </c>
      <c r="B13" t="s">
        <v>7331</v>
      </c>
      <c r="C13" t="s">
        <v>6187</v>
      </c>
      <c r="E13">
        <v>42900000</v>
      </c>
      <c r="F13">
        <v>205697525849</v>
      </c>
    </row>
    <row r="14" spans="1:6" x14ac:dyDescent="0.3">
      <c r="A14">
        <v>16</v>
      </c>
      <c r="B14" t="s">
        <v>7186</v>
      </c>
      <c r="C14" t="s">
        <v>6186</v>
      </c>
      <c r="E14">
        <v>50000000</v>
      </c>
      <c r="F14">
        <v>205654625849</v>
      </c>
    </row>
    <row r="15" spans="1:6" x14ac:dyDescent="0.3">
      <c r="A15">
        <v>16</v>
      </c>
      <c r="B15" t="s">
        <v>7342</v>
      </c>
      <c r="C15" t="s">
        <v>6185</v>
      </c>
      <c r="E15">
        <v>128790540</v>
      </c>
      <c r="F15">
        <v>205604625849</v>
      </c>
    </row>
    <row r="16" spans="1:6" x14ac:dyDescent="0.3">
      <c r="A16">
        <v>16</v>
      </c>
      <c r="B16" t="s">
        <v>7273</v>
      </c>
      <c r="C16" t="s">
        <v>6184</v>
      </c>
      <c r="E16">
        <v>51818182</v>
      </c>
      <c r="F16">
        <v>205475835309</v>
      </c>
    </row>
    <row r="17" spans="1:6" x14ac:dyDescent="0.3">
      <c r="A17">
        <v>16</v>
      </c>
      <c r="B17" t="s">
        <v>7273</v>
      </c>
      <c r="C17" t="s">
        <v>6183</v>
      </c>
      <c r="E17">
        <v>162000000</v>
      </c>
      <c r="F17">
        <v>205424017127</v>
      </c>
    </row>
    <row r="18" spans="1:6" x14ac:dyDescent="0.3">
      <c r="A18">
        <v>16</v>
      </c>
      <c r="B18" t="s">
        <v>7261</v>
      </c>
      <c r="C18" t="s">
        <v>6182</v>
      </c>
      <c r="E18">
        <v>151300000</v>
      </c>
      <c r="F18">
        <v>205262017127</v>
      </c>
    </row>
    <row r="19" spans="1:6" x14ac:dyDescent="0.3">
      <c r="A19">
        <v>16</v>
      </c>
      <c r="B19" t="s">
        <v>7176</v>
      </c>
      <c r="C19" t="s">
        <v>6181</v>
      </c>
      <c r="E19">
        <v>37500000</v>
      </c>
      <c r="F19">
        <v>205110717127</v>
      </c>
    </row>
    <row r="20" spans="1:6" x14ac:dyDescent="0.3">
      <c r="A20">
        <v>16</v>
      </c>
      <c r="B20" t="s">
        <v>7251</v>
      </c>
      <c r="C20" t="s">
        <v>6180</v>
      </c>
      <c r="E20">
        <v>36363636</v>
      </c>
      <c r="F20">
        <v>205073217127</v>
      </c>
    </row>
    <row r="21" spans="1:6" x14ac:dyDescent="0.3">
      <c r="A21">
        <v>16</v>
      </c>
      <c r="B21" t="s">
        <v>7154</v>
      </c>
      <c r="C21" t="s">
        <v>5092</v>
      </c>
      <c r="E21">
        <v>3154546</v>
      </c>
      <c r="F21">
        <v>205036853491</v>
      </c>
    </row>
    <row r="22" spans="1:6" x14ac:dyDescent="0.3">
      <c r="A22">
        <v>16</v>
      </c>
      <c r="B22" t="s">
        <v>7154</v>
      </c>
      <c r="C22" t="s">
        <v>5092</v>
      </c>
      <c r="E22">
        <v>54039091</v>
      </c>
      <c r="F22">
        <v>205033698945</v>
      </c>
    </row>
    <row r="23" spans="1:6" x14ac:dyDescent="0.3">
      <c r="A23">
        <v>16</v>
      </c>
      <c r="B23" t="s">
        <v>7282</v>
      </c>
      <c r="C23" t="s">
        <v>6179</v>
      </c>
      <c r="E23">
        <v>160909091</v>
      </c>
      <c r="F23">
        <v>204979659854</v>
      </c>
    </row>
    <row r="24" spans="1:6" x14ac:dyDescent="0.3">
      <c r="A24">
        <v>16</v>
      </c>
      <c r="B24" t="s">
        <v>7176</v>
      </c>
      <c r="C24" t="s">
        <v>6178</v>
      </c>
      <c r="E24">
        <v>40909091</v>
      </c>
      <c r="F24">
        <v>204818750763</v>
      </c>
    </row>
    <row r="25" spans="1:6" x14ac:dyDescent="0.3">
      <c r="A25">
        <v>16</v>
      </c>
      <c r="B25" t="s">
        <v>7247</v>
      </c>
      <c r="C25" t="s">
        <v>3438</v>
      </c>
      <c r="E25">
        <v>49230000</v>
      </c>
      <c r="F25">
        <v>204777841672</v>
      </c>
    </row>
    <row r="26" spans="1:6" x14ac:dyDescent="0.3">
      <c r="A26">
        <v>16</v>
      </c>
      <c r="B26" t="s">
        <v>7156</v>
      </c>
      <c r="C26" t="s">
        <v>5817</v>
      </c>
      <c r="E26">
        <v>13500000</v>
      </c>
      <c r="F26">
        <v>204728611672</v>
      </c>
    </row>
    <row r="27" spans="1:6" x14ac:dyDescent="0.3">
      <c r="A27">
        <v>16</v>
      </c>
      <c r="B27" t="s">
        <v>7252</v>
      </c>
      <c r="C27" t="s">
        <v>6177</v>
      </c>
      <c r="E27">
        <v>63000000</v>
      </c>
      <c r="F27">
        <v>204715111672</v>
      </c>
    </row>
    <row r="28" spans="1:6" x14ac:dyDescent="0.3">
      <c r="A28">
        <v>16</v>
      </c>
      <c r="B28" t="s">
        <v>7325</v>
      </c>
      <c r="C28" t="s">
        <v>5210</v>
      </c>
      <c r="E28">
        <v>41377273</v>
      </c>
      <c r="F28">
        <v>204652111672</v>
      </c>
    </row>
    <row r="29" spans="1:6" x14ac:dyDescent="0.3">
      <c r="A29">
        <v>16</v>
      </c>
      <c r="B29" t="s">
        <v>7203</v>
      </c>
      <c r="C29" t="s">
        <v>3677</v>
      </c>
      <c r="E29">
        <v>36500000</v>
      </c>
      <c r="F29">
        <v>204610734399</v>
      </c>
    </row>
    <row r="30" spans="1:6" x14ac:dyDescent="0.3">
      <c r="A30">
        <v>16</v>
      </c>
      <c r="B30" t="s">
        <v>7261</v>
      </c>
      <c r="C30" t="s">
        <v>6176</v>
      </c>
      <c r="E30">
        <v>148500000</v>
      </c>
      <c r="F30">
        <v>204574234399</v>
      </c>
    </row>
    <row r="31" spans="1:6" x14ac:dyDescent="0.3">
      <c r="A31">
        <v>16</v>
      </c>
      <c r="B31" t="s">
        <v>7203</v>
      </c>
      <c r="C31" t="s">
        <v>4535</v>
      </c>
      <c r="E31">
        <v>38788000</v>
      </c>
      <c r="F31">
        <v>204425734399</v>
      </c>
    </row>
    <row r="32" spans="1:6" x14ac:dyDescent="0.3">
      <c r="A32">
        <v>16</v>
      </c>
      <c r="B32" t="s">
        <v>7186</v>
      </c>
      <c r="C32" t="s">
        <v>6175</v>
      </c>
      <c r="E32">
        <v>54000000</v>
      </c>
      <c r="F32">
        <v>204386946399</v>
      </c>
    </row>
    <row r="33" spans="1:6" x14ac:dyDescent="0.3">
      <c r="A33">
        <v>16</v>
      </c>
      <c r="B33" t="s">
        <v>7203</v>
      </c>
      <c r="C33" t="s">
        <v>6174</v>
      </c>
      <c r="E33">
        <v>18373000</v>
      </c>
      <c r="F33">
        <v>204332946399</v>
      </c>
    </row>
    <row r="34" spans="1:6" x14ac:dyDescent="0.3">
      <c r="A34">
        <v>16</v>
      </c>
      <c r="B34" t="s">
        <v>7251</v>
      </c>
      <c r="C34" t="s">
        <v>6160</v>
      </c>
      <c r="E34">
        <v>18373000</v>
      </c>
      <c r="F34">
        <v>204314573399</v>
      </c>
    </row>
    <row r="35" spans="1:6" x14ac:dyDescent="0.3">
      <c r="A35">
        <v>16</v>
      </c>
      <c r="B35" t="s">
        <v>7303</v>
      </c>
      <c r="C35" t="s">
        <v>5961</v>
      </c>
      <c r="E35">
        <v>99013637</v>
      </c>
      <c r="F35">
        <v>204296200399</v>
      </c>
    </row>
    <row r="36" spans="1:6" x14ac:dyDescent="0.3">
      <c r="A36">
        <v>16</v>
      </c>
      <c r="B36" t="s">
        <v>7303</v>
      </c>
      <c r="C36" t="s">
        <v>5959</v>
      </c>
      <c r="E36">
        <v>99013637</v>
      </c>
      <c r="F36">
        <v>204197186762</v>
      </c>
    </row>
    <row r="37" spans="1:6" x14ac:dyDescent="0.3">
      <c r="A37">
        <v>16</v>
      </c>
      <c r="B37" t="s">
        <v>7303</v>
      </c>
      <c r="C37" t="s">
        <v>5956</v>
      </c>
      <c r="E37">
        <v>99013637</v>
      </c>
      <c r="F37">
        <v>204098173125</v>
      </c>
    </row>
    <row r="38" spans="1:6" x14ac:dyDescent="0.3">
      <c r="A38">
        <v>16</v>
      </c>
      <c r="B38" t="s">
        <v>2954</v>
      </c>
      <c r="C38" t="s">
        <v>6173</v>
      </c>
      <c r="E38">
        <v>14500000</v>
      </c>
      <c r="F38">
        <v>203999159488</v>
      </c>
    </row>
    <row r="39" spans="1:6" x14ac:dyDescent="0.3">
      <c r="A39">
        <v>16</v>
      </c>
      <c r="B39" t="s">
        <v>7341</v>
      </c>
      <c r="C39" t="s">
        <v>4064</v>
      </c>
      <c r="E39">
        <v>237591178</v>
      </c>
      <c r="F39">
        <v>203984659488</v>
      </c>
    </row>
    <row r="40" spans="1:6" x14ac:dyDescent="0.3">
      <c r="A40">
        <v>16</v>
      </c>
      <c r="B40" t="s">
        <v>7203</v>
      </c>
      <c r="C40" t="s">
        <v>6172</v>
      </c>
      <c r="E40">
        <v>38000000</v>
      </c>
      <c r="F40">
        <v>203747068310</v>
      </c>
    </row>
    <row r="41" spans="1:6" x14ac:dyDescent="0.3">
      <c r="A41">
        <v>16</v>
      </c>
      <c r="B41" t="s">
        <v>7154</v>
      </c>
      <c r="C41" t="s">
        <v>6171</v>
      </c>
      <c r="E41">
        <v>51363636</v>
      </c>
      <c r="F41">
        <v>203709068310</v>
      </c>
    </row>
    <row r="42" spans="1:6" x14ac:dyDescent="0.3">
      <c r="A42">
        <v>16</v>
      </c>
      <c r="B42" t="s">
        <v>7154</v>
      </c>
      <c r="C42" t="s">
        <v>6170</v>
      </c>
      <c r="E42">
        <v>50000000</v>
      </c>
      <c r="F42">
        <v>203657704674</v>
      </c>
    </row>
    <row r="43" spans="1:6" x14ac:dyDescent="0.3">
      <c r="A43">
        <v>16</v>
      </c>
      <c r="B43" t="s">
        <v>7170</v>
      </c>
      <c r="C43" t="s">
        <v>3996</v>
      </c>
      <c r="E43">
        <v>171000000</v>
      </c>
      <c r="F43">
        <v>203607704674</v>
      </c>
    </row>
    <row r="44" spans="1:6" x14ac:dyDescent="0.3">
      <c r="A44">
        <v>16</v>
      </c>
      <c r="B44" t="s">
        <v>7203</v>
      </c>
      <c r="C44" t="s">
        <v>6169</v>
      </c>
      <c r="E44">
        <v>37500000</v>
      </c>
      <c r="F44">
        <v>203436704674</v>
      </c>
    </row>
    <row r="45" spans="1:6" x14ac:dyDescent="0.3">
      <c r="A45">
        <v>16</v>
      </c>
      <c r="B45" t="s">
        <v>7154</v>
      </c>
      <c r="C45" t="s">
        <v>6168</v>
      </c>
      <c r="E45">
        <v>53636364</v>
      </c>
      <c r="F45">
        <v>203399204674</v>
      </c>
    </row>
    <row r="46" spans="1:6" x14ac:dyDescent="0.3">
      <c r="A46">
        <v>16</v>
      </c>
      <c r="B46" t="s">
        <v>2954</v>
      </c>
      <c r="C46" t="s">
        <v>5336</v>
      </c>
      <c r="E46">
        <v>14500000</v>
      </c>
      <c r="F46">
        <v>203345568310</v>
      </c>
    </row>
    <row r="47" spans="1:6" x14ac:dyDescent="0.3">
      <c r="A47">
        <v>16</v>
      </c>
      <c r="B47" t="s">
        <v>7251</v>
      </c>
      <c r="C47" t="s">
        <v>5199</v>
      </c>
      <c r="E47">
        <v>17573000</v>
      </c>
      <c r="F47">
        <v>203331068310</v>
      </c>
    </row>
    <row r="48" spans="1:6" x14ac:dyDescent="0.3">
      <c r="A48">
        <v>16</v>
      </c>
      <c r="B48" t="s">
        <v>7203</v>
      </c>
      <c r="C48" t="s">
        <v>6167</v>
      </c>
      <c r="E48">
        <v>37500000</v>
      </c>
      <c r="F48">
        <v>203313495310</v>
      </c>
    </row>
    <row r="49" spans="1:6" x14ac:dyDescent="0.3">
      <c r="A49">
        <v>16</v>
      </c>
      <c r="B49" t="s">
        <v>7176</v>
      </c>
      <c r="C49" t="s">
        <v>6166</v>
      </c>
      <c r="E49">
        <v>39000000</v>
      </c>
      <c r="F49">
        <v>203275995310</v>
      </c>
    </row>
    <row r="50" spans="1:6" x14ac:dyDescent="0.3">
      <c r="A50">
        <v>16</v>
      </c>
      <c r="B50" t="s">
        <v>7170</v>
      </c>
      <c r="C50" t="s">
        <v>6165</v>
      </c>
      <c r="E50">
        <v>175000000</v>
      </c>
      <c r="F50">
        <v>203236995310</v>
      </c>
    </row>
    <row r="51" spans="1:6" x14ac:dyDescent="0.3">
      <c r="A51">
        <v>16</v>
      </c>
      <c r="B51" t="s">
        <v>7282</v>
      </c>
      <c r="C51" t="s">
        <v>6164</v>
      </c>
      <c r="E51">
        <v>159250000</v>
      </c>
      <c r="F51">
        <v>203061995310</v>
      </c>
    </row>
    <row r="52" spans="1:6" x14ac:dyDescent="0.3">
      <c r="A52">
        <v>16</v>
      </c>
      <c r="B52" t="s">
        <v>7203</v>
      </c>
      <c r="C52" t="s">
        <v>6163</v>
      </c>
      <c r="E52">
        <v>37470000</v>
      </c>
      <c r="F52">
        <v>202902745310</v>
      </c>
    </row>
    <row r="53" spans="1:6" x14ac:dyDescent="0.3">
      <c r="A53">
        <v>16</v>
      </c>
      <c r="B53" t="s">
        <v>7154</v>
      </c>
      <c r="C53" t="s">
        <v>6162</v>
      </c>
      <c r="E53">
        <v>51000000</v>
      </c>
      <c r="F53">
        <v>202865275310</v>
      </c>
    </row>
    <row r="54" spans="1:6" x14ac:dyDescent="0.3">
      <c r="A54">
        <v>16</v>
      </c>
      <c r="B54" t="s">
        <v>7251</v>
      </c>
      <c r="C54" t="s">
        <v>6161</v>
      </c>
      <c r="E54">
        <v>18373000</v>
      </c>
      <c r="F54">
        <v>202814275310</v>
      </c>
    </row>
    <row r="55" spans="1:6" x14ac:dyDescent="0.3">
      <c r="A55">
        <v>16</v>
      </c>
      <c r="B55" t="s">
        <v>7251</v>
      </c>
      <c r="C55" t="s">
        <v>6160</v>
      </c>
      <c r="E55">
        <v>18373000</v>
      </c>
      <c r="F55">
        <v>202795902310</v>
      </c>
    </row>
    <row r="56" spans="1:6" x14ac:dyDescent="0.3">
      <c r="A56">
        <v>16</v>
      </c>
      <c r="B56" t="s">
        <v>7176</v>
      </c>
      <c r="C56" t="s">
        <v>6159</v>
      </c>
      <c r="E56">
        <v>44090909</v>
      </c>
      <c r="F56">
        <v>202777529310</v>
      </c>
    </row>
    <row r="57" spans="1:6" x14ac:dyDescent="0.3">
      <c r="A57">
        <v>16</v>
      </c>
      <c r="B57" t="s">
        <v>7273</v>
      </c>
      <c r="C57" t="s">
        <v>6158</v>
      </c>
      <c r="E57">
        <v>166500000</v>
      </c>
      <c r="F57">
        <v>202733438401</v>
      </c>
    </row>
    <row r="58" spans="1:6" x14ac:dyDescent="0.3">
      <c r="A58">
        <v>16</v>
      </c>
      <c r="B58" t="s">
        <v>7176</v>
      </c>
      <c r="C58" t="s">
        <v>6157</v>
      </c>
      <c r="E58">
        <v>39090909</v>
      </c>
      <c r="F58">
        <v>202566938401</v>
      </c>
    </row>
    <row r="59" spans="1:6" x14ac:dyDescent="0.3">
      <c r="A59">
        <v>16</v>
      </c>
      <c r="B59" t="s">
        <v>7261</v>
      </c>
      <c r="C59" t="s">
        <v>6156</v>
      </c>
      <c r="E59">
        <v>147272727</v>
      </c>
      <c r="F59">
        <v>202527847492</v>
      </c>
    </row>
    <row r="60" spans="1:6" x14ac:dyDescent="0.3">
      <c r="A60">
        <v>16</v>
      </c>
      <c r="B60" t="s">
        <v>7170</v>
      </c>
      <c r="C60" t="s">
        <v>6155</v>
      </c>
      <c r="E60">
        <v>175000000</v>
      </c>
      <c r="F60">
        <v>202380574765</v>
      </c>
    </row>
    <row r="61" spans="1:6" x14ac:dyDescent="0.3">
      <c r="A61">
        <v>16</v>
      </c>
      <c r="B61" t="s">
        <v>7340</v>
      </c>
      <c r="C61" t="s">
        <v>4305</v>
      </c>
      <c r="E61">
        <v>605901</v>
      </c>
      <c r="F61">
        <v>202205574765</v>
      </c>
    </row>
    <row r="62" spans="1:6" x14ac:dyDescent="0.3">
      <c r="A62">
        <v>16</v>
      </c>
      <c r="B62" t="s">
        <v>7203</v>
      </c>
      <c r="C62" t="s">
        <v>6154</v>
      </c>
      <c r="E62">
        <v>38500000</v>
      </c>
      <c r="F62">
        <v>202204968864</v>
      </c>
    </row>
    <row r="63" spans="1:6" x14ac:dyDescent="0.3">
      <c r="A63">
        <v>16</v>
      </c>
      <c r="B63" t="s">
        <v>7156</v>
      </c>
      <c r="C63" t="s">
        <v>6153</v>
      </c>
      <c r="E63">
        <v>15440000</v>
      </c>
      <c r="F63">
        <v>202166468864</v>
      </c>
    </row>
    <row r="64" spans="1:6" x14ac:dyDescent="0.3">
      <c r="A64">
        <v>16</v>
      </c>
      <c r="B64" t="s">
        <v>7156</v>
      </c>
      <c r="C64" t="s">
        <v>6152</v>
      </c>
      <c r="E64">
        <v>14663636</v>
      </c>
      <c r="F64">
        <v>202151028864</v>
      </c>
    </row>
    <row r="65" spans="1:6" x14ac:dyDescent="0.3">
      <c r="A65">
        <v>16</v>
      </c>
      <c r="B65" t="s">
        <v>7156</v>
      </c>
      <c r="C65" t="s">
        <v>4978</v>
      </c>
      <c r="E65">
        <v>14300000</v>
      </c>
      <c r="F65">
        <v>202136365228</v>
      </c>
    </row>
    <row r="66" spans="1:6" x14ac:dyDescent="0.3">
      <c r="A66">
        <v>16</v>
      </c>
      <c r="B66" t="s">
        <v>7261</v>
      </c>
      <c r="C66" t="s">
        <v>6151</v>
      </c>
      <c r="E66">
        <v>147300000</v>
      </c>
      <c r="F66">
        <v>202122065228</v>
      </c>
    </row>
    <row r="67" spans="1:6" x14ac:dyDescent="0.3">
      <c r="A67">
        <v>16</v>
      </c>
      <c r="B67" t="s">
        <v>7273</v>
      </c>
      <c r="C67" t="s">
        <v>6150</v>
      </c>
      <c r="E67">
        <v>162000000</v>
      </c>
      <c r="F67">
        <v>201974765228</v>
      </c>
    </row>
    <row r="68" spans="1:6" x14ac:dyDescent="0.3">
      <c r="A68">
        <v>16</v>
      </c>
      <c r="B68" t="s">
        <v>7261</v>
      </c>
      <c r="C68" t="s">
        <v>6149</v>
      </c>
      <c r="E68">
        <v>147300000</v>
      </c>
      <c r="F68">
        <v>201812765228</v>
      </c>
    </row>
    <row r="69" spans="1:6" x14ac:dyDescent="0.3">
      <c r="A69">
        <v>16</v>
      </c>
      <c r="B69" t="s">
        <v>7203</v>
      </c>
      <c r="C69" t="s">
        <v>6148</v>
      </c>
      <c r="E69">
        <v>36772727</v>
      </c>
      <c r="F69">
        <v>201665465228</v>
      </c>
    </row>
    <row r="70" spans="1:6" x14ac:dyDescent="0.3">
      <c r="A70">
        <v>16</v>
      </c>
      <c r="B70" t="s">
        <v>7251</v>
      </c>
      <c r="C70" t="s">
        <v>3752</v>
      </c>
      <c r="E70">
        <v>34545454</v>
      </c>
      <c r="F70">
        <v>201628692501</v>
      </c>
    </row>
    <row r="71" spans="1:6" x14ac:dyDescent="0.3">
      <c r="A71">
        <v>16</v>
      </c>
      <c r="B71" t="s">
        <v>7282</v>
      </c>
      <c r="C71" t="s">
        <v>6147</v>
      </c>
      <c r="E71">
        <v>160000000</v>
      </c>
      <c r="F71">
        <v>201594147047</v>
      </c>
    </row>
    <row r="72" spans="1:6" x14ac:dyDescent="0.3">
      <c r="A72">
        <v>16</v>
      </c>
      <c r="B72" t="s">
        <v>7176</v>
      </c>
      <c r="C72" t="s">
        <v>5584</v>
      </c>
      <c r="E72">
        <v>40200000</v>
      </c>
      <c r="F72">
        <v>201434147047</v>
      </c>
    </row>
    <row r="73" spans="1:6" x14ac:dyDescent="0.3">
      <c r="A73">
        <v>16</v>
      </c>
      <c r="B73" t="s">
        <v>7203</v>
      </c>
      <c r="C73" t="s">
        <v>6146</v>
      </c>
      <c r="E73">
        <v>37000000</v>
      </c>
      <c r="F73">
        <v>201393947047</v>
      </c>
    </row>
    <row r="74" spans="1:6" x14ac:dyDescent="0.3">
      <c r="A74">
        <v>16</v>
      </c>
      <c r="B74" t="s">
        <v>7203</v>
      </c>
      <c r="C74" t="s">
        <v>3529</v>
      </c>
      <c r="E74">
        <v>18373000</v>
      </c>
      <c r="F74">
        <v>201356947047</v>
      </c>
    </row>
    <row r="75" spans="1:6" x14ac:dyDescent="0.3">
      <c r="A75">
        <v>16</v>
      </c>
      <c r="B75" t="s">
        <v>7247</v>
      </c>
      <c r="C75" t="s">
        <v>6145</v>
      </c>
      <c r="E75">
        <v>44090909</v>
      </c>
      <c r="F75">
        <v>201338574047</v>
      </c>
    </row>
    <row r="76" spans="1:6" x14ac:dyDescent="0.3">
      <c r="A76">
        <v>16</v>
      </c>
      <c r="B76" t="s">
        <v>7176</v>
      </c>
      <c r="C76" t="s">
        <v>6144</v>
      </c>
      <c r="E76">
        <v>45454545</v>
      </c>
      <c r="F76">
        <v>201294483138</v>
      </c>
    </row>
    <row r="77" spans="1:6" x14ac:dyDescent="0.3">
      <c r="A77">
        <v>16</v>
      </c>
      <c r="B77" t="s">
        <v>7176</v>
      </c>
      <c r="C77" t="s">
        <v>6143</v>
      </c>
      <c r="E77">
        <v>37700000</v>
      </c>
      <c r="F77">
        <v>201249028593</v>
      </c>
    </row>
    <row r="78" spans="1:6" x14ac:dyDescent="0.3">
      <c r="A78">
        <v>16</v>
      </c>
      <c r="B78" t="s">
        <v>7203</v>
      </c>
      <c r="C78" t="s">
        <v>6142</v>
      </c>
      <c r="E78">
        <v>17803000</v>
      </c>
      <c r="F78">
        <v>201211328593</v>
      </c>
    </row>
    <row r="79" spans="1:6" x14ac:dyDescent="0.3">
      <c r="A79">
        <v>16</v>
      </c>
      <c r="B79" t="s">
        <v>7339</v>
      </c>
      <c r="C79" t="s">
        <v>4305</v>
      </c>
      <c r="E79">
        <v>1678066800</v>
      </c>
      <c r="F79">
        <v>201193525593</v>
      </c>
    </row>
    <row r="80" spans="1:6" x14ac:dyDescent="0.3">
      <c r="A80">
        <v>16</v>
      </c>
      <c r="B80" t="s">
        <v>7261</v>
      </c>
      <c r="C80" t="s">
        <v>6141</v>
      </c>
      <c r="E80">
        <v>144200000</v>
      </c>
      <c r="F80">
        <v>199515458793</v>
      </c>
    </row>
    <row r="81" spans="1:6" x14ac:dyDescent="0.3">
      <c r="A81">
        <v>16</v>
      </c>
      <c r="B81" t="s">
        <v>7154</v>
      </c>
      <c r="C81" t="s">
        <v>6140</v>
      </c>
      <c r="E81">
        <v>51000000</v>
      </c>
      <c r="F81">
        <v>199371258793</v>
      </c>
    </row>
    <row r="82" spans="1:6" x14ac:dyDescent="0.3">
      <c r="A82">
        <v>16</v>
      </c>
      <c r="B82" t="s">
        <v>7273</v>
      </c>
      <c r="C82" t="s">
        <v>6139</v>
      </c>
      <c r="E82">
        <v>162000000</v>
      </c>
      <c r="F82">
        <v>199320258793</v>
      </c>
    </row>
    <row r="83" spans="1:6" x14ac:dyDescent="0.3">
      <c r="A83">
        <v>16</v>
      </c>
      <c r="B83" t="s">
        <v>7156</v>
      </c>
      <c r="C83" t="s">
        <v>6138</v>
      </c>
      <c r="E83">
        <v>16018182</v>
      </c>
      <c r="F83">
        <v>199158258793</v>
      </c>
    </row>
    <row r="84" spans="1:6" x14ac:dyDescent="0.3">
      <c r="A84">
        <v>16</v>
      </c>
      <c r="B84" t="s">
        <v>7154</v>
      </c>
      <c r="C84" t="s">
        <v>6137</v>
      </c>
      <c r="E84">
        <v>50500000</v>
      </c>
      <c r="F84">
        <v>199142240611</v>
      </c>
    </row>
    <row r="85" spans="1:6" x14ac:dyDescent="0.3">
      <c r="A85">
        <v>16</v>
      </c>
      <c r="B85" t="s">
        <v>7176</v>
      </c>
      <c r="C85" t="s">
        <v>6136</v>
      </c>
      <c r="E85">
        <v>39500000</v>
      </c>
      <c r="F85">
        <v>199091740611</v>
      </c>
    </row>
    <row r="86" spans="1:6" x14ac:dyDescent="0.3">
      <c r="A86">
        <v>16</v>
      </c>
      <c r="B86" t="s">
        <v>7203</v>
      </c>
      <c r="C86" t="s">
        <v>6135</v>
      </c>
      <c r="E86">
        <v>36363636</v>
      </c>
      <c r="F86">
        <v>199052240611</v>
      </c>
    </row>
    <row r="87" spans="1:6" x14ac:dyDescent="0.3">
      <c r="A87">
        <v>16</v>
      </c>
      <c r="B87" t="s">
        <v>7331</v>
      </c>
      <c r="C87" t="s">
        <v>6134</v>
      </c>
      <c r="E87">
        <v>41000000</v>
      </c>
      <c r="F87">
        <v>199015876975</v>
      </c>
    </row>
    <row r="88" spans="1:6" x14ac:dyDescent="0.3">
      <c r="A88">
        <v>16</v>
      </c>
      <c r="B88" t="s">
        <v>7156</v>
      </c>
      <c r="C88" t="s">
        <v>4213</v>
      </c>
      <c r="E88">
        <v>14500000</v>
      </c>
      <c r="F88">
        <v>198974876975</v>
      </c>
    </row>
    <row r="89" spans="1:6" x14ac:dyDescent="0.3">
      <c r="A89">
        <v>16</v>
      </c>
      <c r="B89" t="s">
        <v>7154</v>
      </c>
      <c r="C89" t="s">
        <v>6133</v>
      </c>
      <c r="E89">
        <v>50454545</v>
      </c>
      <c r="F89">
        <v>198960376975</v>
      </c>
    </row>
    <row r="90" spans="1:6" x14ac:dyDescent="0.3">
      <c r="A90">
        <v>16</v>
      </c>
      <c r="B90" t="s">
        <v>7154</v>
      </c>
      <c r="C90" t="s">
        <v>6132</v>
      </c>
      <c r="E90">
        <v>51181818</v>
      </c>
      <c r="F90">
        <v>198909922430</v>
      </c>
    </row>
    <row r="91" spans="1:6" x14ac:dyDescent="0.3">
      <c r="A91">
        <v>16</v>
      </c>
      <c r="B91" t="s">
        <v>7170</v>
      </c>
      <c r="C91" t="s">
        <v>6131</v>
      </c>
      <c r="E91">
        <v>175000000</v>
      </c>
      <c r="F91">
        <v>198858740612</v>
      </c>
    </row>
    <row r="92" spans="1:6" x14ac:dyDescent="0.3">
      <c r="A92">
        <v>16</v>
      </c>
      <c r="B92" t="s">
        <v>7156</v>
      </c>
      <c r="C92" t="s">
        <v>6130</v>
      </c>
      <c r="E92">
        <v>14500000</v>
      </c>
      <c r="F92">
        <v>198683740612</v>
      </c>
    </row>
    <row r="93" spans="1:6" x14ac:dyDescent="0.3">
      <c r="A93">
        <v>16</v>
      </c>
      <c r="B93" t="s">
        <v>7156</v>
      </c>
      <c r="C93" t="s">
        <v>6130</v>
      </c>
      <c r="E93">
        <v>14500000</v>
      </c>
      <c r="F93">
        <v>198669240612</v>
      </c>
    </row>
    <row r="94" spans="1:6" x14ac:dyDescent="0.3">
      <c r="A94">
        <v>16</v>
      </c>
      <c r="B94" t="s">
        <v>7156</v>
      </c>
      <c r="C94" t="s">
        <v>6130</v>
      </c>
      <c r="E94">
        <v>14500000</v>
      </c>
      <c r="F94">
        <v>198654740612</v>
      </c>
    </row>
    <row r="95" spans="1:6" x14ac:dyDescent="0.3">
      <c r="A95">
        <v>16</v>
      </c>
      <c r="B95" t="s">
        <v>7156</v>
      </c>
      <c r="C95" t="s">
        <v>6130</v>
      </c>
      <c r="E95">
        <v>14500000</v>
      </c>
      <c r="F95">
        <v>198640240612</v>
      </c>
    </row>
    <row r="96" spans="1:6" x14ac:dyDescent="0.3">
      <c r="A96">
        <v>16</v>
      </c>
      <c r="B96" t="s">
        <v>7156</v>
      </c>
      <c r="C96" t="s">
        <v>6130</v>
      </c>
      <c r="E96">
        <v>14500000</v>
      </c>
      <c r="F96">
        <v>198625740612</v>
      </c>
    </row>
    <row r="97" spans="1:6" x14ac:dyDescent="0.3">
      <c r="A97">
        <v>16</v>
      </c>
      <c r="B97" t="s">
        <v>7282</v>
      </c>
      <c r="C97" t="s">
        <v>6129</v>
      </c>
      <c r="E97">
        <v>155000000</v>
      </c>
      <c r="F97">
        <v>198611240612</v>
      </c>
    </row>
    <row r="98" spans="1:6" x14ac:dyDescent="0.3">
      <c r="A98">
        <v>16</v>
      </c>
      <c r="B98" t="s">
        <v>7203</v>
      </c>
      <c r="C98" t="s">
        <v>6128</v>
      </c>
      <c r="E98">
        <v>38500000</v>
      </c>
      <c r="F98">
        <v>198456240612</v>
      </c>
    </row>
    <row r="99" spans="1:6" x14ac:dyDescent="0.3">
      <c r="A99">
        <v>16</v>
      </c>
      <c r="B99" t="s">
        <v>7203</v>
      </c>
      <c r="C99" t="s">
        <v>6127</v>
      </c>
      <c r="E99">
        <v>17600000</v>
      </c>
      <c r="F99">
        <v>198417740612</v>
      </c>
    </row>
    <row r="100" spans="1:6" x14ac:dyDescent="0.3">
      <c r="A100">
        <v>16</v>
      </c>
      <c r="B100" t="s">
        <v>7203</v>
      </c>
      <c r="C100" t="s">
        <v>6126</v>
      </c>
      <c r="E100">
        <v>38181818</v>
      </c>
      <c r="F100">
        <v>198400140612</v>
      </c>
    </row>
    <row r="101" spans="1:6" x14ac:dyDescent="0.3">
      <c r="A101">
        <v>16</v>
      </c>
      <c r="B101" t="s">
        <v>7251</v>
      </c>
      <c r="C101" t="s">
        <v>6125</v>
      </c>
      <c r="E101">
        <v>35909091</v>
      </c>
      <c r="F101">
        <v>198361958794</v>
      </c>
    </row>
    <row r="102" spans="1:6" x14ac:dyDescent="0.3">
      <c r="A102">
        <v>16</v>
      </c>
      <c r="B102" t="s">
        <v>7273</v>
      </c>
      <c r="C102" t="s">
        <v>6124</v>
      </c>
      <c r="E102">
        <v>163000000</v>
      </c>
      <c r="F102">
        <v>198326049703</v>
      </c>
    </row>
    <row r="103" spans="1:6" x14ac:dyDescent="0.3">
      <c r="A103">
        <v>16</v>
      </c>
      <c r="B103" t="s">
        <v>7203</v>
      </c>
      <c r="C103" t="s">
        <v>6123</v>
      </c>
      <c r="E103">
        <v>17803000</v>
      </c>
      <c r="F103">
        <v>198163049703</v>
      </c>
    </row>
    <row r="104" spans="1:6" x14ac:dyDescent="0.3">
      <c r="A104">
        <v>16</v>
      </c>
      <c r="B104" t="s">
        <v>7203</v>
      </c>
      <c r="C104" t="s">
        <v>6122</v>
      </c>
      <c r="E104">
        <v>17803000</v>
      </c>
      <c r="F104">
        <v>198145246703</v>
      </c>
    </row>
    <row r="105" spans="1:6" x14ac:dyDescent="0.3">
      <c r="A105">
        <v>16</v>
      </c>
      <c r="B105" t="s">
        <v>7156</v>
      </c>
      <c r="C105" t="s">
        <v>6121</v>
      </c>
      <c r="E105">
        <v>14500000</v>
      </c>
      <c r="F105">
        <v>198127443703</v>
      </c>
    </row>
    <row r="106" spans="1:6" x14ac:dyDescent="0.3">
      <c r="A106">
        <v>16</v>
      </c>
      <c r="B106" t="s">
        <v>7338</v>
      </c>
      <c r="C106" t="s">
        <v>6120</v>
      </c>
      <c r="E106">
        <v>5079636</v>
      </c>
      <c r="F106">
        <v>198112943703</v>
      </c>
    </row>
    <row r="107" spans="1:6" x14ac:dyDescent="0.3">
      <c r="A107">
        <v>16</v>
      </c>
      <c r="B107" t="s">
        <v>7203</v>
      </c>
      <c r="C107" t="s">
        <v>6119</v>
      </c>
      <c r="E107">
        <v>37500000</v>
      </c>
      <c r="F107">
        <v>198107864067</v>
      </c>
    </row>
    <row r="108" spans="1:6" x14ac:dyDescent="0.3">
      <c r="A108">
        <v>16</v>
      </c>
      <c r="B108" t="s">
        <v>7203</v>
      </c>
      <c r="C108" t="s">
        <v>6118</v>
      </c>
      <c r="E108">
        <v>18373000</v>
      </c>
      <c r="F108">
        <v>198070364067</v>
      </c>
    </row>
    <row r="109" spans="1:6" x14ac:dyDescent="0.3">
      <c r="A109">
        <v>16</v>
      </c>
      <c r="B109" t="s">
        <v>7186</v>
      </c>
      <c r="C109" t="s">
        <v>6117</v>
      </c>
      <c r="E109">
        <v>54545455</v>
      </c>
      <c r="F109">
        <v>198051991067</v>
      </c>
    </row>
    <row r="110" spans="1:6" x14ac:dyDescent="0.3">
      <c r="A110">
        <v>16</v>
      </c>
      <c r="B110" t="s">
        <v>7176</v>
      </c>
      <c r="C110" t="s">
        <v>6116</v>
      </c>
      <c r="E110">
        <v>43636364</v>
      </c>
      <c r="F110">
        <v>197997445612</v>
      </c>
    </row>
    <row r="111" spans="1:6" x14ac:dyDescent="0.3">
      <c r="A111">
        <v>16</v>
      </c>
      <c r="B111" t="s">
        <v>7154</v>
      </c>
      <c r="C111" t="s">
        <v>6115</v>
      </c>
      <c r="E111">
        <v>48500000</v>
      </c>
      <c r="F111">
        <v>197953809248</v>
      </c>
    </row>
    <row r="112" spans="1:6" x14ac:dyDescent="0.3">
      <c r="A112">
        <v>16</v>
      </c>
      <c r="B112" t="s">
        <v>7331</v>
      </c>
      <c r="C112" t="s">
        <v>6114</v>
      </c>
      <c r="E112">
        <v>42700000</v>
      </c>
      <c r="F112">
        <v>197905309248</v>
      </c>
    </row>
    <row r="113" spans="1:6" x14ac:dyDescent="0.3">
      <c r="A113">
        <v>16</v>
      </c>
      <c r="B113" t="s">
        <v>7203</v>
      </c>
      <c r="C113" t="s">
        <v>6113</v>
      </c>
      <c r="E113">
        <v>37727272</v>
      </c>
      <c r="F113">
        <v>197862609248</v>
      </c>
    </row>
    <row r="114" spans="1:6" x14ac:dyDescent="0.3">
      <c r="A114">
        <v>16</v>
      </c>
      <c r="B114" t="s">
        <v>7156</v>
      </c>
      <c r="C114" t="s">
        <v>6112</v>
      </c>
      <c r="E114">
        <v>12800000</v>
      </c>
      <c r="F114">
        <v>197824881976</v>
      </c>
    </row>
    <row r="115" spans="1:6" x14ac:dyDescent="0.3">
      <c r="A115">
        <v>16</v>
      </c>
      <c r="B115" t="s">
        <v>7156</v>
      </c>
      <c r="C115" t="s">
        <v>6111</v>
      </c>
      <c r="E115">
        <v>14309091</v>
      </c>
      <c r="F115">
        <v>197812081976</v>
      </c>
    </row>
    <row r="116" spans="1:6" x14ac:dyDescent="0.3">
      <c r="A116">
        <v>16</v>
      </c>
      <c r="B116" t="s">
        <v>7176</v>
      </c>
      <c r="C116" t="s">
        <v>6110</v>
      </c>
      <c r="E116">
        <v>41000000</v>
      </c>
      <c r="F116">
        <v>197797772885</v>
      </c>
    </row>
    <row r="117" spans="1:6" x14ac:dyDescent="0.3">
      <c r="A117">
        <v>16</v>
      </c>
      <c r="B117" t="s">
        <v>7203</v>
      </c>
      <c r="C117" t="s">
        <v>6109</v>
      </c>
      <c r="E117">
        <v>38181818</v>
      </c>
      <c r="F117">
        <v>197756772885</v>
      </c>
    </row>
    <row r="118" spans="1:6" x14ac:dyDescent="0.3">
      <c r="A118">
        <v>16</v>
      </c>
      <c r="B118" t="s">
        <v>7203</v>
      </c>
      <c r="C118" t="s">
        <v>6108</v>
      </c>
      <c r="E118">
        <v>38181818</v>
      </c>
      <c r="F118">
        <v>197718591067</v>
      </c>
    </row>
    <row r="119" spans="1:6" x14ac:dyDescent="0.3">
      <c r="A119">
        <v>16</v>
      </c>
      <c r="B119" t="s">
        <v>7203</v>
      </c>
      <c r="C119" t="s">
        <v>6107</v>
      </c>
      <c r="E119">
        <v>17573000</v>
      </c>
      <c r="F119">
        <v>197680409249</v>
      </c>
    </row>
    <row r="120" spans="1:6" x14ac:dyDescent="0.3">
      <c r="A120">
        <v>16</v>
      </c>
      <c r="B120" t="s">
        <v>7203</v>
      </c>
      <c r="C120" t="s">
        <v>6106</v>
      </c>
      <c r="E120">
        <v>18373000</v>
      </c>
      <c r="F120">
        <v>197662836249</v>
      </c>
    </row>
    <row r="121" spans="1:6" x14ac:dyDescent="0.3">
      <c r="A121">
        <v>16</v>
      </c>
      <c r="B121" t="s">
        <v>7203</v>
      </c>
      <c r="C121" t="s">
        <v>6106</v>
      </c>
      <c r="E121">
        <v>18373000</v>
      </c>
      <c r="F121">
        <v>197644463249</v>
      </c>
    </row>
    <row r="122" spans="1:6" x14ac:dyDescent="0.3">
      <c r="A122">
        <v>16</v>
      </c>
      <c r="B122" t="s">
        <v>7154</v>
      </c>
      <c r="C122" t="s">
        <v>6105</v>
      </c>
      <c r="E122">
        <v>31038079</v>
      </c>
      <c r="F122">
        <v>197626090249</v>
      </c>
    </row>
    <row r="123" spans="1:6" x14ac:dyDescent="0.3">
      <c r="A123">
        <v>16</v>
      </c>
      <c r="B123" t="s">
        <v>7261</v>
      </c>
      <c r="C123" t="s">
        <v>6104</v>
      </c>
      <c r="E123">
        <v>144950000</v>
      </c>
      <c r="F123">
        <v>197595052170</v>
      </c>
    </row>
    <row r="124" spans="1:6" x14ac:dyDescent="0.3">
      <c r="A124">
        <v>16</v>
      </c>
      <c r="B124" t="s">
        <v>7154</v>
      </c>
      <c r="C124" t="s">
        <v>6103</v>
      </c>
      <c r="E124">
        <v>51000000</v>
      </c>
      <c r="F124">
        <v>197450102170</v>
      </c>
    </row>
    <row r="125" spans="1:6" x14ac:dyDescent="0.3">
      <c r="A125">
        <v>16</v>
      </c>
      <c r="B125" t="s">
        <v>7156</v>
      </c>
      <c r="C125" t="s">
        <v>6102</v>
      </c>
      <c r="E125">
        <v>13909091</v>
      </c>
      <c r="F125">
        <v>197399102170</v>
      </c>
    </row>
    <row r="126" spans="1:6" x14ac:dyDescent="0.3">
      <c r="A126">
        <v>16</v>
      </c>
      <c r="B126" t="s">
        <v>7154</v>
      </c>
      <c r="C126" t="s">
        <v>6101</v>
      </c>
      <c r="E126">
        <v>50909091</v>
      </c>
      <c r="F126">
        <v>197385193079</v>
      </c>
    </row>
    <row r="127" spans="1:6" x14ac:dyDescent="0.3">
      <c r="A127">
        <v>16</v>
      </c>
      <c r="B127" t="s">
        <v>7203</v>
      </c>
      <c r="C127" t="s">
        <v>6100</v>
      </c>
      <c r="E127">
        <v>35000000</v>
      </c>
      <c r="F127">
        <v>197334283988</v>
      </c>
    </row>
    <row r="128" spans="1:6" x14ac:dyDescent="0.3">
      <c r="A128">
        <v>16</v>
      </c>
      <c r="B128" t="s">
        <v>7203</v>
      </c>
      <c r="C128" t="s">
        <v>6099</v>
      </c>
      <c r="E128">
        <v>27375170</v>
      </c>
      <c r="F128">
        <v>197299283988</v>
      </c>
    </row>
    <row r="129" spans="1:6" x14ac:dyDescent="0.3">
      <c r="A129">
        <v>16</v>
      </c>
      <c r="B129" t="s">
        <v>7252</v>
      </c>
      <c r="C129" t="s">
        <v>6098</v>
      </c>
      <c r="E129">
        <v>60000000</v>
      </c>
      <c r="F129">
        <v>197271908818</v>
      </c>
    </row>
    <row r="130" spans="1:6" x14ac:dyDescent="0.3">
      <c r="A130">
        <v>16</v>
      </c>
      <c r="B130" t="s">
        <v>7203</v>
      </c>
      <c r="C130" t="s">
        <v>6097</v>
      </c>
      <c r="E130">
        <v>37500000</v>
      </c>
      <c r="F130">
        <v>197211908818</v>
      </c>
    </row>
    <row r="131" spans="1:6" x14ac:dyDescent="0.3">
      <c r="A131">
        <v>16</v>
      </c>
      <c r="B131" t="s">
        <v>7170</v>
      </c>
      <c r="C131" t="s">
        <v>6096</v>
      </c>
      <c r="E131">
        <v>171000000</v>
      </c>
      <c r="F131">
        <v>197174408818</v>
      </c>
    </row>
    <row r="132" spans="1:6" x14ac:dyDescent="0.3">
      <c r="A132">
        <v>16</v>
      </c>
      <c r="B132" t="s">
        <v>7170</v>
      </c>
      <c r="C132" t="s">
        <v>6095</v>
      </c>
      <c r="E132">
        <v>175000000</v>
      </c>
      <c r="F132">
        <v>197003408818</v>
      </c>
    </row>
    <row r="133" spans="1:6" x14ac:dyDescent="0.3">
      <c r="A133">
        <v>16</v>
      </c>
      <c r="B133" t="s">
        <v>7261</v>
      </c>
      <c r="C133" t="s">
        <v>6094</v>
      </c>
      <c r="E133">
        <v>148200000</v>
      </c>
      <c r="F133">
        <v>196828408818</v>
      </c>
    </row>
    <row r="134" spans="1:6" x14ac:dyDescent="0.3">
      <c r="A134">
        <v>16</v>
      </c>
      <c r="B134" t="s">
        <v>7203</v>
      </c>
      <c r="C134" t="s">
        <v>3633</v>
      </c>
      <c r="E134">
        <v>20144000</v>
      </c>
      <c r="F134">
        <v>196680208818</v>
      </c>
    </row>
    <row r="135" spans="1:6" x14ac:dyDescent="0.3">
      <c r="A135">
        <v>16</v>
      </c>
      <c r="B135" t="s">
        <v>7156</v>
      </c>
      <c r="C135" t="s">
        <v>6093</v>
      </c>
      <c r="E135">
        <v>15000000</v>
      </c>
      <c r="F135">
        <v>196660064818</v>
      </c>
    </row>
    <row r="136" spans="1:6" x14ac:dyDescent="0.3">
      <c r="A136">
        <v>16</v>
      </c>
      <c r="B136" t="s">
        <v>7154</v>
      </c>
      <c r="C136" t="s">
        <v>6092</v>
      </c>
      <c r="E136">
        <v>52409091</v>
      </c>
      <c r="F136">
        <v>196645064818</v>
      </c>
    </row>
    <row r="137" spans="1:6" x14ac:dyDescent="0.3">
      <c r="A137">
        <v>16</v>
      </c>
      <c r="B137" t="s">
        <v>7156</v>
      </c>
      <c r="C137" t="s">
        <v>6091</v>
      </c>
      <c r="E137">
        <v>14300000</v>
      </c>
      <c r="F137">
        <v>196592655727</v>
      </c>
    </row>
    <row r="138" spans="1:6" x14ac:dyDescent="0.3">
      <c r="A138">
        <v>16</v>
      </c>
      <c r="B138" t="s">
        <v>7156</v>
      </c>
      <c r="C138" t="s">
        <v>6090</v>
      </c>
      <c r="E138">
        <v>14545455</v>
      </c>
      <c r="F138">
        <v>196578355727</v>
      </c>
    </row>
    <row r="139" spans="1:6" x14ac:dyDescent="0.3">
      <c r="A139">
        <v>16</v>
      </c>
      <c r="B139" t="s">
        <v>7176</v>
      </c>
      <c r="C139" t="s">
        <v>3665</v>
      </c>
      <c r="E139">
        <v>40450000</v>
      </c>
      <c r="F139">
        <v>196563810272</v>
      </c>
    </row>
    <row r="140" spans="1:6" x14ac:dyDescent="0.3">
      <c r="A140">
        <v>16</v>
      </c>
      <c r="B140" t="s">
        <v>7203</v>
      </c>
      <c r="C140" t="s">
        <v>6089</v>
      </c>
      <c r="E140">
        <v>20144000</v>
      </c>
      <c r="F140">
        <v>196523360272</v>
      </c>
    </row>
    <row r="141" spans="1:6" x14ac:dyDescent="0.3">
      <c r="A141">
        <v>16</v>
      </c>
      <c r="B141" t="s">
        <v>7203</v>
      </c>
      <c r="C141" t="s">
        <v>5693</v>
      </c>
      <c r="E141">
        <v>16956000</v>
      </c>
      <c r="F141">
        <v>196503216272</v>
      </c>
    </row>
    <row r="142" spans="1:6" x14ac:dyDescent="0.3">
      <c r="A142">
        <v>16</v>
      </c>
      <c r="B142" t="s">
        <v>2954</v>
      </c>
      <c r="C142" t="s">
        <v>5138</v>
      </c>
      <c r="E142">
        <v>13180000</v>
      </c>
      <c r="F142">
        <v>196486260272</v>
      </c>
    </row>
    <row r="143" spans="1:6" x14ac:dyDescent="0.3">
      <c r="A143">
        <v>16</v>
      </c>
      <c r="B143" t="s">
        <v>7156</v>
      </c>
      <c r="C143" t="s">
        <v>6088</v>
      </c>
      <c r="E143">
        <v>14200000</v>
      </c>
      <c r="F143">
        <v>196473080272</v>
      </c>
    </row>
    <row r="144" spans="1:6" x14ac:dyDescent="0.3">
      <c r="A144">
        <v>16</v>
      </c>
      <c r="B144" t="s">
        <v>7176</v>
      </c>
      <c r="C144" t="s">
        <v>6087</v>
      </c>
      <c r="E144">
        <v>45300000</v>
      </c>
      <c r="F144">
        <v>196458880272</v>
      </c>
    </row>
    <row r="145" spans="1:6" x14ac:dyDescent="0.3">
      <c r="A145">
        <v>16</v>
      </c>
      <c r="B145" t="s">
        <v>7154</v>
      </c>
      <c r="C145" t="s">
        <v>6086</v>
      </c>
      <c r="E145">
        <v>51818182</v>
      </c>
      <c r="F145">
        <v>196413580272</v>
      </c>
    </row>
    <row r="146" spans="1:6" x14ac:dyDescent="0.3">
      <c r="A146">
        <v>16</v>
      </c>
      <c r="B146" t="s">
        <v>7203</v>
      </c>
      <c r="C146" t="s">
        <v>6085</v>
      </c>
      <c r="E146">
        <v>35000000</v>
      </c>
      <c r="F146">
        <v>196361762090</v>
      </c>
    </row>
    <row r="147" spans="1:6" x14ac:dyDescent="0.3">
      <c r="A147">
        <v>16</v>
      </c>
      <c r="B147" t="s">
        <v>7261</v>
      </c>
      <c r="C147" t="s">
        <v>6084</v>
      </c>
      <c r="E147">
        <v>128636364</v>
      </c>
      <c r="F147">
        <v>196326762090</v>
      </c>
    </row>
    <row r="148" spans="1:6" x14ac:dyDescent="0.3">
      <c r="A148">
        <v>16</v>
      </c>
      <c r="B148" t="s">
        <v>7337</v>
      </c>
      <c r="C148" t="s">
        <v>4305</v>
      </c>
      <c r="E148">
        <v>701280</v>
      </c>
      <c r="F148">
        <v>196198125726</v>
      </c>
    </row>
    <row r="149" spans="1:6" x14ac:dyDescent="0.3">
      <c r="A149">
        <v>16</v>
      </c>
      <c r="B149" t="s">
        <v>2054</v>
      </c>
      <c r="C149" t="s">
        <v>6083</v>
      </c>
      <c r="E149">
        <v>14200000</v>
      </c>
      <c r="F149">
        <v>196197424446</v>
      </c>
    </row>
    <row r="150" spans="1:6" x14ac:dyDescent="0.3">
      <c r="A150">
        <v>16</v>
      </c>
      <c r="B150" t="s">
        <v>2028</v>
      </c>
      <c r="C150" t="s">
        <v>6082</v>
      </c>
      <c r="E150">
        <v>12200000</v>
      </c>
      <c r="F150">
        <v>196183224446</v>
      </c>
    </row>
    <row r="151" spans="1:6" x14ac:dyDescent="0.3">
      <c r="A151">
        <v>16</v>
      </c>
      <c r="B151" t="s">
        <v>7203</v>
      </c>
      <c r="C151" t="s">
        <v>6081</v>
      </c>
      <c r="E151">
        <v>20144000</v>
      </c>
      <c r="F151">
        <v>196171024446</v>
      </c>
    </row>
    <row r="152" spans="1:6" x14ac:dyDescent="0.3">
      <c r="A152">
        <v>16</v>
      </c>
      <c r="B152" t="s">
        <v>7203</v>
      </c>
      <c r="C152" t="s">
        <v>6080</v>
      </c>
      <c r="E152">
        <v>39272727</v>
      </c>
      <c r="F152">
        <v>196150880446</v>
      </c>
    </row>
    <row r="153" spans="1:6" x14ac:dyDescent="0.3">
      <c r="A153">
        <v>16</v>
      </c>
      <c r="B153" t="s">
        <v>7203</v>
      </c>
      <c r="C153" t="s">
        <v>4332</v>
      </c>
      <c r="E153">
        <v>20144000</v>
      </c>
      <c r="F153">
        <v>196111607719</v>
      </c>
    </row>
    <row r="154" spans="1:6" x14ac:dyDescent="0.3">
      <c r="A154">
        <v>16</v>
      </c>
      <c r="B154" t="s">
        <v>7203</v>
      </c>
      <c r="C154" t="s">
        <v>6079</v>
      </c>
      <c r="E154">
        <v>38300000</v>
      </c>
      <c r="F154">
        <v>196091463719</v>
      </c>
    </row>
    <row r="155" spans="1:6" x14ac:dyDescent="0.3">
      <c r="A155">
        <v>16</v>
      </c>
      <c r="B155" t="s">
        <v>2954</v>
      </c>
      <c r="C155" t="s">
        <v>6078</v>
      </c>
      <c r="E155">
        <v>14000000</v>
      </c>
      <c r="F155">
        <v>196053163719</v>
      </c>
    </row>
    <row r="156" spans="1:6" x14ac:dyDescent="0.3">
      <c r="A156">
        <v>16</v>
      </c>
      <c r="B156" t="s">
        <v>7156</v>
      </c>
      <c r="C156" t="s">
        <v>6077</v>
      </c>
      <c r="E156">
        <v>14900000</v>
      </c>
      <c r="F156">
        <v>196039163719</v>
      </c>
    </row>
    <row r="157" spans="1:6" x14ac:dyDescent="0.3">
      <c r="A157">
        <v>16</v>
      </c>
      <c r="B157" t="s">
        <v>7170</v>
      </c>
      <c r="C157" t="s">
        <v>6076</v>
      </c>
      <c r="E157">
        <v>171000000</v>
      </c>
      <c r="F157">
        <v>196024263719</v>
      </c>
    </row>
    <row r="158" spans="1:6" x14ac:dyDescent="0.3">
      <c r="A158">
        <v>16</v>
      </c>
      <c r="B158" t="s">
        <v>7170</v>
      </c>
      <c r="C158" t="s">
        <v>6075</v>
      </c>
      <c r="E158">
        <v>175000000</v>
      </c>
      <c r="F158">
        <v>195853263719</v>
      </c>
    </row>
    <row r="159" spans="1:6" x14ac:dyDescent="0.3">
      <c r="A159">
        <v>16</v>
      </c>
      <c r="B159" t="s">
        <v>7282</v>
      </c>
      <c r="C159" t="s">
        <v>6074</v>
      </c>
      <c r="E159">
        <v>160909091</v>
      </c>
      <c r="F159">
        <v>195678263719</v>
      </c>
    </row>
    <row r="160" spans="1:6" x14ac:dyDescent="0.3">
      <c r="A160">
        <v>16</v>
      </c>
      <c r="B160" t="s">
        <v>7282</v>
      </c>
      <c r="C160" t="s">
        <v>4257</v>
      </c>
      <c r="E160">
        <v>160909091</v>
      </c>
      <c r="F160">
        <v>195517354628</v>
      </c>
    </row>
    <row r="161" spans="1:6" x14ac:dyDescent="0.3">
      <c r="A161">
        <v>16</v>
      </c>
      <c r="B161" t="s">
        <v>7203</v>
      </c>
      <c r="C161" t="s">
        <v>4595</v>
      </c>
      <c r="E161">
        <v>20144000</v>
      </c>
      <c r="F161">
        <v>195356445537</v>
      </c>
    </row>
    <row r="162" spans="1:6" x14ac:dyDescent="0.3">
      <c r="A162">
        <v>16</v>
      </c>
      <c r="B162" t="s">
        <v>2954</v>
      </c>
      <c r="C162" t="s">
        <v>6073</v>
      </c>
      <c r="E162">
        <v>14000000</v>
      </c>
      <c r="F162">
        <v>195336301537</v>
      </c>
    </row>
    <row r="163" spans="1:6" x14ac:dyDescent="0.3">
      <c r="A163">
        <v>16</v>
      </c>
      <c r="B163" t="s">
        <v>7251</v>
      </c>
      <c r="C163" t="s">
        <v>3765</v>
      </c>
      <c r="E163">
        <v>36500000</v>
      </c>
      <c r="F163">
        <v>195322301537</v>
      </c>
    </row>
    <row r="164" spans="1:6" x14ac:dyDescent="0.3">
      <c r="A164">
        <v>16</v>
      </c>
      <c r="B164" t="s">
        <v>7154</v>
      </c>
      <c r="C164" t="s">
        <v>5381</v>
      </c>
      <c r="E164">
        <v>48900000</v>
      </c>
      <c r="F164">
        <v>195285801537</v>
      </c>
    </row>
    <row r="165" spans="1:6" x14ac:dyDescent="0.3">
      <c r="A165">
        <v>16</v>
      </c>
      <c r="B165" t="s">
        <v>7154</v>
      </c>
      <c r="C165" t="s">
        <v>5381</v>
      </c>
      <c r="E165">
        <v>-48900000</v>
      </c>
      <c r="F165">
        <v>195236901537</v>
      </c>
    </row>
    <row r="166" spans="1:6" x14ac:dyDescent="0.3">
      <c r="A166">
        <v>16</v>
      </c>
      <c r="B166" t="s">
        <v>7154</v>
      </c>
      <c r="C166" t="s">
        <v>5381</v>
      </c>
      <c r="E166">
        <v>48900000</v>
      </c>
      <c r="F166">
        <v>195285801537</v>
      </c>
    </row>
    <row r="167" spans="1:6" x14ac:dyDescent="0.3">
      <c r="A167">
        <v>16</v>
      </c>
      <c r="B167" t="s">
        <v>7176</v>
      </c>
      <c r="C167" t="s">
        <v>6072</v>
      </c>
      <c r="E167">
        <v>43159091</v>
      </c>
      <c r="F167">
        <v>195236901537</v>
      </c>
    </row>
    <row r="168" spans="1:6" x14ac:dyDescent="0.3">
      <c r="A168">
        <v>16</v>
      </c>
      <c r="B168" t="s">
        <v>7273</v>
      </c>
      <c r="C168" t="s">
        <v>6071</v>
      </c>
      <c r="E168">
        <v>165000000</v>
      </c>
      <c r="F168">
        <v>195193742446</v>
      </c>
    </row>
    <row r="169" spans="1:6" x14ac:dyDescent="0.3">
      <c r="A169">
        <v>16</v>
      </c>
      <c r="B169" t="s">
        <v>7203</v>
      </c>
      <c r="C169" t="s">
        <v>6070</v>
      </c>
      <c r="E169">
        <v>17573000</v>
      </c>
      <c r="F169">
        <v>195028742446</v>
      </c>
    </row>
    <row r="170" spans="1:6" x14ac:dyDescent="0.3">
      <c r="A170">
        <v>16</v>
      </c>
      <c r="B170" t="s">
        <v>7203</v>
      </c>
      <c r="C170" t="s">
        <v>6069</v>
      </c>
      <c r="E170">
        <v>49956880</v>
      </c>
      <c r="F170">
        <v>195011169446</v>
      </c>
    </row>
    <row r="171" spans="1:6" x14ac:dyDescent="0.3">
      <c r="A171">
        <v>16</v>
      </c>
      <c r="B171" t="s">
        <v>7156</v>
      </c>
      <c r="C171" t="s">
        <v>6068</v>
      </c>
      <c r="E171">
        <v>14400000</v>
      </c>
      <c r="F171">
        <v>194961212566</v>
      </c>
    </row>
    <row r="172" spans="1:6" x14ac:dyDescent="0.3">
      <c r="A172">
        <v>16</v>
      </c>
      <c r="B172" t="s">
        <v>7203</v>
      </c>
      <c r="C172" t="s">
        <v>4731</v>
      </c>
      <c r="E172">
        <v>38500000</v>
      </c>
      <c r="F172">
        <v>194946812566</v>
      </c>
    </row>
    <row r="173" spans="1:6" x14ac:dyDescent="0.3">
      <c r="A173">
        <v>16</v>
      </c>
      <c r="B173" t="s">
        <v>7154</v>
      </c>
      <c r="C173" t="s">
        <v>6067</v>
      </c>
      <c r="E173">
        <v>50909090</v>
      </c>
      <c r="F173">
        <v>194908312566</v>
      </c>
    </row>
    <row r="174" spans="1:6" x14ac:dyDescent="0.3">
      <c r="A174">
        <v>16</v>
      </c>
      <c r="B174" t="s">
        <v>7251</v>
      </c>
      <c r="C174" t="s">
        <v>6066</v>
      </c>
      <c r="E174">
        <v>17573000</v>
      </c>
      <c r="F174">
        <v>194857403476</v>
      </c>
    </row>
    <row r="175" spans="1:6" x14ac:dyDescent="0.3">
      <c r="A175">
        <v>16</v>
      </c>
      <c r="B175" t="s">
        <v>7203</v>
      </c>
      <c r="C175" t="s">
        <v>6065</v>
      </c>
      <c r="E175">
        <v>36818182</v>
      </c>
      <c r="F175">
        <v>194839830476</v>
      </c>
    </row>
    <row r="176" spans="1:6" x14ac:dyDescent="0.3">
      <c r="A176">
        <v>16</v>
      </c>
      <c r="B176" t="s">
        <v>7203</v>
      </c>
      <c r="C176" t="s">
        <v>6064</v>
      </c>
      <c r="E176">
        <v>38181818</v>
      </c>
      <c r="F176">
        <v>194803012294</v>
      </c>
    </row>
    <row r="177" spans="1:6" x14ac:dyDescent="0.3">
      <c r="A177">
        <v>16</v>
      </c>
      <c r="B177" t="s">
        <v>7176</v>
      </c>
      <c r="C177" t="s">
        <v>6063</v>
      </c>
      <c r="E177">
        <v>41363636</v>
      </c>
      <c r="F177">
        <v>194764830476</v>
      </c>
    </row>
    <row r="178" spans="1:6" x14ac:dyDescent="0.3">
      <c r="A178">
        <v>16</v>
      </c>
      <c r="B178" t="s">
        <v>7156</v>
      </c>
      <c r="C178" t="s">
        <v>6062</v>
      </c>
      <c r="E178">
        <v>14545454</v>
      </c>
      <c r="F178">
        <v>194723466840</v>
      </c>
    </row>
    <row r="179" spans="1:6" x14ac:dyDescent="0.3">
      <c r="A179">
        <v>16</v>
      </c>
      <c r="B179" t="s">
        <v>7203</v>
      </c>
      <c r="C179" t="s">
        <v>6061</v>
      </c>
      <c r="E179">
        <v>36300000</v>
      </c>
      <c r="F179">
        <v>194708921386</v>
      </c>
    </row>
    <row r="180" spans="1:6" x14ac:dyDescent="0.3">
      <c r="A180">
        <v>16</v>
      </c>
      <c r="B180" t="s">
        <v>7176</v>
      </c>
      <c r="C180" t="s">
        <v>6059</v>
      </c>
      <c r="E180">
        <v>61844859</v>
      </c>
      <c r="F180">
        <v>194672621386</v>
      </c>
    </row>
    <row r="181" spans="1:6" x14ac:dyDescent="0.3">
      <c r="A181">
        <v>16</v>
      </c>
      <c r="B181" t="s">
        <v>7176</v>
      </c>
      <c r="C181" t="s">
        <v>6060</v>
      </c>
      <c r="E181">
        <v>40181818</v>
      </c>
      <c r="F181">
        <v>194610776527</v>
      </c>
    </row>
    <row r="182" spans="1:6" x14ac:dyDescent="0.3">
      <c r="A182">
        <v>16</v>
      </c>
      <c r="B182" t="s">
        <v>7203</v>
      </c>
      <c r="C182" t="s">
        <v>5693</v>
      </c>
      <c r="E182">
        <v>16956000</v>
      </c>
      <c r="F182">
        <v>194570594709</v>
      </c>
    </row>
    <row r="183" spans="1:6" x14ac:dyDescent="0.3">
      <c r="A183">
        <v>16</v>
      </c>
      <c r="B183" t="s">
        <v>7336</v>
      </c>
      <c r="C183" t="s">
        <v>6059</v>
      </c>
      <c r="E183">
        <v>627990</v>
      </c>
      <c r="F183">
        <v>194553638709</v>
      </c>
    </row>
    <row r="184" spans="1:6" x14ac:dyDescent="0.3">
      <c r="A184">
        <v>16</v>
      </c>
      <c r="B184" t="s">
        <v>7176</v>
      </c>
      <c r="C184" t="s">
        <v>6058</v>
      </c>
      <c r="E184">
        <v>40500000</v>
      </c>
      <c r="F184">
        <v>194553010719</v>
      </c>
    </row>
    <row r="185" spans="1:6" x14ac:dyDescent="0.3">
      <c r="A185">
        <v>16</v>
      </c>
      <c r="B185" t="s">
        <v>6056</v>
      </c>
      <c r="C185" t="s">
        <v>6057</v>
      </c>
      <c r="E185">
        <v>35816000</v>
      </c>
      <c r="F185">
        <v>194512510719</v>
      </c>
    </row>
    <row r="186" spans="1:6" x14ac:dyDescent="0.3">
      <c r="A186">
        <v>16</v>
      </c>
      <c r="B186" t="s">
        <v>7156</v>
      </c>
      <c r="C186" t="s">
        <v>6055</v>
      </c>
      <c r="E186">
        <v>4179000</v>
      </c>
      <c r="F186">
        <v>194476694719</v>
      </c>
    </row>
    <row r="187" spans="1:6" x14ac:dyDescent="0.3">
      <c r="A187">
        <v>16</v>
      </c>
      <c r="B187" t="s">
        <v>7156</v>
      </c>
      <c r="C187" t="s">
        <v>6055</v>
      </c>
      <c r="E187">
        <v>31580000</v>
      </c>
      <c r="F187">
        <v>194472515719</v>
      </c>
    </row>
    <row r="188" spans="1:6" x14ac:dyDescent="0.3">
      <c r="A188">
        <v>16</v>
      </c>
      <c r="B188" t="s">
        <v>7156</v>
      </c>
      <c r="C188" t="s">
        <v>6055</v>
      </c>
      <c r="E188">
        <v>-31580000</v>
      </c>
      <c r="F188">
        <v>194440935719</v>
      </c>
    </row>
    <row r="189" spans="1:6" x14ac:dyDescent="0.3">
      <c r="A189">
        <v>16</v>
      </c>
      <c r="B189" t="s">
        <v>7156</v>
      </c>
      <c r="C189" t="s">
        <v>6055</v>
      </c>
      <c r="E189">
        <v>31580000</v>
      </c>
      <c r="F189">
        <v>194472515719</v>
      </c>
    </row>
    <row r="190" spans="1:6" x14ac:dyDescent="0.3">
      <c r="A190">
        <v>16</v>
      </c>
      <c r="B190" t="s">
        <v>7335</v>
      </c>
      <c r="C190" t="s">
        <v>5783</v>
      </c>
      <c r="E190">
        <v>40000000</v>
      </c>
      <c r="F190">
        <v>194440935719</v>
      </c>
    </row>
    <row r="191" spans="1:6" x14ac:dyDescent="0.3">
      <c r="A191">
        <v>16</v>
      </c>
      <c r="B191" t="s">
        <v>7170</v>
      </c>
      <c r="C191" t="s">
        <v>6054</v>
      </c>
      <c r="E191">
        <v>171000000</v>
      </c>
      <c r="F191">
        <v>194400935719</v>
      </c>
    </row>
    <row r="192" spans="1:6" x14ac:dyDescent="0.3">
      <c r="A192">
        <v>16</v>
      </c>
      <c r="B192" t="s">
        <v>7170</v>
      </c>
      <c r="C192" t="s">
        <v>6049</v>
      </c>
      <c r="E192">
        <v>-171000000</v>
      </c>
      <c r="F192">
        <v>194229935719</v>
      </c>
    </row>
    <row r="193" spans="1:6" x14ac:dyDescent="0.3">
      <c r="A193">
        <v>16</v>
      </c>
      <c r="B193" t="s">
        <v>7156</v>
      </c>
      <c r="C193" t="s">
        <v>6053</v>
      </c>
      <c r="E193">
        <v>31381819</v>
      </c>
      <c r="F193">
        <v>194400935719</v>
      </c>
    </row>
    <row r="194" spans="1:6" x14ac:dyDescent="0.3">
      <c r="A194">
        <v>16</v>
      </c>
      <c r="B194" t="s">
        <v>7203</v>
      </c>
      <c r="C194" t="s">
        <v>6052</v>
      </c>
      <c r="E194">
        <v>37000000</v>
      </c>
      <c r="F194">
        <v>194369553900</v>
      </c>
    </row>
    <row r="195" spans="1:6" x14ac:dyDescent="0.3">
      <c r="A195">
        <v>16</v>
      </c>
      <c r="B195" t="s">
        <v>7154</v>
      </c>
      <c r="C195" t="s">
        <v>5772</v>
      </c>
      <c r="E195">
        <v>51000000</v>
      </c>
      <c r="F195">
        <v>194332553900</v>
      </c>
    </row>
    <row r="196" spans="1:6" x14ac:dyDescent="0.3">
      <c r="A196">
        <v>16</v>
      </c>
      <c r="B196" t="s">
        <v>7203</v>
      </c>
      <c r="C196" t="s">
        <v>6051</v>
      </c>
      <c r="E196">
        <v>38181818</v>
      </c>
      <c r="F196">
        <v>194281553900</v>
      </c>
    </row>
    <row r="197" spans="1:6" x14ac:dyDescent="0.3">
      <c r="A197">
        <v>16</v>
      </c>
      <c r="B197" t="s">
        <v>7176</v>
      </c>
      <c r="C197" t="s">
        <v>6050</v>
      </c>
      <c r="E197">
        <v>38500000</v>
      </c>
      <c r="F197">
        <v>194243372082</v>
      </c>
    </row>
    <row r="198" spans="1:6" x14ac:dyDescent="0.3">
      <c r="A198">
        <v>16</v>
      </c>
      <c r="B198" t="s">
        <v>7170</v>
      </c>
      <c r="C198" t="s">
        <v>6049</v>
      </c>
      <c r="E198">
        <v>171000000</v>
      </c>
      <c r="F198">
        <v>194204872082</v>
      </c>
    </row>
    <row r="199" spans="1:6" x14ac:dyDescent="0.3">
      <c r="A199">
        <v>16</v>
      </c>
      <c r="B199" t="s">
        <v>7156</v>
      </c>
      <c r="C199" t="s">
        <v>3826</v>
      </c>
      <c r="E199">
        <v>31072728</v>
      </c>
      <c r="F199">
        <v>194033872082</v>
      </c>
    </row>
    <row r="200" spans="1:6" x14ac:dyDescent="0.3">
      <c r="A200">
        <v>16</v>
      </c>
      <c r="B200" t="s">
        <v>7251</v>
      </c>
      <c r="C200" t="s">
        <v>6048</v>
      </c>
      <c r="E200">
        <v>35454545</v>
      </c>
      <c r="F200">
        <v>194002799354</v>
      </c>
    </row>
    <row r="201" spans="1:6" x14ac:dyDescent="0.3">
      <c r="A201">
        <v>16</v>
      </c>
      <c r="B201" t="s">
        <v>7154</v>
      </c>
      <c r="C201" t="s">
        <v>3436</v>
      </c>
      <c r="E201">
        <v>50900000</v>
      </c>
      <c r="F201">
        <v>193967344809</v>
      </c>
    </row>
    <row r="202" spans="1:6" x14ac:dyDescent="0.3">
      <c r="A202">
        <v>16</v>
      </c>
      <c r="B202" t="s">
        <v>7203</v>
      </c>
      <c r="C202" t="s">
        <v>5639</v>
      </c>
      <c r="E202">
        <v>37727273</v>
      </c>
      <c r="F202">
        <v>193916444809</v>
      </c>
    </row>
    <row r="203" spans="1:6" x14ac:dyDescent="0.3">
      <c r="A203">
        <v>16</v>
      </c>
      <c r="B203" t="s">
        <v>7203</v>
      </c>
      <c r="C203" t="s">
        <v>3910</v>
      </c>
      <c r="E203">
        <v>38600000</v>
      </c>
      <c r="F203">
        <v>193878717536</v>
      </c>
    </row>
    <row r="204" spans="1:6" x14ac:dyDescent="0.3">
      <c r="A204">
        <v>16</v>
      </c>
      <c r="B204" t="s">
        <v>7176</v>
      </c>
      <c r="C204" t="s">
        <v>6047</v>
      </c>
      <c r="E204">
        <v>44800000</v>
      </c>
      <c r="F204">
        <v>193840117536</v>
      </c>
    </row>
    <row r="205" spans="1:6" x14ac:dyDescent="0.3">
      <c r="A205">
        <v>16</v>
      </c>
      <c r="B205" t="s">
        <v>7203</v>
      </c>
      <c r="C205" t="s">
        <v>6046</v>
      </c>
      <c r="E205">
        <v>38727273</v>
      </c>
      <c r="F205">
        <v>193795317536</v>
      </c>
    </row>
    <row r="206" spans="1:6" x14ac:dyDescent="0.3">
      <c r="A206">
        <v>16</v>
      </c>
      <c r="B206" t="s">
        <v>7203</v>
      </c>
      <c r="C206" t="s">
        <v>6045</v>
      </c>
      <c r="E206">
        <v>37260000</v>
      </c>
      <c r="F206">
        <v>193756590263</v>
      </c>
    </row>
    <row r="207" spans="1:6" x14ac:dyDescent="0.3">
      <c r="A207">
        <v>16</v>
      </c>
      <c r="B207" t="s">
        <v>7251</v>
      </c>
      <c r="C207" t="s">
        <v>6044</v>
      </c>
      <c r="E207">
        <v>35636364</v>
      </c>
      <c r="F207">
        <v>193719330263</v>
      </c>
    </row>
    <row r="208" spans="1:6" x14ac:dyDescent="0.3">
      <c r="A208">
        <v>16</v>
      </c>
      <c r="B208" t="s">
        <v>7203</v>
      </c>
      <c r="C208" t="s">
        <v>6043</v>
      </c>
      <c r="E208">
        <v>35000000</v>
      </c>
      <c r="F208">
        <v>193683693899</v>
      </c>
    </row>
    <row r="209" spans="1:6" x14ac:dyDescent="0.3">
      <c r="A209">
        <v>16</v>
      </c>
      <c r="B209" t="s">
        <v>7334</v>
      </c>
      <c r="C209" t="s">
        <v>4064</v>
      </c>
      <c r="E209">
        <v>172768432</v>
      </c>
      <c r="F209">
        <v>193648693899</v>
      </c>
    </row>
    <row r="210" spans="1:6" x14ac:dyDescent="0.3">
      <c r="A210">
        <v>16</v>
      </c>
      <c r="B210" t="s">
        <v>7203</v>
      </c>
      <c r="C210" t="s">
        <v>6042</v>
      </c>
      <c r="E210">
        <v>36818182</v>
      </c>
      <c r="F210">
        <v>193475925467</v>
      </c>
    </row>
    <row r="211" spans="1:6" x14ac:dyDescent="0.3">
      <c r="A211">
        <v>16</v>
      </c>
      <c r="B211" t="s">
        <v>7333</v>
      </c>
      <c r="C211" t="s">
        <v>3438</v>
      </c>
      <c r="E211">
        <v>33379000</v>
      </c>
      <c r="F211">
        <v>193439107285</v>
      </c>
    </row>
    <row r="212" spans="1:6" x14ac:dyDescent="0.3">
      <c r="A212">
        <v>16</v>
      </c>
      <c r="B212" t="s">
        <v>7333</v>
      </c>
      <c r="C212" t="s">
        <v>3438</v>
      </c>
      <c r="E212">
        <v>33379000</v>
      </c>
      <c r="F212">
        <v>193405728285</v>
      </c>
    </row>
    <row r="213" spans="1:6" x14ac:dyDescent="0.3">
      <c r="A213">
        <v>16</v>
      </c>
      <c r="B213" t="s">
        <v>7333</v>
      </c>
      <c r="C213" t="s">
        <v>3438</v>
      </c>
      <c r="E213">
        <v>33379000</v>
      </c>
      <c r="F213">
        <v>193372349285</v>
      </c>
    </row>
    <row r="214" spans="1:6" x14ac:dyDescent="0.3">
      <c r="A214">
        <v>16</v>
      </c>
      <c r="B214" t="s">
        <v>7333</v>
      </c>
      <c r="C214" t="s">
        <v>3438</v>
      </c>
      <c r="E214">
        <v>33379000</v>
      </c>
      <c r="F214">
        <v>193338970285</v>
      </c>
    </row>
    <row r="215" spans="1:6" x14ac:dyDescent="0.3">
      <c r="A215">
        <v>16</v>
      </c>
      <c r="B215" t="s">
        <v>7154</v>
      </c>
      <c r="C215" t="s">
        <v>5772</v>
      </c>
      <c r="E215">
        <v>50500000</v>
      </c>
      <c r="F215">
        <v>193305591285</v>
      </c>
    </row>
    <row r="216" spans="1:6" x14ac:dyDescent="0.3">
      <c r="A216">
        <v>16</v>
      </c>
      <c r="B216" t="s">
        <v>7251</v>
      </c>
      <c r="C216" t="s">
        <v>6041</v>
      </c>
      <c r="E216">
        <v>35909091</v>
      </c>
      <c r="F216">
        <v>193255091285</v>
      </c>
    </row>
    <row r="217" spans="1:6" x14ac:dyDescent="0.3">
      <c r="A217">
        <v>16</v>
      </c>
      <c r="B217" t="s">
        <v>7154</v>
      </c>
      <c r="C217" t="s">
        <v>6040</v>
      </c>
      <c r="E217">
        <v>51000000</v>
      </c>
      <c r="F217">
        <v>193219182194</v>
      </c>
    </row>
    <row r="218" spans="1:6" x14ac:dyDescent="0.3">
      <c r="A218">
        <v>16</v>
      </c>
      <c r="B218" t="s">
        <v>7154</v>
      </c>
      <c r="C218" t="s">
        <v>6039</v>
      </c>
      <c r="E218">
        <v>49434000</v>
      </c>
      <c r="F218">
        <v>193168182194</v>
      </c>
    </row>
    <row r="219" spans="1:6" x14ac:dyDescent="0.3">
      <c r="A219">
        <v>16</v>
      </c>
      <c r="B219" t="s">
        <v>7176</v>
      </c>
      <c r="C219" t="s">
        <v>6038</v>
      </c>
      <c r="E219">
        <v>40000000</v>
      </c>
      <c r="F219">
        <v>193118748194</v>
      </c>
    </row>
    <row r="220" spans="1:6" x14ac:dyDescent="0.3">
      <c r="A220">
        <v>16</v>
      </c>
      <c r="B220" t="s">
        <v>7176</v>
      </c>
      <c r="C220" t="s">
        <v>5811</v>
      </c>
      <c r="E220">
        <v>37727273</v>
      </c>
      <c r="F220">
        <v>193078748194</v>
      </c>
    </row>
    <row r="221" spans="1:6" x14ac:dyDescent="0.3">
      <c r="A221">
        <v>16</v>
      </c>
      <c r="B221" t="s">
        <v>7203</v>
      </c>
      <c r="C221" t="s">
        <v>6037</v>
      </c>
      <c r="E221">
        <v>38000000</v>
      </c>
      <c r="F221">
        <v>193041020921</v>
      </c>
    </row>
    <row r="222" spans="1:6" x14ac:dyDescent="0.3">
      <c r="A222">
        <v>16</v>
      </c>
      <c r="B222" t="s">
        <v>7252</v>
      </c>
      <c r="C222" t="s">
        <v>6036</v>
      </c>
      <c r="E222">
        <v>59000000</v>
      </c>
      <c r="F222">
        <v>193003020921</v>
      </c>
    </row>
    <row r="223" spans="1:6" x14ac:dyDescent="0.3">
      <c r="A223">
        <v>16</v>
      </c>
      <c r="B223" t="s">
        <v>7156</v>
      </c>
      <c r="C223" t="s">
        <v>6035</v>
      </c>
      <c r="E223">
        <v>47000000</v>
      </c>
      <c r="F223">
        <v>192944020921</v>
      </c>
    </row>
    <row r="224" spans="1:6" x14ac:dyDescent="0.3">
      <c r="A224">
        <v>16</v>
      </c>
      <c r="B224" t="s">
        <v>7282</v>
      </c>
      <c r="C224" t="s">
        <v>5165</v>
      </c>
      <c r="E224">
        <v>159000000</v>
      </c>
      <c r="F224">
        <v>192897020921</v>
      </c>
    </row>
    <row r="225" spans="1:6" x14ac:dyDescent="0.3">
      <c r="A225">
        <v>16</v>
      </c>
      <c r="B225" t="s">
        <v>7203</v>
      </c>
      <c r="C225" t="s">
        <v>6034</v>
      </c>
      <c r="E225">
        <v>35900000</v>
      </c>
      <c r="F225">
        <v>192738020921</v>
      </c>
    </row>
    <row r="226" spans="1:6" x14ac:dyDescent="0.3">
      <c r="A226">
        <v>16</v>
      </c>
      <c r="B226" t="s">
        <v>7203</v>
      </c>
      <c r="C226" t="s">
        <v>6033</v>
      </c>
      <c r="E226">
        <v>16856000</v>
      </c>
      <c r="F226">
        <v>192702120921</v>
      </c>
    </row>
    <row r="227" spans="1:6" x14ac:dyDescent="0.3">
      <c r="A227">
        <v>16</v>
      </c>
      <c r="B227" t="s">
        <v>7176</v>
      </c>
      <c r="C227" t="s">
        <v>6032</v>
      </c>
      <c r="E227">
        <v>39090909</v>
      </c>
      <c r="F227">
        <v>192685264921</v>
      </c>
    </row>
    <row r="228" spans="1:6" x14ac:dyDescent="0.3">
      <c r="A228">
        <v>16</v>
      </c>
      <c r="B228" t="s">
        <v>7154</v>
      </c>
      <c r="C228" t="s">
        <v>6031</v>
      </c>
      <c r="E228">
        <v>50700000</v>
      </c>
      <c r="F228">
        <v>192646174012</v>
      </c>
    </row>
    <row r="229" spans="1:6" x14ac:dyDescent="0.3">
      <c r="A229">
        <v>16</v>
      </c>
      <c r="B229" t="s">
        <v>7156</v>
      </c>
      <c r="C229" t="s">
        <v>6030</v>
      </c>
      <c r="E229">
        <v>14000000</v>
      </c>
      <c r="F229">
        <v>192595474012</v>
      </c>
    </row>
    <row r="230" spans="1:6" x14ac:dyDescent="0.3">
      <c r="A230">
        <v>16</v>
      </c>
      <c r="B230" t="s">
        <v>7203</v>
      </c>
      <c r="C230" t="s">
        <v>6029</v>
      </c>
      <c r="E230">
        <v>16856000</v>
      </c>
      <c r="F230">
        <v>192581474012</v>
      </c>
    </row>
    <row r="231" spans="1:6" x14ac:dyDescent="0.3">
      <c r="A231">
        <v>16</v>
      </c>
      <c r="B231" t="s">
        <v>7176</v>
      </c>
      <c r="C231" t="s">
        <v>6028</v>
      </c>
      <c r="E231">
        <v>40500000</v>
      </c>
      <c r="F231">
        <v>192564618012</v>
      </c>
    </row>
    <row r="232" spans="1:6" x14ac:dyDescent="0.3">
      <c r="A232">
        <v>16</v>
      </c>
      <c r="B232" t="s">
        <v>7156</v>
      </c>
      <c r="C232" t="s">
        <v>3438</v>
      </c>
      <c r="E232">
        <v>35000000</v>
      </c>
      <c r="F232">
        <v>192524118012</v>
      </c>
    </row>
    <row r="233" spans="1:6" x14ac:dyDescent="0.3">
      <c r="A233">
        <v>16</v>
      </c>
      <c r="B233" t="s">
        <v>7332</v>
      </c>
      <c r="C233" t="s">
        <v>3438</v>
      </c>
      <c r="E233">
        <v>47940000</v>
      </c>
      <c r="F233">
        <v>192489118012</v>
      </c>
    </row>
    <row r="234" spans="1:6" x14ac:dyDescent="0.3">
      <c r="A234">
        <v>16</v>
      </c>
      <c r="B234" t="s">
        <v>7332</v>
      </c>
      <c r="C234" t="s">
        <v>3438</v>
      </c>
      <c r="E234">
        <v>47940000</v>
      </c>
      <c r="F234">
        <v>192441178012</v>
      </c>
    </row>
    <row r="235" spans="1:6" x14ac:dyDescent="0.3">
      <c r="A235">
        <v>16</v>
      </c>
      <c r="B235" t="s">
        <v>7332</v>
      </c>
      <c r="C235" t="s">
        <v>3438</v>
      </c>
      <c r="E235">
        <v>47940000</v>
      </c>
      <c r="F235">
        <v>192393238012</v>
      </c>
    </row>
    <row r="236" spans="1:6" x14ac:dyDescent="0.3">
      <c r="A236">
        <v>16</v>
      </c>
      <c r="B236" t="s">
        <v>7332</v>
      </c>
      <c r="C236" t="s">
        <v>3438</v>
      </c>
      <c r="E236">
        <v>47940000</v>
      </c>
      <c r="F236">
        <v>192345298012</v>
      </c>
    </row>
    <row r="237" spans="1:6" x14ac:dyDescent="0.3">
      <c r="A237">
        <v>16</v>
      </c>
      <c r="B237" t="s">
        <v>7332</v>
      </c>
      <c r="C237" t="s">
        <v>3438</v>
      </c>
      <c r="E237">
        <v>47940000</v>
      </c>
      <c r="F237">
        <v>192297358012</v>
      </c>
    </row>
    <row r="238" spans="1:6" x14ac:dyDescent="0.3">
      <c r="A238">
        <v>16</v>
      </c>
      <c r="B238" t="s">
        <v>7332</v>
      </c>
      <c r="C238" t="s">
        <v>3438</v>
      </c>
      <c r="E238">
        <v>47940000</v>
      </c>
      <c r="F238">
        <v>192249418012</v>
      </c>
    </row>
    <row r="239" spans="1:6" x14ac:dyDescent="0.3">
      <c r="A239">
        <v>16</v>
      </c>
      <c r="B239" t="s">
        <v>7176</v>
      </c>
      <c r="C239" t="s">
        <v>6027</v>
      </c>
      <c r="E239">
        <v>39115000</v>
      </c>
      <c r="F239">
        <v>192201478012</v>
      </c>
    </row>
    <row r="240" spans="1:6" x14ac:dyDescent="0.3">
      <c r="A240">
        <v>16</v>
      </c>
      <c r="B240" t="s">
        <v>7176</v>
      </c>
      <c r="C240" t="s">
        <v>6026</v>
      </c>
      <c r="E240">
        <v>37000000</v>
      </c>
      <c r="F240">
        <v>192162363012</v>
      </c>
    </row>
    <row r="241" spans="1:6" x14ac:dyDescent="0.3">
      <c r="A241">
        <v>16</v>
      </c>
      <c r="B241" t="s">
        <v>7176</v>
      </c>
      <c r="C241" t="s">
        <v>6025</v>
      </c>
      <c r="E241">
        <v>40909091</v>
      </c>
      <c r="F241">
        <v>192125363012</v>
      </c>
    </row>
    <row r="242" spans="1:6" x14ac:dyDescent="0.3">
      <c r="A242">
        <v>16</v>
      </c>
      <c r="B242" t="s">
        <v>7176</v>
      </c>
      <c r="C242" t="s">
        <v>6024</v>
      </c>
      <c r="E242">
        <v>37727272</v>
      </c>
      <c r="F242">
        <v>192084453921</v>
      </c>
    </row>
    <row r="243" spans="1:6" x14ac:dyDescent="0.3">
      <c r="A243">
        <v>16</v>
      </c>
      <c r="B243" t="s">
        <v>7154</v>
      </c>
      <c r="C243" t="s">
        <v>6023</v>
      </c>
      <c r="E243">
        <v>49500000</v>
      </c>
      <c r="F243">
        <v>192046726649</v>
      </c>
    </row>
    <row r="244" spans="1:6" x14ac:dyDescent="0.3">
      <c r="A244">
        <v>16</v>
      </c>
      <c r="B244" t="s">
        <v>7251</v>
      </c>
      <c r="C244" t="s">
        <v>6022</v>
      </c>
      <c r="E244">
        <v>35000000</v>
      </c>
      <c r="F244">
        <v>191997226649</v>
      </c>
    </row>
    <row r="245" spans="1:6" x14ac:dyDescent="0.3">
      <c r="A245">
        <v>16</v>
      </c>
      <c r="B245" t="s">
        <v>7154</v>
      </c>
      <c r="C245" t="s">
        <v>4210</v>
      </c>
      <c r="E245">
        <v>1100000</v>
      </c>
      <c r="F245">
        <v>191962226649</v>
      </c>
    </row>
    <row r="246" spans="1:6" x14ac:dyDescent="0.3">
      <c r="A246">
        <v>16</v>
      </c>
      <c r="B246" t="s">
        <v>7154</v>
      </c>
      <c r="C246" t="s">
        <v>4210</v>
      </c>
      <c r="E246">
        <v>-1100000</v>
      </c>
      <c r="F246">
        <v>191961126649</v>
      </c>
    </row>
    <row r="247" spans="1:6" x14ac:dyDescent="0.3">
      <c r="A247">
        <v>16</v>
      </c>
      <c r="B247" t="s">
        <v>7154</v>
      </c>
      <c r="C247" t="s">
        <v>5772</v>
      </c>
      <c r="E247">
        <v>50500000</v>
      </c>
      <c r="F247">
        <v>191962226649</v>
      </c>
    </row>
    <row r="248" spans="1:6" x14ac:dyDescent="0.3">
      <c r="A248">
        <v>16</v>
      </c>
      <c r="B248" t="s">
        <v>7176</v>
      </c>
      <c r="C248" t="s">
        <v>6021</v>
      </c>
      <c r="E248">
        <v>41000000</v>
      </c>
      <c r="F248">
        <v>191911726649</v>
      </c>
    </row>
    <row r="249" spans="1:6" x14ac:dyDescent="0.3">
      <c r="A249">
        <v>16</v>
      </c>
      <c r="B249" t="s">
        <v>7176</v>
      </c>
      <c r="C249" t="s">
        <v>6020</v>
      </c>
      <c r="E249">
        <v>39500000</v>
      </c>
      <c r="F249">
        <v>191870726649</v>
      </c>
    </row>
    <row r="250" spans="1:6" x14ac:dyDescent="0.3">
      <c r="A250">
        <v>16</v>
      </c>
      <c r="B250" t="s">
        <v>7203</v>
      </c>
      <c r="C250" t="s">
        <v>6019</v>
      </c>
      <c r="E250">
        <v>38000000</v>
      </c>
      <c r="F250">
        <v>191831226649</v>
      </c>
    </row>
    <row r="251" spans="1:6" x14ac:dyDescent="0.3">
      <c r="A251">
        <v>16</v>
      </c>
      <c r="B251" t="s">
        <v>7203</v>
      </c>
      <c r="C251" t="s">
        <v>6018</v>
      </c>
      <c r="E251">
        <v>38000000</v>
      </c>
      <c r="F251">
        <v>191793226649</v>
      </c>
    </row>
    <row r="252" spans="1:6" x14ac:dyDescent="0.3">
      <c r="A252">
        <v>16</v>
      </c>
      <c r="B252" t="s">
        <v>7176</v>
      </c>
      <c r="C252" t="s">
        <v>6017</v>
      </c>
      <c r="E252">
        <v>42727273</v>
      </c>
      <c r="F252">
        <v>191755226649</v>
      </c>
    </row>
    <row r="253" spans="1:6" x14ac:dyDescent="0.3">
      <c r="A253">
        <v>16</v>
      </c>
      <c r="B253" t="s">
        <v>6016</v>
      </c>
      <c r="C253" t="s">
        <v>4305</v>
      </c>
      <c r="E253">
        <v>607717</v>
      </c>
      <c r="F253">
        <v>191712499376</v>
      </c>
    </row>
    <row r="254" spans="1:6" x14ac:dyDescent="0.3">
      <c r="A254">
        <v>16</v>
      </c>
      <c r="B254" t="s">
        <v>7176</v>
      </c>
      <c r="C254" t="s">
        <v>6015</v>
      </c>
      <c r="E254">
        <v>41500000</v>
      </c>
      <c r="F254">
        <v>191711891659</v>
      </c>
    </row>
    <row r="255" spans="1:6" x14ac:dyDescent="0.3">
      <c r="A255">
        <v>16</v>
      </c>
      <c r="B255" t="s">
        <v>7176</v>
      </c>
      <c r="C255" t="s">
        <v>6014</v>
      </c>
      <c r="E255">
        <v>36516000</v>
      </c>
      <c r="F255">
        <v>191670391659</v>
      </c>
    </row>
    <row r="256" spans="1:6" x14ac:dyDescent="0.3">
      <c r="A256">
        <v>16</v>
      </c>
      <c r="B256" t="s">
        <v>7176</v>
      </c>
      <c r="C256" t="s">
        <v>6013</v>
      </c>
      <c r="E256">
        <v>39090909</v>
      </c>
      <c r="F256">
        <v>191633875659</v>
      </c>
    </row>
    <row r="257" spans="1:6" x14ac:dyDescent="0.3">
      <c r="A257">
        <v>16</v>
      </c>
      <c r="B257" t="s">
        <v>7203</v>
      </c>
      <c r="C257" t="s">
        <v>6012</v>
      </c>
      <c r="E257">
        <v>36500000</v>
      </c>
      <c r="F257">
        <v>191594784750</v>
      </c>
    </row>
    <row r="258" spans="1:6" x14ac:dyDescent="0.3">
      <c r="A258">
        <v>16</v>
      </c>
      <c r="B258" t="s">
        <v>7156</v>
      </c>
      <c r="C258" t="s">
        <v>6011</v>
      </c>
      <c r="E258">
        <v>13350000</v>
      </c>
      <c r="F258">
        <v>191558284750</v>
      </c>
    </row>
    <row r="259" spans="1:6" x14ac:dyDescent="0.3">
      <c r="A259">
        <v>16</v>
      </c>
      <c r="B259" t="s">
        <v>7156</v>
      </c>
      <c r="C259" t="s">
        <v>6010</v>
      </c>
      <c r="E259">
        <v>15013636</v>
      </c>
      <c r="F259">
        <v>191544934750</v>
      </c>
    </row>
    <row r="260" spans="1:6" x14ac:dyDescent="0.3">
      <c r="A260">
        <v>16</v>
      </c>
      <c r="B260" t="s">
        <v>7156</v>
      </c>
      <c r="C260" t="s">
        <v>6009</v>
      </c>
      <c r="E260">
        <v>13950000</v>
      </c>
      <c r="F260">
        <v>191529921114</v>
      </c>
    </row>
    <row r="261" spans="1:6" x14ac:dyDescent="0.3">
      <c r="A261">
        <v>16</v>
      </c>
      <c r="B261" t="s">
        <v>7156</v>
      </c>
      <c r="C261" t="s">
        <v>6008</v>
      </c>
      <c r="E261">
        <v>14500000</v>
      </c>
      <c r="F261">
        <v>191515971114</v>
      </c>
    </row>
    <row r="262" spans="1:6" x14ac:dyDescent="0.3">
      <c r="A262">
        <v>16</v>
      </c>
      <c r="B262" t="s">
        <v>7170</v>
      </c>
      <c r="C262" t="s">
        <v>3395</v>
      </c>
      <c r="E262">
        <v>175000000</v>
      </c>
      <c r="F262">
        <v>191501471114</v>
      </c>
    </row>
    <row r="263" spans="1:6" x14ac:dyDescent="0.3">
      <c r="A263">
        <v>16</v>
      </c>
      <c r="B263" t="s">
        <v>7154</v>
      </c>
      <c r="C263" t="s">
        <v>6007</v>
      </c>
      <c r="E263">
        <v>51500000</v>
      </c>
      <c r="F263">
        <v>191326471114</v>
      </c>
    </row>
    <row r="264" spans="1:6" x14ac:dyDescent="0.3">
      <c r="A264">
        <v>16</v>
      </c>
      <c r="B264" t="s">
        <v>7154</v>
      </c>
      <c r="C264" t="s">
        <v>4210</v>
      </c>
      <c r="E264">
        <v>51898182</v>
      </c>
      <c r="F264">
        <v>191274971114</v>
      </c>
    </row>
    <row r="265" spans="1:6" x14ac:dyDescent="0.3">
      <c r="A265">
        <v>16</v>
      </c>
      <c r="B265" t="s">
        <v>7176</v>
      </c>
      <c r="C265" t="s">
        <v>6006</v>
      </c>
      <c r="E265">
        <v>39850000</v>
      </c>
      <c r="F265">
        <v>191223072932</v>
      </c>
    </row>
    <row r="266" spans="1:6" x14ac:dyDescent="0.3">
      <c r="A266">
        <v>16</v>
      </c>
      <c r="B266" t="s">
        <v>7331</v>
      </c>
      <c r="C266" t="s">
        <v>6005</v>
      </c>
      <c r="E266">
        <v>40000000</v>
      </c>
      <c r="F266">
        <v>191183222932</v>
      </c>
    </row>
    <row r="267" spans="1:6" x14ac:dyDescent="0.3">
      <c r="A267">
        <v>16</v>
      </c>
      <c r="B267" t="s">
        <v>7186</v>
      </c>
      <c r="C267" t="s">
        <v>6004</v>
      </c>
      <c r="E267">
        <v>53181818</v>
      </c>
      <c r="F267">
        <v>191143222932</v>
      </c>
    </row>
    <row r="268" spans="1:6" x14ac:dyDescent="0.3">
      <c r="A268">
        <v>16</v>
      </c>
      <c r="B268" t="s">
        <v>7154</v>
      </c>
      <c r="C268" t="s">
        <v>6003</v>
      </c>
      <c r="E268">
        <v>50909091</v>
      </c>
      <c r="F268">
        <v>191090041114</v>
      </c>
    </row>
    <row r="269" spans="1:6" x14ac:dyDescent="0.3">
      <c r="A269">
        <v>16</v>
      </c>
      <c r="B269" t="s">
        <v>7203</v>
      </c>
      <c r="C269" t="s">
        <v>6002</v>
      </c>
      <c r="E269">
        <v>36500000</v>
      </c>
      <c r="F269">
        <v>191039132023</v>
      </c>
    </row>
    <row r="270" spans="1:6" x14ac:dyDescent="0.3">
      <c r="A270">
        <v>16</v>
      </c>
      <c r="B270" t="s">
        <v>6001</v>
      </c>
      <c r="C270" t="s">
        <v>5806</v>
      </c>
      <c r="E270">
        <v>220000000</v>
      </c>
      <c r="F270">
        <v>191002632023</v>
      </c>
    </row>
    <row r="271" spans="1:6" x14ac:dyDescent="0.3">
      <c r="A271">
        <v>16</v>
      </c>
      <c r="B271" t="s">
        <v>7186</v>
      </c>
      <c r="C271" t="s">
        <v>6000</v>
      </c>
      <c r="E271">
        <v>53000000</v>
      </c>
      <c r="F271">
        <v>190782632023</v>
      </c>
    </row>
    <row r="272" spans="1:6" x14ac:dyDescent="0.3">
      <c r="A272">
        <v>16</v>
      </c>
      <c r="B272" t="s">
        <v>7156</v>
      </c>
      <c r="C272" t="s">
        <v>5999</v>
      </c>
      <c r="E272">
        <v>44223000</v>
      </c>
      <c r="F272">
        <v>190729632023</v>
      </c>
    </row>
    <row r="273" spans="1:6" x14ac:dyDescent="0.3">
      <c r="A273">
        <v>16</v>
      </c>
      <c r="B273" t="s">
        <v>7176</v>
      </c>
      <c r="C273" t="s">
        <v>5998</v>
      </c>
      <c r="E273">
        <v>37000000</v>
      </c>
      <c r="F273">
        <v>190685409023</v>
      </c>
    </row>
    <row r="274" spans="1:6" x14ac:dyDescent="0.3">
      <c r="A274">
        <v>16</v>
      </c>
      <c r="B274" t="s">
        <v>7176</v>
      </c>
      <c r="C274" t="s">
        <v>4943</v>
      </c>
      <c r="E274">
        <v>40100000</v>
      </c>
      <c r="F274">
        <v>190648409023</v>
      </c>
    </row>
    <row r="275" spans="1:6" x14ac:dyDescent="0.3">
      <c r="A275">
        <v>16</v>
      </c>
      <c r="B275" t="s">
        <v>7251</v>
      </c>
      <c r="C275" t="s">
        <v>5997</v>
      </c>
      <c r="E275">
        <v>17765000</v>
      </c>
      <c r="F275">
        <v>190608309023</v>
      </c>
    </row>
    <row r="276" spans="1:6" x14ac:dyDescent="0.3">
      <c r="A276">
        <v>16</v>
      </c>
      <c r="B276" t="s">
        <v>5995</v>
      </c>
      <c r="C276" t="s">
        <v>5996</v>
      </c>
      <c r="E276">
        <v>5572727</v>
      </c>
      <c r="F276">
        <v>190590544023</v>
      </c>
    </row>
    <row r="277" spans="1:6" x14ac:dyDescent="0.3">
      <c r="A277">
        <v>16</v>
      </c>
      <c r="B277" t="s">
        <v>7321</v>
      </c>
      <c r="C277" t="s">
        <v>3438</v>
      </c>
      <c r="E277">
        <v>3598182</v>
      </c>
      <c r="F277">
        <v>190584971296</v>
      </c>
    </row>
    <row r="278" spans="1:6" x14ac:dyDescent="0.3">
      <c r="A278">
        <v>16</v>
      </c>
      <c r="B278" t="s">
        <v>7321</v>
      </c>
      <c r="C278" t="s">
        <v>3438</v>
      </c>
      <c r="E278">
        <v>-3435000</v>
      </c>
      <c r="F278">
        <v>190581373114</v>
      </c>
    </row>
    <row r="279" spans="1:6" x14ac:dyDescent="0.3">
      <c r="A279">
        <v>16</v>
      </c>
      <c r="B279" t="s">
        <v>7321</v>
      </c>
      <c r="C279" t="s">
        <v>3438</v>
      </c>
      <c r="E279">
        <v>3598182</v>
      </c>
      <c r="F279">
        <v>190584808114</v>
      </c>
    </row>
    <row r="280" spans="1:6" x14ac:dyDescent="0.3">
      <c r="A280">
        <v>16</v>
      </c>
      <c r="B280" t="s">
        <v>7321</v>
      </c>
      <c r="C280" t="s">
        <v>3438</v>
      </c>
      <c r="E280">
        <v>-3435000</v>
      </c>
      <c r="F280">
        <v>190581209932</v>
      </c>
    </row>
    <row r="281" spans="1:6" x14ac:dyDescent="0.3">
      <c r="A281">
        <v>16</v>
      </c>
      <c r="B281" t="s">
        <v>7321</v>
      </c>
      <c r="C281" t="s">
        <v>3438</v>
      </c>
      <c r="E281">
        <v>3598182</v>
      </c>
      <c r="F281">
        <v>190584644932</v>
      </c>
    </row>
    <row r="282" spans="1:6" x14ac:dyDescent="0.3">
      <c r="A282">
        <v>16</v>
      </c>
      <c r="B282" t="s">
        <v>7321</v>
      </c>
      <c r="C282" t="s">
        <v>3438</v>
      </c>
      <c r="E282">
        <v>-3435000</v>
      </c>
      <c r="F282">
        <v>190581046750</v>
      </c>
    </row>
    <row r="283" spans="1:6" x14ac:dyDescent="0.3">
      <c r="A283">
        <v>16</v>
      </c>
      <c r="B283" t="s">
        <v>7330</v>
      </c>
      <c r="C283" t="s">
        <v>5994</v>
      </c>
      <c r="E283">
        <v>37772727</v>
      </c>
      <c r="F283">
        <v>190584481750</v>
      </c>
    </row>
    <row r="284" spans="1:6" x14ac:dyDescent="0.3">
      <c r="A284">
        <v>16</v>
      </c>
      <c r="B284" t="s">
        <v>7321</v>
      </c>
      <c r="C284" t="s">
        <v>3438</v>
      </c>
      <c r="E284">
        <v>3435000</v>
      </c>
      <c r="F284">
        <v>190546709023</v>
      </c>
    </row>
    <row r="285" spans="1:6" x14ac:dyDescent="0.3">
      <c r="A285">
        <v>16</v>
      </c>
      <c r="B285" t="s">
        <v>7321</v>
      </c>
      <c r="C285" t="s">
        <v>3438</v>
      </c>
      <c r="E285">
        <v>3435000</v>
      </c>
      <c r="F285">
        <v>190543274023</v>
      </c>
    </row>
    <row r="286" spans="1:6" x14ac:dyDescent="0.3">
      <c r="A286">
        <v>16</v>
      </c>
      <c r="B286" t="s">
        <v>7321</v>
      </c>
      <c r="C286" t="s">
        <v>3438</v>
      </c>
      <c r="E286">
        <v>3435000</v>
      </c>
      <c r="F286">
        <v>190539839023</v>
      </c>
    </row>
    <row r="287" spans="1:6" x14ac:dyDescent="0.3">
      <c r="A287">
        <v>16</v>
      </c>
      <c r="B287" t="s">
        <v>7154</v>
      </c>
      <c r="C287" t="s">
        <v>4210</v>
      </c>
      <c r="E287">
        <v>1100000</v>
      </c>
      <c r="F287">
        <v>190536404023</v>
      </c>
    </row>
    <row r="288" spans="1:6" x14ac:dyDescent="0.3">
      <c r="A288">
        <v>16</v>
      </c>
      <c r="B288" t="s">
        <v>7156</v>
      </c>
      <c r="C288" t="s">
        <v>5993</v>
      </c>
      <c r="E288">
        <v>14150000</v>
      </c>
      <c r="F288">
        <v>190535304023</v>
      </c>
    </row>
    <row r="289" spans="1:6" x14ac:dyDescent="0.3">
      <c r="A289">
        <v>16</v>
      </c>
      <c r="B289" t="s">
        <v>7320</v>
      </c>
      <c r="C289" t="s">
        <v>3438</v>
      </c>
      <c r="E289">
        <v>33379000</v>
      </c>
      <c r="F289">
        <v>190521154023</v>
      </c>
    </row>
    <row r="290" spans="1:6" x14ac:dyDescent="0.3">
      <c r="A290">
        <v>16</v>
      </c>
      <c r="B290" t="s">
        <v>7320</v>
      </c>
      <c r="C290" t="s">
        <v>3438</v>
      </c>
      <c r="E290">
        <v>33379000</v>
      </c>
      <c r="F290">
        <v>190487775023</v>
      </c>
    </row>
    <row r="291" spans="1:6" x14ac:dyDescent="0.3">
      <c r="A291">
        <v>16</v>
      </c>
      <c r="B291" t="s">
        <v>7320</v>
      </c>
      <c r="C291" t="s">
        <v>3438</v>
      </c>
      <c r="E291">
        <v>33379000</v>
      </c>
      <c r="F291">
        <v>190454396023</v>
      </c>
    </row>
    <row r="292" spans="1:6" x14ac:dyDescent="0.3">
      <c r="A292">
        <v>16</v>
      </c>
      <c r="B292" t="s">
        <v>7320</v>
      </c>
      <c r="C292" t="s">
        <v>3438</v>
      </c>
      <c r="E292">
        <v>33379000</v>
      </c>
      <c r="F292">
        <v>190421017023</v>
      </c>
    </row>
    <row r="293" spans="1:6" x14ac:dyDescent="0.3">
      <c r="A293">
        <v>16</v>
      </c>
      <c r="B293" t="s">
        <v>7320</v>
      </c>
      <c r="C293" t="s">
        <v>3438</v>
      </c>
      <c r="E293">
        <v>33379000</v>
      </c>
      <c r="F293">
        <v>190387638023</v>
      </c>
    </row>
    <row r="294" spans="1:6" x14ac:dyDescent="0.3">
      <c r="A294">
        <v>16</v>
      </c>
      <c r="B294" t="s">
        <v>7320</v>
      </c>
      <c r="C294" t="s">
        <v>3438</v>
      </c>
      <c r="E294">
        <v>33379000</v>
      </c>
      <c r="F294">
        <v>190354259023</v>
      </c>
    </row>
    <row r="295" spans="1:6" x14ac:dyDescent="0.3">
      <c r="A295">
        <v>16</v>
      </c>
      <c r="B295" t="s">
        <v>7156</v>
      </c>
      <c r="C295" t="s">
        <v>3438</v>
      </c>
      <c r="E295">
        <v>44493000</v>
      </c>
      <c r="F295">
        <v>190320880023</v>
      </c>
    </row>
    <row r="296" spans="1:6" x14ac:dyDescent="0.3">
      <c r="A296">
        <v>16</v>
      </c>
      <c r="B296" t="s">
        <v>7156</v>
      </c>
      <c r="C296" t="s">
        <v>3438</v>
      </c>
      <c r="E296">
        <v>44493000</v>
      </c>
      <c r="F296">
        <v>190276387023</v>
      </c>
    </row>
    <row r="297" spans="1:6" x14ac:dyDescent="0.3">
      <c r="A297">
        <v>16</v>
      </c>
      <c r="B297" t="s">
        <v>7156</v>
      </c>
      <c r="C297" t="s">
        <v>3438</v>
      </c>
      <c r="E297">
        <v>43056000</v>
      </c>
      <c r="F297">
        <v>190231894023</v>
      </c>
    </row>
    <row r="298" spans="1:6" x14ac:dyDescent="0.3">
      <c r="A298">
        <v>16</v>
      </c>
      <c r="B298" t="s">
        <v>7156</v>
      </c>
      <c r="C298" t="s">
        <v>3438</v>
      </c>
      <c r="E298">
        <v>43056000</v>
      </c>
      <c r="F298">
        <v>190188838023</v>
      </c>
    </row>
    <row r="299" spans="1:6" x14ac:dyDescent="0.3">
      <c r="A299">
        <v>16</v>
      </c>
      <c r="B299" t="s">
        <v>7156</v>
      </c>
      <c r="C299" t="s">
        <v>3438</v>
      </c>
      <c r="E299">
        <v>43056000</v>
      </c>
      <c r="F299">
        <v>190145782023</v>
      </c>
    </row>
    <row r="300" spans="1:6" x14ac:dyDescent="0.3">
      <c r="A300">
        <v>16</v>
      </c>
      <c r="B300" t="s">
        <v>7156</v>
      </c>
      <c r="C300" t="s">
        <v>3438</v>
      </c>
      <c r="E300">
        <v>43056000</v>
      </c>
      <c r="F300">
        <v>190102726023</v>
      </c>
    </row>
    <row r="301" spans="1:6" x14ac:dyDescent="0.3">
      <c r="A301">
        <v>16</v>
      </c>
      <c r="B301" t="s">
        <v>7156</v>
      </c>
      <c r="C301" t="s">
        <v>3438</v>
      </c>
      <c r="E301">
        <v>43056000</v>
      </c>
      <c r="F301">
        <v>190059670023</v>
      </c>
    </row>
    <row r="302" spans="1:6" x14ac:dyDescent="0.3">
      <c r="A302">
        <v>16</v>
      </c>
      <c r="B302" t="s">
        <v>7176</v>
      </c>
      <c r="C302" t="s">
        <v>5992</v>
      </c>
      <c r="E302">
        <v>36818181</v>
      </c>
      <c r="F302">
        <v>190016614023</v>
      </c>
    </row>
    <row r="303" spans="1:6" x14ac:dyDescent="0.3">
      <c r="A303">
        <v>16</v>
      </c>
      <c r="B303" t="s">
        <v>7154</v>
      </c>
      <c r="C303" t="s">
        <v>5991</v>
      </c>
      <c r="E303">
        <v>51000000</v>
      </c>
      <c r="F303">
        <v>189979795842</v>
      </c>
    </row>
    <row r="304" spans="1:6" x14ac:dyDescent="0.3">
      <c r="A304">
        <v>16</v>
      </c>
      <c r="B304" t="s">
        <v>7176</v>
      </c>
      <c r="C304" t="s">
        <v>5990</v>
      </c>
      <c r="E304">
        <v>44545455</v>
      </c>
      <c r="F304">
        <v>189928795842</v>
      </c>
    </row>
    <row r="305" spans="1:6" x14ac:dyDescent="0.3">
      <c r="A305">
        <v>16</v>
      </c>
      <c r="B305" t="s">
        <v>7176</v>
      </c>
      <c r="C305" t="s">
        <v>3692</v>
      </c>
      <c r="E305">
        <v>41175000</v>
      </c>
      <c r="F305">
        <v>189884250387</v>
      </c>
    </row>
    <row r="306" spans="1:6" x14ac:dyDescent="0.3">
      <c r="A306">
        <v>16</v>
      </c>
      <c r="B306" t="s">
        <v>7251</v>
      </c>
      <c r="C306" t="s">
        <v>4440</v>
      </c>
      <c r="E306">
        <v>35430000</v>
      </c>
      <c r="F306">
        <v>189843075387</v>
      </c>
    </row>
    <row r="307" spans="1:6" x14ac:dyDescent="0.3">
      <c r="A307">
        <v>16</v>
      </c>
      <c r="B307" t="s">
        <v>7251</v>
      </c>
      <c r="C307" t="s">
        <v>4440</v>
      </c>
      <c r="E307">
        <v>35430000</v>
      </c>
      <c r="F307">
        <v>189807645387</v>
      </c>
    </row>
    <row r="308" spans="1:6" x14ac:dyDescent="0.3">
      <c r="A308">
        <v>16</v>
      </c>
      <c r="B308" t="s">
        <v>7251</v>
      </c>
      <c r="C308" t="s">
        <v>4440</v>
      </c>
      <c r="E308">
        <v>35430000</v>
      </c>
      <c r="F308">
        <v>189772215387</v>
      </c>
    </row>
    <row r="309" spans="1:6" x14ac:dyDescent="0.3">
      <c r="A309">
        <v>16</v>
      </c>
      <c r="B309" t="s">
        <v>7203</v>
      </c>
      <c r="C309" t="s">
        <v>5989</v>
      </c>
      <c r="E309">
        <v>35000000</v>
      </c>
      <c r="F309">
        <v>189736785387</v>
      </c>
    </row>
    <row r="310" spans="1:6" x14ac:dyDescent="0.3">
      <c r="A310">
        <v>16</v>
      </c>
      <c r="B310" t="s">
        <v>7261</v>
      </c>
      <c r="C310" t="s">
        <v>3668</v>
      </c>
      <c r="E310">
        <v>148200000</v>
      </c>
      <c r="F310">
        <v>189701785387</v>
      </c>
    </row>
    <row r="311" spans="1:6" x14ac:dyDescent="0.3">
      <c r="A311">
        <v>16</v>
      </c>
      <c r="B311" t="s">
        <v>7156</v>
      </c>
      <c r="C311" t="s">
        <v>5485</v>
      </c>
      <c r="E311">
        <v>13600000</v>
      </c>
      <c r="F311">
        <v>189553585387</v>
      </c>
    </row>
    <row r="312" spans="1:6" x14ac:dyDescent="0.3">
      <c r="A312">
        <v>16</v>
      </c>
      <c r="B312" t="s">
        <v>7156</v>
      </c>
      <c r="C312" t="s">
        <v>5988</v>
      </c>
      <c r="E312">
        <v>14000000</v>
      </c>
      <c r="F312">
        <v>189539985387</v>
      </c>
    </row>
    <row r="313" spans="1:6" x14ac:dyDescent="0.3">
      <c r="A313">
        <v>16</v>
      </c>
      <c r="B313" t="s">
        <v>7156</v>
      </c>
      <c r="C313" t="s">
        <v>5987</v>
      </c>
      <c r="E313">
        <v>13800000</v>
      </c>
      <c r="F313">
        <v>189525985387</v>
      </c>
    </row>
    <row r="314" spans="1:6" x14ac:dyDescent="0.3">
      <c r="A314">
        <v>16</v>
      </c>
      <c r="B314" t="s">
        <v>7176</v>
      </c>
      <c r="C314" t="s">
        <v>5986</v>
      </c>
      <c r="E314">
        <v>1134900000</v>
      </c>
      <c r="F314">
        <v>189512185387</v>
      </c>
    </row>
    <row r="315" spans="1:6" x14ac:dyDescent="0.3">
      <c r="A315">
        <v>16</v>
      </c>
      <c r="B315" t="s">
        <v>7156</v>
      </c>
      <c r="C315" t="s">
        <v>5985</v>
      </c>
      <c r="E315">
        <v>14818181</v>
      </c>
      <c r="F315">
        <v>188377285387</v>
      </c>
    </row>
    <row r="316" spans="1:6" x14ac:dyDescent="0.3">
      <c r="A316">
        <v>16</v>
      </c>
      <c r="B316" t="s">
        <v>7251</v>
      </c>
      <c r="C316" t="s">
        <v>5984</v>
      </c>
      <c r="E316">
        <v>16856000</v>
      </c>
      <c r="F316">
        <v>188362467206</v>
      </c>
    </row>
    <row r="317" spans="1:6" x14ac:dyDescent="0.3">
      <c r="A317">
        <v>16</v>
      </c>
      <c r="B317" t="s">
        <v>7251</v>
      </c>
      <c r="C317" t="s">
        <v>5984</v>
      </c>
      <c r="E317">
        <v>16856000</v>
      </c>
      <c r="F317">
        <v>188345611206</v>
      </c>
    </row>
    <row r="318" spans="1:6" x14ac:dyDescent="0.3">
      <c r="A318">
        <v>16</v>
      </c>
      <c r="B318" t="s">
        <v>7251</v>
      </c>
      <c r="C318" t="s">
        <v>3635</v>
      </c>
      <c r="E318">
        <v>14664000</v>
      </c>
      <c r="F318">
        <v>188328755206</v>
      </c>
    </row>
    <row r="319" spans="1:6" x14ac:dyDescent="0.3">
      <c r="A319">
        <v>16</v>
      </c>
      <c r="B319" t="s">
        <v>7203</v>
      </c>
      <c r="C319" t="s">
        <v>4107</v>
      </c>
      <c r="E319">
        <v>36000000</v>
      </c>
      <c r="F319">
        <v>188314091206</v>
      </c>
    </row>
    <row r="320" spans="1:6" x14ac:dyDescent="0.3">
      <c r="A320">
        <v>16</v>
      </c>
      <c r="B320" t="s">
        <v>7203</v>
      </c>
      <c r="C320" t="s">
        <v>5966</v>
      </c>
      <c r="E320">
        <v>37500000</v>
      </c>
      <c r="F320">
        <v>188278091206</v>
      </c>
    </row>
    <row r="321" spans="1:6" x14ac:dyDescent="0.3">
      <c r="A321">
        <v>16</v>
      </c>
      <c r="B321" t="s">
        <v>7176</v>
      </c>
      <c r="C321" t="s">
        <v>5983</v>
      </c>
      <c r="E321">
        <v>40000000</v>
      </c>
      <c r="F321">
        <v>188240591206</v>
      </c>
    </row>
    <row r="322" spans="1:6" x14ac:dyDescent="0.3">
      <c r="A322">
        <v>16</v>
      </c>
      <c r="B322" t="s">
        <v>7329</v>
      </c>
      <c r="C322" t="s">
        <v>5955</v>
      </c>
      <c r="E322">
        <v>2318182</v>
      </c>
      <c r="F322">
        <v>188200591206</v>
      </c>
    </row>
    <row r="323" spans="1:6" x14ac:dyDescent="0.3">
      <c r="A323">
        <v>16</v>
      </c>
      <c r="B323" t="s">
        <v>7156</v>
      </c>
      <c r="C323" t="s">
        <v>5982</v>
      </c>
      <c r="E323">
        <v>15500000</v>
      </c>
      <c r="F323">
        <v>188198273024</v>
      </c>
    </row>
    <row r="324" spans="1:6" x14ac:dyDescent="0.3">
      <c r="A324">
        <v>16</v>
      </c>
      <c r="B324" t="s">
        <v>7156</v>
      </c>
      <c r="C324" t="s">
        <v>5981</v>
      </c>
      <c r="E324">
        <v>15013636</v>
      </c>
      <c r="F324">
        <v>188182773024</v>
      </c>
    </row>
    <row r="325" spans="1:6" x14ac:dyDescent="0.3">
      <c r="A325">
        <v>16</v>
      </c>
      <c r="B325" t="s">
        <v>7329</v>
      </c>
      <c r="C325" t="s">
        <v>5961</v>
      </c>
      <c r="E325">
        <v>1181818</v>
      </c>
      <c r="F325">
        <v>188167759388</v>
      </c>
    </row>
    <row r="326" spans="1:6" x14ac:dyDescent="0.3">
      <c r="A326">
        <v>16</v>
      </c>
      <c r="B326" t="s">
        <v>7154</v>
      </c>
      <c r="C326" t="s">
        <v>5980</v>
      </c>
      <c r="E326">
        <v>50909090</v>
      </c>
      <c r="F326">
        <v>188166577570</v>
      </c>
    </row>
    <row r="327" spans="1:6" x14ac:dyDescent="0.3">
      <c r="A327">
        <v>16</v>
      </c>
      <c r="B327" t="s">
        <v>5979</v>
      </c>
      <c r="C327" t="s">
        <v>4111</v>
      </c>
      <c r="E327">
        <v>528214900</v>
      </c>
      <c r="F327">
        <v>188115668480</v>
      </c>
    </row>
    <row r="328" spans="1:6" x14ac:dyDescent="0.3">
      <c r="A328">
        <v>16</v>
      </c>
      <c r="B328" t="s">
        <v>7328</v>
      </c>
      <c r="C328" t="s">
        <v>5978</v>
      </c>
      <c r="E328">
        <v>8000000</v>
      </c>
      <c r="F328">
        <v>187587453580</v>
      </c>
    </row>
    <row r="329" spans="1:6" x14ac:dyDescent="0.3">
      <c r="A329">
        <v>16</v>
      </c>
      <c r="B329" t="s">
        <v>7156</v>
      </c>
      <c r="C329" t="s">
        <v>5977</v>
      </c>
      <c r="E329">
        <v>14000000</v>
      </c>
      <c r="F329">
        <v>187579453580</v>
      </c>
    </row>
    <row r="330" spans="1:6" x14ac:dyDescent="0.3">
      <c r="A330">
        <v>16</v>
      </c>
      <c r="B330" t="s">
        <v>7154</v>
      </c>
      <c r="C330" t="s">
        <v>5976</v>
      </c>
      <c r="E330">
        <v>52363636</v>
      </c>
      <c r="F330">
        <v>187565453580</v>
      </c>
    </row>
    <row r="331" spans="1:6" x14ac:dyDescent="0.3">
      <c r="A331">
        <v>16</v>
      </c>
      <c r="B331" t="s">
        <v>7156</v>
      </c>
      <c r="C331" t="s">
        <v>5975</v>
      </c>
      <c r="E331">
        <v>14700000</v>
      </c>
      <c r="F331">
        <v>187513089944</v>
      </c>
    </row>
    <row r="332" spans="1:6" x14ac:dyDescent="0.3">
      <c r="A332">
        <v>16</v>
      </c>
      <c r="B332" t="s">
        <v>5973</v>
      </c>
      <c r="C332" t="s">
        <v>5974</v>
      </c>
      <c r="E332">
        <v>230000000</v>
      </c>
      <c r="F332">
        <v>187498389944</v>
      </c>
    </row>
    <row r="333" spans="1:6" x14ac:dyDescent="0.3">
      <c r="A333">
        <v>16</v>
      </c>
      <c r="B333" t="s">
        <v>7156</v>
      </c>
      <c r="C333" t="s">
        <v>5972</v>
      </c>
      <c r="E333">
        <v>14000000</v>
      </c>
      <c r="F333">
        <v>187268389944</v>
      </c>
    </row>
    <row r="334" spans="1:6" x14ac:dyDescent="0.3">
      <c r="A334">
        <v>16</v>
      </c>
      <c r="B334" t="s">
        <v>7203</v>
      </c>
      <c r="C334" t="s">
        <v>5971</v>
      </c>
      <c r="E334">
        <v>34000000</v>
      </c>
      <c r="F334">
        <v>187254389944</v>
      </c>
    </row>
    <row r="335" spans="1:6" x14ac:dyDescent="0.3">
      <c r="A335">
        <v>16</v>
      </c>
      <c r="B335" t="s">
        <v>7203</v>
      </c>
      <c r="C335" t="s">
        <v>3943</v>
      </c>
      <c r="E335">
        <v>17765000</v>
      </c>
      <c r="F335">
        <v>187220389944</v>
      </c>
    </row>
    <row r="336" spans="1:6" x14ac:dyDescent="0.3">
      <c r="A336">
        <v>16</v>
      </c>
      <c r="B336" t="s">
        <v>7259</v>
      </c>
      <c r="C336" t="s">
        <v>5105</v>
      </c>
      <c r="E336">
        <v>5978000</v>
      </c>
      <c r="F336">
        <v>187202624944</v>
      </c>
    </row>
    <row r="337" spans="1:6" x14ac:dyDescent="0.3">
      <c r="A337">
        <v>16</v>
      </c>
      <c r="B337" t="s">
        <v>7203</v>
      </c>
      <c r="C337" t="s">
        <v>5970</v>
      </c>
      <c r="E337">
        <v>35000000</v>
      </c>
      <c r="F337">
        <v>187196646944</v>
      </c>
    </row>
    <row r="338" spans="1:6" x14ac:dyDescent="0.3">
      <c r="A338">
        <v>16</v>
      </c>
      <c r="B338" t="s">
        <v>7252</v>
      </c>
      <c r="C338" t="s">
        <v>5969</v>
      </c>
      <c r="E338">
        <v>57500000</v>
      </c>
      <c r="F338">
        <v>187161646944</v>
      </c>
    </row>
    <row r="339" spans="1:6" x14ac:dyDescent="0.3">
      <c r="A339">
        <v>16</v>
      </c>
      <c r="B339" t="s">
        <v>7251</v>
      </c>
      <c r="C339" t="s">
        <v>5968</v>
      </c>
      <c r="E339">
        <v>34900000</v>
      </c>
      <c r="F339">
        <v>187104146944</v>
      </c>
    </row>
    <row r="340" spans="1:6" x14ac:dyDescent="0.3">
      <c r="A340">
        <v>16</v>
      </c>
      <c r="B340" t="s">
        <v>7203</v>
      </c>
      <c r="C340" t="s">
        <v>5693</v>
      </c>
      <c r="E340">
        <v>37800000</v>
      </c>
      <c r="F340">
        <v>187069246944</v>
      </c>
    </row>
    <row r="341" spans="1:6" x14ac:dyDescent="0.3">
      <c r="A341">
        <v>16</v>
      </c>
      <c r="B341" t="s">
        <v>7249</v>
      </c>
      <c r="C341" t="s">
        <v>5967</v>
      </c>
      <c r="E341">
        <v>11400000</v>
      </c>
      <c r="F341">
        <v>187031446944</v>
      </c>
    </row>
    <row r="342" spans="1:6" x14ac:dyDescent="0.3">
      <c r="A342">
        <v>16</v>
      </c>
      <c r="B342" t="s">
        <v>7203</v>
      </c>
      <c r="C342" t="s">
        <v>5966</v>
      </c>
      <c r="E342">
        <v>37500000</v>
      </c>
      <c r="F342">
        <v>187020046944</v>
      </c>
    </row>
    <row r="343" spans="1:6" x14ac:dyDescent="0.3">
      <c r="A343">
        <v>16</v>
      </c>
      <c r="B343" t="s">
        <v>7251</v>
      </c>
      <c r="C343" t="s">
        <v>5965</v>
      </c>
      <c r="E343">
        <v>33636364</v>
      </c>
      <c r="F343">
        <v>186982546944</v>
      </c>
    </row>
    <row r="344" spans="1:6" x14ac:dyDescent="0.3">
      <c r="A344">
        <v>16</v>
      </c>
      <c r="B344" t="s">
        <v>7156</v>
      </c>
      <c r="C344" t="s">
        <v>5964</v>
      </c>
      <c r="E344">
        <v>14000000</v>
      </c>
      <c r="F344">
        <v>186948910580</v>
      </c>
    </row>
    <row r="345" spans="1:6" x14ac:dyDescent="0.3">
      <c r="A345">
        <v>16</v>
      </c>
      <c r="B345" t="s">
        <v>7176</v>
      </c>
      <c r="C345" t="s">
        <v>5207</v>
      </c>
      <c r="E345">
        <v>38181818</v>
      </c>
      <c r="F345">
        <v>186934910580</v>
      </c>
    </row>
    <row r="346" spans="1:6" x14ac:dyDescent="0.3">
      <c r="A346">
        <v>16</v>
      </c>
      <c r="B346" t="s">
        <v>7203</v>
      </c>
      <c r="C346" t="s">
        <v>5963</v>
      </c>
      <c r="E346">
        <v>36818182</v>
      </c>
      <c r="F346">
        <v>186896728762</v>
      </c>
    </row>
    <row r="347" spans="1:6" x14ac:dyDescent="0.3">
      <c r="A347">
        <v>16</v>
      </c>
      <c r="B347" t="s">
        <v>7176</v>
      </c>
      <c r="C347" t="s">
        <v>5962</v>
      </c>
      <c r="E347">
        <v>40000000</v>
      </c>
      <c r="F347">
        <v>186859910580</v>
      </c>
    </row>
    <row r="348" spans="1:6" x14ac:dyDescent="0.3">
      <c r="A348">
        <v>16</v>
      </c>
      <c r="B348" t="s">
        <v>7203</v>
      </c>
      <c r="C348" t="s">
        <v>3733</v>
      </c>
      <c r="E348">
        <v>37272727</v>
      </c>
      <c r="F348">
        <v>186819910580</v>
      </c>
    </row>
    <row r="349" spans="1:6" x14ac:dyDescent="0.3">
      <c r="A349">
        <v>16</v>
      </c>
      <c r="B349" t="s">
        <v>7285</v>
      </c>
      <c r="C349" t="s">
        <v>5831</v>
      </c>
      <c r="E349">
        <v>49868183</v>
      </c>
      <c r="F349">
        <v>186782637853</v>
      </c>
    </row>
    <row r="350" spans="1:6" x14ac:dyDescent="0.3">
      <c r="A350">
        <v>16</v>
      </c>
      <c r="B350" t="s">
        <v>7303</v>
      </c>
      <c r="C350" t="s">
        <v>5961</v>
      </c>
      <c r="E350">
        <v>97831819</v>
      </c>
      <c r="F350">
        <v>186732769670</v>
      </c>
    </row>
    <row r="351" spans="1:6" x14ac:dyDescent="0.3">
      <c r="A351">
        <v>16</v>
      </c>
      <c r="B351" t="s">
        <v>7311</v>
      </c>
      <c r="C351" t="s">
        <v>4470</v>
      </c>
      <c r="E351">
        <v>41575455</v>
      </c>
      <c r="F351">
        <v>186634937851</v>
      </c>
    </row>
    <row r="352" spans="1:6" x14ac:dyDescent="0.3">
      <c r="A352">
        <v>16</v>
      </c>
      <c r="B352" t="s">
        <v>7285</v>
      </c>
      <c r="C352" t="s">
        <v>5771</v>
      </c>
      <c r="E352">
        <v>100184546</v>
      </c>
      <c r="F352">
        <v>186593362396</v>
      </c>
    </row>
    <row r="353" spans="1:6" x14ac:dyDescent="0.3">
      <c r="A353">
        <v>16</v>
      </c>
      <c r="B353" t="s">
        <v>7311</v>
      </c>
      <c r="C353" t="s">
        <v>4470</v>
      </c>
      <c r="E353">
        <v>6818182</v>
      </c>
      <c r="F353">
        <v>186493177850</v>
      </c>
    </row>
    <row r="354" spans="1:6" x14ac:dyDescent="0.3">
      <c r="A354">
        <v>16</v>
      </c>
      <c r="B354" t="s">
        <v>7170</v>
      </c>
      <c r="C354" t="s">
        <v>4903</v>
      </c>
      <c r="E354">
        <v>174000000</v>
      </c>
      <c r="F354">
        <v>186486359668</v>
      </c>
    </row>
    <row r="355" spans="1:6" x14ac:dyDescent="0.3">
      <c r="A355">
        <v>16</v>
      </c>
      <c r="B355" t="s">
        <v>7285</v>
      </c>
      <c r="C355" t="s">
        <v>5831</v>
      </c>
      <c r="E355">
        <v>10000000</v>
      </c>
      <c r="F355">
        <v>186312359668</v>
      </c>
    </row>
    <row r="356" spans="1:6" x14ac:dyDescent="0.3">
      <c r="A356">
        <v>16</v>
      </c>
      <c r="B356" t="s">
        <v>7213</v>
      </c>
      <c r="C356" t="s">
        <v>5475</v>
      </c>
      <c r="E356">
        <v>36149007</v>
      </c>
      <c r="F356">
        <v>186302359668</v>
      </c>
    </row>
    <row r="357" spans="1:6" x14ac:dyDescent="0.3">
      <c r="A357">
        <v>16</v>
      </c>
      <c r="B357" t="s">
        <v>7327</v>
      </c>
      <c r="C357" t="s">
        <v>5960</v>
      </c>
      <c r="E357">
        <v>80532000</v>
      </c>
      <c r="F357">
        <v>186266210661</v>
      </c>
    </row>
    <row r="358" spans="1:6" x14ac:dyDescent="0.3">
      <c r="A358">
        <v>16</v>
      </c>
      <c r="B358" t="s">
        <v>7303</v>
      </c>
      <c r="C358" t="s">
        <v>5959</v>
      </c>
      <c r="E358">
        <v>99013637</v>
      </c>
      <c r="F358">
        <v>186185678661</v>
      </c>
    </row>
    <row r="359" spans="1:6" x14ac:dyDescent="0.3">
      <c r="A359">
        <v>16</v>
      </c>
      <c r="B359" t="s">
        <v>7303</v>
      </c>
      <c r="C359" t="s">
        <v>5958</v>
      </c>
      <c r="E359">
        <v>99013637</v>
      </c>
      <c r="F359">
        <v>186086665024</v>
      </c>
    </row>
    <row r="360" spans="1:6" x14ac:dyDescent="0.3">
      <c r="A360">
        <v>16</v>
      </c>
      <c r="B360" t="s">
        <v>7303</v>
      </c>
      <c r="C360" t="s">
        <v>5957</v>
      </c>
      <c r="E360">
        <v>96445455</v>
      </c>
      <c r="F360">
        <v>185987651387</v>
      </c>
    </row>
    <row r="361" spans="1:6" x14ac:dyDescent="0.3">
      <c r="A361">
        <v>16</v>
      </c>
      <c r="B361" t="s">
        <v>7303</v>
      </c>
      <c r="C361" t="s">
        <v>5956</v>
      </c>
      <c r="E361">
        <v>99013637</v>
      </c>
      <c r="F361">
        <v>185891205932</v>
      </c>
    </row>
    <row r="362" spans="1:6" x14ac:dyDescent="0.3">
      <c r="A362">
        <v>16</v>
      </c>
      <c r="B362" t="s">
        <v>7303</v>
      </c>
      <c r="C362" t="s">
        <v>5955</v>
      </c>
      <c r="E362">
        <v>96695455</v>
      </c>
      <c r="F362">
        <v>185792192295</v>
      </c>
    </row>
    <row r="363" spans="1:6" x14ac:dyDescent="0.3">
      <c r="A363">
        <v>16</v>
      </c>
      <c r="B363" t="s">
        <v>7156</v>
      </c>
      <c r="C363" t="s">
        <v>5954</v>
      </c>
      <c r="E363">
        <v>15013636</v>
      </c>
      <c r="F363">
        <v>185695496840</v>
      </c>
    </row>
    <row r="364" spans="1:6" x14ac:dyDescent="0.3">
      <c r="A364">
        <v>16</v>
      </c>
      <c r="B364" t="s">
        <v>7156</v>
      </c>
      <c r="C364" t="s">
        <v>5954</v>
      </c>
      <c r="E364">
        <v>-15013636</v>
      </c>
      <c r="F364">
        <v>185680483204</v>
      </c>
    </row>
    <row r="365" spans="1:6" x14ac:dyDescent="0.3">
      <c r="A365">
        <v>16</v>
      </c>
      <c r="B365" t="s">
        <v>7203</v>
      </c>
      <c r="C365" t="s">
        <v>5419</v>
      </c>
      <c r="E365">
        <v>36750000</v>
      </c>
      <c r="F365">
        <v>185695496840</v>
      </c>
    </row>
    <row r="366" spans="1:6" x14ac:dyDescent="0.3">
      <c r="A366">
        <v>16</v>
      </c>
      <c r="B366" t="s">
        <v>7156</v>
      </c>
      <c r="C366" t="s">
        <v>5203</v>
      </c>
      <c r="E366">
        <v>15013636</v>
      </c>
      <c r="F366">
        <v>185658746840</v>
      </c>
    </row>
    <row r="367" spans="1:6" x14ac:dyDescent="0.3">
      <c r="A367">
        <v>16</v>
      </c>
      <c r="B367" t="s">
        <v>7156</v>
      </c>
      <c r="C367" t="s">
        <v>5954</v>
      </c>
      <c r="E367">
        <v>15013636</v>
      </c>
      <c r="F367">
        <v>185643733204</v>
      </c>
    </row>
    <row r="368" spans="1:6" x14ac:dyDescent="0.3">
      <c r="A368">
        <v>16</v>
      </c>
      <c r="B368" t="s">
        <v>7203</v>
      </c>
      <c r="C368" t="s">
        <v>5953</v>
      </c>
      <c r="E368">
        <v>37272728</v>
      </c>
      <c r="F368">
        <v>185628719568</v>
      </c>
    </row>
    <row r="369" spans="1:6" x14ac:dyDescent="0.3">
      <c r="A369">
        <v>16</v>
      </c>
      <c r="B369" t="s">
        <v>7303</v>
      </c>
      <c r="C369" t="s">
        <v>4238</v>
      </c>
      <c r="E369">
        <v>5000000</v>
      </c>
      <c r="F369">
        <v>185591446840</v>
      </c>
    </row>
    <row r="370" spans="1:6" x14ac:dyDescent="0.3">
      <c r="A370">
        <v>16</v>
      </c>
      <c r="B370" t="s">
        <v>7303</v>
      </c>
      <c r="C370" t="s">
        <v>4238</v>
      </c>
      <c r="E370">
        <v>91536364</v>
      </c>
      <c r="F370">
        <v>185586446840</v>
      </c>
    </row>
    <row r="371" spans="1:6" x14ac:dyDescent="0.3">
      <c r="A371">
        <v>16</v>
      </c>
      <c r="B371" t="s">
        <v>7203</v>
      </c>
      <c r="C371" t="s">
        <v>5952</v>
      </c>
      <c r="E371">
        <v>35909091</v>
      </c>
      <c r="F371">
        <v>185494910476</v>
      </c>
    </row>
    <row r="372" spans="1:6" x14ac:dyDescent="0.3">
      <c r="A372">
        <v>16</v>
      </c>
      <c r="B372" t="s">
        <v>7245</v>
      </c>
      <c r="C372" t="s">
        <v>5951</v>
      </c>
      <c r="E372">
        <v>40909091</v>
      </c>
      <c r="F372">
        <v>185459001385</v>
      </c>
    </row>
    <row r="373" spans="1:6" x14ac:dyDescent="0.3">
      <c r="A373">
        <v>16</v>
      </c>
      <c r="B373" t="s">
        <v>7203</v>
      </c>
      <c r="C373" t="s">
        <v>5950</v>
      </c>
      <c r="E373">
        <v>36818182</v>
      </c>
      <c r="F373">
        <v>185418092294</v>
      </c>
    </row>
    <row r="374" spans="1:6" x14ac:dyDescent="0.3">
      <c r="A374">
        <v>16</v>
      </c>
      <c r="B374" t="s">
        <v>7176</v>
      </c>
      <c r="C374" t="s">
        <v>5949</v>
      </c>
      <c r="E374">
        <v>38000000</v>
      </c>
      <c r="F374">
        <v>185381274112</v>
      </c>
    </row>
    <row r="375" spans="1:6" x14ac:dyDescent="0.3">
      <c r="A375">
        <v>16</v>
      </c>
      <c r="B375" t="s">
        <v>7303</v>
      </c>
      <c r="C375" t="s">
        <v>5948</v>
      </c>
      <c r="E375">
        <v>1090910</v>
      </c>
      <c r="F375">
        <v>185343274112</v>
      </c>
    </row>
    <row r="376" spans="1:6" x14ac:dyDescent="0.3">
      <c r="A376">
        <v>16</v>
      </c>
      <c r="B376" t="s">
        <v>7303</v>
      </c>
      <c r="C376" t="s">
        <v>5948</v>
      </c>
      <c r="E376">
        <v>96695455</v>
      </c>
      <c r="F376">
        <v>185342183202</v>
      </c>
    </row>
    <row r="377" spans="1:6" x14ac:dyDescent="0.3">
      <c r="A377">
        <v>16</v>
      </c>
      <c r="B377" t="s">
        <v>7176</v>
      </c>
      <c r="C377" t="s">
        <v>5947</v>
      </c>
      <c r="E377">
        <v>37727272</v>
      </c>
      <c r="F377">
        <v>185245487747</v>
      </c>
    </row>
    <row r="378" spans="1:6" x14ac:dyDescent="0.3">
      <c r="A378">
        <v>16</v>
      </c>
      <c r="B378" t="s">
        <v>7176</v>
      </c>
      <c r="C378" t="s">
        <v>5946</v>
      </c>
      <c r="E378">
        <v>39090909</v>
      </c>
      <c r="F378">
        <v>185207760475</v>
      </c>
    </row>
    <row r="379" spans="1:6" x14ac:dyDescent="0.3">
      <c r="A379">
        <v>16</v>
      </c>
      <c r="B379" t="s">
        <v>7176</v>
      </c>
      <c r="C379" t="s">
        <v>5945</v>
      </c>
      <c r="E379">
        <v>44500000</v>
      </c>
      <c r="F379">
        <v>185168669566</v>
      </c>
    </row>
    <row r="380" spans="1:6" x14ac:dyDescent="0.3">
      <c r="A380">
        <v>16</v>
      </c>
      <c r="B380" t="s">
        <v>7176</v>
      </c>
      <c r="C380" t="s">
        <v>5944</v>
      </c>
      <c r="E380">
        <v>43000000</v>
      </c>
      <c r="F380">
        <v>185124169566</v>
      </c>
    </row>
    <row r="381" spans="1:6" x14ac:dyDescent="0.3">
      <c r="A381">
        <v>16</v>
      </c>
      <c r="B381" t="s">
        <v>7203</v>
      </c>
      <c r="C381" t="s">
        <v>5943</v>
      </c>
      <c r="E381">
        <v>36500000</v>
      </c>
      <c r="F381">
        <v>185081169566</v>
      </c>
    </row>
    <row r="382" spans="1:6" x14ac:dyDescent="0.3">
      <c r="A382">
        <v>16</v>
      </c>
      <c r="B382" t="s">
        <v>7251</v>
      </c>
      <c r="C382" t="s">
        <v>3464</v>
      </c>
      <c r="E382">
        <v>34090909</v>
      </c>
      <c r="F382">
        <v>185044669566</v>
      </c>
    </row>
    <row r="383" spans="1:6" x14ac:dyDescent="0.3">
      <c r="A383">
        <v>16</v>
      </c>
      <c r="B383" t="s">
        <v>7186</v>
      </c>
      <c r="C383" t="s">
        <v>3632</v>
      </c>
      <c r="E383">
        <v>54000000</v>
      </c>
      <c r="F383">
        <v>185010578657</v>
      </c>
    </row>
    <row r="384" spans="1:6" x14ac:dyDescent="0.3">
      <c r="A384">
        <v>16</v>
      </c>
      <c r="B384" t="s">
        <v>7154</v>
      </c>
      <c r="C384" t="s">
        <v>5942</v>
      </c>
      <c r="E384">
        <v>50909091</v>
      </c>
      <c r="F384">
        <v>184956578657</v>
      </c>
    </row>
    <row r="385" spans="1:6" x14ac:dyDescent="0.3">
      <c r="A385">
        <v>16</v>
      </c>
      <c r="B385" t="s">
        <v>7176</v>
      </c>
      <c r="C385" t="s">
        <v>5941</v>
      </c>
      <c r="E385">
        <v>39500000</v>
      </c>
      <c r="F385">
        <v>184905669566</v>
      </c>
    </row>
    <row r="386" spans="1:6" x14ac:dyDescent="0.3">
      <c r="A386">
        <v>16</v>
      </c>
      <c r="B386" t="s">
        <v>7252</v>
      </c>
      <c r="C386" t="s">
        <v>5940</v>
      </c>
      <c r="E386">
        <v>62000000</v>
      </c>
      <c r="F386">
        <v>184866169566</v>
      </c>
    </row>
    <row r="387" spans="1:6" x14ac:dyDescent="0.3">
      <c r="A387">
        <v>16</v>
      </c>
      <c r="B387" t="s">
        <v>7186</v>
      </c>
      <c r="C387" t="s">
        <v>5939</v>
      </c>
      <c r="E387">
        <v>53181818</v>
      </c>
      <c r="F387">
        <v>184804169566</v>
      </c>
    </row>
    <row r="388" spans="1:6" x14ac:dyDescent="0.3">
      <c r="A388">
        <v>16</v>
      </c>
      <c r="B388" t="s">
        <v>7154</v>
      </c>
      <c r="C388" t="s">
        <v>5938</v>
      </c>
      <c r="E388">
        <v>51000000</v>
      </c>
      <c r="F388">
        <v>184750987748</v>
      </c>
    </row>
    <row r="389" spans="1:6" x14ac:dyDescent="0.3">
      <c r="A389">
        <v>16</v>
      </c>
      <c r="B389" t="s">
        <v>7203</v>
      </c>
      <c r="C389" t="s">
        <v>5937</v>
      </c>
      <c r="E389">
        <v>34500000</v>
      </c>
      <c r="F389">
        <v>184699987748</v>
      </c>
    </row>
    <row r="390" spans="1:6" x14ac:dyDescent="0.3">
      <c r="A390">
        <v>16</v>
      </c>
      <c r="B390" t="s">
        <v>2039</v>
      </c>
      <c r="C390" t="s">
        <v>5936</v>
      </c>
      <c r="E390">
        <v>40000000</v>
      </c>
      <c r="F390">
        <v>184665487748</v>
      </c>
    </row>
    <row r="391" spans="1:6" x14ac:dyDescent="0.3">
      <c r="A391">
        <v>16</v>
      </c>
      <c r="B391" t="s">
        <v>7154</v>
      </c>
      <c r="C391" t="s">
        <v>5935</v>
      </c>
      <c r="E391">
        <v>50909091</v>
      </c>
      <c r="F391">
        <v>184625487748</v>
      </c>
    </row>
    <row r="392" spans="1:6" x14ac:dyDescent="0.3">
      <c r="A392">
        <v>16</v>
      </c>
      <c r="B392" t="s">
        <v>7203</v>
      </c>
      <c r="C392" t="s">
        <v>5934</v>
      </c>
      <c r="E392">
        <v>38181818</v>
      </c>
      <c r="F392">
        <v>184574578657</v>
      </c>
    </row>
    <row r="393" spans="1:6" x14ac:dyDescent="0.3">
      <c r="A393">
        <v>16</v>
      </c>
      <c r="B393" t="s">
        <v>7252</v>
      </c>
      <c r="C393" t="s">
        <v>5933</v>
      </c>
      <c r="E393">
        <v>57700000</v>
      </c>
      <c r="F393">
        <v>184536396839</v>
      </c>
    </row>
    <row r="394" spans="1:6" x14ac:dyDescent="0.3">
      <c r="A394">
        <v>16</v>
      </c>
      <c r="B394" t="s">
        <v>7154</v>
      </c>
      <c r="C394" t="s">
        <v>5932</v>
      </c>
      <c r="E394">
        <v>51000000</v>
      </c>
      <c r="F394">
        <v>184478696839</v>
      </c>
    </row>
    <row r="395" spans="1:6" x14ac:dyDescent="0.3">
      <c r="A395">
        <v>16</v>
      </c>
      <c r="B395" t="s">
        <v>7154</v>
      </c>
      <c r="C395" t="s">
        <v>5931</v>
      </c>
      <c r="E395">
        <v>50000000</v>
      </c>
      <c r="F395">
        <v>184427696839</v>
      </c>
    </row>
    <row r="396" spans="1:6" x14ac:dyDescent="0.3">
      <c r="A396">
        <v>16</v>
      </c>
      <c r="B396" t="s">
        <v>7156</v>
      </c>
      <c r="C396" t="s">
        <v>4213</v>
      </c>
      <c r="E396">
        <v>14500000</v>
      </c>
      <c r="F396">
        <v>184377696839</v>
      </c>
    </row>
    <row r="397" spans="1:6" x14ac:dyDescent="0.3">
      <c r="A397">
        <v>16</v>
      </c>
      <c r="B397" t="s">
        <v>7203</v>
      </c>
      <c r="C397" t="s">
        <v>5930</v>
      </c>
      <c r="E397">
        <v>36363636</v>
      </c>
      <c r="F397">
        <v>184363196839</v>
      </c>
    </row>
    <row r="398" spans="1:6" x14ac:dyDescent="0.3">
      <c r="A398">
        <v>16</v>
      </c>
      <c r="B398" t="s">
        <v>7203</v>
      </c>
      <c r="C398" t="s">
        <v>5929</v>
      </c>
      <c r="E398">
        <v>34500000</v>
      </c>
      <c r="F398">
        <v>184326833203</v>
      </c>
    </row>
    <row r="399" spans="1:6" x14ac:dyDescent="0.3">
      <c r="A399">
        <v>16</v>
      </c>
      <c r="B399" t="s">
        <v>7156</v>
      </c>
      <c r="C399" t="s">
        <v>5928</v>
      </c>
      <c r="E399">
        <v>14500000</v>
      </c>
      <c r="F399">
        <v>184292333203</v>
      </c>
    </row>
    <row r="400" spans="1:6" x14ac:dyDescent="0.3">
      <c r="A400">
        <v>16</v>
      </c>
      <c r="B400" t="s">
        <v>7282</v>
      </c>
      <c r="C400" t="s">
        <v>5927</v>
      </c>
      <c r="E400">
        <v>154700000</v>
      </c>
      <c r="F400">
        <v>184277833203</v>
      </c>
    </row>
    <row r="401" spans="1:6" x14ac:dyDescent="0.3">
      <c r="A401">
        <v>16</v>
      </c>
      <c r="B401" t="s">
        <v>7156</v>
      </c>
      <c r="C401" t="s">
        <v>3975</v>
      </c>
      <c r="E401">
        <v>14500000</v>
      </c>
      <c r="F401">
        <v>184123133203</v>
      </c>
    </row>
    <row r="402" spans="1:6" x14ac:dyDescent="0.3">
      <c r="A402">
        <v>16</v>
      </c>
      <c r="B402" t="s">
        <v>7251</v>
      </c>
      <c r="C402" t="s">
        <v>3438</v>
      </c>
      <c r="E402">
        <v>30465000</v>
      </c>
      <c r="F402">
        <v>184108633203</v>
      </c>
    </row>
    <row r="403" spans="1:6" x14ac:dyDescent="0.3">
      <c r="A403">
        <v>16</v>
      </c>
      <c r="B403" t="s">
        <v>7203</v>
      </c>
      <c r="C403" t="s">
        <v>5926</v>
      </c>
      <c r="E403">
        <v>35288182</v>
      </c>
      <c r="F403">
        <v>184078168203</v>
      </c>
    </row>
    <row r="404" spans="1:6" x14ac:dyDescent="0.3">
      <c r="A404">
        <v>16</v>
      </c>
      <c r="B404" t="s">
        <v>7203</v>
      </c>
      <c r="C404" t="s">
        <v>5925</v>
      </c>
      <c r="E404">
        <v>34245000</v>
      </c>
      <c r="F404">
        <v>184042880021</v>
      </c>
    </row>
    <row r="405" spans="1:6" x14ac:dyDescent="0.3">
      <c r="A405">
        <v>16</v>
      </c>
      <c r="B405" t="s">
        <v>7325</v>
      </c>
      <c r="C405" t="s">
        <v>5924</v>
      </c>
      <c r="E405">
        <v>41575455</v>
      </c>
      <c r="F405">
        <v>184008635021</v>
      </c>
    </row>
    <row r="406" spans="1:6" x14ac:dyDescent="0.3">
      <c r="A406">
        <v>16</v>
      </c>
      <c r="B406" t="s">
        <v>7203</v>
      </c>
      <c r="C406" t="s">
        <v>5639</v>
      </c>
      <c r="E406">
        <v>37727273</v>
      </c>
      <c r="F406">
        <v>183967059566</v>
      </c>
    </row>
    <row r="407" spans="1:6" x14ac:dyDescent="0.3">
      <c r="A407">
        <v>16</v>
      </c>
      <c r="B407" t="s">
        <v>7203</v>
      </c>
      <c r="C407" t="s">
        <v>5639</v>
      </c>
      <c r="E407">
        <v>37727273</v>
      </c>
      <c r="F407">
        <v>183929332293</v>
      </c>
    </row>
    <row r="408" spans="1:6" x14ac:dyDescent="0.3">
      <c r="A408">
        <v>16</v>
      </c>
      <c r="B408" t="s">
        <v>7203</v>
      </c>
      <c r="C408" t="s">
        <v>5639</v>
      </c>
      <c r="E408">
        <v>37727273</v>
      </c>
      <c r="F408">
        <v>183891605020</v>
      </c>
    </row>
    <row r="409" spans="1:6" x14ac:dyDescent="0.3">
      <c r="A409">
        <v>16</v>
      </c>
      <c r="B409" t="s">
        <v>7154</v>
      </c>
      <c r="C409" t="s">
        <v>5701</v>
      </c>
      <c r="E409">
        <v>86053798</v>
      </c>
      <c r="F409">
        <v>183853877747</v>
      </c>
    </row>
    <row r="410" spans="1:6" x14ac:dyDescent="0.3">
      <c r="A410">
        <v>16</v>
      </c>
      <c r="B410" t="s">
        <v>7203</v>
      </c>
      <c r="C410" t="s">
        <v>5426</v>
      </c>
      <c r="E410">
        <v>34909091</v>
      </c>
      <c r="F410">
        <v>183767823949</v>
      </c>
    </row>
    <row r="411" spans="1:6" x14ac:dyDescent="0.3">
      <c r="A411">
        <v>16</v>
      </c>
      <c r="B411" t="s">
        <v>7203</v>
      </c>
      <c r="C411" t="s">
        <v>5923</v>
      </c>
      <c r="E411">
        <v>37272727</v>
      </c>
      <c r="F411">
        <v>183732914858</v>
      </c>
    </row>
    <row r="412" spans="1:6" x14ac:dyDescent="0.3">
      <c r="A412">
        <v>16</v>
      </c>
      <c r="B412" t="s">
        <v>7203</v>
      </c>
      <c r="C412" t="s">
        <v>5910</v>
      </c>
      <c r="E412">
        <v>37000000</v>
      </c>
      <c r="F412">
        <v>183695642131</v>
      </c>
    </row>
    <row r="413" spans="1:6" x14ac:dyDescent="0.3">
      <c r="A413">
        <v>16</v>
      </c>
      <c r="B413" t="s">
        <v>7326</v>
      </c>
      <c r="C413" t="s">
        <v>4305</v>
      </c>
      <c r="E413">
        <v>168361950</v>
      </c>
      <c r="F413">
        <v>183658642131</v>
      </c>
    </row>
    <row r="414" spans="1:6" x14ac:dyDescent="0.3">
      <c r="A414">
        <v>16</v>
      </c>
      <c r="B414" t="s">
        <v>5922</v>
      </c>
      <c r="C414" t="s">
        <v>3438</v>
      </c>
      <c r="E414">
        <v>4760000</v>
      </c>
      <c r="F414">
        <v>183490280181</v>
      </c>
    </row>
    <row r="415" spans="1:6" x14ac:dyDescent="0.3">
      <c r="A415">
        <v>16</v>
      </c>
      <c r="B415" t="s">
        <v>5921</v>
      </c>
      <c r="C415" t="s">
        <v>3438</v>
      </c>
      <c r="E415">
        <v>24080000</v>
      </c>
      <c r="F415">
        <v>183485520181</v>
      </c>
    </row>
    <row r="416" spans="1:6" x14ac:dyDescent="0.3">
      <c r="A416">
        <v>16</v>
      </c>
      <c r="B416" t="s">
        <v>7251</v>
      </c>
      <c r="C416" t="s">
        <v>3594</v>
      </c>
      <c r="E416">
        <v>17765000</v>
      </c>
      <c r="F416">
        <v>183461440181</v>
      </c>
    </row>
    <row r="417" spans="1:6" x14ac:dyDescent="0.3">
      <c r="A417">
        <v>16</v>
      </c>
      <c r="B417" t="s">
        <v>7251</v>
      </c>
      <c r="C417" t="s">
        <v>5128</v>
      </c>
      <c r="E417">
        <v>17765000</v>
      </c>
      <c r="F417">
        <v>183443675181</v>
      </c>
    </row>
    <row r="418" spans="1:6" x14ac:dyDescent="0.3">
      <c r="A418">
        <v>16</v>
      </c>
      <c r="B418" t="s">
        <v>7251</v>
      </c>
      <c r="C418" t="s">
        <v>5128</v>
      </c>
      <c r="E418">
        <v>17765000</v>
      </c>
      <c r="F418">
        <v>183425910181</v>
      </c>
    </row>
    <row r="419" spans="1:6" x14ac:dyDescent="0.3">
      <c r="A419">
        <v>16</v>
      </c>
      <c r="B419" t="s">
        <v>7203</v>
      </c>
      <c r="C419" t="s">
        <v>5920</v>
      </c>
      <c r="E419">
        <v>33636364</v>
      </c>
      <c r="F419">
        <v>183408145181</v>
      </c>
    </row>
    <row r="420" spans="1:6" x14ac:dyDescent="0.3">
      <c r="A420">
        <v>16</v>
      </c>
      <c r="B420" t="s">
        <v>7203</v>
      </c>
      <c r="C420" t="s">
        <v>5920</v>
      </c>
      <c r="E420">
        <v>33636364</v>
      </c>
      <c r="F420">
        <v>183374508817</v>
      </c>
    </row>
    <row r="421" spans="1:6" x14ac:dyDescent="0.3">
      <c r="A421">
        <v>16</v>
      </c>
      <c r="B421" t="s">
        <v>7203</v>
      </c>
      <c r="C421" t="s">
        <v>5920</v>
      </c>
      <c r="E421">
        <v>33636364</v>
      </c>
      <c r="F421">
        <v>183340872453</v>
      </c>
    </row>
    <row r="422" spans="1:6" x14ac:dyDescent="0.3">
      <c r="A422">
        <v>16</v>
      </c>
      <c r="B422" t="s">
        <v>7203</v>
      </c>
      <c r="C422" t="s">
        <v>5920</v>
      </c>
      <c r="E422">
        <v>33636364</v>
      </c>
      <c r="F422">
        <v>183307236089</v>
      </c>
    </row>
    <row r="423" spans="1:6" x14ac:dyDescent="0.3">
      <c r="A423">
        <v>16</v>
      </c>
      <c r="B423" t="s">
        <v>7203</v>
      </c>
      <c r="C423" t="s">
        <v>5920</v>
      </c>
      <c r="E423">
        <v>33636364</v>
      </c>
      <c r="F423">
        <v>183273599725</v>
      </c>
    </row>
    <row r="424" spans="1:6" x14ac:dyDescent="0.3">
      <c r="A424">
        <v>16</v>
      </c>
      <c r="B424" t="s">
        <v>7203</v>
      </c>
      <c r="C424" t="s">
        <v>5920</v>
      </c>
      <c r="E424">
        <v>33636364</v>
      </c>
      <c r="F424">
        <v>183239963361</v>
      </c>
    </row>
    <row r="425" spans="1:6" x14ac:dyDescent="0.3">
      <c r="A425">
        <v>16</v>
      </c>
      <c r="B425" t="s">
        <v>7176</v>
      </c>
      <c r="C425" t="s">
        <v>5919</v>
      </c>
      <c r="E425">
        <v>40000000</v>
      </c>
      <c r="F425">
        <v>183206326997</v>
      </c>
    </row>
    <row r="426" spans="1:6" x14ac:dyDescent="0.3">
      <c r="A426">
        <v>16</v>
      </c>
      <c r="B426" t="s">
        <v>7176</v>
      </c>
      <c r="C426" t="s">
        <v>5919</v>
      </c>
      <c r="E426">
        <v>40000000</v>
      </c>
      <c r="F426">
        <v>183166326997</v>
      </c>
    </row>
    <row r="427" spans="1:6" x14ac:dyDescent="0.3">
      <c r="A427">
        <v>16</v>
      </c>
      <c r="B427" t="s">
        <v>7245</v>
      </c>
      <c r="C427" t="s">
        <v>4304</v>
      </c>
      <c r="E427">
        <v>42000000</v>
      </c>
      <c r="F427">
        <v>183126326997</v>
      </c>
    </row>
    <row r="428" spans="1:6" x14ac:dyDescent="0.3">
      <c r="A428">
        <v>16</v>
      </c>
      <c r="B428" t="s">
        <v>7176</v>
      </c>
      <c r="C428" t="s">
        <v>5918</v>
      </c>
      <c r="E428">
        <v>39090909</v>
      </c>
      <c r="F428">
        <v>183084326997</v>
      </c>
    </row>
    <row r="429" spans="1:6" x14ac:dyDescent="0.3">
      <c r="A429">
        <v>16</v>
      </c>
      <c r="B429" t="s">
        <v>7251</v>
      </c>
      <c r="C429" t="s">
        <v>4914</v>
      </c>
      <c r="E429">
        <v>35000000</v>
      </c>
      <c r="F429">
        <v>183045236088</v>
      </c>
    </row>
    <row r="430" spans="1:6" x14ac:dyDescent="0.3">
      <c r="A430">
        <v>16</v>
      </c>
      <c r="B430" t="s">
        <v>7203</v>
      </c>
      <c r="C430" t="s">
        <v>5917</v>
      </c>
      <c r="E430">
        <v>36459091</v>
      </c>
      <c r="F430">
        <v>183010236088</v>
      </c>
    </row>
    <row r="431" spans="1:6" x14ac:dyDescent="0.3">
      <c r="A431">
        <v>16</v>
      </c>
      <c r="B431" t="s">
        <v>7203</v>
      </c>
      <c r="C431" t="s">
        <v>5916</v>
      </c>
      <c r="E431">
        <v>32454546</v>
      </c>
      <c r="F431">
        <v>182973776997</v>
      </c>
    </row>
    <row r="432" spans="1:6" x14ac:dyDescent="0.3">
      <c r="A432">
        <v>16</v>
      </c>
      <c r="B432" t="s">
        <v>7154</v>
      </c>
      <c r="C432" t="s">
        <v>5915</v>
      </c>
      <c r="E432">
        <v>51000000</v>
      </c>
      <c r="F432">
        <v>182941322451</v>
      </c>
    </row>
    <row r="433" spans="1:6" x14ac:dyDescent="0.3">
      <c r="A433">
        <v>16</v>
      </c>
      <c r="B433" t="s">
        <v>7153</v>
      </c>
      <c r="C433" t="s">
        <v>5756</v>
      </c>
      <c r="E433">
        <v>105876364</v>
      </c>
      <c r="F433">
        <v>182890322451</v>
      </c>
    </row>
    <row r="434" spans="1:6" x14ac:dyDescent="0.3">
      <c r="A434">
        <v>16</v>
      </c>
      <c r="B434" t="s">
        <v>7155</v>
      </c>
      <c r="C434" t="s">
        <v>5899</v>
      </c>
      <c r="E434">
        <v>91343637</v>
      </c>
      <c r="F434">
        <v>182784446087</v>
      </c>
    </row>
    <row r="435" spans="1:6" x14ac:dyDescent="0.3">
      <c r="A435">
        <v>16</v>
      </c>
      <c r="B435" t="s">
        <v>7325</v>
      </c>
      <c r="C435" t="s">
        <v>5914</v>
      </c>
      <c r="E435">
        <v>41825455</v>
      </c>
      <c r="F435">
        <v>182693102450</v>
      </c>
    </row>
    <row r="436" spans="1:6" x14ac:dyDescent="0.3">
      <c r="A436">
        <v>16</v>
      </c>
      <c r="B436" t="s">
        <v>7154</v>
      </c>
      <c r="C436" t="s">
        <v>5913</v>
      </c>
      <c r="E436">
        <v>52016364</v>
      </c>
      <c r="F436">
        <v>182651276995</v>
      </c>
    </row>
    <row r="437" spans="1:6" x14ac:dyDescent="0.3">
      <c r="A437">
        <v>16</v>
      </c>
      <c r="B437" t="s">
        <v>7203</v>
      </c>
      <c r="C437" t="s">
        <v>5912</v>
      </c>
      <c r="E437">
        <v>18490000</v>
      </c>
      <c r="F437">
        <v>182599260631</v>
      </c>
    </row>
    <row r="438" spans="1:6" x14ac:dyDescent="0.3">
      <c r="A438">
        <v>16</v>
      </c>
      <c r="B438" t="s">
        <v>7203</v>
      </c>
      <c r="C438" t="s">
        <v>5911</v>
      </c>
      <c r="E438">
        <v>17765000</v>
      </c>
      <c r="F438">
        <v>182580770631</v>
      </c>
    </row>
    <row r="439" spans="1:6" x14ac:dyDescent="0.3">
      <c r="A439">
        <v>16</v>
      </c>
      <c r="B439" t="s">
        <v>7203</v>
      </c>
      <c r="C439" t="s">
        <v>5910</v>
      </c>
      <c r="E439">
        <v>37000000</v>
      </c>
      <c r="F439">
        <v>182563005631</v>
      </c>
    </row>
    <row r="440" spans="1:6" x14ac:dyDescent="0.3">
      <c r="A440">
        <v>16</v>
      </c>
      <c r="B440" t="s">
        <v>7203</v>
      </c>
      <c r="C440" t="s">
        <v>3874</v>
      </c>
      <c r="E440">
        <v>37272727</v>
      </c>
      <c r="F440">
        <v>182526005631</v>
      </c>
    </row>
    <row r="441" spans="1:6" x14ac:dyDescent="0.3">
      <c r="A441">
        <v>16</v>
      </c>
      <c r="B441" t="s">
        <v>7311</v>
      </c>
      <c r="C441" t="s">
        <v>5909</v>
      </c>
      <c r="E441">
        <v>46636364</v>
      </c>
      <c r="F441">
        <v>182488732904</v>
      </c>
    </row>
    <row r="442" spans="1:6" x14ac:dyDescent="0.3">
      <c r="A442">
        <v>16</v>
      </c>
      <c r="B442" t="s">
        <v>7282</v>
      </c>
      <c r="C442" t="s">
        <v>5543</v>
      </c>
      <c r="E442">
        <v>159000000</v>
      </c>
      <c r="F442">
        <v>182442096540</v>
      </c>
    </row>
    <row r="443" spans="1:6" x14ac:dyDescent="0.3">
      <c r="A443">
        <v>16</v>
      </c>
      <c r="B443" t="s">
        <v>7203</v>
      </c>
      <c r="C443" t="s">
        <v>5908</v>
      </c>
      <c r="E443">
        <v>35950000</v>
      </c>
      <c r="F443">
        <v>182283096540</v>
      </c>
    </row>
    <row r="444" spans="1:6" x14ac:dyDescent="0.3">
      <c r="A444">
        <v>16</v>
      </c>
      <c r="B444" t="s">
        <v>7176</v>
      </c>
      <c r="C444" t="s">
        <v>5907</v>
      </c>
      <c r="E444">
        <v>34000000</v>
      </c>
      <c r="F444">
        <v>182247146540</v>
      </c>
    </row>
    <row r="445" spans="1:6" x14ac:dyDescent="0.3">
      <c r="A445">
        <v>16</v>
      </c>
      <c r="B445" t="s">
        <v>7156</v>
      </c>
      <c r="C445" t="s">
        <v>5906</v>
      </c>
      <c r="E445">
        <v>14650000</v>
      </c>
      <c r="F445">
        <v>182213146540</v>
      </c>
    </row>
    <row r="446" spans="1:6" x14ac:dyDescent="0.3">
      <c r="A446">
        <v>16</v>
      </c>
      <c r="B446" t="s">
        <v>7285</v>
      </c>
      <c r="C446" t="s">
        <v>5905</v>
      </c>
      <c r="E446">
        <v>99986364</v>
      </c>
      <c r="F446">
        <v>182198496540</v>
      </c>
    </row>
    <row r="447" spans="1:6" x14ac:dyDescent="0.3">
      <c r="A447">
        <v>16</v>
      </c>
      <c r="B447" t="s">
        <v>7154</v>
      </c>
      <c r="C447" t="s">
        <v>5904</v>
      </c>
      <c r="E447">
        <v>51000000</v>
      </c>
      <c r="F447">
        <v>182098510176</v>
      </c>
    </row>
    <row r="448" spans="1:6" x14ac:dyDescent="0.3">
      <c r="A448">
        <v>16</v>
      </c>
      <c r="B448" t="s">
        <v>7176</v>
      </c>
      <c r="C448" t="s">
        <v>5903</v>
      </c>
      <c r="E448">
        <v>38500000</v>
      </c>
      <c r="F448">
        <v>182047510176</v>
      </c>
    </row>
    <row r="449" spans="1:6" x14ac:dyDescent="0.3">
      <c r="A449">
        <v>16</v>
      </c>
      <c r="B449" t="s">
        <v>7154</v>
      </c>
      <c r="C449" t="s">
        <v>5902</v>
      </c>
      <c r="E449">
        <v>51500000</v>
      </c>
      <c r="F449">
        <v>182009010176</v>
      </c>
    </row>
    <row r="450" spans="1:6" x14ac:dyDescent="0.3">
      <c r="A450">
        <v>16</v>
      </c>
      <c r="B450" t="s">
        <v>7170</v>
      </c>
      <c r="C450" t="s">
        <v>5901</v>
      </c>
      <c r="E450">
        <v>175000000</v>
      </c>
      <c r="F450">
        <v>181957510176</v>
      </c>
    </row>
    <row r="451" spans="1:6" x14ac:dyDescent="0.3">
      <c r="A451">
        <v>16</v>
      </c>
      <c r="B451" t="s">
        <v>7156</v>
      </c>
      <c r="C451" t="s">
        <v>5900</v>
      </c>
      <c r="E451">
        <v>14300000</v>
      </c>
      <c r="F451">
        <v>181782510176</v>
      </c>
    </row>
    <row r="452" spans="1:6" x14ac:dyDescent="0.3">
      <c r="A452">
        <v>16</v>
      </c>
      <c r="B452" t="s">
        <v>7155</v>
      </c>
      <c r="C452" t="s">
        <v>5899</v>
      </c>
      <c r="E452">
        <v>2850000</v>
      </c>
      <c r="F452">
        <v>181768210176</v>
      </c>
    </row>
    <row r="453" spans="1:6" x14ac:dyDescent="0.3">
      <c r="A453">
        <v>16</v>
      </c>
      <c r="B453" t="s">
        <v>7176</v>
      </c>
      <c r="C453" t="s">
        <v>5898</v>
      </c>
      <c r="E453">
        <v>39090909</v>
      </c>
      <c r="F453">
        <v>181765360176</v>
      </c>
    </row>
    <row r="454" spans="1:6" x14ac:dyDescent="0.3">
      <c r="A454">
        <v>16</v>
      </c>
      <c r="B454" t="s">
        <v>7156</v>
      </c>
      <c r="C454" t="s">
        <v>5897</v>
      </c>
      <c r="E454">
        <v>14300000</v>
      </c>
      <c r="F454">
        <v>181726269267</v>
      </c>
    </row>
    <row r="455" spans="1:6" x14ac:dyDescent="0.3">
      <c r="A455">
        <v>16</v>
      </c>
      <c r="B455" t="s">
        <v>7156</v>
      </c>
      <c r="C455" t="s">
        <v>4275</v>
      </c>
      <c r="E455">
        <v>16150000</v>
      </c>
      <c r="F455">
        <v>181711969267</v>
      </c>
    </row>
    <row r="456" spans="1:6" x14ac:dyDescent="0.3">
      <c r="A456">
        <v>16</v>
      </c>
      <c r="B456" t="s">
        <v>7176</v>
      </c>
      <c r="C456" t="s">
        <v>5855</v>
      </c>
      <c r="E456">
        <v>30000000</v>
      </c>
      <c r="F456">
        <v>181695819267</v>
      </c>
    </row>
    <row r="457" spans="1:6" x14ac:dyDescent="0.3">
      <c r="A457">
        <v>16</v>
      </c>
      <c r="B457" t="s">
        <v>7176</v>
      </c>
      <c r="C457" t="s">
        <v>5896</v>
      </c>
      <c r="E457">
        <v>44545455</v>
      </c>
      <c r="F457">
        <v>181665819267</v>
      </c>
    </row>
    <row r="458" spans="1:6" x14ac:dyDescent="0.3">
      <c r="A458">
        <v>16</v>
      </c>
      <c r="B458" t="s">
        <v>7156</v>
      </c>
      <c r="C458" t="s">
        <v>5895</v>
      </c>
      <c r="E458">
        <v>15013636</v>
      </c>
      <c r="F458">
        <v>181621273812</v>
      </c>
    </row>
    <row r="459" spans="1:6" x14ac:dyDescent="0.3">
      <c r="A459">
        <v>16</v>
      </c>
      <c r="B459" t="s">
        <v>7311</v>
      </c>
      <c r="C459" t="s">
        <v>4106</v>
      </c>
      <c r="E459">
        <v>47272727</v>
      </c>
      <c r="F459">
        <v>181606260176</v>
      </c>
    </row>
    <row r="460" spans="1:6" x14ac:dyDescent="0.3">
      <c r="A460">
        <v>16</v>
      </c>
      <c r="B460" t="s">
        <v>7170</v>
      </c>
      <c r="C460" t="s">
        <v>5894</v>
      </c>
      <c r="E460">
        <v>175000000</v>
      </c>
      <c r="F460">
        <v>181558987449</v>
      </c>
    </row>
    <row r="461" spans="1:6" x14ac:dyDescent="0.3">
      <c r="A461">
        <v>16</v>
      </c>
      <c r="B461" t="s">
        <v>7170</v>
      </c>
      <c r="C461" t="s">
        <v>5893</v>
      </c>
      <c r="E461">
        <v>175000000</v>
      </c>
      <c r="F461">
        <v>181383987449</v>
      </c>
    </row>
    <row r="462" spans="1:6" x14ac:dyDescent="0.3">
      <c r="A462">
        <v>16</v>
      </c>
      <c r="B462" t="s">
        <v>7176</v>
      </c>
      <c r="C462" t="s">
        <v>5794</v>
      </c>
      <c r="E462">
        <v>36000000</v>
      </c>
      <c r="F462">
        <v>181208987449</v>
      </c>
    </row>
    <row r="463" spans="1:6" x14ac:dyDescent="0.3">
      <c r="A463">
        <v>16</v>
      </c>
      <c r="B463" t="s">
        <v>7176</v>
      </c>
      <c r="C463" t="s">
        <v>5794</v>
      </c>
      <c r="E463">
        <v>-40000000</v>
      </c>
      <c r="F463">
        <v>181172987449</v>
      </c>
    </row>
    <row r="464" spans="1:6" x14ac:dyDescent="0.3">
      <c r="A464">
        <v>16</v>
      </c>
      <c r="B464" t="s">
        <v>7156</v>
      </c>
      <c r="C464" t="s">
        <v>5892</v>
      </c>
      <c r="E464">
        <v>14500000</v>
      </c>
      <c r="F464">
        <v>181212987449</v>
      </c>
    </row>
    <row r="465" spans="1:6" x14ac:dyDescent="0.3">
      <c r="A465">
        <v>16</v>
      </c>
      <c r="B465" t="s">
        <v>7176</v>
      </c>
      <c r="C465" t="s">
        <v>5794</v>
      </c>
      <c r="E465">
        <v>40000000</v>
      </c>
      <c r="F465">
        <v>181198487449</v>
      </c>
    </row>
    <row r="466" spans="1:6" x14ac:dyDescent="0.3">
      <c r="A466">
        <v>16</v>
      </c>
      <c r="B466" t="s">
        <v>7176</v>
      </c>
      <c r="C466" t="s">
        <v>5891</v>
      </c>
      <c r="E466">
        <v>40000000</v>
      </c>
      <c r="F466">
        <v>181158487449</v>
      </c>
    </row>
    <row r="467" spans="1:6" x14ac:dyDescent="0.3">
      <c r="A467">
        <v>16</v>
      </c>
      <c r="B467" t="s">
        <v>7186</v>
      </c>
      <c r="C467" t="s">
        <v>5890</v>
      </c>
      <c r="E467">
        <v>53636363</v>
      </c>
      <c r="F467">
        <v>181118487449</v>
      </c>
    </row>
    <row r="468" spans="1:6" x14ac:dyDescent="0.3">
      <c r="A468">
        <v>16</v>
      </c>
      <c r="B468" t="s">
        <v>7176</v>
      </c>
      <c r="C468" t="s">
        <v>5475</v>
      </c>
      <c r="E468">
        <v>34696866</v>
      </c>
      <c r="F468">
        <v>181064851086</v>
      </c>
    </row>
    <row r="469" spans="1:6" x14ac:dyDescent="0.3">
      <c r="A469">
        <v>16</v>
      </c>
      <c r="B469" t="s">
        <v>7156</v>
      </c>
      <c r="C469" t="s">
        <v>3866</v>
      </c>
      <c r="E469">
        <v>15013636</v>
      </c>
      <c r="F469">
        <v>181030154220</v>
      </c>
    </row>
    <row r="470" spans="1:6" x14ac:dyDescent="0.3">
      <c r="A470">
        <v>16</v>
      </c>
      <c r="B470" t="s">
        <v>7176</v>
      </c>
      <c r="C470" t="s">
        <v>5889</v>
      </c>
      <c r="E470">
        <v>35500000</v>
      </c>
      <c r="F470">
        <v>181015140584</v>
      </c>
    </row>
    <row r="471" spans="1:6" x14ac:dyDescent="0.3">
      <c r="A471">
        <v>16</v>
      </c>
      <c r="B471" t="s">
        <v>7324</v>
      </c>
      <c r="C471" t="s">
        <v>214</v>
      </c>
      <c r="E471">
        <v>12600909</v>
      </c>
      <c r="F471">
        <v>180979640584</v>
      </c>
    </row>
    <row r="472" spans="1:6" x14ac:dyDescent="0.3">
      <c r="A472">
        <v>16</v>
      </c>
      <c r="B472" t="s">
        <v>7203</v>
      </c>
      <c r="C472" t="s">
        <v>214</v>
      </c>
      <c r="E472">
        <v>23942000</v>
      </c>
      <c r="F472">
        <v>180967039675</v>
      </c>
    </row>
    <row r="473" spans="1:6" x14ac:dyDescent="0.3">
      <c r="A473">
        <v>16</v>
      </c>
      <c r="B473" t="s">
        <v>7323</v>
      </c>
      <c r="C473" t="s">
        <v>214</v>
      </c>
      <c r="E473">
        <v>15088828</v>
      </c>
      <c r="F473">
        <v>180943097675</v>
      </c>
    </row>
    <row r="474" spans="1:6" x14ac:dyDescent="0.3">
      <c r="A474">
        <v>16</v>
      </c>
      <c r="B474" t="s">
        <v>2055</v>
      </c>
      <c r="C474" t="s">
        <v>214</v>
      </c>
      <c r="E474">
        <v>50237000</v>
      </c>
      <c r="F474">
        <v>180928008847</v>
      </c>
    </row>
    <row r="475" spans="1:6" x14ac:dyDescent="0.3">
      <c r="A475">
        <v>16</v>
      </c>
      <c r="B475" t="s">
        <v>2037</v>
      </c>
      <c r="C475" t="s">
        <v>214</v>
      </c>
      <c r="E475">
        <v>22360000</v>
      </c>
      <c r="F475">
        <v>180877771847</v>
      </c>
    </row>
    <row r="476" spans="1:6" x14ac:dyDescent="0.3">
      <c r="A476">
        <v>16</v>
      </c>
      <c r="B476" t="s">
        <v>7156</v>
      </c>
      <c r="C476" t="s">
        <v>5888</v>
      </c>
      <c r="E476">
        <v>14545455</v>
      </c>
      <c r="F476">
        <v>180855411847</v>
      </c>
    </row>
    <row r="477" spans="1:6" x14ac:dyDescent="0.3">
      <c r="A477">
        <v>16</v>
      </c>
      <c r="B477" t="s">
        <v>7154</v>
      </c>
      <c r="C477" t="s">
        <v>3909</v>
      </c>
      <c r="E477">
        <v>51000000</v>
      </c>
      <c r="F477">
        <v>180840866392</v>
      </c>
    </row>
    <row r="478" spans="1:6" x14ac:dyDescent="0.3">
      <c r="A478">
        <v>16</v>
      </c>
      <c r="B478" t="s">
        <v>7203</v>
      </c>
      <c r="C478" t="s">
        <v>5250</v>
      </c>
      <c r="E478">
        <v>37409091</v>
      </c>
      <c r="F478">
        <v>180789866392</v>
      </c>
    </row>
    <row r="479" spans="1:6" x14ac:dyDescent="0.3">
      <c r="A479">
        <v>16</v>
      </c>
      <c r="B479" t="s">
        <v>7203</v>
      </c>
      <c r="C479" t="s">
        <v>5887</v>
      </c>
      <c r="E479">
        <v>35655000</v>
      </c>
      <c r="F479">
        <v>180752457301</v>
      </c>
    </row>
    <row r="480" spans="1:6" x14ac:dyDescent="0.3">
      <c r="A480">
        <v>16</v>
      </c>
      <c r="B480" t="s">
        <v>7203</v>
      </c>
      <c r="C480" t="s">
        <v>5886</v>
      </c>
      <c r="E480">
        <v>36000000</v>
      </c>
      <c r="F480">
        <v>180716802301</v>
      </c>
    </row>
    <row r="481" spans="1:6" x14ac:dyDescent="0.3">
      <c r="A481">
        <v>16</v>
      </c>
      <c r="B481" t="s">
        <v>7154</v>
      </c>
      <c r="C481" t="s">
        <v>5885</v>
      </c>
      <c r="E481">
        <v>50000000</v>
      </c>
      <c r="F481">
        <v>180680802301</v>
      </c>
    </row>
    <row r="482" spans="1:6" x14ac:dyDescent="0.3">
      <c r="A482">
        <v>16</v>
      </c>
      <c r="B482" t="s">
        <v>7154</v>
      </c>
      <c r="C482" t="s">
        <v>5884</v>
      </c>
      <c r="E482">
        <v>51500000</v>
      </c>
      <c r="F482">
        <v>180630802301</v>
      </c>
    </row>
    <row r="483" spans="1:6" x14ac:dyDescent="0.3">
      <c r="A483">
        <v>16</v>
      </c>
      <c r="B483" t="s">
        <v>7176</v>
      </c>
      <c r="C483" t="s">
        <v>5883</v>
      </c>
      <c r="E483">
        <v>43181818</v>
      </c>
      <c r="F483">
        <v>180579302301</v>
      </c>
    </row>
    <row r="484" spans="1:6" x14ac:dyDescent="0.3">
      <c r="A484">
        <v>16</v>
      </c>
      <c r="B484" t="s">
        <v>7154</v>
      </c>
      <c r="C484" t="s">
        <v>5882</v>
      </c>
      <c r="E484">
        <v>50909091</v>
      </c>
      <c r="F484">
        <v>180536120483</v>
      </c>
    </row>
    <row r="485" spans="1:6" x14ac:dyDescent="0.3">
      <c r="A485">
        <v>16</v>
      </c>
      <c r="B485" t="s">
        <v>7154</v>
      </c>
      <c r="C485" t="s">
        <v>5881</v>
      </c>
      <c r="E485">
        <v>50909091</v>
      </c>
      <c r="F485">
        <v>180485211392</v>
      </c>
    </row>
    <row r="486" spans="1:6" x14ac:dyDescent="0.3">
      <c r="A486">
        <v>16</v>
      </c>
      <c r="B486" t="s">
        <v>7154</v>
      </c>
      <c r="C486" t="s">
        <v>5880</v>
      </c>
      <c r="E486">
        <v>50000000</v>
      </c>
      <c r="F486">
        <v>180434302301</v>
      </c>
    </row>
    <row r="487" spans="1:6" x14ac:dyDescent="0.3">
      <c r="A487">
        <v>16</v>
      </c>
      <c r="B487" t="s">
        <v>7322</v>
      </c>
      <c r="C487" t="s">
        <v>5701</v>
      </c>
      <c r="E487">
        <v>158636520</v>
      </c>
      <c r="F487">
        <v>180384302301</v>
      </c>
    </row>
    <row r="488" spans="1:6" x14ac:dyDescent="0.3">
      <c r="A488">
        <v>16</v>
      </c>
      <c r="B488" t="s">
        <v>7203</v>
      </c>
      <c r="C488" t="s">
        <v>5879</v>
      </c>
      <c r="E488">
        <v>37000000</v>
      </c>
      <c r="F488">
        <v>180225665781</v>
      </c>
    </row>
    <row r="489" spans="1:6" x14ac:dyDescent="0.3">
      <c r="A489">
        <v>16</v>
      </c>
      <c r="B489" t="s">
        <v>7156</v>
      </c>
      <c r="C489" t="s">
        <v>5878</v>
      </c>
      <c r="E489">
        <v>15750000</v>
      </c>
      <c r="F489">
        <v>180188665781</v>
      </c>
    </row>
    <row r="490" spans="1:6" x14ac:dyDescent="0.3">
      <c r="A490">
        <v>16</v>
      </c>
      <c r="B490" t="s">
        <v>7261</v>
      </c>
      <c r="C490" t="s">
        <v>5877</v>
      </c>
      <c r="E490">
        <v>145500000</v>
      </c>
      <c r="F490">
        <v>180172915781</v>
      </c>
    </row>
    <row r="491" spans="1:6" x14ac:dyDescent="0.3">
      <c r="A491">
        <v>16</v>
      </c>
      <c r="B491" t="s">
        <v>7203</v>
      </c>
      <c r="C491" t="s">
        <v>5876</v>
      </c>
      <c r="E491">
        <v>35500000</v>
      </c>
      <c r="F491">
        <v>180027415781</v>
      </c>
    </row>
    <row r="492" spans="1:6" x14ac:dyDescent="0.3">
      <c r="A492">
        <v>16</v>
      </c>
      <c r="B492" t="s">
        <v>7203</v>
      </c>
      <c r="C492" t="s">
        <v>5876</v>
      </c>
      <c r="E492">
        <v>35500000</v>
      </c>
      <c r="F492">
        <v>179991915781</v>
      </c>
    </row>
    <row r="493" spans="1:6" x14ac:dyDescent="0.3">
      <c r="A493">
        <v>16</v>
      </c>
      <c r="B493" t="s">
        <v>7251</v>
      </c>
      <c r="C493" t="s">
        <v>4888</v>
      </c>
      <c r="E493">
        <v>31000000</v>
      </c>
      <c r="F493">
        <v>179956415781</v>
      </c>
    </row>
    <row r="494" spans="1:6" x14ac:dyDescent="0.3">
      <c r="A494">
        <v>16</v>
      </c>
      <c r="B494" t="s">
        <v>7247</v>
      </c>
      <c r="C494" t="s">
        <v>5875</v>
      </c>
      <c r="E494">
        <v>44727273</v>
      </c>
      <c r="F494">
        <v>179925415781</v>
      </c>
    </row>
    <row r="495" spans="1:6" x14ac:dyDescent="0.3">
      <c r="A495">
        <v>16</v>
      </c>
      <c r="B495" t="s">
        <v>7247</v>
      </c>
      <c r="C495" t="s">
        <v>5874</v>
      </c>
      <c r="E495">
        <v>44727273</v>
      </c>
      <c r="F495">
        <v>179880688508</v>
      </c>
    </row>
    <row r="496" spans="1:6" x14ac:dyDescent="0.3">
      <c r="A496">
        <v>16</v>
      </c>
      <c r="B496" t="s">
        <v>7203</v>
      </c>
      <c r="C496" t="s">
        <v>5873</v>
      </c>
      <c r="E496">
        <v>35500000</v>
      </c>
      <c r="F496">
        <v>179835961235</v>
      </c>
    </row>
    <row r="497" spans="1:6" x14ac:dyDescent="0.3">
      <c r="A497">
        <v>16</v>
      </c>
      <c r="B497" t="s">
        <v>7203</v>
      </c>
      <c r="C497" t="s">
        <v>5408</v>
      </c>
      <c r="E497">
        <v>35000000</v>
      </c>
      <c r="F497">
        <v>179800461235</v>
      </c>
    </row>
    <row r="498" spans="1:6" x14ac:dyDescent="0.3">
      <c r="A498">
        <v>16</v>
      </c>
      <c r="B498" t="s">
        <v>7154</v>
      </c>
      <c r="C498" t="s">
        <v>5872</v>
      </c>
      <c r="E498">
        <v>50909091</v>
      </c>
      <c r="F498">
        <v>179765461235</v>
      </c>
    </row>
    <row r="499" spans="1:6" x14ac:dyDescent="0.3">
      <c r="A499">
        <v>16</v>
      </c>
      <c r="B499" t="s">
        <v>7176</v>
      </c>
      <c r="C499" t="s">
        <v>5871</v>
      </c>
      <c r="E499">
        <v>38859091</v>
      </c>
      <c r="F499">
        <v>179714552144</v>
      </c>
    </row>
    <row r="500" spans="1:6" x14ac:dyDescent="0.3">
      <c r="A500">
        <v>16</v>
      </c>
      <c r="B500" t="s">
        <v>7176</v>
      </c>
      <c r="C500" t="s">
        <v>5870</v>
      </c>
      <c r="E500">
        <v>38181818</v>
      </c>
      <c r="F500">
        <v>179675693053</v>
      </c>
    </row>
    <row r="501" spans="1:6" x14ac:dyDescent="0.3">
      <c r="A501">
        <v>16</v>
      </c>
      <c r="B501" t="s">
        <v>7176</v>
      </c>
      <c r="C501" t="s">
        <v>4399</v>
      </c>
      <c r="E501">
        <v>42000000</v>
      </c>
      <c r="F501">
        <v>179637511235</v>
      </c>
    </row>
    <row r="502" spans="1:6" x14ac:dyDescent="0.3">
      <c r="A502">
        <v>16</v>
      </c>
      <c r="B502" t="s">
        <v>7203</v>
      </c>
      <c r="C502" t="s">
        <v>5869</v>
      </c>
      <c r="E502">
        <v>17765000</v>
      </c>
      <c r="F502">
        <v>179595511235</v>
      </c>
    </row>
    <row r="503" spans="1:6" x14ac:dyDescent="0.3">
      <c r="A503">
        <v>16</v>
      </c>
      <c r="B503" t="s">
        <v>7176</v>
      </c>
      <c r="C503" t="s">
        <v>5868</v>
      </c>
      <c r="E503">
        <v>39800000</v>
      </c>
      <c r="F503">
        <v>179577746235</v>
      </c>
    </row>
    <row r="504" spans="1:6" x14ac:dyDescent="0.3">
      <c r="A504">
        <v>16</v>
      </c>
      <c r="B504" t="s">
        <v>7176</v>
      </c>
      <c r="C504" t="s">
        <v>5207</v>
      </c>
      <c r="E504">
        <v>38500000</v>
      </c>
      <c r="F504">
        <v>179537946235</v>
      </c>
    </row>
    <row r="505" spans="1:6" x14ac:dyDescent="0.3">
      <c r="A505">
        <v>16</v>
      </c>
      <c r="B505" t="s">
        <v>7203</v>
      </c>
      <c r="C505" t="s">
        <v>4669</v>
      </c>
      <c r="E505">
        <v>38636364</v>
      </c>
      <c r="F505">
        <v>179499446235</v>
      </c>
    </row>
    <row r="506" spans="1:6" x14ac:dyDescent="0.3">
      <c r="A506">
        <v>16</v>
      </c>
      <c r="B506" t="s">
        <v>7203</v>
      </c>
      <c r="C506" t="s">
        <v>4669</v>
      </c>
      <c r="E506">
        <v>38636364</v>
      </c>
      <c r="F506">
        <v>179460809871</v>
      </c>
    </row>
    <row r="507" spans="1:6" x14ac:dyDescent="0.3">
      <c r="A507">
        <v>16</v>
      </c>
      <c r="B507" t="s">
        <v>7278</v>
      </c>
      <c r="C507" t="s">
        <v>5867</v>
      </c>
      <c r="E507">
        <v>49225455</v>
      </c>
      <c r="F507">
        <v>179422173507</v>
      </c>
    </row>
    <row r="508" spans="1:6" x14ac:dyDescent="0.3">
      <c r="A508">
        <v>16</v>
      </c>
      <c r="B508" t="s">
        <v>7156</v>
      </c>
      <c r="C508" t="s">
        <v>5866</v>
      </c>
      <c r="E508">
        <v>15454545</v>
      </c>
      <c r="F508">
        <v>179372948052</v>
      </c>
    </row>
    <row r="509" spans="1:6" x14ac:dyDescent="0.3">
      <c r="A509">
        <v>16</v>
      </c>
      <c r="B509" t="s">
        <v>2954</v>
      </c>
      <c r="C509" t="s">
        <v>5865</v>
      </c>
      <c r="E509">
        <v>15000000</v>
      </c>
      <c r="F509">
        <v>179357493507</v>
      </c>
    </row>
    <row r="510" spans="1:6" x14ac:dyDescent="0.3">
      <c r="A510">
        <v>16</v>
      </c>
      <c r="B510" t="s">
        <v>7156</v>
      </c>
      <c r="C510" t="s">
        <v>5864</v>
      </c>
      <c r="E510">
        <v>13505456</v>
      </c>
      <c r="F510">
        <v>179342493507</v>
      </c>
    </row>
    <row r="511" spans="1:6" x14ac:dyDescent="0.3">
      <c r="A511">
        <v>16</v>
      </c>
      <c r="B511" t="s">
        <v>7154</v>
      </c>
      <c r="C511" t="s">
        <v>5863</v>
      </c>
      <c r="E511">
        <v>50000000</v>
      </c>
      <c r="F511">
        <v>179328988051</v>
      </c>
    </row>
    <row r="512" spans="1:6" x14ac:dyDescent="0.3">
      <c r="A512">
        <v>16</v>
      </c>
      <c r="B512" t="s">
        <v>7154</v>
      </c>
      <c r="C512" t="s">
        <v>5862</v>
      </c>
      <c r="E512">
        <v>51500000</v>
      </c>
      <c r="F512">
        <v>179278988051</v>
      </c>
    </row>
    <row r="513" spans="1:6" x14ac:dyDescent="0.3">
      <c r="A513">
        <v>16</v>
      </c>
      <c r="B513" t="s">
        <v>7154</v>
      </c>
      <c r="C513" t="s">
        <v>5861</v>
      </c>
      <c r="E513">
        <v>50000000</v>
      </c>
      <c r="F513">
        <v>179227488051</v>
      </c>
    </row>
    <row r="514" spans="1:6" x14ac:dyDescent="0.3">
      <c r="A514">
        <v>16</v>
      </c>
      <c r="B514" t="s">
        <v>7154</v>
      </c>
      <c r="C514" t="s">
        <v>5860</v>
      </c>
      <c r="E514">
        <v>50909090</v>
      </c>
      <c r="F514">
        <v>179177488051</v>
      </c>
    </row>
    <row r="515" spans="1:6" x14ac:dyDescent="0.3">
      <c r="A515">
        <v>16</v>
      </c>
      <c r="B515" t="s">
        <v>7176</v>
      </c>
      <c r="C515" t="s">
        <v>5859</v>
      </c>
      <c r="E515">
        <v>42250000</v>
      </c>
      <c r="F515">
        <v>179126578961</v>
      </c>
    </row>
    <row r="516" spans="1:6" x14ac:dyDescent="0.3">
      <c r="A516">
        <v>16</v>
      </c>
      <c r="B516" t="s">
        <v>7156</v>
      </c>
      <c r="C516" t="s">
        <v>5858</v>
      </c>
      <c r="E516">
        <v>13500000</v>
      </c>
      <c r="F516">
        <v>179084328961</v>
      </c>
    </row>
    <row r="517" spans="1:6" x14ac:dyDescent="0.3">
      <c r="A517">
        <v>16</v>
      </c>
      <c r="B517" t="s">
        <v>7176</v>
      </c>
      <c r="C517" t="s">
        <v>5857</v>
      </c>
      <c r="E517">
        <v>44000000</v>
      </c>
      <c r="F517">
        <v>179070828961</v>
      </c>
    </row>
    <row r="518" spans="1:6" x14ac:dyDescent="0.3">
      <c r="A518">
        <v>16</v>
      </c>
      <c r="B518" t="s">
        <v>7154</v>
      </c>
      <c r="C518" t="s">
        <v>5856</v>
      </c>
      <c r="E518">
        <v>52250000</v>
      </c>
      <c r="F518">
        <v>179026828961</v>
      </c>
    </row>
    <row r="519" spans="1:6" x14ac:dyDescent="0.3">
      <c r="A519">
        <v>16</v>
      </c>
      <c r="B519" t="s">
        <v>7176</v>
      </c>
      <c r="C519" t="s">
        <v>5855</v>
      </c>
      <c r="E519">
        <v>9090909</v>
      </c>
      <c r="F519">
        <v>178974578961</v>
      </c>
    </row>
    <row r="520" spans="1:6" x14ac:dyDescent="0.3">
      <c r="A520">
        <v>16</v>
      </c>
      <c r="B520" t="s">
        <v>7156</v>
      </c>
      <c r="C520" t="s">
        <v>5854</v>
      </c>
      <c r="E520">
        <v>15250000</v>
      </c>
      <c r="F520">
        <v>178965488052</v>
      </c>
    </row>
    <row r="521" spans="1:6" x14ac:dyDescent="0.3">
      <c r="A521">
        <v>16</v>
      </c>
      <c r="B521" t="s">
        <v>7282</v>
      </c>
      <c r="C521" t="s">
        <v>5853</v>
      </c>
      <c r="E521">
        <v>159500000</v>
      </c>
      <c r="F521">
        <v>178950238052</v>
      </c>
    </row>
    <row r="522" spans="1:6" x14ac:dyDescent="0.3">
      <c r="A522">
        <v>16</v>
      </c>
      <c r="B522" t="s">
        <v>7203</v>
      </c>
      <c r="C522" t="s">
        <v>5852</v>
      </c>
      <c r="E522">
        <v>17765000</v>
      </c>
      <c r="F522">
        <v>178790738052</v>
      </c>
    </row>
    <row r="523" spans="1:6" x14ac:dyDescent="0.3">
      <c r="A523">
        <v>16</v>
      </c>
      <c r="B523" t="s">
        <v>7154</v>
      </c>
      <c r="C523" t="s">
        <v>5851</v>
      </c>
      <c r="E523">
        <v>90284546</v>
      </c>
      <c r="F523">
        <v>178772973052</v>
      </c>
    </row>
    <row r="524" spans="1:6" x14ac:dyDescent="0.3">
      <c r="A524">
        <v>16</v>
      </c>
      <c r="B524" t="s">
        <v>7176</v>
      </c>
      <c r="C524" t="s">
        <v>5850</v>
      </c>
      <c r="E524">
        <v>1000000</v>
      </c>
      <c r="F524">
        <v>178682688506</v>
      </c>
    </row>
    <row r="525" spans="1:6" x14ac:dyDescent="0.3">
      <c r="A525">
        <v>16</v>
      </c>
      <c r="B525" t="s">
        <v>7154</v>
      </c>
      <c r="C525" t="s">
        <v>3787</v>
      </c>
      <c r="E525">
        <v>909091</v>
      </c>
      <c r="F525">
        <v>178681688506</v>
      </c>
    </row>
    <row r="526" spans="1:6" x14ac:dyDescent="0.3">
      <c r="A526">
        <v>16</v>
      </c>
      <c r="B526" t="s">
        <v>7176</v>
      </c>
      <c r="C526" t="s">
        <v>5850</v>
      </c>
      <c r="E526">
        <v>53398182</v>
      </c>
      <c r="F526">
        <v>178680779415</v>
      </c>
    </row>
    <row r="527" spans="1:6" x14ac:dyDescent="0.3">
      <c r="A527">
        <v>16</v>
      </c>
      <c r="B527" t="s">
        <v>7156</v>
      </c>
      <c r="C527" t="s">
        <v>5849</v>
      </c>
      <c r="E527">
        <v>14500000</v>
      </c>
      <c r="F527">
        <v>178627381233</v>
      </c>
    </row>
    <row r="528" spans="1:6" x14ac:dyDescent="0.3">
      <c r="A528">
        <v>16</v>
      </c>
      <c r="B528" t="s">
        <v>7156</v>
      </c>
      <c r="C528" t="s">
        <v>5848</v>
      </c>
      <c r="E528">
        <v>15013636</v>
      </c>
      <c r="F528">
        <v>178612881233</v>
      </c>
    </row>
    <row r="529" spans="1:6" x14ac:dyDescent="0.3">
      <c r="A529">
        <v>16</v>
      </c>
      <c r="B529" t="s">
        <v>7203</v>
      </c>
      <c r="C529" t="s">
        <v>4797</v>
      </c>
      <c r="E529">
        <v>34545454</v>
      </c>
      <c r="F529">
        <v>178597867597</v>
      </c>
    </row>
    <row r="530" spans="1:6" x14ac:dyDescent="0.3">
      <c r="A530">
        <v>16</v>
      </c>
      <c r="B530" t="s">
        <v>7285</v>
      </c>
      <c r="C530" t="s">
        <v>5847</v>
      </c>
      <c r="E530">
        <v>97659091</v>
      </c>
      <c r="F530">
        <v>178563322143</v>
      </c>
    </row>
    <row r="531" spans="1:6" x14ac:dyDescent="0.3">
      <c r="A531">
        <v>16</v>
      </c>
      <c r="B531" t="s">
        <v>7321</v>
      </c>
      <c r="C531" t="s">
        <v>3438</v>
      </c>
      <c r="E531">
        <v>3218000</v>
      </c>
      <c r="F531">
        <v>178465663052</v>
      </c>
    </row>
    <row r="532" spans="1:6" x14ac:dyDescent="0.3">
      <c r="A532">
        <v>16</v>
      </c>
      <c r="B532" t="s">
        <v>7321</v>
      </c>
      <c r="C532" t="s">
        <v>3438</v>
      </c>
      <c r="E532">
        <v>3218000</v>
      </c>
      <c r="F532">
        <v>178462445052</v>
      </c>
    </row>
    <row r="533" spans="1:6" x14ac:dyDescent="0.3">
      <c r="A533">
        <v>16</v>
      </c>
      <c r="B533" t="s">
        <v>7321</v>
      </c>
      <c r="C533" t="s">
        <v>3438</v>
      </c>
      <c r="E533">
        <v>3218000</v>
      </c>
      <c r="F533">
        <v>178459227052</v>
      </c>
    </row>
    <row r="534" spans="1:6" x14ac:dyDescent="0.3">
      <c r="A534">
        <v>16</v>
      </c>
      <c r="B534" t="s">
        <v>7320</v>
      </c>
      <c r="C534" t="s">
        <v>3438</v>
      </c>
      <c r="E534">
        <v>32234000</v>
      </c>
      <c r="F534">
        <v>178456009052</v>
      </c>
    </row>
    <row r="535" spans="1:6" x14ac:dyDescent="0.3">
      <c r="A535">
        <v>16</v>
      </c>
      <c r="B535" t="s">
        <v>7320</v>
      </c>
      <c r="C535" t="s">
        <v>3438</v>
      </c>
      <c r="E535">
        <v>32234000</v>
      </c>
      <c r="F535">
        <v>178423775052</v>
      </c>
    </row>
    <row r="536" spans="1:6" x14ac:dyDescent="0.3">
      <c r="A536">
        <v>16</v>
      </c>
      <c r="B536" t="s">
        <v>7320</v>
      </c>
      <c r="C536" t="s">
        <v>3438</v>
      </c>
      <c r="E536">
        <v>32234000</v>
      </c>
      <c r="F536">
        <v>178391541052</v>
      </c>
    </row>
    <row r="537" spans="1:6" x14ac:dyDescent="0.3">
      <c r="A537">
        <v>16</v>
      </c>
      <c r="B537" t="s">
        <v>7320</v>
      </c>
      <c r="C537" t="s">
        <v>3438</v>
      </c>
      <c r="E537">
        <v>32234000</v>
      </c>
      <c r="F537">
        <v>178359307052</v>
      </c>
    </row>
    <row r="538" spans="1:6" x14ac:dyDescent="0.3">
      <c r="A538">
        <v>16</v>
      </c>
      <c r="B538" t="s">
        <v>7320</v>
      </c>
      <c r="C538" t="s">
        <v>3438</v>
      </c>
      <c r="E538">
        <v>32234000</v>
      </c>
      <c r="F538">
        <v>178327073052</v>
      </c>
    </row>
    <row r="539" spans="1:6" x14ac:dyDescent="0.3">
      <c r="A539">
        <v>16</v>
      </c>
      <c r="B539" t="s">
        <v>7320</v>
      </c>
      <c r="C539" t="s">
        <v>3438</v>
      </c>
      <c r="E539">
        <v>32234000</v>
      </c>
      <c r="F539">
        <v>178294839052</v>
      </c>
    </row>
    <row r="540" spans="1:6" x14ac:dyDescent="0.3">
      <c r="A540">
        <v>16</v>
      </c>
      <c r="B540" t="s">
        <v>7320</v>
      </c>
      <c r="C540" t="s">
        <v>3438</v>
      </c>
      <c r="E540">
        <v>32234000</v>
      </c>
      <c r="F540">
        <v>178262605052</v>
      </c>
    </row>
    <row r="541" spans="1:6" x14ac:dyDescent="0.3">
      <c r="A541">
        <v>16</v>
      </c>
      <c r="B541" t="s">
        <v>7156</v>
      </c>
      <c r="C541" t="s">
        <v>3438</v>
      </c>
      <c r="E541">
        <v>43102000</v>
      </c>
      <c r="F541">
        <v>178230371052</v>
      </c>
    </row>
    <row r="542" spans="1:6" x14ac:dyDescent="0.3">
      <c r="A542">
        <v>16</v>
      </c>
      <c r="B542" t="s">
        <v>7156</v>
      </c>
      <c r="C542" t="s">
        <v>3438</v>
      </c>
      <c r="E542">
        <v>43102000</v>
      </c>
      <c r="F542">
        <v>178187269052</v>
      </c>
    </row>
    <row r="543" spans="1:6" x14ac:dyDescent="0.3">
      <c r="A543">
        <v>16</v>
      </c>
      <c r="B543" t="s">
        <v>7156</v>
      </c>
      <c r="C543" t="s">
        <v>3438</v>
      </c>
      <c r="E543">
        <v>41557000</v>
      </c>
      <c r="F543">
        <v>178144167052</v>
      </c>
    </row>
    <row r="544" spans="1:6" x14ac:dyDescent="0.3">
      <c r="A544">
        <v>16</v>
      </c>
      <c r="B544" t="s">
        <v>7156</v>
      </c>
      <c r="C544" t="s">
        <v>3438</v>
      </c>
      <c r="E544">
        <v>41557000</v>
      </c>
      <c r="F544">
        <v>178102610052</v>
      </c>
    </row>
    <row r="545" spans="1:6" x14ac:dyDescent="0.3">
      <c r="A545">
        <v>16</v>
      </c>
      <c r="B545" t="s">
        <v>7156</v>
      </c>
      <c r="C545" t="s">
        <v>3438</v>
      </c>
      <c r="E545">
        <v>41557000</v>
      </c>
      <c r="F545">
        <v>178061053052</v>
      </c>
    </row>
    <row r="546" spans="1:6" x14ac:dyDescent="0.3">
      <c r="A546">
        <v>16</v>
      </c>
      <c r="B546" t="s">
        <v>7156</v>
      </c>
      <c r="C546" t="s">
        <v>3438</v>
      </c>
      <c r="E546">
        <v>41557000</v>
      </c>
      <c r="F546">
        <v>178019496052</v>
      </c>
    </row>
    <row r="547" spans="1:6" x14ac:dyDescent="0.3">
      <c r="A547">
        <v>16</v>
      </c>
      <c r="B547" t="s">
        <v>7156</v>
      </c>
      <c r="C547" t="s">
        <v>3438</v>
      </c>
      <c r="E547">
        <v>41557000</v>
      </c>
      <c r="F547">
        <v>177977939052</v>
      </c>
    </row>
    <row r="548" spans="1:6" x14ac:dyDescent="0.3">
      <c r="A548">
        <v>16</v>
      </c>
      <c r="B548" t="s">
        <v>7156</v>
      </c>
      <c r="C548" t="s">
        <v>3438</v>
      </c>
      <c r="E548">
        <v>41557000</v>
      </c>
      <c r="F548">
        <v>177936382052</v>
      </c>
    </row>
    <row r="549" spans="1:6" x14ac:dyDescent="0.3">
      <c r="A549">
        <v>16</v>
      </c>
      <c r="B549" t="s">
        <v>7156</v>
      </c>
      <c r="C549" t="s">
        <v>3438</v>
      </c>
      <c r="E549">
        <v>41557000</v>
      </c>
      <c r="F549">
        <v>177894825052</v>
      </c>
    </row>
    <row r="550" spans="1:6" x14ac:dyDescent="0.3">
      <c r="A550">
        <v>16</v>
      </c>
      <c r="B550" t="s">
        <v>7156</v>
      </c>
      <c r="C550" t="s">
        <v>5846</v>
      </c>
      <c r="E550">
        <v>14000000</v>
      </c>
      <c r="F550">
        <v>177853268052</v>
      </c>
    </row>
    <row r="551" spans="1:6" x14ac:dyDescent="0.3">
      <c r="A551">
        <v>16</v>
      </c>
      <c r="B551" t="s">
        <v>7203</v>
      </c>
      <c r="C551" t="s">
        <v>5845</v>
      </c>
      <c r="E551">
        <v>16856000</v>
      </c>
      <c r="F551">
        <v>177839268052</v>
      </c>
    </row>
    <row r="552" spans="1:6" x14ac:dyDescent="0.3">
      <c r="A552">
        <v>16</v>
      </c>
      <c r="B552" t="s">
        <v>7247</v>
      </c>
      <c r="C552" t="s">
        <v>5844</v>
      </c>
      <c r="E552">
        <v>44818181</v>
      </c>
      <c r="F552">
        <v>177822412052</v>
      </c>
    </row>
    <row r="553" spans="1:6" x14ac:dyDescent="0.3">
      <c r="A553">
        <v>16</v>
      </c>
      <c r="B553" t="s">
        <v>7203</v>
      </c>
      <c r="C553" t="s">
        <v>5250</v>
      </c>
      <c r="E553">
        <v>43120653</v>
      </c>
      <c r="F553">
        <v>177777593871</v>
      </c>
    </row>
    <row r="554" spans="1:6" x14ac:dyDescent="0.3">
      <c r="A554">
        <v>16</v>
      </c>
      <c r="B554" t="s">
        <v>7203</v>
      </c>
      <c r="C554" t="s">
        <v>5250</v>
      </c>
      <c r="E554">
        <v>43120653</v>
      </c>
      <c r="F554">
        <v>177734473218</v>
      </c>
    </row>
    <row r="555" spans="1:6" x14ac:dyDescent="0.3">
      <c r="A555">
        <v>16</v>
      </c>
      <c r="B555" t="s">
        <v>7203</v>
      </c>
      <c r="C555" t="s">
        <v>5250</v>
      </c>
      <c r="E555">
        <v>43120653</v>
      </c>
      <c r="F555">
        <v>177691352565</v>
      </c>
    </row>
    <row r="556" spans="1:6" x14ac:dyDescent="0.3">
      <c r="A556">
        <v>16</v>
      </c>
      <c r="B556" t="s">
        <v>7203</v>
      </c>
      <c r="C556" t="s">
        <v>5250</v>
      </c>
      <c r="E556">
        <v>43120653</v>
      </c>
      <c r="F556">
        <v>177648231912</v>
      </c>
    </row>
    <row r="557" spans="1:6" x14ac:dyDescent="0.3">
      <c r="A557">
        <v>16</v>
      </c>
      <c r="B557" t="s">
        <v>7203</v>
      </c>
      <c r="C557" t="s">
        <v>5250</v>
      </c>
      <c r="E557">
        <v>43120653</v>
      </c>
      <c r="F557">
        <v>177605111259</v>
      </c>
    </row>
    <row r="558" spans="1:6" x14ac:dyDescent="0.3">
      <c r="A558">
        <v>16</v>
      </c>
      <c r="B558" t="s">
        <v>7203</v>
      </c>
      <c r="C558" t="s">
        <v>5250</v>
      </c>
      <c r="E558">
        <v>43120653</v>
      </c>
      <c r="F558">
        <v>177561990606</v>
      </c>
    </row>
    <row r="559" spans="1:6" x14ac:dyDescent="0.3">
      <c r="A559">
        <v>16</v>
      </c>
      <c r="B559" t="s">
        <v>7203</v>
      </c>
      <c r="C559" t="s">
        <v>5250</v>
      </c>
      <c r="E559">
        <v>43120653</v>
      </c>
      <c r="F559">
        <v>177518869953</v>
      </c>
    </row>
    <row r="560" spans="1:6" x14ac:dyDescent="0.3">
      <c r="A560">
        <v>16</v>
      </c>
      <c r="B560" t="s">
        <v>7203</v>
      </c>
      <c r="C560" t="s">
        <v>5250</v>
      </c>
      <c r="E560">
        <v>43120653</v>
      </c>
      <c r="F560">
        <v>177475749300</v>
      </c>
    </row>
    <row r="561" spans="1:6" x14ac:dyDescent="0.3">
      <c r="A561">
        <v>16</v>
      </c>
      <c r="B561" t="s">
        <v>7203</v>
      </c>
      <c r="C561" t="s">
        <v>5250</v>
      </c>
      <c r="E561">
        <v>43120653</v>
      </c>
      <c r="F561">
        <v>177432628647</v>
      </c>
    </row>
    <row r="562" spans="1:6" x14ac:dyDescent="0.3">
      <c r="A562">
        <v>16</v>
      </c>
      <c r="B562" t="s">
        <v>7203</v>
      </c>
      <c r="C562" t="s">
        <v>5250</v>
      </c>
      <c r="E562">
        <v>43120653</v>
      </c>
      <c r="F562">
        <v>177389507994</v>
      </c>
    </row>
    <row r="563" spans="1:6" x14ac:dyDescent="0.3">
      <c r="A563">
        <v>16</v>
      </c>
      <c r="B563" t="s">
        <v>7203</v>
      </c>
      <c r="C563" t="s">
        <v>5250</v>
      </c>
      <c r="E563">
        <v>43120653</v>
      </c>
      <c r="F563">
        <v>177346387341</v>
      </c>
    </row>
    <row r="564" spans="1:6" x14ac:dyDescent="0.3">
      <c r="A564">
        <v>16</v>
      </c>
      <c r="B564" t="s">
        <v>7203</v>
      </c>
      <c r="C564" t="s">
        <v>5250</v>
      </c>
      <c r="E564">
        <v>43120653</v>
      </c>
      <c r="F564">
        <v>177303266688</v>
      </c>
    </row>
    <row r="565" spans="1:6" x14ac:dyDescent="0.3">
      <c r="A565">
        <v>16</v>
      </c>
      <c r="B565" t="s">
        <v>7203</v>
      </c>
      <c r="C565" t="s">
        <v>5250</v>
      </c>
      <c r="E565">
        <v>43120653</v>
      </c>
      <c r="F565">
        <v>177260146035</v>
      </c>
    </row>
    <row r="566" spans="1:6" x14ac:dyDescent="0.3">
      <c r="A566">
        <v>16</v>
      </c>
      <c r="B566" t="s">
        <v>7203</v>
      </c>
      <c r="C566" t="s">
        <v>5250</v>
      </c>
      <c r="E566">
        <v>43120653</v>
      </c>
      <c r="F566">
        <v>177217025382</v>
      </c>
    </row>
    <row r="567" spans="1:6" x14ac:dyDescent="0.3">
      <c r="A567">
        <v>16</v>
      </c>
      <c r="B567" t="s">
        <v>7203</v>
      </c>
      <c r="C567" t="s">
        <v>5250</v>
      </c>
      <c r="E567">
        <v>43120653</v>
      </c>
      <c r="F567">
        <v>177173904729</v>
      </c>
    </row>
    <row r="568" spans="1:6" x14ac:dyDescent="0.3">
      <c r="A568">
        <v>16</v>
      </c>
      <c r="B568" t="s">
        <v>7203</v>
      </c>
      <c r="C568" t="s">
        <v>5250</v>
      </c>
      <c r="E568">
        <v>43120653</v>
      </c>
      <c r="F568">
        <v>177130784076</v>
      </c>
    </row>
    <row r="569" spans="1:6" x14ac:dyDescent="0.3">
      <c r="A569">
        <v>16</v>
      </c>
      <c r="B569" t="s">
        <v>7203</v>
      </c>
      <c r="C569" t="s">
        <v>5250</v>
      </c>
      <c r="E569">
        <v>43120653</v>
      </c>
      <c r="F569">
        <v>177087663423</v>
      </c>
    </row>
    <row r="570" spans="1:6" x14ac:dyDescent="0.3">
      <c r="A570">
        <v>16</v>
      </c>
      <c r="B570" t="s">
        <v>7203</v>
      </c>
      <c r="C570" t="s">
        <v>5250</v>
      </c>
      <c r="E570">
        <v>43120653</v>
      </c>
      <c r="F570">
        <v>177044542770</v>
      </c>
    </row>
    <row r="571" spans="1:6" x14ac:dyDescent="0.3">
      <c r="A571">
        <v>16</v>
      </c>
      <c r="B571" t="s">
        <v>7203</v>
      </c>
      <c r="C571" t="s">
        <v>5250</v>
      </c>
      <c r="E571">
        <v>43120653</v>
      </c>
      <c r="F571">
        <v>177001422117</v>
      </c>
    </row>
    <row r="572" spans="1:6" x14ac:dyDescent="0.3">
      <c r="A572">
        <v>16</v>
      </c>
      <c r="B572" t="s">
        <v>7203</v>
      </c>
      <c r="C572" t="s">
        <v>5013</v>
      </c>
      <c r="E572">
        <v>34770000</v>
      </c>
      <c r="F572">
        <v>176958301464</v>
      </c>
    </row>
    <row r="573" spans="1:6" x14ac:dyDescent="0.3">
      <c r="A573">
        <v>16</v>
      </c>
      <c r="B573" t="s">
        <v>7261</v>
      </c>
      <c r="C573" t="s">
        <v>5843</v>
      </c>
      <c r="E573">
        <v>146600000</v>
      </c>
      <c r="F573">
        <v>176923531464</v>
      </c>
    </row>
    <row r="574" spans="1:6" x14ac:dyDescent="0.3">
      <c r="A574">
        <v>16</v>
      </c>
      <c r="B574" t="s">
        <v>7203</v>
      </c>
      <c r="C574" t="s">
        <v>5842</v>
      </c>
      <c r="E574">
        <v>36900000</v>
      </c>
      <c r="F574">
        <v>176776931464</v>
      </c>
    </row>
    <row r="575" spans="1:6" x14ac:dyDescent="0.3">
      <c r="A575">
        <v>16</v>
      </c>
      <c r="B575" t="s">
        <v>7203</v>
      </c>
      <c r="C575" t="s">
        <v>5841</v>
      </c>
      <c r="E575">
        <v>36900000</v>
      </c>
      <c r="F575">
        <v>176740031464</v>
      </c>
    </row>
    <row r="576" spans="1:6" x14ac:dyDescent="0.3">
      <c r="A576">
        <v>16</v>
      </c>
      <c r="B576" t="s">
        <v>7203</v>
      </c>
      <c r="C576" t="s">
        <v>5840</v>
      </c>
      <c r="E576">
        <v>35909090</v>
      </c>
      <c r="F576">
        <v>176703131464</v>
      </c>
    </row>
    <row r="577" spans="1:6" x14ac:dyDescent="0.3">
      <c r="A577">
        <v>16</v>
      </c>
      <c r="B577" t="s">
        <v>7156</v>
      </c>
      <c r="C577" t="s">
        <v>5839</v>
      </c>
      <c r="E577">
        <v>15909091</v>
      </c>
      <c r="F577">
        <v>176667222374</v>
      </c>
    </row>
    <row r="578" spans="1:6" x14ac:dyDescent="0.3">
      <c r="A578">
        <v>16</v>
      </c>
      <c r="B578" t="s">
        <v>7203</v>
      </c>
      <c r="C578" t="s">
        <v>3537</v>
      </c>
      <c r="E578">
        <v>17765000</v>
      </c>
      <c r="F578">
        <v>176651313283</v>
      </c>
    </row>
    <row r="579" spans="1:6" x14ac:dyDescent="0.3">
      <c r="A579">
        <v>16</v>
      </c>
      <c r="B579" t="s">
        <v>7203</v>
      </c>
      <c r="C579" t="s">
        <v>5838</v>
      </c>
      <c r="E579">
        <v>34500000</v>
      </c>
      <c r="F579">
        <v>176633548283</v>
      </c>
    </row>
    <row r="580" spans="1:6" x14ac:dyDescent="0.3">
      <c r="A580">
        <v>16</v>
      </c>
      <c r="B580" t="s">
        <v>7154</v>
      </c>
      <c r="C580" t="s">
        <v>3787</v>
      </c>
      <c r="E580">
        <v>54804546</v>
      </c>
      <c r="F580">
        <v>176599048283</v>
      </c>
    </row>
    <row r="581" spans="1:6" x14ac:dyDescent="0.3">
      <c r="A581">
        <v>16</v>
      </c>
      <c r="B581" t="s">
        <v>7261</v>
      </c>
      <c r="C581" t="s">
        <v>5837</v>
      </c>
      <c r="E581">
        <v>148600000</v>
      </c>
      <c r="F581">
        <v>176544243737</v>
      </c>
    </row>
    <row r="582" spans="1:6" x14ac:dyDescent="0.3">
      <c r="A582">
        <v>16</v>
      </c>
      <c r="B582" t="s">
        <v>7203</v>
      </c>
      <c r="C582" t="s">
        <v>5836</v>
      </c>
      <c r="E582">
        <v>37272727</v>
      </c>
      <c r="F582">
        <v>176395643737</v>
      </c>
    </row>
    <row r="583" spans="1:6" x14ac:dyDescent="0.3">
      <c r="A583">
        <v>16</v>
      </c>
      <c r="B583" t="s">
        <v>7156</v>
      </c>
      <c r="C583" t="s">
        <v>5835</v>
      </c>
      <c r="E583">
        <v>15000000</v>
      </c>
      <c r="F583">
        <v>176358371010</v>
      </c>
    </row>
    <row r="584" spans="1:6" x14ac:dyDescent="0.3">
      <c r="A584">
        <v>16</v>
      </c>
      <c r="B584" t="s">
        <v>7261</v>
      </c>
      <c r="C584" t="s">
        <v>5165</v>
      </c>
      <c r="E584">
        <v>145000000</v>
      </c>
      <c r="F584">
        <v>176343371010</v>
      </c>
    </row>
    <row r="585" spans="1:6" x14ac:dyDescent="0.3">
      <c r="A585">
        <v>16</v>
      </c>
      <c r="B585" t="s">
        <v>7203</v>
      </c>
      <c r="C585" t="s">
        <v>5441</v>
      </c>
      <c r="E585">
        <v>33620000</v>
      </c>
      <c r="F585">
        <v>176198371010</v>
      </c>
    </row>
    <row r="586" spans="1:6" x14ac:dyDescent="0.3">
      <c r="A586">
        <v>16</v>
      </c>
      <c r="B586" t="s">
        <v>7203</v>
      </c>
      <c r="C586" t="s">
        <v>5834</v>
      </c>
      <c r="E586">
        <v>36363636</v>
      </c>
      <c r="F586">
        <v>176164751010</v>
      </c>
    </row>
    <row r="587" spans="1:6" x14ac:dyDescent="0.3">
      <c r="A587">
        <v>16</v>
      </c>
      <c r="B587" t="s">
        <v>7158</v>
      </c>
      <c r="C587" t="s">
        <v>5833</v>
      </c>
      <c r="E587">
        <v>122136000</v>
      </c>
      <c r="F587">
        <v>176128387374</v>
      </c>
    </row>
    <row r="588" spans="1:6" x14ac:dyDescent="0.3">
      <c r="A588">
        <v>16</v>
      </c>
      <c r="B588" t="s">
        <v>7278</v>
      </c>
      <c r="C588" t="s">
        <v>5832</v>
      </c>
      <c r="E588">
        <v>43254546</v>
      </c>
      <c r="F588">
        <v>176006251374</v>
      </c>
    </row>
    <row r="589" spans="1:6" x14ac:dyDescent="0.3">
      <c r="A589">
        <v>16</v>
      </c>
      <c r="B589" t="s">
        <v>7285</v>
      </c>
      <c r="C589" t="s">
        <v>5831</v>
      </c>
      <c r="E589">
        <v>49868182</v>
      </c>
      <c r="F589">
        <v>175962996828</v>
      </c>
    </row>
    <row r="590" spans="1:6" x14ac:dyDescent="0.3">
      <c r="A590">
        <v>16</v>
      </c>
      <c r="B590" t="s">
        <v>7203</v>
      </c>
      <c r="C590" t="s">
        <v>5830</v>
      </c>
      <c r="E590">
        <v>35818182</v>
      </c>
      <c r="F590">
        <v>175913128646</v>
      </c>
    </row>
    <row r="591" spans="1:6" x14ac:dyDescent="0.3">
      <c r="A591">
        <v>16</v>
      </c>
      <c r="B591" t="s">
        <v>7203</v>
      </c>
      <c r="C591" t="s">
        <v>5829</v>
      </c>
      <c r="E591">
        <v>34000000</v>
      </c>
      <c r="F591">
        <v>175877310464</v>
      </c>
    </row>
    <row r="592" spans="1:6" x14ac:dyDescent="0.3">
      <c r="A592">
        <v>16</v>
      </c>
      <c r="B592" t="s">
        <v>7170</v>
      </c>
      <c r="C592" t="s">
        <v>5828</v>
      </c>
      <c r="E592">
        <v>172000000</v>
      </c>
      <c r="F592">
        <v>175843310464</v>
      </c>
    </row>
    <row r="593" spans="1:6" x14ac:dyDescent="0.3">
      <c r="A593">
        <v>16</v>
      </c>
      <c r="B593" t="s">
        <v>7176</v>
      </c>
      <c r="C593" t="s">
        <v>5827</v>
      </c>
      <c r="E593">
        <v>36000000</v>
      </c>
      <c r="F593">
        <v>175671310464</v>
      </c>
    </row>
    <row r="594" spans="1:6" x14ac:dyDescent="0.3">
      <c r="A594">
        <v>16</v>
      </c>
      <c r="B594" t="s">
        <v>7170</v>
      </c>
      <c r="C594" t="s">
        <v>5826</v>
      </c>
      <c r="E594">
        <v>171000000</v>
      </c>
      <c r="F594">
        <v>175635310464</v>
      </c>
    </row>
    <row r="595" spans="1:6" x14ac:dyDescent="0.3">
      <c r="A595">
        <v>16</v>
      </c>
      <c r="B595" t="s">
        <v>7291</v>
      </c>
      <c r="C595" t="s">
        <v>4971</v>
      </c>
      <c r="E595">
        <v>39000000</v>
      </c>
      <c r="F595">
        <v>175464310464</v>
      </c>
    </row>
    <row r="596" spans="1:6" x14ac:dyDescent="0.3">
      <c r="A596">
        <v>16</v>
      </c>
      <c r="B596" t="s">
        <v>7154</v>
      </c>
      <c r="C596" t="s">
        <v>4434</v>
      </c>
      <c r="E596">
        <v>49700000</v>
      </c>
      <c r="F596">
        <v>175425310464</v>
      </c>
    </row>
    <row r="597" spans="1:6" x14ac:dyDescent="0.3">
      <c r="A597">
        <v>16</v>
      </c>
      <c r="B597" t="s">
        <v>7319</v>
      </c>
      <c r="C597" t="s">
        <v>5825</v>
      </c>
      <c r="E597">
        <v>15013636</v>
      </c>
      <c r="F597">
        <v>175375610464</v>
      </c>
    </row>
    <row r="598" spans="1:6" x14ac:dyDescent="0.3">
      <c r="A598">
        <v>16</v>
      </c>
      <c r="B598" t="s">
        <v>7203</v>
      </c>
      <c r="C598" t="s">
        <v>5824</v>
      </c>
      <c r="E598">
        <v>36363636</v>
      </c>
      <c r="F598">
        <v>175360596828</v>
      </c>
    </row>
    <row r="599" spans="1:6" x14ac:dyDescent="0.3">
      <c r="A599">
        <v>16</v>
      </c>
      <c r="B599" t="s">
        <v>7203</v>
      </c>
      <c r="C599" t="s">
        <v>5823</v>
      </c>
      <c r="E599">
        <v>36363636</v>
      </c>
      <c r="F599">
        <v>175324233192</v>
      </c>
    </row>
    <row r="600" spans="1:6" x14ac:dyDescent="0.3">
      <c r="A600">
        <v>16</v>
      </c>
      <c r="B600" t="s">
        <v>7203</v>
      </c>
      <c r="C600" t="s">
        <v>3954</v>
      </c>
      <c r="E600">
        <v>35000000</v>
      </c>
      <c r="F600">
        <v>175287869556</v>
      </c>
    </row>
    <row r="601" spans="1:6" x14ac:dyDescent="0.3">
      <c r="A601">
        <v>16</v>
      </c>
      <c r="B601" t="s">
        <v>7156</v>
      </c>
      <c r="C601" t="s">
        <v>5775</v>
      </c>
      <c r="E601">
        <v>15300000</v>
      </c>
      <c r="F601">
        <v>175252869556</v>
      </c>
    </row>
    <row r="602" spans="1:6" x14ac:dyDescent="0.3">
      <c r="A602">
        <v>16</v>
      </c>
      <c r="B602" t="s">
        <v>7154</v>
      </c>
      <c r="C602" t="s">
        <v>5822</v>
      </c>
      <c r="E602">
        <v>50000000</v>
      </c>
      <c r="F602">
        <v>175237569556</v>
      </c>
    </row>
    <row r="603" spans="1:6" x14ac:dyDescent="0.3">
      <c r="A603">
        <v>16</v>
      </c>
      <c r="B603" t="s">
        <v>7203</v>
      </c>
      <c r="C603" t="s">
        <v>5821</v>
      </c>
      <c r="E603">
        <v>36363636</v>
      </c>
      <c r="F603">
        <v>175187569556</v>
      </c>
    </row>
    <row r="604" spans="1:6" x14ac:dyDescent="0.3">
      <c r="A604">
        <v>16</v>
      </c>
      <c r="B604" t="s">
        <v>7282</v>
      </c>
      <c r="C604" t="s">
        <v>5820</v>
      </c>
      <c r="E604">
        <v>155000000</v>
      </c>
      <c r="F604">
        <v>175151205920</v>
      </c>
    </row>
    <row r="605" spans="1:6" x14ac:dyDescent="0.3">
      <c r="A605">
        <v>16</v>
      </c>
      <c r="B605" t="s">
        <v>7318</v>
      </c>
      <c r="C605" t="s">
        <v>3826</v>
      </c>
      <c r="E605">
        <v>1018182</v>
      </c>
      <c r="F605">
        <v>174996205920</v>
      </c>
    </row>
    <row r="606" spans="1:6" x14ac:dyDescent="0.3">
      <c r="A606">
        <v>16</v>
      </c>
      <c r="B606" t="s">
        <v>7203</v>
      </c>
      <c r="C606" t="s">
        <v>5819</v>
      </c>
      <c r="E606">
        <v>34000000</v>
      </c>
      <c r="F606">
        <v>174995187738</v>
      </c>
    </row>
    <row r="607" spans="1:6" x14ac:dyDescent="0.3">
      <c r="A607">
        <v>16</v>
      </c>
      <c r="B607" t="s">
        <v>7245</v>
      </c>
      <c r="C607" t="s">
        <v>5818</v>
      </c>
      <c r="E607">
        <v>40400000</v>
      </c>
      <c r="F607">
        <v>174961187738</v>
      </c>
    </row>
    <row r="608" spans="1:6" x14ac:dyDescent="0.3">
      <c r="A608">
        <v>16</v>
      </c>
      <c r="B608" t="s">
        <v>2954</v>
      </c>
      <c r="C608" t="s">
        <v>5817</v>
      </c>
      <c r="E608">
        <v>13000000</v>
      </c>
      <c r="F608">
        <v>174920787738</v>
      </c>
    </row>
    <row r="609" spans="1:6" x14ac:dyDescent="0.3">
      <c r="A609">
        <v>16</v>
      </c>
      <c r="B609" t="s">
        <v>7203</v>
      </c>
      <c r="C609" t="s">
        <v>5816</v>
      </c>
      <c r="E609">
        <v>36409090</v>
      </c>
      <c r="F609">
        <v>174907787738</v>
      </c>
    </row>
    <row r="610" spans="1:6" x14ac:dyDescent="0.3">
      <c r="A610">
        <v>16</v>
      </c>
      <c r="B610" t="s">
        <v>7203</v>
      </c>
      <c r="C610" t="s">
        <v>5815</v>
      </c>
      <c r="E610">
        <v>36100000</v>
      </c>
      <c r="F610">
        <v>174871378648</v>
      </c>
    </row>
    <row r="611" spans="1:6" x14ac:dyDescent="0.3">
      <c r="A611">
        <v>16</v>
      </c>
      <c r="B611" t="s">
        <v>7203</v>
      </c>
      <c r="C611" t="s">
        <v>5814</v>
      </c>
      <c r="E611">
        <v>35500000</v>
      </c>
      <c r="F611">
        <v>174835278648</v>
      </c>
    </row>
    <row r="612" spans="1:6" x14ac:dyDescent="0.3">
      <c r="A612">
        <v>16</v>
      </c>
      <c r="B612" t="s">
        <v>2906</v>
      </c>
      <c r="C612" t="s">
        <v>5812</v>
      </c>
      <c r="E612">
        <v>4400000</v>
      </c>
      <c r="F612">
        <v>174799778648</v>
      </c>
    </row>
    <row r="613" spans="1:6" x14ac:dyDescent="0.3">
      <c r="A613">
        <v>16</v>
      </c>
      <c r="B613" t="s">
        <v>7176</v>
      </c>
      <c r="C613" t="s">
        <v>5813</v>
      </c>
      <c r="E613">
        <v>38500000</v>
      </c>
      <c r="F613">
        <v>174795378648</v>
      </c>
    </row>
    <row r="614" spans="1:6" x14ac:dyDescent="0.3">
      <c r="A614">
        <v>16</v>
      </c>
      <c r="B614" t="s">
        <v>7251</v>
      </c>
      <c r="C614" t="s">
        <v>5812</v>
      </c>
      <c r="E614">
        <v>36100000</v>
      </c>
      <c r="F614">
        <v>174756878648</v>
      </c>
    </row>
    <row r="615" spans="1:6" x14ac:dyDescent="0.3">
      <c r="A615">
        <v>16</v>
      </c>
      <c r="B615" t="s">
        <v>7251</v>
      </c>
      <c r="C615" t="s">
        <v>5811</v>
      </c>
      <c r="E615">
        <v>34545455</v>
      </c>
      <c r="F615">
        <v>174720778648</v>
      </c>
    </row>
    <row r="616" spans="1:6" x14ac:dyDescent="0.3">
      <c r="A616">
        <v>16</v>
      </c>
      <c r="B616" t="s">
        <v>7176</v>
      </c>
      <c r="C616" t="s">
        <v>5810</v>
      </c>
      <c r="E616">
        <v>37909090</v>
      </c>
      <c r="F616">
        <v>174686233193</v>
      </c>
    </row>
    <row r="617" spans="1:6" x14ac:dyDescent="0.3">
      <c r="A617">
        <v>16</v>
      </c>
      <c r="B617" t="s">
        <v>7203</v>
      </c>
      <c r="C617" t="s">
        <v>5250</v>
      </c>
      <c r="E617">
        <v>43120653</v>
      </c>
      <c r="F617">
        <v>174648324103</v>
      </c>
    </row>
    <row r="618" spans="1:6" x14ac:dyDescent="0.3">
      <c r="A618">
        <v>16</v>
      </c>
      <c r="B618" t="s">
        <v>7203</v>
      </c>
      <c r="C618" t="s">
        <v>5250</v>
      </c>
      <c r="E618">
        <v>43120653</v>
      </c>
      <c r="F618">
        <v>174605203450</v>
      </c>
    </row>
    <row r="619" spans="1:6" x14ac:dyDescent="0.3">
      <c r="A619">
        <v>16</v>
      </c>
      <c r="B619" t="s">
        <v>7203</v>
      </c>
      <c r="C619" t="s">
        <v>5250</v>
      </c>
      <c r="E619">
        <v>43120653</v>
      </c>
      <c r="F619">
        <v>174562082797</v>
      </c>
    </row>
    <row r="620" spans="1:6" x14ac:dyDescent="0.3">
      <c r="A620">
        <v>16</v>
      </c>
      <c r="B620" t="s">
        <v>7203</v>
      </c>
      <c r="C620" t="s">
        <v>5250</v>
      </c>
      <c r="E620">
        <v>43120653</v>
      </c>
      <c r="F620">
        <v>174518962144</v>
      </c>
    </row>
    <row r="621" spans="1:6" x14ac:dyDescent="0.3">
      <c r="A621">
        <v>16</v>
      </c>
      <c r="B621" t="s">
        <v>7203</v>
      </c>
      <c r="C621" t="s">
        <v>5250</v>
      </c>
      <c r="E621">
        <v>43120653</v>
      </c>
      <c r="F621">
        <v>174475841491</v>
      </c>
    </row>
    <row r="622" spans="1:6" x14ac:dyDescent="0.3">
      <c r="A622">
        <v>16</v>
      </c>
      <c r="B622" t="s">
        <v>7203</v>
      </c>
      <c r="C622" t="s">
        <v>5250</v>
      </c>
      <c r="E622">
        <v>43120653</v>
      </c>
      <c r="F622">
        <v>174432720838</v>
      </c>
    </row>
    <row r="623" spans="1:6" x14ac:dyDescent="0.3">
      <c r="A623">
        <v>16</v>
      </c>
      <c r="B623" t="s">
        <v>7203</v>
      </c>
      <c r="C623" t="s">
        <v>5250</v>
      </c>
      <c r="E623">
        <v>43120653</v>
      </c>
      <c r="F623">
        <v>174389600185</v>
      </c>
    </row>
    <row r="624" spans="1:6" x14ac:dyDescent="0.3">
      <c r="A624">
        <v>16</v>
      </c>
      <c r="B624" t="s">
        <v>7203</v>
      </c>
      <c r="C624" t="s">
        <v>5250</v>
      </c>
      <c r="E624">
        <v>43120653</v>
      </c>
      <c r="F624">
        <v>174346479532</v>
      </c>
    </row>
    <row r="625" spans="1:6" x14ac:dyDescent="0.3">
      <c r="A625">
        <v>16</v>
      </c>
      <c r="B625" t="s">
        <v>7203</v>
      </c>
      <c r="C625" t="s">
        <v>5250</v>
      </c>
      <c r="E625">
        <v>43120653</v>
      </c>
      <c r="F625">
        <v>174303358879</v>
      </c>
    </row>
    <row r="626" spans="1:6" x14ac:dyDescent="0.3">
      <c r="A626">
        <v>16</v>
      </c>
      <c r="B626" t="s">
        <v>7203</v>
      </c>
      <c r="C626" t="s">
        <v>5250</v>
      </c>
      <c r="E626">
        <v>43120653</v>
      </c>
      <c r="F626">
        <v>174260238226</v>
      </c>
    </row>
    <row r="627" spans="1:6" x14ac:dyDescent="0.3">
      <c r="A627">
        <v>16</v>
      </c>
      <c r="B627" t="s">
        <v>7203</v>
      </c>
      <c r="C627" t="s">
        <v>5250</v>
      </c>
      <c r="E627">
        <v>43120653</v>
      </c>
      <c r="F627">
        <v>174217117573</v>
      </c>
    </row>
    <row r="628" spans="1:6" x14ac:dyDescent="0.3">
      <c r="A628">
        <v>16</v>
      </c>
      <c r="B628" t="s">
        <v>7203</v>
      </c>
      <c r="C628" t="s">
        <v>5250</v>
      </c>
      <c r="E628">
        <v>43120653</v>
      </c>
      <c r="F628">
        <v>174173996920</v>
      </c>
    </row>
    <row r="629" spans="1:6" x14ac:dyDescent="0.3">
      <c r="A629">
        <v>16</v>
      </c>
      <c r="B629" t="s">
        <v>7203</v>
      </c>
      <c r="C629" t="s">
        <v>5250</v>
      </c>
      <c r="E629">
        <v>43120653</v>
      </c>
      <c r="F629">
        <v>174130876267</v>
      </c>
    </row>
    <row r="630" spans="1:6" x14ac:dyDescent="0.3">
      <c r="A630">
        <v>16</v>
      </c>
      <c r="B630" t="s">
        <v>7203</v>
      </c>
      <c r="C630" t="s">
        <v>5250</v>
      </c>
      <c r="E630">
        <v>43120653</v>
      </c>
      <c r="F630">
        <v>174087755614</v>
      </c>
    </row>
    <row r="631" spans="1:6" x14ac:dyDescent="0.3">
      <c r="A631">
        <v>16</v>
      </c>
      <c r="B631" t="s">
        <v>7203</v>
      </c>
      <c r="C631" t="s">
        <v>5250</v>
      </c>
      <c r="E631">
        <v>43120653</v>
      </c>
      <c r="F631">
        <v>174044634961</v>
      </c>
    </row>
    <row r="632" spans="1:6" x14ac:dyDescent="0.3">
      <c r="A632">
        <v>16</v>
      </c>
      <c r="B632" t="s">
        <v>7203</v>
      </c>
      <c r="C632" t="s">
        <v>5250</v>
      </c>
      <c r="E632">
        <v>43120653</v>
      </c>
      <c r="F632">
        <v>174001514308</v>
      </c>
    </row>
    <row r="633" spans="1:6" x14ac:dyDescent="0.3">
      <c r="A633">
        <v>16</v>
      </c>
      <c r="B633" t="s">
        <v>7203</v>
      </c>
      <c r="C633" t="s">
        <v>5250</v>
      </c>
      <c r="E633">
        <v>43120653</v>
      </c>
      <c r="F633">
        <v>173958393655</v>
      </c>
    </row>
    <row r="634" spans="1:6" x14ac:dyDescent="0.3">
      <c r="A634">
        <v>16</v>
      </c>
      <c r="B634" t="s">
        <v>7203</v>
      </c>
      <c r="C634" t="s">
        <v>5250</v>
      </c>
      <c r="E634">
        <v>43120653</v>
      </c>
      <c r="F634">
        <v>173915273002</v>
      </c>
    </row>
    <row r="635" spans="1:6" x14ac:dyDescent="0.3">
      <c r="A635">
        <v>16</v>
      </c>
      <c r="B635" t="s">
        <v>7203</v>
      </c>
      <c r="C635" t="s">
        <v>5250</v>
      </c>
      <c r="E635">
        <v>43120653</v>
      </c>
      <c r="F635">
        <v>173872152349</v>
      </c>
    </row>
    <row r="636" spans="1:6" x14ac:dyDescent="0.3">
      <c r="A636">
        <v>16</v>
      </c>
      <c r="B636" t="s">
        <v>7203</v>
      </c>
      <c r="C636" t="s">
        <v>5250</v>
      </c>
      <c r="E636">
        <v>43120653</v>
      </c>
      <c r="F636">
        <v>173829031696</v>
      </c>
    </row>
    <row r="637" spans="1:6" x14ac:dyDescent="0.3">
      <c r="A637">
        <v>16</v>
      </c>
      <c r="B637" t="s">
        <v>7156</v>
      </c>
      <c r="C637" t="s">
        <v>3826</v>
      </c>
      <c r="E637">
        <v>30381819</v>
      </c>
      <c r="F637">
        <v>173785911043</v>
      </c>
    </row>
    <row r="638" spans="1:6" x14ac:dyDescent="0.3">
      <c r="A638">
        <v>16</v>
      </c>
      <c r="B638" t="s">
        <v>7176</v>
      </c>
      <c r="C638" t="s">
        <v>5809</v>
      </c>
      <c r="E638">
        <v>40300000</v>
      </c>
      <c r="F638">
        <v>173755529224</v>
      </c>
    </row>
    <row r="639" spans="1:6" x14ac:dyDescent="0.3">
      <c r="A639">
        <v>16</v>
      </c>
      <c r="B639" t="s">
        <v>7203</v>
      </c>
      <c r="C639" t="s">
        <v>5808</v>
      </c>
      <c r="E639">
        <v>34500000</v>
      </c>
      <c r="F639">
        <v>173715229224</v>
      </c>
    </row>
    <row r="640" spans="1:6" x14ac:dyDescent="0.3">
      <c r="A640">
        <v>16</v>
      </c>
      <c r="B640" t="s">
        <v>7154</v>
      </c>
      <c r="C640" t="s">
        <v>5807</v>
      </c>
      <c r="E640">
        <v>51931819</v>
      </c>
      <c r="F640">
        <v>173680729224</v>
      </c>
    </row>
    <row r="641" spans="1:6" x14ac:dyDescent="0.3">
      <c r="A641">
        <v>16</v>
      </c>
      <c r="B641" t="s">
        <v>5805</v>
      </c>
      <c r="C641" t="s">
        <v>5806</v>
      </c>
      <c r="E641">
        <v>100000000</v>
      </c>
      <c r="F641">
        <v>173628797405</v>
      </c>
    </row>
    <row r="642" spans="1:6" x14ac:dyDescent="0.3">
      <c r="A642">
        <v>16</v>
      </c>
      <c r="B642" t="s">
        <v>7154</v>
      </c>
      <c r="C642" t="s">
        <v>5804</v>
      </c>
      <c r="E642">
        <v>51363636</v>
      </c>
      <c r="F642">
        <v>173528797405</v>
      </c>
    </row>
    <row r="643" spans="1:6" x14ac:dyDescent="0.3">
      <c r="A643">
        <v>16</v>
      </c>
      <c r="B643" t="s">
        <v>7176</v>
      </c>
      <c r="C643" t="s">
        <v>5803</v>
      </c>
      <c r="E643">
        <v>36000000</v>
      </c>
      <c r="F643">
        <v>173477433769</v>
      </c>
    </row>
    <row r="644" spans="1:6" x14ac:dyDescent="0.3">
      <c r="A644">
        <v>16</v>
      </c>
      <c r="B644" t="s">
        <v>7176</v>
      </c>
      <c r="C644" t="s">
        <v>5802</v>
      </c>
      <c r="E644">
        <v>43000000</v>
      </c>
      <c r="F644">
        <v>173441433769</v>
      </c>
    </row>
    <row r="645" spans="1:6" x14ac:dyDescent="0.3">
      <c r="A645">
        <v>16</v>
      </c>
      <c r="B645" t="s">
        <v>7311</v>
      </c>
      <c r="C645" t="s">
        <v>5801</v>
      </c>
      <c r="E645">
        <v>46363636</v>
      </c>
      <c r="F645">
        <v>173398433769</v>
      </c>
    </row>
    <row r="646" spans="1:6" x14ac:dyDescent="0.3">
      <c r="A646">
        <v>16</v>
      </c>
      <c r="B646" t="s">
        <v>7176</v>
      </c>
      <c r="C646" t="s">
        <v>5800</v>
      </c>
      <c r="E646">
        <v>37700000</v>
      </c>
      <c r="F646">
        <v>173352070133</v>
      </c>
    </row>
    <row r="647" spans="1:6" x14ac:dyDescent="0.3">
      <c r="A647">
        <v>16</v>
      </c>
      <c r="B647" t="s">
        <v>2037</v>
      </c>
      <c r="C647" t="s">
        <v>5799</v>
      </c>
      <c r="E647">
        <v>17499180</v>
      </c>
      <c r="F647">
        <v>173314370133</v>
      </c>
    </row>
    <row r="648" spans="1:6" x14ac:dyDescent="0.3">
      <c r="A648">
        <v>16</v>
      </c>
      <c r="B648" t="s">
        <v>7156</v>
      </c>
      <c r="C648" t="s">
        <v>3826</v>
      </c>
      <c r="E648">
        <v>30381819</v>
      </c>
      <c r="F648">
        <v>173296870953</v>
      </c>
    </row>
    <row r="649" spans="1:6" x14ac:dyDescent="0.3">
      <c r="A649">
        <v>16</v>
      </c>
      <c r="B649" t="s">
        <v>7318</v>
      </c>
      <c r="C649" t="s">
        <v>3826</v>
      </c>
      <c r="E649">
        <v>1018182</v>
      </c>
      <c r="F649">
        <v>173266489134</v>
      </c>
    </row>
    <row r="650" spans="1:6" x14ac:dyDescent="0.3">
      <c r="A650">
        <v>16</v>
      </c>
      <c r="B650" t="s">
        <v>7154</v>
      </c>
      <c r="C650" t="s">
        <v>5772</v>
      </c>
      <c r="E650">
        <v>50500000</v>
      </c>
      <c r="F650">
        <v>173265470952</v>
      </c>
    </row>
    <row r="651" spans="1:6" x14ac:dyDescent="0.3">
      <c r="A651">
        <v>16</v>
      </c>
      <c r="B651" t="s">
        <v>7154</v>
      </c>
      <c r="C651" t="s">
        <v>5772</v>
      </c>
      <c r="E651">
        <v>50500000</v>
      </c>
      <c r="F651">
        <v>173214970952</v>
      </c>
    </row>
    <row r="652" spans="1:6" x14ac:dyDescent="0.3">
      <c r="A652">
        <v>16</v>
      </c>
      <c r="B652" t="s">
        <v>7154</v>
      </c>
      <c r="C652" t="s">
        <v>5798</v>
      </c>
      <c r="E652">
        <v>50000000</v>
      </c>
      <c r="F652">
        <v>173164470952</v>
      </c>
    </row>
    <row r="653" spans="1:6" x14ac:dyDescent="0.3">
      <c r="A653">
        <v>16</v>
      </c>
      <c r="B653" t="s">
        <v>7245</v>
      </c>
      <c r="C653" t="s">
        <v>5797</v>
      </c>
      <c r="E653">
        <v>39400000</v>
      </c>
      <c r="F653">
        <v>173114470952</v>
      </c>
    </row>
    <row r="654" spans="1:6" x14ac:dyDescent="0.3">
      <c r="A654">
        <v>16</v>
      </c>
      <c r="B654" t="s">
        <v>7176</v>
      </c>
      <c r="C654" t="s">
        <v>5796</v>
      </c>
      <c r="E654">
        <v>53281819</v>
      </c>
      <c r="F654">
        <v>173075070952</v>
      </c>
    </row>
    <row r="655" spans="1:6" x14ac:dyDescent="0.3">
      <c r="A655">
        <v>16</v>
      </c>
      <c r="B655" t="s">
        <v>7176</v>
      </c>
      <c r="C655" t="s">
        <v>5795</v>
      </c>
      <c r="E655">
        <v>54793637</v>
      </c>
      <c r="F655">
        <v>173021789133</v>
      </c>
    </row>
    <row r="656" spans="1:6" x14ac:dyDescent="0.3">
      <c r="A656">
        <v>16</v>
      </c>
      <c r="B656" t="s">
        <v>7251</v>
      </c>
      <c r="C656" t="s">
        <v>3438</v>
      </c>
      <c r="E656">
        <v>30465000</v>
      </c>
      <c r="F656">
        <v>172966995496</v>
      </c>
    </row>
    <row r="657" spans="1:6" x14ac:dyDescent="0.3">
      <c r="A657">
        <v>16</v>
      </c>
      <c r="B657" t="s">
        <v>7251</v>
      </c>
      <c r="C657" t="s">
        <v>3438</v>
      </c>
      <c r="E657">
        <v>30465000</v>
      </c>
      <c r="F657">
        <v>172936530496</v>
      </c>
    </row>
    <row r="658" spans="1:6" x14ac:dyDescent="0.3">
      <c r="A658">
        <v>16</v>
      </c>
      <c r="B658" t="s">
        <v>7251</v>
      </c>
      <c r="C658" t="s">
        <v>3438</v>
      </c>
      <c r="E658">
        <v>30465000</v>
      </c>
      <c r="F658">
        <v>172906065496</v>
      </c>
    </row>
    <row r="659" spans="1:6" x14ac:dyDescent="0.3">
      <c r="A659">
        <v>16</v>
      </c>
      <c r="B659" t="s">
        <v>7176</v>
      </c>
      <c r="C659" t="s">
        <v>5794</v>
      </c>
      <c r="E659">
        <v>4000000</v>
      </c>
      <c r="F659">
        <v>172875600496</v>
      </c>
    </row>
    <row r="660" spans="1:6" x14ac:dyDescent="0.3">
      <c r="A660">
        <v>16</v>
      </c>
      <c r="B660" t="s">
        <v>7154</v>
      </c>
      <c r="C660" t="s">
        <v>5793</v>
      </c>
      <c r="E660">
        <v>50500000</v>
      </c>
      <c r="F660">
        <v>172871600496</v>
      </c>
    </row>
    <row r="661" spans="1:6" x14ac:dyDescent="0.3">
      <c r="A661">
        <v>16</v>
      </c>
      <c r="B661" t="s">
        <v>7203</v>
      </c>
      <c r="C661" t="s">
        <v>4511</v>
      </c>
      <c r="E661">
        <v>35909091</v>
      </c>
      <c r="F661">
        <v>172821100496</v>
      </c>
    </row>
    <row r="662" spans="1:6" x14ac:dyDescent="0.3">
      <c r="A662">
        <v>16</v>
      </c>
      <c r="B662" t="s">
        <v>7203</v>
      </c>
      <c r="C662" t="s">
        <v>5792</v>
      </c>
      <c r="E662">
        <v>36363636</v>
      </c>
      <c r="F662">
        <v>172785191405</v>
      </c>
    </row>
    <row r="663" spans="1:6" x14ac:dyDescent="0.3">
      <c r="A663">
        <v>16</v>
      </c>
      <c r="B663" t="s">
        <v>7245</v>
      </c>
      <c r="C663" t="s">
        <v>5791</v>
      </c>
      <c r="E663">
        <v>39400000</v>
      </c>
      <c r="F663">
        <v>172748827769</v>
      </c>
    </row>
    <row r="664" spans="1:6" x14ac:dyDescent="0.3">
      <c r="A664">
        <v>16</v>
      </c>
      <c r="B664" t="s">
        <v>7310</v>
      </c>
      <c r="C664" t="s">
        <v>5250</v>
      </c>
      <c r="E664">
        <v>90069820</v>
      </c>
      <c r="F664">
        <v>172709427769</v>
      </c>
    </row>
    <row r="665" spans="1:6" x14ac:dyDescent="0.3">
      <c r="A665">
        <v>16</v>
      </c>
      <c r="B665" t="s">
        <v>7310</v>
      </c>
      <c r="C665" t="s">
        <v>5250</v>
      </c>
      <c r="E665">
        <v>90069820</v>
      </c>
      <c r="F665">
        <v>172619357949</v>
      </c>
    </row>
    <row r="666" spans="1:6" x14ac:dyDescent="0.3">
      <c r="A666">
        <v>16</v>
      </c>
      <c r="B666" t="s">
        <v>7310</v>
      </c>
      <c r="C666" t="s">
        <v>5250</v>
      </c>
      <c r="E666">
        <v>90069820</v>
      </c>
      <c r="F666">
        <v>172529288129</v>
      </c>
    </row>
    <row r="667" spans="1:6" x14ac:dyDescent="0.3">
      <c r="A667">
        <v>16</v>
      </c>
      <c r="B667" t="s">
        <v>7310</v>
      </c>
      <c r="C667" t="s">
        <v>5250</v>
      </c>
      <c r="E667">
        <v>90069820</v>
      </c>
      <c r="F667">
        <v>172439218309</v>
      </c>
    </row>
    <row r="668" spans="1:6" x14ac:dyDescent="0.3">
      <c r="A668">
        <v>16</v>
      </c>
      <c r="B668" t="s">
        <v>7310</v>
      </c>
      <c r="C668" t="s">
        <v>5250</v>
      </c>
      <c r="E668">
        <v>90069820</v>
      </c>
      <c r="F668">
        <v>172349148489</v>
      </c>
    </row>
    <row r="669" spans="1:6" x14ac:dyDescent="0.3">
      <c r="A669">
        <v>16</v>
      </c>
      <c r="B669" t="s">
        <v>7310</v>
      </c>
      <c r="C669" t="s">
        <v>5250</v>
      </c>
      <c r="E669">
        <v>90069820</v>
      </c>
      <c r="F669">
        <v>172259078669</v>
      </c>
    </row>
    <row r="670" spans="1:6" x14ac:dyDescent="0.3">
      <c r="A670">
        <v>16</v>
      </c>
      <c r="B670" t="s">
        <v>7310</v>
      </c>
      <c r="C670" t="s">
        <v>5250</v>
      </c>
      <c r="E670">
        <v>90069820</v>
      </c>
      <c r="F670">
        <v>172169008849</v>
      </c>
    </row>
    <row r="671" spans="1:6" x14ac:dyDescent="0.3">
      <c r="A671">
        <v>16</v>
      </c>
      <c r="B671" t="s">
        <v>7310</v>
      </c>
      <c r="C671" t="s">
        <v>5250</v>
      </c>
      <c r="E671">
        <v>90069820</v>
      </c>
      <c r="F671">
        <v>172078939029</v>
      </c>
    </row>
    <row r="672" spans="1:6" x14ac:dyDescent="0.3">
      <c r="A672">
        <v>16</v>
      </c>
      <c r="B672" t="s">
        <v>7310</v>
      </c>
      <c r="C672" t="s">
        <v>5250</v>
      </c>
      <c r="E672">
        <v>90069820</v>
      </c>
      <c r="F672">
        <v>171988869209</v>
      </c>
    </row>
    <row r="673" spans="1:6" x14ac:dyDescent="0.3">
      <c r="A673">
        <v>16</v>
      </c>
      <c r="B673" t="s">
        <v>7310</v>
      </c>
      <c r="C673" t="s">
        <v>5250</v>
      </c>
      <c r="E673">
        <v>90069820</v>
      </c>
      <c r="F673">
        <v>171898799389</v>
      </c>
    </row>
    <row r="674" spans="1:6" x14ac:dyDescent="0.3">
      <c r="A674">
        <v>16</v>
      </c>
      <c r="B674" t="s">
        <v>7310</v>
      </c>
      <c r="C674" t="s">
        <v>5250</v>
      </c>
      <c r="E674">
        <v>90069820</v>
      </c>
      <c r="F674">
        <v>171808729569</v>
      </c>
    </row>
    <row r="675" spans="1:6" x14ac:dyDescent="0.3">
      <c r="A675">
        <v>16</v>
      </c>
      <c r="B675" t="s">
        <v>7310</v>
      </c>
      <c r="C675" t="s">
        <v>5250</v>
      </c>
      <c r="E675">
        <v>90069820</v>
      </c>
      <c r="F675">
        <v>171718659749</v>
      </c>
    </row>
    <row r="676" spans="1:6" x14ac:dyDescent="0.3">
      <c r="A676">
        <v>16</v>
      </c>
      <c r="B676" t="s">
        <v>7156</v>
      </c>
      <c r="C676" t="s">
        <v>5790</v>
      </c>
      <c r="E676">
        <v>32700000</v>
      </c>
      <c r="F676">
        <v>171628589929</v>
      </c>
    </row>
    <row r="677" spans="1:6" x14ac:dyDescent="0.3">
      <c r="A677">
        <v>16</v>
      </c>
      <c r="B677" t="s">
        <v>7176</v>
      </c>
      <c r="C677" t="s">
        <v>5789</v>
      </c>
      <c r="E677">
        <v>39200000</v>
      </c>
      <c r="F677">
        <v>171595889929</v>
      </c>
    </row>
    <row r="678" spans="1:6" x14ac:dyDescent="0.3">
      <c r="A678">
        <v>16</v>
      </c>
      <c r="B678" t="s">
        <v>7203</v>
      </c>
      <c r="C678" t="s">
        <v>5250</v>
      </c>
      <c r="E678">
        <v>43120653</v>
      </c>
      <c r="F678">
        <v>171556689929</v>
      </c>
    </row>
    <row r="679" spans="1:6" x14ac:dyDescent="0.3">
      <c r="A679">
        <v>16</v>
      </c>
      <c r="B679" t="s">
        <v>7203</v>
      </c>
      <c r="C679" t="s">
        <v>5250</v>
      </c>
      <c r="E679">
        <v>43120653</v>
      </c>
      <c r="F679">
        <v>171513569276</v>
      </c>
    </row>
    <row r="680" spans="1:6" x14ac:dyDescent="0.3">
      <c r="A680">
        <v>16</v>
      </c>
      <c r="B680" t="s">
        <v>7203</v>
      </c>
      <c r="C680" t="s">
        <v>5250</v>
      </c>
      <c r="E680">
        <v>43120653</v>
      </c>
      <c r="F680">
        <v>171470448623</v>
      </c>
    </row>
    <row r="681" spans="1:6" x14ac:dyDescent="0.3">
      <c r="A681">
        <v>16</v>
      </c>
      <c r="B681" t="s">
        <v>7203</v>
      </c>
      <c r="C681" t="s">
        <v>5250</v>
      </c>
      <c r="E681">
        <v>43120653</v>
      </c>
      <c r="F681">
        <v>171427327970</v>
      </c>
    </row>
    <row r="682" spans="1:6" x14ac:dyDescent="0.3">
      <c r="A682">
        <v>16</v>
      </c>
      <c r="B682" t="s">
        <v>7203</v>
      </c>
      <c r="C682" t="s">
        <v>5250</v>
      </c>
      <c r="E682">
        <v>43120653</v>
      </c>
      <c r="F682">
        <v>171384207317</v>
      </c>
    </row>
    <row r="683" spans="1:6" x14ac:dyDescent="0.3">
      <c r="A683">
        <v>16</v>
      </c>
      <c r="B683" t="s">
        <v>7203</v>
      </c>
      <c r="C683" t="s">
        <v>5250</v>
      </c>
      <c r="E683">
        <v>43120653</v>
      </c>
      <c r="F683">
        <v>171341086664</v>
      </c>
    </row>
    <row r="684" spans="1:6" x14ac:dyDescent="0.3">
      <c r="A684">
        <v>16</v>
      </c>
      <c r="B684" t="s">
        <v>7203</v>
      </c>
      <c r="C684" t="s">
        <v>5250</v>
      </c>
      <c r="E684">
        <v>43120653</v>
      </c>
      <c r="F684">
        <v>171297966011</v>
      </c>
    </row>
    <row r="685" spans="1:6" x14ac:dyDescent="0.3">
      <c r="A685">
        <v>16</v>
      </c>
      <c r="B685" t="s">
        <v>7203</v>
      </c>
      <c r="C685" t="s">
        <v>5250</v>
      </c>
      <c r="E685">
        <v>43120653</v>
      </c>
      <c r="F685">
        <v>171254845358</v>
      </c>
    </row>
    <row r="686" spans="1:6" x14ac:dyDescent="0.3">
      <c r="A686">
        <v>16</v>
      </c>
      <c r="B686" t="s">
        <v>7203</v>
      </c>
      <c r="C686" t="s">
        <v>5250</v>
      </c>
      <c r="E686">
        <v>43120653</v>
      </c>
      <c r="F686">
        <v>171211724705</v>
      </c>
    </row>
    <row r="687" spans="1:6" x14ac:dyDescent="0.3">
      <c r="A687">
        <v>16</v>
      </c>
      <c r="B687" t="s">
        <v>7203</v>
      </c>
      <c r="C687" t="s">
        <v>5250</v>
      </c>
      <c r="E687">
        <v>43120653</v>
      </c>
      <c r="F687">
        <v>171168604052</v>
      </c>
    </row>
    <row r="688" spans="1:6" x14ac:dyDescent="0.3">
      <c r="A688">
        <v>16</v>
      </c>
      <c r="B688" t="s">
        <v>7203</v>
      </c>
      <c r="C688" t="s">
        <v>5250</v>
      </c>
      <c r="E688">
        <v>43120653</v>
      </c>
      <c r="F688">
        <v>171125483399</v>
      </c>
    </row>
    <row r="689" spans="1:6" x14ac:dyDescent="0.3">
      <c r="A689">
        <v>16</v>
      </c>
      <c r="B689" t="s">
        <v>7203</v>
      </c>
      <c r="C689" t="s">
        <v>5250</v>
      </c>
      <c r="E689">
        <v>43120653</v>
      </c>
      <c r="F689">
        <v>171082362746</v>
      </c>
    </row>
    <row r="690" spans="1:6" x14ac:dyDescent="0.3">
      <c r="A690">
        <v>16</v>
      </c>
      <c r="B690" t="s">
        <v>7203</v>
      </c>
      <c r="C690" t="s">
        <v>5250</v>
      </c>
      <c r="E690">
        <v>43120653</v>
      </c>
      <c r="F690">
        <v>171039242093</v>
      </c>
    </row>
    <row r="691" spans="1:6" x14ac:dyDescent="0.3">
      <c r="A691">
        <v>16</v>
      </c>
      <c r="B691" t="s">
        <v>7203</v>
      </c>
      <c r="C691" t="s">
        <v>5250</v>
      </c>
      <c r="E691">
        <v>43120653</v>
      </c>
      <c r="F691">
        <v>170996121440</v>
      </c>
    </row>
    <row r="692" spans="1:6" x14ac:dyDescent="0.3">
      <c r="A692">
        <v>16</v>
      </c>
      <c r="B692" t="s">
        <v>7203</v>
      </c>
      <c r="C692" t="s">
        <v>5250</v>
      </c>
      <c r="E692">
        <v>43120653</v>
      </c>
      <c r="F692">
        <v>170953000787</v>
      </c>
    </row>
    <row r="693" spans="1:6" x14ac:dyDescent="0.3">
      <c r="A693">
        <v>16</v>
      </c>
      <c r="B693" t="s">
        <v>7203</v>
      </c>
      <c r="C693" t="s">
        <v>5250</v>
      </c>
      <c r="E693">
        <v>43120653</v>
      </c>
      <c r="F693">
        <v>170909880134</v>
      </c>
    </row>
    <row r="694" spans="1:6" x14ac:dyDescent="0.3">
      <c r="A694">
        <v>16</v>
      </c>
      <c r="B694" t="s">
        <v>7203</v>
      </c>
      <c r="C694" t="s">
        <v>5250</v>
      </c>
      <c r="E694">
        <v>43120653</v>
      </c>
      <c r="F694">
        <v>170866759481</v>
      </c>
    </row>
    <row r="695" spans="1:6" x14ac:dyDescent="0.3">
      <c r="A695">
        <v>16</v>
      </c>
      <c r="B695" t="s">
        <v>7203</v>
      </c>
      <c r="C695" t="s">
        <v>5250</v>
      </c>
      <c r="E695">
        <v>43120653</v>
      </c>
      <c r="F695">
        <v>170823638828</v>
      </c>
    </row>
    <row r="696" spans="1:6" x14ac:dyDescent="0.3">
      <c r="A696">
        <v>16</v>
      </c>
      <c r="B696" t="s">
        <v>7203</v>
      </c>
      <c r="C696" t="s">
        <v>5250</v>
      </c>
      <c r="E696">
        <v>43120653</v>
      </c>
      <c r="F696">
        <v>170780518175</v>
      </c>
    </row>
    <row r="697" spans="1:6" x14ac:dyDescent="0.3">
      <c r="A697">
        <v>16</v>
      </c>
      <c r="B697" t="s">
        <v>7203</v>
      </c>
      <c r="C697" t="s">
        <v>5250</v>
      </c>
      <c r="E697">
        <v>43120653</v>
      </c>
      <c r="F697">
        <v>170737397522</v>
      </c>
    </row>
    <row r="698" spans="1:6" x14ac:dyDescent="0.3">
      <c r="A698">
        <v>16</v>
      </c>
      <c r="B698" t="s">
        <v>7156</v>
      </c>
      <c r="C698" t="s">
        <v>5788</v>
      </c>
      <c r="E698">
        <v>14750000</v>
      </c>
      <c r="F698">
        <v>170694276869</v>
      </c>
    </row>
    <row r="699" spans="1:6" x14ac:dyDescent="0.3">
      <c r="A699">
        <v>16</v>
      </c>
      <c r="B699" t="s">
        <v>7261</v>
      </c>
      <c r="C699" t="s">
        <v>5787</v>
      </c>
      <c r="E699">
        <v>146363636</v>
      </c>
      <c r="F699">
        <v>170679526869</v>
      </c>
    </row>
    <row r="700" spans="1:6" x14ac:dyDescent="0.3">
      <c r="A700">
        <v>16</v>
      </c>
      <c r="B700" t="s">
        <v>7261</v>
      </c>
      <c r="C700" t="s">
        <v>5786</v>
      </c>
      <c r="E700">
        <v>146363636</v>
      </c>
      <c r="F700">
        <v>170533163233</v>
      </c>
    </row>
    <row r="701" spans="1:6" x14ac:dyDescent="0.3">
      <c r="A701">
        <v>16</v>
      </c>
      <c r="B701" t="s">
        <v>7203</v>
      </c>
      <c r="C701" t="s">
        <v>5785</v>
      </c>
      <c r="E701">
        <v>36363636</v>
      </c>
      <c r="F701">
        <v>170386799597</v>
      </c>
    </row>
    <row r="702" spans="1:6" x14ac:dyDescent="0.3">
      <c r="A702">
        <v>16</v>
      </c>
      <c r="B702" t="s">
        <v>7278</v>
      </c>
      <c r="C702" t="s">
        <v>5784</v>
      </c>
      <c r="E702">
        <v>44443637</v>
      </c>
      <c r="F702">
        <v>170350435961</v>
      </c>
    </row>
    <row r="703" spans="1:6" x14ac:dyDescent="0.3">
      <c r="A703">
        <v>16</v>
      </c>
      <c r="B703" t="s">
        <v>7251</v>
      </c>
      <c r="C703" t="s">
        <v>3438</v>
      </c>
      <c r="E703">
        <v>30465000</v>
      </c>
      <c r="F703">
        <v>170305992324</v>
      </c>
    </row>
    <row r="704" spans="1:6" x14ac:dyDescent="0.3">
      <c r="A704">
        <v>16</v>
      </c>
      <c r="B704" t="s">
        <v>7251</v>
      </c>
      <c r="C704" t="s">
        <v>3438</v>
      </c>
      <c r="E704">
        <v>30465000</v>
      </c>
      <c r="F704">
        <v>170275527324</v>
      </c>
    </row>
    <row r="705" spans="1:6" x14ac:dyDescent="0.3">
      <c r="A705">
        <v>16</v>
      </c>
      <c r="B705" t="s">
        <v>7251</v>
      </c>
      <c r="C705" t="s">
        <v>3438</v>
      </c>
      <c r="E705">
        <v>30465000</v>
      </c>
      <c r="F705">
        <v>170245062324</v>
      </c>
    </row>
    <row r="706" spans="1:6" x14ac:dyDescent="0.3">
      <c r="A706">
        <v>16</v>
      </c>
      <c r="B706" t="s">
        <v>7251</v>
      </c>
      <c r="C706" t="s">
        <v>3438</v>
      </c>
      <c r="E706">
        <v>30465000</v>
      </c>
      <c r="F706">
        <v>170214597324</v>
      </c>
    </row>
    <row r="707" spans="1:6" x14ac:dyDescent="0.3">
      <c r="A707">
        <v>16</v>
      </c>
      <c r="B707" t="s">
        <v>7251</v>
      </c>
      <c r="C707" t="s">
        <v>3438</v>
      </c>
      <c r="E707">
        <v>30465000</v>
      </c>
      <c r="F707">
        <v>170184132324</v>
      </c>
    </row>
    <row r="708" spans="1:6" x14ac:dyDescent="0.3">
      <c r="A708">
        <v>16</v>
      </c>
      <c r="B708" t="s">
        <v>7156</v>
      </c>
      <c r="C708" t="s">
        <v>3438</v>
      </c>
      <c r="E708">
        <v>45940000</v>
      </c>
      <c r="F708">
        <v>170153667324</v>
      </c>
    </row>
    <row r="709" spans="1:6" x14ac:dyDescent="0.3">
      <c r="A709">
        <v>16</v>
      </c>
      <c r="B709" t="s">
        <v>7156</v>
      </c>
      <c r="C709" t="s">
        <v>3438</v>
      </c>
      <c r="E709">
        <v>45940000</v>
      </c>
      <c r="F709">
        <v>170107727324</v>
      </c>
    </row>
    <row r="710" spans="1:6" x14ac:dyDescent="0.3">
      <c r="A710">
        <v>16</v>
      </c>
      <c r="B710" t="s">
        <v>7156</v>
      </c>
      <c r="C710" t="s">
        <v>3438</v>
      </c>
      <c r="E710">
        <v>45940000</v>
      </c>
      <c r="F710">
        <v>170061787324</v>
      </c>
    </row>
    <row r="711" spans="1:6" x14ac:dyDescent="0.3">
      <c r="A711">
        <v>16</v>
      </c>
      <c r="B711" t="s">
        <v>7156</v>
      </c>
      <c r="C711" t="s">
        <v>3438</v>
      </c>
      <c r="E711">
        <v>45940000</v>
      </c>
      <c r="F711">
        <v>170015847324</v>
      </c>
    </row>
    <row r="712" spans="1:6" x14ac:dyDescent="0.3">
      <c r="A712">
        <v>16</v>
      </c>
      <c r="B712" t="s">
        <v>7156</v>
      </c>
      <c r="C712" t="s">
        <v>3438</v>
      </c>
      <c r="E712">
        <v>45940000</v>
      </c>
      <c r="F712">
        <v>169969907324</v>
      </c>
    </row>
    <row r="713" spans="1:6" x14ac:dyDescent="0.3">
      <c r="A713">
        <v>16</v>
      </c>
      <c r="B713" t="s">
        <v>7154</v>
      </c>
      <c r="C713" t="s">
        <v>5748</v>
      </c>
      <c r="E713">
        <v>25636364</v>
      </c>
      <c r="F713">
        <v>169923967324</v>
      </c>
    </row>
    <row r="714" spans="1:6" x14ac:dyDescent="0.3">
      <c r="A714">
        <v>16</v>
      </c>
      <c r="B714" t="s">
        <v>7310</v>
      </c>
      <c r="C714" t="s">
        <v>5250</v>
      </c>
      <c r="E714">
        <v>90069820</v>
      </c>
      <c r="F714">
        <v>169898330960</v>
      </c>
    </row>
    <row r="715" spans="1:6" x14ac:dyDescent="0.3">
      <c r="A715">
        <v>16</v>
      </c>
      <c r="B715" t="s">
        <v>7310</v>
      </c>
      <c r="C715" t="s">
        <v>5250</v>
      </c>
      <c r="E715">
        <v>90069820</v>
      </c>
      <c r="F715">
        <v>169808261140</v>
      </c>
    </row>
    <row r="716" spans="1:6" x14ac:dyDescent="0.3">
      <c r="A716">
        <v>16</v>
      </c>
      <c r="B716" t="s">
        <v>7310</v>
      </c>
      <c r="C716" t="s">
        <v>5250</v>
      </c>
      <c r="E716">
        <v>90069820</v>
      </c>
      <c r="F716">
        <v>169718191320</v>
      </c>
    </row>
    <row r="717" spans="1:6" x14ac:dyDescent="0.3">
      <c r="A717">
        <v>16</v>
      </c>
      <c r="B717" t="s">
        <v>7310</v>
      </c>
      <c r="C717" t="s">
        <v>5250</v>
      </c>
      <c r="E717">
        <v>90069820</v>
      </c>
      <c r="F717">
        <v>169628121500</v>
      </c>
    </row>
    <row r="718" spans="1:6" x14ac:dyDescent="0.3">
      <c r="A718">
        <v>16</v>
      </c>
      <c r="B718" t="s">
        <v>7310</v>
      </c>
      <c r="C718" t="s">
        <v>5250</v>
      </c>
      <c r="E718">
        <v>90069820</v>
      </c>
      <c r="F718">
        <v>169538051680</v>
      </c>
    </row>
    <row r="719" spans="1:6" x14ac:dyDescent="0.3">
      <c r="A719">
        <v>16</v>
      </c>
      <c r="B719" t="s">
        <v>7310</v>
      </c>
      <c r="C719" t="s">
        <v>5250</v>
      </c>
      <c r="E719">
        <v>90069820</v>
      </c>
      <c r="F719">
        <v>169447981860</v>
      </c>
    </row>
    <row r="720" spans="1:6" x14ac:dyDescent="0.3">
      <c r="A720">
        <v>16</v>
      </c>
      <c r="B720" t="s">
        <v>7310</v>
      </c>
      <c r="C720" t="s">
        <v>5250</v>
      </c>
      <c r="E720">
        <v>90069820</v>
      </c>
      <c r="F720">
        <v>169357912040</v>
      </c>
    </row>
    <row r="721" spans="1:6" x14ac:dyDescent="0.3">
      <c r="A721">
        <v>16</v>
      </c>
      <c r="B721" t="s">
        <v>7310</v>
      </c>
      <c r="C721" t="s">
        <v>5250</v>
      </c>
      <c r="E721">
        <v>90069820</v>
      </c>
      <c r="F721">
        <v>169267842220</v>
      </c>
    </row>
    <row r="722" spans="1:6" x14ac:dyDescent="0.3">
      <c r="A722">
        <v>16</v>
      </c>
      <c r="B722" t="s">
        <v>7310</v>
      </c>
      <c r="C722" t="s">
        <v>5250</v>
      </c>
      <c r="E722">
        <v>90069820</v>
      </c>
      <c r="F722">
        <v>169177772400</v>
      </c>
    </row>
    <row r="723" spans="1:6" x14ac:dyDescent="0.3">
      <c r="A723">
        <v>16</v>
      </c>
      <c r="B723" t="s">
        <v>7310</v>
      </c>
      <c r="C723" t="s">
        <v>5250</v>
      </c>
      <c r="E723">
        <v>90069820</v>
      </c>
      <c r="F723">
        <v>169087702580</v>
      </c>
    </row>
    <row r="724" spans="1:6" x14ac:dyDescent="0.3">
      <c r="A724">
        <v>16</v>
      </c>
      <c r="B724" t="s">
        <v>7317</v>
      </c>
      <c r="C724" t="s">
        <v>4492</v>
      </c>
      <c r="E724">
        <v>3069000</v>
      </c>
      <c r="F724">
        <v>168997632760</v>
      </c>
    </row>
    <row r="725" spans="1:6" x14ac:dyDescent="0.3">
      <c r="A725">
        <v>16</v>
      </c>
      <c r="B725" t="s">
        <v>7303</v>
      </c>
      <c r="C725" t="s">
        <v>4492</v>
      </c>
      <c r="E725">
        <v>97831820</v>
      </c>
      <c r="F725">
        <v>168994563760</v>
      </c>
    </row>
    <row r="726" spans="1:6" x14ac:dyDescent="0.3">
      <c r="A726">
        <v>16</v>
      </c>
      <c r="B726" t="s">
        <v>7316</v>
      </c>
      <c r="C726" t="s">
        <v>3438</v>
      </c>
      <c r="E726">
        <v>29986000</v>
      </c>
      <c r="F726">
        <v>168896731940</v>
      </c>
    </row>
    <row r="727" spans="1:6" x14ac:dyDescent="0.3">
      <c r="A727">
        <v>16</v>
      </c>
      <c r="B727" t="s">
        <v>7316</v>
      </c>
      <c r="C727" t="s">
        <v>3438</v>
      </c>
      <c r="E727">
        <v>29986000</v>
      </c>
      <c r="F727">
        <v>168866745940</v>
      </c>
    </row>
    <row r="728" spans="1:6" x14ac:dyDescent="0.3">
      <c r="A728">
        <v>16</v>
      </c>
      <c r="B728" t="s">
        <v>7316</v>
      </c>
      <c r="C728" t="s">
        <v>3438</v>
      </c>
      <c r="E728">
        <v>29986000</v>
      </c>
      <c r="F728">
        <v>168836759940</v>
      </c>
    </row>
    <row r="729" spans="1:6" x14ac:dyDescent="0.3">
      <c r="A729">
        <v>16</v>
      </c>
      <c r="B729" t="s">
        <v>7316</v>
      </c>
      <c r="C729" t="s">
        <v>3438</v>
      </c>
      <c r="E729">
        <v>29986000</v>
      </c>
      <c r="F729">
        <v>168806773940</v>
      </c>
    </row>
    <row r="730" spans="1:6" x14ac:dyDescent="0.3">
      <c r="A730">
        <v>16</v>
      </c>
      <c r="B730" t="s">
        <v>7316</v>
      </c>
      <c r="C730" t="s">
        <v>3438</v>
      </c>
      <c r="E730">
        <v>29986000</v>
      </c>
      <c r="F730">
        <v>168776787940</v>
      </c>
    </row>
    <row r="731" spans="1:6" x14ac:dyDescent="0.3">
      <c r="A731">
        <v>16</v>
      </c>
      <c r="B731" t="s">
        <v>7316</v>
      </c>
      <c r="C731" t="s">
        <v>3438</v>
      </c>
      <c r="E731">
        <v>29986000</v>
      </c>
      <c r="F731">
        <v>168746801940</v>
      </c>
    </row>
    <row r="732" spans="1:6" x14ac:dyDescent="0.3">
      <c r="A732">
        <v>16</v>
      </c>
      <c r="B732" t="s">
        <v>7316</v>
      </c>
      <c r="C732" t="s">
        <v>3438</v>
      </c>
      <c r="E732">
        <v>29986000</v>
      </c>
      <c r="F732">
        <v>168716815940</v>
      </c>
    </row>
    <row r="733" spans="1:6" x14ac:dyDescent="0.3">
      <c r="A733">
        <v>16</v>
      </c>
      <c r="B733" t="s">
        <v>7316</v>
      </c>
      <c r="C733" t="s">
        <v>3438</v>
      </c>
      <c r="E733">
        <v>29986000</v>
      </c>
      <c r="F733">
        <v>168686829940</v>
      </c>
    </row>
    <row r="734" spans="1:6" x14ac:dyDescent="0.3">
      <c r="A734">
        <v>16</v>
      </c>
      <c r="B734" t="s">
        <v>7316</v>
      </c>
      <c r="C734" t="s">
        <v>3438</v>
      </c>
      <c r="E734">
        <v>29986000</v>
      </c>
      <c r="F734">
        <v>168656843940</v>
      </c>
    </row>
    <row r="735" spans="1:6" x14ac:dyDescent="0.3">
      <c r="A735">
        <v>16</v>
      </c>
      <c r="B735" t="s">
        <v>7316</v>
      </c>
      <c r="C735" t="s">
        <v>3438</v>
      </c>
      <c r="E735">
        <v>29986000</v>
      </c>
      <c r="F735">
        <v>168626857940</v>
      </c>
    </row>
    <row r="736" spans="1:6" x14ac:dyDescent="0.3">
      <c r="A736">
        <v>16</v>
      </c>
      <c r="B736" t="s">
        <v>7316</v>
      </c>
      <c r="C736" t="s">
        <v>3438</v>
      </c>
      <c r="E736">
        <v>29986000</v>
      </c>
      <c r="F736">
        <v>168596871940</v>
      </c>
    </row>
    <row r="737" spans="1:6" x14ac:dyDescent="0.3">
      <c r="A737">
        <v>16</v>
      </c>
      <c r="B737" t="s">
        <v>7316</v>
      </c>
      <c r="C737" t="s">
        <v>3438</v>
      </c>
      <c r="E737">
        <v>29986000</v>
      </c>
      <c r="F737">
        <v>168566885940</v>
      </c>
    </row>
    <row r="738" spans="1:6" x14ac:dyDescent="0.3">
      <c r="A738">
        <v>16</v>
      </c>
      <c r="B738" t="s">
        <v>7156</v>
      </c>
      <c r="C738" t="s">
        <v>3438</v>
      </c>
      <c r="E738">
        <v>45940000</v>
      </c>
      <c r="F738">
        <v>168536899940</v>
      </c>
    </row>
    <row r="739" spans="1:6" x14ac:dyDescent="0.3">
      <c r="A739">
        <v>16</v>
      </c>
      <c r="B739" t="s">
        <v>7311</v>
      </c>
      <c r="C739" t="s">
        <v>5783</v>
      </c>
      <c r="E739">
        <v>44000000</v>
      </c>
      <c r="F739">
        <v>168490959940</v>
      </c>
    </row>
    <row r="740" spans="1:6" x14ac:dyDescent="0.3">
      <c r="A740">
        <v>16</v>
      </c>
      <c r="B740" t="s">
        <v>7311</v>
      </c>
      <c r="C740" t="s">
        <v>5783</v>
      </c>
      <c r="E740">
        <v>44000000</v>
      </c>
      <c r="F740">
        <v>168446959940</v>
      </c>
    </row>
    <row r="741" spans="1:6" x14ac:dyDescent="0.3">
      <c r="A741">
        <v>16</v>
      </c>
      <c r="B741" t="s">
        <v>7251</v>
      </c>
      <c r="C741" t="s">
        <v>5782</v>
      </c>
      <c r="E741">
        <v>34000000</v>
      </c>
      <c r="F741">
        <v>168402959940</v>
      </c>
    </row>
    <row r="742" spans="1:6" x14ac:dyDescent="0.3">
      <c r="A742">
        <v>16</v>
      </c>
      <c r="B742" t="s">
        <v>7154</v>
      </c>
      <c r="C742" t="s">
        <v>5781</v>
      </c>
      <c r="E742">
        <v>56834547</v>
      </c>
      <c r="F742">
        <v>168368959940</v>
      </c>
    </row>
    <row r="743" spans="1:6" x14ac:dyDescent="0.3">
      <c r="A743">
        <v>16</v>
      </c>
      <c r="B743" t="s">
        <v>7156</v>
      </c>
      <c r="C743" t="s">
        <v>5780</v>
      </c>
      <c r="E743">
        <v>15013636</v>
      </c>
      <c r="F743">
        <v>168312125393</v>
      </c>
    </row>
    <row r="744" spans="1:6" x14ac:dyDescent="0.3">
      <c r="A744">
        <v>16</v>
      </c>
      <c r="B744" t="s">
        <v>7245</v>
      </c>
      <c r="C744" t="s">
        <v>5779</v>
      </c>
      <c r="E744">
        <v>40500000</v>
      </c>
      <c r="F744">
        <v>168297111757</v>
      </c>
    </row>
    <row r="745" spans="1:6" x14ac:dyDescent="0.3">
      <c r="A745">
        <v>16</v>
      </c>
      <c r="B745" t="s">
        <v>7176</v>
      </c>
      <c r="C745" t="s">
        <v>5778</v>
      </c>
      <c r="E745">
        <v>40000000</v>
      </c>
      <c r="F745">
        <v>168256611757</v>
      </c>
    </row>
    <row r="746" spans="1:6" x14ac:dyDescent="0.3">
      <c r="A746">
        <v>16</v>
      </c>
      <c r="B746" t="s">
        <v>7203</v>
      </c>
      <c r="C746" t="s">
        <v>5777</v>
      </c>
      <c r="E746">
        <v>34500000</v>
      </c>
      <c r="F746">
        <v>168216611757</v>
      </c>
    </row>
    <row r="747" spans="1:6" x14ac:dyDescent="0.3">
      <c r="A747">
        <v>16</v>
      </c>
      <c r="B747" t="s">
        <v>7278</v>
      </c>
      <c r="C747" t="s">
        <v>5776</v>
      </c>
      <c r="E747">
        <v>42254546</v>
      </c>
      <c r="F747">
        <v>168182111757</v>
      </c>
    </row>
    <row r="748" spans="1:6" x14ac:dyDescent="0.3">
      <c r="A748">
        <v>16</v>
      </c>
      <c r="B748" t="s">
        <v>7261</v>
      </c>
      <c r="C748" t="s">
        <v>3839</v>
      </c>
      <c r="E748">
        <v>137818182</v>
      </c>
      <c r="F748">
        <v>168139857211</v>
      </c>
    </row>
    <row r="749" spans="1:6" x14ac:dyDescent="0.3">
      <c r="A749">
        <v>16</v>
      </c>
      <c r="B749" t="s">
        <v>7156</v>
      </c>
      <c r="C749" t="s">
        <v>5775</v>
      </c>
      <c r="E749">
        <v>15300000</v>
      </c>
      <c r="F749">
        <v>168002039029</v>
      </c>
    </row>
    <row r="750" spans="1:6" x14ac:dyDescent="0.3">
      <c r="A750">
        <v>16</v>
      </c>
      <c r="B750" t="s">
        <v>7261</v>
      </c>
      <c r="C750" t="s">
        <v>5774</v>
      </c>
      <c r="E750">
        <v>143000000</v>
      </c>
      <c r="F750">
        <v>167986739029</v>
      </c>
    </row>
    <row r="751" spans="1:6" x14ac:dyDescent="0.3">
      <c r="A751">
        <v>16</v>
      </c>
      <c r="B751" t="s">
        <v>7154</v>
      </c>
      <c r="C751" t="s">
        <v>5773</v>
      </c>
      <c r="E751">
        <v>50909091</v>
      </c>
      <c r="F751">
        <v>167843739029</v>
      </c>
    </row>
    <row r="752" spans="1:6" x14ac:dyDescent="0.3">
      <c r="A752">
        <v>16</v>
      </c>
      <c r="B752" t="s">
        <v>7154</v>
      </c>
      <c r="C752" t="s">
        <v>5772</v>
      </c>
      <c r="E752">
        <v>50500000</v>
      </c>
      <c r="F752">
        <v>167792829938</v>
      </c>
    </row>
    <row r="753" spans="1:6" x14ac:dyDescent="0.3">
      <c r="A753">
        <v>16</v>
      </c>
      <c r="B753" t="s">
        <v>7154</v>
      </c>
      <c r="C753" t="s">
        <v>5772</v>
      </c>
      <c r="E753">
        <v>50500000</v>
      </c>
      <c r="F753">
        <v>167742329938</v>
      </c>
    </row>
    <row r="754" spans="1:6" x14ac:dyDescent="0.3">
      <c r="A754">
        <v>16</v>
      </c>
      <c r="B754" t="s">
        <v>7251</v>
      </c>
      <c r="C754" t="s">
        <v>3438</v>
      </c>
      <c r="E754">
        <v>30465000</v>
      </c>
      <c r="F754">
        <v>167691829938</v>
      </c>
    </row>
    <row r="755" spans="1:6" x14ac:dyDescent="0.3">
      <c r="A755">
        <v>16</v>
      </c>
      <c r="B755" t="s">
        <v>7251</v>
      </c>
      <c r="C755" t="s">
        <v>3438</v>
      </c>
      <c r="E755">
        <v>30465000</v>
      </c>
      <c r="F755">
        <v>167661364938</v>
      </c>
    </row>
    <row r="756" spans="1:6" x14ac:dyDescent="0.3">
      <c r="A756">
        <v>16</v>
      </c>
      <c r="B756" t="s">
        <v>7251</v>
      </c>
      <c r="C756" t="s">
        <v>3438</v>
      </c>
      <c r="E756">
        <v>30465000</v>
      </c>
      <c r="F756">
        <v>167630899938</v>
      </c>
    </row>
    <row r="757" spans="1:6" x14ac:dyDescent="0.3">
      <c r="A757">
        <v>16</v>
      </c>
      <c r="B757" t="s">
        <v>7251</v>
      </c>
      <c r="C757" t="s">
        <v>3438</v>
      </c>
      <c r="E757">
        <v>30465000</v>
      </c>
      <c r="F757">
        <v>167600434938</v>
      </c>
    </row>
    <row r="758" spans="1:6" x14ac:dyDescent="0.3">
      <c r="A758">
        <v>16</v>
      </c>
      <c r="B758" t="s">
        <v>7251</v>
      </c>
      <c r="C758" t="s">
        <v>3438</v>
      </c>
      <c r="E758">
        <v>30465000</v>
      </c>
      <c r="F758">
        <v>167569969938</v>
      </c>
    </row>
    <row r="759" spans="1:6" x14ac:dyDescent="0.3">
      <c r="A759">
        <v>16</v>
      </c>
      <c r="B759" t="s">
        <v>7213</v>
      </c>
      <c r="C759" t="s">
        <v>5336</v>
      </c>
      <c r="E759">
        <v>17250000</v>
      </c>
      <c r="F759">
        <v>167539504938</v>
      </c>
    </row>
    <row r="760" spans="1:6" x14ac:dyDescent="0.3">
      <c r="A760">
        <v>16</v>
      </c>
      <c r="B760" t="s">
        <v>7154</v>
      </c>
      <c r="C760" t="s">
        <v>5771</v>
      </c>
      <c r="E760">
        <v>53636364</v>
      </c>
      <c r="F760">
        <v>167522254938</v>
      </c>
    </row>
    <row r="761" spans="1:6" x14ac:dyDescent="0.3">
      <c r="A761">
        <v>16</v>
      </c>
      <c r="B761" t="s">
        <v>7310</v>
      </c>
      <c r="C761" t="s">
        <v>5250</v>
      </c>
      <c r="E761">
        <v>90069820</v>
      </c>
      <c r="F761">
        <v>167468618574</v>
      </c>
    </row>
    <row r="762" spans="1:6" x14ac:dyDescent="0.3">
      <c r="A762">
        <v>16</v>
      </c>
      <c r="B762" t="s">
        <v>7310</v>
      </c>
      <c r="C762" t="s">
        <v>5250</v>
      </c>
      <c r="E762">
        <v>90069820</v>
      </c>
      <c r="F762">
        <v>167378548754</v>
      </c>
    </row>
    <row r="763" spans="1:6" x14ac:dyDescent="0.3">
      <c r="A763">
        <v>16</v>
      </c>
      <c r="B763" t="s">
        <v>7310</v>
      </c>
      <c r="C763" t="s">
        <v>5250</v>
      </c>
      <c r="E763">
        <v>90069820</v>
      </c>
      <c r="F763">
        <v>167288478934</v>
      </c>
    </row>
    <row r="764" spans="1:6" x14ac:dyDescent="0.3">
      <c r="A764">
        <v>16</v>
      </c>
      <c r="B764" t="s">
        <v>7310</v>
      </c>
      <c r="C764" t="s">
        <v>5250</v>
      </c>
      <c r="E764">
        <v>90069820</v>
      </c>
      <c r="F764">
        <v>167198409114</v>
      </c>
    </row>
    <row r="765" spans="1:6" x14ac:dyDescent="0.3">
      <c r="A765">
        <v>16</v>
      </c>
      <c r="B765" t="s">
        <v>7310</v>
      </c>
      <c r="C765" t="s">
        <v>5250</v>
      </c>
      <c r="E765">
        <v>90069820</v>
      </c>
      <c r="F765">
        <v>167108339294</v>
      </c>
    </row>
    <row r="766" spans="1:6" x14ac:dyDescent="0.3">
      <c r="A766">
        <v>16</v>
      </c>
      <c r="B766" t="s">
        <v>7310</v>
      </c>
      <c r="C766" t="s">
        <v>5250</v>
      </c>
      <c r="E766">
        <v>90069820</v>
      </c>
      <c r="F766">
        <v>167018269474</v>
      </c>
    </row>
    <row r="767" spans="1:6" x14ac:dyDescent="0.3">
      <c r="A767">
        <v>16</v>
      </c>
      <c r="B767" t="s">
        <v>7310</v>
      </c>
      <c r="C767" t="s">
        <v>5250</v>
      </c>
      <c r="E767">
        <v>90069820</v>
      </c>
      <c r="F767">
        <v>166928199654</v>
      </c>
    </row>
    <row r="768" spans="1:6" x14ac:dyDescent="0.3">
      <c r="A768">
        <v>16</v>
      </c>
      <c r="B768" t="s">
        <v>7310</v>
      </c>
      <c r="C768" t="s">
        <v>5250</v>
      </c>
      <c r="E768">
        <v>90069820</v>
      </c>
      <c r="F768">
        <v>166838129834</v>
      </c>
    </row>
    <row r="769" spans="1:6" x14ac:dyDescent="0.3">
      <c r="A769">
        <v>16</v>
      </c>
      <c r="B769" t="s">
        <v>7310</v>
      </c>
      <c r="C769" t="s">
        <v>5250</v>
      </c>
      <c r="E769">
        <v>90069820</v>
      </c>
      <c r="F769">
        <v>166748060014</v>
      </c>
    </row>
    <row r="770" spans="1:6" x14ac:dyDescent="0.3">
      <c r="A770">
        <v>16</v>
      </c>
      <c r="B770" t="s">
        <v>7310</v>
      </c>
      <c r="C770" t="s">
        <v>5250</v>
      </c>
      <c r="E770">
        <v>90069820</v>
      </c>
      <c r="F770">
        <v>166657990194</v>
      </c>
    </row>
    <row r="771" spans="1:6" x14ac:dyDescent="0.3">
      <c r="A771">
        <v>16</v>
      </c>
      <c r="B771" t="s">
        <v>7154</v>
      </c>
      <c r="C771" t="s">
        <v>3928</v>
      </c>
      <c r="E771">
        <v>53516364</v>
      </c>
      <c r="F771">
        <v>166567920374</v>
      </c>
    </row>
    <row r="772" spans="1:6" x14ac:dyDescent="0.3">
      <c r="A772">
        <v>16</v>
      </c>
      <c r="B772" t="s">
        <v>7156</v>
      </c>
      <c r="C772" t="s">
        <v>5770</v>
      </c>
      <c r="E772">
        <v>14300000</v>
      </c>
      <c r="F772">
        <v>166514404010</v>
      </c>
    </row>
    <row r="773" spans="1:6" x14ac:dyDescent="0.3">
      <c r="A773">
        <v>16</v>
      </c>
      <c r="B773" t="s">
        <v>7282</v>
      </c>
      <c r="C773" t="s">
        <v>5769</v>
      </c>
      <c r="E773">
        <v>157500000</v>
      </c>
      <c r="F773">
        <v>166500104010</v>
      </c>
    </row>
    <row r="774" spans="1:6" x14ac:dyDescent="0.3">
      <c r="A774">
        <v>16</v>
      </c>
      <c r="B774" t="s">
        <v>7203</v>
      </c>
      <c r="C774" t="s">
        <v>5768</v>
      </c>
      <c r="E774">
        <v>35909090</v>
      </c>
      <c r="F774">
        <v>166342604010</v>
      </c>
    </row>
    <row r="775" spans="1:6" x14ac:dyDescent="0.3">
      <c r="A775">
        <v>16</v>
      </c>
      <c r="B775" t="s">
        <v>7247</v>
      </c>
      <c r="C775" t="s">
        <v>4245</v>
      </c>
      <c r="E775">
        <v>43000000</v>
      </c>
      <c r="F775">
        <v>166306694920</v>
      </c>
    </row>
    <row r="776" spans="1:6" x14ac:dyDescent="0.3">
      <c r="A776">
        <v>16</v>
      </c>
      <c r="B776" t="s">
        <v>7251</v>
      </c>
      <c r="C776" t="s">
        <v>5767</v>
      </c>
      <c r="E776">
        <v>37700000</v>
      </c>
      <c r="F776">
        <v>166263694920</v>
      </c>
    </row>
    <row r="777" spans="1:6" x14ac:dyDescent="0.3">
      <c r="A777">
        <v>16</v>
      </c>
      <c r="B777" t="s">
        <v>7203</v>
      </c>
      <c r="C777" t="s">
        <v>5766</v>
      </c>
      <c r="E777">
        <v>35909090</v>
      </c>
      <c r="F777">
        <v>166225994920</v>
      </c>
    </row>
    <row r="778" spans="1:6" x14ac:dyDescent="0.3">
      <c r="A778">
        <v>16</v>
      </c>
      <c r="B778" t="s">
        <v>7245</v>
      </c>
      <c r="C778" t="s">
        <v>5765</v>
      </c>
      <c r="E778">
        <v>41000000</v>
      </c>
      <c r="F778">
        <v>166190085830</v>
      </c>
    </row>
    <row r="779" spans="1:6" x14ac:dyDescent="0.3">
      <c r="A779">
        <v>16</v>
      </c>
      <c r="B779" t="s">
        <v>7203</v>
      </c>
      <c r="C779" t="s">
        <v>5272</v>
      </c>
      <c r="E779">
        <v>33400000</v>
      </c>
      <c r="F779">
        <v>166149085830</v>
      </c>
    </row>
    <row r="780" spans="1:6" x14ac:dyDescent="0.3">
      <c r="A780">
        <v>16</v>
      </c>
      <c r="B780" t="s">
        <v>7203</v>
      </c>
      <c r="C780" t="s">
        <v>5764</v>
      </c>
      <c r="E780">
        <v>36000000</v>
      </c>
      <c r="F780">
        <v>166115685830</v>
      </c>
    </row>
    <row r="781" spans="1:6" x14ac:dyDescent="0.3">
      <c r="A781">
        <v>16</v>
      </c>
      <c r="B781" t="s">
        <v>7251</v>
      </c>
      <c r="C781" t="s">
        <v>5764</v>
      </c>
      <c r="E781">
        <v>-36000000</v>
      </c>
      <c r="F781">
        <v>166079685830</v>
      </c>
    </row>
    <row r="782" spans="1:6" x14ac:dyDescent="0.3">
      <c r="A782">
        <v>16</v>
      </c>
      <c r="B782" t="s">
        <v>7251</v>
      </c>
      <c r="C782" t="s">
        <v>5764</v>
      </c>
      <c r="E782">
        <v>36000000</v>
      </c>
      <c r="F782">
        <v>166115685830</v>
      </c>
    </row>
    <row r="783" spans="1:6" x14ac:dyDescent="0.3">
      <c r="A783">
        <v>16</v>
      </c>
      <c r="B783" t="s">
        <v>7203</v>
      </c>
      <c r="C783" t="s">
        <v>5763</v>
      </c>
      <c r="E783">
        <v>36181818</v>
      </c>
      <c r="F783">
        <v>166079685830</v>
      </c>
    </row>
    <row r="784" spans="1:6" x14ac:dyDescent="0.3">
      <c r="A784">
        <v>16</v>
      </c>
      <c r="B784" t="s">
        <v>7203</v>
      </c>
      <c r="C784" t="s">
        <v>5762</v>
      </c>
      <c r="E784">
        <v>34500000</v>
      </c>
      <c r="F784">
        <v>166043504012</v>
      </c>
    </row>
    <row r="785" spans="1:6" x14ac:dyDescent="0.3">
      <c r="A785">
        <v>16</v>
      </c>
      <c r="B785" t="s">
        <v>7310</v>
      </c>
      <c r="C785" t="s">
        <v>5250</v>
      </c>
      <c r="E785">
        <v>90069820</v>
      </c>
      <c r="F785">
        <v>166009004012</v>
      </c>
    </row>
    <row r="786" spans="1:6" x14ac:dyDescent="0.3">
      <c r="A786">
        <v>16</v>
      </c>
      <c r="B786" t="s">
        <v>7310</v>
      </c>
      <c r="C786" t="s">
        <v>5250</v>
      </c>
      <c r="E786">
        <v>90069820</v>
      </c>
      <c r="F786">
        <v>165918934192</v>
      </c>
    </row>
    <row r="787" spans="1:6" x14ac:dyDescent="0.3">
      <c r="A787">
        <v>16</v>
      </c>
      <c r="B787" t="s">
        <v>7310</v>
      </c>
      <c r="C787" t="s">
        <v>5250</v>
      </c>
      <c r="E787">
        <v>90069820</v>
      </c>
      <c r="F787">
        <v>165828864372</v>
      </c>
    </row>
    <row r="788" spans="1:6" x14ac:dyDescent="0.3">
      <c r="A788">
        <v>16</v>
      </c>
      <c r="B788" t="s">
        <v>7310</v>
      </c>
      <c r="C788" t="s">
        <v>5250</v>
      </c>
      <c r="E788">
        <v>90069820</v>
      </c>
      <c r="F788">
        <v>165738794552</v>
      </c>
    </row>
    <row r="789" spans="1:6" x14ac:dyDescent="0.3">
      <c r="A789">
        <v>16</v>
      </c>
      <c r="B789" t="s">
        <v>7310</v>
      </c>
      <c r="C789" t="s">
        <v>5250</v>
      </c>
      <c r="E789">
        <v>90069820</v>
      </c>
      <c r="F789">
        <v>165648724732</v>
      </c>
    </row>
    <row r="790" spans="1:6" x14ac:dyDescent="0.3">
      <c r="A790">
        <v>16</v>
      </c>
      <c r="B790" t="s">
        <v>7310</v>
      </c>
      <c r="C790" t="s">
        <v>5250</v>
      </c>
      <c r="E790">
        <v>90069820</v>
      </c>
      <c r="F790">
        <v>165558654912</v>
      </c>
    </row>
    <row r="791" spans="1:6" x14ac:dyDescent="0.3">
      <c r="A791">
        <v>16</v>
      </c>
      <c r="B791" t="s">
        <v>7310</v>
      </c>
      <c r="C791" t="s">
        <v>5250</v>
      </c>
      <c r="E791">
        <v>90069820</v>
      </c>
      <c r="F791">
        <v>165468585092</v>
      </c>
    </row>
    <row r="792" spans="1:6" x14ac:dyDescent="0.3">
      <c r="A792">
        <v>16</v>
      </c>
      <c r="B792" t="s">
        <v>7310</v>
      </c>
      <c r="C792" t="s">
        <v>5250</v>
      </c>
      <c r="E792">
        <v>90069820</v>
      </c>
      <c r="F792">
        <v>165378515272</v>
      </c>
    </row>
    <row r="793" spans="1:6" x14ac:dyDescent="0.3">
      <c r="A793">
        <v>16</v>
      </c>
      <c r="B793" t="s">
        <v>7310</v>
      </c>
      <c r="C793" t="s">
        <v>5250</v>
      </c>
      <c r="E793">
        <v>90069820</v>
      </c>
      <c r="F793">
        <v>165288445452</v>
      </c>
    </row>
    <row r="794" spans="1:6" x14ac:dyDescent="0.3">
      <c r="A794">
        <v>16</v>
      </c>
      <c r="B794" t="s">
        <v>7310</v>
      </c>
      <c r="C794" t="s">
        <v>5250</v>
      </c>
      <c r="E794">
        <v>90069820</v>
      </c>
      <c r="F794">
        <v>165198375632</v>
      </c>
    </row>
    <row r="795" spans="1:6" x14ac:dyDescent="0.3">
      <c r="A795">
        <v>16</v>
      </c>
      <c r="B795" t="s">
        <v>7251</v>
      </c>
      <c r="C795" t="s">
        <v>3438</v>
      </c>
      <c r="E795">
        <v>30465000</v>
      </c>
      <c r="F795">
        <v>165108305812</v>
      </c>
    </row>
    <row r="796" spans="1:6" x14ac:dyDescent="0.3">
      <c r="A796">
        <v>16</v>
      </c>
      <c r="B796" t="s">
        <v>7251</v>
      </c>
      <c r="C796" t="s">
        <v>3438</v>
      </c>
      <c r="E796">
        <v>30465000</v>
      </c>
      <c r="F796">
        <v>165077840812</v>
      </c>
    </row>
    <row r="797" spans="1:6" x14ac:dyDescent="0.3">
      <c r="A797">
        <v>16</v>
      </c>
      <c r="B797" t="s">
        <v>7251</v>
      </c>
      <c r="C797" t="s">
        <v>3438</v>
      </c>
      <c r="E797">
        <v>30465000</v>
      </c>
      <c r="F797">
        <v>165047375812</v>
      </c>
    </row>
    <row r="798" spans="1:6" x14ac:dyDescent="0.3">
      <c r="A798">
        <v>16</v>
      </c>
      <c r="B798" t="s">
        <v>7251</v>
      </c>
      <c r="C798" t="s">
        <v>3438</v>
      </c>
      <c r="E798">
        <v>30465000</v>
      </c>
      <c r="F798">
        <v>165016910812</v>
      </c>
    </row>
    <row r="799" spans="1:6" x14ac:dyDescent="0.3">
      <c r="A799">
        <v>16</v>
      </c>
      <c r="B799" t="s">
        <v>7251</v>
      </c>
      <c r="C799" t="s">
        <v>3438</v>
      </c>
      <c r="E799">
        <v>30465000</v>
      </c>
      <c r="F799">
        <v>164986445812</v>
      </c>
    </row>
    <row r="800" spans="1:6" x14ac:dyDescent="0.3">
      <c r="A800">
        <v>16</v>
      </c>
      <c r="B800" t="s">
        <v>7251</v>
      </c>
      <c r="C800" t="s">
        <v>3438</v>
      </c>
      <c r="E800">
        <v>30465000</v>
      </c>
      <c r="F800">
        <v>164955980812</v>
      </c>
    </row>
    <row r="801" spans="1:6" x14ac:dyDescent="0.3">
      <c r="A801">
        <v>16</v>
      </c>
      <c r="B801" t="s">
        <v>7251</v>
      </c>
      <c r="C801" t="s">
        <v>3438</v>
      </c>
      <c r="E801">
        <v>30465000</v>
      </c>
      <c r="F801">
        <v>164925515812</v>
      </c>
    </row>
    <row r="802" spans="1:6" x14ac:dyDescent="0.3">
      <c r="A802">
        <v>16</v>
      </c>
      <c r="B802" t="s">
        <v>7251</v>
      </c>
      <c r="C802" t="s">
        <v>3438</v>
      </c>
      <c r="E802">
        <v>30465000</v>
      </c>
      <c r="F802">
        <v>164895050812</v>
      </c>
    </row>
    <row r="803" spans="1:6" x14ac:dyDescent="0.3">
      <c r="A803">
        <v>16</v>
      </c>
      <c r="B803" t="s">
        <v>7251</v>
      </c>
      <c r="C803" t="s">
        <v>3438</v>
      </c>
      <c r="E803">
        <v>30465000</v>
      </c>
      <c r="F803">
        <v>164864585812</v>
      </c>
    </row>
    <row r="804" spans="1:6" x14ac:dyDescent="0.3">
      <c r="A804">
        <v>16</v>
      </c>
      <c r="B804" t="s">
        <v>7251</v>
      </c>
      <c r="C804" t="s">
        <v>3438</v>
      </c>
      <c r="E804">
        <v>30465000</v>
      </c>
      <c r="F804">
        <v>164834120812</v>
      </c>
    </row>
    <row r="805" spans="1:6" x14ac:dyDescent="0.3">
      <c r="A805">
        <v>16</v>
      </c>
      <c r="B805" t="s">
        <v>7251</v>
      </c>
      <c r="C805" t="s">
        <v>3438</v>
      </c>
      <c r="E805">
        <v>30465000</v>
      </c>
      <c r="F805">
        <v>164803655812</v>
      </c>
    </row>
    <row r="806" spans="1:6" x14ac:dyDescent="0.3">
      <c r="A806">
        <v>16</v>
      </c>
      <c r="B806" t="s">
        <v>7251</v>
      </c>
      <c r="C806" t="s">
        <v>3438</v>
      </c>
      <c r="E806">
        <v>30465000</v>
      </c>
      <c r="F806">
        <v>164773190812</v>
      </c>
    </row>
    <row r="807" spans="1:6" x14ac:dyDescent="0.3">
      <c r="A807">
        <v>16</v>
      </c>
      <c r="B807" t="s">
        <v>7176</v>
      </c>
      <c r="C807" t="s">
        <v>5761</v>
      </c>
      <c r="E807">
        <v>38000000</v>
      </c>
      <c r="F807">
        <v>164742725812</v>
      </c>
    </row>
    <row r="808" spans="1:6" x14ac:dyDescent="0.3">
      <c r="A808">
        <v>16</v>
      </c>
      <c r="B808" t="s">
        <v>7176</v>
      </c>
      <c r="C808" t="s">
        <v>5760</v>
      </c>
      <c r="E808">
        <v>33900000</v>
      </c>
      <c r="F808">
        <v>164704725812</v>
      </c>
    </row>
    <row r="809" spans="1:6" x14ac:dyDescent="0.3">
      <c r="A809">
        <v>16</v>
      </c>
      <c r="B809" t="s">
        <v>7176</v>
      </c>
      <c r="C809" t="s">
        <v>5260</v>
      </c>
      <c r="E809">
        <v>39818182</v>
      </c>
      <c r="F809">
        <v>164670825812</v>
      </c>
    </row>
    <row r="810" spans="1:6" x14ac:dyDescent="0.3">
      <c r="A810">
        <v>16</v>
      </c>
      <c r="B810" t="s">
        <v>7251</v>
      </c>
      <c r="C810" t="s">
        <v>3438</v>
      </c>
      <c r="E810">
        <v>30465000</v>
      </c>
      <c r="F810">
        <v>164631007630</v>
      </c>
    </row>
    <row r="811" spans="1:6" x14ac:dyDescent="0.3">
      <c r="A811">
        <v>16</v>
      </c>
      <c r="B811" t="s">
        <v>7251</v>
      </c>
      <c r="C811" t="s">
        <v>3438</v>
      </c>
      <c r="E811">
        <v>30465000</v>
      </c>
      <c r="F811">
        <v>164600542630</v>
      </c>
    </row>
    <row r="812" spans="1:6" x14ac:dyDescent="0.3">
      <c r="A812">
        <v>16</v>
      </c>
      <c r="B812" t="s">
        <v>7251</v>
      </c>
      <c r="C812" t="s">
        <v>3438</v>
      </c>
      <c r="E812">
        <v>30465000</v>
      </c>
      <c r="F812">
        <v>164570077630</v>
      </c>
    </row>
    <row r="813" spans="1:6" x14ac:dyDescent="0.3">
      <c r="A813">
        <v>16</v>
      </c>
      <c r="B813" t="s">
        <v>7251</v>
      </c>
      <c r="C813" t="s">
        <v>3438</v>
      </c>
      <c r="E813">
        <v>30465000</v>
      </c>
      <c r="F813">
        <v>164539612630</v>
      </c>
    </row>
    <row r="814" spans="1:6" x14ac:dyDescent="0.3">
      <c r="A814">
        <v>16</v>
      </c>
      <c r="B814" t="s">
        <v>7251</v>
      </c>
      <c r="C814" t="s">
        <v>3438</v>
      </c>
      <c r="E814">
        <v>30465000</v>
      </c>
      <c r="F814">
        <v>164509147630</v>
      </c>
    </row>
    <row r="815" spans="1:6" x14ac:dyDescent="0.3">
      <c r="A815">
        <v>16</v>
      </c>
      <c r="B815" t="s">
        <v>7251</v>
      </c>
      <c r="C815" t="s">
        <v>3438</v>
      </c>
      <c r="E815">
        <v>30465000</v>
      </c>
      <c r="F815">
        <v>164478682630</v>
      </c>
    </row>
    <row r="816" spans="1:6" x14ac:dyDescent="0.3">
      <c r="A816">
        <v>16</v>
      </c>
      <c r="B816" t="s">
        <v>7251</v>
      </c>
      <c r="C816" t="s">
        <v>3438</v>
      </c>
      <c r="E816">
        <v>30465000</v>
      </c>
      <c r="F816">
        <v>164448217630</v>
      </c>
    </row>
    <row r="817" spans="1:6" x14ac:dyDescent="0.3">
      <c r="A817">
        <v>16</v>
      </c>
      <c r="B817" t="s">
        <v>7251</v>
      </c>
      <c r="C817" t="s">
        <v>3438</v>
      </c>
      <c r="E817">
        <v>30465000</v>
      </c>
      <c r="F817">
        <v>164417752630</v>
      </c>
    </row>
    <row r="818" spans="1:6" x14ac:dyDescent="0.3">
      <c r="A818">
        <v>16</v>
      </c>
      <c r="B818" t="s">
        <v>7251</v>
      </c>
      <c r="C818" t="s">
        <v>3438</v>
      </c>
      <c r="E818">
        <v>30465000</v>
      </c>
      <c r="F818">
        <v>164387287630</v>
      </c>
    </row>
    <row r="819" spans="1:6" x14ac:dyDescent="0.3">
      <c r="A819">
        <v>16</v>
      </c>
      <c r="B819" t="s">
        <v>7251</v>
      </c>
      <c r="C819" t="s">
        <v>3438</v>
      </c>
      <c r="E819">
        <v>30465000</v>
      </c>
      <c r="F819">
        <v>164356822630</v>
      </c>
    </row>
    <row r="820" spans="1:6" x14ac:dyDescent="0.3">
      <c r="A820">
        <v>16</v>
      </c>
      <c r="B820" t="s">
        <v>7251</v>
      </c>
      <c r="C820" t="s">
        <v>3438</v>
      </c>
      <c r="E820">
        <v>30465000</v>
      </c>
      <c r="F820">
        <v>164326357630</v>
      </c>
    </row>
    <row r="821" spans="1:6" x14ac:dyDescent="0.3">
      <c r="A821">
        <v>16</v>
      </c>
      <c r="B821" t="s">
        <v>7251</v>
      </c>
      <c r="C821" t="s">
        <v>3438</v>
      </c>
      <c r="E821">
        <v>30465000</v>
      </c>
      <c r="F821">
        <v>164295892630</v>
      </c>
    </row>
    <row r="822" spans="1:6" x14ac:dyDescent="0.3">
      <c r="A822">
        <v>16</v>
      </c>
      <c r="B822" t="s">
        <v>7251</v>
      </c>
      <c r="C822" t="s">
        <v>3438</v>
      </c>
      <c r="E822">
        <v>30465000</v>
      </c>
      <c r="F822">
        <v>164265427630</v>
      </c>
    </row>
    <row r="823" spans="1:6" x14ac:dyDescent="0.3">
      <c r="A823">
        <v>16</v>
      </c>
      <c r="B823" t="s">
        <v>7251</v>
      </c>
      <c r="C823" t="s">
        <v>3438</v>
      </c>
      <c r="E823">
        <v>30465000</v>
      </c>
      <c r="F823">
        <v>164234962630</v>
      </c>
    </row>
    <row r="824" spans="1:6" x14ac:dyDescent="0.3">
      <c r="A824">
        <v>16</v>
      </c>
      <c r="B824" t="s">
        <v>7251</v>
      </c>
      <c r="C824" t="s">
        <v>3438</v>
      </c>
      <c r="E824">
        <v>30465000</v>
      </c>
      <c r="F824">
        <v>164204497630</v>
      </c>
    </row>
    <row r="825" spans="1:6" x14ac:dyDescent="0.3">
      <c r="A825">
        <v>16</v>
      </c>
      <c r="B825" t="s">
        <v>7251</v>
      </c>
      <c r="C825" t="s">
        <v>3438</v>
      </c>
      <c r="E825">
        <v>30465000</v>
      </c>
      <c r="F825">
        <v>164174032630</v>
      </c>
    </row>
    <row r="826" spans="1:6" x14ac:dyDescent="0.3">
      <c r="A826">
        <v>16</v>
      </c>
      <c r="B826" t="s">
        <v>7251</v>
      </c>
      <c r="C826" t="s">
        <v>3438</v>
      </c>
      <c r="E826">
        <v>30465000</v>
      </c>
      <c r="F826">
        <v>164143567630</v>
      </c>
    </row>
    <row r="827" spans="1:6" x14ac:dyDescent="0.3">
      <c r="A827">
        <v>16</v>
      </c>
      <c r="B827" t="s">
        <v>7154</v>
      </c>
      <c r="C827" t="s">
        <v>4577</v>
      </c>
      <c r="E827">
        <v>50909091</v>
      </c>
      <c r="F827">
        <v>164113102630</v>
      </c>
    </row>
    <row r="828" spans="1:6" x14ac:dyDescent="0.3">
      <c r="A828">
        <v>16</v>
      </c>
      <c r="B828" t="s">
        <v>7203</v>
      </c>
      <c r="C828" t="s">
        <v>5088</v>
      </c>
      <c r="E828">
        <v>34500000</v>
      </c>
      <c r="F828">
        <v>164062193539</v>
      </c>
    </row>
    <row r="829" spans="1:6" x14ac:dyDescent="0.3">
      <c r="A829">
        <v>16</v>
      </c>
      <c r="B829" t="s">
        <v>7203</v>
      </c>
      <c r="C829" t="s">
        <v>5759</v>
      </c>
      <c r="E829">
        <v>35909091</v>
      </c>
      <c r="F829">
        <v>164027693539</v>
      </c>
    </row>
    <row r="830" spans="1:6" x14ac:dyDescent="0.3">
      <c r="A830">
        <v>16</v>
      </c>
      <c r="B830" t="s">
        <v>7203</v>
      </c>
      <c r="C830" t="s">
        <v>4566</v>
      </c>
      <c r="E830">
        <v>32000000</v>
      </c>
      <c r="F830">
        <v>163991784448</v>
      </c>
    </row>
    <row r="831" spans="1:6" x14ac:dyDescent="0.3">
      <c r="A831">
        <v>16</v>
      </c>
      <c r="B831" t="s">
        <v>7308</v>
      </c>
      <c r="C831" t="s">
        <v>4305</v>
      </c>
      <c r="E831">
        <v>1847214</v>
      </c>
      <c r="F831">
        <v>163959784448</v>
      </c>
    </row>
    <row r="832" spans="1:6" x14ac:dyDescent="0.3">
      <c r="A832">
        <v>16</v>
      </c>
      <c r="B832" t="s">
        <v>7313</v>
      </c>
      <c r="C832" t="s">
        <v>5748</v>
      </c>
      <c r="E832">
        <v>59818182</v>
      </c>
      <c r="F832">
        <v>163957937234</v>
      </c>
    </row>
    <row r="833" spans="1:6" x14ac:dyDescent="0.3">
      <c r="A833">
        <v>16</v>
      </c>
      <c r="B833" t="s">
        <v>7251</v>
      </c>
      <c r="C833" t="s">
        <v>4058</v>
      </c>
      <c r="E833">
        <v>35600000</v>
      </c>
      <c r="F833">
        <v>163898119052</v>
      </c>
    </row>
    <row r="834" spans="1:6" x14ac:dyDescent="0.3">
      <c r="A834">
        <v>16</v>
      </c>
      <c r="B834" t="s">
        <v>7203</v>
      </c>
      <c r="C834" t="s">
        <v>5758</v>
      </c>
      <c r="E834">
        <v>35000000</v>
      </c>
      <c r="F834">
        <v>163862519052</v>
      </c>
    </row>
    <row r="835" spans="1:6" x14ac:dyDescent="0.3">
      <c r="A835">
        <v>16</v>
      </c>
      <c r="B835" t="s">
        <v>7273</v>
      </c>
      <c r="C835" t="s">
        <v>5757</v>
      </c>
      <c r="E835">
        <v>163000000</v>
      </c>
      <c r="F835">
        <v>163827519052</v>
      </c>
    </row>
    <row r="836" spans="1:6" x14ac:dyDescent="0.3">
      <c r="A836">
        <v>16</v>
      </c>
      <c r="B836" t="s">
        <v>7153</v>
      </c>
      <c r="C836" t="s">
        <v>5756</v>
      </c>
      <c r="E836">
        <v>11763636</v>
      </c>
      <c r="F836">
        <v>163664519052</v>
      </c>
    </row>
    <row r="837" spans="1:6" x14ac:dyDescent="0.3">
      <c r="A837">
        <v>16</v>
      </c>
      <c r="B837" t="s">
        <v>7310</v>
      </c>
      <c r="C837" t="s">
        <v>5250</v>
      </c>
      <c r="E837">
        <v>90069820</v>
      </c>
      <c r="F837">
        <v>163652755416</v>
      </c>
    </row>
    <row r="838" spans="1:6" x14ac:dyDescent="0.3">
      <c r="A838">
        <v>16</v>
      </c>
      <c r="B838" t="s">
        <v>7310</v>
      </c>
      <c r="C838" t="s">
        <v>5250</v>
      </c>
      <c r="E838">
        <v>90069820</v>
      </c>
      <c r="F838">
        <v>163562685596</v>
      </c>
    </row>
    <row r="839" spans="1:6" x14ac:dyDescent="0.3">
      <c r="A839">
        <v>16</v>
      </c>
      <c r="B839" t="s">
        <v>7310</v>
      </c>
      <c r="C839" t="s">
        <v>5250</v>
      </c>
      <c r="E839">
        <v>90069820</v>
      </c>
      <c r="F839">
        <v>163472615776</v>
      </c>
    </row>
    <row r="840" spans="1:6" x14ac:dyDescent="0.3">
      <c r="A840">
        <v>16</v>
      </c>
      <c r="B840" t="s">
        <v>7310</v>
      </c>
      <c r="C840" t="s">
        <v>5250</v>
      </c>
      <c r="E840">
        <v>90069820</v>
      </c>
      <c r="F840">
        <v>163382545956</v>
      </c>
    </row>
    <row r="841" spans="1:6" x14ac:dyDescent="0.3">
      <c r="A841">
        <v>16</v>
      </c>
      <c r="B841" t="s">
        <v>7310</v>
      </c>
      <c r="C841" t="s">
        <v>5250</v>
      </c>
      <c r="E841">
        <v>90069820</v>
      </c>
      <c r="F841">
        <v>163292476136</v>
      </c>
    </row>
    <row r="842" spans="1:6" x14ac:dyDescent="0.3">
      <c r="A842">
        <v>16</v>
      </c>
      <c r="B842" t="s">
        <v>7310</v>
      </c>
      <c r="C842" t="s">
        <v>5250</v>
      </c>
      <c r="E842">
        <v>90069820</v>
      </c>
      <c r="F842">
        <v>163202406316</v>
      </c>
    </row>
    <row r="843" spans="1:6" x14ac:dyDescent="0.3">
      <c r="A843">
        <v>16</v>
      </c>
      <c r="B843" t="s">
        <v>7310</v>
      </c>
      <c r="C843" t="s">
        <v>5250</v>
      </c>
      <c r="E843">
        <v>90069820</v>
      </c>
      <c r="F843">
        <v>163112336496</v>
      </c>
    </row>
    <row r="844" spans="1:6" x14ac:dyDescent="0.3">
      <c r="A844">
        <v>16</v>
      </c>
      <c r="B844" t="s">
        <v>7310</v>
      </c>
      <c r="C844" t="s">
        <v>5250</v>
      </c>
      <c r="E844">
        <v>90069820</v>
      </c>
      <c r="F844">
        <v>163022266676</v>
      </c>
    </row>
    <row r="845" spans="1:6" x14ac:dyDescent="0.3">
      <c r="A845">
        <v>16</v>
      </c>
      <c r="B845" t="s">
        <v>7310</v>
      </c>
      <c r="C845" t="s">
        <v>5250</v>
      </c>
      <c r="E845">
        <v>90069820</v>
      </c>
      <c r="F845">
        <v>162932196856</v>
      </c>
    </row>
    <row r="846" spans="1:6" x14ac:dyDescent="0.3">
      <c r="A846">
        <v>16</v>
      </c>
      <c r="B846" t="s">
        <v>7310</v>
      </c>
      <c r="C846" t="s">
        <v>5250</v>
      </c>
      <c r="E846">
        <v>90069820</v>
      </c>
      <c r="F846">
        <v>162842127036</v>
      </c>
    </row>
    <row r="847" spans="1:6" x14ac:dyDescent="0.3">
      <c r="A847">
        <v>16</v>
      </c>
      <c r="B847" t="s">
        <v>7186</v>
      </c>
      <c r="C847" t="s">
        <v>5755</v>
      </c>
      <c r="E847">
        <v>54800000</v>
      </c>
      <c r="F847">
        <v>162752057216</v>
      </c>
    </row>
    <row r="848" spans="1:6" x14ac:dyDescent="0.3">
      <c r="A848">
        <v>16</v>
      </c>
      <c r="B848" t="s">
        <v>7186</v>
      </c>
      <c r="C848" t="s">
        <v>5754</v>
      </c>
      <c r="E848">
        <v>54272727</v>
      </c>
      <c r="F848">
        <v>162697257216</v>
      </c>
    </row>
    <row r="849" spans="1:6" x14ac:dyDescent="0.3">
      <c r="A849">
        <v>16</v>
      </c>
      <c r="B849" t="s">
        <v>7315</v>
      </c>
      <c r="C849" t="s">
        <v>4305</v>
      </c>
      <c r="E849">
        <v>287117750</v>
      </c>
      <c r="F849">
        <v>162642984489</v>
      </c>
    </row>
    <row r="850" spans="1:6" x14ac:dyDescent="0.3">
      <c r="A850">
        <v>16</v>
      </c>
      <c r="B850" t="s">
        <v>7282</v>
      </c>
      <c r="C850" t="s">
        <v>5753</v>
      </c>
      <c r="E850">
        <v>149000000</v>
      </c>
      <c r="F850">
        <v>162355866739</v>
      </c>
    </row>
    <row r="851" spans="1:6" x14ac:dyDescent="0.3">
      <c r="A851">
        <v>16</v>
      </c>
      <c r="B851" t="s">
        <v>7154</v>
      </c>
      <c r="C851" t="s">
        <v>5752</v>
      </c>
      <c r="E851">
        <v>51000000</v>
      </c>
      <c r="F851">
        <v>162206866739</v>
      </c>
    </row>
    <row r="852" spans="1:6" x14ac:dyDescent="0.3">
      <c r="A852">
        <v>16</v>
      </c>
      <c r="B852" t="s">
        <v>7176</v>
      </c>
      <c r="C852" t="s">
        <v>3874</v>
      </c>
      <c r="E852">
        <v>43181818</v>
      </c>
      <c r="F852">
        <v>162155866739</v>
      </c>
    </row>
    <row r="853" spans="1:6" x14ac:dyDescent="0.3">
      <c r="A853">
        <v>16</v>
      </c>
      <c r="B853" t="s">
        <v>7176</v>
      </c>
      <c r="C853" t="s">
        <v>3874</v>
      </c>
      <c r="E853">
        <v>43181818</v>
      </c>
      <c r="F853">
        <v>162112684921</v>
      </c>
    </row>
    <row r="854" spans="1:6" x14ac:dyDescent="0.3">
      <c r="A854">
        <v>16</v>
      </c>
      <c r="B854" t="s">
        <v>7176</v>
      </c>
      <c r="C854" t="s">
        <v>5751</v>
      </c>
      <c r="E854">
        <v>39000000</v>
      </c>
      <c r="F854">
        <v>162069503103</v>
      </c>
    </row>
    <row r="855" spans="1:6" x14ac:dyDescent="0.3">
      <c r="A855">
        <v>16</v>
      </c>
      <c r="B855" t="s">
        <v>7203</v>
      </c>
      <c r="C855" t="s">
        <v>4873</v>
      </c>
      <c r="E855">
        <v>33000000</v>
      </c>
      <c r="F855">
        <v>162030503103</v>
      </c>
    </row>
    <row r="856" spans="1:6" x14ac:dyDescent="0.3">
      <c r="A856">
        <v>16</v>
      </c>
      <c r="B856" t="s">
        <v>7203</v>
      </c>
      <c r="C856" t="s">
        <v>5750</v>
      </c>
      <c r="E856">
        <v>36090909</v>
      </c>
      <c r="F856">
        <v>161997503103</v>
      </c>
    </row>
    <row r="857" spans="1:6" x14ac:dyDescent="0.3">
      <c r="A857">
        <v>16</v>
      </c>
      <c r="B857" t="s">
        <v>7314</v>
      </c>
      <c r="C857" t="s">
        <v>5749</v>
      </c>
      <c r="E857">
        <v>167000000</v>
      </c>
      <c r="F857">
        <v>161961412194</v>
      </c>
    </row>
    <row r="858" spans="1:6" x14ac:dyDescent="0.3">
      <c r="A858">
        <v>16</v>
      </c>
      <c r="B858" t="s">
        <v>7313</v>
      </c>
      <c r="C858" t="s">
        <v>5748</v>
      </c>
      <c r="E858">
        <v>-59818182</v>
      </c>
      <c r="F858">
        <v>161794412194</v>
      </c>
    </row>
    <row r="859" spans="1:6" x14ac:dyDescent="0.3">
      <c r="A859">
        <v>16</v>
      </c>
      <c r="B859" t="s">
        <v>7313</v>
      </c>
      <c r="C859" t="s">
        <v>5748</v>
      </c>
      <c r="E859">
        <v>59818182</v>
      </c>
      <c r="F859">
        <v>161854230376</v>
      </c>
    </row>
    <row r="860" spans="1:6" x14ac:dyDescent="0.3">
      <c r="A860">
        <v>16</v>
      </c>
      <c r="B860" t="s">
        <v>7245</v>
      </c>
      <c r="C860" t="s">
        <v>4186</v>
      </c>
      <c r="E860">
        <v>50545455</v>
      </c>
      <c r="F860">
        <v>161794412194</v>
      </c>
    </row>
    <row r="861" spans="1:6" x14ac:dyDescent="0.3">
      <c r="A861">
        <v>16</v>
      </c>
      <c r="B861" t="s">
        <v>7170</v>
      </c>
      <c r="C861" t="s">
        <v>5747</v>
      </c>
      <c r="E861">
        <v>170000000</v>
      </c>
      <c r="F861">
        <v>161743866739</v>
      </c>
    </row>
    <row r="862" spans="1:6" x14ac:dyDescent="0.3">
      <c r="A862">
        <v>16</v>
      </c>
      <c r="B862" t="s">
        <v>7203</v>
      </c>
      <c r="C862" t="s">
        <v>5441</v>
      </c>
      <c r="E862">
        <v>33620000</v>
      </c>
      <c r="F862">
        <v>161573866739</v>
      </c>
    </row>
    <row r="863" spans="1:6" x14ac:dyDescent="0.3">
      <c r="A863">
        <v>16</v>
      </c>
      <c r="B863" t="s">
        <v>7312</v>
      </c>
      <c r="C863" t="s">
        <v>4064</v>
      </c>
      <c r="E863">
        <v>81943200</v>
      </c>
      <c r="F863">
        <v>161540246739</v>
      </c>
    </row>
    <row r="864" spans="1:6" x14ac:dyDescent="0.3">
      <c r="A864">
        <v>16</v>
      </c>
      <c r="B864" t="s">
        <v>7203</v>
      </c>
      <c r="C864" t="s">
        <v>5746</v>
      </c>
      <c r="E864">
        <v>37272727</v>
      </c>
      <c r="F864">
        <v>161458303539</v>
      </c>
    </row>
    <row r="865" spans="1:6" x14ac:dyDescent="0.3">
      <c r="A865">
        <v>16</v>
      </c>
      <c r="B865" t="s">
        <v>7252</v>
      </c>
      <c r="C865" t="s">
        <v>5745</v>
      </c>
      <c r="E865">
        <v>62727272</v>
      </c>
      <c r="F865">
        <v>161421030812</v>
      </c>
    </row>
    <row r="866" spans="1:6" x14ac:dyDescent="0.3">
      <c r="A866">
        <v>16</v>
      </c>
      <c r="B866" t="s">
        <v>7203</v>
      </c>
      <c r="C866" t="s">
        <v>4673</v>
      </c>
      <c r="E866">
        <v>16856000</v>
      </c>
      <c r="F866">
        <v>161358303540</v>
      </c>
    </row>
    <row r="867" spans="1:6" x14ac:dyDescent="0.3">
      <c r="A867">
        <v>16</v>
      </c>
      <c r="B867" t="s">
        <v>7273</v>
      </c>
      <c r="C867" t="s">
        <v>5744</v>
      </c>
      <c r="E867">
        <v>159000000</v>
      </c>
      <c r="F867">
        <v>161341447540</v>
      </c>
    </row>
    <row r="868" spans="1:6" x14ac:dyDescent="0.3">
      <c r="A868">
        <v>16</v>
      </c>
      <c r="B868" t="s">
        <v>7310</v>
      </c>
      <c r="C868" t="s">
        <v>5250</v>
      </c>
      <c r="E868">
        <v>90069820</v>
      </c>
      <c r="F868">
        <v>161182447540</v>
      </c>
    </row>
    <row r="869" spans="1:6" x14ac:dyDescent="0.3">
      <c r="A869">
        <v>16</v>
      </c>
      <c r="B869" t="s">
        <v>7310</v>
      </c>
      <c r="C869" t="s">
        <v>5250</v>
      </c>
      <c r="E869">
        <v>90069820</v>
      </c>
      <c r="F869">
        <v>161092377720</v>
      </c>
    </row>
    <row r="870" spans="1:6" x14ac:dyDescent="0.3">
      <c r="A870">
        <v>16</v>
      </c>
      <c r="B870" t="s">
        <v>7310</v>
      </c>
      <c r="C870" t="s">
        <v>5250</v>
      </c>
      <c r="E870">
        <v>90069820</v>
      </c>
      <c r="F870">
        <v>161002307900</v>
      </c>
    </row>
    <row r="871" spans="1:6" x14ac:dyDescent="0.3">
      <c r="A871">
        <v>16</v>
      </c>
      <c r="B871" t="s">
        <v>7310</v>
      </c>
      <c r="C871" t="s">
        <v>5250</v>
      </c>
      <c r="E871">
        <v>90069820</v>
      </c>
      <c r="F871">
        <v>160912238080</v>
      </c>
    </row>
    <row r="872" spans="1:6" x14ac:dyDescent="0.3">
      <c r="A872">
        <v>16</v>
      </c>
      <c r="B872" t="s">
        <v>7310</v>
      </c>
      <c r="C872" t="s">
        <v>5250</v>
      </c>
      <c r="E872">
        <v>90069820</v>
      </c>
      <c r="F872">
        <v>160822168260</v>
      </c>
    </row>
    <row r="873" spans="1:6" x14ac:dyDescent="0.3">
      <c r="A873">
        <v>16</v>
      </c>
      <c r="B873" t="s">
        <v>7310</v>
      </c>
      <c r="C873" t="s">
        <v>5250</v>
      </c>
      <c r="E873">
        <v>90069820</v>
      </c>
      <c r="F873">
        <v>160732098440</v>
      </c>
    </row>
    <row r="874" spans="1:6" x14ac:dyDescent="0.3">
      <c r="A874">
        <v>16</v>
      </c>
      <c r="B874" t="s">
        <v>7310</v>
      </c>
      <c r="C874" t="s">
        <v>5250</v>
      </c>
      <c r="E874">
        <v>90069820</v>
      </c>
      <c r="F874">
        <v>160642028620</v>
      </c>
    </row>
    <row r="875" spans="1:6" x14ac:dyDescent="0.3">
      <c r="A875">
        <v>16</v>
      </c>
      <c r="B875" t="s">
        <v>7310</v>
      </c>
      <c r="C875" t="s">
        <v>5250</v>
      </c>
      <c r="E875">
        <v>90069820</v>
      </c>
      <c r="F875">
        <v>160551958800</v>
      </c>
    </row>
    <row r="876" spans="1:6" x14ac:dyDescent="0.3">
      <c r="A876">
        <v>16</v>
      </c>
      <c r="B876" t="s">
        <v>7310</v>
      </c>
      <c r="C876" t="s">
        <v>5250</v>
      </c>
      <c r="E876">
        <v>90069820</v>
      </c>
      <c r="F876">
        <v>160461888980</v>
      </c>
    </row>
    <row r="877" spans="1:6" x14ac:dyDescent="0.3">
      <c r="A877">
        <v>16</v>
      </c>
      <c r="B877" t="s">
        <v>7310</v>
      </c>
      <c r="C877" t="s">
        <v>5250</v>
      </c>
      <c r="E877">
        <v>90069820</v>
      </c>
      <c r="F877">
        <v>160371819160</v>
      </c>
    </row>
    <row r="878" spans="1:6" x14ac:dyDescent="0.3">
      <c r="A878">
        <v>16</v>
      </c>
      <c r="B878" t="s">
        <v>7156</v>
      </c>
      <c r="C878" t="s">
        <v>5743</v>
      </c>
      <c r="E878">
        <v>15000000</v>
      </c>
      <c r="F878">
        <v>160281749340</v>
      </c>
    </row>
    <row r="879" spans="1:6" x14ac:dyDescent="0.3">
      <c r="A879">
        <v>16</v>
      </c>
      <c r="B879" t="s">
        <v>7311</v>
      </c>
      <c r="C879" t="s">
        <v>5742</v>
      </c>
      <c r="E879">
        <v>44538000</v>
      </c>
      <c r="F879">
        <v>160266749340</v>
      </c>
    </row>
    <row r="880" spans="1:6" x14ac:dyDescent="0.3">
      <c r="A880">
        <v>16</v>
      </c>
      <c r="B880" t="s">
        <v>7311</v>
      </c>
      <c r="C880" t="s">
        <v>4137</v>
      </c>
      <c r="E880">
        <v>46600000</v>
      </c>
      <c r="F880">
        <v>160222211340</v>
      </c>
    </row>
    <row r="881" spans="1:6" x14ac:dyDescent="0.3">
      <c r="A881">
        <v>16</v>
      </c>
      <c r="B881" t="s">
        <v>7176</v>
      </c>
      <c r="C881" t="s">
        <v>5741</v>
      </c>
      <c r="E881">
        <v>40000000</v>
      </c>
      <c r="F881">
        <v>160175611340</v>
      </c>
    </row>
    <row r="882" spans="1:6" x14ac:dyDescent="0.3">
      <c r="A882">
        <v>16</v>
      </c>
      <c r="B882" t="s">
        <v>7176</v>
      </c>
      <c r="C882" t="s">
        <v>5740</v>
      </c>
      <c r="E882">
        <v>40000000</v>
      </c>
      <c r="F882">
        <v>160135611340</v>
      </c>
    </row>
    <row r="883" spans="1:6" x14ac:dyDescent="0.3">
      <c r="A883">
        <v>16</v>
      </c>
      <c r="B883" t="s">
        <v>7176</v>
      </c>
      <c r="C883" t="s">
        <v>5739</v>
      </c>
      <c r="E883">
        <v>38516364</v>
      </c>
      <c r="F883">
        <v>160095611340</v>
      </c>
    </row>
    <row r="884" spans="1:6" x14ac:dyDescent="0.3">
      <c r="A884">
        <v>16</v>
      </c>
      <c r="B884" t="s">
        <v>7251</v>
      </c>
      <c r="C884" t="s">
        <v>5587</v>
      </c>
      <c r="E884">
        <v>33700000</v>
      </c>
      <c r="F884">
        <v>160057094976</v>
      </c>
    </row>
    <row r="885" spans="1:6" x14ac:dyDescent="0.3">
      <c r="A885">
        <v>16</v>
      </c>
      <c r="B885" t="s">
        <v>7251</v>
      </c>
      <c r="C885" t="s">
        <v>5587</v>
      </c>
      <c r="E885">
        <v>33700000</v>
      </c>
      <c r="F885">
        <v>160023394976</v>
      </c>
    </row>
    <row r="886" spans="1:6" x14ac:dyDescent="0.3">
      <c r="A886">
        <v>16</v>
      </c>
      <c r="B886" t="s">
        <v>7252</v>
      </c>
      <c r="C886" t="s">
        <v>5738</v>
      </c>
      <c r="E886">
        <v>61000000</v>
      </c>
      <c r="F886">
        <v>159989694976</v>
      </c>
    </row>
    <row r="887" spans="1:6" x14ac:dyDescent="0.3">
      <c r="A887">
        <v>16</v>
      </c>
      <c r="B887" t="s">
        <v>2068</v>
      </c>
      <c r="C887" t="s">
        <v>5250</v>
      </c>
      <c r="E887">
        <v>90069820</v>
      </c>
      <c r="F887">
        <v>159928694976</v>
      </c>
    </row>
    <row r="888" spans="1:6" x14ac:dyDescent="0.3">
      <c r="A888">
        <v>16</v>
      </c>
      <c r="B888" t="s">
        <v>2068</v>
      </c>
      <c r="C888" t="s">
        <v>5250</v>
      </c>
      <c r="E888">
        <v>90069820</v>
      </c>
      <c r="F888">
        <v>159838625156</v>
      </c>
    </row>
    <row r="889" spans="1:6" x14ac:dyDescent="0.3">
      <c r="A889">
        <v>16</v>
      </c>
      <c r="B889" t="s">
        <v>2068</v>
      </c>
      <c r="C889" t="s">
        <v>5250</v>
      </c>
      <c r="E889">
        <v>90069820</v>
      </c>
      <c r="F889">
        <v>159748555336</v>
      </c>
    </row>
    <row r="890" spans="1:6" x14ac:dyDescent="0.3">
      <c r="A890">
        <v>16</v>
      </c>
      <c r="B890" t="s">
        <v>2068</v>
      </c>
      <c r="C890" t="s">
        <v>5250</v>
      </c>
      <c r="E890">
        <v>90069820</v>
      </c>
      <c r="F890">
        <v>159658485516</v>
      </c>
    </row>
    <row r="891" spans="1:6" x14ac:dyDescent="0.3">
      <c r="A891">
        <v>16</v>
      </c>
      <c r="B891" t="s">
        <v>2068</v>
      </c>
      <c r="C891" t="s">
        <v>5250</v>
      </c>
      <c r="E891">
        <v>90069820</v>
      </c>
      <c r="F891">
        <v>159568415696</v>
      </c>
    </row>
    <row r="892" spans="1:6" x14ac:dyDescent="0.3">
      <c r="A892">
        <v>16</v>
      </c>
      <c r="B892" t="s">
        <v>2068</v>
      </c>
      <c r="C892" t="s">
        <v>5250</v>
      </c>
      <c r="E892">
        <v>90069820</v>
      </c>
      <c r="F892">
        <v>159478345876</v>
      </c>
    </row>
    <row r="893" spans="1:6" x14ac:dyDescent="0.3">
      <c r="A893">
        <v>16</v>
      </c>
      <c r="B893" t="s">
        <v>2068</v>
      </c>
      <c r="C893" t="s">
        <v>5250</v>
      </c>
      <c r="E893">
        <v>90069820</v>
      </c>
      <c r="F893">
        <v>159388276056</v>
      </c>
    </row>
    <row r="894" spans="1:6" x14ac:dyDescent="0.3">
      <c r="A894">
        <v>16</v>
      </c>
      <c r="B894" t="s">
        <v>2068</v>
      </c>
      <c r="C894" t="s">
        <v>5250</v>
      </c>
      <c r="E894">
        <v>90069820</v>
      </c>
      <c r="F894">
        <v>159298206236</v>
      </c>
    </row>
    <row r="895" spans="1:6" x14ac:dyDescent="0.3">
      <c r="A895">
        <v>16</v>
      </c>
      <c r="B895" t="s">
        <v>2068</v>
      </c>
      <c r="C895" t="s">
        <v>5250</v>
      </c>
      <c r="E895">
        <v>90069820</v>
      </c>
      <c r="F895">
        <v>159208136416</v>
      </c>
    </row>
    <row r="896" spans="1:6" x14ac:dyDescent="0.3">
      <c r="A896">
        <v>16</v>
      </c>
      <c r="B896" t="s">
        <v>2068</v>
      </c>
      <c r="C896" t="s">
        <v>5250</v>
      </c>
      <c r="E896">
        <v>90069820</v>
      </c>
      <c r="F896">
        <v>159118066596</v>
      </c>
    </row>
    <row r="897" spans="1:6" x14ac:dyDescent="0.3">
      <c r="A897">
        <v>16</v>
      </c>
      <c r="B897" t="s">
        <v>7176</v>
      </c>
      <c r="C897" t="s">
        <v>5737</v>
      </c>
      <c r="E897">
        <v>37600000</v>
      </c>
      <c r="F897">
        <v>159027996776</v>
      </c>
    </row>
    <row r="898" spans="1:6" x14ac:dyDescent="0.3">
      <c r="A898">
        <v>16</v>
      </c>
      <c r="B898" t="s">
        <v>7176</v>
      </c>
      <c r="C898" t="s">
        <v>5736</v>
      </c>
      <c r="E898">
        <v>38636364</v>
      </c>
      <c r="F898">
        <v>158990396776</v>
      </c>
    </row>
    <row r="899" spans="1:6" x14ac:dyDescent="0.3">
      <c r="A899">
        <v>16</v>
      </c>
      <c r="B899" t="s">
        <v>7176</v>
      </c>
      <c r="C899" t="s">
        <v>5735</v>
      </c>
      <c r="E899">
        <v>38500000</v>
      </c>
      <c r="F899">
        <v>158951760412</v>
      </c>
    </row>
    <row r="900" spans="1:6" x14ac:dyDescent="0.3">
      <c r="A900">
        <v>16</v>
      </c>
      <c r="B900" t="s">
        <v>7282</v>
      </c>
      <c r="C900" t="s">
        <v>5734</v>
      </c>
      <c r="E900">
        <v>153000000</v>
      </c>
      <c r="F900">
        <v>158913260412</v>
      </c>
    </row>
    <row r="901" spans="1:6" x14ac:dyDescent="0.3">
      <c r="A901">
        <v>16</v>
      </c>
      <c r="B901" t="s">
        <v>7273</v>
      </c>
      <c r="C901" t="s">
        <v>5733</v>
      </c>
      <c r="E901">
        <v>163000000</v>
      </c>
      <c r="F901">
        <v>158760260412</v>
      </c>
    </row>
    <row r="902" spans="1:6" x14ac:dyDescent="0.3">
      <c r="A902">
        <v>16</v>
      </c>
      <c r="B902" t="s">
        <v>7310</v>
      </c>
      <c r="C902" t="s">
        <v>5250</v>
      </c>
      <c r="E902">
        <v>-90069820</v>
      </c>
      <c r="F902">
        <v>158597260412</v>
      </c>
    </row>
    <row r="903" spans="1:6" x14ac:dyDescent="0.3">
      <c r="A903">
        <v>16</v>
      </c>
      <c r="B903" t="s">
        <v>7310</v>
      </c>
      <c r="C903" t="s">
        <v>5250</v>
      </c>
      <c r="E903">
        <v>-90069820</v>
      </c>
      <c r="F903">
        <v>158687330232</v>
      </c>
    </row>
    <row r="904" spans="1:6" x14ac:dyDescent="0.3">
      <c r="A904">
        <v>16</v>
      </c>
      <c r="B904" t="s">
        <v>7310</v>
      </c>
      <c r="C904" t="s">
        <v>5250</v>
      </c>
      <c r="E904">
        <v>-90069820</v>
      </c>
      <c r="F904">
        <v>158777400052</v>
      </c>
    </row>
    <row r="905" spans="1:6" x14ac:dyDescent="0.3">
      <c r="A905">
        <v>16</v>
      </c>
      <c r="B905" t="s">
        <v>7310</v>
      </c>
      <c r="C905" t="s">
        <v>5250</v>
      </c>
      <c r="E905">
        <v>-90069820</v>
      </c>
      <c r="F905">
        <v>158867469872</v>
      </c>
    </row>
    <row r="906" spans="1:6" x14ac:dyDescent="0.3">
      <c r="A906">
        <v>16</v>
      </c>
      <c r="B906" t="s">
        <v>7310</v>
      </c>
      <c r="C906" t="s">
        <v>5250</v>
      </c>
      <c r="E906">
        <v>-90069820</v>
      </c>
      <c r="F906">
        <v>158957539692</v>
      </c>
    </row>
    <row r="907" spans="1:6" x14ac:dyDescent="0.3">
      <c r="A907">
        <v>16</v>
      </c>
      <c r="B907" t="s">
        <v>7310</v>
      </c>
      <c r="C907" t="s">
        <v>5250</v>
      </c>
      <c r="E907">
        <v>-90069820</v>
      </c>
      <c r="F907">
        <v>159047609512</v>
      </c>
    </row>
    <row r="908" spans="1:6" x14ac:dyDescent="0.3">
      <c r="A908">
        <v>16</v>
      </c>
      <c r="B908" t="s">
        <v>7310</v>
      </c>
      <c r="C908" t="s">
        <v>5250</v>
      </c>
      <c r="E908">
        <v>-90069820</v>
      </c>
      <c r="F908">
        <v>159137679332</v>
      </c>
    </row>
    <row r="909" spans="1:6" x14ac:dyDescent="0.3">
      <c r="A909">
        <v>16</v>
      </c>
      <c r="B909" t="s">
        <v>7310</v>
      </c>
      <c r="C909" t="s">
        <v>5250</v>
      </c>
      <c r="E909">
        <v>-90069820</v>
      </c>
      <c r="F909">
        <v>159227749152</v>
      </c>
    </row>
    <row r="910" spans="1:6" x14ac:dyDescent="0.3">
      <c r="A910">
        <v>16</v>
      </c>
      <c r="B910" t="s">
        <v>7310</v>
      </c>
      <c r="C910" t="s">
        <v>5250</v>
      </c>
      <c r="E910">
        <v>-90069820</v>
      </c>
      <c r="F910">
        <v>159317818972</v>
      </c>
    </row>
    <row r="911" spans="1:6" x14ac:dyDescent="0.3">
      <c r="A911">
        <v>16</v>
      </c>
      <c r="B911" t="s">
        <v>7310</v>
      </c>
      <c r="C911" t="s">
        <v>5250</v>
      </c>
      <c r="E911">
        <v>-90069820</v>
      </c>
      <c r="F911">
        <v>159407888792</v>
      </c>
    </row>
    <row r="912" spans="1:6" x14ac:dyDescent="0.3">
      <c r="A912">
        <v>16</v>
      </c>
      <c r="B912" t="s">
        <v>7310</v>
      </c>
      <c r="C912" t="s">
        <v>5250</v>
      </c>
      <c r="E912">
        <v>90069820</v>
      </c>
      <c r="F912">
        <v>159497958612</v>
      </c>
    </row>
    <row r="913" spans="1:6" x14ac:dyDescent="0.3">
      <c r="A913">
        <v>16</v>
      </c>
      <c r="B913" t="s">
        <v>7310</v>
      </c>
      <c r="C913" t="s">
        <v>5250</v>
      </c>
      <c r="E913">
        <v>90069820</v>
      </c>
      <c r="F913">
        <v>159407888792</v>
      </c>
    </row>
    <row r="914" spans="1:6" x14ac:dyDescent="0.3">
      <c r="A914">
        <v>16</v>
      </c>
      <c r="B914" t="s">
        <v>7310</v>
      </c>
      <c r="C914" t="s">
        <v>5250</v>
      </c>
      <c r="E914">
        <v>90069820</v>
      </c>
      <c r="F914">
        <v>159317818972</v>
      </c>
    </row>
    <row r="915" spans="1:6" x14ac:dyDescent="0.3">
      <c r="A915">
        <v>16</v>
      </c>
      <c r="B915" t="s">
        <v>7310</v>
      </c>
      <c r="C915" t="s">
        <v>5250</v>
      </c>
      <c r="E915">
        <v>90069820</v>
      </c>
      <c r="F915">
        <v>159227749152</v>
      </c>
    </row>
    <row r="916" spans="1:6" x14ac:dyDescent="0.3">
      <c r="A916">
        <v>16</v>
      </c>
      <c r="B916" t="s">
        <v>7310</v>
      </c>
      <c r="C916" t="s">
        <v>5250</v>
      </c>
      <c r="E916">
        <v>90069820</v>
      </c>
      <c r="F916">
        <v>159137679332</v>
      </c>
    </row>
    <row r="917" spans="1:6" x14ac:dyDescent="0.3">
      <c r="A917">
        <v>16</v>
      </c>
      <c r="B917" t="s">
        <v>7310</v>
      </c>
      <c r="C917" t="s">
        <v>5250</v>
      </c>
      <c r="E917">
        <v>90069820</v>
      </c>
      <c r="F917">
        <v>159047609512</v>
      </c>
    </row>
    <row r="918" spans="1:6" x14ac:dyDescent="0.3">
      <c r="A918">
        <v>16</v>
      </c>
      <c r="B918" t="s">
        <v>7310</v>
      </c>
      <c r="C918" t="s">
        <v>5250</v>
      </c>
      <c r="E918">
        <v>90069820</v>
      </c>
      <c r="F918">
        <v>158957539692</v>
      </c>
    </row>
    <row r="919" spans="1:6" x14ac:dyDescent="0.3">
      <c r="A919">
        <v>16</v>
      </c>
      <c r="B919" t="s">
        <v>7310</v>
      </c>
      <c r="C919" t="s">
        <v>5250</v>
      </c>
      <c r="E919">
        <v>90069820</v>
      </c>
      <c r="F919">
        <v>158867469872</v>
      </c>
    </row>
    <row r="920" spans="1:6" x14ac:dyDescent="0.3">
      <c r="A920">
        <v>16</v>
      </c>
      <c r="B920" t="s">
        <v>7310</v>
      </c>
      <c r="C920" t="s">
        <v>5250</v>
      </c>
      <c r="E920">
        <v>90069820</v>
      </c>
      <c r="F920">
        <v>158777400052</v>
      </c>
    </row>
    <row r="921" spans="1:6" x14ac:dyDescent="0.3">
      <c r="A921">
        <v>16</v>
      </c>
      <c r="B921" t="s">
        <v>7310</v>
      </c>
      <c r="C921" t="s">
        <v>5250</v>
      </c>
      <c r="E921">
        <v>90069820</v>
      </c>
      <c r="F921">
        <v>158687330232</v>
      </c>
    </row>
    <row r="922" spans="1:6" x14ac:dyDescent="0.3">
      <c r="A922">
        <v>16</v>
      </c>
      <c r="B922" t="s">
        <v>7186</v>
      </c>
      <c r="C922" t="s">
        <v>5732</v>
      </c>
      <c r="E922">
        <v>53000000</v>
      </c>
      <c r="F922">
        <v>158597260412</v>
      </c>
    </row>
    <row r="923" spans="1:6" x14ac:dyDescent="0.3">
      <c r="A923">
        <v>16</v>
      </c>
      <c r="B923" t="s">
        <v>7251</v>
      </c>
      <c r="C923" t="s">
        <v>3438</v>
      </c>
      <c r="E923">
        <v>30465000</v>
      </c>
      <c r="F923">
        <v>158544260412</v>
      </c>
    </row>
    <row r="924" spans="1:6" x14ac:dyDescent="0.3">
      <c r="A924">
        <v>16</v>
      </c>
      <c r="B924" t="s">
        <v>7251</v>
      </c>
      <c r="C924" t="s">
        <v>3438</v>
      </c>
      <c r="E924">
        <v>30465000</v>
      </c>
      <c r="F924">
        <v>158513795412</v>
      </c>
    </row>
    <row r="925" spans="1:6" x14ac:dyDescent="0.3">
      <c r="A925">
        <v>16</v>
      </c>
      <c r="B925" t="s">
        <v>7251</v>
      </c>
      <c r="C925" t="s">
        <v>3438</v>
      </c>
      <c r="E925">
        <v>30465000</v>
      </c>
      <c r="F925">
        <v>158483330412</v>
      </c>
    </row>
    <row r="926" spans="1:6" x14ac:dyDescent="0.3">
      <c r="A926">
        <v>16</v>
      </c>
      <c r="B926" t="s">
        <v>7251</v>
      </c>
      <c r="C926" t="s">
        <v>3438</v>
      </c>
      <c r="E926">
        <v>30465000</v>
      </c>
      <c r="F926">
        <v>158452865412</v>
      </c>
    </row>
    <row r="927" spans="1:6" x14ac:dyDescent="0.3">
      <c r="A927">
        <v>16</v>
      </c>
      <c r="B927" t="s">
        <v>7251</v>
      </c>
      <c r="C927" t="s">
        <v>3438</v>
      </c>
      <c r="E927">
        <v>30465000</v>
      </c>
      <c r="F927">
        <v>158422400412</v>
      </c>
    </row>
    <row r="928" spans="1:6" x14ac:dyDescent="0.3">
      <c r="A928">
        <v>16</v>
      </c>
      <c r="B928" t="s">
        <v>7251</v>
      </c>
      <c r="C928" t="s">
        <v>3438</v>
      </c>
      <c r="E928">
        <v>30465000</v>
      </c>
      <c r="F928">
        <v>158391935412</v>
      </c>
    </row>
    <row r="929" spans="1:6" x14ac:dyDescent="0.3">
      <c r="A929">
        <v>16</v>
      </c>
      <c r="B929" t="s">
        <v>7251</v>
      </c>
      <c r="C929" t="s">
        <v>3438</v>
      </c>
      <c r="E929">
        <v>30465000</v>
      </c>
      <c r="F929">
        <v>158361470412</v>
      </c>
    </row>
    <row r="930" spans="1:6" x14ac:dyDescent="0.3">
      <c r="A930">
        <v>16</v>
      </c>
      <c r="B930" t="s">
        <v>7251</v>
      </c>
      <c r="C930" t="s">
        <v>3438</v>
      </c>
      <c r="E930">
        <v>30465000</v>
      </c>
      <c r="F930">
        <v>158331005412</v>
      </c>
    </row>
    <row r="931" spans="1:6" x14ac:dyDescent="0.3">
      <c r="A931">
        <v>16</v>
      </c>
      <c r="B931" t="s">
        <v>7251</v>
      </c>
      <c r="C931" t="s">
        <v>3438</v>
      </c>
      <c r="E931">
        <v>30465000</v>
      </c>
      <c r="F931">
        <v>158300540412</v>
      </c>
    </row>
    <row r="932" spans="1:6" x14ac:dyDescent="0.3">
      <c r="A932">
        <v>16</v>
      </c>
      <c r="B932" t="s">
        <v>7251</v>
      </c>
      <c r="C932" t="s">
        <v>3438</v>
      </c>
      <c r="E932">
        <v>30465000</v>
      </c>
      <c r="F932">
        <v>158270075412</v>
      </c>
    </row>
    <row r="933" spans="1:6" x14ac:dyDescent="0.3">
      <c r="A933">
        <v>16</v>
      </c>
      <c r="B933" t="s">
        <v>7251</v>
      </c>
      <c r="C933" t="s">
        <v>3438</v>
      </c>
      <c r="E933">
        <v>30465000</v>
      </c>
      <c r="F933">
        <v>158239610412</v>
      </c>
    </row>
    <row r="934" spans="1:6" x14ac:dyDescent="0.3">
      <c r="A934">
        <v>16</v>
      </c>
      <c r="B934" t="s">
        <v>7251</v>
      </c>
      <c r="C934" t="s">
        <v>3438</v>
      </c>
      <c r="E934">
        <v>30465000</v>
      </c>
      <c r="F934">
        <v>158209145412</v>
      </c>
    </row>
    <row r="935" spans="1:6" x14ac:dyDescent="0.3">
      <c r="A935">
        <v>16</v>
      </c>
      <c r="B935" t="s">
        <v>7251</v>
      </c>
      <c r="C935" t="s">
        <v>3438</v>
      </c>
      <c r="E935">
        <v>30465000</v>
      </c>
      <c r="F935">
        <v>158178680412</v>
      </c>
    </row>
    <row r="936" spans="1:6" x14ac:dyDescent="0.3">
      <c r="A936">
        <v>16</v>
      </c>
      <c r="B936" t="s">
        <v>7251</v>
      </c>
      <c r="C936" t="s">
        <v>3438</v>
      </c>
      <c r="E936">
        <v>30465000</v>
      </c>
      <c r="F936">
        <v>158148215412</v>
      </c>
    </row>
    <row r="937" spans="1:6" x14ac:dyDescent="0.3">
      <c r="A937">
        <v>16</v>
      </c>
      <c r="B937" t="s">
        <v>7251</v>
      </c>
      <c r="C937" t="s">
        <v>3438</v>
      </c>
      <c r="E937">
        <v>30465000</v>
      </c>
      <c r="F937">
        <v>158117750412</v>
      </c>
    </row>
    <row r="938" spans="1:6" x14ac:dyDescent="0.3">
      <c r="A938">
        <v>16</v>
      </c>
      <c r="B938" t="s">
        <v>7251</v>
      </c>
      <c r="C938" t="s">
        <v>3438</v>
      </c>
      <c r="E938">
        <v>30465000</v>
      </c>
      <c r="F938">
        <v>158087285412</v>
      </c>
    </row>
    <row r="939" spans="1:6" x14ac:dyDescent="0.3">
      <c r="A939">
        <v>16</v>
      </c>
      <c r="B939" t="s">
        <v>7251</v>
      </c>
      <c r="C939" t="s">
        <v>3438</v>
      </c>
      <c r="E939">
        <v>30465000</v>
      </c>
      <c r="F939">
        <v>158056820412</v>
      </c>
    </row>
    <row r="940" spans="1:6" x14ac:dyDescent="0.3">
      <c r="A940">
        <v>16</v>
      </c>
      <c r="B940" t="s">
        <v>7251</v>
      </c>
      <c r="C940" t="s">
        <v>3438</v>
      </c>
      <c r="E940">
        <v>30465000</v>
      </c>
      <c r="F940">
        <v>158026355412</v>
      </c>
    </row>
    <row r="941" spans="1:6" x14ac:dyDescent="0.3">
      <c r="A941">
        <v>16</v>
      </c>
      <c r="B941" t="s">
        <v>7251</v>
      </c>
      <c r="C941" t="s">
        <v>3438</v>
      </c>
      <c r="E941">
        <v>30465000</v>
      </c>
      <c r="F941">
        <v>157995890412</v>
      </c>
    </row>
    <row r="942" spans="1:6" x14ac:dyDescent="0.3">
      <c r="A942">
        <v>16</v>
      </c>
      <c r="B942" t="s">
        <v>7251</v>
      </c>
      <c r="C942" t="s">
        <v>3438</v>
      </c>
      <c r="E942">
        <v>30465000</v>
      </c>
      <c r="F942">
        <v>157965425412</v>
      </c>
    </row>
    <row r="943" spans="1:6" x14ac:dyDescent="0.3">
      <c r="A943">
        <v>16</v>
      </c>
      <c r="B943" t="s">
        <v>7251</v>
      </c>
      <c r="C943" t="s">
        <v>3438</v>
      </c>
      <c r="E943">
        <v>30465000</v>
      </c>
      <c r="F943">
        <v>157934960412</v>
      </c>
    </row>
    <row r="944" spans="1:6" x14ac:dyDescent="0.3">
      <c r="A944">
        <v>16</v>
      </c>
      <c r="B944" t="s">
        <v>7251</v>
      </c>
      <c r="C944" t="s">
        <v>3438</v>
      </c>
      <c r="E944">
        <v>30465000</v>
      </c>
      <c r="F944">
        <v>157904495412</v>
      </c>
    </row>
    <row r="945" spans="1:6" x14ac:dyDescent="0.3">
      <c r="A945">
        <v>16</v>
      </c>
      <c r="B945" t="s">
        <v>7251</v>
      </c>
      <c r="C945" t="s">
        <v>3438</v>
      </c>
      <c r="E945">
        <v>30465000</v>
      </c>
      <c r="F945">
        <v>157874030412</v>
      </c>
    </row>
    <row r="946" spans="1:6" x14ac:dyDescent="0.3">
      <c r="A946">
        <v>16</v>
      </c>
      <c r="B946" t="s">
        <v>7251</v>
      </c>
      <c r="C946" t="s">
        <v>3438</v>
      </c>
      <c r="E946">
        <v>30465000</v>
      </c>
      <c r="F946">
        <v>157843565412</v>
      </c>
    </row>
    <row r="947" spans="1:6" x14ac:dyDescent="0.3">
      <c r="A947">
        <v>16</v>
      </c>
      <c r="B947" t="s">
        <v>7251</v>
      </c>
      <c r="C947" t="s">
        <v>3438</v>
      </c>
      <c r="E947">
        <v>30465000</v>
      </c>
      <c r="F947">
        <v>157813100412</v>
      </c>
    </row>
    <row r="948" spans="1:6" x14ac:dyDescent="0.3">
      <c r="A948">
        <v>16</v>
      </c>
      <c r="B948" t="s">
        <v>7251</v>
      </c>
      <c r="C948" t="s">
        <v>3438</v>
      </c>
      <c r="E948">
        <v>30465000</v>
      </c>
      <c r="F948">
        <v>157782635412</v>
      </c>
    </row>
    <row r="949" spans="1:6" x14ac:dyDescent="0.3">
      <c r="A949">
        <v>16</v>
      </c>
      <c r="B949" t="s">
        <v>7251</v>
      </c>
      <c r="C949" t="s">
        <v>3438</v>
      </c>
      <c r="E949">
        <v>30465000</v>
      </c>
      <c r="F949">
        <v>157752170412</v>
      </c>
    </row>
    <row r="950" spans="1:6" x14ac:dyDescent="0.3">
      <c r="A950">
        <v>16</v>
      </c>
      <c r="B950" t="s">
        <v>7251</v>
      </c>
      <c r="C950" t="s">
        <v>3438</v>
      </c>
      <c r="E950">
        <v>30465000</v>
      </c>
      <c r="F950">
        <v>157721705412</v>
      </c>
    </row>
    <row r="951" spans="1:6" x14ac:dyDescent="0.3">
      <c r="A951">
        <v>16</v>
      </c>
      <c r="B951" t="s">
        <v>7251</v>
      </c>
      <c r="C951" t="s">
        <v>3438</v>
      </c>
      <c r="E951">
        <v>30465000</v>
      </c>
      <c r="F951">
        <v>157691240412</v>
      </c>
    </row>
    <row r="952" spans="1:6" x14ac:dyDescent="0.3">
      <c r="A952">
        <v>16</v>
      </c>
      <c r="B952" t="s">
        <v>7251</v>
      </c>
      <c r="C952" t="s">
        <v>3438</v>
      </c>
      <c r="E952">
        <v>30465000</v>
      </c>
      <c r="F952">
        <v>157660775412</v>
      </c>
    </row>
    <row r="953" spans="1:6" x14ac:dyDescent="0.3">
      <c r="A953">
        <v>16</v>
      </c>
      <c r="B953" t="s">
        <v>7251</v>
      </c>
      <c r="C953" t="s">
        <v>3438</v>
      </c>
      <c r="E953">
        <v>30465000</v>
      </c>
      <c r="F953">
        <v>157630310412</v>
      </c>
    </row>
    <row r="954" spans="1:6" x14ac:dyDescent="0.3">
      <c r="A954">
        <v>16</v>
      </c>
      <c r="B954" t="s">
        <v>7251</v>
      </c>
      <c r="C954" t="s">
        <v>3438</v>
      </c>
      <c r="E954">
        <v>30465000</v>
      </c>
      <c r="F954">
        <v>157599845412</v>
      </c>
    </row>
    <row r="955" spans="1:6" x14ac:dyDescent="0.3">
      <c r="A955">
        <v>16</v>
      </c>
      <c r="B955" t="s">
        <v>7251</v>
      </c>
      <c r="C955" t="s">
        <v>3438</v>
      </c>
      <c r="E955">
        <v>30465000</v>
      </c>
      <c r="F955">
        <v>157569380412</v>
      </c>
    </row>
    <row r="956" spans="1:6" x14ac:dyDescent="0.3">
      <c r="A956">
        <v>16</v>
      </c>
      <c r="B956" t="s">
        <v>7251</v>
      </c>
      <c r="C956" t="s">
        <v>3438</v>
      </c>
      <c r="E956">
        <v>30465000</v>
      </c>
      <c r="F956">
        <v>157538915412</v>
      </c>
    </row>
    <row r="957" spans="1:6" x14ac:dyDescent="0.3">
      <c r="A957">
        <v>16</v>
      </c>
      <c r="B957" t="s">
        <v>7251</v>
      </c>
      <c r="C957" t="s">
        <v>3438</v>
      </c>
      <c r="E957">
        <v>30465000</v>
      </c>
      <c r="F957">
        <v>157508450412</v>
      </c>
    </row>
    <row r="958" spans="1:6" x14ac:dyDescent="0.3">
      <c r="A958">
        <v>16</v>
      </c>
      <c r="B958" t="s">
        <v>7251</v>
      </c>
      <c r="C958" t="s">
        <v>3438</v>
      </c>
      <c r="E958">
        <v>30465000</v>
      </c>
      <c r="F958">
        <v>157477985412</v>
      </c>
    </row>
    <row r="959" spans="1:6" x14ac:dyDescent="0.3">
      <c r="A959">
        <v>16</v>
      </c>
      <c r="B959" t="s">
        <v>7251</v>
      </c>
      <c r="C959" t="s">
        <v>3438</v>
      </c>
      <c r="E959">
        <v>30465000</v>
      </c>
      <c r="F959">
        <v>157447520412</v>
      </c>
    </row>
    <row r="960" spans="1:6" x14ac:dyDescent="0.3">
      <c r="A960">
        <v>16</v>
      </c>
      <c r="B960" t="s">
        <v>7251</v>
      </c>
      <c r="C960" t="s">
        <v>3438</v>
      </c>
      <c r="E960">
        <v>30465000</v>
      </c>
      <c r="F960">
        <v>157417055412</v>
      </c>
    </row>
    <row r="961" spans="1:6" x14ac:dyDescent="0.3">
      <c r="A961">
        <v>16</v>
      </c>
      <c r="B961" t="s">
        <v>7251</v>
      </c>
      <c r="C961" t="s">
        <v>3438</v>
      </c>
      <c r="E961">
        <v>30465000</v>
      </c>
      <c r="F961">
        <v>157386590412</v>
      </c>
    </row>
    <row r="962" spans="1:6" x14ac:dyDescent="0.3">
      <c r="A962">
        <v>16</v>
      </c>
      <c r="B962" t="s">
        <v>7251</v>
      </c>
      <c r="C962" t="s">
        <v>3438</v>
      </c>
      <c r="E962">
        <v>30465000</v>
      </c>
      <c r="F962">
        <v>157356125412</v>
      </c>
    </row>
    <row r="963" spans="1:6" x14ac:dyDescent="0.3">
      <c r="A963">
        <v>16</v>
      </c>
      <c r="B963" t="s">
        <v>7203</v>
      </c>
      <c r="C963" t="s">
        <v>5731</v>
      </c>
      <c r="E963">
        <v>39181819</v>
      </c>
      <c r="F963">
        <v>157325660412</v>
      </c>
    </row>
    <row r="964" spans="1:6" x14ac:dyDescent="0.3">
      <c r="A964">
        <v>16</v>
      </c>
      <c r="B964" t="s">
        <v>7156</v>
      </c>
      <c r="C964" t="s">
        <v>5730</v>
      </c>
      <c r="E964">
        <v>14509000</v>
      </c>
      <c r="F964">
        <v>157286478593</v>
      </c>
    </row>
    <row r="965" spans="1:6" x14ac:dyDescent="0.3">
      <c r="A965">
        <v>16</v>
      </c>
      <c r="B965" t="s">
        <v>7203</v>
      </c>
      <c r="C965" t="s">
        <v>5729</v>
      </c>
      <c r="E965">
        <v>33800000</v>
      </c>
      <c r="F965">
        <v>157271969593</v>
      </c>
    </row>
    <row r="966" spans="1:6" x14ac:dyDescent="0.3">
      <c r="A966">
        <v>16</v>
      </c>
      <c r="B966" t="s">
        <v>7176</v>
      </c>
      <c r="C966" t="s">
        <v>5728</v>
      </c>
      <c r="E966">
        <v>38900000</v>
      </c>
      <c r="F966">
        <v>157238169593</v>
      </c>
    </row>
    <row r="967" spans="1:6" x14ac:dyDescent="0.3">
      <c r="A967">
        <v>16</v>
      </c>
      <c r="B967" t="s">
        <v>7293</v>
      </c>
      <c r="C967" t="s">
        <v>5727</v>
      </c>
      <c r="E967">
        <v>183000000</v>
      </c>
      <c r="F967">
        <v>157199269593</v>
      </c>
    </row>
    <row r="968" spans="1:6" x14ac:dyDescent="0.3">
      <c r="A968">
        <v>16</v>
      </c>
      <c r="B968" t="s">
        <v>7186</v>
      </c>
      <c r="C968" t="s">
        <v>5726</v>
      </c>
      <c r="E968">
        <v>52000000</v>
      </c>
      <c r="F968">
        <v>157016269593</v>
      </c>
    </row>
    <row r="969" spans="1:6" x14ac:dyDescent="0.3">
      <c r="A969">
        <v>16</v>
      </c>
      <c r="B969" t="s">
        <v>7154</v>
      </c>
      <c r="C969" t="s">
        <v>5725</v>
      </c>
      <c r="E969">
        <v>49000000</v>
      </c>
      <c r="F969">
        <v>156964269593</v>
      </c>
    </row>
    <row r="970" spans="1:6" x14ac:dyDescent="0.3">
      <c r="A970">
        <v>16</v>
      </c>
      <c r="B970" t="s">
        <v>7203</v>
      </c>
      <c r="C970" t="s">
        <v>5724</v>
      </c>
      <c r="E970">
        <v>34636364</v>
      </c>
      <c r="F970">
        <v>156915269593</v>
      </c>
    </row>
    <row r="971" spans="1:6" x14ac:dyDescent="0.3">
      <c r="A971">
        <v>16</v>
      </c>
      <c r="B971" t="s">
        <v>2954</v>
      </c>
      <c r="C971" t="s">
        <v>5723</v>
      </c>
      <c r="E971">
        <v>13000000</v>
      </c>
      <c r="F971">
        <v>156880633229</v>
      </c>
    </row>
    <row r="972" spans="1:6" x14ac:dyDescent="0.3">
      <c r="A972">
        <v>16</v>
      </c>
      <c r="B972" t="s">
        <v>7176</v>
      </c>
      <c r="C972" t="s">
        <v>5722</v>
      </c>
      <c r="E972">
        <v>43500000</v>
      </c>
      <c r="F972">
        <v>156867633229</v>
      </c>
    </row>
    <row r="973" spans="1:6" x14ac:dyDescent="0.3">
      <c r="A973">
        <v>16</v>
      </c>
      <c r="B973" t="s">
        <v>7203</v>
      </c>
      <c r="C973" t="s">
        <v>5721</v>
      </c>
      <c r="E973">
        <v>35000000</v>
      </c>
      <c r="F973">
        <v>156824133229</v>
      </c>
    </row>
    <row r="974" spans="1:6" x14ac:dyDescent="0.3">
      <c r="A974">
        <v>16</v>
      </c>
      <c r="B974" t="s">
        <v>7251</v>
      </c>
      <c r="C974" t="s">
        <v>5720</v>
      </c>
      <c r="E974">
        <v>17765000</v>
      </c>
      <c r="F974">
        <v>156789133229</v>
      </c>
    </row>
    <row r="975" spans="1:6" x14ac:dyDescent="0.3">
      <c r="A975">
        <v>16</v>
      </c>
      <c r="B975" t="s">
        <v>7251</v>
      </c>
      <c r="C975" t="s">
        <v>5720</v>
      </c>
      <c r="E975">
        <v>17765000</v>
      </c>
      <c r="F975">
        <v>156771368229</v>
      </c>
    </row>
    <row r="976" spans="1:6" x14ac:dyDescent="0.3">
      <c r="A976">
        <v>16</v>
      </c>
      <c r="B976" t="s">
        <v>7154</v>
      </c>
      <c r="C976" t="s">
        <v>5719</v>
      </c>
      <c r="E976">
        <v>50909091</v>
      </c>
      <c r="F976">
        <v>156753603229</v>
      </c>
    </row>
    <row r="977" spans="1:6" x14ac:dyDescent="0.3">
      <c r="A977">
        <v>16</v>
      </c>
      <c r="B977" t="s">
        <v>7154</v>
      </c>
      <c r="C977" t="s">
        <v>5718</v>
      </c>
      <c r="E977">
        <v>50909091</v>
      </c>
      <c r="F977">
        <v>156702694138</v>
      </c>
    </row>
    <row r="978" spans="1:6" x14ac:dyDescent="0.3">
      <c r="A978">
        <v>16</v>
      </c>
      <c r="B978" t="s">
        <v>7203</v>
      </c>
      <c r="C978" t="s">
        <v>5717</v>
      </c>
      <c r="E978">
        <v>36818181</v>
      </c>
      <c r="F978">
        <v>156651785047</v>
      </c>
    </row>
    <row r="979" spans="1:6" x14ac:dyDescent="0.3">
      <c r="A979">
        <v>16</v>
      </c>
      <c r="B979" t="s">
        <v>7203</v>
      </c>
      <c r="C979" t="s">
        <v>5716</v>
      </c>
      <c r="E979">
        <v>35000000</v>
      </c>
      <c r="F979">
        <v>156614966866</v>
      </c>
    </row>
    <row r="980" spans="1:6" x14ac:dyDescent="0.3">
      <c r="A980">
        <v>16</v>
      </c>
      <c r="B980" t="s">
        <v>7203</v>
      </c>
      <c r="C980" t="s">
        <v>5715</v>
      </c>
      <c r="E980">
        <v>33272727</v>
      </c>
      <c r="F980">
        <v>156579966866</v>
      </c>
    </row>
    <row r="981" spans="1:6" x14ac:dyDescent="0.3">
      <c r="A981">
        <v>16</v>
      </c>
      <c r="B981" t="s">
        <v>7203</v>
      </c>
      <c r="C981" t="s">
        <v>5715</v>
      </c>
      <c r="E981">
        <v>33272727</v>
      </c>
      <c r="F981">
        <v>156546694139</v>
      </c>
    </row>
    <row r="982" spans="1:6" x14ac:dyDescent="0.3">
      <c r="A982">
        <v>16</v>
      </c>
      <c r="B982" t="s">
        <v>7203</v>
      </c>
      <c r="C982" t="s">
        <v>5715</v>
      </c>
      <c r="E982">
        <v>33272727</v>
      </c>
      <c r="F982">
        <v>156513421412</v>
      </c>
    </row>
    <row r="983" spans="1:6" x14ac:dyDescent="0.3">
      <c r="A983">
        <v>16</v>
      </c>
      <c r="B983" t="s">
        <v>7203</v>
      </c>
      <c r="C983" t="s">
        <v>5715</v>
      </c>
      <c r="E983">
        <v>33272727</v>
      </c>
      <c r="F983">
        <v>156480148685</v>
      </c>
    </row>
    <row r="984" spans="1:6" x14ac:dyDescent="0.3">
      <c r="A984">
        <v>16</v>
      </c>
      <c r="B984" t="s">
        <v>7203</v>
      </c>
      <c r="C984" t="s">
        <v>5715</v>
      </c>
      <c r="E984">
        <v>34181818</v>
      </c>
      <c r="F984">
        <v>156446875958</v>
      </c>
    </row>
    <row r="985" spans="1:6" x14ac:dyDescent="0.3">
      <c r="A985">
        <v>16</v>
      </c>
      <c r="B985" t="s">
        <v>7203</v>
      </c>
      <c r="C985" t="s">
        <v>5714</v>
      </c>
      <c r="E985">
        <v>35909091</v>
      </c>
      <c r="F985">
        <v>156412694140</v>
      </c>
    </row>
    <row r="986" spans="1:6" x14ac:dyDescent="0.3">
      <c r="A986">
        <v>16</v>
      </c>
      <c r="B986" t="s">
        <v>7252</v>
      </c>
      <c r="C986" t="s">
        <v>5713</v>
      </c>
      <c r="E986">
        <v>60500000</v>
      </c>
      <c r="F986">
        <v>156376785049</v>
      </c>
    </row>
    <row r="987" spans="1:6" x14ac:dyDescent="0.3">
      <c r="A987">
        <v>16</v>
      </c>
      <c r="B987" t="s">
        <v>7252</v>
      </c>
      <c r="C987" t="s">
        <v>5711</v>
      </c>
      <c r="E987">
        <v>-60500000</v>
      </c>
      <c r="F987">
        <v>156316285049</v>
      </c>
    </row>
    <row r="988" spans="1:6" x14ac:dyDescent="0.3">
      <c r="A988">
        <v>16</v>
      </c>
      <c r="B988" t="s">
        <v>7273</v>
      </c>
      <c r="C988" t="s">
        <v>5712</v>
      </c>
      <c r="E988">
        <v>159090909</v>
      </c>
      <c r="F988">
        <v>156376785049</v>
      </c>
    </row>
    <row r="989" spans="1:6" x14ac:dyDescent="0.3">
      <c r="A989">
        <v>16</v>
      </c>
      <c r="B989" t="s">
        <v>7307</v>
      </c>
      <c r="C989" t="s">
        <v>5250</v>
      </c>
      <c r="E989">
        <v>82261904</v>
      </c>
      <c r="F989">
        <v>156217694140</v>
      </c>
    </row>
    <row r="990" spans="1:6" x14ac:dyDescent="0.3">
      <c r="A990">
        <v>16</v>
      </c>
      <c r="B990" t="s">
        <v>7307</v>
      </c>
      <c r="C990" t="s">
        <v>5250</v>
      </c>
      <c r="E990">
        <v>82261904</v>
      </c>
      <c r="F990">
        <v>156135432236</v>
      </c>
    </row>
    <row r="991" spans="1:6" x14ac:dyDescent="0.3">
      <c r="A991">
        <v>16</v>
      </c>
      <c r="B991" t="s">
        <v>7307</v>
      </c>
      <c r="C991" t="s">
        <v>5250</v>
      </c>
      <c r="E991">
        <v>82261904</v>
      </c>
      <c r="F991">
        <v>156053170332</v>
      </c>
    </row>
    <row r="992" spans="1:6" x14ac:dyDescent="0.3">
      <c r="A992">
        <v>16</v>
      </c>
      <c r="B992" t="s">
        <v>7307</v>
      </c>
      <c r="C992" t="s">
        <v>5250</v>
      </c>
      <c r="E992">
        <v>82261904</v>
      </c>
      <c r="F992">
        <v>155970908428</v>
      </c>
    </row>
    <row r="993" spans="1:6" x14ac:dyDescent="0.3">
      <c r="A993">
        <v>16</v>
      </c>
      <c r="B993" t="s">
        <v>7307</v>
      </c>
      <c r="C993" t="s">
        <v>5250</v>
      </c>
      <c r="E993">
        <v>82261904</v>
      </c>
      <c r="F993">
        <v>155888646524</v>
      </c>
    </row>
    <row r="994" spans="1:6" x14ac:dyDescent="0.3">
      <c r="A994">
        <v>16</v>
      </c>
      <c r="B994" t="s">
        <v>7307</v>
      </c>
      <c r="C994" t="s">
        <v>5250</v>
      </c>
      <c r="E994">
        <v>82261904</v>
      </c>
      <c r="F994">
        <v>155806384620</v>
      </c>
    </row>
    <row r="995" spans="1:6" x14ac:dyDescent="0.3">
      <c r="A995">
        <v>16</v>
      </c>
      <c r="B995" t="s">
        <v>7307</v>
      </c>
      <c r="C995" t="s">
        <v>5250</v>
      </c>
      <c r="E995">
        <v>82261904</v>
      </c>
      <c r="F995">
        <v>155724122716</v>
      </c>
    </row>
    <row r="996" spans="1:6" x14ac:dyDescent="0.3">
      <c r="A996">
        <v>16</v>
      </c>
      <c r="B996" t="s">
        <v>7307</v>
      </c>
      <c r="C996" t="s">
        <v>5250</v>
      </c>
      <c r="E996">
        <v>82261904</v>
      </c>
      <c r="F996">
        <v>155641860812</v>
      </c>
    </row>
    <row r="997" spans="1:6" x14ac:dyDescent="0.3">
      <c r="A997">
        <v>16</v>
      </c>
      <c r="B997" t="s">
        <v>7307</v>
      </c>
      <c r="C997" t="s">
        <v>5250</v>
      </c>
      <c r="E997">
        <v>82261904</v>
      </c>
      <c r="F997">
        <v>155559598908</v>
      </c>
    </row>
    <row r="998" spans="1:6" x14ac:dyDescent="0.3">
      <c r="A998">
        <v>16</v>
      </c>
      <c r="B998" t="s">
        <v>7307</v>
      </c>
      <c r="C998" t="s">
        <v>5250</v>
      </c>
      <c r="E998">
        <v>82261904</v>
      </c>
      <c r="F998">
        <v>155477337004</v>
      </c>
    </row>
    <row r="999" spans="1:6" x14ac:dyDescent="0.3">
      <c r="A999">
        <v>16</v>
      </c>
      <c r="B999" t="s">
        <v>7307</v>
      </c>
      <c r="C999" t="s">
        <v>5250</v>
      </c>
      <c r="E999">
        <v>82261904</v>
      </c>
      <c r="F999">
        <v>155395075100</v>
      </c>
    </row>
    <row r="1000" spans="1:6" x14ac:dyDescent="0.3">
      <c r="A1000">
        <v>16</v>
      </c>
      <c r="B1000" t="s">
        <v>7307</v>
      </c>
      <c r="C1000" t="s">
        <v>5250</v>
      </c>
      <c r="E1000">
        <v>82261904</v>
      </c>
      <c r="F1000">
        <v>155312813196</v>
      </c>
    </row>
    <row r="1001" spans="1:6" x14ac:dyDescent="0.3">
      <c r="A1001">
        <v>16</v>
      </c>
      <c r="B1001" t="s">
        <v>7252</v>
      </c>
      <c r="C1001" t="s">
        <v>5711</v>
      </c>
      <c r="E1001">
        <v>60500000</v>
      </c>
      <c r="F1001">
        <v>155230551292</v>
      </c>
    </row>
    <row r="1002" spans="1:6" x14ac:dyDescent="0.3">
      <c r="A1002">
        <v>16</v>
      </c>
      <c r="B1002" t="s">
        <v>7203</v>
      </c>
      <c r="C1002" t="s">
        <v>5710</v>
      </c>
      <c r="E1002">
        <v>33000000</v>
      </c>
      <c r="F1002">
        <v>155170051292</v>
      </c>
    </row>
    <row r="1003" spans="1:6" x14ac:dyDescent="0.3">
      <c r="A1003">
        <v>16</v>
      </c>
      <c r="B1003" t="s">
        <v>7154</v>
      </c>
      <c r="C1003" t="s">
        <v>5709</v>
      </c>
      <c r="E1003">
        <v>51818181</v>
      </c>
      <c r="F1003">
        <v>155137051292</v>
      </c>
    </row>
    <row r="1004" spans="1:6" x14ac:dyDescent="0.3">
      <c r="A1004">
        <v>16</v>
      </c>
      <c r="B1004" t="s">
        <v>7251</v>
      </c>
      <c r="C1004" t="s">
        <v>5708</v>
      </c>
      <c r="E1004">
        <v>50909090</v>
      </c>
      <c r="F1004">
        <v>155085233111</v>
      </c>
    </row>
    <row r="1005" spans="1:6" x14ac:dyDescent="0.3">
      <c r="A1005">
        <v>16</v>
      </c>
      <c r="B1005" t="s">
        <v>7251</v>
      </c>
      <c r="C1005" t="s">
        <v>4290</v>
      </c>
      <c r="E1005">
        <v>35454545</v>
      </c>
      <c r="F1005">
        <v>155034324021</v>
      </c>
    </row>
    <row r="1006" spans="1:6" x14ac:dyDescent="0.3">
      <c r="A1006">
        <v>16</v>
      </c>
      <c r="B1006" t="s">
        <v>7203</v>
      </c>
      <c r="C1006" t="s">
        <v>4290</v>
      </c>
      <c r="E1006">
        <v>37272727</v>
      </c>
      <c r="F1006">
        <v>154998869476</v>
      </c>
    </row>
    <row r="1007" spans="1:6" x14ac:dyDescent="0.3">
      <c r="A1007">
        <v>16</v>
      </c>
      <c r="B1007" t="s">
        <v>7251</v>
      </c>
      <c r="C1007" t="s">
        <v>5707</v>
      </c>
      <c r="E1007">
        <v>16856000</v>
      </c>
      <c r="F1007">
        <v>154961596749</v>
      </c>
    </row>
    <row r="1008" spans="1:6" x14ac:dyDescent="0.3">
      <c r="A1008">
        <v>16</v>
      </c>
      <c r="B1008" t="s">
        <v>7153</v>
      </c>
      <c r="C1008" t="s">
        <v>5701</v>
      </c>
      <c r="E1008">
        <v>57481996</v>
      </c>
      <c r="F1008">
        <v>154944740749</v>
      </c>
    </row>
    <row r="1009" spans="1:6" x14ac:dyDescent="0.3">
      <c r="A1009">
        <v>16</v>
      </c>
      <c r="B1009" t="s">
        <v>7156</v>
      </c>
      <c r="C1009" t="s">
        <v>4455</v>
      </c>
      <c r="E1009">
        <v>15454546</v>
      </c>
      <c r="F1009">
        <v>154887258753</v>
      </c>
    </row>
    <row r="1010" spans="1:6" x14ac:dyDescent="0.3">
      <c r="A1010">
        <v>16</v>
      </c>
      <c r="B1010" t="s">
        <v>7170</v>
      </c>
      <c r="C1010" t="s">
        <v>4971</v>
      </c>
      <c r="E1010">
        <v>168000000</v>
      </c>
      <c r="F1010">
        <v>154871804207</v>
      </c>
    </row>
    <row r="1011" spans="1:6" x14ac:dyDescent="0.3">
      <c r="A1011">
        <v>16</v>
      </c>
      <c r="B1011" t="s">
        <v>7282</v>
      </c>
      <c r="C1011" t="s">
        <v>5706</v>
      </c>
      <c r="E1011">
        <v>151000000</v>
      </c>
      <c r="F1011">
        <v>154703804207</v>
      </c>
    </row>
    <row r="1012" spans="1:6" x14ac:dyDescent="0.3">
      <c r="A1012">
        <v>16</v>
      </c>
      <c r="B1012" t="s">
        <v>7282</v>
      </c>
      <c r="C1012" t="s">
        <v>5705</v>
      </c>
      <c r="E1012">
        <v>153000000</v>
      </c>
      <c r="F1012">
        <v>154552804207</v>
      </c>
    </row>
    <row r="1013" spans="1:6" x14ac:dyDescent="0.3">
      <c r="A1013">
        <v>16</v>
      </c>
      <c r="B1013" t="s">
        <v>7154</v>
      </c>
      <c r="C1013" t="s">
        <v>5704</v>
      </c>
      <c r="E1013">
        <v>50909091</v>
      </c>
      <c r="F1013">
        <v>154399804207</v>
      </c>
    </row>
    <row r="1014" spans="1:6" x14ac:dyDescent="0.3">
      <c r="A1014">
        <v>16</v>
      </c>
      <c r="B1014" t="s">
        <v>7156</v>
      </c>
      <c r="C1014" t="s">
        <v>5703</v>
      </c>
      <c r="E1014">
        <v>15013636</v>
      </c>
      <c r="F1014">
        <v>154348895116</v>
      </c>
    </row>
    <row r="1015" spans="1:6" x14ac:dyDescent="0.3">
      <c r="A1015">
        <v>16</v>
      </c>
      <c r="B1015" t="s">
        <v>7203</v>
      </c>
      <c r="C1015" t="s">
        <v>5702</v>
      </c>
      <c r="E1015">
        <v>35500000</v>
      </c>
      <c r="F1015">
        <v>154333881480</v>
      </c>
    </row>
    <row r="1016" spans="1:6" x14ac:dyDescent="0.3">
      <c r="A1016">
        <v>16</v>
      </c>
      <c r="B1016" t="s">
        <v>7156</v>
      </c>
      <c r="C1016" t="s">
        <v>5696</v>
      </c>
      <c r="E1016">
        <v>14636364</v>
      </c>
      <c r="F1016">
        <v>154298381480</v>
      </c>
    </row>
    <row r="1017" spans="1:6" x14ac:dyDescent="0.3">
      <c r="A1017">
        <v>16</v>
      </c>
      <c r="B1017" t="s">
        <v>7214</v>
      </c>
      <c r="C1017" t="s">
        <v>5701</v>
      </c>
      <c r="E1017">
        <v>108693634</v>
      </c>
      <c r="F1017">
        <v>154283745116</v>
      </c>
    </row>
    <row r="1018" spans="1:6" x14ac:dyDescent="0.3">
      <c r="A1018">
        <v>16</v>
      </c>
      <c r="B1018" t="s">
        <v>7203</v>
      </c>
      <c r="C1018" t="s">
        <v>5700</v>
      </c>
      <c r="E1018">
        <v>34272727</v>
      </c>
      <c r="F1018">
        <v>154175051482</v>
      </c>
    </row>
    <row r="1019" spans="1:6" x14ac:dyDescent="0.3">
      <c r="A1019">
        <v>16</v>
      </c>
      <c r="B1019" t="s">
        <v>7156</v>
      </c>
      <c r="C1019" t="s">
        <v>5699</v>
      </c>
      <c r="E1019">
        <v>15000000</v>
      </c>
      <c r="F1019">
        <v>154140778755</v>
      </c>
    </row>
    <row r="1020" spans="1:6" x14ac:dyDescent="0.3">
      <c r="A1020">
        <v>16</v>
      </c>
      <c r="B1020" t="s">
        <v>7273</v>
      </c>
      <c r="C1020" t="s">
        <v>5698</v>
      </c>
      <c r="E1020">
        <v>163000000</v>
      </c>
      <c r="F1020">
        <v>154125778755</v>
      </c>
    </row>
    <row r="1021" spans="1:6" x14ac:dyDescent="0.3">
      <c r="A1021">
        <v>16</v>
      </c>
      <c r="B1021" t="s">
        <v>7170</v>
      </c>
      <c r="C1021" t="s">
        <v>5697</v>
      </c>
      <c r="E1021">
        <v>170000000</v>
      </c>
      <c r="F1021">
        <v>153962778755</v>
      </c>
    </row>
    <row r="1022" spans="1:6" x14ac:dyDescent="0.3">
      <c r="A1022">
        <v>16</v>
      </c>
      <c r="B1022" t="s">
        <v>7307</v>
      </c>
      <c r="C1022" t="s">
        <v>5250</v>
      </c>
      <c r="E1022">
        <v>82261904</v>
      </c>
      <c r="F1022">
        <v>153792778755</v>
      </c>
    </row>
    <row r="1023" spans="1:6" x14ac:dyDescent="0.3">
      <c r="A1023">
        <v>16</v>
      </c>
      <c r="B1023" t="s">
        <v>7307</v>
      </c>
      <c r="C1023" t="s">
        <v>5250</v>
      </c>
      <c r="E1023">
        <v>82261904</v>
      </c>
      <c r="F1023">
        <v>153710516851</v>
      </c>
    </row>
    <row r="1024" spans="1:6" x14ac:dyDescent="0.3">
      <c r="A1024">
        <v>16</v>
      </c>
      <c r="B1024" t="s">
        <v>7307</v>
      </c>
      <c r="C1024" t="s">
        <v>5250</v>
      </c>
      <c r="E1024">
        <v>82261904</v>
      </c>
      <c r="F1024">
        <v>153628254947</v>
      </c>
    </row>
    <row r="1025" spans="1:6" x14ac:dyDescent="0.3">
      <c r="A1025">
        <v>16</v>
      </c>
      <c r="B1025" t="s">
        <v>7307</v>
      </c>
      <c r="C1025" t="s">
        <v>5250</v>
      </c>
      <c r="E1025">
        <v>82261904</v>
      </c>
      <c r="F1025">
        <v>153545993043</v>
      </c>
    </row>
    <row r="1026" spans="1:6" x14ac:dyDescent="0.3">
      <c r="A1026">
        <v>16</v>
      </c>
      <c r="B1026" t="s">
        <v>7307</v>
      </c>
      <c r="C1026" t="s">
        <v>5250</v>
      </c>
      <c r="E1026">
        <v>82261904</v>
      </c>
      <c r="F1026">
        <v>153463731139</v>
      </c>
    </row>
    <row r="1027" spans="1:6" x14ac:dyDescent="0.3">
      <c r="A1027">
        <v>16</v>
      </c>
      <c r="B1027" t="s">
        <v>7307</v>
      </c>
      <c r="C1027" t="s">
        <v>5250</v>
      </c>
      <c r="E1027">
        <v>82261904</v>
      </c>
      <c r="F1027">
        <v>153381469235</v>
      </c>
    </row>
    <row r="1028" spans="1:6" x14ac:dyDescent="0.3">
      <c r="A1028">
        <v>16</v>
      </c>
      <c r="B1028" t="s">
        <v>7307</v>
      </c>
      <c r="C1028" t="s">
        <v>5250</v>
      </c>
      <c r="E1028">
        <v>82261904</v>
      </c>
      <c r="F1028">
        <v>153299207331</v>
      </c>
    </row>
    <row r="1029" spans="1:6" x14ac:dyDescent="0.3">
      <c r="A1029">
        <v>16</v>
      </c>
      <c r="B1029" t="s">
        <v>7307</v>
      </c>
      <c r="C1029" t="s">
        <v>5250</v>
      </c>
      <c r="E1029">
        <v>82261904</v>
      </c>
      <c r="F1029">
        <v>153216945427</v>
      </c>
    </row>
    <row r="1030" spans="1:6" x14ac:dyDescent="0.3">
      <c r="A1030">
        <v>16</v>
      </c>
      <c r="B1030" t="s">
        <v>7307</v>
      </c>
      <c r="C1030" t="s">
        <v>5250</v>
      </c>
      <c r="E1030">
        <v>82261904</v>
      </c>
      <c r="F1030">
        <v>153134683523</v>
      </c>
    </row>
    <row r="1031" spans="1:6" x14ac:dyDescent="0.3">
      <c r="A1031">
        <v>16</v>
      </c>
      <c r="B1031" t="s">
        <v>7307</v>
      </c>
      <c r="C1031" t="s">
        <v>5250</v>
      </c>
      <c r="E1031">
        <v>82261904</v>
      </c>
      <c r="F1031">
        <v>153052421619</v>
      </c>
    </row>
    <row r="1032" spans="1:6" x14ac:dyDescent="0.3">
      <c r="A1032">
        <v>16</v>
      </c>
      <c r="B1032" t="s">
        <v>7156</v>
      </c>
      <c r="C1032" t="s">
        <v>5696</v>
      </c>
      <c r="E1032">
        <v>14636364</v>
      </c>
      <c r="F1032">
        <v>152970159715</v>
      </c>
    </row>
    <row r="1033" spans="1:6" x14ac:dyDescent="0.3">
      <c r="A1033">
        <v>16</v>
      </c>
      <c r="B1033" t="s">
        <v>7273</v>
      </c>
      <c r="C1033" t="s">
        <v>5695</v>
      </c>
      <c r="E1033">
        <v>163000000</v>
      </c>
      <c r="F1033">
        <v>152955523351</v>
      </c>
    </row>
    <row r="1034" spans="1:6" x14ac:dyDescent="0.3">
      <c r="A1034">
        <v>16</v>
      </c>
      <c r="B1034" t="s">
        <v>7170</v>
      </c>
      <c r="C1034" t="s">
        <v>5694</v>
      </c>
      <c r="E1034">
        <v>170000000</v>
      </c>
      <c r="F1034">
        <v>152792523351</v>
      </c>
    </row>
    <row r="1035" spans="1:6" x14ac:dyDescent="0.3">
      <c r="A1035">
        <v>16</v>
      </c>
      <c r="B1035" t="s">
        <v>7251</v>
      </c>
      <c r="C1035" t="s">
        <v>5693</v>
      </c>
      <c r="E1035">
        <v>16856000</v>
      </c>
      <c r="F1035">
        <v>152622523351</v>
      </c>
    </row>
    <row r="1036" spans="1:6" x14ac:dyDescent="0.3">
      <c r="A1036">
        <v>16</v>
      </c>
      <c r="B1036" t="s">
        <v>7251</v>
      </c>
      <c r="C1036" t="s">
        <v>5693</v>
      </c>
      <c r="E1036">
        <v>16856000</v>
      </c>
      <c r="F1036">
        <v>152605667351</v>
      </c>
    </row>
    <row r="1037" spans="1:6" x14ac:dyDescent="0.3">
      <c r="A1037">
        <v>16</v>
      </c>
      <c r="B1037" t="s">
        <v>7251</v>
      </c>
      <c r="C1037" t="s">
        <v>5693</v>
      </c>
      <c r="E1037">
        <v>16856000</v>
      </c>
      <c r="F1037">
        <v>152588811351</v>
      </c>
    </row>
    <row r="1038" spans="1:6" x14ac:dyDescent="0.3">
      <c r="A1038">
        <v>16</v>
      </c>
      <c r="B1038" t="s">
        <v>7156</v>
      </c>
      <c r="C1038" t="s">
        <v>5690</v>
      </c>
      <c r="E1038">
        <v>15150000</v>
      </c>
      <c r="F1038">
        <v>152571955351</v>
      </c>
    </row>
    <row r="1039" spans="1:6" x14ac:dyDescent="0.3">
      <c r="A1039">
        <v>16</v>
      </c>
      <c r="B1039" t="s">
        <v>7156</v>
      </c>
      <c r="C1039" t="s">
        <v>5690</v>
      </c>
      <c r="E1039">
        <v>-15150000</v>
      </c>
      <c r="F1039">
        <v>152556805351</v>
      </c>
    </row>
    <row r="1040" spans="1:6" x14ac:dyDescent="0.3">
      <c r="A1040">
        <v>16</v>
      </c>
      <c r="B1040" t="s">
        <v>7251</v>
      </c>
      <c r="C1040" t="s">
        <v>5692</v>
      </c>
      <c r="E1040">
        <v>17765000</v>
      </c>
      <c r="F1040">
        <v>152571955351</v>
      </c>
    </row>
    <row r="1041" spans="1:6" x14ac:dyDescent="0.3">
      <c r="A1041">
        <v>16</v>
      </c>
      <c r="B1041" t="s">
        <v>7203</v>
      </c>
      <c r="C1041" t="s">
        <v>3716</v>
      </c>
      <c r="E1041">
        <v>16900000</v>
      </c>
      <c r="F1041">
        <v>152554190351</v>
      </c>
    </row>
    <row r="1042" spans="1:6" x14ac:dyDescent="0.3">
      <c r="A1042">
        <v>16</v>
      </c>
      <c r="B1042" t="s">
        <v>7251</v>
      </c>
      <c r="C1042" t="s">
        <v>3716</v>
      </c>
      <c r="E1042">
        <v>16900000</v>
      </c>
      <c r="F1042">
        <v>152537290351</v>
      </c>
    </row>
    <row r="1043" spans="1:6" x14ac:dyDescent="0.3">
      <c r="A1043">
        <v>16</v>
      </c>
      <c r="B1043" t="s">
        <v>7203</v>
      </c>
      <c r="C1043" t="s">
        <v>5691</v>
      </c>
      <c r="E1043">
        <v>35000000</v>
      </c>
      <c r="F1043">
        <v>152520390351</v>
      </c>
    </row>
    <row r="1044" spans="1:6" x14ac:dyDescent="0.3">
      <c r="A1044">
        <v>16</v>
      </c>
      <c r="B1044" t="s">
        <v>7203</v>
      </c>
      <c r="C1044" t="s">
        <v>4142</v>
      </c>
      <c r="E1044">
        <v>37272727</v>
      </c>
      <c r="F1044">
        <v>152485390351</v>
      </c>
    </row>
    <row r="1045" spans="1:6" x14ac:dyDescent="0.3">
      <c r="A1045">
        <v>16</v>
      </c>
      <c r="B1045" t="s">
        <v>7251</v>
      </c>
      <c r="C1045" t="s">
        <v>3720</v>
      </c>
      <c r="E1045">
        <v>16900000</v>
      </c>
      <c r="F1045">
        <v>152448117624</v>
      </c>
    </row>
    <row r="1046" spans="1:6" x14ac:dyDescent="0.3">
      <c r="A1046">
        <v>16</v>
      </c>
      <c r="B1046" t="s">
        <v>7156</v>
      </c>
      <c r="C1046" t="s">
        <v>5690</v>
      </c>
      <c r="E1046">
        <v>15150000</v>
      </c>
      <c r="F1046">
        <v>152431217624</v>
      </c>
    </row>
    <row r="1047" spans="1:6" x14ac:dyDescent="0.3">
      <c r="A1047">
        <v>16</v>
      </c>
      <c r="B1047" t="s">
        <v>7155</v>
      </c>
      <c r="C1047" t="s">
        <v>5689</v>
      </c>
      <c r="E1047">
        <v>130778340</v>
      </c>
      <c r="F1047">
        <v>152416067624</v>
      </c>
    </row>
    <row r="1048" spans="1:6" x14ac:dyDescent="0.3">
      <c r="A1048">
        <v>16</v>
      </c>
      <c r="B1048" t="s">
        <v>7176</v>
      </c>
      <c r="C1048" t="s">
        <v>5688</v>
      </c>
      <c r="E1048">
        <v>40909091</v>
      </c>
      <c r="F1048">
        <v>152285289284</v>
      </c>
    </row>
    <row r="1049" spans="1:6" x14ac:dyDescent="0.3">
      <c r="A1049">
        <v>16</v>
      </c>
      <c r="B1049" t="s">
        <v>7176</v>
      </c>
      <c r="C1049" t="s">
        <v>5687</v>
      </c>
      <c r="E1049">
        <v>40500000</v>
      </c>
      <c r="F1049">
        <v>152244380193</v>
      </c>
    </row>
    <row r="1050" spans="1:6" x14ac:dyDescent="0.3">
      <c r="A1050">
        <v>16</v>
      </c>
      <c r="B1050" t="s">
        <v>7203</v>
      </c>
      <c r="C1050" t="s">
        <v>4872</v>
      </c>
      <c r="E1050">
        <v>16900000</v>
      </c>
      <c r="F1050">
        <v>152203880193</v>
      </c>
    </row>
    <row r="1051" spans="1:6" x14ac:dyDescent="0.3">
      <c r="A1051">
        <v>16</v>
      </c>
      <c r="B1051" t="s">
        <v>7203</v>
      </c>
      <c r="C1051" t="s">
        <v>5686</v>
      </c>
      <c r="E1051">
        <v>33720000</v>
      </c>
      <c r="F1051">
        <v>152186980193</v>
      </c>
    </row>
    <row r="1052" spans="1:6" x14ac:dyDescent="0.3">
      <c r="A1052">
        <v>16</v>
      </c>
      <c r="B1052" t="s">
        <v>7176</v>
      </c>
      <c r="C1052" t="s">
        <v>5685</v>
      </c>
      <c r="E1052">
        <v>42727273</v>
      </c>
      <c r="F1052">
        <v>152153260193</v>
      </c>
    </row>
    <row r="1053" spans="1:6" x14ac:dyDescent="0.3">
      <c r="A1053">
        <v>16</v>
      </c>
      <c r="B1053" t="s">
        <v>7251</v>
      </c>
      <c r="C1053" t="s">
        <v>5684</v>
      </c>
      <c r="E1053">
        <v>33636363</v>
      </c>
      <c r="F1053">
        <v>152110532920</v>
      </c>
    </row>
    <row r="1054" spans="1:6" x14ac:dyDescent="0.3">
      <c r="A1054">
        <v>16</v>
      </c>
      <c r="B1054" t="s">
        <v>7251</v>
      </c>
      <c r="C1054" t="s">
        <v>3635</v>
      </c>
      <c r="E1054">
        <v>14664000</v>
      </c>
      <c r="F1054">
        <v>152076896557</v>
      </c>
    </row>
    <row r="1055" spans="1:6" x14ac:dyDescent="0.3">
      <c r="A1055">
        <v>16</v>
      </c>
      <c r="B1055" t="s">
        <v>7156</v>
      </c>
      <c r="C1055" t="s">
        <v>5683</v>
      </c>
      <c r="E1055">
        <v>15800000</v>
      </c>
      <c r="F1055">
        <v>152062232557</v>
      </c>
    </row>
    <row r="1056" spans="1:6" x14ac:dyDescent="0.3">
      <c r="A1056">
        <v>16</v>
      </c>
      <c r="B1056" t="s">
        <v>7203</v>
      </c>
      <c r="C1056" t="s">
        <v>5596</v>
      </c>
      <c r="E1056">
        <v>33818181</v>
      </c>
      <c r="F1056">
        <v>152046432557</v>
      </c>
    </row>
    <row r="1057" spans="1:6" x14ac:dyDescent="0.3">
      <c r="A1057">
        <v>16</v>
      </c>
      <c r="B1057" t="s">
        <v>7203</v>
      </c>
      <c r="C1057" t="s">
        <v>5098</v>
      </c>
      <c r="E1057">
        <v>36900000</v>
      </c>
      <c r="F1057">
        <v>152012614376</v>
      </c>
    </row>
    <row r="1058" spans="1:6" x14ac:dyDescent="0.3">
      <c r="A1058">
        <v>16</v>
      </c>
      <c r="B1058" t="s">
        <v>7203</v>
      </c>
      <c r="C1058" t="s">
        <v>5682</v>
      </c>
      <c r="E1058">
        <v>37272727</v>
      </c>
      <c r="F1058">
        <v>151975714376</v>
      </c>
    </row>
    <row r="1059" spans="1:6" x14ac:dyDescent="0.3">
      <c r="A1059">
        <v>16</v>
      </c>
      <c r="B1059" t="s">
        <v>7176</v>
      </c>
      <c r="C1059" t="s">
        <v>4190</v>
      </c>
      <c r="E1059">
        <v>42700000</v>
      </c>
      <c r="F1059">
        <v>151938441649</v>
      </c>
    </row>
    <row r="1060" spans="1:6" x14ac:dyDescent="0.3">
      <c r="A1060">
        <v>16</v>
      </c>
      <c r="B1060" t="s">
        <v>7154</v>
      </c>
      <c r="C1060" t="s">
        <v>5681</v>
      </c>
      <c r="E1060">
        <v>50909090</v>
      </c>
      <c r="F1060">
        <v>151895741649</v>
      </c>
    </row>
    <row r="1061" spans="1:6" x14ac:dyDescent="0.3">
      <c r="A1061">
        <v>16</v>
      </c>
      <c r="B1061" t="s">
        <v>7203</v>
      </c>
      <c r="C1061" t="s">
        <v>4073</v>
      </c>
      <c r="E1061">
        <v>35000000</v>
      </c>
      <c r="F1061">
        <v>151844832559</v>
      </c>
    </row>
    <row r="1062" spans="1:6" x14ac:dyDescent="0.3">
      <c r="A1062">
        <v>16</v>
      </c>
      <c r="B1062" t="s">
        <v>7203</v>
      </c>
      <c r="C1062" t="s">
        <v>5639</v>
      </c>
      <c r="E1062">
        <v>35909091</v>
      </c>
      <c r="F1062">
        <v>151809832559</v>
      </c>
    </row>
    <row r="1063" spans="1:6" x14ac:dyDescent="0.3">
      <c r="A1063">
        <v>16</v>
      </c>
      <c r="B1063" t="s">
        <v>7203</v>
      </c>
      <c r="C1063" t="s">
        <v>5680</v>
      </c>
      <c r="E1063">
        <v>33000000</v>
      </c>
      <c r="F1063">
        <v>151773923468</v>
      </c>
    </row>
    <row r="1064" spans="1:6" x14ac:dyDescent="0.3">
      <c r="A1064">
        <v>16</v>
      </c>
      <c r="B1064" t="s">
        <v>7203</v>
      </c>
      <c r="C1064" t="s">
        <v>5679</v>
      </c>
      <c r="E1064">
        <v>33636364</v>
      </c>
      <c r="F1064">
        <v>151740923468</v>
      </c>
    </row>
    <row r="1065" spans="1:6" x14ac:dyDescent="0.3">
      <c r="A1065">
        <v>16</v>
      </c>
      <c r="B1065" t="s">
        <v>7247</v>
      </c>
      <c r="C1065" t="s">
        <v>5678</v>
      </c>
      <c r="E1065">
        <v>44000000</v>
      </c>
      <c r="F1065">
        <v>151707287104</v>
      </c>
    </row>
    <row r="1066" spans="1:6" x14ac:dyDescent="0.3">
      <c r="A1066">
        <v>16</v>
      </c>
      <c r="B1066" t="s">
        <v>2954</v>
      </c>
      <c r="C1066" t="s">
        <v>5673</v>
      </c>
      <c r="E1066">
        <v>13000000</v>
      </c>
      <c r="F1066">
        <v>151663287104</v>
      </c>
    </row>
    <row r="1067" spans="1:6" x14ac:dyDescent="0.3">
      <c r="A1067">
        <v>16</v>
      </c>
      <c r="B1067" t="s">
        <v>7156</v>
      </c>
      <c r="C1067" t="s">
        <v>5673</v>
      </c>
      <c r="E1067">
        <v>-13000000</v>
      </c>
      <c r="F1067">
        <v>151650287104</v>
      </c>
    </row>
    <row r="1068" spans="1:6" x14ac:dyDescent="0.3">
      <c r="A1068">
        <v>16</v>
      </c>
      <c r="B1068" t="s">
        <v>7203</v>
      </c>
      <c r="C1068" t="s">
        <v>4342</v>
      </c>
      <c r="E1068">
        <v>37000000</v>
      </c>
      <c r="F1068">
        <v>151663287104</v>
      </c>
    </row>
    <row r="1069" spans="1:6" x14ac:dyDescent="0.3">
      <c r="A1069">
        <v>16</v>
      </c>
      <c r="B1069" t="s">
        <v>7170</v>
      </c>
      <c r="C1069" t="s">
        <v>5677</v>
      </c>
      <c r="E1069">
        <v>166000000</v>
      </c>
      <c r="F1069">
        <v>151626287104</v>
      </c>
    </row>
    <row r="1070" spans="1:6" x14ac:dyDescent="0.3">
      <c r="A1070">
        <v>16</v>
      </c>
      <c r="B1070" t="s">
        <v>7282</v>
      </c>
      <c r="C1070" t="s">
        <v>5676</v>
      </c>
      <c r="E1070">
        <v>153000000</v>
      </c>
      <c r="F1070">
        <v>151460287104</v>
      </c>
    </row>
    <row r="1071" spans="1:6" x14ac:dyDescent="0.3">
      <c r="A1071">
        <v>16</v>
      </c>
      <c r="B1071" t="s">
        <v>7261</v>
      </c>
      <c r="C1071" t="s">
        <v>4219</v>
      </c>
      <c r="E1071">
        <v>170000000</v>
      </c>
      <c r="F1071">
        <v>151307287104</v>
      </c>
    </row>
    <row r="1072" spans="1:6" x14ac:dyDescent="0.3">
      <c r="A1072">
        <v>16</v>
      </c>
      <c r="B1072" t="s">
        <v>7203</v>
      </c>
      <c r="C1072" t="s">
        <v>5376</v>
      </c>
      <c r="E1072">
        <v>36500000</v>
      </c>
      <c r="F1072">
        <v>151137287104</v>
      </c>
    </row>
    <row r="1073" spans="1:6" x14ac:dyDescent="0.3">
      <c r="A1073">
        <v>16</v>
      </c>
      <c r="B1073" t="s">
        <v>7203</v>
      </c>
      <c r="C1073" t="s">
        <v>5675</v>
      </c>
      <c r="E1073">
        <v>35100000</v>
      </c>
      <c r="F1073">
        <v>151100787104</v>
      </c>
    </row>
    <row r="1074" spans="1:6" x14ac:dyDescent="0.3">
      <c r="A1074">
        <v>16</v>
      </c>
      <c r="B1074" t="s">
        <v>7203</v>
      </c>
      <c r="C1074" t="s">
        <v>5674</v>
      </c>
      <c r="E1074">
        <v>37272727</v>
      </c>
      <c r="F1074">
        <v>151065687104</v>
      </c>
    </row>
    <row r="1075" spans="1:6" x14ac:dyDescent="0.3">
      <c r="A1075">
        <v>16</v>
      </c>
      <c r="B1075" t="s">
        <v>7156</v>
      </c>
      <c r="C1075" t="s">
        <v>5673</v>
      </c>
      <c r="E1075">
        <v>13000000</v>
      </c>
      <c r="F1075">
        <v>151028414377</v>
      </c>
    </row>
    <row r="1076" spans="1:6" x14ac:dyDescent="0.3">
      <c r="A1076">
        <v>16</v>
      </c>
      <c r="B1076" t="s">
        <v>7247</v>
      </c>
      <c r="C1076" t="s">
        <v>5672</v>
      </c>
      <c r="E1076">
        <v>45800000</v>
      </c>
      <c r="F1076">
        <v>151015414377</v>
      </c>
    </row>
    <row r="1077" spans="1:6" x14ac:dyDescent="0.3">
      <c r="A1077">
        <v>16</v>
      </c>
      <c r="B1077" t="s">
        <v>7170</v>
      </c>
      <c r="C1077" t="s">
        <v>5671</v>
      </c>
      <c r="E1077">
        <v>167000000</v>
      </c>
      <c r="F1077">
        <v>150969614377</v>
      </c>
    </row>
    <row r="1078" spans="1:6" x14ac:dyDescent="0.3">
      <c r="A1078">
        <v>16</v>
      </c>
      <c r="B1078" t="s">
        <v>7294</v>
      </c>
      <c r="C1078" t="s">
        <v>4534</v>
      </c>
      <c r="E1078">
        <v>17765000</v>
      </c>
      <c r="F1078">
        <v>150802614377</v>
      </c>
    </row>
    <row r="1079" spans="1:6" x14ac:dyDescent="0.3">
      <c r="A1079">
        <v>16</v>
      </c>
      <c r="B1079" t="s">
        <v>7294</v>
      </c>
      <c r="C1079" t="s">
        <v>5600</v>
      </c>
      <c r="E1079">
        <v>16856000</v>
      </c>
      <c r="F1079">
        <v>150784849377</v>
      </c>
    </row>
    <row r="1080" spans="1:6" x14ac:dyDescent="0.3">
      <c r="A1080">
        <v>16</v>
      </c>
      <c r="B1080" t="s">
        <v>7203</v>
      </c>
      <c r="C1080" t="s">
        <v>5670</v>
      </c>
      <c r="E1080">
        <v>37272727</v>
      </c>
      <c r="F1080">
        <v>150767993377</v>
      </c>
    </row>
    <row r="1081" spans="1:6" x14ac:dyDescent="0.3">
      <c r="A1081">
        <v>16</v>
      </c>
      <c r="B1081" t="s">
        <v>7203</v>
      </c>
      <c r="C1081" t="s">
        <v>4820</v>
      </c>
      <c r="E1081">
        <v>37060000</v>
      </c>
      <c r="F1081">
        <v>150730720650</v>
      </c>
    </row>
    <row r="1082" spans="1:6" x14ac:dyDescent="0.3">
      <c r="A1082">
        <v>16</v>
      </c>
      <c r="B1082" t="s">
        <v>7309</v>
      </c>
      <c r="C1082" t="s">
        <v>4064</v>
      </c>
      <c r="E1082">
        <v>3190318</v>
      </c>
      <c r="F1082">
        <v>150693660650</v>
      </c>
    </row>
    <row r="1083" spans="1:6" x14ac:dyDescent="0.3">
      <c r="A1083">
        <v>16</v>
      </c>
      <c r="B1083" t="s">
        <v>7156</v>
      </c>
      <c r="C1083" t="s">
        <v>5669</v>
      </c>
      <c r="E1083">
        <v>14000000</v>
      </c>
      <c r="F1083">
        <v>150690470332</v>
      </c>
    </row>
    <row r="1084" spans="1:6" x14ac:dyDescent="0.3">
      <c r="A1084">
        <v>16</v>
      </c>
      <c r="B1084" t="s">
        <v>7261</v>
      </c>
      <c r="C1084" t="s">
        <v>5668</v>
      </c>
      <c r="E1084">
        <v>140000000</v>
      </c>
      <c r="F1084">
        <v>150676470332</v>
      </c>
    </row>
    <row r="1085" spans="1:6" x14ac:dyDescent="0.3">
      <c r="A1085">
        <v>16</v>
      </c>
      <c r="B1085" t="s">
        <v>7154</v>
      </c>
      <c r="C1085" t="s">
        <v>5667</v>
      </c>
      <c r="E1085">
        <v>47500000</v>
      </c>
      <c r="F1085">
        <v>150536470332</v>
      </c>
    </row>
    <row r="1086" spans="1:6" x14ac:dyDescent="0.3">
      <c r="A1086">
        <v>16</v>
      </c>
      <c r="B1086" t="s">
        <v>7156</v>
      </c>
      <c r="C1086" t="s">
        <v>5666</v>
      </c>
      <c r="E1086">
        <v>15013636</v>
      </c>
      <c r="F1086">
        <v>150488970332</v>
      </c>
    </row>
    <row r="1087" spans="1:6" x14ac:dyDescent="0.3">
      <c r="A1087">
        <v>16</v>
      </c>
      <c r="B1087" t="s">
        <v>7307</v>
      </c>
      <c r="C1087" t="s">
        <v>5250</v>
      </c>
      <c r="E1087">
        <v>82261904</v>
      </c>
      <c r="F1087">
        <v>150473956696</v>
      </c>
    </row>
    <row r="1088" spans="1:6" x14ac:dyDescent="0.3">
      <c r="A1088">
        <v>16</v>
      </c>
      <c r="B1088" t="s">
        <v>7307</v>
      </c>
      <c r="C1088" t="s">
        <v>5250</v>
      </c>
      <c r="E1088">
        <v>82261904</v>
      </c>
      <c r="F1088">
        <v>150391694792</v>
      </c>
    </row>
    <row r="1089" spans="1:6" x14ac:dyDescent="0.3">
      <c r="A1089">
        <v>16</v>
      </c>
      <c r="B1089" t="s">
        <v>7307</v>
      </c>
      <c r="C1089" t="s">
        <v>5250</v>
      </c>
      <c r="E1089">
        <v>82261904</v>
      </c>
      <c r="F1089">
        <v>150309432888</v>
      </c>
    </row>
    <row r="1090" spans="1:6" x14ac:dyDescent="0.3">
      <c r="A1090">
        <v>16</v>
      </c>
      <c r="B1090" t="s">
        <v>7307</v>
      </c>
      <c r="C1090" t="s">
        <v>5250</v>
      </c>
      <c r="E1090">
        <v>82261904</v>
      </c>
      <c r="F1090">
        <v>150227170984</v>
      </c>
    </row>
    <row r="1091" spans="1:6" x14ac:dyDescent="0.3">
      <c r="A1091">
        <v>16</v>
      </c>
      <c r="B1091" t="s">
        <v>7307</v>
      </c>
      <c r="C1091" t="s">
        <v>5250</v>
      </c>
      <c r="E1091">
        <v>82261904</v>
      </c>
      <c r="F1091">
        <v>150144909080</v>
      </c>
    </row>
    <row r="1092" spans="1:6" x14ac:dyDescent="0.3">
      <c r="A1092">
        <v>16</v>
      </c>
      <c r="B1092" t="s">
        <v>7307</v>
      </c>
      <c r="C1092" t="s">
        <v>5250</v>
      </c>
      <c r="E1092">
        <v>82261904</v>
      </c>
      <c r="F1092">
        <v>150062647176</v>
      </c>
    </row>
    <row r="1093" spans="1:6" x14ac:dyDescent="0.3">
      <c r="A1093">
        <v>16</v>
      </c>
      <c r="B1093" t="s">
        <v>7307</v>
      </c>
      <c r="C1093" t="s">
        <v>5250</v>
      </c>
      <c r="E1093">
        <v>82261904</v>
      </c>
      <c r="F1093">
        <v>149980385272</v>
      </c>
    </row>
    <row r="1094" spans="1:6" x14ac:dyDescent="0.3">
      <c r="A1094">
        <v>16</v>
      </c>
      <c r="B1094" t="s">
        <v>7307</v>
      </c>
      <c r="C1094" t="s">
        <v>5250</v>
      </c>
      <c r="E1094">
        <v>82261904</v>
      </c>
      <c r="F1094">
        <v>149898123368</v>
      </c>
    </row>
    <row r="1095" spans="1:6" x14ac:dyDescent="0.3">
      <c r="A1095">
        <v>16</v>
      </c>
      <c r="B1095" t="s">
        <v>7307</v>
      </c>
      <c r="C1095" t="s">
        <v>5250</v>
      </c>
      <c r="E1095">
        <v>82261904</v>
      </c>
      <c r="F1095">
        <v>149815861464</v>
      </c>
    </row>
    <row r="1096" spans="1:6" x14ac:dyDescent="0.3">
      <c r="A1096">
        <v>16</v>
      </c>
      <c r="B1096" t="s">
        <v>7307</v>
      </c>
      <c r="C1096" t="s">
        <v>5250</v>
      </c>
      <c r="E1096">
        <v>82261904</v>
      </c>
      <c r="F1096">
        <v>149733599560</v>
      </c>
    </row>
    <row r="1097" spans="1:6" x14ac:dyDescent="0.3">
      <c r="A1097">
        <v>16</v>
      </c>
      <c r="B1097" t="s">
        <v>7154</v>
      </c>
      <c r="C1097" t="s">
        <v>5665</v>
      </c>
      <c r="E1097">
        <v>50909090</v>
      </c>
      <c r="F1097">
        <v>149651337656</v>
      </c>
    </row>
    <row r="1098" spans="1:6" x14ac:dyDescent="0.3">
      <c r="A1098">
        <v>16</v>
      </c>
      <c r="B1098" t="s">
        <v>7251</v>
      </c>
      <c r="C1098" t="s">
        <v>5664</v>
      </c>
      <c r="E1098">
        <v>34150000</v>
      </c>
      <c r="F1098">
        <v>149600428566</v>
      </c>
    </row>
    <row r="1099" spans="1:6" x14ac:dyDescent="0.3">
      <c r="A1099">
        <v>16</v>
      </c>
      <c r="B1099" t="s">
        <v>7251</v>
      </c>
      <c r="C1099" t="s">
        <v>5664</v>
      </c>
      <c r="E1099">
        <v>34150000</v>
      </c>
      <c r="F1099">
        <v>149566278566</v>
      </c>
    </row>
    <row r="1100" spans="1:6" x14ac:dyDescent="0.3">
      <c r="A1100">
        <v>16</v>
      </c>
      <c r="B1100" t="s">
        <v>7203</v>
      </c>
      <c r="C1100" t="s">
        <v>5663</v>
      </c>
      <c r="E1100">
        <v>36363636</v>
      </c>
      <c r="F1100">
        <v>149532128566</v>
      </c>
    </row>
    <row r="1101" spans="1:6" x14ac:dyDescent="0.3">
      <c r="A1101">
        <v>16</v>
      </c>
      <c r="B1101" t="s">
        <v>7156</v>
      </c>
      <c r="C1101" t="s">
        <v>5662</v>
      </c>
      <c r="E1101">
        <v>14500000</v>
      </c>
      <c r="F1101">
        <v>149495764930</v>
      </c>
    </row>
    <row r="1102" spans="1:6" x14ac:dyDescent="0.3">
      <c r="A1102">
        <v>16</v>
      </c>
      <c r="B1102" t="s">
        <v>7176</v>
      </c>
      <c r="C1102" t="s">
        <v>4477</v>
      </c>
      <c r="E1102">
        <v>44500000</v>
      </c>
      <c r="F1102">
        <v>149481264930</v>
      </c>
    </row>
    <row r="1103" spans="1:6" x14ac:dyDescent="0.3">
      <c r="A1103">
        <v>16</v>
      </c>
      <c r="B1103" t="s">
        <v>7251</v>
      </c>
      <c r="C1103" t="s">
        <v>5661</v>
      </c>
      <c r="E1103">
        <v>36600000</v>
      </c>
      <c r="F1103">
        <v>149436764930</v>
      </c>
    </row>
    <row r="1104" spans="1:6" x14ac:dyDescent="0.3">
      <c r="A1104">
        <v>16</v>
      </c>
      <c r="B1104" t="s">
        <v>7156</v>
      </c>
      <c r="C1104" t="s">
        <v>5660</v>
      </c>
      <c r="E1104">
        <v>14500000</v>
      </c>
      <c r="F1104">
        <v>149400164930</v>
      </c>
    </row>
    <row r="1105" spans="1:6" x14ac:dyDescent="0.3">
      <c r="A1105">
        <v>16</v>
      </c>
      <c r="B1105" t="s">
        <v>7170</v>
      </c>
      <c r="C1105" t="s">
        <v>4971</v>
      </c>
      <c r="E1105">
        <v>168000000</v>
      </c>
      <c r="F1105">
        <v>149385664930</v>
      </c>
    </row>
    <row r="1106" spans="1:6" x14ac:dyDescent="0.3">
      <c r="A1106">
        <v>16</v>
      </c>
      <c r="B1106" t="s">
        <v>7273</v>
      </c>
      <c r="C1106" t="s">
        <v>5156</v>
      </c>
      <c r="E1106">
        <v>161000000</v>
      </c>
      <c r="F1106">
        <v>149217664930</v>
      </c>
    </row>
    <row r="1107" spans="1:6" x14ac:dyDescent="0.3">
      <c r="A1107">
        <v>16</v>
      </c>
      <c r="B1107" t="s">
        <v>7203</v>
      </c>
      <c r="C1107" t="s">
        <v>4290</v>
      </c>
      <c r="E1107">
        <v>34500000</v>
      </c>
      <c r="F1107">
        <v>149056664930</v>
      </c>
    </row>
    <row r="1108" spans="1:6" x14ac:dyDescent="0.3">
      <c r="A1108">
        <v>16</v>
      </c>
      <c r="B1108" t="s">
        <v>7203</v>
      </c>
      <c r="C1108" t="s">
        <v>5659</v>
      </c>
      <c r="E1108">
        <v>35300000</v>
      </c>
      <c r="F1108">
        <v>149022164930</v>
      </c>
    </row>
    <row r="1109" spans="1:6" x14ac:dyDescent="0.3">
      <c r="A1109">
        <v>16</v>
      </c>
      <c r="B1109" t="s">
        <v>7176</v>
      </c>
      <c r="C1109" t="s">
        <v>5658</v>
      </c>
      <c r="E1109">
        <v>39700000</v>
      </c>
      <c r="F1109">
        <v>148986864930</v>
      </c>
    </row>
    <row r="1110" spans="1:6" x14ac:dyDescent="0.3">
      <c r="A1110">
        <v>16</v>
      </c>
      <c r="B1110" t="s">
        <v>7203</v>
      </c>
      <c r="C1110" t="s">
        <v>5657</v>
      </c>
      <c r="E1110">
        <v>34000000</v>
      </c>
      <c r="F1110">
        <v>148947164930</v>
      </c>
    </row>
    <row r="1111" spans="1:6" x14ac:dyDescent="0.3">
      <c r="A1111">
        <v>16</v>
      </c>
      <c r="B1111" t="s">
        <v>7203</v>
      </c>
      <c r="C1111" t="s">
        <v>3640</v>
      </c>
      <c r="E1111">
        <v>36500000</v>
      </c>
      <c r="F1111">
        <v>148913164930</v>
      </c>
    </row>
    <row r="1112" spans="1:6" x14ac:dyDescent="0.3">
      <c r="A1112">
        <v>16</v>
      </c>
      <c r="B1112" t="s">
        <v>7203</v>
      </c>
      <c r="C1112" t="s">
        <v>3640</v>
      </c>
      <c r="E1112">
        <v>36500000</v>
      </c>
      <c r="F1112">
        <v>148876664930</v>
      </c>
    </row>
    <row r="1113" spans="1:6" x14ac:dyDescent="0.3">
      <c r="A1113">
        <v>16</v>
      </c>
      <c r="B1113" t="s">
        <v>7203</v>
      </c>
      <c r="C1113" t="s">
        <v>5656</v>
      </c>
      <c r="E1113">
        <v>34500000</v>
      </c>
      <c r="F1113">
        <v>148840164930</v>
      </c>
    </row>
    <row r="1114" spans="1:6" x14ac:dyDescent="0.3">
      <c r="A1114">
        <v>16</v>
      </c>
      <c r="B1114" t="s">
        <v>7308</v>
      </c>
      <c r="C1114" t="s">
        <v>4305</v>
      </c>
      <c r="E1114">
        <v>1676637</v>
      </c>
      <c r="F1114">
        <v>148805664930</v>
      </c>
    </row>
    <row r="1115" spans="1:6" x14ac:dyDescent="0.3">
      <c r="A1115">
        <v>16</v>
      </c>
      <c r="B1115" t="s">
        <v>7170</v>
      </c>
      <c r="C1115" t="s">
        <v>5225</v>
      </c>
      <c r="E1115">
        <v>166000000</v>
      </c>
      <c r="F1115">
        <v>148803988293</v>
      </c>
    </row>
    <row r="1116" spans="1:6" x14ac:dyDescent="0.3">
      <c r="A1116">
        <v>16</v>
      </c>
      <c r="B1116" t="s">
        <v>7170</v>
      </c>
      <c r="C1116" t="s">
        <v>5655</v>
      </c>
      <c r="E1116">
        <v>167000000</v>
      </c>
      <c r="F1116">
        <v>148637988293</v>
      </c>
    </row>
    <row r="1117" spans="1:6" x14ac:dyDescent="0.3">
      <c r="A1117">
        <v>16</v>
      </c>
      <c r="B1117" t="s">
        <v>7261</v>
      </c>
      <c r="C1117" t="s">
        <v>5654</v>
      </c>
      <c r="E1117">
        <v>145000000</v>
      </c>
      <c r="F1117">
        <v>148470988293</v>
      </c>
    </row>
    <row r="1118" spans="1:6" x14ac:dyDescent="0.3">
      <c r="A1118">
        <v>16</v>
      </c>
      <c r="B1118" t="s">
        <v>7203</v>
      </c>
      <c r="C1118" t="s">
        <v>4128</v>
      </c>
      <c r="E1118">
        <v>33500000</v>
      </c>
      <c r="F1118">
        <v>148325988293</v>
      </c>
    </row>
    <row r="1119" spans="1:6" x14ac:dyDescent="0.3">
      <c r="A1119">
        <v>16</v>
      </c>
      <c r="B1119" t="s">
        <v>7307</v>
      </c>
      <c r="C1119" t="s">
        <v>5250</v>
      </c>
      <c r="E1119">
        <v>82261904</v>
      </c>
      <c r="F1119">
        <v>148292488293</v>
      </c>
    </row>
    <row r="1120" spans="1:6" x14ac:dyDescent="0.3">
      <c r="A1120">
        <v>16</v>
      </c>
      <c r="B1120" t="s">
        <v>7307</v>
      </c>
      <c r="C1120" t="s">
        <v>5250</v>
      </c>
      <c r="E1120">
        <v>82261904</v>
      </c>
      <c r="F1120">
        <v>148210226389</v>
      </c>
    </row>
    <row r="1121" spans="1:6" x14ac:dyDescent="0.3">
      <c r="A1121">
        <v>16</v>
      </c>
      <c r="B1121" t="s">
        <v>7307</v>
      </c>
      <c r="C1121" t="s">
        <v>5250</v>
      </c>
      <c r="E1121">
        <v>82261904</v>
      </c>
      <c r="F1121">
        <v>148127964485</v>
      </c>
    </row>
    <row r="1122" spans="1:6" x14ac:dyDescent="0.3">
      <c r="A1122">
        <v>16</v>
      </c>
      <c r="B1122" t="s">
        <v>7307</v>
      </c>
      <c r="C1122" t="s">
        <v>5250</v>
      </c>
      <c r="E1122">
        <v>82261904</v>
      </c>
      <c r="F1122">
        <v>148045702581</v>
      </c>
    </row>
    <row r="1123" spans="1:6" x14ac:dyDescent="0.3">
      <c r="A1123">
        <v>16</v>
      </c>
      <c r="B1123" t="s">
        <v>7307</v>
      </c>
      <c r="C1123" t="s">
        <v>5250</v>
      </c>
      <c r="E1123">
        <v>82261904</v>
      </c>
      <c r="F1123">
        <v>147963440677</v>
      </c>
    </row>
    <row r="1124" spans="1:6" x14ac:dyDescent="0.3">
      <c r="A1124">
        <v>16</v>
      </c>
      <c r="B1124" t="s">
        <v>7307</v>
      </c>
      <c r="C1124" t="s">
        <v>5250</v>
      </c>
      <c r="E1124">
        <v>82261904</v>
      </c>
      <c r="F1124">
        <v>147881178773</v>
      </c>
    </row>
    <row r="1125" spans="1:6" x14ac:dyDescent="0.3">
      <c r="A1125">
        <v>16</v>
      </c>
      <c r="B1125" t="s">
        <v>7307</v>
      </c>
      <c r="C1125" t="s">
        <v>5250</v>
      </c>
      <c r="E1125">
        <v>82261904</v>
      </c>
      <c r="F1125">
        <v>147798916869</v>
      </c>
    </row>
    <row r="1126" spans="1:6" x14ac:dyDescent="0.3">
      <c r="A1126">
        <v>16</v>
      </c>
      <c r="B1126" t="s">
        <v>7307</v>
      </c>
      <c r="C1126" t="s">
        <v>5250</v>
      </c>
      <c r="E1126">
        <v>82261904</v>
      </c>
      <c r="F1126">
        <v>147716654965</v>
      </c>
    </row>
    <row r="1127" spans="1:6" x14ac:dyDescent="0.3">
      <c r="A1127">
        <v>16</v>
      </c>
      <c r="B1127" t="s">
        <v>7307</v>
      </c>
      <c r="C1127" t="s">
        <v>5250</v>
      </c>
      <c r="E1127">
        <v>82261904</v>
      </c>
      <c r="F1127">
        <v>147634393061</v>
      </c>
    </row>
    <row r="1128" spans="1:6" x14ac:dyDescent="0.3">
      <c r="A1128">
        <v>16</v>
      </c>
      <c r="B1128" t="s">
        <v>7307</v>
      </c>
      <c r="C1128" t="s">
        <v>5250</v>
      </c>
      <c r="E1128">
        <v>82261904</v>
      </c>
      <c r="F1128">
        <v>147552131157</v>
      </c>
    </row>
    <row r="1129" spans="1:6" x14ac:dyDescent="0.3">
      <c r="A1129">
        <v>16</v>
      </c>
      <c r="B1129" t="s">
        <v>7203</v>
      </c>
      <c r="C1129" t="s">
        <v>5653</v>
      </c>
      <c r="E1129">
        <v>35000000</v>
      </c>
      <c r="F1129">
        <v>147469869253</v>
      </c>
    </row>
    <row r="1130" spans="1:6" x14ac:dyDescent="0.3">
      <c r="A1130">
        <v>16</v>
      </c>
      <c r="B1130" t="s">
        <v>7203</v>
      </c>
      <c r="C1130" t="s">
        <v>5653</v>
      </c>
      <c r="E1130">
        <v>34500000</v>
      </c>
      <c r="F1130">
        <v>147434869253</v>
      </c>
    </row>
    <row r="1131" spans="1:6" x14ac:dyDescent="0.3">
      <c r="A1131">
        <v>16</v>
      </c>
      <c r="B1131" t="s">
        <v>7203</v>
      </c>
      <c r="C1131" t="s">
        <v>5652</v>
      </c>
      <c r="E1131">
        <v>37272727</v>
      </c>
      <c r="F1131">
        <v>147400369253</v>
      </c>
    </row>
    <row r="1132" spans="1:6" x14ac:dyDescent="0.3">
      <c r="A1132">
        <v>16</v>
      </c>
      <c r="B1132" t="s">
        <v>7273</v>
      </c>
      <c r="C1132" t="s">
        <v>5651</v>
      </c>
      <c r="E1132">
        <v>160000000</v>
      </c>
      <c r="F1132">
        <v>147363096526</v>
      </c>
    </row>
    <row r="1133" spans="1:6" x14ac:dyDescent="0.3">
      <c r="A1133">
        <v>16</v>
      </c>
      <c r="B1133" t="s">
        <v>7273</v>
      </c>
      <c r="C1133" t="s">
        <v>5650</v>
      </c>
      <c r="E1133">
        <v>161000000</v>
      </c>
      <c r="F1133">
        <v>147203096526</v>
      </c>
    </row>
    <row r="1134" spans="1:6" x14ac:dyDescent="0.3">
      <c r="A1134">
        <v>16</v>
      </c>
      <c r="B1134" t="s">
        <v>7261</v>
      </c>
      <c r="C1134" t="s">
        <v>5649</v>
      </c>
      <c r="E1134">
        <v>141000000</v>
      </c>
      <c r="F1134">
        <v>147042096526</v>
      </c>
    </row>
    <row r="1135" spans="1:6" x14ac:dyDescent="0.3">
      <c r="A1135">
        <v>16</v>
      </c>
      <c r="B1135" t="s">
        <v>7203</v>
      </c>
      <c r="C1135" t="s">
        <v>5639</v>
      </c>
      <c r="E1135">
        <v>35909090</v>
      </c>
      <c r="F1135">
        <v>146901096526</v>
      </c>
    </row>
    <row r="1136" spans="1:6" x14ac:dyDescent="0.3">
      <c r="A1136">
        <v>16</v>
      </c>
      <c r="B1136" t="s">
        <v>7156</v>
      </c>
      <c r="C1136" t="s">
        <v>5250</v>
      </c>
      <c r="E1136">
        <v>13900000</v>
      </c>
      <c r="F1136">
        <v>146865187436</v>
      </c>
    </row>
    <row r="1137" spans="1:6" x14ac:dyDescent="0.3">
      <c r="A1137">
        <v>16</v>
      </c>
      <c r="B1137" t="s">
        <v>7261</v>
      </c>
      <c r="C1137" t="s">
        <v>5648</v>
      </c>
      <c r="E1137">
        <v>145500000</v>
      </c>
      <c r="F1137">
        <v>146851287436</v>
      </c>
    </row>
    <row r="1138" spans="1:6" x14ac:dyDescent="0.3">
      <c r="A1138">
        <v>16</v>
      </c>
      <c r="B1138" t="s">
        <v>7261</v>
      </c>
      <c r="C1138" t="s">
        <v>5647</v>
      </c>
      <c r="E1138">
        <v>145000000</v>
      </c>
      <c r="F1138">
        <v>146705787436</v>
      </c>
    </row>
    <row r="1139" spans="1:6" x14ac:dyDescent="0.3">
      <c r="A1139">
        <v>16</v>
      </c>
      <c r="B1139" t="s">
        <v>7261</v>
      </c>
      <c r="C1139" t="s">
        <v>5646</v>
      </c>
      <c r="E1139">
        <v>144000000</v>
      </c>
      <c r="F1139">
        <v>146560787436</v>
      </c>
    </row>
    <row r="1140" spans="1:6" x14ac:dyDescent="0.3">
      <c r="A1140">
        <v>16</v>
      </c>
      <c r="B1140" t="s">
        <v>7176</v>
      </c>
      <c r="C1140" t="s">
        <v>5247</v>
      </c>
      <c r="E1140">
        <v>41600000</v>
      </c>
      <c r="F1140">
        <v>146416787436</v>
      </c>
    </row>
    <row r="1141" spans="1:6" x14ac:dyDescent="0.3">
      <c r="A1141">
        <v>16</v>
      </c>
      <c r="B1141" t="s">
        <v>7154</v>
      </c>
      <c r="C1141" t="s">
        <v>5645</v>
      </c>
      <c r="E1141">
        <v>47800000</v>
      </c>
      <c r="F1141">
        <v>146375187436</v>
      </c>
    </row>
    <row r="1142" spans="1:6" x14ac:dyDescent="0.3">
      <c r="A1142">
        <v>16</v>
      </c>
      <c r="B1142" t="s">
        <v>7203</v>
      </c>
      <c r="C1142" t="s">
        <v>5644</v>
      </c>
      <c r="E1142">
        <v>36818182</v>
      </c>
      <c r="F1142">
        <v>146327387436</v>
      </c>
    </row>
    <row r="1143" spans="1:6" x14ac:dyDescent="0.3">
      <c r="A1143">
        <v>16</v>
      </c>
      <c r="B1143" t="s">
        <v>7176</v>
      </c>
      <c r="C1143" t="s">
        <v>5300</v>
      </c>
      <c r="E1143">
        <v>46500000</v>
      </c>
      <c r="F1143">
        <v>146290569254</v>
      </c>
    </row>
    <row r="1144" spans="1:6" x14ac:dyDescent="0.3">
      <c r="A1144">
        <v>16</v>
      </c>
      <c r="B1144" t="s">
        <v>7176</v>
      </c>
      <c r="C1144" t="s">
        <v>5300</v>
      </c>
      <c r="E1144">
        <v>46500000</v>
      </c>
      <c r="F1144">
        <v>146244069254</v>
      </c>
    </row>
    <row r="1145" spans="1:6" x14ac:dyDescent="0.3">
      <c r="A1145">
        <v>16</v>
      </c>
      <c r="B1145" t="s">
        <v>7203</v>
      </c>
      <c r="C1145" t="s">
        <v>5643</v>
      </c>
      <c r="E1145">
        <v>34000000</v>
      </c>
      <c r="F1145">
        <v>146197569254</v>
      </c>
    </row>
    <row r="1146" spans="1:6" x14ac:dyDescent="0.3">
      <c r="A1146">
        <v>16</v>
      </c>
      <c r="B1146" t="s">
        <v>7203</v>
      </c>
      <c r="C1146" t="s">
        <v>5643</v>
      </c>
      <c r="E1146">
        <v>34000000</v>
      </c>
      <c r="F1146">
        <v>146163569254</v>
      </c>
    </row>
    <row r="1147" spans="1:6" x14ac:dyDescent="0.3">
      <c r="A1147">
        <v>16</v>
      </c>
      <c r="B1147" t="s">
        <v>7203</v>
      </c>
      <c r="C1147" t="s">
        <v>5643</v>
      </c>
      <c r="E1147">
        <v>34000000</v>
      </c>
      <c r="F1147">
        <v>146129569254</v>
      </c>
    </row>
    <row r="1148" spans="1:6" x14ac:dyDescent="0.3">
      <c r="A1148">
        <v>16</v>
      </c>
      <c r="B1148" t="s">
        <v>7154</v>
      </c>
      <c r="C1148" t="s">
        <v>5642</v>
      </c>
      <c r="E1148">
        <v>49250000</v>
      </c>
      <c r="F1148">
        <v>146095569254</v>
      </c>
    </row>
    <row r="1149" spans="1:6" x14ac:dyDescent="0.3">
      <c r="A1149">
        <v>16</v>
      </c>
      <c r="B1149" t="s">
        <v>7154</v>
      </c>
      <c r="C1149" t="s">
        <v>5641</v>
      </c>
      <c r="E1149">
        <v>50454546</v>
      </c>
      <c r="F1149">
        <v>146046319254</v>
      </c>
    </row>
    <row r="1150" spans="1:6" x14ac:dyDescent="0.3">
      <c r="A1150">
        <v>16</v>
      </c>
      <c r="B1150" t="s">
        <v>7156</v>
      </c>
      <c r="C1150" t="s">
        <v>5640</v>
      </c>
      <c r="E1150">
        <v>14000000</v>
      </c>
      <c r="F1150">
        <v>145995864708</v>
      </c>
    </row>
    <row r="1151" spans="1:6" x14ac:dyDescent="0.3">
      <c r="A1151">
        <v>16</v>
      </c>
      <c r="B1151" t="s">
        <v>7156</v>
      </c>
      <c r="C1151" t="s">
        <v>5640</v>
      </c>
      <c r="E1151">
        <v>14000000</v>
      </c>
      <c r="F1151">
        <v>145981864708</v>
      </c>
    </row>
    <row r="1152" spans="1:6" x14ac:dyDescent="0.3">
      <c r="A1152">
        <v>16</v>
      </c>
      <c r="B1152" t="s">
        <v>7203</v>
      </c>
      <c r="C1152" t="s">
        <v>5639</v>
      </c>
      <c r="E1152">
        <v>35909091</v>
      </c>
      <c r="F1152">
        <v>145967864708</v>
      </c>
    </row>
    <row r="1153" spans="1:6" x14ac:dyDescent="0.3">
      <c r="A1153">
        <v>16</v>
      </c>
      <c r="B1153" t="s">
        <v>7203</v>
      </c>
      <c r="C1153" t="s">
        <v>5639</v>
      </c>
      <c r="E1153">
        <v>35909091</v>
      </c>
      <c r="F1153">
        <v>145931955617</v>
      </c>
    </row>
    <row r="1154" spans="1:6" x14ac:dyDescent="0.3">
      <c r="A1154">
        <v>16</v>
      </c>
      <c r="B1154" t="s">
        <v>7203</v>
      </c>
      <c r="C1154" t="s">
        <v>5639</v>
      </c>
      <c r="E1154">
        <v>35909091</v>
      </c>
      <c r="F1154">
        <v>145896046526</v>
      </c>
    </row>
    <row r="1155" spans="1:6" x14ac:dyDescent="0.3">
      <c r="A1155">
        <v>16</v>
      </c>
      <c r="B1155" t="s">
        <v>7203</v>
      </c>
      <c r="C1155" t="s">
        <v>4427</v>
      </c>
      <c r="E1155">
        <v>33818182</v>
      </c>
      <c r="F1155">
        <v>145860137435</v>
      </c>
    </row>
    <row r="1156" spans="1:6" x14ac:dyDescent="0.3">
      <c r="A1156">
        <v>16</v>
      </c>
      <c r="B1156" t="s">
        <v>7203</v>
      </c>
      <c r="C1156" t="s">
        <v>4427</v>
      </c>
      <c r="E1156">
        <v>33818182</v>
      </c>
      <c r="F1156">
        <v>145826319253</v>
      </c>
    </row>
    <row r="1157" spans="1:6" x14ac:dyDescent="0.3">
      <c r="A1157">
        <v>16</v>
      </c>
      <c r="B1157" t="s">
        <v>7203</v>
      </c>
      <c r="C1157" t="s">
        <v>4427</v>
      </c>
      <c r="E1157">
        <v>33818182</v>
      </c>
      <c r="F1157">
        <v>145792501071</v>
      </c>
    </row>
    <row r="1158" spans="1:6" x14ac:dyDescent="0.3">
      <c r="A1158">
        <v>16</v>
      </c>
      <c r="B1158" t="s">
        <v>7203</v>
      </c>
      <c r="C1158" t="s">
        <v>4427</v>
      </c>
      <c r="E1158">
        <v>33818182</v>
      </c>
      <c r="F1158">
        <v>145758682889</v>
      </c>
    </row>
    <row r="1159" spans="1:6" x14ac:dyDescent="0.3">
      <c r="A1159">
        <v>16</v>
      </c>
      <c r="B1159" t="s">
        <v>7203</v>
      </c>
      <c r="C1159" t="s">
        <v>3950</v>
      </c>
      <c r="E1159">
        <v>39000000</v>
      </c>
      <c r="F1159">
        <v>145724864707</v>
      </c>
    </row>
    <row r="1160" spans="1:6" x14ac:dyDescent="0.3">
      <c r="A1160">
        <v>16</v>
      </c>
      <c r="B1160" t="s">
        <v>7203</v>
      </c>
      <c r="C1160" t="s">
        <v>5638</v>
      </c>
      <c r="E1160">
        <v>39000000</v>
      </c>
      <c r="F1160">
        <v>145685864707</v>
      </c>
    </row>
    <row r="1161" spans="1:6" x14ac:dyDescent="0.3">
      <c r="A1161">
        <v>16</v>
      </c>
      <c r="B1161" t="s">
        <v>7203</v>
      </c>
      <c r="C1161" t="s">
        <v>4028</v>
      </c>
      <c r="E1161">
        <v>39000000</v>
      </c>
      <c r="F1161">
        <v>145646864707</v>
      </c>
    </row>
    <row r="1162" spans="1:6" x14ac:dyDescent="0.3">
      <c r="A1162">
        <v>16</v>
      </c>
      <c r="B1162" t="s">
        <v>7203</v>
      </c>
      <c r="C1162" t="s">
        <v>5637</v>
      </c>
      <c r="E1162">
        <v>39000000</v>
      </c>
      <c r="F1162">
        <v>145607864707</v>
      </c>
    </row>
    <row r="1163" spans="1:6" x14ac:dyDescent="0.3">
      <c r="A1163">
        <v>16</v>
      </c>
      <c r="B1163" t="s">
        <v>7203</v>
      </c>
      <c r="C1163" t="s">
        <v>5298</v>
      </c>
      <c r="E1163">
        <v>39000000</v>
      </c>
      <c r="F1163">
        <v>145568864707</v>
      </c>
    </row>
    <row r="1164" spans="1:6" x14ac:dyDescent="0.3">
      <c r="A1164">
        <v>16</v>
      </c>
      <c r="B1164" t="s">
        <v>7176</v>
      </c>
      <c r="C1164" t="s">
        <v>5303</v>
      </c>
      <c r="E1164">
        <v>46500000</v>
      </c>
      <c r="F1164">
        <v>145529864707</v>
      </c>
    </row>
    <row r="1165" spans="1:6" x14ac:dyDescent="0.3">
      <c r="A1165">
        <v>16</v>
      </c>
      <c r="B1165" t="s">
        <v>7176</v>
      </c>
      <c r="C1165" t="s">
        <v>5302</v>
      </c>
      <c r="E1165">
        <v>46500000</v>
      </c>
      <c r="F1165">
        <v>145483364707</v>
      </c>
    </row>
    <row r="1166" spans="1:6" x14ac:dyDescent="0.3">
      <c r="A1166">
        <v>16</v>
      </c>
      <c r="B1166" t="s">
        <v>7176</v>
      </c>
      <c r="C1166" t="s">
        <v>5302</v>
      </c>
      <c r="E1166">
        <v>46500000</v>
      </c>
      <c r="F1166">
        <v>145436864707</v>
      </c>
    </row>
    <row r="1167" spans="1:6" x14ac:dyDescent="0.3">
      <c r="A1167">
        <v>16</v>
      </c>
      <c r="B1167" t="s">
        <v>7176</v>
      </c>
      <c r="C1167" t="s">
        <v>5301</v>
      </c>
      <c r="E1167">
        <v>46500000</v>
      </c>
      <c r="F1167">
        <v>145390364707</v>
      </c>
    </row>
    <row r="1168" spans="1:6" x14ac:dyDescent="0.3">
      <c r="A1168">
        <v>16</v>
      </c>
      <c r="B1168" t="s">
        <v>7203</v>
      </c>
      <c r="C1168" t="s">
        <v>5636</v>
      </c>
      <c r="E1168">
        <v>35000000</v>
      </c>
      <c r="F1168">
        <v>145343864707</v>
      </c>
    </row>
    <row r="1169" spans="1:6" x14ac:dyDescent="0.3">
      <c r="A1169">
        <v>16</v>
      </c>
      <c r="B1169" t="s">
        <v>7306</v>
      </c>
      <c r="C1169" t="s">
        <v>4305</v>
      </c>
      <c r="E1169">
        <v>9815617</v>
      </c>
      <c r="F1169">
        <v>145308864707</v>
      </c>
    </row>
    <row r="1170" spans="1:6" x14ac:dyDescent="0.3">
      <c r="A1170">
        <v>16</v>
      </c>
      <c r="B1170" t="s">
        <v>7203</v>
      </c>
      <c r="C1170" t="s">
        <v>5619</v>
      </c>
      <c r="E1170">
        <v>35000000</v>
      </c>
      <c r="F1170">
        <v>145299049090</v>
      </c>
    </row>
    <row r="1171" spans="1:6" x14ac:dyDescent="0.3">
      <c r="A1171">
        <v>16</v>
      </c>
      <c r="B1171" t="s">
        <v>7203</v>
      </c>
      <c r="C1171" t="s">
        <v>5614</v>
      </c>
      <c r="E1171">
        <v>34500000</v>
      </c>
      <c r="F1171">
        <v>145264049090</v>
      </c>
    </row>
    <row r="1172" spans="1:6" x14ac:dyDescent="0.3">
      <c r="A1172">
        <v>16</v>
      </c>
      <c r="B1172" t="s">
        <v>7176</v>
      </c>
      <c r="C1172" t="s">
        <v>5635</v>
      </c>
      <c r="E1172">
        <v>40000000</v>
      </c>
      <c r="F1172">
        <v>145229549090</v>
      </c>
    </row>
    <row r="1173" spans="1:6" x14ac:dyDescent="0.3">
      <c r="A1173">
        <v>16</v>
      </c>
      <c r="B1173" t="s">
        <v>7154</v>
      </c>
      <c r="C1173" t="s">
        <v>5634</v>
      </c>
      <c r="E1173">
        <v>50000000</v>
      </c>
      <c r="F1173">
        <v>145189549090</v>
      </c>
    </row>
    <row r="1174" spans="1:6" x14ac:dyDescent="0.3">
      <c r="A1174">
        <v>16</v>
      </c>
      <c r="B1174" t="s">
        <v>7154</v>
      </c>
      <c r="C1174" t="s">
        <v>5633</v>
      </c>
      <c r="E1174">
        <v>50500000</v>
      </c>
      <c r="F1174">
        <v>145139549090</v>
      </c>
    </row>
    <row r="1175" spans="1:6" x14ac:dyDescent="0.3">
      <c r="A1175">
        <v>16</v>
      </c>
      <c r="B1175" t="s">
        <v>7154</v>
      </c>
      <c r="C1175" t="s">
        <v>5632</v>
      </c>
      <c r="E1175">
        <v>48181818</v>
      </c>
      <c r="F1175">
        <v>145089049090</v>
      </c>
    </row>
    <row r="1176" spans="1:6" x14ac:dyDescent="0.3">
      <c r="A1176">
        <v>16</v>
      </c>
      <c r="B1176" t="s">
        <v>7282</v>
      </c>
      <c r="C1176" t="s">
        <v>5631</v>
      </c>
      <c r="E1176">
        <v>150000000</v>
      </c>
      <c r="F1176">
        <v>145040867272</v>
      </c>
    </row>
    <row r="1177" spans="1:6" x14ac:dyDescent="0.3">
      <c r="A1177">
        <v>16</v>
      </c>
      <c r="B1177" t="s">
        <v>7155</v>
      </c>
      <c r="C1177" t="s">
        <v>5139</v>
      </c>
      <c r="E1177">
        <v>101500000</v>
      </c>
      <c r="F1177">
        <v>144890867272</v>
      </c>
    </row>
    <row r="1178" spans="1:6" x14ac:dyDescent="0.3">
      <c r="A1178">
        <v>16</v>
      </c>
      <c r="B1178" t="s">
        <v>7203</v>
      </c>
      <c r="C1178" t="s">
        <v>5630</v>
      </c>
      <c r="E1178">
        <v>36545455</v>
      </c>
      <c r="F1178">
        <v>144789367272</v>
      </c>
    </row>
    <row r="1179" spans="1:6" x14ac:dyDescent="0.3">
      <c r="A1179">
        <v>16</v>
      </c>
      <c r="B1179" t="s">
        <v>5595</v>
      </c>
      <c r="C1179" t="s">
        <v>5250</v>
      </c>
      <c r="E1179">
        <v>48094049</v>
      </c>
      <c r="F1179">
        <v>144752821817</v>
      </c>
    </row>
    <row r="1180" spans="1:6" x14ac:dyDescent="0.3">
      <c r="A1180">
        <v>16</v>
      </c>
      <c r="B1180" t="s">
        <v>5595</v>
      </c>
      <c r="C1180" t="s">
        <v>5250</v>
      </c>
      <c r="E1180">
        <v>48094049</v>
      </c>
      <c r="F1180">
        <v>144704727768</v>
      </c>
    </row>
    <row r="1181" spans="1:6" x14ac:dyDescent="0.3">
      <c r="A1181">
        <v>16</v>
      </c>
      <c r="B1181" t="s">
        <v>5595</v>
      </c>
      <c r="C1181" t="s">
        <v>5250</v>
      </c>
      <c r="E1181">
        <v>48094049</v>
      </c>
      <c r="F1181">
        <v>144656633719</v>
      </c>
    </row>
    <row r="1182" spans="1:6" x14ac:dyDescent="0.3">
      <c r="A1182">
        <v>16</v>
      </c>
      <c r="B1182" t="s">
        <v>5595</v>
      </c>
      <c r="C1182" t="s">
        <v>5250</v>
      </c>
      <c r="E1182">
        <v>48094049</v>
      </c>
      <c r="F1182">
        <v>144608539670</v>
      </c>
    </row>
    <row r="1183" spans="1:6" x14ac:dyDescent="0.3">
      <c r="A1183">
        <v>16</v>
      </c>
      <c r="B1183" t="s">
        <v>5595</v>
      </c>
      <c r="C1183" t="s">
        <v>5250</v>
      </c>
      <c r="E1183">
        <v>48094049</v>
      </c>
      <c r="F1183">
        <v>144560445621</v>
      </c>
    </row>
    <row r="1184" spans="1:6" x14ac:dyDescent="0.3">
      <c r="A1184">
        <v>16</v>
      </c>
      <c r="B1184" t="s">
        <v>5595</v>
      </c>
      <c r="C1184" t="s">
        <v>5250</v>
      </c>
      <c r="E1184">
        <v>48094049</v>
      </c>
      <c r="F1184">
        <v>144512351572</v>
      </c>
    </row>
    <row r="1185" spans="1:6" x14ac:dyDescent="0.3">
      <c r="A1185">
        <v>16</v>
      </c>
      <c r="B1185" t="s">
        <v>5595</v>
      </c>
      <c r="C1185" t="s">
        <v>5250</v>
      </c>
      <c r="E1185">
        <v>48094049</v>
      </c>
      <c r="F1185">
        <v>144464257523</v>
      </c>
    </row>
    <row r="1186" spans="1:6" x14ac:dyDescent="0.3">
      <c r="A1186">
        <v>16</v>
      </c>
      <c r="B1186" t="s">
        <v>5595</v>
      </c>
      <c r="C1186" t="s">
        <v>5250</v>
      </c>
      <c r="E1186">
        <v>48094049</v>
      </c>
      <c r="F1186">
        <v>144416163474</v>
      </c>
    </row>
    <row r="1187" spans="1:6" x14ac:dyDescent="0.3">
      <c r="A1187">
        <v>16</v>
      </c>
      <c r="B1187" t="s">
        <v>5595</v>
      </c>
      <c r="C1187" t="s">
        <v>5250</v>
      </c>
      <c r="E1187">
        <v>48094049</v>
      </c>
      <c r="F1187">
        <v>144368069425</v>
      </c>
    </row>
    <row r="1188" spans="1:6" x14ac:dyDescent="0.3">
      <c r="A1188">
        <v>16</v>
      </c>
      <c r="B1188" t="s">
        <v>5595</v>
      </c>
      <c r="C1188" t="s">
        <v>5250</v>
      </c>
      <c r="E1188">
        <v>48094049</v>
      </c>
      <c r="F1188">
        <v>144319975376</v>
      </c>
    </row>
    <row r="1189" spans="1:6" x14ac:dyDescent="0.3">
      <c r="A1189">
        <v>16</v>
      </c>
      <c r="B1189" t="s">
        <v>7154</v>
      </c>
      <c r="C1189" t="s">
        <v>5629</v>
      </c>
      <c r="E1189">
        <v>52000000</v>
      </c>
      <c r="F1189">
        <v>144271881327</v>
      </c>
    </row>
    <row r="1190" spans="1:6" x14ac:dyDescent="0.3">
      <c r="A1190">
        <v>16</v>
      </c>
      <c r="B1190" t="s">
        <v>7154</v>
      </c>
      <c r="C1190" t="s">
        <v>5628</v>
      </c>
      <c r="E1190">
        <v>50700000</v>
      </c>
      <c r="F1190">
        <v>144219881327</v>
      </c>
    </row>
    <row r="1191" spans="1:6" x14ac:dyDescent="0.3">
      <c r="A1191">
        <v>16</v>
      </c>
      <c r="B1191" t="s">
        <v>7170</v>
      </c>
      <c r="C1191" t="s">
        <v>5627</v>
      </c>
      <c r="E1191">
        <v>170000000</v>
      </c>
      <c r="F1191">
        <v>144169181327</v>
      </c>
    </row>
    <row r="1192" spans="1:6" x14ac:dyDescent="0.3">
      <c r="A1192">
        <v>16</v>
      </c>
      <c r="B1192" t="s">
        <v>7203</v>
      </c>
      <c r="C1192" t="s">
        <v>5626</v>
      </c>
      <c r="E1192">
        <v>36590909</v>
      </c>
      <c r="F1192">
        <v>143999181327</v>
      </c>
    </row>
    <row r="1193" spans="1:6" x14ac:dyDescent="0.3">
      <c r="A1193">
        <v>16</v>
      </c>
      <c r="B1193" t="s">
        <v>7251</v>
      </c>
      <c r="C1193" t="s">
        <v>3464</v>
      </c>
      <c r="E1193">
        <v>33636364</v>
      </c>
      <c r="F1193">
        <v>143962590418</v>
      </c>
    </row>
    <row r="1194" spans="1:6" x14ac:dyDescent="0.3">
      <c r="A1194">
        <v>16</v>
      </c>
      <c r="B1194" t="s">
        <v>7203</v>
      </c>
      <c r="C1194" t="s">
        <v>3464</v>
      </c>
      <c r="E1194">
        <v>35000000</v>
      </c>
      <c r="F1194">
        <v>143928954054</v>
      </c>
    </row>
    <row r="1195" spans="1:6" x14ac:dyDescent="0.3">
      <c r="A1195">
        <v>16</v>
      </c>
      <c r="B1195" t="s">
        <v>7203</v>
      </c>
      <c r="C1195" t="s">
        <v>3464</v>
      </c>
      <c r="E1195">
        <v>35909091</v>
      </c>
      <c r="F1195">
        <v>143893954054</v>
      </c>
    </row>
    <row r="1196" spans="1:6" x14ac:dyDescent="0.3">
      <c r="A1196">
        <v>16</v>
      </c>
      <c r="B1196" t="s">
        <v>7203</v>
      </c>
      <c r="C1196" t="s">
        <v>4284</v>
      </c>
      <c r="E1196">
        <v>34000000</v>
      </c>
      <c r="F1196">
        <v>143858044963</v>
      </c>
    </row>
    <row r="1197" spans="1:6" x14ac:dyDescent="0.3">
      <c r="A1197">
        <v>16</v>
      </c>
      <c r="B1197" t="s">
        <v>7251</v>
      </c>
      <c r="C1197" t="s">
        <v>5260</v>
      </c>
      <c r="E1197">
        <v>34545455</v>
      </c>
      <c r="F1197">
        <v>143824044963</v>
      </c>
    </row>
    <row r="1198" spans="1:6" x14ac:dyDescent="0.3">
      <c r="A1198">
        <v>16</v>
      </c>
      <c r="B1198" t="s">
        <v>7251</v>
      </c>
      <c r="C1198" t="s">
        <v>4509</v>
      </c>
      <c r="E1198">
        <v>34500000</v>
      </c>
      <c r="F1198">
        <v>143789499508</v>
      </c>
    </row>
    <row r="1199" spans="1:6" x14ac:dyDescent="0.3">
      <c r="A1199">
        <v>16</v>
      </c>
      <c r="B1199" t="s">
        <v>7251</v>
      </c>
      <c r="C1199" t="s">
        <v>4509</v>
      </c>
      <c r="E1199">
        <v>35000000</v>
      </c>
      <c r="F1199">
        <v>143754999508</v>
      </c>
    </row>
    <row r="1200" spans="1:6" x14ac:dyDescent="0.3">
      <c r="A1200">
        <v>16</v>
      </c>
      <c r="B1200" t="s">
        <v>7203</v>
      </c>
      <c r="C1200" t="s">
        <v>5582</v>
      </c>
      <c r="E1200">
        <v>36363636</v>
      </c>
      <c r="F1200">
        <v>143719999508</v>
      </c>
    </row>
    <row r="1201" spans="1:6" x14ac:dyDescent="0.3">
      <c r="A1201">
        <v>16</v>
      </c>
      <c r="B1201" t="s">
        <v>7154</v>
      </c>
      <c r="C1201" t="s">
        <v>5625</v>
      </c>
      <c r="E1201">
        <v>51000000</v>
      </c>
      <c r="F1201">
        <v>143683635872</v>
      </c>
    </row>
    <row r="1202" spans="1:6" x14ac:dyDescent="0.3">
      <c r="A1202">
        <v>16</v>
      </c>
      <c r="B1202" t="s">
        <v>5595</v>
      </c>
      <c r="C1202" t="s">
        <v>5250</v>
      </c>
      <c r="E1202">
        <v>48094049</v>
      </c>
      <c r="F1202">
        <v>143632635872</v>
      </c>
    </row>
    <row r="1203" spans="1:6" x14ac:dyDescent="0.3">
      <c r="A1203">
        <v>16</v>
      </c>
      <c r="B1203" t="s">
        <v>5595</v>
      </c>
      <c r="C1203" t="s">
        <v>5250</v>
      </c>
      <c r="E1203">
        <v>48094049</v>
      </c>
      <c r="F1203">
        <v>143584541823</v>
      </c>
    </row>
    <row r="1204" spans="1:6" x14ac:dyDescent="0.3">
      <c r="A1204">
        <v>16</v>
      </c>
      <c r="B1204" t="s">
        <v>5595</v>
      </c>
      <c r="C1204" t="s">
        <v>5250</v>
      </c>
      <c r="E1204">
        <v>48094049</v>
      </c>
      <c r="F1204">
        <v>143536447774</v>
      </c>
    </row>
    <row r="1205" spans="1:6" x14ac:dyDescent="0.3">
      <c r="A1205">
        <v>16</v>
      </c>
      <c r="B1205" t="s">
        <v>5595</v>
      </c>
      <c r="C1205" t="s">
        <v>5250</v>
      </c>
      <c r="E1205">
        <v>48094049</v>
      </c>
      <c r="F1205">
        <v>143488353725</v>
      </c>
    </row>
    <row r="1206" spans="1:6" x14ac:dyDescent="0.3">
      <c r="A1206">
        <v>16</v>
      </c>
      <c r="B1206" t="s">
        <v>5595</v>
      </c>
      <c r="C1206" t="s">
        <v>5250</v>
      </c>
      <c r="E1206">
        <v>48094049</v>
      </c>
      <c r="F1206">
        <v>143440259676</v>
      </c>
    </row>
    <row r="1207" spans="1:6" x14ac:dyDescent="0.3">
      <c r="A1207">
        <v>16</v>
      </c>
      <c r="B1207" t="s">
        <v>5595</v>
      </c>
      <c r="C1207" t="s">
        <v>5250</v>
      </c>
      <c r="E1207">
        <v>48094049</v>
      </c>
      <c r="F1207">
        <v>143392165627</v>
      </c>
    </row>
    <row r="1208" spans="1:6" x14ac:dyDescent="0.3">
      <c r="A1208">
        <v>16</v>
      </c>
      <c r="B1208" t="s">
        <v>5595</v>
      </c>
      <c r="C1208" t="s">
        <v>5250</v>
      </c>
      <c r="E1208">
        <v>48094049</v>
      </c>
      <c r="F1208">
        <v>143344071578</v>
      </c>
    </row>
    <row r="1209" spans="1:6" x14ac:dyDescent="0.3">
      <c r="A1209">
        <v>16</v>
      </c>
      <c r="B1209" t="s">
        <v>5595</v>
      </c>
      <c r="C1209" t="s">
        <v>5250</v>
      </c>
      <c r="E1209">
        <v>48094049</v>
      </c>
      <c r="F1209">
        <v>143295977529</v>
      </c>
    </row>
    <row r="1210" spans="1:6" x14ac:dyDescent="0.3">
      <c r="A1210">
        <v>16</v>
      </c>
      <c r="B1210" t="s">
        <v>5595</v>
      </c>
      <c r="C1210" t="s">
        <v>5250</v>
      </c>
      <c r="E1210">
        <v>48094049</v>
      </c>
      <c r="F1210">
        <v>143247883480</v>
      </c>
    </row>
    <row r="1211" spans="1:6" x14ac:dyDescent="0.3">
      <c r="A1211">
        <v>16</v>
      </c>
      <c r="B1211" t="s">
        <v>5595</v>
      </c>
      <c r="C1211" t="s">
        <v>5250</v>
      </c>
      <c r="E1211">
        <v>48094049</v>
      </c>
      <c r="F1211">
        <v>143199789431</v>
      </c>
    </row>
    <row r="1212" spans="1:6" x14ac:dyDescent="0.3">
      <c r="A1212">
        <v>16</v>
      </c>
      <c r="B1212" t="s">
        <v>7203</v>
      </c>
      <c r="C1212" t="s">
        <v>4392</v>
      </c>
      <c r="E1212">
        <v>37000000</v>
      </c>
      <c r="F1212">
        <v>143151695382</v>
      </c>
    </row>
    <row r="1213" spans="1:6" x14ac:dyDescent="0.3">
      <c r="A1213">
        <v>16</v>
      </c>
      <c r="B1213" t="s">
        <v>7203</v>
      </c>
      <c r="C1213" t="s">
        <v>5624</v>
      </c>
      <c r="E1213">
        <v>36000000</v>
      </c>
      <c r="F1213">
        <v>143114695382</v>
      </c>
    </row>
    <row r="1214" spans="1:6" x14ac:dyDescent="0.3">
      <c r="A1214">
        <v>16</v>
      </c>
      <c r="B1214" t="s">
        <v>7154</v>
      </c>
      <c r="C1214" t="s">
        <v>5623</v>
      </c>
      <c r="E1214">
        <v>52000000</v>
      </c>
      <c r="F1214">
        <v>143078695382</v>
      </c>
    </row>
    <row r="1215" spans="1:6" x14ac:dyDescent="0.3">
      <c r="A1215">
        <v>16</v>
      </c>
      <c r="B1215" t="s">
        <v>7176</v>
      </c>
      <c r="C1215" t="s">
        <v>5622</v>
      </c>
      <c r="E1215">
        <v>45000000</v>
      </c>
      <c r="F1215">
        <v>143026695382</v>
      </c>
    </row>
    <row r="1216" spans="1:6" x14ac:dyDescent="0.3">
      <c r="A1216">
        <v>16</v>
      </c>
      <c r="B1216" t="s">
        <v>7203</v>
      </c>
      <c r="C1216" t="s">
        <v>5621</v>
      </c>
      <c r="E1216">
        <v>35454545</v>
      </c>
      <c r="F1216">
        <v>142981695382</v>
      </c>
    </row>
    <row r="1217" spans="1:6" x14ac:dyDescent="0.3">
      <c r="A1217">
        <v>16</v>
      </c>
      <c r="B1217" t="s">
        <v>7203</v>
      </c>
      <c r="C1217" t="s">
        <v>3910</v>
      </c>
      <c r="E1217">
        <v>36363636</v>
      </c>
      <c r="F1217">
        <v>142946240837</v>
      </c>
    </row>
    <row r="1218" spans="1:6" x14ac:dyDescent="0.3">
      <c r="A1218">
        <v>16</v>
      </c>
      <c r="B1218" t="s">
        <v>7203</v>
      </c>
      <c r="C1218" t="s">
        <v>4060</v>
      </c>
      <c r="E1218">
        <v>34000000</v>
      </c>
      <c r="F1218">
        <v>142909877201</v>
      </c>
    </row>
    <row r="1219" spans="1:6" x14ac:dyDescent="0.3">
      <c r="A1219">
        <v>16</v>
      </c>
      <c r="B1219" t="s">
        <v>7203</v>
      </c>
      <c r="C1219" t="s">
        <v>5620</v>
      </c>
      <c r="E1219">
        <v>34000000</v>
      </c>
      <c r="F1219">
        <v>142875877201</v>
      </c>
    </row>
    <row r="1220" spans="1:6" x14ac:dyDescent="0.3">
      <c r="A1220">
        <v>16</v>
      </c>
      <c r="B1220" t="s">
        <v>7203</v>
      </c>
      <c r="C1220" t="s">
        <v>5619</v>
      </c>
      <c r="E1220">
        <v>35500000</v>
      </c>
      <c r="F1220">
        <v>142841877201</v>
      </c>
    </row>
    <row r="1221" spans="1:6" x14ac:dyDescent="0.3">
      <c r="A1221">
        <v>16</v>
      </c>
      <c r="B1221" t="s">
        <v>7156</v>
      </c>
      <c r="C1221" t="s">
        <v>5618</v>
      </c>
      <c r="E1221">
        <v>13717273</v>
      </c>
      <c r="F1221">
        <v>142806377201</v>
      </c>
    </row>
    <row r="1222" spans="1:6" x14ac:dyDescent="0.3">
      <c r="A1222">
        <v>16</v>
      </c>
      <c r="B1222" t="s">
        <v>7203</v>
      </c>
      <c r="C1222" t="s">
        <v>5414</v>
      </c>
      <c r="E1222">
        <v>31400000</v>
      </c>
      <c r="F1222">
        <v>142792659928</v>
      </c>
    </row>
    <row r="1223" spans="1:6" x14ac:dyDescent="0.3">
      <c r="A1223">
        <v>16</v>
      </c>
      <c r="B1223" t="s">
        <v>7203</v>
      </c>
      <c r="C1223" t="s">
        <v>5414</v>
      </c>
      <c r="E1223">
        <v>31400000</v>
      </c>
      <c r="F1223">
        <v>142761259928</v>
      </c>
    </row>
    <row r="1224" spans="1:6" x14ac:dyDescent="0.3">
      <c r="A1224">
        <v>16</v>
      </c>
      <c r="B1224" t="s">
        <v>7203</v>
      </c>
      <c r="C1224" t="s">
        <v>5414</v>
      </c>
      <c r="E1224">
        <v>31400000</v>
      </c>
      <c r="F1224">
        <v>142729859928</v>
      </c>
    </row>
    <row r="1225" spans="1:6" x14ac:dyDescent="0.3">
      <c r="A1225">
        <v>16</v>
      </c>
      <c r="B1225" t="s">
        <v>7203</v>
      </c>
      <c r="C1225" t="s">
        <v>5617</v>
      </c>
      <c r="E1225">
        <v>35500000</v>
      </c>
      <c r="F1225">
        <v>142698459928</v>
      </c>
    </row>
    <row r="1226" spans="1:6" x14ac:dyDescent="0.3">
      <c r="A1226">
        <v>16</v>
      </c>
      <c r="B1226" t="s">
        <v>7156</v>
      </c>
      <c r="C1226" t="s">
        <v>5616</v>
      </c>
      <c r="E1226">
        <v>14545455</v>
      </c>
      <c r="F1226">
        <v>142662959928</v>
      </c>
    </row>
    <row r="1227" spans="1:6" x14ac:dyDescent="0.3">
      <c r="A1227">
        <v>16</v>
      </c>
      <c r="B1227" t="s">
        <v>7154</v>
      </c>
      <c r="C1227" t="s">
        <v>5615</v>
      </c>
      <c r="E1227">
        <v>48181818</v>
      </c>
      <c r="F1227">
        <v>142648414473</v>
      </c>
    </row>
    <row r="1228" spans="1:6" x14ac:dyDescent="0.3">
      <c r="A1228">
        <v>16</v>
      </c>
      <c r="B1228" t="s">
        <v>7203</v>
      </c>
      <c r="C1228" t="s">
        <v>5614</v>
      </c>
      <c r="E1228">
        <v>34500000</v>
      </c>
      <c r="F1228">
        <v>142600232655</v>
      </c>
    </row>
    <row r="1229" spans="1:6" x14ac:dyDescent="0.3">
      <c r="A1229">
        <v>16</v>
      </c>
      <c r="B1229" t="s">
        <v>7203</v>
      </c>
      <c r="C1229" t="s">
        <v>5614</v>
      </c>
      <c r="E1229">
        <v>34500000</v>
      </c>
      <c r="F1229">
        <v>142565732655</v>
      </c>
    </row>
    <row r="1230" spans="1:6" x14ac:dyDescent="0.3">
      <c r="A1230">
        <v>16</v>
      </c>
      <c r="B1230" t="s">
        <v>7203</v>
      </c>
      <c r="C1230" t="s">
        <v>4450</v>
      </c>
      <c r="E1230">
        <v>36727273</v>
      </c>
      <c r="F1230">
        <v>142531232655</v>
      </c>
    </row>
    <row r="1231" spans="1:6" x14ac:dyDescent="0.3">
      <c r="A1231">
        <v>16</v>
      </c>
      <c r="B1231" t="s">
        <v>7156</v>
      </c>
      <c r="C1231" t="s">
        <v>5613</v>
      </c>
      <c r="E1231">
        <v>14000000</v>
      </c>
      <c r="F1231">
        <v>142494505382</v>
      </c>
    </row>
    <row r="1232" spans="1:6" x14ac:dyDescent="0.3">
      <c r="A1232">
        <v>16</v>
      </c>
      <c r="B1232" t="s">
        <v>7203</v>
      </c>
      <c r="C1232" t="s">
        <v>5612</v>
      </c>
      <c r="E1232">
        <v>35909090</v>
      </c>
      <c r="F1232">
        <v>142480505382</v>
      </c>
    </row>
    <row r="1233" spans="1:6" x14ac:dyDescent="0.3">
      <c r="A1233">
        <v>16</v>
      </c>
      <c r="B1233" t="s">
        <v>5595</v>
      </c>
      <c r="C1233" t="s">
        <v>5250</v>
      </c>
      <c r="E1233">
        <v>48094049</v>
      </c>
      <c r="F1233">
        <v>142444596292</v>
      </c>
    </row>
    <row r="1234" spans="1:6" x14ac:dyDescent="0.3">
      <c r="A1234">
        <v>16</v>
      </c>
      <c r="B1234" t="s">
        <v>5595</v>
      </c>
      <c r="C1234" t="s">
        <v>5250</v>
      </c>
      <c r="E1234">
        <v>48094049</v>
      </c>
      <c r="F1234">
        <v>142396502243</v>
      </c>
    </row>
    <row r="1235" spans="1:6" x14ac:dyDescent="0.3">
      <c r="A1235">
        <v>16</v>
      </c>
      <c r="B1235" t="s">
        <v>5595</v>
      </c>
      <c r="C1235" t="s">
        <v>5250</v>
      </c>
      <c r="E1235">
        <v>48094049</v>
      </c>
      <c r="F1235">
        <v>142348408194</v>
      </c>
    </row>
    <row r="1236" spans="1:6" x14ac:dyDescent="0.3">
      <c r="A1236">
        <v>16</v>
      </c>
      <c r="B1236" t="s">
        <v>5595</v>
      </c>
      <c r="C1236" t="s">
        <v>5250</v>
      </c>
      <c r="E1236">
        <v>48094049</v>
      </c>
      <c r="F1236">
        <v>142300314145</v>
      </c>
    </row>
    <row r="1237" spans="1:6" x14ac:dyDescent="0.3">
      <c r="A1237">
        <v>16</v>
      </c>
      <c r="B1237" t="s">
        <v>5595</v>
      </c>
      <c r="C1237" t="s">
        <v>5250</v>
      </c>
      <c r="E1237">
        <v>48094049</v>
      </c>
      <c r="F1237">
        <v>142252220096</v>
      </c>
    </row>
    <row r="1238" spans="1:6" x14ac:dyDescent="0.3">
      <c r="A1238">
        <v>16</v>
      </c>
      <c r="B1238" t="s">
        <v>5595</v>
      </c>
      <c r="C1238" t="s">
        <v>5250</v>
      </c>
      <c r="E1238">
        <v>48094049</v>
      </c>
      <c r="F1238">
        <v>142204126047</v>
      </c>
    </row>
    <row r="1239" spans="1:6" x14ac:dyDescent="0.3">
      <c r="A1239">
        <v>16</v>
      </c>
      <c r="B1239" t="s">
        <v>5595</v>
      </c>
      <c r="C1239" t="s">
        <v>5250</v>
      </c>
      <c r="E1239">
        <v>48094049</v>
      </c>
      <c r="F1239">
        <v>142156031998</v>
      </c>
    </row>
    <row r="1240" spans="1:6" x14ac:dyDescent="0.3">
      <c r="A1240">
        <v>16</v>
      </c>
      <c r="B1240" t="s">
        <v>5595</v>
      </c>
      <c r="C1240" t="s">
        <v>5250</v>
      </c>
      <c r="E1240">
        <v>48094049</v>
      </c>
      <c r="F1240">
        <v>142107937949</v>
      </c>
    </row>
    <row r="1241" spans="1:6" x14ac:dyDescent="0.3">
      <c r="A1241">
        <v>16</v>
      </c>
      <c r="B1241" t="s">
        <v>5595</v>
      </c>
      <c r="C1241" t="s">
        <v>5250</v>
      </c>
      <c r="E1241">
        <v>48094049</v>
      </c>
      <c r="F1241">
        <v>142059843900</v>
      </c>
    </row>
    <row r="1242" spans="1:6" x14ac:dyDescent="0.3">
      <c r="A1242">
        <v>16</v>
      </c>
      <c r="B1242" t="s">
        <v>5595</v>
      </c>
      <c r="C1242" t="s">
        <v>5250</v>
      </c>
      <c r="E1242">
        <v>48094049</v>
      </c>
      <c r="F1242">
        <v>142011749851</v>
      </c>
    </row>
    <row r="1243" spans="1:6" x14ac:dyDescent="0.3">
      <c r="A1243">
        <v>16</v>
      </c>
      <c r="B1243" t="s">
        <v>7176</v>
      </c>
      <c r="C1243" t="s">
        <v>5611</v>
      </c>
      <c r="E1243">
        <v>41818182</v>
      </c>
      <c r="F1243">
        <v>141963655802</v>
      </c>
    </row>
    <row r="1244" spans="1:6" x14ac:dyDescent="0.3">
      <c r="A1244">
        <v>16</v>
      </c>
      <c r="B1244" t="s">
        <v>7176</v>
      </c>
      <c r="C1244" t="s">
        <v>4190</v>
      </c>
      <c r="E1244">
        <v>43800000</v>
      </c>
      <c r="F1244">
        <v>141921837620</v>
      </c>
    </row>
    <row r="1245" spans="1:6" x14ac:dyDescent="0.3">
      <c r="A1245">
        <v>16</v>
      </c>
      <c r="B1245" t="s">
        <v>7176</v>
      </c>
      <c r="C1245" t="s">
        <v>5610</v>
      </c>
      <c r="E1245">
        <v>41800000</v>
      </c>
      <c r="F1245">
        <v>141878037620</v>
      </c>
    </row>
    <row r="1246" spans="1:6" x14ac:dyDescent="0.3">
      <c r="A1246">
        <v>16</v>
      </c>
      <c r="B1246" t="s">
        <v>7294</v>
      </c>
      <c r="C1246" t="s">
        <v>5596</v>
      </c>
      <c r="E1246">
        <v>16856000</v>
      </c>
      <c r="F1246">
        <v>141836237620</v>
      </c>
    </row>
    <row r="1247" spans="1:6" x14ac:dyDescent="0.3">
      <c r="A1247">
        <v>16</v>
      </c>
      <c r="B1247" t="s">
        <v>7294</v>
      </c>
      <c r="C1247" t="s">
        <v>5596</v>
      </c>
      <c r="E1247">
        <v>16856000</v>
      </c>
      <c r="F1247">
        <v>141819381620</v>
      </c>
    </row>
    <row r="1248" spans="1:6" x14ac:dyDescent="0.3">
      <c r="A1248">
        <v>16</v>
      </c>
      <c r="B1248" t="s">
        <v>7294</v>
      </c>
      <c r="C1248" t="s">
        <v>5376</v>
      </c>
      <c r="E1248">
        <v>17765000</v>
      </c>
      <c r="F1248">
        <v>141802525620</v>
      </c>
    </row>
    <row r="1249" spans="1:6" x14ac:dyDescent="0.3">
      <c r="A1249">
        <v>16</v>
      </c>
      <c r="B1249" t="s">
        <v>7203</v>
      </c>
      <c r="C1249" t="s">
        <v>5609</v>
      </c>
      <c r="E1249">
        <v>33000000</v>
      </c>
      <c r="F1249">
        <v>141784760620</v>
      </c>
    </row>
    <row r="1250" spans="1:6" x14ac:dyDescent="0.3">
      <c r="A1250">
        <v>16</v>
      </c>
      <c r="B1250" t="s">
        <v>7273</v>
      </c>
      <c r="C1250" t="s">
        <v>5608</v>
      </c>
      <c r="E1250">
        <v>161000000</v>
      </c>
      <c r="F1250">
        <v>141751760620</v>
      </c>
    </row>
    <row r="1251" spans="1:6" x14ac:dyDescent="0.3">
      <c r="A1251">
        <v>16</v>
      </c>
      <c r="B1251" t="s">
        <v>7176</v>
      </c>
      <c r="C1251" t="s">
        <v>5607</v>
      </c>
      <c r="E1251">
        <v>44800000</v>
      </c>
      <c r="F1251">
        <v>141590760620</v>
      </c>
    </row>
    <row r="1252" spans="1:6" x14ac:dyDescent="0.3">
      <c r="A1252">
        <v>16</v>
      </c>
      <c r="B1252" t="s">
        <v>7176</v>
      </c>
      <c r="C1252" t="s">
        <v>5606</v>
      </c>
      <c r="E1252">
        <v>44000000</v>
      </c>
      <c r="F1252">
        <v>141545960620</v>
      </c>
    </row>
    <row r="1253" spans="1:6" x14ac:dyDescent="0.3">
      <c r="A1253">
        <v>16</v>
      </c>
      <c r="B1253" t="s">
        <v>7203</v>
      </c>
      <c r="C1253" t="s">
        <v>5582</v>
      </c>
      <c r="E1253">
        <v>35413636</v>
      </c>
      <c r="F1253">
        <v>141501960620</v>
      </c>
    </row>
    <row r="1254" spans="1:6" x14ac:dyDescent="0.3">
      <c r="A1254">
        <v>16</v>
      </c>
      <c r="B1254" t="s">
        <v>7294</v>
      </c>
      <c r="C1254" t="s">
        <v>4332</v>
      </c>
      <c r="E1254">
        <v>17765000</v>
      </c>
      <c r="F1254">
        <v>141466546984</v>
      </c>
    </row>
    <row r="1255" spans="1:6" x14ac:dyDescent="0.3">
      <c r="A1255">
        <v>16</v>
      </c>
      <c r="B1255" t="s">
        <v>7294</v>
      </c>
      <c r="C1255" t="s">
        <v>4332</v>
      </c>
      <c r="E1255">
        <v>17765000</v>
      </c>
      <c r="F1255">
        <v>141448781984</v>
      </c>
    </row>
    <row r="1256" spans="1:6" x14ac:dyDescent="0.3">
      <c r="A1256">
        <v>16</v>
      </c>
      <c r="B1256" t="s">
        <v>7294</v>
      </c>
      <c r="C1256" t="s">
        <v>4332</v>
      </c>
      <c r="E1256">
        <v>17765000</v>
      </c>
      <c r="F1256">
        <v>141431016984</v>
      </c>
    </row>
    <row r="1257" spans="1:6" x14ac:dyDescent="0.3">
      <c r="A1257">
        <v>16</v>
      </c>
      <c r="B1257" t="s">
        <v>7294</v>
      </c>
      <c r="C1257" t="s">
        <v>4332</v>
      </c>
      <c r="E1257">
        <v>17765000</v>
      </c>
      <c r="F1257">
        <v>141413251984</v>
      </c>
    </row>
    <row r="1258" spans="1:6" x14ac:dyDescent="0.3">
      <c r="A1258">
        <v>16</v>
      </c>
      <c r="B1258" t="s">
        <v>7303</v>
      </c>
      <c r="C1258" t="s">
        <v>4859</v>
      </c>
      <c r="E1258">
        <v>2749490000</v>
      </c>
      <c r="F1258">
        <v>141395486984</v>
      </c>
    </row>
    <row r="1259" spans="1:6" x14ac:dyDescent="0.3">
      <c r="A1259">
        <v>16</v>
      </c>
      <c r="B1259" t="s">
        <v>7154</v>
      </c>
      <c r="C1259" t="s">
        <v>4378</v>
      </c>
      <c r="E1259">
        <v>49454545</v>
      </c>
      <c r="F1259">
        <v>138645996984</v>
      </c>
    </row>
    <row r="1260" spans="1:6" x14ac:dyDescent="0.3">
      <c r="A1260">
        <v>16</v>
      </c>
      <c r="B1260" t="s">
        <v>7154</v>
      </c>
      <c r="C1260" t="s">
        <v>5605</v>
      </c>
      <c r="E1260">
        <v>50300000</v>
      </c>
      <c r="F1260">
        <v>138596542439</v>
      </c>
    </row>
    <row r="1261" spans="1:6" x14ac:dyDescent="0.3">
      <c r="A1261">
        <v>16</v>
      </c>
      <c r="B1261" t="s">
        <v>7203</v>
      </c>
      <c r="C1261" t="s">
        <v>5604</v>
      </c>
      <c r="E1261">
        <v>35214545</v>
      </c>
      <c r="F1261">
        <v>138546242439</v>
      </c>
    </row>
    <row r="1262" spans="1:6" x14ac:dyDescent="0.3">
      <c r="A1262">
        <v>16</v>
      </c>
      <c r="B1262" t="s">
        <v>2037</v>
      </c>
      <c r="C1262" t="s">
        <v>5603</v>
      </c>
      <c r="E1262">
        <v>35909090</v>
      </c>
      <c r="F1262">
        <v>138511027894</v>
      </c>
    </row>
    <row r="1263" spans="1:6" x14ac:dyDescent="0.3">
      <c r="A1263">
        <v>16</v>
      </c>
      <c r="B1263" t="s">
        <v>5595</v>
      </c>
      <c r="C1263" t="s">
        <v>5250</v>
      </c>
      <c r="E1263">
        <v>48094049</v>
      </c>
      <c r="F1263">
        <v>138475118804</v>
      </c>
    </row>
    <row r="1264" spans="1:6" x14ac:dyDescent="0.3">
      <c r="A1264">
        <v>16</v>
      </c>
      <c r="B1264" t="s">
        <v>5595</v>
      </c>
      <c r="C1264" t="s">
        <v>5250</v>
      </c>
      <c r="E1264">
        <v>48094049</v>
      </c>
      <c r="F1264">
        <v>138427024755</v>
      </c>
    </row>
    <row r="1265" spans="1:6" x14ac:dyDescent="0.3">
      <c r="A1265">
        <v>16</v>
      </c>
      <c r="B1265" t="s">
        <v>5595</v>
      </c>
      <c r="C1265" t="s">
        <v>5250</v>
      </c>
      <c r="E1265">
        <v>48094049</v>
      </c>
      <c r="F1265">
        <v>138378930706</v>
      </c>
    </row>
    <row r="1266" spans="1:6" x14ac:dyDescent="0.3">
      <c r="A1266">
        <v>16</v>
      </c>
      <c r="B1266" t="s">
        <v>5595</v>
      </c>
      <c r="C1266" t="s">
        <v>5250</v>
      </c>
      <c r="E1266">
        <v>48094049</v>
      </c>
      <c r="F1266">
        <v>138330836657</v>
      </c>
    </row>
    <row r="1267" spans="1:6" x14ac:dyDescent="0.3">
      <c r="A1267">
        <v>16</v>
      </c>
      <c r="B1267" t="s">
        <v>5595</v>
      </c>
      <c r="C1267" t="s">
        <v>5250</v>
      </c>
      <c r="E1267">
        <v>48094049</v>
      </c>
      <c r="F1267">
        <v>138282742608</v>
      </c>
    </row>
    <row r="1268" spans="1:6" x14ac:dyDescent="0.3">
      <c r="A1268">
        <v>16</v>
      </c>
      <c r="B1268" t="s">
        <v>7203</v>
      </c>
      <c r="C1268" t="s">
        <v>5554</v>
      </c>
      <c r="E1268">
        <v>34300000</v>
      </c>
      <c r="F1268">
        <v>138234648559</v>
      </c>
    </row>
    <row r="1269" spans="1:6" x14ac:dyDescent="0.3">
      <c r="A1269">
        <v>16</v>
      </c>
      <c r="B1269" t="s">
        <v>7203</v>
      </c>
      <c r="C1269" t="s">
        <v>4511</v>
      </c>
      <c r="E1269">
        <v>35909091</v>
      </c>
      <c r="F1269">
        <v>138200348559</v>
      </c>
    </row>
    <row r="1270" spans="1:6" x14ac:dyDescent="0.3">
      <c r="A1270">
        <v>16</v>
      </c>
      <c r="B1270" t="s">
        <v>7203</v>
      </c>
      <c r="C1270" t="s">
        <v>4511</v>
      </c>
      <c r="E1270">
        <v>35909091</v>
      </c>
      <c r="F1270">
        <v>138164439468</v>
      </c>
    </row>
    <row r="1271" spans="1:6" x14ac:dyDescent="0.3">
      <c r="A1271">
        <v>16</v>
      </c>
      <c r="B1271" t="s">
        <v>7203</v>
      </c>
      <c r="C1271" t="s">
        <v>4511</v>
      </c>
      <c r="E1271">
        <v>35909091</v>
      </c>
      <c r="F1271">
        <v>138128530377</v>
      </c>
    </row>
    <row r="1272" spans="1:6" x14ac:dyDescent="0.3">
      <c r="A1272">
        <v>16</v>
      </c>
      <c r="B1272" t="s">
        <v>7261</v>
      </c>
      <c r="C1272" t="s">
        <v>5602</v>
      </c>
      <c r="E1272">
        <v>145500000</v>
      </c>
      <c r="F1272">
        <v>138092621286</v>
      </c>
    </row>
    <row r="1273" spans="1:6" x14ac:dyDescent="0.3">
      <c r="A1273">
        <v>16</v>
      </c>
      <c r="B1273" t="s">
        <v>7251</v>
      </c>
      <c r="C1273" t="s">
        <v>5601</v>
      </c>
      <c r="E1273">
        <v>33000000</v>
      </c>
      <c r="F1273">
        <v>137947121286</v>
      </c>
    </row>
    <row r="1274" spans="1:6" x14ac:dyDescent="0.3">
      <c r="A1274">
        <v>16</v>
      </c>
      <c r="B1274" t="s">
        <v>7154</v>
      </c>
      <c r="C1274" t="s">
        <v>5190</v>
      </c>
      <c r="E1274">
        <v>48390909</v>
      </c>
      <c r="F1274">
        <v>137914121286</v>
      </c>
    </row>
    <row r="1275" spans="1:6" x14ac:dyDescent="0.3">
      <c r="A1275">
        <v>16</v>
      </c>
      <c r="B1275" t="s">
        <v>7251</v>
      </c>
      <c r="C1275" t="s">
        <v>5600</v>
      </c>
      <c r="E1275">
        <v>34000000</v>
      </c>
      <c r="F1275">
        <v>137865730377</v>
      </c>
    </row>
    <row r="1276" spans="1:6" x14ac:dyDescent="0.3">
      <c r="A1276">
        <v>16</v>
      </c>
      <c r="B1276" t="s">
        <v>7203</v>
      </c>
      <c r="C1276" t="s">
        <v>3681</v>
      </c>
      <c r="E1276">
        <v>36363636</v>
      </c>
      <c r="F1276">
        <v>137831730377</v>
      </c>
    </row>
    <row r="1277" spans="1:6" x14ac:dyDescent="0.3">
      <c r="A1277">
        <v>16</v>
      </c>
      <c r="B1277" t="s">
        <v>7294</v>
      </c>
      <c r="C1277" t="s">
        <v>5368</v>
      </c>
      <c r="E1277">
        <v>17765000</v>
      </c>
      <c r="F1277">
        <v>137795366741</v>
      </c>
    </row>
    <row r="1278" spans="1:6" x14ac:dyDescent="0.3">
      <c r="A1278">
        <v>16</v>
      </c>
      <c r="B1278" t="s">
        <v>7203</v>
      </c>
      <c r="C1278" t="s">
        <v>5599</v>
      </c>
      <c r="E1278">
        <v>36700000</v>
      </c>
      <c r="F1278">
        <v>137777601741</v>
      </c>
    </row>
    <row r="1279" spans="1:6" x14ac:dyDescent="0.3">
      <c r="A1279">
        <v>16</v>
      </c>
      <c r="B1279" t="s">
        <v>7203</v>
      </c>
      <c r="C1279" t="s">
        <v>4351</v>
      </c>
      <c r="E1279">
        <v>33000000</v>
      </c>
      <c r="F1279">
        <v>137740901741</v>
      </c>
    </row>
    <row r="1280" spans="1:6" x14ac:dyDescent="0.3">
      <c r="A1280">
        <v>16</v>
      </c>
      <c r="B1280" t="s">
        <v>7203</v>
      </c>
      <c r="C1280" t="s">
        <v>4814</v>
      </c>
      <c r="E1280">
        <v>35454545</v>
      </c>
      <c r="F1280">
        <v>137707901741</v>
      </c>
    </row>
    <row r="1281" spans="1:6" x14ac:dyDescent="0.3">
      <c r="A1281">
        <v>16</v>
      </c>
      <c r="B1281" t="s">
        <v>7154</v>
      </c>
      <c r="C1281" t="s">
        <v>5598</v>
      </c>
      <c r="E1281">
        <v>50909090</v>
      </c>
      <c r="F1281">
        <v>137672447196</v>
      </c>
    </row>
    <row r="1282" spans="1:6" x14ac:dyDescent="0.3">
      <c r="A1282">
        <v>16</v>
      </c>
      <c r="B1282" t="s">
        <v>7176</v>
      </c>
      <c r="C1282" t="s">
        <v>5597</v>
      </c>
      <c r="E1282">
        <v>42000000</v>
      </c>
      <c r="F1282">
        <v>137621538106</v>
      </c>
    </row>
    <row r="1283" spans="1:6" x14ac:dyDescent="0.3">
      <c r="A1283">
        <v>16</v>
      </c>
      <c r="B1283" t="s">
        <v>7294</v>
      </c>
      <c r="C1283" t="s">
        <v>5596</v>
      </c>
      <c r="E1283">
        <v>16856000</v>
      </c>
      <c r="F1283">
        <v>137579538106</v>
      </c>
    </row>
    <row r="1284" spans="1:6" x14ac:dyDescent="0.3">
      <c r="A1284">
        <v>16</v>
      </c>
      <c r="B1284" t="s">
        <v>5595</v>
      </c>
      <c r="C1284" t="s">
        <v>5250</v>
      </c>
      <c r="E1284">
        <v>48094049</v>
      </c>
      <c r="F1284">
        <v>137562682106</v>
      </c>
    </row>
    <row r="1285" spans="1:6" x14ac:dyDescent="0.3">
      <c r="A1285">
        <v>16</v>
      </c>
      <c r="B1285" t="s">
        <v>5595</v>
      </c>
      <c r="C1285" t="s">
        <v>5250</v>
      </c>
      <c r="E1285">
        <v>48094049</v>
      </c>
      <c r="F1285">
        <v>137514588057</v>
      </c>
    </row>
    <row r="1286" spans="1:6" x14ac:dyDescent="0.3">
      <c r="A1286">
        <v>16</v>
      </c>
      <c r="B1286" t="s">
        <v>5595</v>
      </c>
      <c r="C1286" t="s">
        <v>5250</v>
      </c>
      <c r="E1286">
        <v>48094049</v>
      </c>
      <c r="F1286">
        <v>137466494008</v>
      </c>
    </row>
    <row r="1287" spans="1:6" x14ac:dyDescent="0.3">
      <c r="A1287">
        <v>16</v>
      </c>
      <c r="B1287" t="s">
        <v>5595</v>
      </c>
      <c r="C1287" t="s">
        <v>5250</v>
      </c>
      <c r="E1287">
        <v>48094049</v>
      </c>
      <c r="F1287">
        <v>137418399959</v>
      </c>
    </row>
    <row r="1288" spans="1:6" x14ac:dyDescent="0.3">
      <c r="A1288">
        <v>16</v>
      </c>
      <c r="B1288" t="s">
        <v>5595</v>
      </c>
      <c r="C1288" t="s">
        <v>5250</v>
      </c>
      <c r="E1288">
        <v>48094049</v>
      </c>
      <c r="F1288">
        <v>137370305910</v>
      </c>
    </row>
    <row r="1289" spans="1:6" x14ac:dyDescent="0.3">
      <c r="A1289">
        <v>16</v>
      </c>
      <c r="B1289" t="s">
        <v>5595</v>
      </c>
      <c r="C1289" t="s">
        <v>5250</v>
      </c>
      <c r="E1289">
        <v>48094049</v>
      </c>
      <c r="F1289">
        <v>137322211861</v>
      </c>
    </row>
    <row r="1290" spans="1:6" x14ac:dyDescent="0.3">
      <c r="A1290">
        <v>16</v>
      </c>
      <c r="B1290" t="s">
        <v>5595</v>
      </c>
      <c r="C1290" t="s">
        <v>5250</v>
      </c>
      <c r="E1290">
        <v>48094049</v>
      </c>
      <c r="F1290">
        <v>137274117812</v>
      </c>
    </row>
    <row r="1291" spans="1:6" x14ac:dyDescent="0.3">
      <c r="A1291">
        <v>16</v>
      </c>
      <c r="B1291" t="s">
        <v>5595</v>
      </c>
      <c r="C1291" t="s">
        <v>5250</v>
      </c>
      <c r="E1291">
        <v>48094049</v>
      </c>
      <c r="F1291">
        <v>137226023763</v>
      </c>
    </row>
    <row r="1292" spans="1:6" x14ac:dyDescent="0.3">
      <c r="A1292">
        <v>16</v>
      </c>
      <c r="B1292" t="s">
        <v>5595</v>
      </c>
      <c r="C1292" t="s">
        <v>5250</v>
      </c>
      <c r="E1292">
        <v>-48094049</v>
      </c>
      <c r="F1292">
        <v>137177929714</v>
      </c>
    </row>
    <row r="1293" spans="1:6" x14ac:dyDescent="0.3">
      <c r="A1293">
        <v>16</v>
      </c>
      <c r="B1293" t="s">
        <v>5595</v>
      </c>
      <c r="C1293" t="s">
        <v>5250</v>
      </c>
      <c r="E1293">
        <v>-48094049</v>
      </c>
      <c r="F1293">
        <v>137226023763</v>
      </c>
    </row>
    <row r="1294" spans="1:6" x14ac:dyDescent="0.3">
      <c r="A1294">
        <v>16</v>
      </c>
      <c r="B1294" t="s">
        <v>5595</v>
      </c>
      <c r="C1294" t="s">
        <v>5250</v>
      </c>
      <c r="E1294">
        <v>-48094049</v>
      </c>
      <c r="F1294">
        <v>137274117812</v>
      </c>
    </row>
    <row r="1295" spans="1:6" x14ac:dyDescent="0.3">
      <c r="A1295">
        <v>16</v>
      </c>
      <c r="B1295" t="s">
        <v>5595</v>
      </c>
      <c r="C1295" t="s">
        <v>5250</v>
      </c>
      <c r="E1295">
        <v>-48094049</v>
      </c>
      <c r="F1295">
        <v>137322211861</v>
      </c>
    </row>
    <row r="1296" spans="1:6" x14ac:dyDescent="0.3">
      <c r="A1296">
        <v>16</v>
      </c>
      <c r="B1296" t="s">
        <v>5595</v>
      </c>
      <c r="C1296" t="s">
        <v>5250</v>
      </c>
      <c r="E1296">
        <v>-48094049</v>
      </c>
      <c r="F1296">
        <v>137370305910</v>
      </c>
    </row>
    <row r="1297" spans="1:6" x14ac:dyDescent="0.3">
      <c r="A1297">
        <v>16</v>
      </c>
      <c r="B1297" t="s">
        <v>5595</v>
      </c>
      <c r="C1297" t="s">
        <v>5250</v>
      </c>
      <c r="E1297">
        <v>-48094049</v>
      </c>
      <c r="F1297">
        <v>137418399959</v>
      </c>
    </row>
    <row r="1298" spans="1:6" x14ac:dyDescent="0.3">
      <c r="A1298">
        <v>16</v>
      </c>
      <c r="B1298" t="s">
        <v>5595</v>
      </c>
      <c r="C1298" t="s">
        <v>5250</v>
      </c>
      <c r="E1298">
        <v>-48094049</v>
      </c>
      <c r="F1298">
        <v>137466494008</v>
      </c>
    </row>
    <row r="1299" spans="1:6" x14ac:dyDescent="0.3">
      <c r="A1299">
        <v>16</v>
      </c>
      <c r="B1299" t="s">
        <v>5595</v>
      </c>
      <c r="C1299" t="s">
        <v>5250</v>
      </c>
      <c r="E1299">
        <v>-48094049</v>
      </c>
      <c r="F1299">
        <v>137514588057</v>
      </c>
    </row>
    <row r="1300" spans="1:6" x14ac:dyDescent="0.3">
      <c r="A1300">
        <v>16</v>
      </c>
      <c r="B1300" t="s">
        <v>5595</v>
      </c>
      <c r="C1300" t="s">
        <v>5250</v>
      </c>
      <c r="E1300">
        <v>-48094049</v>
      </c>
      <c r="F1300">
        <v>137562682106</v>
      </c>
    </row>
    <row r="1301" spans="1:6" x14ac:dyDescent="0.3">
      <c r="A1301">
        <v>16</v>
      </c>
      <c r="B1301" t="s">
        <v>5595</v>
      </c>
      <c r="C1301" t="s">
        <v>5250</v>
      </c>
      <c r="E1301">
        <v>-48094049</v>
      </c>
      <c r="F1301">
        <v>137610776155</v>
      </c>
    </row>
    <row r="1302" spans="1:6" x14ac:dyDescent="0.3">
      <c r="A1302">
        <v>16</v>
      </c>
      <c r="B1302" t="s">
        <v>5595</v>
      </c>
      <c r="C1302" t="s">
        <v>5250</v>
      </c>
      <c r="E1302">
        <v>-48094049</v>
      </c>
      <c r="F1302">
        <v>137658870204</v>
      </c>
    </row>
    <row r="1303" spans="1:6" x14ac:dyDescent="0.3">
      <c r="A1303">
        <v>16</v>
      </c>
      <c r="B1303" t="s">
        <v>5595</v>
      </c>
      <c r="C1303" t="s">
        <v>5250</v>
      </c>
      <c r="E1303">
        <v>-48094049</v>
      </c>
      <c r="F1303">
        <v>137706964253</v>
      </c>
    </row>
    <row r="1304" spans="1:6" x14ac:dyDescent="0.3">
      <c r="A1304">
        <v>16</v>
      </c>
      <c r="B1304" t="s">
        <v>5595</v>
      </c>
      <c r="C1304" t="s">
        <v>5250</v>
      </c>
      <c r="E1304">
        <v>-48094049</v>
      </c>
      <c r="F1304">
        <v>137755058302</v>
      </c>
    </row>
    <row r="1305" spans="1:6" x14ac:dyDescent="0.3">
      <c r="A1305">
        <v>16</v>
      </c>
      <c r="B1305" t="s">
        <v>5595</v>
      </c>
      <c r="C1305" t="s">
        <v>5250</v>
      </c>
      <c r="E1305">
        <v>48094049</v>
      </c>
      <c r="F1305">
        <v>137803152351</v>
      </c>
    </row>
    <row r="1306" spans="1:6" x14ac:dyDescent="0.3">
      <c r="A1306">
        <v>16</v>
      </c>
      <c r="B1306" t="s">
        <v>5595</v>
      </c>
      <c r="C1306" t="s">
        <v>5250</v>
      </c>
      <c r="E1306">
        <v>48094049</v>
      </c>
      <c r="F1306">
        <v>137755058302</v>
      </c>
    </row>
    <row r="1307" spans="1:6" x14ac:dyDescent="0.3">
      <c r="A1307">
        <v>16</v>
      </c>
      <c r="B1307" t="s">
        <v>5595</v>
      </c>
      <c r="C1307" t="s">
        <v>5250</v>
      </c>
      <c r="E1307">
        <v>48094049</v>
      </c>
      <c r="F1307">
        <v>137706964253</v>
      </c>
    </row>
    <row r="1308" spans="1:6" x14ac:dyDescent="0.3">
      <c r="A1308">
        <v>16</v>
      </c>
      <c r="B1308" t="s">
        <v>5595</v>
      </c>
      <c r="C1308" t="s">
        <v>5250</v>
      </c>
      <c r="E1308">
        <v>48094049</v>
      </c>
      <c r="F1308">
        <v>137658870204</v>
      </c>
    </row>
    <row r="1309" spans="1:6" x14ac:dyDescent="0.3">
      <c r="A1309">
        <v>16</v>
      </c>
      <c r="B1309" t="s">
        <v>5595</v>
      </c>
      <c r="C1309" t="s">
        <v>5250</v>
      </c>
      <c r="E1309">
        <v>48094049</v>
      </c>
      <c r="F1309">
        <v>137610776155</v>
      </c>
    </row>
    <row r="1310" spans="1:6" x14ac:dyDescent="0.3">
      <c r="A1310">
        <v>16</v>
      </c>
      <c r="B1310" t="s">
        <v>5595</v>
      </c>
      <c r="C1310" t="s">
        <v>5250</v>
      </c>
      <c r="E1310">
        <v>48094049</v>
      </c>
      <c r="F1310">
        <v>137562682106</v>
      </c>
    </row>
    <row r="1311" spans="1:6" x14ac:dyDescent="0.3">
      <c r="A1311">
        <v>16</v>
      </c>
      <c r="B1311" t="s">
        <v>5595</v>
      </c>
      <c r="C1311" t="s">
        <v>5250</v>
      </c>
      <c r="E1311">
        <v>48094049</v>
      </c>
      <c r="F1311">
        <v>137514588057</v>
      </c>
    </row>
    <row r="1312" spans="1:6" x14ac:dyDescent="0.3">
      <c r="A1312">
        <v>16</v>
      </c>
      <c r="B1312" t="s">
        <v>5595</v>
      </c>
      <c r="C1312" t="s">
        <v>5250</v>
      </c>
      <c r="E1312">
        <v>48094049</v>
      </c>
      <c r="F1312">
        <v>137466494008</v>
      </c>
    </row>
    <row r="1313" spans="1:6" x14ac:dyDescent="0.3">
      <c r="A1313">
        <v>16</v>
      </c>
      <c r="B1313" t="s">
        <v>5595</v>
      </c>
      <c r="C1313" t="s">
        <v>5250</v>
      </c>
      <c r="E1313">
        <v>48094049</v>
      </c>
      <c r="F1313">
        <v>137418399959</v>
      </c>
    </row>
    <row r="1314" spans="1:6" x14ac:dyDescent="0.3">
      <c r="A1314">
        <v>16</v>
      </c>
      <c r="B1314" t="s">
        <v>5595</v>
      </c>
      <c r="C1314" t="s">
        <v>5250</v>
      </c>
      <c r="E1314">
        <v>48094049</v>
      </c>
      <c r="F1314">
        <v>137370305910</v>
      </c>
    </row>
    <row r="1315" spans="1:6" x14ac:dyDescent="0.3">
      <c r="A1315">
        <v>16</v>
      </c>
      <c r="B1315" t="s">
        <v>5595</v>
      </c>
      <c r="C1315" t="s">
        <v>5250</v>
      </c>
      <c r="E1315">
        <v>48094049</v>
      </c>
      <c r="F1315">
        <v>137322211861</v>
      </c>
    </row>
    <row r="1316" spans="1:6" x14ac:dyDescent="0.3">
      <c r="A1316">
        <v>16</v>
      </c>
      <c r="B1316" t="s">
        <v>5595</v>
      </c>
      <c r="C1316" t="s">
        <v>5250</v>
      </c>
      <c r="E1316">
        <v>48094049</v>
      </c>
      <c r="F1316">
        <v>137274117812</v>
      </c>
    </row>
    <row r="1317" spans="1:6" x14ac:dyDescent="0.3">
      <c r="A1317">
        <v>16</v>
      </c>
      <c r="B1317" t="s">
        <v>5595</v>
      </c>
      <c r="C1317" t="s">
        <v>5250</v>
      </c>
      <c r="E1317">
        <v>48094049</v>
      </c>
      <c r="F1317">
        <v>137226023763</v>
      </c>
    </row>
    <row r="1318" spans="1:6" x14ac:dyDescent="0.3">
      <c r="A1318">
        <v>16</v>
      </c>
      <c r="B1318" t="s">
        <v>7176</v>
      </c>
      <c r="C1318" t="s">
        <v>5592</v>
      </c>
      <c r="E1318">
        <v>45300000</v>
      </c>
      <c r="F1318">
        <v>137177929714</v>
      </c>
    </row>
    <row r="1319" spans="1:6" x14ac:dyDescent="0.3">
      <c r="A1319">
        <v>16</v>
      </c>
      <c r="B1319" t="s">
        <v>7176</v>
      </c>
      <c r="C1319" t="s">
        <v>5592</v>
      </c>
      <c r="E1319">
        <v>-45000000</v>
      </c>
      <c r="F1319">
        <v>137132629714</v>
      </c>
    </row>
    <row r="1320" spans="1:6" x14ac:dyDescent="0.3">
      <c r="A1320">
        <v>16</v>
      </c>
      <c r="B1320" t="s">
        <v>7156</v>
      </c>
      <c r="C1320" t="s">
        <v>5594</v>
      </c>
      <c r="E1320">
        <v>14065455</v>
      </c>
      <c r="F1320">
        <v>137177629714</v>
      </c>
    </row>
    <row r="1321" spans="1:6" x14ac:dyDescent="0.3">
      <c r="A1321">
        <v>16</v>
      </c>
      <c r="B1321" t="s">
        <v>7203</v>
      </c>
      <c r="C1321" t="s">
        <v>5593</v>
      </c>
      <c r="E1321">
        <v>34000000</v>
      </c>
      <c r="F1321">
        <v>137163564259</v>
      </c>
    </row>
    <row r="1322" spans="1:6" x14ac:dyDescent="0.3">
      <c r="A1322">
        <v>16</v>
      </c>
      <c r="B1322" t="s">
        <v>7176</v>
      </c>
      <c r="C1322" t="s">
        <v>5592</v>
      </c>
      <c r="E1322">
        <v>45000000</v>
      </c>
      <c r="F1322">
        <v>137129564259</v>
      </c>
    </row>
    <row r="1323" spans="1:6" x14ac:dyDescent="0.3">
      <c r="A1323">
        <v>16</v>
      </c>
      <c r="B1323" t="s">
        <v>2038</v>
      </c>
      <c r="C1323" t="s">
        <v>5591</v>
      </c>
      <c r="E1323">
        <v>39500000</v>
      </c>
      <c r="F1323">
        <v>137084564259</v>
      </c>
    </row>
    <row r="1324" spans="1:6" x14ac:dyDescent="0.3">
      <c r="A1324">
        <v>16</v>
      </c>
      <c r="B1324" t="s">
        <v>7203</v>
      </c>
      <c r="C1324" t="s">
        <v>5590</v>
      </c>
      <c r="E1324">
        <v>36700000</v>
      </c>
      <c r="F1324">
        <v>137045064259</v>
      </c>
    </row>
    <row r="1325" spans="1:6" x14ac:dyDescent="0.3">
      <c r="A1325">
        <v>16</v>
      </c>
      <c r="B1325" t="s">
        <v>7156</v>
      </c>
      <c r="C1325" t="s">
        <v>4591</v>
      </c>
      <c r="E1325">
        <v>14000000</v>
      </c>
      <c r="F1325">
        <v>137008364259</v>
      </c>
    </row>
    <row r="1326" spans="1:6" x14ac:dyDescent="0.3">
      <c r="A1326">
        <v>16</v>
      </c>
      <c r="B1326" t="s">
        <v>7294</v>
      </c>
      <c r="C1326" t="s">
        <v>5589</v>
      </c>
      <c r="E1326">
        <v>16856000</v>
      </c>
      <c r="F1326">
        <v>136994364259</v>
      </c>
    </row>
    <row r="1327" spans="1:6" x14ac:dyDescent="0.3">
      <c r="A1327">
        <v>16</v>
      </c>
      <c r="B1327" t="s">
        <v>7156</v>
      </c>
      <c r="C1327" t="s">
        <v>5588</v>
      </c>
      <c r="E1327">
        <v>15000000</v>
      </c>
      <c r="F1327">
        <v>136977508259</v>
      </c>
    </row>
    <row r="1328" spans="1:6" x14ac:dyDescent="0.3">
      <c r="A1328">
        <v>16</v>
      </c>
      <c r="B1328" t="s">
        <v>7176</v>
      </c>
      <c r="C1328" t="s">
        <v>5587</v>
      </c>
      <c r="E1328">
        <v>39600000</v>
      </c>
      <c r="F1328">
        <v>136962508259</v>
      </c>
    </row>
    <row r="1329" spans="1:6" x14ac:dyDescent="0.3">
      <c r="A1329">
        <v>16</v>
      </c>
      <c r="B1329" t="s">
        <v>7156</v>
      </c>
      <c r="C1329" t="s">
        <v>5586</v>
      </c>
      <c r="E1329">
        <v>15013636</v>
      </c>
      <c r="F1329">
        <v>136922908259</v>
      </c>
    </row>
    <row r="1330" spans="1:6" x14ac:dyDescent="0.3">
      <c r="A1330">
        <v>16</v>
      </c>
      <c r="B1330" t="s">
        <v>7303</v>
      </c>
      <c r="C1330" t="s">
        <v>4859</v>
      </c>
      <c r="E1330">
        <v>1896200000</v>
      </c>
      <c r="F1330">
        <v>136907894623</v>
      </c>
    </row>
    <row r="1331" spans="1:6" x14ac:dyDescent="0.3">
      <c r="A1331">
        <v>16</v>
      </c>
      <c r="B1331" t="s">
        <v>7294</v>
      </c>
      <c r="C1331" t="s">
        <v>4226</v>
      </c>
      <c r="E1331">
        <v>17765000</v>
      </c>
      <c r="F1331">
        <v>135011694623</v>
      </c>
    </row>
    <row r="1332" spans="1:6" x14ac:dyDescent="0.3">
      <c r="A1332">
        <v>16</v>
      </c>
      <c r="B1332" t="s">
        <v>7154</v>
      </c>
      <c r="C1332" t="s">
        <v>3676</v>
      </c>
      <c r="E1332">
        <v>51000000</v>
      </c>
      <c r="F1332">
        <v>134993929623</v>
      </c>
    </row>
    <row r="1333" spans="1:6" x14ac:dyDescent="0.3">
      <c r="A1333">
        <v>16</v>
      </c>
      <c r="B1333" t="s">
        <v>7154</v>
      </c>
      <c r="C1333" t="s">
        <v>5585</v>
      </c>
      <c r="E1333">
        <v>50909091</v>
      </c>
      <c r="F1333">
        <v>134942929623</v>
      </c>
    </row>
    <row r="1334" spans="1:6" x14ac:dyDescent="0.3">
      <c r="A1334">
        <v>16</v>
      </c>
      <c r="B1334" t="s">
        <v>7203</v>
      </c>
      <c r="C1334" t="s">
        <v>3874</v>
      </c>
      <c r="E1334">
        <v>35000000</v>
      </c>
      <c r="F1334">
        <v>134892020532</v>
      </c>
    </row>
    <row r="1335" spans="1:6" x14ac:dyDescent="0.3">
      <c r="A1335">
        <v>16</v>
      </c>
      <c r="B1335" t="s">
        <v>7203</v>
      </c>
      <c r="C1335" t="s">
        <v>3874</v>
      </c>
      <c r="E1335">
        <v>35000000</v>
      </c>
      <c r="F1335">
        <v>134857020532</v>
      </c>
    </row>
    <row r="1336" spans="1:6" x14ac:dyDescent="0.3">
      <c r="A1336">
        <v>16</v>
      </c>
      <c r="B1336" t="s">
        <v>7203</v>
      </c>
      <c r="C1336" t="s">
        <v>3874</v>
      </c>
      <c r="E1336">
        <v>35909091</v>
      </c>
      <c r="F1336">
        <v>134822020532</v>
      </c>
    </row>
    <row r="1337" spans="1:6" x14ac:dyDescent="0.3">
      <c r="A1337">
        <v>16</v>
      </c>
      <c r="B1337" t="s">
        <v>7154</v>
      </c>
      <c r="C1337" t="s">
        <v>5584</v>
      </c>
      <c r="E1337">
        <v>51800000</v>
      </c>
      <c r="F1337">
        <v>134786111441</v>
      </c>
    </row>
    <row r="1338" spans="1:6" x14ac:dyDescent="0.3">
      <c r="A1338">
        <v>16</v>
      </c>
      <c r="B1338" t="s">
        <v>7154</v>
      </c>
      <c r="C1338" t="s">
        <v>5583</v>
      </c>
      <c r="E1338">
        <v>51818181</v>
      </c>
      <c r="F1338">
        <v>134734311441</v>
      </c>
    </row>
    <row r="1339" spans="1:6" x14ac:dyDescent="0.3">
      <c r="A1339">
        <v>16</v>
      </c>
      <c r="B1339" t="s">
        <v>7176</v>
      </c>
      <c r="C1339" t="s">
        <v>5582</v>
      </c>
      <c r="E1339">
        <v>40909091</v>
      </c>
      <c r="F1339">
        <v>134682493260</v>
      </c>
    </row>
    <row r="1340" spans="1:6" x14ac:dyDescent="0.3">
      <c r="A1340">
        <v>16</v>
      </c>
      <c r="B1340" t="s">
        <v>7154</v>
      </c>
      <c r="C1340" t="s">
        <v>5581</v>
      </c>
      <c r="E1340">
        <v>50000000</v>
      </c>
      <c r="F1340">
        <v>134641584169</v>
      </c>
    </row>
    <row r="1341" spans="1:6" x14ac:dyDescent="0.3">
      <c r="A1341">
        <v>16</v>
      </c>
      <c r="B1341" t="s">
        <v>7203</v>
      </c>
      <c r="C1341" t="s">
        <v>5580</v>
      </c>
      <c r="E1341">
        <v>36363636</v>
      </c>
      <c r="F1341">
        <v>134591584169</v>
      </c>
    </row>
    <row r="1342" spans="1:6" x14ac:dyDescent="0.3">
      <c r="A1342">
        <v>16</v>
      </c>
      <c r="B1342" t="s">
        <v>7203</v>
      </c>
      <c r="C1342" t="s">
        <v>5579</v>
      </c>
      <c r="E1342">
        <v>34020000</v>
      </c>
      <c r="F1342">
        <v>134555220533</v>
      </c>
    </row>
    <row r="1343" spans="1:6" x14ac:dyDescent="0.3">
      <c r="A1343">
        <v>16</v>
      </c>
      <c r="B1343" t="s">
        <v>7156</v>
      </c>
      <c r="C1343" t="s">
        <v>5578</v>
      </c>
      <c r="E1343">
        <v>14780000</v>
      </c>
      <c r="F1343">
        <v>134521200533</v>
      </c>
    </row>
    <row r="1344" spans="1:6" x14ac:dyDescent="0.3">
      <c r="A1344">
        <v>16</v>
      </c>
      <c r="B1344" t="s">
        <v>7154</v>
      </c>
      <c r="C1344" t="s">
        <v>5577</v>
      </c>
      <c r="E1344">
        <v>50909090</v>
      </c>
      <c r="F1344">
        <v>134506420533</v>
      </c>
    </row>
    <row r="1345" spans="1:6" x14ac:dyDescent="0.3">
      <c r="A1345">
        <v>16</v>
      </c>
      <c r="B1345" t="s">
        <v>7176</v>
      </c>
      <c r="C1345" t="s">
        <v>5576</v>
      </c>
      <c r="E1345">
        <v>37000000</v>
      </c>
      <c r="F1345">
        <v>134455511443</v>
      </c>
    </row>
    <row r="1346" spans="1:6" x14ac:dyDescent="0.3">
      <c r="A1346">
        <v>16</v>
      </c>
      <c r="B1346" t="s">
        <v>7176</v>
      </c>
      <c r="C1346" t="s">
        <v>5118</v>
      </c>
      <c r="E1346">
        <v>40900000</v>
      </c>
      <c r="F1346">
        <v>134418511443</v>
      </c>
    </row>
    <row r="1347" spans="1:6" x14ac:dyDescent="0.3">
      <c r="A1347">
        <v>16</v>
      </c>
      <c r="B1347" t="s">
        <v>5574</v>
      </c>
      <c r="C1347" t="s">
        <v>5575</v>
      </c>
      <c r="E1347">
        <v>11689091</v>
      </c>
      <c r="F1347">
        <v>134377611443</v>
      </c>
    </row>
    <row r="1348" spans="1:6" x14ac:dyDescent="0.3">
      <c r="A1348">
        <v>16</v>
      </c>
      <c r="B1348" t="s">
        <v>5574</v>
      </c>
      <c r="C1348" t="s">
        <v>5575</v>
      </c>
      <c r="E1348">
        <v>-11724545</v>
      </c>
      <c r="F1348">
        <v>134365922352</v>
      </c>
    </row>
    <row r="1349" spans="1:6" x14ac:dyDescent="0.3">
      <c r="A1349">
        <v>16</v>
      </c>
      <c r="B1349" t="s">
        <v>5574</v>
      </c>
      <c r="C1349" t="s">
        <v>5575</v>
      </c>
      <c r="E1349">
        <v>11724545</v>
      </c>
      <c r="F1349">
        <v>134377646897</v>
      </c>
    </row>
    <row r="1350" spans="1:6" x14ac:dyDescent="0.3">
      <c r="A1350">
        <v>16</v>
      </c>
      <c r="B1350" t="s">
        <v>7252</v>
      </c>
      <c r="C1350" t="s">
        <v>4780</v>
      </c>
      <c r="E1350">
        <v>60450000</v>
      </c>
      <c r="F1350">
        <v>134365922352</v>
      </c>
    </row>
    <row r="1351" spans="1:6" x14ac:dyDescent="0.3">
      <c r="A1351">
        <v>16</v>
      </c>
      <c r="B1351" t="s">
        <v>7156</v>
      </c>
      <c r="C1351" t="s">
        <v>5573</v>
      </c>
      <c r="E1351">
        <v>14800000</v>
      </c>
      <c r="F1351">
        <v>134305472352</v>
      </c>
    </row>
    <row r="1352" spans="1:6" x14ac:dyDescent="0.3">
      <c r="A1352">
        <v>16</v>
      </c>
      <c r="B1352" t="s">
        <v>7247</v>
      </c>
      <c r="C1352" t="s">
        <v>5572</v>
      </c>
      <c r="E1352">
        <v>44000000</v>
      </c>
      <c r="F1352">
        <v>134290672352</v>
      </c>
    </row>
    <row r="1353" spans="1:6" x14ac:dyDescent="0.3">
      <c r="A1353">
        <v>16</v>
      </c>
      <c r="B1353" t="s">
        <v>7203</v>
      </c>
      <c r="C1353" t="s">
        <v>5571</v>
      </c>
      <c r="E1353">
        <v>33000000</v>
      </c>
      <c r="F1353">
        <v>134246672352</v>
      </c>
    </row>
    <row r="1354" spans="1:6" x14ac:dyDescent="0.3">
      <c r="A1354">
        <v>16</v>
      </c>
      <c r="B1354" t="s">
        <v>7203</v>
      </c>
      <c r="C1354" t="s">
        <v>5570</v>
      </c>
      <c r="E1354">
        <v>35900000</v>
      </c>
      <c r="F1354">
        <v>134213672352</v>
      </c>
    </row>
    <row r="1355" spans="1:6" x14ac:dyDescent="0.3">
      <c r="A1355">
        <v>16</v>
      </c>
      <c r="B1355" t="s">
        <v>7203</v>
      </c>
      <c r="C1355" t="s">
        <v>5569</v>
      </c>
      <c r="E1355">
        <v>35690909</v>
      </c>
      <c r="F1355">
        <v>134177772352</v>
      </c>
    </row>
    <row r="1356" spans="1:6" x14ac:dyDescent="0.3">
      <c r="A1356">
        <v>16</v>
      </c>
      <c r="B1356" t="s">
        <v>7245</v>
      </c>
      <c r="C1356" t="s">
        <v>5568</v>
      </c>
      <c r="E1356">
        <v>41363636</v>
      </c>
      <c r="F1356">
        <v>134142081443</v>
      </c>
    </row>
    <row r="1357" spans="1:6" x14ac:dyDescent="0.3">
      <c r="A1357">
        <v>16</v>
      </c>
      <c r="B1357" t="s">
        <v>7247</v>
      </c>
      <c r="C1357" t="s">
        <v>5567</v>
      </c>
      <c r="E1357">
        <v>42636364</v>
      </c>
      <c r="F1357">
        <v>134100717807</v>
      </c>
    </row>
    <row r="1358" spans="1:6" x14ac:dyDescent="0.3">
      <c r="A1358">
        <v>16</v>
      </c>
      <c r="B1358" t="s">
        <v>7203</v>
      </c>
      <c r="C1358" t="s">
        <v>5566</v>
      </c>
      <c r="E1358">
        <v>34000000</v>
      </c>
      <c r="F1358">
        <v>134058081443</v>
      </c>
    </row>
    <row r="1359" spans="1:6" x14ac:dyDescent="0.3">
      <c r="A1359">
        <v>16</v>
      </c>
      <c r="B1359" t="s">
        <v>7203</v>
      </c>
      <c r="C1359" t="s">
        <v>3982</v>
      </c>
      <c r="E1359">
        <v>37000000</v>
      </c>
      <c r="F1359">
        <v>134024081443</v>
      </c>
    </row>
    <row r="1360" spans="1:6" x14ac:dyDescent="0.3">
      <c r="A1360">
        <v>16</v>
      </c>
      <c r="B1360" t="s">
        <v>7251</v>
      </c>
      <c r="C1360" t="s">
        <v>5565</v>
      </c>
      <c r="E1360">
        <v>36363636</v>
      </c>
      <c r="F1360">
        <v>133987081443</v>
      </c>
    </row>
    <row r="1361" spans="1:6" x14ac:dyDescent="0.3">
      <c r="A1361">
        <v>16</v>
      </c>
      <c r="B1361" t="s">
        <v>7275</v>
      </c>
      <c r="C1361" t="s">
        <v>5561</v>
      </c>
      <c r="E1361">
        <v>1544090</v>
      </c>
      <c r="F1361">
        <v>133950717807</v>
      </c>
    </row>
    <row r="1362" spans="1:6" x14ac:dyDescent="0.3">
      <c r="A1362">
        <v>16</v>
      </c>
      <c r="B1362" t="s">
        <v>3056</v>
      </c>
      <c r="C1362" t="s">
        <v>5564</v>
      </c>
      <c r="E1362">
        <v>14863530</v>
      </c>
      <c r="F1362">
        <v>133949173717</v>
      </c>
    </row>
    <row r="1363" spans="1:6" x14ac:dyDescent="0.3">
      <c r="A1363">
        <v>16</v>
      </c>
      <c r="B1363" t="s">
        <v>7294</v>
      </c>
      <c r="C1363" t="s">
        <v>4671</v>
      </c>
      <c r="E1363">
        <v>16856000</v>
      </c>
      <c r="F1363">
        <v>133934310187</v>
      </c>
    </row>
    <row r="1364" spans="1:6" x14ac:dyDescent="0.3">
      <c r="A1364">
        <v>16</v>
      </c>
      <c r="B1364" t="s">
        <v>7251</v>
      </c>
      <c r="C1364" t="s">
        <v>5563</v>
      </c>
      <c r="E1364">
        <v>33500000</v>
      </c>
      <c r="F1364">
        <v>133917454187</v>
      </c>
    </row>
    <row r="1365" spans="1:6" x14ac:dyDescent="0.3">
      <c r="A1365">
        <v>16</v>
      </c>
      <c r="B1365" t="s">
        <v>7251</v>
      </c>
      <c r="C1365" t="s">
        <v>5562</v>
      </c>
      <c r="E1365">
        <v>35000000</v>
      </c>
      <c r="F1365">
        <v>133883954187</v>
      </c>
    </row>
    <row r="1366" spans="1:6" x14ac:dyDescent="0.3">
      <c r="A1366">
        <v>16</v>
      </c>
      <c r="B1366" t="s">
        <v>7251</v>
      </c>
      <c r="C1366" t="s">
        <v>5562</v>
      </c>
      <c r="E1366">
        <v>35000000</v>
      </c>
      <c r="F1366">
        <v>133848954187</v>
      </c>
    </row>
    <row r="1367" spans="1:6" x14ac:dyDescent="0.3">
      <c r="A1367">
        <v>16</v>
      </c>
      <c r="B1367" t="s">
        <v>7251</v>
      </c>
      <c r="C1367" t="s">
        <v>5562</v>
      </c>
      <c r="E1367">
        <v>35000000</v>
      </c>
      <c r="F1367">
        <v>133813954187</v>
      </c>
    </row>
    <row r="1368" spans="1:6" x14ac:dyDescent="0.3">
      <c r="A1368">
        <v>16</v>
      </c>
      <c r="B1368" t="s">
        <v>7176</v>
      </c>
      <c r="C1368" t="s">
        <v>5562</v>
      </c>
      <c r="E1368">
        <v>42272727</v>
      </c>
      <c r="F1368">
        <v>133778954187</v>
      </c>
    </row>
    <row r="1369" spans="1:6" x14ac:dyDescent="0.3">
      <c r="A1369">
        <v>16</v>
      </c>
      <c r="B1369" t="s">
        <v>7203</v>
      </c>
      <c r="C1369" t="s">
        <v>5250</v>
      </c>
      <c r="E1369">
        <v>40833333</v>
      </c>
      <c r="F1369">
        <v>133736681460</v>
      </c>
    </row>
    <row r="1370" spans="1:6" x14ac:dyDescent="0.3">
      <c r="A1370">
        <v>16</v>
      </c>
      <c r="B1370" t="s">
        <v>7203</v>
      </c>
      <c r="C1370" t="s">
        <v>5250</v>
      </c>
      <c r="E1370">
        <v>40833333</v>
      </c>
      <c r="F1370">
        <v>133695848127</v>
      </c>
    </row>
    <row r="1371" spans="1:6" x14ac:dyDescent="0.3">
      <c r="A1371">
        <v>16</v>
      </c>
      <c r="B1371" t="s">
        <v>7203</v>
      </c>
      <c r="C1371" t="s">
        <v>5250</v>
      </c>
      <c r="E1371">
        <v>40833333</v>
      </c>
      <c r="F1371">
        <v>133655014794</v>
      </c>
    </row>
    <row r="1372" spans="1:6" x14ac:dyDescent="0.3">
      <c r="A1372">
        <v>16</v>
      </c>
      <c r="B1372" t="s">
        <v>7203</v>
      </c>
      <c r="C1372" t="s">
        <v>5250</v>
      </c>
      <c r="E1372">
        <v>40833333</v>
      </c>
      <c r="F1372">
        <v>133614181461</v>
      </c>
    </row>
    <row r="1373" spans="1:6" x14ac:dyDescent="0.3">
      <c r="A1373">
        <v>16</v>
      </c>
      <c r="B1373" t="s">
        <v>7203</v>
      </c>
      <c r="C1373" t="s">
        <v>5250</v>
      </c>
      <c r="E1373">
        <v>40833333</v>
      </c>
      <c r="F1373">
        <v>133573348128</v>
      </c>
    </row>
    <row r="1374" spans="1:6" x14ac:dyDescent="0.3">
      <c r="A1374">
        <v>16</v>
      </c>
      <c r="B1374" t="s">
        <v>7203</v>
      </c>
      <c r="C1374" t="s">
        <v>5250</v>
      </c>
      <c r="E1374">
        <v>40833333</v>
      </c>
      <c r="F1374">
        <v>133532514795</v>
      </c>
    </row>
    <row r="1375" spans="1:6" x14ac:dyDescent="0.3">
      <c r="A1375">
        <v>16</v>
      </c>
      <c r="B1375" t="s">
        <v>7203</v>
      </c>
      <c r="C1375" t="s">
        <v>5250</v>
      </c>
      <c r="E1375">
        <v>40833333</v>
      </c>
      <c r="F1375">
        <v>133491681462</v>
      </c>
    </row>
    <row r="1376" spans="1:6" x14ac:dyDescent="0.3">
      <c r="A1376">
        <v>16</v>
      </c>
      <c r="B1376" t="s">
        <v>7203</v>
      </c>
      <c r="C1376" t="s">
        <v>5250</v>
      </c>
      <c r="E1376">
        <v>40833333</v>
      </c>
      <c r="F1376">
        <v>133450848129</v>
      </c>
    </row>
    <row r="1377" spans="1:6" x14ac:dyDescent="0.3">
      <c r="A1377">
        <v>16</v>
      </c>
      <c r="B1377" t="s">
        <v>7203</v>
      </c>
      <c r="C1377" t="s">
        <v>5250</v>
      </c>
      <c r="E1377">
        <v>40833333</v>
      </c>
      <c r="F1377">
        <v>133410014796</v>
      </c>
    </row>
    <row r="1378" spans="1:6" x14ac:dyDescent="0.3">
      <c r="A1378">
        <v>16</v>
      </c>
      <c r="B1378" t="s">
        <v>7203</v>
      </c>
      <c r="C1378" t="s">
        <v>5250</v>
      </c>
      <c r="E1378">
        <v>40833333</v>
      </c>
      <c r="F1378">
        <v>133369181463</v>
      </c>
    </row>
    <row r="1379" spans="1:6" x14ac:dyDescent="0.3">
      <c r="A1379">
        <v>16</v>
      </c>
      <c r="B1379" t="s">
        <v>7203</v>
      </c>
      <c r="C1379" t="s">
        <v>5250</v>
      </c>
      <c r="E1379">
        <v>40833333</v>
      </c>
      <c r="F1379">
        <v>133328348130</v>
      </c>
    </row>
    <row r="1380" spans="1:6" x14ac:dyDescent="0.3">
      <c r="A1380">
        <v>16</v>
      </c>
      <c r="B1380" t="s">
        <v>7203</v>
      </c>
      <c r="C1380" t="s">
        <v>5250</v>
      </c>
      <c r="E1380">
        <v>40833333</v>
      </c>
      <c r="F1380">
        <v>133287514797</v>
      </c>
    </row>
    <row r="1381" spans="1:6" x14ac:dyDescent="0.3">
      <c r="A1381">
        <v>16</v>
      </c>
      <c r="B1381" t="s">
        <v>7203</v>
      </c>
      <c r="C1381" t="s">
        <v>5250</v>
      </c>
      <c r="E1381">
        <v>40833333</v>
      </c>
      <c r="F1381">
        <v>133246681464</v>
      </c>
    </row>
    <row r="1382" spans="1:6" x14ac:dyDescent="0.3">
      <c r="A1382">
        <v>16</v>
      </c>
      <c r="B1382" t="s">
        <v>7203</v>
      </c>
      <c r="C1382" t="s">
        <v>5250</v>
      </c>
      <c r="E1382">
        <v>40833333</v>
      </c>
      <c r="F1382">
        <v>133205848131</v>
      </c>
    </row>
    <row r="1383" spans="1:6" x14ac:dyDescent="0.3">
      <c r="A1383">
        <v>16</v>
      </c>
      <c r="B1383" t="s">
        <v>7203</v>
      </c>
      <c r="C1383" t="s">
        <v>5250</v>
      </c>
      <c r="E1383">
        <v>40833333</v>
      </c>
      <c r="F1383">
        <v>133165014798</v>
      </c>
    </row>
    <row r="1384" spans="1:6" x14ac:dyDescent="0.3">
      <c r="A1384">
        <v>16</v>
      </c>
      <c r="B1384" t="s">
        <v>7203</v>
      </c>
      <c r="C1384" t="s">
        <v>5250</v>
      </c>
      <c r="E1384">
        <v>40833333</v>
      </c>
      <c r="F1384">
        <v>133124181465</v>
      </c>
    </row>
    <row r="1385" spans="1:6" x14ac:dyDescent="0.3">
      <c r="A1385">
        <v>16</v>
      </c>
      <c r="B1385" t="s">
        <v>7203</v>
      </c>
      <c r="C1385" t="s">
        <v>5250</v>
      </c>
      <c r="E1385">
        <v>40833333</v>
      </c>
      <c r="F1385">
        <v>133083348132</v>
      </c>
    </row>
    <row r="1386" spans="1:6" x14ac:dyDescent="0.3">
      <c r="A1386">
        <v>16</v>
      </c>
      <c r="B1386" t="s">
        <v>7203</v>
      </c>
      <c r="C1386" t="s">
        <v>5250</v>
      </c>
      <c r="E1386">
        <v>40833333</v>
      </c>
      <c r="F1386">
        <v>133042514799</v>
      </c>
    </row>
    <row r="1387" spans="1:6" x14ac:dyDescent="0.3">
      <c r="A1387">
        <v>16</v>
      </c>
      <c r="B1387" t="s">
        <v>7156</v>
      </c>
      <c r="C1387" t="s">
        <v>5561</v>
      </c>
      <c r="E1387">
        <v>30072728</v>
      </c>
      <c r="F1387">
        <v>133001681466</v>
      </c>
    </row>
    <row r="1388" spans="1:6" x14ac:dyDescent="0.3">
      <c r="A1388">
        <v>16</v>
      </c>
      <c r="B1388" t="s">
        <v>7156</v>
      </c>
      <c r="C1388" t="s">
        <v>5560</v>
      </c>
      <c r="E1388">
        <v>14000000</v>
      </c>
      <c r="F1388">
        <v>132971608738</v>
      </c>
    </row>
    <row r="1389" spans="1:6" x14ac:dyDescent="0.3">
      <c r="A1389">
        <v>16</v>
      </c>
      <c r="B1389" t="s">
        <v>7154</v>
      </c>
      <c r="C1389" t="s">
        <v>5559</v>
      </c>
      <c r="E1389">
        <v>50909091</v>
      </c>
      <c r="F1389">
        <v>132957608738</v>
      </c>
    </row>
    <row r="1390" spans="1:6" x14ac:dyDescent="0.3">
      <c r="A1390">
        <v>16</v>
      </c>
      <c r="B1390" t="s">
        <v>7154</v>
      </c>
      <c r="C1390" t="s">
        <v>5558</v>
      </c>
      <c r="E1390">
        <v>50000000</v>
      </c>
      <c r="F1390">
        <v>132906699647</v>
      </c>
    </row>
    <row r="1391" spans="1:6" x14ac:dyDescent="0.3">
      <c r="A1391">
        <v>16</v>
      </c>
      <c r="B1391" t="s">
        <v>7154</v>
      </c>
      <c r="C1391" t="s">
        <v>5557</v>
      </c>
      <c r="E1391">
        <v>50909091</v>
      </c>
      <c r="F1391">
        <v>132856699647</v>
      </c>
    </row>
    <row r="1392" spans="1:6" x14ac:dyDescent="0.3">
      <c r="A1392">
        <v>16</v>
      </c>
      <c r="B1392" t="s">
        <v>7203</v>
      </c>
      <c r="C1392" t="s">
        <v>5556</v>
      </c>
      <c r="E1392">
        <v>37500000</v>
      </c>
      <c r="F1392">
        <v>132805790556</v>
      </c>
    </row>
    <row r="1393" spans="1:6" x14ac:dyDescent="0.3">
      <c r="A1393">
        <v>16</v>
      </c>
      <c r="B1393" t="s">
        <v>7203</v>
      </c>
      <c r="C1393" t="s">
        <v>5555</v>
      </c>
      <c r="E1393">
        <v>35909090</v>
      </c>
      <c r="F1393">
        <v>132768290556</v>
      </c>
    </row>
    <row r="1394" spans="1:6" x14ac:dyDescent="0.3">
      <c r="A1394">
        <v>16</v>
      </c>
      <c r="B1394" t="s">
        <v>7203</v>
      </c>
      <c r="C1394" t="s">
        <v>4614</v>
      </c>
      <c r="E1394">
        <v>35700000</v>
      </c>
      <c r="F1394">
        <v>132732381466</v>
      </c>
    </row>
    <row r="1395" spans="1:6" x14ac:dyDescent="0.3">
      <c r="A1395">
        <v>16</v>
      </c>
      <c r="B1395" t="s">
        <v>7203</v>
      </c>
      <c r="C1395" t="s">
        <v>5554</v>
      </c>
      <c r="E1395">
        <v>34300000</v>
      </c>
      <c r="F1395">
        <v>132696681466</v>
      </c>
    </row>
    <row r="1396" spans="1:6" x14ac:dyDescent="0.3">
      <c r="A1396">
        <v>16</v>
      </c>
      <c r="B1396" t="s">
        <v>7154</v>
      </c>
      <c r="C1396" t="s">
        <v>5553</v>
      </c>
      <c r="E1396">
        <v>50909091</v>
      </c>
      <c r="F1396">
        <v>132662381466</v>
      </c>
    </row>
    <row r="1397" spans="1:6" x14ac:dyDescent="0.3">
      <c r="A1397">
        <v>16</v>
      </c>
      <c r="B1397" t="s">
        <v>7154</v>
      </c>
      <c r="C1397" t="s">
        <v>5552</v>
      </c>
      <c r="E1397">
        <v>50909091</v>
      </c>
      <c r="F1397">
        <v>132611472375</v>
      </c>
    </row>
    <row r="1398" spans="1:6" x14ac:dyDescent="0.3">
      <c r="A1398">
        <v>16</v>
      </c>
      <c r="B1398" t="s">
        <v>7261</v>
      </c>
      <c r="C1398" t="s">
        <v>5551</v>
      </c>
      <c r="E1398">
        <v>143500000</v>
      </c>
      <c r="F1398">
        <v>132560563284</v>
      </c>
    </row>
    <row r="1399" spans="1:6" x14ac:dyDescent="0.3">
      <c r="A1399">
        <v>16</v>
      </c>
      <c r="B1399" t="s">
        <v>7303</v>
      </c>
      <c r="C1399" t="s">
        <v>4859</v>
      </c>
      <c r="E1399">
        <v>1896200000</v>
      </c>
      <c r="F1399">
        <v>132417063284</v>
      </c>
    </row>
    <row r="1400" spans="1:6" x14ac:dyDescent="0.3">
      <c r="A1400">
        <v>16</v>
      </c>
      <c r="B1400" t="s">
        <v>7203</v>
      </c>
      <c r="C1400" t="s">
        <v>5550</v>
      </c>
      <c r="E1400">
        <v>35690909</v>
      </c>
      <c r="F1400">
        <v>130520863284</v>
      </c>
    </row>
    <row r="1401" spans="1:6" x14ac:dyDescent="0.3">
      <c r="A1401">
        <v>16</v>
      </c>
      <c r="B1401" t="s">
        <v>7305</v>
      </c>
      <c r="C1401" t="s">
        <v>5549</v>
      </c>
      <c r="E1401">
        <v>169000000</v>
      </c>
      <c r="F1401">
        <v>130485172375</v>
      </c>
    </row>
    <row r="1402" spans="1:6" x14ac:dyDescent="0.3">
      <c r="A1402">
        <v>16</v>
      </c>
      <c r="B1402" t="s">
        <v>7273</v>
      </c>
      <c r="C1402" t="s">
        <v>5548</v>
      </c>
      <c r="E1402">
        <v>159000000</v>
      </c>
      <c r="F1402">
        <v>130316172375</v>
      </c>
    </row>
    <row r="1403" spans="1:6" x14ac:dyDescent="0.3">
      <c r="A1403">
        <v>16</v>
      </c>
      <c r="B1403" t="s">
        <v>7203</v>
      </c>
      <c r="C1403" t="s">
        <v>5547</v>
      </c>
      <c r="E1403">
        <v>33000000</v>
      </c>
      <c r="F1403">
        <v>130157172375</v>
      </c>
    </row>
    <row r="1404" spans="1:6" x14ac:dyDescent="0.3">
      <c r="A1404">
        <v>16</v>
      </c>
      <c r="B1404" t="s">
        <v>2954</v>
      </c>
      <c r="C1404" t="s">
        <v>4498</v>
      </c>
      <c r="E1404">
        <v>12100000</v>
      </c>
      <c r="F1404">
        <v>130124172375</v>
      </c>
    </row>
    <row r="1405" spans="1:6" x14ac:dyDescent="0.3">
      <c r="A1405">
        <v>16</v>
      </c>
      <c r="B1405" t="s">
        <v>7203</v>
      </c>
      <c r="C1405" t="s">
        <v>5546</v>
      </c>
      <c r="E1405">
        <v>35000000</v>
      </c>
      <c r="F1405">
        <v>130112072375</v>
      </c>
    </row>
    <row r="1406" spans="1:6" x14ac:dyDescent="0.3">
      <c r="A1406">
        <v>16</v>
      </c>
      <c r="B1406" t="s">
        <v>7294</v>
      </c>
      <c r="C1406" t="s">
        <v>4667</v>
      </c>
      <c r="E1406">
        <v>16856000</v>
      </c>
      <c r="F1406">
        <v>130077072375</v>
      </c>
    </row>
    <row r="1407" spans="1:6" x14ac:dyDescent="0.3">
      <c r="A1407">
        <v>16</v>
      </c>
      <c r="B1407" t="s">
        <v>7203</v>
      </c>
      <c r="C1407" t="s">
        <v>5545</v>
      </c>
      <c r="E1407">
        <v>36818182</v>
      </c>
      <c r="F1407">
        <v>130060216375</v>
      </c>
    </row>
    <row r="1408" spans="1:6" x14ac:dyDescent="0.3">
      <c r="A1408">
        <v>16</v>
      </c>
      <c r="B1408" t="s">
        <v>7156</v>
      </c>
      <c r="C1408" t="s">
        <v>5544</v>
      </c>
      <c r="E1408">
        <v>15013636</v>
      </c>
      <c r="F1408">
        <v>130023398193</v>
      </c>
    </row>
    <row r="1409" spans="1:6" x14ac:dyDescent="0.3">
      <c r="A1409">
        <v>16</v>
      </c>
      <c r="B1409" t="s">
        <v>7273</v>
      </c>
      <c r="C1409" t="s">
        <v>5543</v>
      </c>
      <c r="E1409">
        <v>163000000</v>
      </c>
      <c r="F1409">
        <v>130008384557</v>
      </c>
    </row>
    <row r="1410" spans="1:6" x14ac:dyDescent="0.3">
      <c r="A1410">
        <v>16</v>
      </c>
      <c r="B1410" t="s">
        <v>7273</v>
      </c>
      <c r="C1410" t="s">
        <v>5542</v>
      </c>
      <c r="E1410">
        <v>-163000000</v>
      </c>
      <c r="F1410">
        <v>129845384557</v>
      </c>
    </row>
    <row r="1411" spans="1:6" x14ac:dyDescent="0.3">
      <c r="A1411">
        <v>16</v>
      </c>
      <c r="B1411" t="s">
        <v>7273</v>
      </c>
      <c r="C1411" t="s">
        <v>5542</v>
      </c>
      <c r="E1411">
        <v>163000000</v>
      </c>
      <c r="F1411">
        <v>130008384557</v>
      </c>
    </row>
    <row r="1412" spans="1:6" x14ac:dyDescent="0.3">
      <c r="A1412">
        <v>16</v>
      </c>
      <c r="B1412" t="s">
        <v>7176</v>
      </c>
      <c r="C1412" t="s">
        <v>5541</v>
      </c>
      <c r="E1412">
        <v>43181818</v>
      </c>
      <c r="F1412">
        <v>129845384557</v>
      </c>
    </row>
    <row r="1413" spans="1:6" x14ac:dyDescent="0.3">
      <c r="A1413">
        <v>16</v>
      </c>
      <c r="B1413" t="s">
        <v>7203</v>
      </c>
      <c r="C1413" t="s">
        <v>5540</v>
      </c>
      <c r="E1413">
        <v>32800000</v>
      </c>
      <c r="F1413">
        <v>129802202739</v>
      </c>
    </row>
    <row r="1414" spans="1:6" x14ac:dyDescent="0.3">
      <c r="A1414">
        <v>16</v>
      </c>
      <c r="B1414" t="s">
        <v>7203</v>
      </c>
      <c r="C1414" t="s">
        <v>5539</v>
      </c>
      <c r="E1414">
        <v>35623636</v>
      </c>
      <c r="F1414">
        <v>129769402739</v>
      </c>
    </row>
    <row r="1415" spans="1:6" x14ac:dyDescent="0.3">
      <c r="A1415">
        <v>16</v>
      </c>
      <c r="B1415" t="s">
        <v>7203</v>
      </c>
      <c r="C1415" t="s">
        <v>5538</v>
      </c>
      <c r="E1415">
        <v>36600000</v>
      </c>
      <c r="F1415">
        <v>129733779103</v>
      </c>
    </row>
    <row r="1416" spans="1:6" x14ac:dyDescent="0.3">
      <c r="A1416">
        <v>16</v>
      </c>
      <c r="B1416" t="s">
        <v>7176</v>
      </c>
      <c r="C1416" t="s">
        <v>5537</v>
      </c>
      <c r="E1416">
        <v>44220000</v>
      </c>
      <c r="F1416">
        <v>129697179103</v>
      </c>
    </row>
    <row r="1417" spans="1:6" x14ac:dyDescent="0.3">
      <c r="A1417">
        <v>16</v>
      </c>
      <c r="B1417" t="s">
        <v>7203</v>
      </c>
      <c r="C1417" t="s">
        <v>4716</v>
      </c>
      <c r="E1417">
        <v>34000000</v>
      </c>
      <c r="F1417">
        <v>129652959103</v>
      </c>
    </row>
    <row r="1418" spans="1:6" x14ac:dyDescent="0.3">
      <c r="A1418">
        <v>16</v>
      </c>
      <c r="B1418" t="s">
        <v>7251</v>
      </c>
      <c r="C1418" t="s">
        <v>4017</v>
      </c>
      <c r="E1418">
        <v>34090909</v>
      </c>
      <c r="F1418">
        <v>129618959103</v>
      </c>
    </row>
    <row r="1419" spans="1:6" x14ac:dyDescent="0.3">
      <c r="A1419">
        <v>16</v>
      </c>
      <c r="B1419" t="s">
        <v>7203</v>
      </c>
      <c r="C1419" t="s">
        <v>5536</v>
      </c>
      <c r="E1419">
        <v>36363636</v>
      </c>
      <c r="F1419">
        <v>129584868194</v>
      </c>
    </row>
    <row r="1420" spans="1:6" x14ac:dyDescent="0.3">
      <c r="A1420">
        <v>16</v>
      </c>
      <c r="B1420" t="s">
        <v>7251</v>
      </c>
      <c r="C1420" t="s">
        <v>3438</v>
      </c>
      <c r="E1420">
        <v>30465000</v>
      </c>
      <c r="F1420">
        <v>129548504558</v>
      </c>
    </row>
    <row r="1421" spans="1:6" x14ac:dyDescent="0.3">
      <c r="A1421">
        <v>16</v>
      </c>
      <c r="B1421" t="s">
        <v>7251</v>
      </c>
      <c r="C1421" t="s">
        <v>3438</v>
      </c>
      <c r="E1421">
        <v>-30465000</v>
      </c>
      <c r="F1421">
        <v>129518039558</v>
      </c>
    </row>
    <row r="1422" spans="1:6" x14ac:dyDescent="0.3">
      <c r="A1422">
        <v>16</v>
      </c>
      <c r="B1422" t="s">
        <v>7154</v>
      </c>
      <c r="C1422" t="s">
        <v>5535</v>
      </c>
      <c r="E1422">
        <v>49500000</v>
      </c>
      <c r="F1422">
        <v>129548504558</v>
      </c>
    </row>
    <row r="1423" spans="1:6" x14ac:dyDescent="0.3">
      <c r="A1423">
        <v>16</v>
      </c>
      <c r="B1423" t="s">
        <v>7203</v>
      </c>
      <c r="C1423" t="s">
        <v>3816</v>
      </c>
      <c r="E1423">
        <v>34000000</v>
      </c>
      <c r="F1423">
        <v>129499004558</v>
      </c>
    </row>
    <row r="1424" spans="1:6" x14ac:dyDescent="0.3">
      <c r="A1424">
        <v>16</v>
      </c>
      <c r="B1424" t="s">
        <v>7203</v>
      </c>
      <c r="C1424" t="s">
        <v>5534</v>
      </c>
      <c r="E1424">
        <v>36963636</v>
      </c>
      <c r="F1424">
        <v>129465004558</v>
      </c>
    </row>
    <row r="1425" spans="1:6" x14ac:dyDescent="0.3">
      <c r="A1425">
        <v>16</v>
      </c>
      <c r="B1425" t="s">
        <v>7251</v>
      </c>
      <c r="C1425" t="s">
        <v>3438</v>
      </c>
      <c r="E1425">
        <v>30465000</v>
      </c>
      <c r="F1425">
        <v>129428040922</v>
      </c>
    </row>
    <row r="1426" spans="1:6" x14ac:dyDescent="0.3">
      <c r="A1426">
        <v>16</v>
      </c>
      <c r="B1426" t="s">
        <v>7156</v>
      </c>
      <c r="C1426" t="s">
        <v>5533</v>
      </c>
      <c r="E1426">
        <v>15000000</v>
      </c>
      <c r="F1426">
        <v>129397575922</v>
      </c>
    </row>
    <row r="1427" spans="1:6" x14ac:dyDescent="0.3">
      <c r="A1427">
        <v>16</v>
      </c>
      <c r="B1427" t="s">
        <v>7203</v>
      </c>
      <c r="C1427" t="s">
        <v>5478</v>
      </c>
      <c r="E1427">
        <v>34500000</v>
      </c>
      <c r="F1427">
        <v>129382575922</v>
      </c>
    </row>
    <row r="1428" spans="1:6" x14ac:dyDescent="0.3">
      <c r="A1428">
        <v>16</v>
      </c>
      <c r="B1428" t="s">
        <v>7154</v>
      </c>
      <c r="C1428" t="s">
        <v>5503</v>
      </c>
      <c r="E1428">
        <v>11000000</v>
      </c>
      <c r="F1428">
        <v>129348075922</v>
      </c>
    </row>
    <row r="1429" spans="1:6" x14ac:dyDescent="0.3">
      <c r="A1429">
        <v>16</v>
      </c>
      <c r="B1429" t="s">
        <v>7203</v>
      </c>
      <c r="C1429" t="s">
        <v>5532</v>
      </c>
      <c r="E1429">
        <v>35000000</v>
      </c>
      <c r="F1429">
        <v>129337075922</v>
      </c>
    </row>
    <row r="1430" spans="1:6" x14ac:dyDescent="0.3">
      <c r="A1430">
        <v>16</v>
      </c>
      <c r="B1430" t="s">
        <v>7203</v>
      </c>
      <c r="C1430" t="s">
        <v>5531</v>
      </c>
      <c r="E1430">
        <v>36600000</v>
      </c>
      <c r="F1430">
        <v>129302075922</v>
      </c>
    </row>
    <row r="1431" spans="1:6" x14ac:dyDescent="0.3">
      <c r="A1431">
        <v>16</v>
      </c>
      <c r="B1431" t="s">
        <v>7203</v>
      </c>
      <c r="C1431" t="s">
        <v>5527</v>
      </c>
      <c r="E1431">
        <v>-36600000</v>
      </c>
      <c r="F1431">
        <v>129265475922</v>
      </c>
    </row>
    <row r="1432" spans="1:6" x14ac:dyDescent="0.3">
      <c r="A1432">
        <v>16</v>
      </c>
      <c r="B1432" t="s">
        <v>7154</v>
      </c>
      <c r="C1432" t="s">
        <v>5530</v>
      </c>
      <c r="E1432">
        <v>51000000</v>
      </c>
      <c r="F1432">
        <v>129302075922</v>
      </c>
    </row>
    <row r="1433" spans="1:6" x14ac:dyDescent="0.3">
      <c r="A1433">
        <v>16</v>
      </c>
      <c r="B1433" t="s">
        <v>7170</v>
      </c>
      <c r="C1433" t="s">
        <v>5529</v>
      </c>
      <c r="E1433">
        <v>171000000</v>
      </c>
      <c r="F1433">
        <v>129251075922</v>
      </c>
    </row>
    <row r="1434" spans="1:6" x14ac:dyDescent="0.3">
      <c r="A1434">
        <v>16</v>
      </c>
      <c r="B1434" t="s">
        <v>7203</v>
      </c>
      <c r="C1434" t="s">
        <v>3844</v>
      </c>
      <c r="E1434">
        <v>35454545</v>
      </c>
      <c r="F1434">
        <v>129080075922</v>
      </c>
    </row>
    <row r="1435" spans="1:6" x14ac:dyDescent="0.3">
      <c r="A1435">
        <v>16</v>
      </c>
      <c r="B1435" t="s">
        <v>7251</v>
      </c>
      <c r="C1435" t="s">
        <v>3438</v>
      </c>
      <c r="E1435">
        <v>30465000</v>
      </c>
      <c r="F1435">
        <v>129044621377</v>
      </c>
    </row>
    <row r="1436" spans="1:6" x14ac:dyDescent="0.3">
      <c r="A1436">
        <v>16</v>
      </c>
      <c r="B1436" t="s">
        <v>7251</v>
      </c>
      <c r="C1436" t="s">
        <v>3438</v>
      </c>
      <c r="E1436">
        <v>-30465000</v>
      </c>
      <c r="F1436">
        <v>129014156377</v>
      </c>
    </row>
    <row r="1437" spans="1:6" x14ac:dyDescent="0.3">
      <c r="A1437">
        <v>16</v>
      </c>
      <c r="B1437" t="s">
        <v>7251</v>
      </c>
      <c r="C1437" t="s">
        <v>3438</v>
      </c>
      <c r="E1437">
        <v>30465000</v>
      </c>
      <c r="F1437">
        <v>129044621377</v>
      </c>
    </row>
    <row r="1438" spans="1:6" x14ac:dyDescent="0.3">
      <c r="A1438">
        <v>16</v>
      </c>
      <c r="B1438" t="s">
        <v>7251</v>
      </c>
      <c r="C1438" t="s">
        <v>3438</v>
      </c>
      <c r="E1438">
        <v>30465000</v>
      </c>
      <c r="F1438">
        <v>129014156377</v>
      </c>
    </row>
    <row r="1439" spans="1:6" x14ac:dyDescent="0.3">
      <c r="A1439">
        <v>16</v>
      </c>
      <c r="B1439" t="s">
        <v>7251</v>
      </c>
      <c r="C1439" t="s">
        <v>3438</v>
      </c>
      <c r="E1439">
        <v>30465000</v>
      </c>
      <c r="F1439">
        <v>128983691377</v>
      </c>
    </row>
    <row r="1440" spans="1:6" x14ac:dyDescent="0.3">
      <c r="A1440">
        <v>16</v>
      </c>
      <c r="B1440" t="s">
        <v>7251</v>
      </c>
      <c r="C1440" t="s">
        <v>3438</v>
      </c>
      <c r="E1440">
        <v>30465000</v>
      </c>
      <c r="F1440">
        <v>128953226377</v>
      </c>
    </row>
    <row r="1441" spans="1:6" x14ac:dyDescent="0.3">
      <c r="A1441">
        <v>16</v>
      </c>
      <c r="B1441" t="s">
        <v>7203</v>
      </c>
      <c r="C1441" t="s">
        <v>5528</v>
      </c>
      <c r="E1441">
        <v>34500000</v>
      </c>
      <c r="F1441">
        <v>128922761377</v>
      </c>
    </row>
    <row r="1442" spans="1:6" x14ac:dyDescent="0.3">
      <c r="A1442">
        <v>16</v>
      </c>
      <c r="B1442" t="s">
        <v>7203</v>
      </c>
      <c r="C1442" t="s">
        <v>5527</v>
      </c>
      <c r="E1442">
        <v>36600000</v>
      </c>
      <c r="F1442">
        <v>128888261377</v>
      </c>
    </row>
    <row r="1443" spans="1:6" x14ac:dyDescent="0.3">
      <c r="A1443">
        <v>16</v>
      </c>
      <c r="B1443" t="s">
        <v>7203</v>
      </c>
      <c r="C1443" t="s">
        <v>5526</v>
      </c>
      <c r="E1443">
        <v>36600000</v>
      </c>
      <c r="F1443">
        <v>128851661377</v>
      </c>
    </row>
    <row r="1444" spans="1:6" x14ac:dyDescent="0.3">
      <c r="A1444">
        <v>16</v>
      </c>
      <c r="B1444" t="s">
        <v>7176</v>
      </c>
      <c r="C1444" t="s">
        <v>5525</v>
      </c>
      <c r="E1444">
        <v>41820000</v>
      </c>
      <c r="F1444">
        <v>128815061377</v>
      </c>
    </row>
    <row r="1445" spans="1:6" x14ac:dyDescent="0.3">
      <c r="A1445">
        <v>16</v>
      </c>
      <c r="B1445" t="s">
        <v>2954</v>
      </c>
      <c r="C1445" t="s">
        <v>5524</v>
      </c>
      <c r="E1445">
        <v>14000000</v>
      </c>
      <c r="F1445">
        <v>128773241377</v>
      </c>
    </row>
    <row r="1446" spans="1:6" x14ac:dyDescent="0.3">
      <c r="A1446">
        <v>16</v>
      </c>
      <c r="B1446" t="s">
        <v>7259</v>
      </c>
      <c r="C1446" t="s">
        <v>5105</v>
      </c>
      <c r="E1446">
        <v>8400000</v>
      </c>
      <c r="F1446">
        <v>128759241377</v>
      </c>
    </row>
    <row r="1447" spans="1:6" x14ac:dyDescent="0.3">
      <c r="A1447">
        <v>16</v>
      </c>
      <c r="B1447" t="s">
        <v>7259</v>
      </c>
      <c r="C1447" t="s">
        <v>5105</v>
      </c>
      <c r="E1447">
        <v>8400000</v>
      </c>
      <c r="F1447">
        <v>128750841377</v>
      </c>
    </row>
    <row r="1448" spans="1:6" x14ac:dyDescent="0.3">
      <c r="A1448">
        <v>16</v>
      </c>
      <c r="B1448" t="s">
        <v>7203</v>
      </c>
      <c r="C1448" t="s">
        <v>5523</v>
      </c>
      <c r="E1448">
        <v>34180000</v>
      </c>
      <c r="F1448">
        <v>128742441377</v>
      </c>
    </row>
    <row r="1449" spans="1:6" x14ac:dyDescent="0.3">
      <c r="A1449">
        <v>16</v>
      </c>
      <c r="B1449" t="s">
        <v>2954</v>
      </c>
      <c r="C1449" t="s">
        <v>5522</v>
      </c>
      <c r="E1449">
        <v>13500000</v>
      </c>
      <c r="F1449">
        <v>128708261377</v>
      </c>
    </row>
    <row r="1450" spans="1:6" x14ac:dyDescent="0.3">
      <c r="A1450">
        <v>16</v>
      </c>
      <c r="B1450" t="s">
        <v>7203</v>
      </c>
      <c r="C1450" t="s">
        <v>5521</v>
      </c>
      <c r="E1450">
        <v>36000000</v>
      </c>
      <c r="F1450">
        <v>128694761377</v>
      </c>
    </row>
    <row r="1451" spans="1:6" x14ac:dyDescent="0.3">
      <c r="A1451">
        <v>16</v>
      </c>
      <c r="B1451" t="s">
        <v>7203</v>
      </c>
      <c r="C1451" t="s">
        <v>5520</v>
      </c>
      <c r="E1451">
        <v>40000000</v>
      </c>
      <c r="F1451">
        <v>128658761377</v>
      </c>
    </row>
    <row r="1452" spans="1:6" x14ac:dyDescent="0.3">
      <c r="A1452">
        <v>16</v>
      </c>
      <c r="B1452" t="s">
        <v>7203</v>
      </c>
      <c r="C1452" t="s">
        <v>5519</v>
      </c>
      <c r="E1452">
        <v>40000000</v>
      </c>
      <c r="F1452">
        <v>128618761377</v>
      </c>
    </row>
    <row r="1453" spans="1:6" x14ac:dyDescent="0.3">
      <c r="A1453">
        <v>16</v>
      </c>
      <c r="B1453" t="s">
        <v>7203</v>
      </c>
      <c r="C1453" t="s">
        <v>5518</v>
      </c>
      <c r="E1453">
        <v>35500000</v>
      </c>
      <c r="F1453">
        <v>128578761377</v>
      </c>
    </row>
    <row r="1454" spans="1:6" x14ac:dyDescent="0.3">
      <c r="A1454">
        <v>16</v>
      </c>
      <c r="B1454" t="s">
        <v>7251</v>
      </c>
      <c r="C1454" t="s">
        <v>4370</v>
      </c>
      <c r="E1454">
        <v>32200000</v>
      </c>
      <c r="F1454">
        <v>128543261377</v>
      </c>
    </row>
    <row r="1455" spans="1:6" x14ac:dyDescent="0.3">
      <c r="A1455">
        <v>16</v>
      </c>
      <c r="B1455" t="s">
        <v>7156</v>
      </c>
      <c r="C1455" t="s">
        <v>5517</v>
      </c>
      <c r="E1455">
        <v>14090909</v>
      </c>
      <c r="F1455">
        <v>128511061377</v>
      </c>
    </row>
    <row r="1456" spans="1:6" x14ac:dyDescent="0.3">
      <c r="A1456">
        <v>16</v>
      </c>
      <c r="B1456" t="s">
        <v>7156</v>
      </c>
      <c r="C1456" t="s">
        <v>5516</v>
      </c>
      <c r="E1456">
        <v>14171818</v>
      </c>
      <c r="F1456">
        <v>128496970468</v>
      </c>
    </row>
    <row r="1457" spans="1:6" x14ac:dyDescent="0.3">
      <c r="A1457">
        <v>16</v>
      </c>
      <c r="B1457" t="s">
        <v>7154</v>
      </c>
      <c r="C1457" t="s">
        <v>5515</v>
      </c>
      <c r="E1457">
        <v>50818182</v>
      </c>
      <c r="F1457">
        <v>128482798650</v>
      </c>
    </row>
    <row r="1458" spans="1:6" x14ac:dyDescent="0.3">
      <c r="A1458">
        <v>16</v>
      </c>
      <c r="B1458" t="s">
        <v>2954</v>
      </c>
      <c r="C1458" t="s">
        <v>5060</v>
      </c>
      <c r="E1458">
        <v>13800000</v>
      </c>
      <c r="F1458">
        <v>128431980468</v>
      </c>
    </row>
    <row r="1459" spans="1:6" x14ac:dyDescent="0.3">
      <c r="A1459">
        <v>16</v>
      </c>
      <c r="B1459" t="s">
        <v>7203</v>
      </c>
      <c r="C1459" t="s">
        <v>5514</v>
      </c>
      <c r="E1459">
        <v>36363636</v>
      </c>
      <c r="F1459">
        <v>128418180468</v>
      </c>
    </row>
    <row r="1460" spans="1:6" x14ac:dyDescent="0.3">
      <c r="A1460">
        <v>16</v>
      </c>
      <c r="B1460" t="s">
        <v>7273</v>
      </c>
      <c r="C1460" t="s">
        <v>5513</v>
      </c>
      <c r="E1460">
        <v>170000000</v>
      </c>
      <c r="F1460">
        <v>128381816832</v>
      </c>
    </row>
    <row r="1461" spans="1:6" x14ac:dyDescent="0.3">
      <c r="A1461">
        <v>16</v>
      </c>
      <c r="B1461" t="s">
        <v>7170</v>
      </c>
      <c r="C1461" t="s">
        <v>5512</v>
      </c>
      <c r="E1461">
        <v>-170000000</v>
      </c>
      <c r="F1461">
        <v>128211816832</v>
      </c>
    </row>
    <row r="1462" spans="1:6" x14ac:dyDescent="0.3">
      <c r="A1462">
        <v>16</v>
      </c>
      <c r="B1462" t="s">
        <v>7170</v>
      </c>
      <c r="C1462" t="s">
        <v>5512</v>
      </c>
      <c r="E1462">
        <v>170000000</v>
      </c>
      <c r="F1462">
        <v>128381816832</v>
      </c>
    </row>
    <row r="1463" spans="1:6" x14ac:dyDescent="0.3">
      <c r="A1463">
        <v>16</v>
      </c>
      <c r="B1463" t="s">
        <v>2954</v>
      </c>
      <c r="C1463" t="s">
        <v>5511</v>
      </c>
      <c r="E1463">
        <v>14545454</v>
      </c>
      <c r="F1463">
        <v>128211816832</v>
      </c>
    </row>
    <row r="1464" spans="1:6" x14ac:dyDescent="0.3">
      <c r="A1464">
        <v>16</v>
      </c>
      <c r="B1464" t="s">
        <v>7203</v>
      </c>
      <c r="C1464" t="s">
        <v>3816</v>
      </c>
      <c r="E1464">
        <v>34000000</v>
      </c>
      <c r="F1464">
        <v>128197271378</v>
      </c>
    </row>
    <row r="1466" spans="1:6" x14ac:dyDescent="0.3">
      <c r="C1466" t="s">
        <v>3374</v>
      </c>
      <c r="D1466" t="s">
        <v>3375</v>
      </c>
      <c r="E1466" t="s">
        <v>3376</v>
      </c>
    </row>
    <row r="1467" spans="1:6" x14ac:dyDescent="0.3">
      <c r="B1467" t="s">
        <v>7203</v>
      </c>
      <c r="E1467" s="1042">
        <v>13249563649</v>
      </c>
    </row>
    <row r="1468" spans="1:6" x14ac:dyDescent="0.3">
      <c r="B1468" t="s">
        <v>7303</v>
      </c>
      <c r="E1468" s="1042">
        <v>7719099100</v>
      </c>
    </row>
    <row r="1469" spans="1:6" x14ac:dyDescent="0.3">
      <c r="B1469" t="s">
        <v>7176</v>
      </c>
      <c r="E1469" s="1042">
        <v>6357136815</v>
      </c>
    </row>
    <row r="1470" spans="1:6" x14ac:dyDescent="0.3">
      <c r="B1470" t="s">
        <v>7154</v>
      </c>
      <c r="E1470" s="1042">
        <v>5588614966</v>
      </c>
    </row>
    <row r="1471" spans="1:6" x14ac:dyDescent="0.3">
      <c r="B1471" t="s">
        <v>7310</v>
      </c>
      <c r="E1471" s="1042">
        <v>5584328840</v>
      </c>
    </row>
    <row r="1472" spans="1:6" x14ac:dyDescent="0.3">
      <c r="B1472" t="s">
        <v>7170</v>
      </c>
      <c r="E1472" s="1042">
        <v>4800950000</v>
      </c>
    </row>
    <row r="1473" spans="2:5" x14ac:dyDescent="0.3">
      <c r="B1473" t="s">
        <v>7251</v>
      </c>
      <c r="E1473" s="1042">
        <v>4571621271</v>
      </c>
    </row>
    <row r="1474" spans="2:5" x14ac:dyDescent="0.3">
      <c r="B1474" t="s">
        <v>7261</v>
      </c>
      <c r="E1474" s="1042">
        <v>3934604545</v>
      </c>
    </row>
    <row r="1475" spans="2:5" x14ac:dyDescent="0.3">
      <c r="B1475" t="s">
        <v>7307</v>
      </c>
      <c r="E1475" s="1042">
        <v>3454999968</v>
      </c>
    </row>
    <row r="1476" spans="2:5" x14ac:dyDescent="0.3">
      <c r="B1476" t="s">
        <v>7273</v>
      </c>
      <c r="E1476" s="1042">
        <v>3137409091</v>
      </c>
    </row>
    <row r="1477" spans="2:5" x14ac:dyDescent="0.3">
      <c r="B1477" t="s">
        <v>7282</v>
      </c>
      <c r="E1477" s="1042">
        <v>2810677273</v>
      </c>
    </row>
    <row r="1478" spans="2:5" x14ac:dyDescent="0.3">
      <c r="B1478" t="s">
        <v>7156</v>
      </c>
      <c r="E1478" s="1042">
        <v>2703566366</v>
      </c>
    </row>
    <row r="1479" spans="2:5" x14ac:dyDescent="0.3">
      <c r="B1479" t="s">
        <v>5595</v>
      </c>
      <c r="E1479" s="1042">
        <v>2068044107</v>
      </c>
    </row>
    <row r="1480" spans="2:5" x14ac:dyDescent="0.3">
      <c r="B1480" t="s">
        <v>7339</v>
      </c>
      <c r="E1480" s="1042">
        <v>1678066800</v>
      </c>
    </row>
    <row r="1481" spans="2:5" x14ac:dyDescent="0.3">
      <c r="B1481" t="s">
        <v>2068</v>
      </c>
      <c r="E1481" s="1042">
        <v>900698200</v>
      </c>
    </row>
    <row r="1482" spans="2:5" x14ac:dyDescent="0.3">
      <c r="B1482" t="s">
        <v>7186</v>
      </c>
      <c r="E1482" s="1042">
        <v>639618181</v>
      </c>
    </row>
    <row r="1483" spans="2:5" x14ac:dyDescent="0.3">
      <c r="B1483" t="s">
        <v>7252</v>
      </c>
      <c r="E1483" s="1042">
        <v>603877272</v>
      </c>
    </row>
    <row r="1484" spans="2:5" x14ac:dyDescent="0.3">
      <c r="B1484" t="s">
        <v>5979</v>
      </c>
      <c r="E1484" s="1042">
        <v>528214900</v>
      </c>
    </row>
    <row r="1485" spans="2:5" x14ac:dyDescent="0.3">
      <c r="B1485" t="s">
        <v>7247</v>
      </c>
      <c r="E1485" s="1042">
        <v>447030000</v>
      </c>
    </row>
    <row r="1486" spans="2:5" x14ac:dyDescent="0.3">
      <c r="B1486" t="s">
        <v>7320</v>
      </c>
      <c r="E1486" s="1042">
        <v>425912000</v>
      </c>
    </row>
    <row r="1487" spans="2:5" x14ac:dyDescent="0.3">
      <c r="B1487" t="s">
        <v>7285</v>
      </c>
      <c r="E1487" s="1042">
        <v>407566366</v>
      </c>
    </row>
    <row r="1488" spans="2:5" x14ac:dyDescent="0.3">
      <c r="B1488" t="s">
        <v>7245</v>
      </c>
      <c r="E1488" s="1042">
        <v>375518182</v>
      </c>
    </row>
    <row r="1489" spans="2:5" x14ac:dyDescent="0.3">
      <c r="B1489" t="s">
        <v>7311</v>
      </c>
      <c r="E1489" s="1042">
        <v>367804364</v>
      </c>
    </row>
    <row r="1490" spans="2:5" x14ac:dyDescent="0.3">
      <c r="B1490" t="s">
        <v>7316</v>
      </c>
      <c r="E1490" s="1042">
        <v>359832000</v>
      </c>
    </row>
    <row r="1491" spans="2:5" x14ac:dyDescent="0.3">
      <c r="B1491" t="s">
        <v>7155</v>
      </c>
      <c r="E1491" s="1042">
        <v>326471977</v>
      </c>
    </row>
    <row r="1492" spans="2:5" x14ac:dyDescent="0.3">
      <c r="B1492" t="s">
        <v>7332</v>
      </c>
      <c r="E1492" s="1042">
        <v>287640000</v>
      </c>
    </row>
    <row r="1493" spans="2:5" x14ac:dyDescent="0.3">
      <c r="B1493" t="s">
        <v>7315</v>
      </c>
      <c r="E1493" s="1042">
        <v>287117750</v>
      </c>
    </row>
    <row r="1494" spans="2:5" x14ac:dyDescent="0.3">
      <c r="B1494" t="s">
        <v>7294</v>
      </c>
      <c r="E1494" s="1042">
        <v>260112000</v>
      </c>
    </row>
    <row r="1495" spans="2:5" x14ac:dyDescent="0.3">
      <c r="B1495" t="s">
        <v>7341</v>
      </c>
      <c r="E1495" s="1042">
        <v>237591178</v>
      </c>
    </row>
    <row r="1496" spans="2:5" x14ac:dyDescent="0.3">
      <c r="B1496" t="s">
        <v>5973</v>
      </c>
      <c r="E1496" s="1042">
        <v>230000000</v>
      </c>
    </row>
    <row r="1497" spans="2:5" x14ac:dyDescent="0.3">
      <c r="B1497" t="s">
        <v>6001</v>
      </c>
      <c r="E1497" s="1042">
        <v>220000000</v>
      </c>
    </row>
    <row r="1498" spans="2:5" x14ac:dyDescent="0.3">
      <c r="B1498" t="s">
        <v>2954</v>
      </c>
      <c r="E1498" s="1042">
        <v>205670909</v>
      </c>
    </row>
    <row r="1499" spans="2:5" x14ac:dyDescent="0.3">
      <c r="B1499" t="s">
        <v>7344</v>
      </c>
      <c r="E1499" s="1042">
        <v>202000000</v>
      </c>
    </row>
    <row r="1500" spans="2:5" x14ac:dyDescent="0.3">
      <c r="B1500" t="s">
        <v>7293</v>
      </c>
      <c r="E1500" s="1042">
        <v>183000000</v>
      </c>
    </row>
    <row r="1501" spans="2:5" x14ac:dyDescent="0.3">
      <c r="B1501" t="s">
        <v>7278</v>
      </c>
      <c r="E1501" s="1042">
        <v>179178184</v>
      </c>
    </row>
    <row r="1502" spans="2:5" x14ac:dyDescent="0.3">
      <c r="B1502" t="s">
        <v>7153</v>
      </c>
      <c r="E1502" s="1042">
        <v>175121996</v>
      </c>
    </row>
    <row r="1503" spans="2:5" x14ac:dyDescent="0.3">
      <c r="B1503" t="s">
        <v>7334</v>
      </c>
      <c r="E1503" s="1042">
        <v>172768432</v>
      </c>
    </row>
    <row r="1504" spans="2:5" x14ac:dyDescent="0.3">
      <c r="B1504" t="s">
        <v>7305</v>
      </c>
      <c r="E1504" s="1042">
        <v>169000000</v>
      </c>
    </row>
    <row r="1505" spans="2:5" x14ac:dyDescent="0.3">
      <c r="B1505" t="s">
        <v>7326</v>
      </c>
      <c r="E1505" s="1042">
        <v>168361950</v>
      </c>
    </row>
    <row r="1506" spans="2:5" x14ac:dyDescent="0.3">
      <c r="B1506" t="s">
        <v>7314</v>
      </c>
      <c r="E1506" s="1042">
        <v>167000000</v>
      </c>
    </row>
    <row r="1507" spans="2:5" x14ac:dyDescent="0.3">
      <c r="B1507" t="s">
        <v>7331</v>
      </c>
      <c r="E1507" s="1042">
        <v>166600000</v>
      </c>
    </row>
    <row r="1508" spans="2:5" x14ac:dyDescent="0.3">
      <c r="B1508" t="s">
        <v>7322</v>
      </c>
      <c r="E1508" s="1042">
        <v>158636520</v>
      </c>
    </row>
    <row r="1509" spans="2:5" x14ac:dyDescent="0.3">
      <c r="B1509" t="s">
        <v>7333</v>
      </c>
      <c r="E1509" s="1042">
        <v>133516000</v>
      </c>
    </row>
    <row r="1510" spans="2:5" x14ac:dyDescent="0.3">
      <c r="B1510" t="s">
        <v>7342</v>
      </c>
      <c r="E1510" s="1042">
        <v>128790540</v>
      </c>
    </row>
    <row r="1511" spans="2:5" x14ac:dyDescent="0.3">
      <c r="B1511" t="s">
        <v>7325</v>
      </c>
      <c r="E1511" s="1042">
        <v>124778183</v>
      </c>
    </row>
    <row r="1512" spans="2:5" x14ac:dyDescent="0.3">
      <c r="B1512" t="s">
        <v>7158</v>
      </c>
      <c r="E1512" s="1042">
        <v>122136000</v>
      </c>
    </row>
    <row r="1513" spans="2:5" x14ac:dyDescent="0.3">
      <c r="B1513" t="s">
        <v>7214</v>
      </c>
      <c r="E1513" s="1042">
        <v>108693634</v>
      </c>
    </row>
    <row r="1514" spans="2:5" x14ac:dyDescent="0.3">
      <c r="B1514" t="s">
        <v>5805</v>
      </c>
      <c r="E1514" s="1042">
        <v>100000000</v>
      </c>
    </row>
    <row r="1515" spans="2:5" x14ac:dyDescent="0.3">
      <c r="B1515" t="s">
        <v>7312</v>
      </c>
      <c r="E1515" s="1042">
        <v>81943200</v>
      </c>
    </row>
    <row r="1516" spans="2:5" x14ac:dyDescent="0.3">
      <c r="B1516" t="s">
        <v>7327</v>
      </c>
      <c r="E1516" s="1042">
        <v>80532000</v>
      </c>
    </row>
    <row r="1517" spans="2:5" x14ac:dyDescent="0.3">
      <c r="B1517" t="s">
        <v>2037</v>
      </c>
      <c r="E1517" s="1042">
        <v>75768270</v>
      </c>
    </row>
    <row r="1518" spans="2:5" x14ac:dyDescent="0.3">
      <c r="B1518" t="s">
        <v>7313</v>
      </c>
      <c r="E1518" s="1042">
        <v>59818182</v>
      </c>
    </row>
    <row r="1519" spans="2:5" x14ac:dyDescent="0.3">
      <c r="B1519" t="s">
        <v>7213</v>
      </c>
      <c r="E1519" s="1042">
        <v>53399007</v>
      </c>
    </row>
    <row r="1520" spans="2:5" x14ac:dyDescent="0.3">
      <c r="B1520" t="s">
        <v>2055</v>
      </c>
      <c r="E1520" s="1042">
        <v>50237000</v>
      </c>
    </row>
    <row r="1521" spans="2:5" x14ac:dyDescent="0.3">
      <c r="B1521" t="s">
        <v>7335</v>
      </c>
      <c r="E1521" s="1042">
        <v>40000000</v>
      </c>
    </row>
    <row r="1522" spans="2:5" x14ac:dyDescent="0.3">
      <c r="B1522" t="s">
        <v>2039</v>
      </c>
      <c r="E1522" s="1042">
        <v>40000000</v>
      </c>
    </row>
    <row r="1523" spans="2:5" x14ac:dyDescent="0.3">
      <c r="B1523" t="s">
        <v>2038</v>
      </c>
      <c r="E1523" s="1042">
        <v>39500000</v>
      </c>
    </row>
    <row r="1524" spans="2:5" x14ac:dyDescent="0.3">
      <c r="B1524" t="s">
        <v>7291</v>
      </c>
      <c r="E1524" s="1042">
        <v>39000000</v>
      </c>
    </row>
    <row r="1525" spans="2:5" x14ac:dyDescent="0.3">
      <c r="B1525" t="s">
        <v>7330</v>
      </c>
      <c r="E1525" s="1042">
        <v>37772727</v>
      </c>
    </row>
    <row r="1526" spans="2:5" x14ac:dyDescent="0.3">
      <c r="B1526" t="s">
        <v>6056</v>
      </c>
      <c r="E1526" s="1042">
        <v>35816000</v>
      </c>
    </row>
    <row r="1527" spans="2:5" x14ac:dyDescent="0.3">
      <c r="B1527" t="s">
        <v>7343</v>
      </c>
      <c r="E1527" s="1042">
        <v>30909090</v>
      </c>
    </row>
    <row r="1528" spans="2:5" x14ac:dyDescent="0.3">
      <c r="B1528" t="s">
        <v>5921</v>
      </c>
      <c r="E1528" s="1042">
        <v>24080000</v>
      </c>
    </row>
    <row r="1529" spans="2:5" x14ac:dyDescent="0.3">
      <c r="B1529" t="s">
        <v>7259</v>
      </c>
      <c r="E1529" s="1042">
        <v>22778000</v>
      </c>
    </row>
    <row r="1530" spans="2:5" x14ac:dyDescent="0.3">
      <c r="B1530" t="s">
        <v>7321</v>
      </c>
      <c r="E1530" s="1042">
        <v>20448546</v>
      </c>
    </row>
    <row r="1531" spans="2:5" x14ac:dyDescent="0.3">
      <c r="B1531" t="s">
        <v>7323</v>
      </c>
      <c r="E1531" s="1042">
        <v>15088828</v>
      </c>
    </row>
    <row r="1532" spans="2:5" x14ac:dyDescent="0.3">
      <c r="B1532" t="s">
        <v>7319</v>
      </c>
      <c r="E1532" s="1042">
        <v>15013636</v>
      </c>
    </row>
    <row r="1533" spans="2:5" x14ac:dyDescent="0.3">
      <c r="B1533" t="s">
        <v>3056</v>
      </c>
      <c r="E1533" s="1042">
        <v>14863530</v>
      </c>
    </row>
    <row r="1534" spans="2:5" x14ac:dyDescent="0.3">
      <c r="B1534" t="s">
        <v>2054</v>
      </c>
      <c r="E1534" s="1042">
        <v>14200000</v>
      </c>
    </row>
    <row r="1535" spans="2:5" x14ac:dyDescent="0.3">
      <c r="B1535" t="s">
        <v>7324</v>
      </c>
      <c r="E1535" s="1042">
        <v>12600909</v>
      </c>
    </row>
    <row r="1536" spans="2:5" x14ac:dyDescent="0.3">
      <c r="B1536" t="s">
        <v>2028</v>
      </c>
      <c r="E1536" s="1042">
        <v>12200000</v>
      </c>
    </row>
    <row r="1537" spans="2:5" x14ac:dyDescent="0.3">
      <c r="B1537" t="s">
        <v>5574</v>
      </c>
      <c r="E1537" s="1042">
        <v>11689091</v>
      </c>
    </row>
    <row r="1538" spans="2:5" x14ac:dyDescent="0.3">
      <c r="B1538" t="s">
        <v>7249</v>
      </c>
      <c r="E1538" s="1042">
        <v>11400000</v>
      </c>
    </row>
    <row r="1539" spans="2:5" x14ac:dyDescent="0.3">
      <c r="B1539" t="s">
        <v>7306</v>
      </c>
      <c r="E1539" s="1042">
        <v>9815617</v>
      </c>
    </row>
    <row r="1540" spans="2:5" x14ac:dyDescent="0.3">
      <c r="B1540" t="s">
        <v>7328</v>
      </c>
      <c r="E1540" s="1042">
        <v>8000000</v>
      </c>
    </row>
    <row r="1541" spans="2:5" x14ac:dyDescent="0.3">
      <c r="B1541" t="s">
        <v>5995</v>
      </c>
      <c r="E1541" s="1042">
        <v>5572727</v>
      </c>
    </row>
    <row r="1542" spans="2:5" x14ac:dyDescent="0.3">
      <c r="B1542" t="s">
        <v>7338</v>
      </c>
      <c r="E1542" s="1042">
        <v>5079636</v>
      </c>
    </row>
    <row r="1543" spans="2:5" x14ac:dyDescent="0.3">
      <c r="B1543" t="s">
        <v>5922</v>
      </c>
      <c r="E1543" s="1042">
        <v>4760000</v>
      </c>
    </row>
    <row r="1544" spans="2:5" x14ac:dyDescent="0.3">
      <c r="B1544" t="s">
        <v>2906</v>
      </c>
      <c r="E1544" s="1042">
        <v>4400000</v>
      </c>
    </row>
    <row r="1545" spans="2:5" x14ac:dyDescent="0.3">
      <c r="B1545" t="s">
        <v>7308</v>
      </c>
      <c r="E1545" s="1042">
        <v>3523851</v>
      </c>
    </row>
    <row r="1546" spans="2:5" x14ac:dyDescent="0.3">
      <c r="B1546" t="s">
        <v>7329</v>
      </c>
      <c r="E1546" s="1042">
        <v>3500000</v>
      </c>
    </row>
    <row r="1547" spans="2:5" x14ac:dyDescent="0.3">
      <c r="B1547" t="s">
        <v>7309</v>
      </c>
      <c r="E1547" s="1042">
        <v>3190318</v>
      </c>
    </row>
    <row r="1548" spans="2:5" x14ac:dyDescent="0.3">
      <c r="B1548" t="s">
        <v>7317</v>
      </c>
      <c r="E1548" s="1042">
        <v>3069000</v>
      </c>
    </row>
    <row r="1549" spans="2:5" x14ac:dyDescent="0.3">
      <c r="B1549" t="s">
        <v>7318</v>
      </c>
      <c r="E1549" s="1042">
        <v>2036364</v>
      </c>
    </row>
    <row r="1550" spans="2:5" x14ac:dyDescent="0.3">
      <c r="B1550" t="s">
        <v>7275</v>
      </c>
      <c r="E1550" s="1042">
        <v>1544090</v>
      </c>
    </row>
    <row r="1551" spans="2:5" x14ac:dyDescent="0.3">
      <c r="B1551" t="s">
        <v>7337</v>
      </c>
      <c r="E1551" s="1042">
        <v>701280</v>
      </c>
    </row>
    <row r="1552" spans="2:5" x14ac:dyDescent="0.3">
      <c r="B1552" t="s">
        <v>7336</v>
      </c>
      <c r="E1552" s="1042">
        <v>627990</v>
      </c>
    </row>
    <row r="1553" spans="2:5" x14ac:dyDescent="0.3">
      <c r="B1553" t="s">
        <v>6016</v>
      </c>
      <c r="E1553" s="1042">
        <v>607717</v>
      </c>
    </row>
    <row r="1554" spans="2:5" x14ac:dyDescent="0.3">
      <c r="B1554" t="s">
        <v>7340</v>
      </c>
      <c r="E1554" s="1042">
        <v>605901</v>
      </c>
    </row>
  </sheetData>
  <autoFilter ref="B1466:E1466">
    <sortState ref="B1467:E1554">
      <sortCondition descending="1" ref="E1466"/>
    </sortState>
  </autoFilter>
  <dataConsolidate topLabels="1">
    <dataRefs count="1">
      <dataRef ref="B1:E1464" sheet="Sheet5"/>
    </dataRefs>
  </dataConsolidate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6"/>
  <sheetViews>
    <sheetView topLeftCell="A1649" workbookViewId="0">
      <selection activeCell="B882" sqref="B882"/>
    </sheetView>
  </sheetViews>
  <sheetFormatPr defaultRowHeight="16.5" x14ac:dyDescent="0.3"/>
  <cols>
    <col min="1" max="1" width="10.25" customWidth="1"/>
    <col min="5" max="5" width="15.625" bestFit="1" customWidth="1"/>
    <col min="6" max="6" width="16.875" customWidth="1"/>
    <col min="7" max="7" width="16.75" bestFit="1" customWidth="1"/>
    <col min="8" max="8" width="14.625" customWidth="1"/>
    <col min="9" max="9" width="17.125" customWidth="1"/>
    <col min="11" max="11" width="15.625" customWidth="1"/>
  </cols>
  <sheetData>
    <row r="1" spans="1:6" x14ac:dyDescent="0.3">
      <c r="A1" t="s">
        <v>3372</v>
      </c>
      <c r="B1" t="s">
        <v>3373</v>
      </c>
      <c r="C1" t="s">
        <v>3374</v>
      </c>
      <c r="D1" t="s">
        <v>3375</v>
      </c>
      <c r="E1" t="s">
        <v>3376</v>
      </c>
      <c r="F1" t="s">
        <v>3377</v>
      </c>
    </row>
    <row r="2" spans="1:6" x14ac:dyDescent="0.3">
      <c r="A2">
        <v>17</v>
      </c>
      <c r="B2" t="s">
        <v>2039</v>
      </c>
      <c r="C2" t="s">
        <v>4510</v>
      </c>
      <c r="E2">
        <v>43500000</v>
      </c>
      <c r="F2">
        <v>294718098500</v>
      </c>
    </row>
    <row r="3" spans="1:6" x14ac:dyDescent="0.3">
      <c r="A3">
        <v>17</v>
      </c>
      <c r="B3" t="s">
        <v>2041</v>
      </c>
      <c r="C3" t="s">
        <v>7150</v>
      </c>
      <c r="E3">
        <v>52727272</v>
      </c>
      <c r="F3">
        <v>294674598500</v>
      </c>
    </row>
    <row r="4" spans="1:6" x14ac:dyDescent="0.3">
      <c r="A4">
        <v>17</v>
      </c>
      <c r="B4" t="s">
        <v>2041</v>
      </c>
      <c r="C4" t="s">
        <v>7149</v>
      </c>
      <c r="E4">
        <v>50909090</v>
      </c>
      <c r="F4">
        <v>294621871228</v>
      </c>
    </row>
    <row r="5" spans="1:6" x14ac:dyDescent="0.3">
      <c r="A5">
        <v>17</v>
      </c>
      <c r="B5" t="s">
        <v>2055</v>
      </c>
      <c r="C5" t="s">
        <v>7148</v>
      </c>
      <c r="E5">
        <v>61090909</v>
      </c>
      <c r="F5">
        <v>294570962138</v>
      </c>
    </row>
    <row r="6" spans="1:6" x14ac:dyDescent="0.3">
      <c r="A6">
        <v>17</v>
      </c>
      <c r="B6" t="s">
        <v>2037</v>
      </c>
      <c r="C6" t="s">
        <v>7147</v>
      </c>
      <c r="E6">
        <v>36363637</v>
      </c>
      <c r="F6">
        <v>294509871229</v>
      </c>
    </row>
    <row r="7" spans="1:6" x14ac:dyDescent="0.3">
      <c r="A7">
        <v>17</v>
      </c>
      <c r="B7" t="s">
        <v>2032</v>
      </c>
      <c r="C7" t="s">
        <v>7146</v>
      </c>
      <c r="E7">
        <v>19700000</v>
      </c>
      <c r="F7">
        <v>294473507592</v>
      </c>
    </row>
    <row r="8" spans="1:6" x14ac:dyDescent="0.3">
      <c r="A8">
        <v>17</v>
      </c>
      <c r="B8" t="s">
        <v>2039</v>
      </c>
      <c r="C8" t="s">
        <v>7131</v>
      </c>
      <c r="E8">
        <v>39090909</v>
      </c>
      <c r="F8">
        <v>294453807592</v>
      </c>
    </row>
    <row r="9" spans="1:6" x14ac:dyDescent="0.3">
      <c r="A9">
        <v>17</v>
      </c>
      <c r="B9" t="s">
        <v>2039</v>
      </c>
      <c r="C9" t="s">
        <v>7131</v>
      </c>
      <c r="E9">
        <v>39090909</v>
      </c>
      <c r="F9">
        <v>294414716683</v>
      </c>
    </row>
    <row r="10" spans="1:6" x14ac:dyDescent="0.3">
      <c r="A10">
        <v>17</v>
      </c>
      <c r="B10" t="s">
        <v>2039</v>
      </c>
      <c r="C10" t="s">
        <v>7131</v>
      </c>
      <c r="E10">
        <v>39090909</v>
      </c>
      <c r="F10">
        <v>294375625774</v>
      </c>
    </row>
    <row r="11" spans="1:6" x14ac:dyDescent="0.3">
      <c r="A11">
        <v>17</v>
      </c>
      <c r="B11" t="s">
        <v>2039</v>
      </c>
      <c r="C11" t="s">
        <v>7131</v>
      </c>
      <c r="E11">
        <v>39090909</v>
      </c>
      <c r="F11">
        <v>294336534865</v>
      </c>
    </row>
    <row r="12" spans="1:6" x14ac:dyDescent="0.3">
      <c r="A12">
        <v>17</v>
      </c>
      <c r="B12" t="s">
        <v>2041</v>
      </c>
      <c r="C12" t="s">
        <v>4983</v>
      </c>
      <c r="E12">
        <v>53000000</v>
      </c>
      <c r="F12">
        <v>294297443956</v>
      </c>
    </row>
    <row r="13" spans="1:6" x14ac:dyDescent="0.3">
      <c r="A13">
        <v>17</v>
      </c>
      <c r="B13" t="s">
        <v>2043</v>
      </c>
      <c r="C13" t="s">
        <v>7145</v>
      </c>
      <c r="E13">
        <v>56900000</v>
      </c>
      <c r="F13">
        <v>294244443956</v>
      </c>
    </row>
    <row r="14" spans="1:6" x14ac:dyDescent="0.3">
      <c r="A14">
        <v>17</v>
      </c>
      <c r="B14" t="s">
        <v>2055</v>
      </c>
      <c r="C14" t="s">
        <v>3497</v>
      </c>
      <c r="E14">
        <v>60909091</v>
      </c>
      <c r="F14">
        <v>294187543956</v>
      </c>
    </row>
    <row r="15" spans="1:6" x14ac:dyDescent="0.3">
      <c r="A15">
        <v>17</v>
      </c>
      <c r="B15" t="s">
        <v>2055</v>
      </c>
      <c r="C15" t="s">
        <v>7144</v>
      </c>
      <c r="E15">
        <v>60400000</v>
      </c>
      <c r="F15">
        <v>294126634865</v>
      </c>
    </row>
    <row r="16" spans="1:6" x14ac:dyDescent="0.3">
      <c r="A16">
        <v>17</v>
      </c>
      <c r="B16" t="s">
        <v>2037</v>
      </c>
      <c r="C16" t="s">
        <v>7143</v>
      </c>
      <c r="E16">
        <v>18373000</v>
      </c>
      <c r="F16">
        <v>294066234865</v>
      </c>
    </row>
    <row r="17" spans="1:6" x14ac:dyDescent="0.3">
      <c r="A17">
        <v>17</v>
      </c>
      <c r="B17" t="s">
        <v>2051</v>
      </c>
      <c r="C17" t="s">
        <v>4859</v>
      </c>
      <c r="E17">
        <v>1582000000</v>
      </c>
      <c r="F17">
        <v>294047861865</v>
      </c>
    </row>
    <row r="18" spans="1:6" x14ac:dyDescent="0.3">
      <c r="A18">
        <v>17</v>
      </c>
      <c r="B18" t="s">
        <v>2041</v>
      </c>
      <c r="C18" t="s">
        <v>3432</v>
      </c>
      <c r="E18">
        <v>6363636</v>
      </c>
      <c r="F18">
        <v>292465861865</v>
      </c>
    </row>
    <row r="19" spans="1:6" x14ac:dyDescent="0.3">
      <c r="A19">
        <v>17</v>
      </c>
      <c r="B19" t="s">
        <v>2041</v>
      </c>
      <c r="C19" t="s">
        <v>7142</v>
      </c>
      <c r="E19">
        <v>52090909</v>
      </c>
      <c r="F19">
        <v>292459498229</v>
      </c>
    </row>
    <row r="20" spans="1:6" x14ac:dyDescent="0.3">
      <c r="A20">
        <v>17</v>
      </c>
      <c r="B20" t="s">
        <v>2037</v>
      </c>
      <c r="C20" t="s">
        <v>7141</v>
      </c>
      <c r="E20">
        <v>39090909</v>
      </c>
      <c r="F20">
        <v>292407407320</v>
      </c>
    </row>
    <row r="21" spans="1:6" x14ac:dyDescent="0.3">
      <c r="A21">
        <v>17</v>
      </c>
      <c r="B21" t="s">
        <v>2039</v>
      </c>
      <c r="C21" t="s">
        <v>7140</v>
      </c>
      <c r="E21">
        <v>37272727</v>
      </c>
      <c r="F21">
        <v>292368316411</v>
      </c>
    </row>
    <row r="22" spans="1:6" x14ac:dyDescent="0.3">
      <c r="A22">
        <v>17</v>
      </c>
      <c r="B22" t="s">
        <v>2028</v>
      </c>
      <c r="C22" t="s">
        <v>7134</v>
      </c>
      <c r="E22">
        <v>15000000</v>
      </c>
      <c r="F22">
        <v>292331043684</v>
      </c>
    </row>
    <row r="23" spans="1:6" x14ac:dyDescent="0.3">
      <c r="A23">
        <v>17</v>
      </c>
      <c r="B23" t="s">
        <v>2028</v>
      </c>
      <c r="C23" t="s">
        <v>7134</v>
      </c>
      <c r="E23">
        <v>-15000000</v>
      </c>
      <c r="F23">
        <v>292316043684</v>
      </c>
    </row>
    <row r="24" spans="1:6" x14ac:dyDescent="0.3">
      <c r="A24">
        <v>17</v>
      </c>
      <c r="B24" t="s">
        <v>7378</v>
      </c>
      <c r="C24" t="s">
        <v>7139</v>
      </c>
      <c r="E24">
        <v>1149250000</v>
      </c>
      <c r="F24">
        <v>292331043684</v>
      </c>
    </row>
    <row r="25" spans="1:6" x14ac:dyDescent="0.3">
      <c r="A25">
        <v>17</v>
      </c>
      <c r="B25" t="s">
        <v>2028</v>
      </c>
      <c r="C25" t="s">
        <v>7138</v>
      </c>
      <c r="E25">
        <v>14968182</v>
      </c>
      <c r="F25">
        <v>291181793684</v>
      </c>
    </row>
    <row r="26" spans="1:6" x14ac:dyDescent="0.3">
      <c r="A26">
        <v>17</v>
      </c>
      <c r="B26" t="s">
        <v>7377</v>
      </c>
      <c r="C26" t="s">
        <v>7137</v>
      </c>
      <c r="E26">
        <v>9090909</v>
      </c>
      <c r="F26">
        <v>291166825502</v>
      </c>
    </row>
    <row r="27" spans="1:6" x14ac:dyDescent="0.3">
      <c r="A27">
        <v>17</v>
      </c>
      <c r="B27" t="s">
        <v>2037</v>
      </c>
      <c r="C27" t="s">
        <v>7136</v>
      </c>
      <c r="E27">
        <v>38000000</v>
      </c>
      <c r="F27">
        <v>291157734593</v>
      </c>
    </row>
    <row r="28" spans="1:6" x14ac:dyDescent="0.3">
      <c r="A28">
        <v>17</v>
      </c>
      <c r="B28" t="s">
        <v>2032</v>
      </c>
      <c r="C28" t="s">
        <v>7135</v>
      </c>
      <c r="E28">
        <v>36363636</v>
      </c>
      <c r="F28">
        <v>291119734593</v>
      </c>
    </row>
    <row r="29" spans="1:6" x14ac:dyDescent="0.3">
      <c r="A29">
        <v>17</v>
      </c>
      <c r="B29" t="s">
        <v>2028</v>
      </c>
      <c r="C29" t="s">
        <v>7134</v>
      </c>
      <c r="E29">
        <v>15000000</v>
      </c>
      <c r="F29">
        <v>291083370957</v>
      </c>
    </row>
    <row r="30" spans="1:6" x14ac:dyDescent="0.3">
      <c r="A30">
        <v>17</v>
      </c>
      <c r="B30" t="s">
        <v>2028</v>
      </c>
      <c r="C30" t="s">
        <v>7133</v>
      </c>
      <c r="E30">
        <v>14090909</v>
      </c>
      <c r="F30">
        <v>291068370957</v>
      </c>
    </row>
    <row r="31" spans="1:6" x14ac:dyDescent="0.3">
      <c r="A31">
        <v>17</v>
      </c>
      <c r="B31" t="s">
        <v>2037</v>
      </c>
      <c r="C31" t="s">
        <v>6916</v>
      </c>
      <c r="E31">
        <v>18373000</v>
      </c>
      <c r="F31">
        <v>291054280048</v>
      </c>
    </row>
    <row r="32" spans="1:6" x14ac:dyDescent="0.3">
      <c r="A32">
        <v>17</v>
      </c>
      <c r="B32" t="s">
        <v>2032</v>
      </c>
      <c r="C32" t="s">
        <v>7132</v>
      </c>
      <c r="E32">
        <v>18572727</v>
      </c>
      <c r="F32">
        <v>291035907048</v>
      </c>
    </row>
    <row r="33" spans="1:6" x14ac:dyDescent="0.3">
      <c r="A33">
        <v>17</v>
      </c>
      <c r="B33" t="s">
        <v>2037</v>
      </c>
      <c r="C33" t="s">
        <v>7131</v>
      </c>
      <c r="E33">
        <v>36090909</v>
      </c>
      <c r="F33">
        <v>291017334321</v>
      </c>
    </row>
    <row r="34" spans="1:6" x14ac:dyDescent="0.3">
      <c r="A34">
        <v>17</v>
      </c>
      <c r="B34" t="s">
        <v>2037</v>
      </c>
      <c r="C34" t="s">
        <v>7131</v>
      </c>
      <c r="E34">
        <v>36090909</v>
      </c>
      <c r="F34">
        <v>290981243412</v>
      </c>
    </row>
    <row r="35" spans="1:6" x14ac:dyDescent="0.3">
      <c r="A35">
        <v>17</v>
      </c>
      <c r="B35" t="s">
        <v>2037</v>
      </c>
      <c r="C35" t="s">
        <v>7131</v>
      </c>
      <c r="E35">
        <v>36090909</v>
      </c>
      <c r="F35">
        <v>290945152503</v>
      </c>
    </row>
    <row r="36" spans="1:6" x14ac:dyDescent="0.3">
      <c r="A36">
        <v>17</v>
      </c>
      <c r="B36" t="s">
        <v>2037</v>
      </c>
      <c r="C36" t="s">
        <v>7131</v>
      </c>
      <c r="E36">
        <v>36090909</v>
      </c>
      <c r="F36">
        <v>290909061594</v>
      </c>
    </row>
    <row r="37" spans="1:6" x14ac:dyDescent="0.3">
      <c r="A37">
        <v>17</v>
      </c>
      <c r="B37" t="s">
        <v>2037</v>
      </c>
      <c r="C37" t="s">
        <v>7131</v>
      </c>
      <c r="E37">
        <v>36090909</v>
      </c>
      <c r="F37">
        <v>290872970685</v>
      </c>
    </row>
    <row r="38" spans="1:6" x14ac:dyDescent="0.3">
      <c r="A38">
        <v>17</v>
      </c>
      <c r="B38" t="s">
        <v>2037</v>
      </c>
      <c r="C38" t="s">
        <v>7131</v>
      </c>
      <c r="E38">
        <v>36090909</v>
      </c>
      <c r="F38">
        <v>290836879776</v>
      </c>
    </row>
    <row r="39" spans="1:6" x14ac:dyDescent="0.3">
      <c r="A39">
        <v>17</v>
      </c>
      <c r="B39" t="s">
        <v>2037</v>
      </c>
      <c r="C39" t="s">
        <v>7131</v>
      </c>
      <c r="E39">
        <v>36090909</v>
      </c>
      <c r="F39">
        <v>290800788867</v>
      </c>
    </row>
    <row r="40" spans="1:6" x14ac:dyDescent="0.3">
      <c r="A40">
        <v>17</v>
      </c>
      <c r="B40" t="s">
        <v>2037</v>
      </c>
      <c r="C40" t="s">
        <v>7131</v>
      </c>
      <c r="E40">
        <v>36090909</v>
      </c>
      <c r="F40">
        <v>290764697958</v>
      </c>
    </row>
    <row r="41" spans="1:6" x14ac:dyDescent="0.3">
      <c r="A41">
        <v>17</v>
      </c>
      <c r="B41" t="s">
        <v>2037</v>
      </c>
      <c r="C41" t="s">
        <v>7130</v>
      </c>
      <c r="E41">
        <v>36090909</v>
      </c>
      <c r="F41">
        <v>290728607049</v>
      </c>
    </row>
    <row r="42" spans="1:6" x14ac:dyDescent="0.3">
      <c r="A42">
        <v>17</v>
      </c>
      <c r="B42" t="s">
        <v>2039</v>
      </c>
      <c r="C42" t="s">
        <v>7130</v>
      </c>
      <c r="E42">
        <v>39090909</v>
      </c>
      <c r="F42">
        <v>290692516140</v>
      </c>
    </row>
    <row r="43" spans="1:6" x14ac:dyDescent="0.3">
      <c r="A43">
        <v>17</v>
      </c>
      <c r="B43" t="s">
        <v>2039</v>
      </c>
      <c r="C43" t="s">
        <v>7130</v>
      </c>
      <c r="E43">
        <v>39090909</v>
      </c>
      <c r="F43">
        <v>290653425231</v>
      </c>
    </row>
    <row r="44" spans="1:6" x14ac:dyDescent="0.3">
      <c r="A44">
        <v>17</v>
      </c>
      <c r="B44" t="s">
        <v>2048</v>
      </c>
      <c r="C44" t="s">
        <v>7129</v>
      </c>
      <c r="E44">
        <v>46363636</v>
      </c>
      <c r="F44">
        <v>290614334322</v>
      </c>
    </row>
    <row r="45" spans="1:6" x14ac:dyDescent="0.3">
      <c r="A45">
        <v>17</v>
      </c>
      <c r="B45" t="s">
        <v>2037</v>
      </c>
      <c r="C45" t="s">
        <v>7128</v>
      </c>
      <c r="E45">
        <v>37272727</v>
      </c>
      <c r="F45">
        <v>290567970686</v>
      </c>
    </row>
    <row r="46" spans="1:6" x14ac:dyDescent="0.3">
      <c r="A46">
        <v>17</v>
      </c>
      <c r="B46" t="s">
        <v>2836</v>
      </c>
      <c r="C46" t="s">
        <v>7127</v>
      </c>
      <c r="E46">
        <v>30000000</v>
      </c>
      <c r="F46">
        <v>290530697959</v>
      </c>
    </row>
    <row r="47" spans="1:6" x14ac:dyDescent="0.3">
      <c r="A47">
        <v>17</v>
      </c>
      <c r="B47" t="s">
        <v>2041</v>
      </c>
      <c r="C47" t="s">
        <v>3790</v>
      </c>
      <c r="E47">
        <v>52000000</v>
      </c>
      <c r="F47">
        <v>290500697959</v>
      </c>
    </row>
    <row r="48" spans="1:6" x14ac:dyDescent="0.3">
      <c r="A48">
        <v>17</v>
      </c>
      <c r="B48" t="s">
        <v>2039</v>
      </c>
      <c r="C48" t="s">
        <v>7126</v>
      </c>
      <c r="E48">
        <v>42000000</v>
      </c>
      <c r="F48">
        <v>290448697959</v>
      </c>
    </row>
    <row r="49" spans="1:6" x14ac:dyDescent="0.3">
      <c r="A49">
        <v>17</v>
      </c>
      <c r="B49" t="s">
        <v>2028</v>
      </c>
      <c r="C49" t="s">
        <v>7125</v>
      </c>
      <c r="E49">
        <v>19400000</v>
      </c>
      <c r="F49">
        <v>290406697959</v>
      </c>
    </row>
    <row r="50" spans="1:6" x14ac:dyDescent="0.3">
      <c r="A50">
        <v>17</v>
      </c>
      <c r="B50" t="s">
        <v>2068</v>
      </c>
      <c r="C50" t="s">
        <v>6122</v>
      </c>
      <c r="E50">
        <v>98490909</v>
      </c>
      <c r="F50">
        <v>290387297959</v>
      </c>
    </row>
    <row r="51" spans="1:6" x14ac:dyDescent="0.3">
      <c r="A51">
        <v>17</v>
      </c>
      <c r="B51" t="s">
        <v>2041</v>
      </c>
      <c r="C51" t="s">
        <v>7124</v>
      </c>
      <c r="E51">
        <v>49000000</v>
      </c>
      <c r="F51">
        <v>290288807050</v>
      </c>
    </row>
    <row r="52" spans="1:6" x14ac:dyDescent="0.3">
      <c r="A52">
        <v>17</v>
      </c>
      <c r="B52" t="s">
        <v>2836</v>
      </c>
      <c r="C52" t="s">
        <v>7123</v>
      </c>
      <c r="E52">
        <v>30000000</v>
      </c>
      <c r="F52">
        <v>290239807050</v>
      </c>
    </row>
    <row r="53" spans="1:6" x14ac:dyDescent="0.3">
      <c r="A53">
        <v>17</v>
      </c>
      <c r="B53" t="s">
        <v>2028</v>
      </c>
      <c r="C53" t="s">
        <v>7122</v>
      </c>
      <c r="E53">
        <v>14559091</v>
      </c>
      <c r="F53">
        <v>290209807050</v>
      </c>
    </row>
    <row r="54" spans="1:6" x14ac:dyDescent="0.3">
      <c r="A54">
        <v>17</v>
      </c>
      <c r="B54" t="s">
        <v>2039</v>
      </c>
      <c r="C54" t="s">
        <v>7121</v>
      </c>
      <c r="E54">
        <v>42500000</v>
      </c>
      <c r="F54">
        <v>290195247959</v>
      </c>
    </row>
    <row r="55" spans="1:6" x14ac:dyDescent="0.3">
      <c r="A55">
        <v>17</v>
      </c>
      <c r="B55" t="s">
        <v>2028</v>
      </c>
      <c r="C55" t="s">
        <v>7120</v>
      </c>
      <c r="E55">
        <v>15072728</v>
      </c>
      <c r="F55">
        <v>290152747959</v>
      </c>
    </row>
    <row r="56" spans="1:6" x14ac:dyDescent="0.3">
      <c r="A56">
        <v>17</v>
      </c>
      <c r="B56" t="s">
        <v>2823</v>
      </c>
      <c r="C56" t="s">
        <v>3515</v>
      </c>
      <c r="E56">
        <v>21000000</v>
      </c>
      <c r="F56">
        <v>290137675231</v>
      </c>
    </row>
    <row r="57" spans="1:6" x14ac:dyDescent="0.3">
      <c r="A57">
        <v>17</v>
      </c>
      <c r="B57" t="s">
        <v>2836</v>
      </c>
      <c r="C57" t="s">
        <v>7119</v>
      </c>
      <c r="E57">
        <v>31500000</v>
      </c>
      <c r="F57">
        <v>290116675231</v>
      </c>
    </row>
    <row r="58" spans="1:6" x14ac:dyDescent="0.3">
      <c r="A58">
        <v>17</v>
      </c>
      <c r="B58" t="s">
        <v>2836</v>
      </c>
      <c r="C58" t="s">
        <v>6929</v>
      </c>
      <c r="E58">
        <v>31000000</v>
      </c>
      <c r="F58">
        <v>290085175231</v>
      </c>
    </row>
    <row r="59" spans="1:6" x14ac:dyDescent="0.3">
      <c r="A59">
        <v>17</v>
      </c>
      <c r="B59" t="s">
        <v>2037</v>
      </c>
      <c r="C59" t="s">
        <v>4351</v>
      </c>
      <c r="E59">
        <v>35000000</v>
      </c>
      <c r="F59">
        <v>290054175231</v>
      </c>
    </row>
    <row r="60" spans="1:6" x14ac:dyDescent="0.3">
      <c r="A60">
        <v>17</v>
      </c>
      <c r="B60" t="s">
        <v>2039</v>
      </c>
      <c r="C60" t="s">
        <v>7118</v>
      </c>
      <c r="E60">
        <v>42000000</v>
      </c>
      <c r="F60">
        <v>290019175231</v>
      </c>
    </row>
    <row r="61" spans="1:6" x14ac:dyDescent="0.3">
      <c r="A61">
        <v>17</v>
      </c>
      <c r="B61" t="s">
        <v>2043</v>
      </c>
      <c r="C61" t="s">
        <v>7117</v>
      </c>
      <c r="E61">
        <v>55700000</v>
      </c>
      <c r="F61">
        <v>289977175231</v>
      </c>
    </row>
    <row r="62" spans="1:6" x14ac:dyDescent="0.3">
      <c r="A62">
        <v>17</v>
      </c>
      <c r="B62" t="s">
        <v>2062</v>
      </c>
      <c r="C62" t="s">
        <v>5902</v>
      </c>
      <c r="E62">
        <v>174600000</v>
      </c>
      <c r="F62">
        <v>289921475231</v>
      </c>
    </row>
    <row r="63" spans="1:6" x14ac:dyDescent="0.3">
      <c r="A63">
        <v>17</v>
      </c>
      <c r="B63" t="s">
        <v>2062</v>
      </c>
      <c r="C63" t="s">
        <v>7116</v>
      </c>
      <c r="E63">
        <v>172000000</v>
      </c>
      <c r="F63">
        <v>289746875231</v>
      </c>
    </row>
    <row r="64" spans="1:6" x14ac:dyDescent="0.3">
      <c r="A64">
        <v>17</v>
      </c>
      <c r="B64" t="s">
        <v>2039</v>
      </c>
      <c r="C64" t="s">
        <v>7115</v>
      </c>
      <c r="E64">
        <v>19873000</v>
      </c>
      <c r="F64">
        <v>289574875231</v>
      </c>
    </row>
    <row r="65" spans="1:6" x14ac:dyDescent="0.3">
      <c r="A65">
        <v>17</v>
      </c>
      <c r="B65" t="s">
        <v>7365</v>
      </c>
      <c r="C65" t="s">
        <v>4422</v>
      </c>
      <c r="E65">
        <v>19400000</v>
      </c>
      <c r="F65">
        <v>289555002231</v>
      </c>
    </row>
    <row r="66" spans="1:6" x14ac:dyDescent="0.3">
      <c r="A66">
        <v>17</v>
      </c>
      <c r="B66" t="s">
        <v>2041</v>
      </c>
      <c r="C66" t="s">
        <v>7114</v>
      </c>
      <c r="E66">
        <v>51818182</v>
      </c>
      <c r="F66">
        <v>289535602231</v>
      </c>
    </row>
    <row r="67" spans="1:6" x14ac:dyDescent="0.3">
      <c r="A67">
        <v>17</v>
      </c>
      <c r="B67" t="s">
        <v>7376</v>
      </c>
      <c r="C67" t="s">
        <v>3662</v>
      </c>
      <c r="E67">
        <v>49527273</v>
      </c>
      <c r="F67">
        <v>289483784049</v>
      </c>
    </row>
    <row r="68" spans="1:6" x14ac:dyDescent="0.3">
      <c r="A68">
        <v>17</v>
      </c>
      <c r="B68" t="s">
        <v>7383</v>
      </c>
      <c r="C68" t="s">
        <v>6291</v>
      </c>
      <c r="E68">
        <v>86860081.5</v>
      </c>
      <c r="F68">
        <v>144717128388</v>
      </c>
    </row>
    <row r="69" spans="1:6" x14ac:dyDescent="0.3">
      <c r="A69">
        <v>17</v>
      </c>
      <c r="B69" t="s">
        <v>7383</v>
      </c>
      <c r="C69" t="s">
        <v>6291</v>
      </c>
      <c r="E69">
        <v>86860081.5</v>
      </c>
      <c r="F69">
        <v>144717128388</v>
      </c>
    </row>
    <row r="70" spans="1:6" x14ac:dyDescent="0.3">
      <c r="A70">
        <v>17</v>
      </c>
      <c r="B70" t="s">
        <v>7261</v>
      </c>
      <c r="C70" t="s">
        <v>4064</v>
      </c>
      <c r="E70">
        <v>89306200</v>
      </c>
      <c r="F70">
        <v>289260536613</v>
      </c>
    </row>
    <row r="71" spans="1:6" x14ac:dyDescent="0.3">
      <c r="A71">
        <v>17</v>
      </c>
      <c r="B71" t="s">
        <v>7273</v>
      </c>
      <c r="C71" t="s">
        <v>4064</v>
      </c>
      <c r="E71">
        <v>106830908</v>
      </c>
    </row>
    <row r="72" spans="1:6" x14ac:dyDescent="0.3">
      <c r="A72">
        <v>17</v>
      </c>
      <c r="B72" t="s">
        <v>2039</v>
      </c>
      <c r="C72" t="s">
        <v>4857</v>
      </c>
      <c r="E72">
        <v>40909091</v>
      </c>
      <c r="F72">
        <v>289064399505</v>
      </c>
    </row>
    <row r="73" spans="1:6" x14ac:dyDescent="0.3">
      <c r="A73">
        <v>17</v>
      </c>
      <c r="B73" t="s">
        <v>2039</v>
      </c>
      <c r="C73" t="s">
        <v>7110</v>
      </c>
      <c r="E73">
        <v>-40909091</v>
      </c>
      <c r="F73">
        <v>289023490414</v>
      </c>
    </row>
    <row r="74" spans="1:6" x14ac:dyDescent="0.3">
      <c r="A74">
        <v>17</v>
      </c>
      <c r="B74" t="s">
        <v>2891</v>
      </c>
      <c r="C74" t="s">
        <v>7113</v>
      </c>
      <c r="E74">
        <v>17727273</v>
      </c>
      <c r="F74">
        <v>289064399505</v>
      </c>
    </row>
    <row r="75" spans="1:6" x14ac:dyDescent="0.3">
      <c r="A75">
        <v>17</v>
      </c>
      <c r="B75" t="s">
        <v>2039</v>
      </c>
      <c r="C75" t="s">
        <v>4023</v>
      </c>
      <c r="E75">
        <v>42454545</v>
      </c>
      <c r="F75">
        <v>289046672232</v>
      </c>
    </row>
    <row r="76" spans="1:6" x14ac:dyDescent="0.3">
      <c r="A76">
        <v>17</v>
      </c>
      <c r="B76" t="s">
        <v>2039</v>
      </c>
      <c r="C76" t="s">
        <v>4023</v>
      </c>
      <c r="E76">
        <v>42454545</v>
      </c>
      <c r="F76">
        <v>289004217687</v>
      </c>
    </row>
    <row r="77" spans="1:6" x14ac:dyDescent="0.3">
      <c r="A77">
        <v>17</v>
      </c>
      <c r="B77" t="s">
        <v>2043</v>
      </c>
      <c r="C77" t="s">
        <v>7112</v>
      </c>
      <c r="E77">
        <v>54500000</v>
      </c>
      <c r="F77">
        <v>288961763142</v>
      </c>
    </row>
    <row r="78" spans="1:6" x14ac:dyDescent="0.3">
      <c r="A78">
        <v>17</v>
      </c>
      <c r="B78" t="s">
        <v>2041</v>
      </c>
      <c r="C78" t="s">
        <v>7111</v>
      </c>
      <c r="E78">
        <v>52000000</v>
      </c>
      <c r="F78">
        <v>288907263142</v>
      </c>
    </row>
    <row r="79" spans="1:6" x14ac:dyDescent="0.3">
      <c r="A79">
        <v>17</v>
      </c>
      <c r="B79" t="s">
        <v>2039</v>
      </c>
      <c r="C79" t="s">
        <v>7110</v>
      </c>
      <c r="E79">
        <v>40909091</v>
      </c>
      <c r="F79">
        <v>288855263142</v>
      </c>
    </row>
    <row r="80" spans="1:6" x14ac:dyDescent="0.3">
      <c r="A80">
        <v>17</v>
      </c>
      <c r="B80" t="s">
        <v>2836</v>
      </c>
      <c r="C80" t="s">
        <v>7069</v>
      </c>
      <c r="E80">
        <v>31000000</v>
      </c>
      <c r="F80">
        <v>288814354051</v>
      </c>
    </row>
    <row r="81" spans="1:6" x14ac:dyDescent="0.3">
      <c r="A81">
        <v>17</v>
      </c>
      <c r="B81" t="s">
        <v>2039</v>
      </c>
      <c r="C81" t="s">
        <v>7109</v>
      </c>
      <c r="E81">
        <v>43700000</v>
      </c>
      <c r="F81">
        <v>288783354051</v>
      </c>
    </row>
    <row r="82" spans="1:6" x14ac:dyDescent="0.3">
      <c r="A82">
        <v>17</v>
      </c>
      <c r="B82" t="s">
        <v>2039</v>
      </c>
      <c r="C82" t="s">
        <v>7109</v>
      </c>
      <c r="E82">
        <v>43700000</v>
      </c>
      <c r="F82">
        <v>288739654051</v>
      </c>
    </row>
    <row r="83" spans="1:6" x14ac:dyDescent="0.3">
      <c r="A83">
        <v>17</v>
      </c>
      <c r="B83" t="s">
        <v>2039</v>
      </c>
      <c r="C83" t="s">
        <v>7109</v>
      </c>
      <c r="E83">
        <v>43700000</v>
      </c>
      <c r="F83">
        <v>288695954051</v>
      </c>
    </row>
    <row r="84" spans="1:6" x14ac:dyDescent="0.3">
      <c r="A84">
        <v>17</v>
      </c>
      <c r="B84" t="s">
        <v>2034</v>
      </c>
      <c r="C84" t="s">
        <v>7109</v>
      </c>
      <c r="E84">
        <v>44800000</v>
      </c>
      <c r="F84">
        <v>288652254051</v>
      </c>
    </row>
    <row r="85" spans="1:6" x14ac:dyDescent="0.3">
      <c r="A85">
        <v>17</v>
      </c>
      <c r="B85" t="s">
        <v>2037</v>
      </c>
      <c r="C85" t="s">
        <v>7108</v>
      </c>
      <c r="E85">
        <v>36363636</v>
      </c>
      <c r="F85">
        <v>288607454051</v>
      </c>
    </row>
    <row r="86" spans="1:6" x14ac:dyDescent="0.3">
      <c r="A86">
        <v>17</v>
      </c>
      <c r="B86" t="s">
        <v>2062</v>
      </c>
      <c r="C86" t="s">
        <v>7107</v>
      </c>
      <c r="E86">
        <v>175600000</v>
      </c>
      <c r="F86">
        <v>288571090415</v>
      </c>
    </row>
    <row r="87" spans="1:6" x14ac:dyDescent="0.3">
      <c r="A87">
        <v>17</v>
      </c>
      <c r="B87" t="s">
        <v>2037</v>
      </c>
      <c r="C87" t="s">
        <v>4614</v>
      </c>
      <c r="E87">
        <v>37500000</v>
      </c>
      <c r="F87">
        <v>288395490415</v>
      </c>
    </row>
    <row r="88" spans="1:6" x14ac:dyDescent="0.3">
      <c r="A88">
        <v>17</v>
      </c>
      <c r="B88" t="s">
        <v>2028</v>
      </c>
      <c r="C88" t="s">
        <v>7106</v>
      </c>
      <c r="E88">
        <v>14200000</v>
      </c>
      <c r="F88">
        <v>288357990415</v>
      </c>
    </row>
    <row r="89" spans="1:6" x14ac:dyDescent="0.3">
      <c r="A89">
        <v>17</v>
      </c>
      <c r="B89" t="s">
        <v>2037</v>
      </c>
      <c r="C89" t="s">
        <v>7105</v>
      </c>
      <c r="E89">
        <v>37000000</v>
      </c>
      <c r="F89">
        <v>288343790415</v>
      </c>
    </row>
    <row r="90" spans="1:6" x14ac:dyDescent="0.3">
      <c r="A90">
        <v>17</v>
      </c>
      <c r="B90" t="s">
        <v>2041</v>
      </c>
      <c r="C90" t="s">
        <v>7104</v>
      </c>
      <c r="E90">
        <v>53000000</v>
      </c>
      <c r="F90">
        <v>288306790415</v>
      </c>
    </row>
    <row r="91" spans="1:6" x14ac:dyDescent="0.3">
      <c r="A91">
        <v>17</v>
      </c>
      <c r="B91" t="s">
        <v>2039</v>
      </c>
      <c r="C91" t="s">
        <v>4323</v>
      </c>
      <c r="E91">
        <v>40500000</v>
      </c>
      <c r="F91">
        <v>288253790415</v>
      </c>
    </row>
    <row r="92" spans="1:6" x14ac:dyDescent="0.3">
      <c r="A92">
        <v>17</v>
      </c>
      <c r="B92" t="s">
        <v>2039</v>
      </c>
      <c r="C92" t="s">
        <v>7103</v>
      </c>
      <c r="E92">
        <v>41454546</v>
      </c>
      <c r="F92">
        <v>288213290415</v>
      </c>
    </row>
    <row r="93" spans="1:6" x14ac:dyDescent="0.3">
      <c r="A93">
        <v>17</v>
      </c>
      <c r="B93" t="s">
        <v>2836</v>
      </c>
      <c r="C93" t="s">
        <v>7011</v>
      </c>
      <c r="E93">
        <v>31000000</v>
      </c>
      <c r="F93">
        <v>288171835869</v>
      </c>
    </row>
    <row r="94" spans="1:6" x14ac:dyDescent="0.3">
      <c r="A94">
        <v>17</v>
      </c>
      <c r="B94" t="s">
        <v>2028</v>
      </c>
      <c r="C94" t="s">
        <v>7102</v>
      </c>
      <c r="E94">
        <v>14150000</v>
      </c>
      <c r="F94">
        <v>288140835869</v>
      </c>
    </row>
    <row r="95" spans="1:6" x14ac:dyDescent="0.3">
      <c r="A95">
        <v>17</v>
      </c>
      <c r="B95" t="s">
        <v>2028</v>
      </c>
      <c r="C95" t="s">
        <v>7101</v>
      </c>
      <c r="E95">
        <v>14500000</v>
      </c>
      <c r="F95">
        <v>288126685869</v>
      </c>
    </row>
    <row r="96" spans="1:6" x14ac:dyDescent="0.3">
      <c r="A96">
        <v>17</v>
      </c>
      <c r="B96" t="s">
        <v>2067</v>
      </c>
      <c r="C96" t="s">
        <v>7100</v>
      </c>
      <c r="E96">
        <v>99090909</v>
      </c>
      <c r="F96">
        <v>288112185869</v>
      </c>
    </row>
    <row r="97" spans="1:6" x14ac:dyDescent="0.3">
      <c r="A97">
        <v>17</v>
      </c>
      <c r="B97" t="s">
        <v>2041</v>
      </c>
      <c r="C97" t="s">
        <v>7099</v>
      </c>
      <c r="E97">
        <v>51818181</v>
      </c>
      <c r="F97">
        <v>288013094960</v>
      </c>
    </row>
    <row r="98" spans="1:6" x14ac:dyDescent="0.3">
      <c r="A98">
        <v>17</v>
      </c>
      <c r="B98" t="s">
        <v>2037</v>
      </c>
      <c r="C98" t="s">
        <v>7098</v>
      </c>
      <c r="E98">
        <v>38500000</v>
      </c>
      <c r="F98">
        <v>287961276779</v>
      </c>
    </row>
    <row r="99" spans="1:6" x14ac:dyDescent="0.3">
      <c r="A99">
        <v>17</v>
      </c>
      <c r="B99" t="s">
        <v>7381</v>
      </c>
      <c r="C99" t="s">
        <v>6291</v>
      </c>
      <c r="E99">
        <v>87123269.5</v>
      </c>
      <c r="F99">
        <v>143961388389.5</v>
      </c>
    </row>
    <row r="100" spans="1:6" x14ac:dyDescent="0.3">
      <c r="A100">
        <v>17</v>
      </c>
      <c r="B100" t="s">
        <v>7381</v>
      </c>
      <c r="C100" t="s">
        <v>6291</v>
      </c>
      <c r="E100">
        <v>87123269.5</v>
      </c>
      <c r="F100">
        <v>143961388389.5</v>
      </c>
    </row>
    <row r="101" spans="1:6" x14ac:dyDescent="0.3">
      <c r="A101">
        <v>17</v>
      </c>
      <c r="B101" t="s">
        <v>2041</v>
      </c>
      <c r="C101" t="s">
        <v>7097</v>
      </c>
      <c r="E101">
        <v>52727273</v>
      </c>
      <c r="F101">
        <v>287748530240</v>
      </c>
    </row>
    <row r="102" spans="1:6" x14ac:dyDescent="0.3">
      <c r="A102">
        <v>17</v>
      </c>
      <c r="B102" t="s">
        <v>2037</v>
      </c>
      <c r="C102" t="s">
        <v>7096</v>
      </c>
      <c r="E102">
        <v>38000000</v>
      </c>
      <c r="F102">
        <v>287695802967</v>
      </c>
    </row>
    <row r="103" spans="1:6" x14ac:dyDescent="0.3">
      <c r="A103">
        <v>17</v>
      </c>
      <c r="B103" t="s">
        <v>2043</v>
      </c>
      <c r="C103" t="s">
        <v>7095</v>
      </c>
      <c r="E103">
        <v>54000000</v>
      </c>
      <c r="F103">
        <v>287657802967</v>
      </c>
    </row>
    <row r="104" spans="1:6" x14ac:dyDescent="0.3">
      <c r="A104">
        <v>17</v>
      </c>
      <c r="B104" t="s">
        <v>2032</v>
      </c>
      <c r="C104" t="s">
        <v>7094</v>
      </c>
      <c r="E104">
        <v>36363637</v>
      </c>
      <c r="F104">
        <v>287603802967</v>
      </c>
    </row>
    <row r="105" spans="1:6" x14ac:dyDescent="0.3">
      <c r="A105">
        <v>17</v>
      </c>
      <c r="B105" t="s">
        <v>2032</v>
      </c>
      <c r="C105" t="s">
        <v>7094</v>
      </c>
      <c r="E105">
        <v>36363637</v>
      </c>
      <c r="F105">
        <v>287567439330</v>
      </c>
    </row>
    <row r="106" spans="1:6" x14ac:dyDescent="0.3">
      <c r="A106">
        <v>17</v>
      </c>
      <c r="B106" t="s">
        <v>2037</v>
      </c>
      <c r="C106" t="s">
        <v>7093</v>
      </c>
      <c r="E106">
        <v>18373000</v>
      </c>
      <c r="F106">
        <v>287531075693</v>
      </c>
    </row>
    <row r="107" spans="1:6" x14ac:dyDescent="0.3">
      <c r="A107">
        <v>17</v>
      </c>
      <c r="B107" t="s">
        <v>2028</v>
      </c>
      <c r="C107" t="s">
        <v>7092</v>
      </c>
      <c r="E107">
        <v>14166363</v>
      </c>
      <c r="F107">
        <v>287512702693</v>
      </c>
    </row>
    <row r="108" spans="1:6" x14ac:dyDescent="0.3">
      <c r="A108">
        <v>17</v>
      </c>
      <c r="B108" t="s">
        <v>2032</v>
      </c>
      <c r="C108" t="s">
        <v>4226</v>
      </c>
      <c r="E108">
        <v>33850000</v>
      </c>
      <c r="F108">
        <v>287498536330</v>
      </c>
    </row>
    <row r="109" spans="1:6" x14ac:dyDescent="0.3">
      <c r="A109">
        <v>17</v>
      </c>
      <c r="B109" t="s">
        <v>2039</v>
      </c>
      <c r="C109" t="s">
        <v>7091</v>
      </c>
      <c r="E109">
        <v>38663000</v>
      </c>
      <c r="F109">
        <v>287464686330</v>
      </c>
    </row>
    <row r="110" spans="1:6" x14ac:dyDescent="0.3">
      <c r="A110">
        <v>17</v>
      </c>
      <c r="B110" t="s">
        <v>2028</v>
      </c>
      <c r="C110" t="s">
        <v>7090</v>
      </c>
      <c r="E110">
        <v>14927273</v>
      </c>
      <c r="F110">
        <v>287426023330</v>
      </c>
    </row>
    <row r="111" spans="1:6" x14ac:dyDescent="0.3">
      <c r="A111">
        <v>17</v>
      </c>
      <c r="B111" t="s">
        <v>7089</v>
      </c>
      <c r="C111" t="s">
        <v>4632</v>
      </c>
      <c r="E111">
        <v>12265000</v>
      </c>
      <c r="F111">
        <v>287411096057</v>
      </c>
    </row>
    <row r="112" spans="1:6" x14ac:dyDescent="0.3">
      <c r="A112">
        <v>17</v>
      </c>
      <c r="B112" t="s">
        <v>2026</v>
      </c>
      <c r="C112" t="s">
        <v>5105</v>
      </c>
      <c r="E112">
        <v>6575800</v>
      </c>
      <c r="F112">
        <v>287398831057</v>
      </c>
    </row>
    <row r="113" spans="1:6" x14ac:dyDescent="0.3">
      <c r="A113">
        <v>17</v>
      </c>
      <c r="B113" t="s">
        <v>2836</v>
      </c>
      <c r="C113" t="s">
        <v>7088</v>
      </c>
      <c r="E113">
        <v>32600000</v>
      </c>
      <c r="F113">
        <v>287392255257</v>
      </c>
    </row>
    <row r="114" spans="1:6" x14ac:dyDescent="0.3">
      <c r="A114">
        <v>17</v>
      </c>
      <c r="B114" t="s">
        <v>2041</v>
      </c>
      <c r="C114" t="s">
        <v>7087</v>
      </c>
      <c r="E114">
        <v>51363636</v>
      </c>
      <c r="F114">
        <v>287359655257</v>
      </c>
    </row>
    <row r="115" spans="1:6" x14ac:dyDescent="0.3">
      <c r="A115">
        <v>17</v>
      </c>
      <c r="B115" t="s">
        <v>2039</v>
      </c>
      <c r="C115" t="s">
        <v>7086</v>
      </c>
      <c r="E115">
        <v>40000000</v>
      </c>
      <c r="F115">
        <v>287308291621</v>
      </c>
    </row>
    <row r="116" spans="1:6" x14ac:dyDescent="0.3">
      <c r="A116">
        <v>17</v>
      </c>
      <c r="B116" t="s">
        <v>2039</v>
      </c>
      <c r="C116" t="s">
        <v>7086</v>
      </c>
      <c r="E116">
        <v>40000000</v>
      </c>
      <c r="F116">
        <v>287268291621</v>
      </c>
    </row>
    <row r="117" spans="1:6" x14ac:dyDescent="0.3">
      <c r="A117">
        <v>17</v>
      </c>
      <c r="B117" t="s">
        <v>2039</v>
      </c>
      <c r="C117" t="s">
        <v>7086</v>
      </c>
      <c r="E117">
        <v>40000000</v>
      </c>
      <c r="F117">
        <v>287228291621</v>
      </c>
    </row>
    <row r="118" spans="1:6" x14ac:dyDescent="0.3">
      <c r="A118">
        <v>17</v>
      </c>
      <c r="B118" t="s">
        <v>7375</v>
      </c>
      <c r="C118" t="s">
        <v>6549</v>
      </c>
      <c r="E118">
        <v>532301250</v>
      </c>
      <c r="F118">
        <v>287188291621</v>
      </c>
    </row>
    <row r="119" spans="1:6" x14ac:dyDescent="0.3">
      <c r="A119">
        <v>17</v>
      </c>
      <c r="B119" t="s">
        <v>2063</v>
      </c>
      <c r="C119" t="s">
        <v>7085</v>
      </c>
      <c r="E119">
        <v>161000000</v>
      </c>
      <c r="F119">
        <v>286655990371</v>
      </c>
    </row>
    <row r="120" spans="1:6" x14ac:dyDescent="0.3">
      <c r="A120">
        <v>17</v>
      </c>
      <c r="B120" t="s">
        <v>2039</v>
      </c>
      <c r="C120" t="s">
        <v>7084</v>
      </c>
      <c r="E120">
        <v>40909091</v>
      </c>
      <c r="F120">
        <v>286494990371</v>
      </c>
    </row>
    <row r="121" spans="1:6" x14ac:dyDescent="0.3">
      <c r="A121">
        <v>17</v>
      </c>
      <c r="B121" t="s">
        <v>2039</v>
      </c>
      <c r="C121" t="s">
        <v>7083</v>
      </c>
      <c r="E121">
        <v>43873000</v>
      </c>
      <c r="F121">
        <v>286454081280</v>
      </c>
    </row>
    <row r="122" spans="1:6" x14ac:dyDescent="0.3">
      <c r="A122">
        <v>17</v>
      </c>
      <c r="B122" t="s">
        <v>2037</v>
      </c>
      <c r="C122" t="s">
        <v>5758</v>
      </c>
      <c r="E122">
        <v>18400000</v>
      </c>
      <c r="F122">
        <v>286410208280</v>
      </c>
    </row>
    <row r="123" spans="1:6" x14ac:dyDescent="0.3">
      <c r="A123">
        <v>17</v>
      </c>
      <c r="B123" t="s">
        <v>2037</v>
      </c>
      <c r="C123" t="s">
        <v>5758</v>
      </c>
      <c r="E123">
        <v>18400000</v>
      </c>
      <c r="F123">
        <v>286391808280</v>
      </c>
    </row>
    <row r="124" spans="1:6" x14ac:dyDescent="0.3">
      <c r="A124">
        <v>17</v>
      </c>
      <c r="B124" t="s">
        <v>2037</v>
      </c>
      <c r="C124" t="s">
        <v>5758</v>
      </c>
      <c r="E124">
        <v>18400000</v>
      </c>
      <c r="F124">
        <v>286373408280</v>
      </c>
    </row>
    <row r="125" spans="1:6" x14ac:dyDescent="0.3">
      <c r="A125">
        <v>17</v>
      </c>
      <c r="B125" t="s">
        <v>2028</v>
      </c>
      <c r="C125" t="s">
        <v>7082</v>
      </c>
      <c r="E125">
        <v>11818182</v>
      </c>
      <c r="F125">
        <v>286355008280</v>
      </c>
    </row>
    <row r="126" spans="1:6" x14ac:dyDescent="0.3">
      <c r="A126">
        <v>17</v>
      </c>
      <c r="B126" t="s">
        <v>2041</v>
      </c>
      <c r="C126" t="s">
        <v>7081</v>
      </c>
      <c r="E126">
        <v>53000000</v>
      </c>
      <c r="F126">
        <v>286343190098</v>
      </c>
    </row>
    <row r="127" spans="1:6" x14ac:dyDescent="0.3">
      <c r="A127">
        <v>17</v>
      </c>
      <c r="B127" t="s">
        <v>2038</v>
      </c>
      <c r="C127" t="s">
        <v>7080</v>
      </c>
      <c r="E127">
        <v>38900000</v>
      </c>
      <c r="F127">
        <v>286290190098</v>
      </c>
    </row>
    <row r="128" spans="1:6" x14ac:dyDescent="0.3">
      <c r="A128">
        <v>17</v>
      </c>
      <c r="B128" t="s">
        <v>2028</v>
      </c>
      <c r="C128" t="s">
        <v>7079</v>
      </c>
      <c r="E128">
        <v>13800000</v>
      </c>
      <c r="F128">
        <v>286251290098</v>
      </c>
    </row>
    <row r="129" spans="1:6" x14ac:dyDescent="0.3">
      <c r="A129">
        <v>17</v>
      </c>
      <c r="B129" t="s">
        <v>7176</v>
      </c>
      <c r="C129" t="s">
        <v>7078</v>
      </c>
      <c r="E129">
        <v>38430050</v>
      </c>
      <c r="F129">
        <v>286237490098</v>
      </c>
    </row>
    <row r="130" spans="1:6" x14ac:dyDescent="0.3">
      <c r="A130">
        <v>17</v>
      </c>
      <c r="B130" t="s">
        <v>2041</v>
      </c>
      <c r="C130" t="s">
        <v>7077</v>
      </c>
      <c r="E130">
        <v>51818182</v>
      </c>
      <c r="F130">
        <v>286199060048</v>
      </c>
    </row>
    <row r="131" spans="1:6" x14ac:dyDescent="0.3">
      <c r="A131">
        <v>17</v>
      </c>
      <c r="B131" t="s">
        <v>2836</v>
      </c>
      <c r="C131" t="s">
        <v>7076</v>
      </c>
      <c r="E131">
        <v>31500000</v>
      </c>
      <c r="F131">
        <v>286147241866</v>
      </c>
    </row>
    <row r="132" spans="1:6" x14ac:dyDescent="0.3">
      <c r="A132">
        <v>17</v>
      </c>
      <c r="B132" t="s">
        <v>2063</v>
      </c>
      <c r="C132" t="s">
        <v>3629</v>
      </c>
      <c r="E132">
        <v>159600000</v>
      </c>
      <c r="F132">
        <v>286115741866</v>
      </c>
    </row>
    <row r="133" spans="1:6" x14ac:dyDescent="0.3">
      <c r="A133">
        <v>17</v>
      </c>
      <c r="B133" t="s">
        <v>7312</v>
      </c>
      <c r="C133" t="s">
        <v>4064</v>
      </c>
      <c r="E133">
        <v>68487300</v>
      </c>
      <c r="F133">
        <v>285956141866</v>
      </c>
    </row>
    <row r="134" spans="1:6" x14ac:dyDescent="0.3">
      <c r="A134">
        <v>17</v>
      </c>
      <c r="B134" t="s">
        <v>7261</v>
      </c>
      <c r="C134" t="s">
        <v>4064</v>
      </c>
      <c r="E134">
        <v>91316400</v>
      </c>
    </row>
    <row r="135" spans="1:6" x14ac:dyDescent="0.3">
      <c r="A135">
        <v>17</v>
      </c>
      <c r="B135" t="s">
        <v>2037</v>
      </c>
      <c r="C135" t="s">
        <v>4126</v>
      </c>
      <c r="E135">
        <v>38500000</v>
      </c>
      <c r="F135">
        <v>285796338166</v>
      </c>
    </row>
    <row r="136" spans="1:6" x14ac:dyDescent="0.3">
      <c r="A136">
        <v>17</v>
      </c>
      <c r="B136" t="s">
        <v>2039</v>
      </c>
      <c r="C136" t="s">
        <v>7075</v>
      </c>
      <c r="E136">
        <v>41000000</v>
      </c>
      <c r="F136">
        <v>285757838166</v>
      </c>
    </row>
    <row r="137" spans="1:6" x14ac:dyDescent="0.3">
      <c r="A137">
        <v>17</v>
      </c>
      <c r="B137" t="s">
        <v>2039</v>
      </c>
      <c r="C137" t="s">
        <v>5688</v>
      </c>
      <c r="E137">
        <v>42181818</v>
      </c>
      <c r="F137">
        <v>285716838166</v>
      </c>
    </row>
    <row r="138" spans="1:6" x14ac:dyDescent="0.3">
      <c r="A138">
        <v>17</v>
      </c>
      <c r="B138" t="s">
        <v>2039</v>
      </c>
      <c r="C138" t="s">
        <v>7074</v>
      </c>
      <c r="E138">
        <v>40000000</v>
      </c>
      <c r="F138">
        <v>285674656348</v>
      </c>
    </row>
    <row r="139" spans="1:6" x14ac:dyDescent="0.3">
      <c r="A139">
        <v>17</v>
      </c>
      <c r="B139" t="s">
        <v>2032</v>
      </c>
      <c r="C139" t="s">
        <v>3765</v>
      </c>
      <c r="E139">
        <v>36700000</v>
      </c>
      <c r="F139">
        <v>285634656348</v>
      </c>
    </row>
    <row r="140" spans="1:6" x14ac:dyDescent="0.3">
      <c r="A140">
        <v>17</v>
      </c>
      <c r="B140" t="s">
        <v>2055</v>
      </c>
      <c r="C140" t="s">
        <v>7073</v>
      </c>
      <c r="E140">
        <v>59090910</v>
      </c>
      <c r="F140">
        <v>285597956348</v>
      </c>
    </row>
    <row r="141" spans="1:6" x14ac:dyDescent="0.3">
      <c r="A141">
        <v>17</v>
      </c>
      <c r="B141" t="s">
        <v>2039</v>
      </c>
      <c r="C141" t="s">
        <v>7072</v>
      </c>
      <c r="E141">
        <v>42000000</v>
      </c>
      <c r="F141">
        <v>285538865438</v>
      </c>
    </row>
    <row r="142" spans="1:6" x14ac:dyDescent="0.3">
      <c r="A142">
        <v>17</v>
      </c>
      <c r="B142" t="s">
        <v>2062</v>
      </c>
      <c r="C142" t="s">
        <v>7071</v>
      </c>
      <c r="E142">
        <v>177000000</v>
      </c>
      <c r="F142">
        <v>285496865438</v>
      </c>
    </row>
    <row r="143" spans="1:6" x14ac:dyDescent="0.3">
      <c r="A143">
        <v>17</v>
      </c>
      <c r="B143" t="s">
        <v>2034</v>
      </c>
      <c r="C143" t="s">
        <v>7070</v>
      </c>
      <c r="E143">
        <v>44400000</v>
      </c>
      <c r="F143">
        <v>285319865438</v>
      </c>
    </row>
    <row r="144" spans="1:6" x14ac:dyDescent="0.3">
      <c r="A144">
        <v>17</v>
      </c>
      <c r="B144" t="s">
        <v>2039</v>
      </c>
      <c r="C144" t="s">
        <v>7069</v>
      </c>
      <c r="E144">
        <v>41818182</v>
      </c>
      <c r="F144">
        <v>285275465438</v>
      </c>
    </row>
    <row r="145" spans="1:6" x14ac:dyDescent="0.3">
      <c r="A145">
        <v>17</v>
      </c>
      <c r="B145" t="s">
        <v>2032</v>
      </c>
      <c r="C145" t="s">
        <v>4542</v>
      </c>
      <c r="E145">
        <v>36363637</v>
      </c>
      <c r="F145">
        <v>285233647256</v>
      </c>
    </row>
    <row r="146" spans="1:6" x14ac:dyDescent="0.3">
      <c r="A146">
        <v>17</v>
      </c>
      <c r="B146" t="s">
        <v>2037</v>
      </c>
      <c r="C146" t="s">
        <v>7068</v>
      </c>
      <c r="E146">
        <v>37000000</v>
      </c>
      <c r="F146">
        <v>285197283619</v>
      </c>
    </row>
    <row r="147" spans="1:6" x14ac:dyDescent="0.3">
      <c r="A147">
        <v>17</v>
      </c>
      <c r="B147" t="s">
        <v>2062</v>
      </c>
      <c r="C147" t="s">
        <v>6291</v>
      </c>
      <c r="E147">
        <v>86740450.5</v>
      </c>
      <c r="F147">
        <v>142580141809.5</v>
      </c>
    </row>
    <row r="148" spans="1:6" x14ac:dyDescent="0.3">
      <c r="A148">
        <v>17</v>
      </c>
      <c r="B148" t="s">
        <v>2062</v>
      </c>
      <c r="C148" t="s">
        <v>6291</v>
      </c>
      <c r="E148">
        <v>86740450.5</v>
      </c>
      <c r="F148">
        <v>142580141809.5</v>
      </c>
    </row>
    <row r="149" spans="1:6" x14ac:dyDescent="0.3">
      <c r="A149">
        <v>17</v>
      </c>
      <c r="B149" t="s">
        <v>2037</v>
      </c>
      <c r="C149" t="s">
        <v>7067</v>
      </c>
      <c r="E149">
        <v>36000000</v>
      </c>
      <c r="F149">
        <v>284986802718</v>
      </c>
    </row>
    <row r="150" spans="1:6" x14ac:dyDescent="0.3">
      <c r="A150">
        <v>17</v>
      </c>
      <c r="B150" t="s">
        <v>2037</v>
      </c>
      <c r="C150" t="s">
        <v>7066</v>
      </c>
      <c r="E150">
        <v>39090909</v>
      </c>
      <c r="F150">
        <v>284950802718</v>
      </c>
    </row>
    <row r="151" spans="1:6" x14ac:dyDescent="0.3">
      <c r="A151">
        <v>17</v>
      </c>
      <c r="B151" t="s">
        <v>2038</v>
      </c>
      <c r="C151" t="s">
        <v>7066</v>
      </c>
      <c r="E151">
        <v>40000000</v>
      </c>
      <c r="F151">
        <v>284911711809</v>
      </c>
    </row>
    <row r="152" spans="1:6" x14ac:dyDescent="0.3">
      <c r="A152">
        <v>17</v>
      </c>
      <c r="B152" t="s">
        <v>2041</v>
      </c>
      <c r="C152" t="s">
        <v>7065</v>
      </c>
      <c r="E152">
        <v>52000000</v>
      </c>
      <c r="F152">
        <v>284871711809</v>
      </c>
    </row>
    <row r="153" spans="1:6" x14ac:dyDescent="0.3">
      <c r="A153">
        <v>17</v>
      </c>
      <c r="B153" t="s">
        <v>2028</v>
      </c>
      <c r="C153" t="s">
        <v>7064</v>
      </c>
      <c r="E153">
        <v>14500000</v>
      </c>
      <c r="F153">
        <v>284819711809</v>
      </c>
    </row>
    <row r="154" spans="1:6" x14ac:dyDescent="0.3">
      <c r="A154">
        <v>17</v>
      </c>
      <c r="B154" t="s">
        <v>2039</v>
      </c>
      <c r="C154" t="s">
        <v>7063</v>
      </c>
      <c r="E154">
        <v>42000000</v>
      </c>
      <c r="F154">
        <v>284805211809</v>
      </c>
    </row>
    <row r="155" spans="1:6" x14ac:dyDescent="0.3">
      <c r="A155">
        <v>17</v>
      </c>
      <c r="B155" t="s">
        <v>7374</v>
      </c>
      <c r="C155" t="s">
        <v>6549</v>
      </c>
      <c r="E155">
        <v>1296575000</v>
      </c>
      <c r="F155">
        <v>284763211809</v>
      </c>
    </row>
    <row r="156" spans="1:6" x14ac:dyDescent="0.3">
      <c r="A156">
        <v>17</v>
      </c>
      <c r="B156" t="s">
        <v>2037</v>
      </c>
      <c r="C156" t="s">
        <v>7062</v>
      </c>
      <c r="E156">
        <v>38000000</v>
      </c>
      <c r="F156">
        <v>283466636809</v>
      </c>
    </row>
    <row r="157" spans="1:6" x14ac:dyDescent="0.3">
      <c r="A157">
        <v>17</v>
      </c>
      <c r="B157" t="s">
        <v>2041</v>
      </c>
      <c r="C157" t="s">
        <v>7061</v>
      </c>
      <c r="E157">
        <v>52000000</v>
      </c>
      <c r="F157">
        <v>283428636809</v>
      </c>
    </row>
    <row r="158" spans="1:6" x14ac:dyDescent="0.3">
      <c r="A158">
        <v>17</v>
      </c>
      <c r="B158" t="s">
        <v>2037</v>
      </c>
      <c r="C158" t="s">
        <v>7060</v>
      </c>
      <c r="E158">
        <v>18572730</v>
      </c>
      <c r="F158">
        <v>283376636809</v>
      </c>
    </row>
    <row r="159" spans="1:6" x14ac:dyDescent="0.3">
      <c r="A159">
        <v>17</v>
      </c>
      <c r="B159" t="s">
        <v>2028</v>
      </c>
      <c r="C159" t="s">
        <v>4213</v>
      </c>
      <c r="E159">
        <v>14500000</v>
      </c>
      <c r="F159">
        <v>283358064079</v>
      </c>
    </row>
    <row r="160" spans="1:6" x14ac:dyDescent="0.3">
      <c r="A160">
        <v>17</v>
      </c>
      <c r="B160" t="s">
        <v>2039</v>
      </c>
      <c r="C160" t="s">
        <v>7059</v>
      </c>
      <c r="E160">
        <v>39090909</v>
      </c>
      <c r="F160">
        <v>283343564079</v>
      </c>
    </row>
    <row r="161" spans="1:6" x14ac:dyDescent="0.3">
      <c r="A161">
        <v>17</v>
      </c>
      <c r="B161" t="s">
        <v>2041</v>
      </c>
      <c r="C161" t="s">
        <v>7058</v>
      </c>
      <c r="E161">
        <v>53000000</v>
      </c>
      <c r="F161">
        <v>283304473170</v>
      </c>
    </row>
    <row r="162" spans="1:6" x14ac:dyDescent="0.3">
      <c r="A162">
        <v>17</v>
      </c>
      <c r="B162" t="s">
        <v>2041</v>
      </c>
      <c r="C162" t="s">
        <v>5488</v>
      </c>
      <c r="E162">
        <v>50909091</v>
      </c>
      <c r="F162">
        <v>283251473170</v>
      </c>
    </row>
    <row r="163" spans="1:6" x14ac:dyDescent="0.3">
      <c r="A163">
        <v>17</v>
      </c>
      <c r="B163" t="s">
        <v>2039</v>
      </c>
      <c r="C163" t="s">
        <v>7057</v>
      </c>
      <c r="E163">
        <v>41000000</v>
      </c>
      <c r="F163">
        <v>283200564079</v>
      </c>
    </row>
    <row r="164" spans="1:6" x14ac:dyDescent="0.3">
      <c r="A164">
        <v>17</v>
      </c>
      <c r="B164" t="s">
        <v>2039</v>
      </c>
      <c r="C164" t="s">
        <v>7056</v>
      </c>
      <c r="E164">
        <v>40909091</v>
      </c>
      <c r="F164">
        <v>283159564079</v>
      </c>
    </row>
    <row r="165" spans="1:6" x14ac:dyDescent="0.3">
      <c r="A165">
        <v>17</v>
      </c>
      <c r="B165" t="s">
        <v>2037</v>
      </c>
      <c r="C165" t="s">
        <v>7055</v>
      </c>
      <c r="E165">
        <v>38000000</v>
      </c>
      <c r="F165">
        <v>283118654988</v>
      </c>
    </row>
    <row r="166" spans="1:6" x14ac:dyDescent="0.3">
      <c r="A166">
        <v>17</v>
      </c>
      <c r="B166" t="s">
        <v>2037</v>
      </c>
      <c r="C166" t="s">
        <v>7055</v>
      </c>
      <c r="E166">
        <v>38000000</v>
      </c>
      <c r="F166">
        <v>283080654988</v>
      </c>
    </row>
    <row r="167" spans="1:6" x14ac:dyDescent="0.3">
      <c r="A167">
        <v>17</v>
      </c>
      <c r="B167" t="s">
        <v>2032</v>
      </c>
      <c r="C167" t="s">
        <v>7054</v>
      </c>
      <c r="E167">
        <v>34009091</v>
      </c>
      <c r="F167">
        <v>283042654988</v>
      </c>
    </row>
    <row r="168" spans="1:6" x14ac:dyDescent="0.3">
      <c r="A168">
        <v>17</v>
      </c>
      <c r="B168" t="s">
        <v>2043</v>
      </c>
      <c r="C168" t="s">
        <v>7029</v>
      </c>
      <c r="E168">
        <v>53500000</v>
      </c>
      <c r="F168">
        <v>283008645897</v>
      </c>
    </row>
    <row r="169" spans="1:6" x14ac:dyDescent="0.3">
      <c r="A169">
        <v>17</v>
      </c>
      <c r="B169" t="s">
        <v>2039</v>
      </c>
      <c r="C169" t="s">
        <v>7053</v>
      </c>
      <c r="E169">
        <v>39909091</v>
      </c>
      <c r="F169">
        <v>282955145897</v>
      </c>
    </row>
    <row r="170" spans="1:6" x14ac:dyDescent="0.3">
      <c r="A170">
        <v>17</v>
      </c>
      <c r="B170" t="s">
        <v>2039</v>
      </c>
      <c r="C170" t="s">
        <v>6472</v>
      </c>
      <c r="E170">
        <v>39000000</v>
      </c>
      <c r="F170">
        <v>282915236806</v>
      </c>
    </row>
    <row r="171" spans="1:6" x14ac:dyDescent="0.3">
      <c r="A171">
        <v>17</v>
      </c>
      <c r="B171" t="s">
        <v>2039</v>
      </c>
      <c r="C171" t="s">
        <v>7052</v>
      </c>
      <c r="E171">
        <v>40454545</v>
      </c>
      <c r="F171">
        <v>282876236806</v>
      </c>
    </row>
    <row r="172" spans="1:6" x14ac:dyDescent="0.3">
      <c r="A172">
        <v>17</v>
      </c>
      <c r="B172" t="s">
        <v>2037</v>
      </c>
      <c r="C172" t="s">
        <v>7051</v>
      </c>
      <c r="E172">
        <v>36363637</v>
      </c>
      <c r="F172">
        <v>282835782261</v>
      </c>
    </row>
    <row r="173" spans="1:6" x14ac:dyDescent="0.3">
      <c r="A173">
        <v>17</v>
      </c>
      <c r="B173" t="s">
        <v>2836</v>
      </c>
      <c r="C173" t="s">
        <v>7050</v>
      </c>
      <c r="E173">
        <v>31000000</v>
      </c>
      <c r="F173">
        <v>282799418624</v>
      </c>
    </row>
    <row r="174" spans="1:6" x14ac:dyDescent="0.3">
      <c r="A174">
        <v>17</v>
      </c>
      <c r="B174" t="s">
        <v>2836</v>
      </c>
      <c r="C174" t="s">
        <v>6803</v>
      </c>
      <c r="E174">
        <v>31000000</v>
      </c>
      <c r="F174">
        <v>282768418624</v>
      </c>
    </row>
    <row r="175" spans="1:6" x14ac:dyDescent="0.3">
      <c r="A175">
        <v>17</v>
      </c>
      <c r="B175" t="s">
        <v>2836</v>
      </c>
      <c r="C175" t="s">
        <v>5126</v>
      </c>
      <c r="E175">
        <v>31000000</v>
      </c>
      <c r="F175">
        <v>282737418624</v>
      </c>
    </row>
    <row r="176" spans="1:6" x14ac:dyDescent="0.3">
      <c r="A176">
        <v>17</v>
      </c>
      <c r="B176" t="s">
        <v>2037</v>
      </c>
      <c r="C176" t="s">
        <v>7049</v>
      </c>
      <c r="E176">
        <v>37936363</v>
      </c>
      <c r="F176">
        <v>282706418624</v>
      </c>
    </row>
    <row r="177" spans="1:6" x14ac:dyDescent="0.3">
      <c r="A177">
        <v>17</v>
      </c>
      <c r="B177" t="s">
        <v>2041</v>
      </c>
      <c r="C177" t="s">
        <v>7048</v>
      </c>
      <c r="E177">
        <v>51300000</v>
      </c>
      <c r="F177">
        <v>282668482261</v>
      </c>
    </row>
    <row r="178" spans="1:6" x14ac:dyDescent="0.3">
      <c r="A178">
        <v>17</v>
      </c>
      <c r="B178" t="s">
        <v>2032</v>
      </c>
      <c r="C178" t="s">
        <v>7047</v>
      </c>
      <c r="E178">
        <v>18373000</v>
      </c>
      <c r="F178">
        <v>282617182261</v>
      </c>
    </row>
    <row r="179" spans="1:6" x14ac:dyDescent="0.3">
      <c r="A179">
        <v>17</v>
      </c>
      <c r="B179" t="s">
        <v>7154</v>
      </c>
      <c r="C179" t="s">
        <v>5701</v>
      </c>
      <c r="E179">
        <v>29390081</v>
      </c>
      <c r="F179">
        <v>282598809261</v>
      </c>
    </row>
    <row r="180" spans="1:6" x14ac:dyDescent="0.3">
      <c r="A180">
        <v>17</v>
      </c>
      <c r="B180" t="s">
        <v>2043</v>
      </c>
      <c r="C180" t="s">
        <v>7046</v>
      </c>
      <c r="E180">
        <v>54000000</v>
      </c>
      <c r="F180">
        <v>282569419180</v>
      </c>
    </row>
    <row r="181" spans="1:6" x14ac:dyDescent="0.3">
      <c r="A181">
        <v>17</v>
      </c>
      <c r="B181" t="s">
        <v>2041</v>
      </c>
      <c r="C181" t="s">
        <v>7045</v>
      </c>
      <c r="E181">
        <v>52000000</v>
      </c>
      <c r="F181">
        <v>282515419180</v>
      </c>
    </row>
    <row r="182" spans="1:6" x14ac:dyDescent="0.3">
      <c r="A182">
        <v>17</v>
      </c>
      <c r="B182" t="s">
        <v>2039</v>
      </c>
      <c r="C182" t="s">
        <v>7044</v>
      </c>
      <c r="E182">
        <v>44545455</v>
      </c>
      <c r="F182">
        <v>282463419180</v>
      </c>
    </row>
    <row r="183" spans="1:6" x14ac:dyDescent="0.3">
      <c r="A183">
        <v>17</v>
      </c>
      <c r="B183" t="s">
        <v>2039</v>
      </c>
      <c r="C183" t="s">
        <v>7043</v>
      </c>
      <c r="E183">
        <v>40300000</v>
      </c>
      <c r="F183">
        <v>282418873725</v>
      </c>
    </row>
    <row r="184" spans="1:6" x14ac:dyDescent="0.3">
      <c r="A184">
        <v>17</v>
      </c>
      <c r="B184" t="s">
        <v>2028</v>
      </c>
      <c r="C184" t="s">
        <v>7042</v>
      </c>
      <c r="E184">
        <v>14500000</v>
      </c>
      <c r="F184">
        <v>282378573725</v>
      </c>
    </row>
    <row r="185" spans="1:6" x14ac:dyDescent="0.3">
      <c r="A185">
        <v>17</v>
      </c>
      <c r="B185" t="s">
        <v>2037</v>
      </c>
      <c r="C185" t="s">
        <v>7041</v>
      </c>
      <c r="E185">
        <v>18500000</v>
      </c>
      <c r="F185">
        <v>282364073725</v>
      </c>
    </row>
    <row r="186" spans="1:6" x14ac:dyDescent="0.3">
      <c r="A186">
        <v>17</v>
      </c>
      <c r="B186" t="s">
        <v>2063</v>
      </c>
      <c r="C186" t="s">
        <v>7040</v>
      </c>
      <c r="E186">
        <v>161800000</v>
      </c>
      <c r="F186">
        <v>282345573725</v>
      </c>
    </row>
    <row r="187" spans="1:6" x14ac:dyDescent="0.3">
      <c r="A187">
        <v>17</v>
      </c>
      <c r="B187" t="s">
        <v>2028</v>
      </c>
      <c r="C187" t="s">
        <v>7039</v>
      </c>
      <c r="E187">
        <v>14000000</v>
      </c>
      <c r="F187">
        <v>282183773725</v>
      </c>
    </row>
    <row r="188" spans="1:6" x14ac:dyDescent="0.3">
      <c r="A188">
        <v>17</v>
      </c>
      <c r="B188" t="s">
        <v>2836</v>
      </c>
      <c r="C188" t="s">
        <v>3379</v>
      </c>
      <c r="E188">
        <v>31000000</v>
      </c>
      <c r="F188">
        <v>282169773725</v>
      </c>
    </row>
    <row r="189" spans="1:6" x14ac:dyDescent="0.3">
      <c r="A189">
        <v>17</v>
      </c>
      <c r="B189" t="s">
        <v>2836</v>
      </c>
      <c r="C189" t="s">
        <v>7038</v>
      </c>
      <c r="E189">
        <v>31000000</v>
      </c>
      <c r="F189">
        <v>282138773725</v>
      </c>
    </row>
    <row r="190" spans="1:6" x14ac:dyDescent="0.3">
      <c r="A190">
        <v>17</v>
      </c>
      <c r="B190" t="s">
        <v>2836</v>
      </c>
      <c r="C190" t="s">
        <v>7037</v>
      </c>
      <c r="E190">
        <v>31000000</v>
      </c>
      <c r="F190">
        <v>282107773725</v>
      </c>
    </row>
    <row r="191" spans="1:6" x14ac:dyDescent="0.3">
      <c r="A191">
        <v>17</v>
      </c>
      <c r="B191" t="s">
        <v>2037</v>
      </c>
      <c r="C191" t="s">
        <v>5420</v>
      </c>
      <c r="E191">
        <v>37000000</v>
      </c>
      <c r="F191">
        <v>282076773725</v>
      </c>
    </row>
    <row r="192" spans="1:6" x14ac:dyDescent="0.3">
      <c r="A192">
        <v>17</v>
      </c>
      <c r="B192" t="s">
        <v>2032</v>
      </c>
      <c r="C192" t="s">
        <v>7036</v>
      </c>
      <c r="E192">
        <v>34700000</v>
      </c>
      <c r="F192">
        <v>282039773725</v>
      </c>
    </row>
    <row r="193" spans="1:6" x14ac:dyDescent="0.3">
      <c r="A193">
        <v>17</v>
      </c>
      <c r="B193" t="s">
        <v>2039</v>
      </c>
      <c r="C193" t="s">
        <v>3457</v>
      </c>
      <c r="E193">
        <v>42181818</v>
      </c>
      <c r="F193">
        <v>282005073725</v>
      </c>
    </row>
    <row r="194" spans="1:6" x14ac:dyDescent="0.3">
      <c r="A194">
        <v>17</v>
      </c>
      <c r="B194" t="s">
        <v>2836</v>
      </c>
      <c r="C194" t="s">
        <v>7035</v>
      </c>
      <c r="E194">
        <v>31363636</v>
      </c>
      <c r="F194">
        <v>281962891907</v>
      </c>
    </row>
    <row r="195" spans="1:6" x14ac:dyDescent="0.3">
      <c r="A195">
        <v>17</v>
      </c>
      <c r="B195" t="s">
        <v>2836</v>
      </c>
      <c r="C195" t="s">
        <v>7034</v>
      </c>
      <c r="E195">
        <v>31000000</v>
      </c>
      <c r="F195">
        <v>281931528271</v>
      </c>
    </row>
    <row r="196" spans="1:6" x14ac:dyDescent="0.3">
      <c r="A196">
        <v>17</v>
      </c>
      <c r="B196" t="s">
        <v>2836</v>
      </c>
      <c r="C196" t="s">
        <v>7033</v>
      </c>
      <c r="E196">
        <v>31000000</v>
      </c>
      <c r="F196">
        <v>281900528271</v>
      </c>
    </row>
    <row r="197" spans="1:6" x14ac:dyDescent="0.3">
      <c r="A197">
        <v>17</v>
      </c>
      <c r="B197" t="s">
        <v>2032</v>
      </c>
      <c r="C197" t="s">
        <v>7032</v>
      </c>
      <c r="E197">
        <v>18373000</v>
      </c>
      <c r="F197">
        <v>281869528271</v>
      </c>
    </row>
    <row r="198" spans="1:6" x14ac:dyDescent="0.3">
      <c r="A198">
        <v>17</v>
      </c>
      <c r="B198" t="s">
        <v>2037</v>
      </c>
      <c r="C198" t="s">
        <v>7031</v>
      </c>
      <c r="E198">
        <v>18373000</v>
      </c>
      <c r="F198">
        <v>281851155271</v>
      </c>
    </row>
    <row r="199" spans="1:6" x14ac:dyDescent="0.3">
      <c r="A199">
        <v>17</v>
      </c>
      <c r="B199" t="s">
        <v>2836</v>
      </c>
      <c r="C199" t="s">
        <v>7030</v>
      </c>
      <c r="E199">
        <v>32000000</v>
      </c>
      <c r="F199">
        <v>281832782271</v>
      </c>
    </row>
    <row r="200" spans="1:6" x14ac:dyDescent="0.3">
      <c r="A200">
        <v>17</v>
      </c>
      <c r="B200" t="s">
        <v>2039</v>
      </c>
      <c r="C200" t="s">
        <v>7029</v>
      </c>
      <c r="E200">
        <v>41500000</v>
      </c>
      <c r="F200">
        <v>281800782271</v>
      </c>
    </row>
    <row r="201" spans="1:6" x14ac:dyDescent="0.3">
      <c r="A201">
        <v>17</v>
      </c>
      <c r="B201" t="s">
        <v>2037</v>
      </c>
      <c r="C201" t="s">
        <v>3705</v>
      </c>
      <c r="E201">
        <v>38181818</v>
      </c>
      <c r="F201">
        <v>281759282271</v>
      </c>
    </row>
    <row r="202" spans="1:6" x14ac:dyDescent="0.3">
      <c r="A202">
        <v>17</v>
      </c>
      <c r="B202" t="s">
        <v>2037</v>
      </c>
      <c r="C202" t="s">
        <v>6476</v>
      </c>
      <c r="E202">
        <v>18373000</v>
      </c>
      <c r="F202">
        <v>281721100453</v>
      </c>
    </row>
    <row r="203" spans="1:6" x14ac:dyDescent="0.3">
      <c r="A203">
        <v>17</v>
      </c>
      <c r="B203" t="s">
        <v>7154</v>
      </c>
      <c r="C203" t="s">
        <v>6549</v>
      </c>
      <c r="E203">
        <v>76617250</v>
      </c>
      <c r="F203">
        <v>281702727453</v>
      </c>
    </row>
    <row r="204" spans="1:6" x14ac:dyDescent="0.3">
      <c r="A204">
        <v>17</v>
      </c>
      <c r="B204" t="s">
        <v>2041</v>
      </c>
      <c r="C204" t="s">
        <v>7028</v>
      </c>
      <c r="E204">
        <v>53000000</v>
      </c>
      <c r="F204">
        <v>281626110203</v>
      </c>
    </row>
    <row r="205" spans="1:6" x14ac:dyDescent="0.3">
      <c r="A205">
        <v>17</v>
      </c>
      <c r="B205" t="s">
        <v>2037</v>
      </c>
      <c r="C205" t="s">
        <v>5436</v>
      </c>
      <c r="E205">
        <v>38181819</v>
      </c>
      <c r="F205">
        <v>281573110203</v>
      </c>
    </row>
    <row r="206" spans="1:6" x14ac:dyDescent="0.3">
      <c r="A206">
        <v>17</v>
      </c>
      <c r="B206" t="s">
        <v>2037</v>
      </c>
      <c r="C206" t="s">
        <v>5436</v>
      </c>
      <c r="E206">
        <v>38181819</v>
      </c>
      <c r="F206">
        <v>281534928384</v>
      </c>
    </row>
    <row r="207" spans="1:6" x14ac:dyDescent="0.3">
      <c r="A207">
        <v>17</v>
      </c>
      <c r="B207" t="s">
        <v>2037</v>
      </c>
      <c r="C207" t="s">
        <v>5436</v>
      </c>
      <c r="E207">
        <v>38181819</v>
      </c>
      <c r="F207">
        <v>281496746565</v>
      </c>
    </row>
    <row r="208" spans="1:6" x14ac:dyDescent="0.3">
      <c r="A208">
        <v>17</v>
      </c>
      <c r="B208" t="s">
        <v>2037</v>
      </c>
      <c r="C208" t="s">
        <v>7027</v>
      </c>
      <c r="E208">
        <v>35227272</v>
      </c>
      <c r="F208">
        <v>281458564746</v>
      </c>
    </row>
    <row r="209" spans="1:6" x14ac:dyDescent="0.3">
      <c r="A209">
        <v>17</v>
      </c>
      <c r="B209" t="s">
        <v>2836</v>
      </c>
      <c r="C209" t="s">
        <v>7026</v>
      </c>
      <c r="E209">
        <v>31000000</v>
      </c>
      <c r="F209">
        <v>281423337474</v>
      </c>
    </row>
    <row r="210" spans="1:6" x14ac:dyDescent="0.3">
      <c r="A210">
        <v>17</v>
      </c>
      <c r="B210" t="s">
        <v>2836</v>
      </c>
      <c r="C210" t="s">
        <v>7025</v>
      </c>
      <c r="E210">
        <v>30000000</v>
      </c>
      <c r="F210">
        <v>281392337474</v>
      </c>
    </row>
    <row r="211" spans="1:6" x14ac:dyDescent="0.3">
      <c r="A211">
        <v>17</v>
      </c>
      <c r="B211" t="s">
        <v>2037</v>
      </c>
      <c r="C211" t="s">
        <v>7024</v>
      </c>
      <c r="E211">
        <v>18373000</v>
      </c>
      <c r="F211">
        <v>281362337474</v>
      </c>
    </row>
    <row r="212" spans="1:6" x14ac:dyDescent="0.3">
      <c r="A212">
        <v>17</v>
      </c>
      <c r="B212" t="s">
        <v>2040</v>
      </c>
      <c r="C212" t="s">
        <v>7023</v>
      </c>
      <c r="E212">
        <v>41818181</v>
      </c>
      <c r="F212">
        <v>281343964474</v>
      </c>
    </row>
    <row r="213" spans="1:6" x14ac:dyDescent="0.3">
      <c r="A213">
        <v>17</v>
      </c>
      <c r="B213" t="s">
        <v>2037</v>
      </c>
      <c r="C213" t="s">
        <v>6984</v>
      </c>
      <c r="E213">
        <v>18473000</v>
      </c>
      <c r="F213">
        <v>281302146293</v>
      </c>
    </row>
    <row r="214" spans="1:6" x14ac:dyDescent="0.3">
      <c r="A214">
        <v>17</v>
      </c>
      <c r="B214" t="s">
        <v>2037</v>
      </c>
      <c r="C214" t="s">
        <v>7022</v>
      </c>
      <c r="E214">
        <v>18473000</v>
      </c>
      <c r="F214">
        <v>281283673293</v>
      </c>
    </row>
    <row r="215" spans="1:6" x14ac:dyDescent="0.3">
      <c r="A215">
        <v>17</v>
      </c>
      <c r="B215" t="s">
        <v>2037</v>
      </c>
      <c r="C215" t="s">
        <v>3891</v>
      </c>
      <c r="E215">
        <v>18623000</v>
      </c>
      <c r="F215">
        <v>281265200293</v>
      </c>
    </row>
    <row r="216" spans="1:6" x14ac:dyDescent="0.3">
      <c r="A216">
        <v>17</v>
      </c>
      <c r="B216" t="s">
        <v>2041</v>
      </c>
      <c r="C216" t="s">
        <v>7021</v>
      </c>
      <c r="E216">
        <v>51818182</v>
      </c>
      <c r="F216">
        <v>281246577293</v>
      </c>
    </row>
    <row r="217" spans="1:6" x14ac:dyDescent="0.3">
      <c r="A217">
        <v>17</v>
      </c>
      <c r="B217" t="s">
        <v>2039</v>
      </c>
      <c r="C217" t="s">
        <v>7020</v>
      </c>
      <c r="E217">
        <v>41818182</v>
      </c>
      <c r="F217">
        <v>281194759111</v>
      </c>
    </row>
    <row r="218" spans="1:6" x14ac:dyDescent="0.3">
      <c r="A218">
        <v>17</v>
      </c>
      <c r="B218" t="s">
        <v>2037</v>
      </c>
      <c r="C218" t="s">
        <v>4351</v>
      </c>
      <c r="E218">
        <v>37000000</v>
      </c>
      <c r="F218">
        <v>281152940929</v>
      </c>
    </row>
    <row r="219" spans="1:6" x14ac:dyDescent="0.3">
      <c r="A219">
        <v>17</v>
      </c>
      <c r="B219" t="s">
        <v>2041</v>
      </c>
      <c r="C219" t="s">
        <v>7019</v>
      </c>
      <c r="E219">
        <v>51818182</v>
      </c>
      <c r="F219">
        <v>281115940929</v>
      </c>
    </row>
    <row r="220" spans="1:6" x14ac:dyDescent="0.3">
      <c r="A220">
        <v>17</v>
      </c>
      <c r="B220" t="s">
        <v>2041</v>
      </c>
      <c r="C220" t="s">
        <v>7018</v>
      </c>
      <c r="E220">
        <v>52000000</v>
      </c>
      <c r="F220">
        <v>281064122747</v>
      </c>
    </row>
    <row r="221" spans="1:6" x14ac:dyDescent="0.3">
      <c r="A221">
        <v>17</v>
      </c>
      <c r="B221" t="s">
        <v>2041</v>
      </c>
      <c r="C221" t="s">
        <v>7017</v>
      </c>
      <c r="E221">
        <v>51818182</v>
      </c>
      <c r="F221">
        <v>281012122747</v>
      </c>
    </row>
    <row r="222" spans="1:6" x14ac:dyDescent="0.3">
      <c r="A222">
        <v>17</v>
      </c>
      <c r="B222" t="s">
        <v>2037</v>
      </c>
      <c r="C222" t="s">
        <v>7016</v>
      </c>
      <c r="E222">
        <v>18373000</v>
      </c>
      <c r="F222">
        <v>280960304565</v>
      </c>
    </row>
    <row r="223" spans="1:6" x14ac:dyDescent="0.3">
      <c r="A223">
        <v>17</v>
      </c>
      <c r="B223" t="s">
        <v>2039</v>
      </c>
      <c r="C223" t="s">
        <v>7015</v>
      </c>
      <c r="E223">
        <v>45000000</v>
      </c>
      <c r="F223">
        <v>280941931565</v>
      </c>
    </row>
    <row r="224" spans="1:6" x14ac:dyDescent="0.3">
      <c r="A224">
        <v>17</v>
      </c>
      <c r="B224" t="s">
        <v>2060</v>
      </c>
      <c r="C224" t="s">
        <v>5263</v>
      </c>
      <c r="E224">
        <v>167000000</v>
      </c>
      <c r="F224">
        <v>280896931565</v>
      </c>
    </row>
    <row r="225" spans="1:6" x14ac:dyDescent="0.3">
      <c r="A225">
        <v>17</v>
      </c>
      <c r="B225" t="s">
        <v>2052</v>
      </c>
      <c r="C225" t="s">
        <v>5105</v>
      </c>
      <c r="E225">
        <v>8400000</v>
      </c>
      <c r="F225">
        <v>280729931565</v>
      </c>
    </row>
    <row r="226" spans="1:6" x14ac:dyDescent="0.3">
      <c r="A226">
        <v>17</v>
      </c>
      <c r="B226" t="s">
        <v>2052</v>
      </c>
      <c r="C226" t="s">
        <v>5105</v>
      </c>
      <c r="E226">
        <v>8400000</v>
      </c>
      <c r="F226">
        <v>280721531565</v>
      </c>
    </row>
    <row r="227" spans="1:6" x14ac:dyDescent="0.3">
      <c r="A227">
        <v>17</v>
      </c>
      <c r="B227" t="s">
        <v>2041</v>
      </c>
      <c r="C227" t="s">
        <v>7014</v>
      </c>
      <c r="E227">
        <v>52000000</v>
      </c>
      <c r="F227">
        <v>280713131565</v>
      </c>
    </row>
    <row r="228" spans="1:6" x14ac:dyDescent="0.3">
      <c r="A228">
        <v>17</v>
      </c>
      <c r="B228" t="s">
        <v>2039</v>
      </c>
      <c r="C228" t="s">
        <v>7013</v>
      </c>
      <c r="E228">
        <v>41363636</v>
      </c>
      <c r="F228">
        <v>280661131565</v>
      </c>
    </row>
    <row r="229" spans="1:6" x14ac:dyDescent="0.3">
      <c r="A229">
        <v>17</v>
      </c>
      <c r="B229" t="s">
        <v>2039</v>
      </c>
      <c r="C229" t="s">
        <v>7012</v>
      </c>
      <c r="E229">
        <v>41000000</v>
      </c>
      <c r="F229">
        <v>280619767929</v>
      </c>
    </row>
    <row r="230" spans="1:6" x14ac:dyDescent="0.3">
      <c r="A230">
        <v>17</v>
      </c>
      <c r="B230" t="s">
        <v>2037</v>
      </c>
      <c r="C230" t="s">
        <v>4514</v>
      </c>
      <c r="E230">
        <v>38000000</v>
      </c>
      <c r="F230">
        <v>280578767929</v>
      </c>
    </row>
    <row r="231" spans="1:6" x14ac:dyDescent="0.3">
      <c r="A231">
        <v>17</v>
      </c>
      <c r="B231" t="s">
        <v>2836</v>
      </c>
      <c r="C231" t="s">
        <v>7011</v>
      </c>
      <c r="E231">
        <v>31000000</v>
      </c>
      <c r="F231">
        <v>280540767929</v>
      </c>
    </row>
    <row r="232" spans="1:6" x14ac:dyDescent="0.3">
      <c r="A232">
        <v>17</v>
      </c>
      <c r="B232" t="s">
        <v>2836</v>
      </c>
      <c r="C232" t="s">
        <v>7010</v>
      </c>
      <c r="E232">
        <v>32000000</v>
      </c>
      <c r="F232">
        <v>280509767929</v>
      </c>
    </row>
    <row r="233" spans="1:6" x14ac:dyDescent="0.3">
      <c r="A233">
        <v>17</v>
      </c>
      <c r="B233" t="s">
        <v>2044</v>
      </c>
      <c r="C233" t="s">
        <v>5494</v>
      </c>
      <c r="E233">
        <v>37500000</v>
      </c>
      <c r="F233">
        <v>280477767929</v>
      </c>
    </row>
    <row r="234" spans="1:6" x14ac:dyDescent="0.3">
      <c r="A234">
        <v>17</v>
      </c>
      <c r="B234" t="s">
        <v>2037</v>
      </c>
      <c r="C234" t="s">
        <v>6600</v>
      </c>
      <c r="E234">
        <v>35909091</v>
      </c>
      <c r="F234">
        <v>280440267929</v>
      </c>
    </row>
    <row r="235" spans="1:6" x14ac:dyDescent="0.3">
      <c r="A235">
        <v>17</v>
      </c>
      <c r="B235" t="s">
        <v>2032</v>
      </c>
      <c r="C235" t="s">
        <v>5436</v>
      </c>
      <c r="E235">
        <v>36409091</v>
      </c>
      <c r="F235">
        <v>280404358838</v>
      </c>
    </row>
    <row r="236" spans="1:6" x14ac:dyDescent="0.3">
      <c r="A236">
        <v>17</v>
      </c>
      <c r="B236" t="s">
        <v>2041</v>
      </c>
      <c r="C236" t="s">
        <v>7009</v>
      </c>
      <c r="E236">
        <v>51500000</v>
      </c>
      <c r="F236">
        <v>280367949747</v>
      </c>
    </row>
    <row r="237" spans="1:6" x14ac:dyDescent="0.3">
      <c r="A237">
        <v>17</v>
      </c>
      <c r="B237" t="s">
        <v>2039</v>
      </c>
      <c r="C237" t="s">
        <v>7008</v>
      </c>
      <c r="E237">
        <v>39500000</v>
      </c>
      <c r="F237">
        <v>280316449747</v>
      </c>
    </row>
    <row r="238" spans="1:6" x14ac:dyDescent="0.3">
      <c r="A238">
        <v>17</v>
      </c>
      <c r="B238" t="s">
        <v>2041</v>
      </c>
      <c r="C238" t="s">
        <v>7007</v>
      </c>
      <c r="E238">
        <v>48636364</v>
      </c>
      <c r="F238">
        <v>280276949747</v>
      </c>
    </row>
    <row r="239" spans="1:6" x14ac:dyDescent="0.3">
      <c r="A239">
        <v>17</v>
      </c>
      <c r="B239" t="s">
        <v>2041</v>
      </c>
      <c r="C239" t="s">
        <v>7006</v>
      </c>
      <c r="E239">
        <v>52000000</v>
      </c>
      <c r="F239">
        <v>280228313383</v>
      </c>
    </row>
    <row r="240" spans="1:6" x14ac:dyDescent="0.3">
      <c r="A240">
        <v>17</v>
      </c>
      <c r="B240" t="s">
        <v>2043</v>
      </c>
      <c r="C240" t="s">
        <v>7005</v>
      </c>
      <c r="E240">
        <v>54800000</v>
      </c>
      <c r="F240">
        <v>280176313383</v>
      </c>
    </row>
    <row r="241" spans="1:6" x14ac:dyDescent="0.3">
      <c r="A241">
        <v>17</v>
      </c>
      <c r="B241" t="s">
        <v>2062</v>
      </c>
      <c r="C241" t="s">
        <v>7004</v>
      </c>
      <c r="E241">
        <v>177000000</v>
      </c>
      <c r="F241">
        <v>280121513383</v>
      </c>
    </row>
    <row r="242" spans="1:6" x14ac:dyDescent="0.3">
      <c r="A242">
        <v>17</v>
      </c>
      <c r="B242" t="s">
        <v>2039</v>
      </c>
      <c r="C242" t="s">
        <v>6167</v>
      </c>
      <c r="E242">
        <v>19873000</v>
      </c>
      <c r="F242">
        <v>279944513383</v>
      </c>
    </row>
    <row r="243" spans="1:6" x14ac:dyDescent="0.3">
      <c r="A243">
        <v>17</v>
      </c>
      <c r="B243" t="s">
        <v>2037</v>
      </c>
      <c r="C243" t="s">
        <v>7003</v>
      </c>
      <c r="E243">
        <v>36550000</v>
      </c>
      <c r="F243">
        <v>279924640383</v>
      </c>
    </row>
    <row r="244" spans="1:6" x14ac:dyDescent="0.3">
      <c r="A244">
        <v>17</v>
      </c>
      <c r="B244" t="s">
        <v>2037</v>
      </c>
      <c r="C244" t="s">
        <v>7002</v>
      </c>
      <c r="E244">
        <v>38181818</v>
      </c>
      <c r="F244">
        <v>279888090383</v>
      </c>
    </row>
    <row r="245" spans="1:6" x14ac:dyDescent="0.3">
      <c r="A245">
        <v>17</v>
      </c>
      <c r="B245" t="s">
        <v>2037</v>
      </c>
      <c r="C245" t="s">
        <v>3424</v>
      </c>
      <c r="E245">
        <v>38100000</v>
      </c>
      <c r="F245">
        <v>279849908565</v>
      </c>
    </row>
    <row r="246" spans="1:6" x14ac:dyDescent="0.3">
      <c r="A246">
        <v>17</v>
      </c>
      <c r="B246" t="s">
        <v>2037</v>
      </c>
      <c r="C246" t="s">
        <v>4668</v>
      </c>
      <c r="E246">
        <v>39090909</v>
      </c>
      <c r="F246">
        <v>279811808565</v>
      </c>
    </row>
    <row r="247" spans="1:6" x14ac:dyDescent="0.3">
      <c r="A247">
        <v>17</v>
      </c>
      <c r="B247" t="s">
        <v>2037</v>
      </c>
      <c r="C247" t="s">
        <v>4350</v>
      </c>
      <c r="E247">
        <v>38300000</v>
      </c>
      <c r="F247">
        <v>279772717656</v>
      </c>
    </row>
    <row r="248" spans="1:6" x14ac:dyDescent="0.3">
      <c r="A248">
        <v>17</v>
      </c>
      <c r="B248" t="s">
        <v>2836</v>
      </c>
      <c r="C248" t="s">
        <v>7001</v>
      </c>
      <c r="E248">
        <v>32636364</v>
      </c>
      <c r="F248">
        <v>279734417656</v>
      </c>
    </row>
    <row r="249" spans="1:6" x14ac:dyDescent="0.3">
      <c r="A249">
        <v>17</v>
      </c>
      <c r="B249" t="s">
        <v>2836</v>
      </c>
      <c r="C249" t="s">
        <v>3461</v>
      </c>
      <c r="E249">
        <v>32000000</v>
      </c>
      <c r="F249">
        <v>279701781292</v>
      </c>
    </row>
    <row r="250" spans="1:6" x14ac:dyDescent="0.3">
      <c r="A250">
        <v>17</v>
      </c>
      <c r="B250" t="s">
        <v>2836</v>
      </c>
      <c r="C250" t="s">
        <v>7000</v>
      </c>
      <c r="E250">
        <v>30909091</v>
      </c>
      <c r="F250">
        <v>279669781292</v>
      </c>
    </row>
    <row r="251" spans="1:6" x14ac:dyDescent="0.3">
      <c r="A251">
        <v>17</v>
      </c>
      <c r="B251" t="s">
        <v>2028</v>
      </c>
      <c r="C251" t="s">
        <v>6999</v>
      </c>
      <c r="E251">
        <v>15000000</v>
      </c>
      <c r="F251">
        <v>279638872201</v>
      </c>
    </row>
    <row r="252" spans="1:6" x14ac:dyDescent="0.3">
      <c r="A252">
        <v>17</v>
      </c>
      <c r="B252" t="s">
        <v>2043</v>
      </c>
      <c r="C252" t="s">
        <v>6998</v>
      </c>
      <c r="E252">
        <v>54500000</v>
      </c>
      <c r="F252">
        <v>279623872201</v>
      </c>
    </row>
    <row r="253" spans="1:6" x14ac:dyDescent="0.3">
      <c r="A253">
        <v>17</v>
      </c>
      <c r="B253" t="s">
        <v>2039</v>
      </c>
      <c r="C253" t="s">
        <v>6997</v>
      </c>
      <c r="E253">
        <v>38454546</v>
      </c>
      <c r="F253">
        <v>279569372201</v>
      </c>
    </row>
    <row r="254" spans="1:6" x14ac:dyDescent="0.3">
      <c r="A254">
        <v>17</v>
      </c>
      <c r="B254" t="s">
        <v>2037</v>
      </c>
      <c r="C254" t="s">
        <v>6472</v>
      </c>
      <c r="E254">
        <v>37600000</v>
      </c>
      <c r="F254">
        <v>279530917655</v>
      </c>
    </row>
    <row r="255" spans="1:6" x14ac:dyDescent="0.3">
      <c r="A255">
        <v>17</v>
      </c>
      <c r="B255" t="s">
        <v>2032</v>
      </c>
      <c r="C255" t="s">
        <v>6996</v>
      </c>
      <c r="E255">
        <v>35454545</v>
      </c>
      <c r="F255">
        <v>279493317655</v>
      </c>
    </row>
    <row r="256" spans="1:6" x14ac:dyDescent="0.3">
      <c r="A256">
        <v>17</v>
      </c>
      <c r="B256" t="s">
        <v>2041</v>
      </c>
      <c r="C256" t="s">
        <v>6757</v>
      </c>
      <c r="E256">
        <v>49700000</v>
      </c>
      <c r="F256">
        <v>279457863110</v>
      </c>
    </row>
    <row r="257" spans="1:6" x14ac:dyDescent="0.3">
      <c r="A257">
        <v>17</v>
      </c>
      <c r="B257" t="s">
        <v>2039</v>
      </c>
      <c r="C257" t="s">
        <v>6995</v>
      </c>
      <c r="E257">
        <v>44454545</v>
      </c>
      <c r="F257">
        <v>279408163110</v>
      </c>
    </row>
    <row r="258" spans="1:6" x14ac:dyDescent="0.3">
      <c r="A258">
        <v>17</v>
      </c>
      <c r="B258" t="s">
        <v>2032</v>
      </c>
      <c r="C258" t="s">
        <v>6994</v>
      </c>
      <c r="E258">
        <v>35909091</v>
      </c>
      <c r="F258">
        <v>279363708565</v>
      </c>
    </row>
    <row r="259" spans="1:6" x14ac:dyDescent="0.3">
      <c r="A259">
        <v>17</v>
      </c>
      <c r="B259" t="s">
        <v>2062</v>
      </c>
      <c r="C259" t="s">
        <v>6993</v>
      </c>
      <c r="E259">
        <v>178200000</v>
      </c>
      <c r="F259">
        <v>279327799474</v>
      </c>
    </row>
    <row r="260" spans="1:6" x14ac:dyDescent="0.3">
      <c r="A260">
        <v>17</v>
      </c>
      <c r="B260" t="s">
        <v>2037</v>
      </c>
      <c r="C260" t="s">
        <v>6992</v>
      </c>
      <c r="E260">
        <v>38181818</v>
      </c>
      <c r="F260">
        <v>279149599474</v>
      </c>
    </row>
    <row r="261" spans="1:6" x14ac:dyDescent="0.3">
      <c r="A261">
        <v>17</v>
      </c>
      <c r="B261" t="s">
        <v>2037</v>
      </c>
      <c r="C261" t="s">
        <v>6991</v>
      </c>
      <c r="E261">
        <v>38000000</v>
      </c>
      <c r="F261">
        <v>279111417656</v>
      </c>
    </row>
    <row r="262" spans="1:6" x14ac:dyDescent="0.3">
      <c r="A262">
        <v>17</v>
      </c>
      <c r="B262" t="s">
        <v>7373</v>
      </c>
      <c r="C262" t="s">
        <v>6990</v>
      </c>
      <c r="E262">
        <v>15475500</v>
      </c>
      <c r="F262">
        <v>279073417656</v>
      </c>
    </row>
    <row r="263" spans="1:6" x14ac:dyDescent="0.3">
      <c r="A263">
        <v>17</v>
      </c>
      <c r="B263" t="s">
        <v>2038</v>
      </c>
      <c r="C263" t="s">
        <v>6989</v>
      </c>
      <c r="E263">
        <v>37500000</v>
      </c>
      <c r="F263">
        <v>279057942156</v>
      </c>
    </row>
    <row r="264" spans="1:6" x14ac:dyDescent="0.3">
      <c r="A264">
        <v>17</v>
      </c>
      <c r="B264" t="s">
        <v>2028</v>
      </c>
      <c r="C264" t="s">
        <v>6988</v>
      </c>
      <c r="E264">
        <v>14545455</v>
      </c>
      <c r="F264">
        <v>279020442156</v>
      </c>
    </row>
    <row r="265" spans="1:6" x14ac:dyDescent="0.3">
      <c r="A265">
        <v>17</v>
      </c>
      <c r="B265" t="s">
        <v>2037</v>
      </c>
      <c r="C265" t="s">
        <v>5250</v>
      </c>
      <c r="E265">
        <v>38850000</v>
      </c>
      <c r="F265">
        <v>279005896701</v>
      </c>
    </row>
    <row r="266" spans="1:6" x14ac:dyDescent="0.3">
      <c r="A266">
        <v>17</v>
      </c>
      <c r="B266" t="s">
        <v>2041</v>
      </c>
      <c r="C266" t="s">
        <v>6987</v>
      </c>
      <c r="E266">
        <v>51818182</v>
      </c>
      <c r="F266">
        <v>278967046701</v>
      </c>
    </row>
    <row r="267" spans="1:6" x14ac:dyDescent="0.3">
      <c r="A267">
        <v>17</v>
      </c>
      <c r="B267" t="s">
        <v>2836</v>
      </c>
      <c r="C267" t="s">
        <v>6476</v>
      </c>
      <c r="E267">
        <v>32000000</v>
      </c>
      <c r="F267">
        <v>278915228519</v>
      </c>
    </row>
    <row r="268" spans="1:6" x14ac:dyDescent="0.3">
      <c r="A268">
        <v>17</v>
      </c>
      <c r="B268" t="s">
        <v>2836</v>
      </c>
      <c r="C268" t="s">
        <v>6064</v>
      </c>
      <c r="E268">
        <v>31000000</v>
      </c>
      <c r="F268">
        <v>278883228519</v>
      </c>
    </row>
    <row r="269" spans="1:6" x14ac:dyDescent="0.3">
      <c r="A269">
        <v>17</v>
      </c>
      <c r="B269" t="s">
        <v>2039</v>
      </c>
      <c r="C269" t="s">
        <v>6986</v>
      </c>
      <c r="E269">
        <v>41500000</v>
      </c>
      <c r="F269">
        <v>278852228519</v>
      </c>
    </row>
    <row r="270" spans="1:6" x14ac:dyDescent="0.3">
      <c r="A270">
        <v>17</v>
      </c>
      <c r="B270" t="s">
        <v>2037</v>
      </c>
      <c r="C270" t="s">
        <v>6985</v>
      </c>
      <c r="E270">
        <v>36800000</v>
      </c>
      <c r="F270">
        <v>278810728519</v>
      </c>
    </row>
    <row r="271" spans="1:6" x14ac:dyDescent="0.3">
      <c r="A271">
        <v>17</v>
      </c>
      <c r="B271" t="s">
        <v>2037</v>
      </c>
      <c r="C271" t="s">
        <v>4323</v>
      </c>
      <c r="E271">
        <v>38636364</v>
      </c>
      <c r="F271">
        <v>278773928519</v>
      </c>
    </row>
    <row r="272" spans="1:6" x14ac:dyDescent="0.3">
      <c r="A272">
        <v>17</v>
      </c>
      <c r="B272" t="s">
        <v>2037</v>
      </c>
      <c r="C272" t="s">
        <v>6984</v>
      </c>
      <c r="E272">
        <v>18473000</v>
      </c>
      <c r="F272">
        <v>278735292155</v>
      </c>
    </row>
    <row r="273" spans="1:6" x14ac:dyDescent="0.3">
      <c r="A273">
        <v>17</v>
      </c>
      <c r="B273" t="s">
        <v>2043</v>
      </c>
      <c r="C273" t="s">
        <v>6983</v>
      </c>
      <c r="E273">
        <v>55000000</v>
      </c>
      <c r="F273">
        <v>278716819155</v>
      </c>
    </row>
    <row r="274" spans="1:6" x14ac:dyDescent="0.3">
      <c r="A274">
        <v>17</v>
      </c>
      <c r="B274" t="s">
        <v>2060</v>
      </c>
      <c r="C274" t="s">
        <v>6982</v>
      </c>
      <c r="E274">
        <v>163600000</v>
      </c>
      <c r="F274">
        <v>278661819155</v>
      </c>
    </row>
    <row r="275" spans="1:6" x14ac:dyDescent="0.3">
      <c r="A275">
        <v>17</v>
      </c>
      <c r="B275" t="s">
        <v>2061</v>
      </c>
      <c r="C275" t="s">
        <v>6981</v>
      </c>
      <c r="E275">
        <v>148800000</v>
      </c>
      <c r="F275">
        <v>278498219155</v>
      </c>
    </row>
    <row r="276" spans="1:6" x14ac:dyDescent="0.3">
      <c r="A276">
        <v>17</v>
      </c>
      <c r="B276" t="s">
        <v>2037</v>
      </c>
      <c r="C276" t="s">
        <v>6980</v>
      </c>
      <c r="E276">
        <v>38181818</v>
      </c>
      <c r="F276">
        <v>278349419155</v>
      </c>
    </row>
    <row r="277" spans="1:6" x14ac:dyDescent="0.3">
      <c r="A277">
        <v>17</v>
      </c>
      <c r="B277" t="s">
        <v>2037</v>
      </c>
      <c r="C277" t="s">
        <v>4060</v>
      </c>
      <c r="E277">
        <v>35500000</v>
      </c>
      <c r="F277">
        <v>278311237337</v>
      </c>
    </row>
    <row r="278" spans="1:6" x14ac:dyDescent="0.3">
      <c r="A278">
        <v>17</v>
      </c>
      <c r="B278" t="s">
        <v>2836</v>
      </c>
      <c r="C278" t="s">
        <v>6979</v>
      </c>
      <c r="E278">
        <v>31000000</v>
      </c>
      <c r="F278">
        <v>278275737337</v>
      </c>
    </row>
    <row r="279" spans="1:6" x14ac:dyDescent="0.3">
      <c r="A279">
        <v>17</v>
      </c>
      <c r="B279" t="s">
        <v>2836</v>
      </c>
      <c r="C279" t="s">
        <v>3491</v>
      </c>
      <c r="E279">
        <v>31000000</v>
      </c>
      <c r="F279">
        <v>278244737337</v>
      </c>
    </row>
    <row r="280" spans="1:6" x14ac:dyDescent="0.3">
      <c r="A280">
        <v>17</v>
      </c>
      <c r="B280" t="s">
        <v>2028</v>
      </c>
      <c r="C280" t="s">
        <v>6978</v>
      </c>
      <c r="E280">
        <v>13890000</v>
      </c>
      <c r="F280">
        <v>278213737337</v>
      </c>
    </row>
    <row r="281" spans="1:6" x14ac:dyDescent="0.3">
      <c r="A281">
        <v>17</v>
      </c>
      <c r="B281" t="s">
        <v>2039</v>
      </c>
      <c r="C281" t="s">
        <v>6977</v>
      </c>
      <c r="E281">
        <v>44120000</v>
      </c>
      <c r="F281">
        <v>278199847337</v>
      </c>
    </row>
    <row r="282" spans="1:6" x14ac:dyDescent="0.3">
      <c r="A282">
        <v>17</v>
      </c>
      <c r="B282" t="s">
        <v>2032</v>
      </c>
      <c r="C282" t="s">
        <v>4296</v>
      </c>
      <c r="E282">
        <v>35300000</v>
      </c>
      <c r="F282">
        <v>278155727337</v>
      </c>
    </row>
    <row r="283" spans="1:6" x14ac:dyDescent="0.3">
      <c r="A283">
        <v>17</v>
      </c>
      <c r="B283" t="s">
        <v>2032</v>
      </c>
      <c r="C283" t="s">
        <v>6976</v>
      </c>
      <c r="E283">
        <v>36363636</v>
      </c>
      <c r="F283">
        <v>278120427337</v>
      </c>
    </row>
    <row r="284" spans="1:6" x14ac:dyDescent="0.3">
      <c r="A284">
        <v>17</v>
      </c>
      <c r="B284" t="s">
        <v>2037</v>
      </c>
      <c r="C284" t="s">
        <v>5414</v>
      </c>
      <c r="E284">
        <v>18572730</v>
      </c>
      <c r="F284">
        <v>278084063701</v>
      </c>
    </row>
    <row r="285" spans="1:6" x14ac:dyDescent="0.3">
      <c r="A285">
        <v>17</v>
      </c>
      <c r="B285" t="s">
        <v>7372</v>
      </c>
      <c r="C285" t="s">
        <v>4964</v>
      </c>
      <c r="E285">
        <v>502149915</v>
      </c>
      <c r="F285">
        <v>278065490971</v>
      </c>
    </row>
    <row r="286" spans="1:6" x14ac:dyDescent="0.3">
      <c r="A286">
        <v>17</v>
      </c>
      <c r="B286" t="s">
        <v>7153</v>
      </c>
      <c r="C286" t="s">
        <v>4964</v>
      </c>
      <c r="E286">
        <v>131898270</v>
      </c>
    </row>
    <row r="287" spans="1:6" x14ac:dyDescent="0.3">
      <c r="A287">
        <v>17</v>
      </c>
      <c r="B287" t="s">
        <v>2055</v>
      </c>
      <c r="C287" t="s">
        <v>6975</v>
      </c>
      <c r="E287">
        <v>58218181</v>
      </c>
      <c r="F287">
        <v>277431442786</v>
      </c>
    </row>
    <row r="288" spans="1:6" x14ac:dyDescent="0.3">
      <c r="A288">
        <v>17</v>
      </c>
      <c r="B288" t="s">
        <v>2055</v>
      </c>
      <c r="C288" t="s">
        <v>6974</v>
      </c>
      <c r="E288">
        <v>62000000</v>
      </c>
      <c r="F288">
        <v>277373224605</v>
      </c>
    </row>
    <row r="289" spans="1:6" x14ac:dyDescent="0.3">
      <c r="A289">
        <v>17</v>
      </c>
      <c r="B289" t="s">
        <v>2048</v>
      </c>
      <c r="C289" t="s">
        <v>5862</v>
      </c>
      <c r="E289">
        <v>42000000</v>
      </c>
      <c r="F289">
        <v>277311224605</v>
      </c>
    </row>
    <row r="290" spans="1:6" x14ac:dyDescent="0.3">
      <c r="A290">
        <v>17</v>
      </c>
      <c r="B290" t="s">
        <v>2043</v>
      </c>
      <c r="C290" t="s">
        <v>6973</v>
      </c>
      <c r="E290">
        <v>55000000</v>
      </c>
      <c r="F290">
        <v>277269224605</v>
      </c>
    </row>
    <row r="291" spans="1:6" x14ac:dyDescent="0.3">
      <c r="A291">
        <v>17</v>
      </c>
      <c r="B291" t="s">
        <v>2043</v>
      </c>
      <c r="C291" t="s">
        <v>6972</v>
      </c>
      <c r="E291">
        <v>54500000</v>
      </c>
      <c r="F291">
        <v>277214224605</v>
      </c>
    </row>
    <row r="292" spans="1:6" x14ac:dyDescent="0.3">
      <c r="A292">
        <v>17</v>
      </c>
      <c r="B292" t="s">
        <v>2039</v>
      </c>
      <c r="C292" t="s">
        <v>6971</v>
      </c>
      <c r="E292">
        <v>41818182</v>
      </c>
      <c r="F292">
        <v>277159724605</v>
      </c>
    </row>
    <row r="293" spans="1:6" x14ac:dyDescent="0.3">
      <c r="A293">
        <v>17</v>
      </c>
      <c r="B293" t="s">
        <v>2037</v>
      </c>
      <c r="C293" t="s">
        <v>6970</v>
      </c>
      <c r="E293">
        <v>37000000</v>
      </c>
      <c r="F293">
        <v>277117906423</v>
      </c>
    </row>
    <row r="294" spans="1:6" x14ac:dyDescent="0.3">
      <c r="A294">
        <v>17</v>
      </c>
      <c r="B294" t="s">
        <v>2037</v>
      </c>
      <c r="C294" t="s">
        <v>6969</v>
      </c>
      <c r="E294">
        <v>37000000</v>
      </c>
      <c r="F294">
        <v>277080906423</v>
      </c>
    </row>
    <row r="295" spans="1:6" x14ac:dyDescent="0.3">
      <c r="A295">
        <v>17</v>
      </c>
      <c r="B295" t="s">
        <v>2063</v>
      </c>
      <c r="C295" t="s">
        <v>6968</v>
      </c>
      <c r="E295">
        <v>161000000</v>
      </c>
      <c r="F295">
        <v>277043906423</v>
      </c>
    </row>
    <row r="296" spans="1:6" x14ac:dyDescent="0.3">
      <c r="A296">
        <v>17</v>
      </c>
      <c r="B296" t="s">
        <v>2037</v>
      </c>
      <c r="C296" t="s">
        <v>3424</v>
      </c>
      <c r="E296">
        <v>36500000</v>
      </c>
      <c r="F296">
        <v>276882906423</v>
      </c>
    </row>
    <row r="297" spans="1:6" x14ac:dyDescent="0.3">
      <c r="A297">
        <v>17</v>
      </c>
      <c r="B297" t="s">
        <v>2043</v>
      </c>
      <c r="C297" t="s">
        <v>6967</v>
      </c>
      <c r="E297">
        <v>56000000</v>
      </c>
      <c r="F297">
        <v>276846406423</v>
      </c>
    </row>
    <row r="298" spans="1:6" x14ac:dyDescent="0.3">
      <c r="A298">
        <v>17</v>
      </c>
      <c r="B298" t="s">
        <v>2037</v>
      </c>
      <c r="C298" t="s">
        <v>6966</v>
      </c>
      <c r="E298">
        <v>38400000</v>
      </c>
      <c r="F298">
        <v>276790406423</v>
      </c>
    </row>
    <row r="299" spans="1:6" x14ac:dyDescent="0.3">
      <c r="A299">
        <v>17</v>
      </c>
      <c r="B299" t="s">
        <v>2037</v>
      </c>
      <c r="C299" t="s">
        <v>6965</v>
      </c>
      <c r="E299">
        <v>36500000</v>
      </c>
      <c r="F299">
        <v>276752006423</v>
      </c>
    </row>
    <row r="300" spans="1:6" x14ac:dyDescent="0.3">
      <c r="A300">
        <v>17</v>
      </c>
      <c r="B300" t="s">
        <v>2032</v>
      </c>
      <c r="C300" t="s">
        <v>5260</v>
      </c>
      <c r="E300">
        <v>35909091</v>
      </c>
      <c r="F300">
        <v>276715506423</v>
      </c>
    </row>
    <row r="301" spans="1:6" x14ac:dyDescent="0.3">
      <c r="A301">
        <v>17</v>
      </c>
      <c r="B301" t="s">
        <v>2028</v>
      </c>
      <c r="C301" t="s">
        <v>6964</v>
      </c>
      <c r="E301">
        <v>14500000</v>
      </c>
      <c r="F301">
        <v>276679597332</v>
      </c>
    </row>
    <row r="302" spans="1:6" x14ac:dyDescent="0.3">
      <c r="A302">
        <v>17</v>
      </c>
      <c r="B302" t="s">
        <v>2049</v>
      </c>
      <c r="C302" t="s">
        <v>5961</v>
      </c>
      <c r="E302">
        <v>99440910</v>
      </c>
      <c r="F302">
        <v>276665097332</v>
      </c>
    </row>
    <row r="303" spans="1:6" x14ac:dyDescent="0.3">
      <c r="A303">
        <v>17</v>
      </c>
      <c r="B303" t="s">
        <v>2037</v>
      </c>
      <c r="C303" t="s">
        <v>6569</v>
      </c>
      <c r="E303">
        <v>18572730</v>
      </c>
      <c r="F303">
        <v>276565656422</v>
      </c>
    </row>
    <row r="304" spans="1:6" x14ac:dyDescent="0.3">
      <c r="A304">
        <v>17</v>
      </c>
      <c r="B304" t="s">
        <v>2037</v>
      </c>
      <c r="C304" t="s">
        <v>6655</v>
      </c>
      <c r="E304">
        <v>38500000</v>
      </c>
      <c r="F304">
        <v>276547083692</v>
      </c>
    </row>
    <row r="305" spans="1:6" x14ac:dyDescent="0.3">
      <c r="A305">
        <v>17</v>
      </c>
      <c r="B305" t="s">
        <v>2037</v>
      </c>
      <c r="C305" t="s">
        <v>6963</v>
      </c>
      <c r="E305">
        <v>37272728</v>
      </c>
      <c r="F305">
        <v>276508583692</v>
      </c>
    </row>
    <row r="306" spans="1:6" x14ac:dyDescent="0.3">
      <c r="A306">
        <v>17</v>
      </c>
      <c r="B306" t="s">
        <v>2032</v>
      </c>
      <c r="C306" t="s">
        <v>4163</v>
      </c>
      <c r="E306">
        <v>36363636</v>
      </c>
      <c r="F306">
        <v>276471310964</v>
      </c>
    </row>
    <row r="307" spans="1:6" x14ac:dyDescent="0.3">
      <c r="A307">
        <v>17</v>
      </c>
      <c r="B307" t="s">
        <v>2032</v>
      </c>
      <c r="C307" t="s">
        <v>6962</v>
      </c>
      <c r="E307">
        <v>35909091</v>
      </c>
      <c r="F307">
        <v>276434947328</v>
      </c>
    </row>
    <row r="308" spans="1:6" x14ac:dyDescent="0.3">
      <c r="A308">
        <v>17</v>
      </c>
      <c r="B308" t="s">
        <v>2032</v>
      </c>
      <c r="C308" t="s">
        <v>6961</v>
      </c>
      <c r="E308">
        <v>37727273</v>
      </c>
      <c r="F308">
        <v>276399038237</v>
      </c>
    </row>
    <row r="309" spans="1:6" x14ac:dyDescent="0.3">
      <c r="A309">
        <v>17</v>
      </c>
      <c r="B309" t="s">
        <v>2039</v>
      </c>
      <c r="C309" t="s">
        <v>6960</v>
      </c>
      <c r="E309">
        <v>37272728</v>
      </c>
      <c r="F309">
        <v>276361310964</v>
      </c>
    </row>
    <row r="310" spans="1:6" x14ac:dyDescent="0.3">
      <c r="A310">
        <v>17</v>
      </c>
      <c r="B310" t="s">
        <v>2048</v>
      </c>
      <c r="C310" t="s">
        <v>6959</v>
      </c>
      <c r="E310">
        <v>43000000</v>
      </c>
      <c r="F310">
        <v>276324038236</v>
      </c>
    </row>
    <row r="311" spans="1:6" x14ac:dyDescent="0.3">
      <c r="A311">
        <v>17</v>
      </c>
      <c r="B311" t="s">
        <v>2041</v>
      </c>
      <c r="C311" t="s">
        <v>6958</v>
      </c>
      <c r="E311">
        <v>48181819</v>
      </c>
      <c r="F311">
        <v>276281038236</v>
      </c>
    </row>
    <row r="312" spans="1:6" x14ac:dyDescent="0.3">
      <c r="A312">
        <v>17</v>
      </c>
      <c r="B312" t="s">
        <v>2836</v>
      </c>
      <c r="C312" t="s">
        <v>6957</v>
      </c>
      <c r="E312">
        <v>31000000</v>
      </c>
      <c r="F312">
        <v>276232856417</v>
      </c>
    </row>
    <row r="313" spans="1:6" x14ac:dyDescent="0.3">
      <c r="A313">
        <v>17</v>
      </c>
      <c r="B313" t="s">
        <v>2039</v>
      </c>
      <c r="C313" t="s">
        <v>6956</v>
      </c>
      <c r="E313">
        <v>41181818</v>
      </c>
      <c r="F313">
        <v>276201856417</v>
      </c>
    </row>
    <row r="314" spans="1:6" x14ac:dyDescent="0.3">
      <c r="A314">
        <v>17</v>
      </c>
      <c r="B314" t="s">
        <v>2039</v>
      </c>
      <c r="C314" t="s">
        <v>6955</v>
      </c>
      <c r="E314">
        <v>40000000</v>
      </c>
      <c r="F314">
        <v>276160674599</v>
      </c>
    </row>
    <row r="315" spans="1:6" x14ac:dyDescent="0.3">
      <c r="A315">
        <v>17</v>
      </c>
      <c r="B315" t="s">
        <v>2836</v>
      </c>
      <c r="C315" t="s">
        <v>5823</v>
      </c>
      <c r="E315">
        <v>31000000</v>
      </c>
      <c r="F315">
        <v>276120674599</v>
      </c>
    </row>
    <row r="316" spans="1:6" x14ac:dyDescent="0.3">
      <c r="A316">
        <v>17</v>
      </c>
      <c r="B316" t="s">
        <v>2836</v>
      </c>
      <c r="C316" t="s">
        <v>4422</v>
      </c>
      <c r="E316">
        <v>31000000</v>
      </c>
      <c r="F316">
        <v>276089674599</v>
      </c>
    </row>
    <row r="317" spans="1:6" x14ac:dyDescent="0.3">
      <c r="A317">
        <v>17</v>
      </c>
      <c r="B317" t="s">
        <v>2032</v>
      </c>
      <c r="C317" t="s">
        <v>6559</v>
      </c>
      <c r="E317">
        <v>36363636</v>
      </c>
      <c r="F317">
        <v>276058674599</v>
      </c>
    </row>
    <row r="318" spans="1:6" x14ac:dyDescent="0.3">
      <c r="A318">
        <v>17</v>
      </c>
      <c r="B318" t="s">
        <v>2062</v>
      </c>
      <c r="C318" t="s">
        <v>6954</v>
      </c>
      <c r="E318">
        <v>178000000</v>
      </c>
      <c r="F318">
        <v>276022310963</v>
      </c>
    </row>
    <row r="319" spans="1:6" x14ac:dyDescent="0.3">
      <c r="A319">
        <v>17</v>
      </c>
      <c r="B319" t="s">
        <v>2028</v>
      </c>
      <c r="C319" t="s">
        <v>6953</v>
      </c>
      <c r="E319">
        <v>14000000</v>
      </c>
      <c r="F319">
        <v>275844310963</v>
      </c>
    </row>
    <row r="320" spans="1:6" x14ac:dyDescent="0.3">
      <c r="A320">
        <v>17</v>
      </c>
      <c r="B320" t="s">
        <v>2049</v>
      </c>
      <c r="C320" t="s">
        <v>5956</v>
      </c>
      <c r="E320">
        <v>99440910</v>
      </c>
      <c r="F320">
        <v>275830310963</v>
      </c>
    </row>
    <row r="321" spans="1:6" x14ac:dyDescent="0.3">
      <c r="A321">
        <v>17</v>
      </c>
      <c r="B321" t="s">
        <v>2037</v>
      </c>
      <c r="C321" t="s">
        <v>4290</v>
      </c>
      <c r="E321">
        <v>36500000</v>
      </c>
      <c r="F321">
        <v>275730870053</v>
      </c>
    </row>
    <row r="322" spans="1:6" x14ac:dyDescent="0.3">
      <c r="A322">
        <v>17</v>
      </c>
      <c r="B322" t="s">
        <v>2037</v>
      </c>
      <c r="C322" t="s">
        <v>5520</v>
      </c>
      <c r="E322">
        <v>39545454</v>
      </c>
      <c r="F322">
        <v>275694370053</v>
      </c>
    </row>
    <row r="323" spans="1:6" x14ac:dyDescent="0.3">
      <c r="A323">
        <v>17</v>
      </c>
      <c r="B323" t="s">
        <v>2039</v>
      </c>
      <c r="C323" t="s">
        <v>5297</v>
      </c>
      <c r="E323">
        <v>45000000</v>
      </c>
      <c r="F323">
        <v>275654824599</v>
      </c>
    </row>
    <row r="324" spans="1:6" x14ac:dyDescent="0.3">
      <c r="A324">
        <v>17</v>
      </c>
      <c r="B324" t="s">
        <v>2041</v>
      </c>
      <c r="C324" t="s">
        <v>6025</v>
      </c>
      <c r="E324">
        <v>52000000</v>
      </c>
      <c r="F324">
        <v>275609824599</v>
      </c>
    </row>
    <row r="325" spans="1:6" x14ac:dyDescent="0.3">
      <c r="A325">
        <v>17</v>
      </c>
      <c r="B325" t="s">
        <v>2028</v>
      </c>
      <c r="C325" t="s">
        <v>6952</v>
      </c>
      <c r="E325">
        <v>14500000</v>
      </c>
      <c r="F325">
        <v>275557824599</v>
      </c>
    </row>
    <row r="326" spans="1:6" x14ac:dyDescent="0.3">
      <c r="A326">
        <v>17</v>
      </c>
      <c r="B326" t="s">
        <v>2040</v>
      </c>
      <c r="C326" t="s">
        <v>6951</v>
      </c>
      <c r="E326">
        <v>40454545</v>
      </c>
      <c r="F326">
        <v>275543324599</v>
      </c>
    </row>
    <row r="327" spans="1:6" x14ac:dyDescent="0.3">
      <c r="A327">
        <v>17</v>
      </c>
      <c r="B327" t="s">
        <v>2041</v>
      </c>
      <c r="C327" t="s">
        <v>6950</v>
      </c>
      <c r="E327">
        <v>52727273</v>
      </c>
      <c r="F327">
        <v>275502870054</v>
      </c>
    </row>
    <row r="328" spans="1:6" x14ac:dyDescent="0.3">
      <c r="A328">
        <v>17</v>
      </c>
      <c r="B328" t="s">
        <v>2039</v>
      </c>
      <c r="C328" t="s">
        <v>6949</v>
      </c>
      <c r="E328">
        <v>40000000</v>
      </c>
      <c r="F328">
        <v>275450142781</v>
      </c>
    </row>
    <row r="329" spans="1:6" x14ac:dyDescent="0.3">
      <c r="A329">
        <v>17</v>
      </c>
      <c r="B329" t="s">
        <v>2037</v>
      </c>
      <c r="C329" t="s">
        <v>4106</v>
      </c>
      <c r="E329">
        <v>36818182</v>
      </c>
      <c r="F329">
        <v>275410142781</v>
      </c>
    </row>
    <row r="330" spans="1:6" x14ac:dyDescent="0.3">
      <c r="A330">
        <v>17</v>
      </c>
      <c r="B330" t="s">
        <v>2037</v>
      </c>
      <c r="C330" t="s">
        <v>3716</v>
      </c>
      <c r="E330">
        <v>18400000</v>
      </c>
      <c r="F330">
        <v>275373324599</v>
      </c>
    </row>
    <row r="331" spans="1:6" x14ac:dyDescent="0.3">
      <c r="A331">
        <v>17</v>
      </c>
      <c r="B331" t="s">
        <v>2032</v>
      </c>
      <c r="C331" t="s">
        <v>6948</v>
      </c>
      <c r="E331">
        <v>18473000</v>
      </c>
      <c r="F331">
        <v>275354924599</v>
      </c>
    </row>
    <row r="332" spans="1:6" x14ac:dyDescent="0.3">
      <c r="A332">
        <v>17</v>
      </c>
      <c r="B332" t="s">
        <v>2028</v>
      </c>
      <c r="C332" t="s">
        <v>5928</v>
      </c>
      <c r="E332">
        <v>14500000</v>
      </c>
      <c r="F332">
        <v>275336451599</v>
      </c>
    </row>
    <row r="333" spans="1:6" x14ac:dyDescent="0.3">
      <c r="A333">
        <v>17</v>
      </c>
      <c r="B333" t="s">
        <v>2836</v>
      </c>
      <c r="C333" t="s">
        <v>6947</v>
      </c>
      <c r="E333">
        <v>31000000</v>
      </c>
      <c r="F333">
        <v>275321951599</v>
      </c>
    </row>
    <row r="334" spans="1:6" x14ac:dyDescent="0.3">
      <c r="A334">
        <v>17</v>
      </c>
      <c r="B334" t="s">
        <v>2836</v>
      </c>
      <c r="C334" t="s">
        <v>4526</v>
      </c>
      <c r="E334">
        <v>30000000</v>
      </c>
      <c r="F334">
        <v>275290951599</v>
      </c>
    </row>
    <row r="335" spans="1:6" x14ac:dyDescent="0.3">
      <c r="A335">
        <v>17</v>
      </c>
      <c r="B335" t="s">
        <v>2836</v>
      </c>
      <c r="C335" t="s">
        <v>6946</v>
      </c>
      <c r="E335">
        <v>31000000</v>
      </c>
      <c r="F335">
        <v>275260951599</v>
      </c>
    </row>
    <row r="336" spans="1:6" x14ac:dyDescent="0.3">
      <c r="A336">
        <v>17</v>
      </c>
      <c r="B336" t="s">
        <v>2054</v>
      </c>
      <c r="C336" t="s">
        <v>6945</v>
      </c>
      <c r="E336">
        <v>14000000</v>
      </c>
      <c r="F336">
        <v>275229951599</v>
      </c>
    </row>
    <row r="337" spans="1:6" x14ac:dyDescent="0.3">
      <c r="A337">
        <v>17</v>
      </c>
      <c r="B337" t="s">
        <v>2836</v>
      </c>
      <c r="C337" t="s">
        <v>6944</v>
      </c>
      <c r="E337">
        <v>30000000</v>
      </c>
      <c r="F337">
        <v>275215951599</v>
      </c>
    </row>
    <row r="338" spans="1:6" x14ac:dyDescent="0.3">
      <c r="A338">
        <v>17</v>
      </c>
      <c r="B338" t="s">
        <v>2037</v>
      </c>
      <c r="C338" t="s">
        <v>6552</v>
      </c>
      <c r="E338">
        <v>35500000</v>
      </c>
      <c r="F338">
        <v>275185951599</v>
      </c>
    </row>
    <row r="339" spans="1:6" x14ac:dyDescent="0.3">
      <c r="A339">
        <v>17</v>
      </c>
      <c r="B339" t="s">
        <v>2041</v>
      </c>
      <c r="C339" t="s">
        <v>6943</v>
      </c>
      <c r="E339">
        <v>50909090</v>
      </c>
      <c r="F339">
        <v>275150451599</v>
      </c>
    </row>
    <row r="340" spans="1:6" x14ac:dyDescent="0.3">
      <c r="A340">
        <v>17</v>
      </c>
      <c r="B340" t="s">
        <v>2032</v>
      </c>
      <c r="C340" t="s">
        <v>6755</v>
      </c>
      <c r="E340">
        <v>18373000</v>
      </c>
      <c r="F340">
        <v>275099542509</v>
      </c>
    </row>
    <row r="341" spans="1:6" x14ac:dyDescent="0.3">
      <c r="A341">
        <v>17</v>
      </c>
      <c r="B341" t="s">
        <v>7365</v>
      </c>
      <c r="C341" t="s">
        <v>6942</v>
      </c>
      <c r="E341">
        <v>19755000</v>
      </c>
      <c r="F341">
        <v>275081169509</v>
      </c>
    </row>
    <row r="342" spans="1:6" x14ac:dyDescent="0.3">
      <c r="A342">
        <v>17</v>
      </c>
      <c r="B342" t="s">
        <v>2037</v>
      </c>
      <c r="C342" t="s">
        <v>4820</v>
      </c>
      <c r="E342">
        <v>38500000</v>
      </c>
      <c r="F342">
        <v>275061414509</v>
      </c>
    </row>
    <row r="343" spans="1:6" x14ac:dyDescent="0.3">
      <c r="A343">
        <v>17</v>
      </c>
      <c r="B343" t="s">
        <v>2037</v>
      </c>
      <c r="C343" t="s">
        <v>6941</v>
      </c>
      <c r="E343">
        <v>38000000</v>
      </c>
      <c r="F343">
        <v>275022914509</v>
      </c>
    </row>
    <row r="344" spans="1:6" x14ac:dyDescent="0.3">
      <c r="A344">
        <v>17</v>
      </c>
      <c r="B344" t="s">
        <v>2062</v>
      </c>
      <c r="C344" t="s">
        <v>6940</v>
      </c>
      <c r="E344">
        <v>177000000</v>
      </c>
      <c r="F344">
        <v>274984914509</v>
      </c>
    </row>
    <row r="345" spans="1:6" x14ac:dyDescent="0.3">
      <c r="A345">
        <v>17</v>
      </c>
      <c r="B345" t="s">
        <v>2041</v>
      </c>
      <c r="C345" t="s">
        <v>6939</v>
      </c>
      <c r="E345">
        <v>50000000</v>
      </c>
      <c r="F345">
        <v>274807914509</v>
      </c>
    </row>
    <row r="346" spans="1:6" x14ac:dyDescent="0.3">
      <c r="A346">
        <v>17</v>
      </c>
      <c r="B346" t="s">
        <v>2041</v>
      </c>
      <c r="C346" t="s">
        <v>6938</v>
      </c>
      <c r="E346">
        <v>51700000</v>
      </c>
      <c r="F346">
        <v>274757914509</v>
      </c>
    </row>
    <row r="347" spans="1:6" x14ac:dyDescent="0.3">
      <c r="A347">
        <v>17</v>
      </c>
      <c r="B347" t="s">
        <v>2037</v>
      </c>
      <c r="C347" t="s">
        <v>6937</v>
      </c>
      <c r="E347">
        <v>37000000</v>
      </c>
      <c r="F347">
        <v>274706214509</v>
      </c>
    </row>
    <row r="348" spans="1:6" x14ac:dyDescent="0.3">
      <c r="A348">
        <v>17</v>
      </c>
      <c r="B348" t="s">
        <v>2037</v>
      </c>
      <c r="C348" t="s">
        <v>6936</v>
      </c>
      <c r="E348">
        <v>38000000</v>
      </c>
      <c r="F348">
        <v>274669214509</v>
      </c>
    </row>
    <row r="349" spans="1:6" x14ac:dyDescent="0.3">
      <c r="A349">
        <v>17</v>
      </c>
      <c r="B349" t="s">
        <v>2836</v>
      </c>
      <c r="C349" t="s">
        <v>6935</v>
      </c>
      <c r="E349">
        <v>32000000</v>
      </c>
      <c r="F349">
        <v>274631214509</v>
      </c>
    </row>
    <row r="350" spans="1:6" x14ac:dyDescent="0.3">
      <c r="A350">
        <v>17</v>
      </c>
      <c r="B350" t="s">
        <v>2028</v>
      </c>
      <c r="C350" t="s">
        <v>5077</v>
      </c>
      <c r="E350">
        <v>13270000</v>
      </c>
      <c r="F350">
        <v>274599214509</v>
      </c>
    </row>
    <row r="351" spans="1:6" x14ac:dyDescent="0.3">
      <c r="A351">
        <v>17</v>
      </c>
      <c r="B351" t="s">
        <v>2043</v>
      </c>
      <c r="C351" t="s">
        <v>6934</v>
      </c>
      <c r="E351">
        <v>53636364</v>
      </c>
      <c r="F351">
        <v>274585944509</v>
      </c>
    </row>
    <row r="352" spans="1:6" x14ac:dyDescent="0.3">
      <c r="A352">
        <v>17</v>
      </c>
      <c r="B352" t="s">
        <v>2041</v>
      </c>
      <c r="C352" t="s">
        <v>6933</v>
      </c>
      <c r="E352">
        <v>51818182</v>
      </c>
      <c r="F352">
        <v>274532308145</v>
      </c>
    </row>
    <row r="353" spans="1:6" x14ac:dyDescent="0.3">
      <c r="A353">
        <v>17</v>
      </c>
      <c r="B353" t="s">
        <v>2039</v>
      </c>
      <c r="C353" t="s">
        <v>4500</v>
      </c>
      <c r="E353">
        <v>43636363</v>
      </c>
      <c r="F353">
        <v>274480489963</v>
      </c>
    </row>
    <row r="354" spans="1:6" x14ac:dyDescent="0.3">
      <c r="A354">
        <v>17</v>
      </c>
      <c r="B354" t="s">
        <v>2039</v>
      </c>
      <c r="C354" t="s">
        <v>6932</v>
      </c>
      <c r="E354">
        <v>39545455</v>
      </c>
      <c r="F354">
        <v>274436853600</v>
      </c>
    </row>
    <row r="355" spans="1:6" x14ac:dyDescent="0.3">
      <c r="A355">
        <v>17</v>
      </c>
      <c r="B355" t="s">
        <v>2039</v>
      </c>
      <c r="C355" t="s">
        <v>6931</v>
      </c>
      <c r="E355">
        <v>43000000</v>
      </c>
      <c r="F355">
        <v>274397308145</v>
      </c>
    </row>
    <row r="356" spans="1:6" x14ac:dyDescent="0.3">
      <c r="A356">
        <v>17</v>
      </c>
      <c r="B356" t="s">
        <v>2032</v>
      </c>
      <c r="C356" t="s">
        <v>6930</v>
      </c>
      <c r="E356">
        <v>35909091</v>
      </c>
      <c r="F356">
        <v>274354308145</v>
      </c>
    </row>
    <row r="357" spans="1:6" x14ac:dyDescent="0.3">
      <c r="A357">
        <v>17</v>
      </c>
      <c r="B357" t="s">
        <v>2836</v>
      </c>
      <c r="C357" t="s">
        <v>6929</v>
      </c>
      <c r="E357">
        <v>31000000</v>
      </c>
      <c r="F357">
        <v>274318399054</v>
      </c>
    </row>
    <row r="358" spans="1:6" x14ac:dyDescent="0.3">
      <c r="A358">
        <v>17</v>
      </c>
      <c r="B358" t="s">
        <v>2836</v>
      </c>
      <c r="C358" t="s">
        <v>6928</v>
      </c>
      <c r="E358">
        <v>30000000</v>
      </c>
      <c r="F358">
        <v>274287399054</v>
      </c>
    </row>
    <row r="359" spans="1:6" x14ac:dyDescent="0.3">
      <c r="A359">
        <v>17</v>
      </c>
      <c r="B359" t="s">
        <v>2037</v>
      </c>
      <c r="C359" t="s">
        <v>6927</v>
      </c>
      <c r="E359">
        <v>38000000</v>
      </c>
      <c r="F359">
        <v>274257399054</v>
      </c>
    </row>
    <row r="360" spans="1:6" x14ac:dyDescent="0.3">
      <c r="A360">
        <v>17</v>
      </c>
      <c r="B360" t="s">
        <v>2041</v>
      </c>
      <c r="C360" t="s">
        <v>6926</v>
      </c>
      <c r="E360">
        <v>51818182</v>
      </c>
      <c r="F360">
        <v>274219399054</v>
      </c>
    </row>
    <row r="361" spans="1:6" x14ac:dyDescent="0.3">
      <c r="A361">
        <v>17</v>
      </c>
      <c r="B361" t="s">
        <v>2041</v>
      </c>
      <c r="C361" t="s">
        <v>6925</v>
      </c>
      <c r="E361">
        <v>52727273</v>
      </c>
      <c r="F361">
        <v>274167580872</v>
      </c>
    </row>
    <row r="362" spans="1:6" x14ac:dyDescent="0.3">
      <c r="A362">
        <v>17</v>
      </c>
      <c r="B362" t="s">
        <v>2039</v>
      </c>
      <c r="C362" t="s">
        <v>6642</v>
      </c>
      <c r="E362">
        <v>40909091</v>
      </c>
      <c r="F362">
        <v>274114853599</v>
      </c>
    </row>
    <row r="363" spans="1:6" x14ac:dyDescent="0.3">
      <c r="A363">
        <v>17</v>
      </c>
      <c r="B363" t="s">
        <v>2039</v>
      </c>
      <c r="C363" t="s">
        <v>6924</v>
      </c>
      <c r="E363">
        <v>40909090</v>
      </c>
      <c r="F363">
        <v>274073944508</v>
      </c>
    </row>
    <row r="364" spans="1:6" x14ac:dyDescent="0.3">
      <c r="A364">
        <v>17</v>
      </c>
      <c r="B364" t="s">
        <v>2039</v>
      </c>
      <c r="C364" t="s">
        <v>6923</v>
      </c>
      <c r="E364">
        <v>41181819</v>
      </c>
      <c r="F364">
        <v>274033035418</v>
      </c>
    </row>
    <row r="365" spans="1:6" x14ac:dyDescent="0.3">
      <c r="A365">
        <v>17</v>
      </c>
      <c r="B365" t="s">
        <v>2039</v>
      </c>
      <c r="C365" t="s">
        <v>6922</v>
      </c>
      <c r="E365">
        <v>40500000</v>
      </c>
      <c r="F365">
        <v>273991853599</v>
      </c>
    </row>
    <row r="366" spans="1:6" x14ac:dyDescent="0.3">
      <c r="A366">
        <v>17</v>
      </c>
      <c r="B366" t="s">
        <v>2044</v>
      </c>
      <c r="C366" t="s">
        <v>6921</v>
      </c>
      <c r="E366">
        <v>32000000</v>
      </c>
      <c r="F366">
        <v>273951353599</v>
      </c>
    </row>
    <row r="367" spans="1:6" x14ac:dyDescent="0.3">
      <c r="A367">
        <v>17</v>
      </c>
      <c r="B367" t="s">
        <v>2044</v>
      </c>
      <c r="C367" t="s">
        <v>6920</v>
      </c>
      <c r="E367">
        <v>39500000</v>
      </c>
      <c r="F367">
        <v>273919353599</v>
      </c>
    </row>
    <row r="368" spans="1:6" x14ac:dyDescent="0.3">
      <c r="A368">
        <v>17</v>
      </c>
      <c r="B368" t="s">
        <v>2044</v>
      </c>
      <c r="C368" t="s">
        <v>3642</v>
      </c>
      <c r="E368">
        <v>39000000</v>
      </c>
      <c r="F368">
        <v>273879853599</v>
      </c>
    </row>
    <row r="369" spans="1:6" x14ac:dyDescent="0.3">
      <c r="A369">
        <v>17</v>
      </c>
      <c r="B369" t="s">
        <v>2043</v>
      </c>
      <c r="C369" t="s">
        <v>6919</v>
      </c>
      <c r="E369">
        <v>55272727</v>
      </c>
      <c r="F369">
        <v>273840853599</v>
      </c>
    </row>
    <row r="370" spans="1:6" x14ac:dyDescent="0.3">
      <c r="A370">
        <v>17</v>
      </c>
      <c r="B370" t="s">
        <v>2044</v>
      </c>
      <c r="C370" t="s">
        <v>6918</v>
      </c>
      <c r="E370">
        <v>37500000</v>
      </c>
      <c r="F370">
        <v>273785580872</v>
      </c>
    </row>
    <row r="371" spans="1:6" x14ac:dyDescent="0.3">
      <c r="A371">
        <v>17</v>
      </c>
      <c r="B371" t="s">
        <v>2054</v>
      </c>
      <c r="C371" t="s">
        <v>6636</v>
      </c>
      <c r="E371">
        <v>12530000</v>
      </c>
      <c r="F371">
        <v>273748080872</v>
      </c>
    </row>
    <row r="372" spans="1:6" x14ac:dyDescent="0.3">
      <c r="A372">
        <v>17</v>
      </c>
      <c r="B372" t="s">
        <v>2037</v>
      </c>
      <c r="C372" t="s">
        <v>6917</v>
      </c>
      <c r="E372">
        <v>37850000</v>
      </c>
      <c r="F372">
        <v>273735550872</v>
      </c>
    </row>
    <row r="373" spans="1:6" x14ac:dyDescent="0.3">
      <c r="A373">
        <v>17</v>
      </c>
      <c r="B373" t="s">
        <v>2037</v>
      </c>
      <c r="C373" t="s">
        <v>6916</v>
      </c>
      <c r="E373">
        <v>18373000</v>
      </c>
      <c r="F373">
        <v>273697700872</v>
      </c>
    </row>
    <row r="374" spans="1:6" x14ac:dyDescent="0.3">
      <c r="A374">
        <v>17</v>
      </c>
      <c r="B374" t="s">
        <v>2830</v>
      </c>
      <c r="C374" t="s">
        <v>6907</v>
      </c>
      <c r="E374">
        <v>1500000</v>
      </c>
      <c r="F374">
        <v>273679327872</v>
      </c>
    </row>
    <row r="375" spans="1:6" x14ac:dyDescent="0.3">
      <c r="A375">
        <v>17</v>
      </c>
      <c r="B375" t="s">
        <v>7298</v>
      </c>
      <c r="C375" t="s">
        <v>6915</v>
      </c>
      <c r="E375">
        <v>103459050</v>
      </c>
      <c r="F375">
        <v>273677827872</v>
      </c>
    </row>
    <row r="376" spans="1:6" x14ac:dyDescent="0.3">
      <c r="A376">
        <v>17</v>
      </c>
      <c r="B376" t="s">
        <v>7371</v>
      </c>
      <c r="C376" t="s">
        <v>5958</v>
      </c>
      <c r="E376">
        <v>198881821</v>
      </c>
      <c r="F376">
        <v>273574368822</v>
      </c>
    </row>
    <row r="377" spans="1:6" x14ac:dyDescent="0.3">
      <c r="A377">
        <v>17</v>
      </c>
      <c r="B377" t="s">
        <v>2028</v>
      </c>
      <c r="C377" t="s">
        <v>6138</v>
      </c>
      <c r="E377">
        <v>16100909</v>
      </c>
      <c r="F377">
        <v>273375487001</v>
      </c>
    </row>
    <row r="378" spans="1:6" x14ac:dyDescent="0.3">
      <c r="A378">
        <v>17</v>
      </c>
      <c r="B378" t="s">
        <v>2028</v>
      </c>
      <c r="C378" t="s">
        <v>6914</v>
      </c>
      <c r="E378">
        <v>15000000</v>
      </c>
      <c r="F378">
        <v>273359386092</v>
      </c>
    </row>
    <row r="379" spans="1:6" x14ac:dyDescent="0.3">
      <c r="A379">
        <v>17</v>
      </c>
      <c r="B379" t="s">
        <v>2040</v>
      </c>
      <c r="C379" t="s">
        <v>6913</v>
      </c>
      <c r="E379">
        <v>42500000</v>
      </c>
      <c r="F379">
        <v>273344386092</v>
      </c>
    </row>
    <row r="380" spans="1:6" x14ac:dyDescent="0.3">
      <c r="A380">
        <v>17</v>
      </c>
      <c r="B380" t="s">
        <v>2037</v>
      </c>
      <c r="C380" t="s">
        <v>6912</v>
      </c>
      <c r="E380">
        <v>38500000</v>
      </c>
      <c r="F380">
        <v>273301886092</v>
      </c>
    </row>
    <row r="381" spans="1:6" x14ac:dyDescent="0.3">
      <c r="A381">
        <v>17</v>
      </c>
      <c r="B381" t="s">
        <v>2037</v>
      </c>
      <c r="C381" t="s">
        <v>6911</v>
      </c>
      <c r="E381">
        <v>38500000</v>
      </c>
      <c r="F381">
        <v>273263386092</v>
      </c>
    </row>
    <row r="382" spans="1:6" x14ac:dyDescent="0.3">
      <c r="A382">
        <v>17</v>
      </c>
      <c r="B382" t="s">
        <v>2037</v>
      </c>
      <c r="C382" t="s">
        <v>3943</v>
      </c>
      <c r="E382">
        <v>38500000</v>
      </c>
      <c r="F382">
        <v>273224886092</v>
      </c>
    </row>
    <row r="383" spans="1:6" x14ac:dyDescent="0.3">
      <c r="A383">
        <v>17</v>
      </c>
      <c r="B383" t="s">
        <v>2028</v>
      </c>
      <c r="C383" t="s">
        <v>6910</v>
      </c>
      <c r="E383">
        <v>14272727</v>
      </c>
      <c r="F383">
        <v>273186386092</v>
      </c>
    </row>
    <row r="384" spans="1:6" x14ac:dyDescent="0.3">
      <c r="A384">
        <v>17</v>
      </c>
      <c r="B384" t="s">
        <v>2028</v>
      </c>
      <c r="C384" t="s">
        <v>6909</v>
      </c>
      <c r="E384">
        <v>43915000</v>
      </c>
      <c r="F384">
        <v>273172113365</v>
      </c>
    </row>
    <row r="385" spans="1:6" x14ac:dyDescent="0.3">
      <c r="A385">
        <v>17</v>
      </c>
      <c r="B385" t="s">
        <v>2028</v>
      </c>
      <c r="C385" t="s">
        <v>6908</v>
      </c>
      <c r="E385">
        <v>44555000</v>
      </c>
      <c r="F385">
        <v>273128198365</v>
      </c>
    </row>
    <row r="386" spans="1:6" x14ac:dyDescent="0.3">
      <c r="A386">
        <v>17</v>
      </c>
      <c r="B386" t="s">
        <v>2028</v>
      </c>
      <c r="C386" t="s">
        <v>6907</v>
      </c>
      <c r="E386">
        <v>27972728</v>
      </c>
      <c r="F386">
        <v>273083643365</v>
      </c>
    </row>
    <row r="387" spans="1:6" x14ac:dyDescent="0.3">
      <c r="A387">
        <v>17</v>
      </c>
      <c r="B387" t="s">
        <v>2038</v>
      </c>
      <c r="C387" t="s">
        <v>5710</v>
      </c>
      <c r="E387">
        <v>37500000</v>
      </c>
      <c r="F387">
        <v>273055670637</v>
      </c>
    </row>
    <row r="388" spans="1:6" x14ac:dyDescent="0.3">
      <c r="A388">
        <v>17</v>
      </c>
      <c r="B388" t="s">
        <v>2043</v>
      </c>
      <c r="C388" t="s">
        <v>6906</v>
      </c>
      <c r="E388">
        <v>54000000</v>
      </c>
      <c r="F388">
        <v>273018170637</v>
      </c>
    </row>
    <row r="389" spans="1:6" x14ac:dyDescent="0.3">
      <c r="A389">
        <v>17</v>
      </c>
      <c r="B389" t="s">
        <v>2039</v>
      </c>
      <c r="C389" t="s">
        <v>6905</v>
      </c>
      <c r="E389">
        <v>41818182</v>
      </c>
      <c r="F389">
        <v>272964170637</v>
      </c>
    </row>
    <row r="390" spans="1:6" x14ac:dyDescent="0.3">
      <c r="A390">
        <v>17</v>
      </c>
      <c r="B390" t="s">
        <v>2836</v>
      </c>
      <c r="C390" t="s">
        <v>6904</v>
      </c>
      <c r="E390">
        <v>31000000</v>
      </c>
      <c r="F390">
        <v>272922352455</v>
      </c>
    </row>
    <row r="391" spans="1:6" x14ac:dyDescent="0.3">
      <c r="A391">
        <v>17</v>
      </c>
      <c r="B391" t="s">
        <v>2836</v>
      </c>
      <c r="C391" t="s">
        <v>5250</v>
      </c>
      <c r="E391">
        <v>31700000</v>
      </c>
      <c r="F391">
        <v>272891352455</v>
      </c>
    </row>
    <row r="392" spans="1:6" x14ac:dyDescent="0.3">
      <c r="A392">
        <v>17</v>
      </c>
      <c r="B392" t="s">
        <v>2836</v>
      </c>
      <c r="C392" t="s">
        <v>5250</v>
      </c>
      <c r="E392">
        <v>29980000</v>
      </c>
      <c r="F392">
        <v>272859652455</v>
      </c>
    </row>
    <row r="393" spans="1:6" x14ac:dyDescent="0.3">
      <c r="A393">
        <v>17</v>
      </c>
      <c r="B393" t="s">
        <v>2836</v>
      </c>
      <c r="C393" t="s">
        <v>5250</v>
      </c>
      <c r="E393">
        <v>29980000</v>
      </c>
      <c r="F393">
        <v>272829672455</v>
      </c>
    </row>
    <row r="394" spans="1:6" x14ac:dyDescent="0.3">
      <c r="A394">
        <v>17</v>
      </c>
      <c r="B394" t="s">
        <v>2836</v>
      </c>
      <c r="C394" t="s">
        <v>5250</v>
      </c>
      <c r="E394">
        <v>29980000</v>
      </c>
      <c r="F394">
        <v>272799692455</v>
      </c>
    </row>
    <row r="395" spans="1:6" x14ac:dyDescent="0.3">
      <c r="A395">
        <v>17</v>
      </c>
      <c r="B395" t="s">
        <v>2836</v>
      </c>
      <c r="C395" t="s">
        <v>5250</v>
      </c>
      <c r="E395">
        <v>29980000</v>
      </c>
      <c r="F395">
        <v>272769712455</v>
      </c>
    </row>
    <row r="396" spans="1:6" x14ac:dyDescent="0.3">
      <c r="A396">
        <v>17</v>
      </c>
      <c r="B396" t="s">
        <v>2836</v>
      </c>
      <c r="C396" t="s">
        <v>5250</v>
      </c>
      <c r="E396">
        <v>29980000</v>
      </c>
      <c r="F396">
        <v>272739732455</v>
      </c>
    </row>
    <row r="397" spans="1:6" x14ac:dyDescent="0.3">
      <c r="A397">
        <v>17</v>
      </c>
      <c r="B397" t="s">
        <v>2836</v>
      </c>
      <c r="C397" t="s">
        <v>5250</v>
      </c>
      <c r="E397">
        <v>29980000</v>
      </c>
      <c r="F397">
        <v>272709752455</v>
      </c>
    </row>
    <row r="398" spans="1:6" x14ac:dyDescent="0.3">
      <c r="A398">
        <v>17</v>
      </c>
      <c r="B398" t="s">
        <v>2836</v>
      </c>
      <c r="C398" t="s">
        <v>5250</v>
      </c>
      <c r="E398">
        <v>29980000</v>
      </c>
      <c r="F398">
        <v>272679772455</v>
      </c>
    </row>
    <row r="399" spans="1:6" x14ac:dyDescent="0.3">
      <c r="A399">
        <v>17</v>
      </c>
      <c r="B399" t="s">
        <v>2836</v>
      </c>
      <c r="C399" t="s">
        <v>5250</v>
      </c>
      <c r="E399">
        <v>29980000</v>
      </c>
      <c r="F399">
        <v>272649792455</v>
      </c>
    </row>
    <row r="400" spans="1:6" x14ac:dyDescent="0.3">
      <c r="A400">
        <v>17</v>
      </c>
      <c r="B400" t="s">
        <v>2836</v>
      </c>
      <c r="C400" t="s">
        <v>5250</v>
      </c>
      <c r="E400">
        <v>29980000</v>
      </c>
      <c r="F400">
        <v>272619812455</v>
      </c>
    </row>
    <row r="401" spans="1:6" x14ac:dyDescent="0.3">
      <c r="A401">
        <v>17</v>
      </c>
      <c r="B401" t="s">
        <v>2836</v>
      </c>
      <c r="C401" t="s">
        <v>5250</v>
      </c>
      <c r="E401">
        <v>29980000</v>
      </c>
      <c r="F401">
        <v>272589832455</v>
      </c>
    </row>
    <row r="402" spans="1:6" x14ac:dyDescent="0.3">
      <c r="A402">
        <v>17</v>
      </c>
      <c r="B402" t="s">
        <v>2836</v>
      </c>
      <c r="C402" t="s">
        <v>5250</v>
      </c>
      <c r="E402">
        <v>29980000</v>
      </c>
      <c r="F402">
        <v>272559852455</v>
      </c>
    </row>
    <row r="403" spans="1:6" x14ac:dyDescent="0.3">
      <c r="A403">
        <v>17</v>
      </c>
      <c r="B403" t="s">
        <v>2836</v>
      </c>
      <c r="C403" t="s">
        <v>5250</v>
      </c>
      <c r="E403">
        <v>29980000</v>
      </c>
      <c r="F403">
        <v>272529872455</v>
      </c>
    </row>
    <row r="404" spans="1:6" x14ac:dyDescent="0.3">
      <c r="A404">
        <v>17</v>
      </c>
      <c r="B404" t="s">
        <v>2836</v>
      </c>
      <c r="C404" t="s">
        <v>5250</v>
      </c>
      <c r="E404">
        <v>29980000</v>
      </c>
      <c r="F404">
        <v>272499892455</v>
      </c>
    </row>
    <row r="405" spans="1:6" x14ac:dyDescent="0.3">
      <c r="A405">
        <v>17</v>
      </c>
      <c r="B405" t="s">
        <v>2836</v>
      </c>
      <c r="C405" t="s">
        <v>5250</v>
      </c>
      <c r="E405">
        <v>29980000</v>
      </c>
      <c r="F405">
        <v>272469912455</v>
      </c>
    </row>
    <row r="406" spans="1:6" x14ac:dyDescent="0.3">
      <c r="A406">
        <v>17</v>
      </c>
      <c r="B406" t="s">
        <v>2836</v>
      </c>
      <c r="C406" t="s">
        <v>5250</v>
      </c>
      <c r="E406">
        <v>29980000</v>
      </c>
      <c r="F406">
        <v>272439932455</v>
      </c>
    </row>
    <row r="407" spans="1:6" x14ac:dyDescent="0.3">
      <c r="A407">
        <v>17</v>
      </c>
      <c r="B407" t="s">
        <v>2836</v>
      </c>
      <c r="C407" t="s">
        <v>6903</v>
      </c>
      <c r="E407">
        <v>32000000</v>
      </c>
      <c r="F407">
        <v>272409952455</v>
      </c>
    </row>
    <row r="408" spans="1:6" x14ac:dyDescent="0.3">
      <c r="A408">
        <v>17</v>
      </c>
      <c r="B408" t="s">
        <v>2836</v>
      </c>
      <c r="C408" t="s">
        <v>6902</v>
      </c>
      <c r="E408">
        <v>31000000</v>
      </c>
      <c r="F408">
        <v>272377952455</v>
      </c>
    </row>
    <row r="409" spans="1:6" x14ac:dyDescent="0.3">
      <c r="A409">
        <v>17</v>
      </c>
      <c r="B409" t="s">
        <v>2836</v>
      </c>
      <c r="C409" t="s">
        <v>6901</v>
      </c>
      <c r="E409">
        <v>31500000</v>
      </c>
      <c r="F409">
        <v>272346952455</v>
      </c>
    </row>
    <row r="410" spans="1:6" x14ac:dyDescent="0.3">
      <c r="A410">
        <v>17</v>
      </c>
      <c r="B410" t="s">
        <v>2836</v>
      </c>
      <c r="C410" t="s">
        <v>4332</v>
      </c>
      <c r="E410">
        <v>32727273</v>
      </c>
      <c r="F410">
        <v>272315452455</v>
      </c>
    </row>
    <row r="411" spans="1:6" x14ac:dyDescent="0.3">
      <c r="A411">
        <v>17</v>
      </c>
      <c r="B411" t="s">
        <v>2043</v>
      </c>
      <c r="C411" t="s">
        <v>6900</v>
      </c>
      <c r="E411">
        <v>53818181</v>
      </c>
      <c r="F411">
        <v>272282725182</v>
      </c>
    </row>
    <row r="412" spans="1:6" x14ac:dyDescent="0.3">
      <c r="A412">
        <v>17</v>
      </c>
      <c r="B412" t="s">
        <v>2037</v>
      </c>
      <c r="C412" t="s">
        <v>6899</v>
      </c>
      <c r="E412">
        <v>37272727</v>
      </c>
      <c r="F412">
        <v>272228907001</v>
      </c>
    </row>
    <row r="413" spans="1:6" x14ac:dyDescent="0.3">
      <c r="A413">
        <v>17</v>
      </c>
      <c r="B413" t="s">
        <v>2028</v>
      </c>
      <c r="C413" t="s">
        <v>6898</v>
      </c>
      <c r="E413">
        <v>14272728</v>
      </c>
      <c r="F413">
        <v>272191634274</v>
      </c>
    </row>
    <row r="414" spans="1:6" x14ac:dyDescent="0.3">
      <c r="A414">
        <v>17</v>
      </c>
      <c r="B414" t="s">
        <v>2040</v>
      </c>
      <c r="C414" t="s">
        <v>6897</v>
      </c>
      <c r="E414">
        <v>40700000</v>
      </c>
      <c r="F414">
        <v>272177361546</v>
      </c>
    </row>
    <row r="415" spans="1:6" x14ac:dyDescent="0.3">
      <c r="A415">
        <v>17</v>
      </c>
      <c r="B415" t="s">
        <v>2041</v>
      </c>
      <c r="C415" t="s">
        <v>6896</v>
      </c>
      <c r="E415">
        <v>50000000</v>
      </c>
      <c r="F415">
        <v>272136661546</v>
      </c>
    </row>
    <row r="416" spans="1:6" x14ac:dyDescent="0.3">
      <c r="A416">
        <v>17</v>
      </c>
      <c r="B416" t="s">
        <v>2836</v>
      </c>
      <c r="C416" t="s">
        <v>6895</v>
      </c>
      <c r="E416">
        <v>31000000</v>
      </c>
      <c r="F416">
        <v>272086661546</v>
      </c>
    </row>
    <row r="417" spans="1:6" x14ac:dyDescent="0.3">
      <c r="A417">
        <v>17</v>
      </c>
      <c r="B417" t="s">
        <v>2836</v>
      </c>
      <c r="C417" t="s">
        <v>6894</v>
      </c>
      <c r="E417">
        <v>30000000</v>
      </c>
      <c r="F417">
        <v>272055661546</v>
      </c>
    </row>
    <row r="418" spans="1:6" x14ac:dyDescent="0.3">
      <c r="A418">
        <v>17</v>
      </c>
      <c r="B418" t="s">
        <v>2054</v>
      </c>
      <c r="C418" t="s">
        <v>5440</v>
      </c>
      <c r="E418">
        <v>14090910</v>
      </c>
      <c r="F418">
        <v>272025661546</v>
      </c>
    </row>
    <row r="419" spans="1:6" x14ac:dyDescent="0.3">
      <c r="A419">
        <v>17</v>
      </c>
      <c r="B419" t="s">
        <v>2039</v>
      </c>
      <c r="C419" t="s">
        <v>6893</v>
      </c>
      <c r="E419">
        <v>39090909</v>
      </c>
      <c r="F419">
        <v>272011570636</v>
      </c>
    </row>
    <row r="420" spans="1:6" x14ac:dyDescent="0.3">
      <c r="A420">
        <v>17</v>
      </c>
      <c r="B420" t="s">
        <v>2032</v>
      </c>
      <c r="C420" t="s">
        <v>6892</v>
      </c>
      <c r="E420">
        <v>36363636</v>
      </c>
      <c r="F420">
        <v>271972479727</v>
      </c>
    </row>
    <row r="421" spans="1:6" x14ac:dyDescent="0.3">
      <c r="A421">
        <v>17</v>
      </c>
      <c r="B421" t="s">
        <v>2039</v>
      </c>
      <c r="C421" t="s">
        <v>6891</v>
      </c>
      <c r="E421">
        <v>38181819</v>
      </c>
      <c r="F421">
        <v>271936116091</v>
      </c>
    </row>
    <row r="422" spans="1:6" x14ac:dyDescent="0.3">
      <c r="A422">
        <v>17</v>
      </c>
      <c r="B422" t="s">
        <v>2836</v>
      </c>
      <c r="C422" t="s">
        <v>6227</v>
      </c>
      <c r="E422">
        <v>31000000</v>
      </c>
      <c r="F422">
        <v>271897934272</v>
      </c>
    </row>
    <row r="423" spans="1:6" x14ac:dyDescent="0.3">
      <c r="A423">
        <v>17</v>
      </c>
      <c r="B423" t="s">
        <v>2836</v>
      </c>
      <c r="C423" t="s">
        <v>6890</v>
      </c>
      <c r="E423">
        <v>30900000</v>
      </c>
      <c r="F423">
        <v>271866934272</v>
      </c>
    </row>
    <row r="424" spans="1:6" x14ac:dyDescent="0.3">
      <c r="A424">
        <v>17</v>
      </c>
      <c r="B424" t="s">
        <v>2836</v>
      </c>
      <c r="C424" t="s">
        <v>6890</v>
      </c>
      <c r="E424">
        <v>29900000</v>
      </c>
      <c r="F424">
        <v>271836034272</v>
      </c>
    </row>
    <row r="425" spans="1:6" x14ac:dyDescent="0.3">
      <c r="A425">
        <v>17</v>
      </c>
      <c r="B425" t="s">
        <v>2041</v>
      </c>
      <c r="C425" t="s">
        <v>6889</v>
      </c>
      <c r="E425">
        <v>49000000</v>
      </c>
      <c r="F425">
        <v>271806134272</v>
      </c>
    </row>
    <row r="426" spans="1:6" x14ac:dyDescent="0.3">
      <c r="A426">
        <v>17</v>
      </c>
      <c r="B426" t="s">
        <v>2041</v>
      </c>
      <c r="C426" t="s">
        <v>6888</v>
      </c>
      <c r="E426">
        <v>51818182</v>
      </c>
      <c r="F426">
        <v>271757134272</v>
      </c>
    </row>
    <row r="427" spans="1:6" x14ac:dyDescent="0.3">
      <c r="A427">
        <v>17</v>
      </c>
      <c r="B427" t="s">
        <v>2041</v>
      </c>
      <c r="C427" t="s">
        <v>6887</v>
      </c>
      <c r="E427">
        <v>50500000</v>
      </c>
      <c r="F427">
        <v>271705316090</v>
      </c>
    </row>
    <row r="428" spans="1:6" x14ac:dyDescent="0.3">
      <c r="A428">
        <v>17</v>
      </c>
      <c r="B428" t="s">
        <v>2063</v>
      </c>
      <c r="C428" t="s">
        <v>6886</v>
      </c>
      <c r="E428">
        <v>157000000</v>
      </c>
      <c r="F428">
        <v>271654816090</v>
      </c>
    </row>
    <row r="429" spans="1:6" x14ac:dyDescent="0.3">
      <c r="A429">
        <v>17</v>
      </c>
      <c r="B429" t="s">
        <v>2037</v>
      </c>
      <c r="C429" t="s">
        <v>6569</v>
      </c>
      <c r="E429">
        <v>18572730</v>
      </c>
      <c r="F429">
        <v>271497816090</v>
      </c>
    </row>
    <row r="430" spans="1:6" x14ac:dyDescent="0.3">
      <c r="A430">
        <v>17</v>
      </c>
      <c r="B430" t="s">
        <v>2028</v>
      </c>
      <c r="C430" t="s">
        <v>6885</v>
      </c>
      <c r="E430">
        <v>14415000</v>
      </c>
      <c r="F430">
        <v>271479243360</v>
      </c>
    </row>
    <row r="431" spans="1:6" x14ac:dyDescent="0.3">
      <c r="A431">
        <v>17</v>
      </c>
      <c r="B431" t="s">
        <v>2037</v>
      </c>
      <c r="C431" t="s">
        <v>4712</v>
      </c>
      <c r="E431">
        <v>36545455</v>
      </c>
      <c r="F431">
        <v>271464828360</v>
      </c>
    </row>
    <row r="432" spans="1:6" x14ac:dyDescent="0.3">
      <c r="A432">
        <v>17</v>
      </c>
      <c r="B432" t="s">
        <v>2037</v>
      </c>
      <c r="C432" t="s">
        <v>6884</v>
      </c>
      <c r="E432">
        <v>38000000</v>
      </c>
      <c r="F432">
        <v>271428282905</v>
      </c>
    </row>
    <row r="433" spans="1:6" x14ac:dyDescent="0.3">
      <c r="A433">
        <v>17</v>
      </c>
      <c r="B433" t="s">
        <v>2039</v>
      </c>
      <c r="C433" t="s">
        <v>4465</v>
      </c>
      <c r="E433">
        <v>39550000</v>
      </c>
      <c r="F433">
        <v>271390282905</v>
      </c>
    </row>
    <row r="434" spans="1:6" x14ac:dyDescent="0.3">
      <c r="A434">
        <v>17</v>
      </c>
      <c r="B434" t="s">
        <v>2883</v>
      </c>
      <c r="C434" t="s">
        <v>4111</v>
      </c>
      <c r="E434">
        <v>501818182</v>
      </c>
      <c r="F434">
        <v>271350732905</v>
      </c>
    </row>
    <row r="435" spans="1:6" x14ac:dyDescent="0.3">
      <c r="A435">
        <v>17</v>
      </c>
      <c r="B435" t="s">
        <v>7170</v>
      </c>
      <c r="C435" t="s">
        <v>4064</v>
      </c>
      <c r="E435">
        <v>121742717</v>
      </c>
      <c r="F435">
        <v>270848914723</v>
      </c>
    </row>
    <row r="436" spans="1:6" x14ac:dyDescent="0.3">
      <c r="A436">
        <v>17</v>
      </c>
      <c r="B436" t="s">
        <v>2040</v>
      </c>
      <c r="C436" t="s">
        <v>6883</v>
      </c>
      <c r="E436">
        <v>43100000</v>
      </c>
      <c r="F436">
        <v>270727172006</v>
      </c>
    </row>
    <row r="437" spans="1:6" x14ac:dyDescent="0.3">
      <c r="A437">
        <v>17</v>
      </c>
      <c r="B437" t="s">
        <v>2060</v>
      </c>
      <c r="C437" t="s">
        <v>3861</v>
      </c>
      <c r="E437">
        <v>163636363</v>
      </c>
      <c r="F437">
        <v>270684072006</v>
      </c>
    </row>
    <row r="438" spans="1:6" x14ac:dyDescent="0.3">
      <c r="A438">
        <v>17</v>
      </c>
      <c r="B438" t="s">
        <v>2041</v>
      </c>
      <c r="C438" t="s">
        <v>6882</v>
      </c>
      <c r="E438">
        <v>51818182</v>
      </c>
      <c r="F438">
        <v>270520435643</v>
      </c>
    </row>
    <row r="439" spans="1:6" x14ac:dyDescent="0.3">
      <c r="A439">
        <v>17</v>
      </c>
      <c r="B439" t="s">
        <v>2039</v>
      </c>
      <c r="C439" t="s">
        <v>6881</v>
      </c>
      <c r="E439">
        <v>38700000</v>
      </c>
      <c r="F439">
        <v>270468617461</v>
      </c>
    </row>
    <row r="440" spans="1:6" x14ac:dyDescent="0.3">
      <c r="A440">
        <v>17</v>
      </c>
      <c r="B440" t="s">
        <v>2039</v>
      </c>
      <c r="C440" t="s">
        <v>6880</v>
      </c>
      <c r="E440">
        <v>41000000</v>
      </c>
      <c r="F440">
        <v>270429917461</v>
      </c>
    </row>
    <row r="441" spans="1:6" x14ac:dyDescent="0.3">
      <c r="A441">
        <v>17</v>
      </c>
      <c r="B441" t="s">
        <v>2032</v>
      </c>
      <c r="C441" t="s">
        <v>6879</v>
      </c>
      <c r="E441">
        <v>36090909</v>
      </c>
      <c r="F441">
        <v>270388917461</v>
      </c>
    </row>
    <row r="442" spans="1:6" x14ac:dyDescent="0.3">
      <c r="A442">
        <v>17</v>
      </c>
      <c r="B442" t="s">
        <v>2054</v>
      </c>
      <c r="C442" t="s">
        <v>6878</v>
      </c>
      <c r="E442">
        <v>14000000</v>
      </c>
      <c r="F442">
        <v>270352826552</v>
      </c>
    </row>
    <row r="443" spans="1:6" x14ac:dyDescent="0.3">
      <c r="A443">
        <v>17</v>
      </c>
      <c r="B443" t="s">
        <v>2043</v>
      </c>
      <c r="C443" t="s">
        <v>6877</v>
      </c>
      <c r="E443">
        <v>54000000</v>
      </c>
      <c r="F443">
        <v>270338826552</v>
      </c>
    </row>
    <row r="444" spans="1:6" x14ac:dyDescent="0.3">
      <c r="A444">
        <v>17</v>
      </c>
      <c r="B444" t="s">
        <v>2039</v>
      </c>
      <c r="C444" t="s">
        <v>4514</v>
      </c>
      <c r="E444">
        <v>40600000</v>
      </c>
      <c r="F444">
        <v>270284826552</v>
      </c>
    </row>
    <row r="445" spans="1:6" x14ac:dyDescent="0.3">
      <c r="A445">
        <v>17</v>
      </c>
      <c r="B445" t="s">
        <v>2028</v>
      </c>
      <c r="C445" t="s">
        <v>6876</v>
      </c>
      <c r="E445">
        <v>14750000</v>
      </c>
      <c r="F445">
        <v>270244226552</v>
      </c>
    </row>
    <row r="446" spans="1:6" x14ac:dyDescent="0.3">
      <c r="A446">
        <v>17</v>
      </c>
      <c r="B446" t="s">
        <v>2040</v>
      </c>
      <c r="C446" t="s">
        <v>6875</v>
      </c>
      <c r="E446">
        <v>42500000</v>
      </c>
      <c r="F446">
        <v>270229476552</v>
      </c>
    </row>
    <row r="447" spans="1:6" x14ac:dyDescent="0.3">
      <c r="A447">
        <v>17</v>
      </c>
      <c r="B447" t="s">
        <v>2041</v>
      </c>
      <c r="C447" t="s">
        <v>6874</v>
      </c>
      <c r="E447">
        <v>52727272</v>
      </c>
      <c r="F447">
        <v>270186976552</v>
      </c>
    </row>
    <row r="448" spans="1:6" x14ac:dyDescent="0.3">
      <c r="A448">
        <v>17</v>
      </c>
      <c r="B448" t="s">
        <v>2836</v>
      </c>
      <c r="C448" t="s">
        <v>4343</v>
      </c>
      <c r="E448">
        <v>31000000</v>
      </c>
      <c r="F448">
        <v>270134249280</v>
      </c>
    </row>
    <row r="449" spans="1:6" x14ac:dyDescent="0.3">
      <c r="A449">
        <v>17</v>
      </c>
      <c r="B449" t="s">
        <v>2039</v>
      </c>
      <c r="C449" t="s">
        <v>6873</v>
      </c>
      <c r="E449">
        <v>41500000</v>
      </c>
      <c r="F449">
        <v>270103249280</v>
      </c>
    </row>
    <row r="450" spans="1:6" x14ac:dyDescent="0.3">
      <c r="A450">
        <v>17</v>
      </c>
      <c r="B450" t="s">
        <v>2039</v>
      </c>
      <c r="C450" t="s">
        <v>6872</v>
      </c>
      <c r="E450">
        <v>45454545</v>
      </c>
      <c r="F450">
        <v>270061749280</v>
      </c>
    </row>
    <row r="451" spans="1:6" x14ac:dyDescent="0.3">
      <c r="A451">
        <v>17</v>
      </c>
      <c r="B451" t="s">
        <v>2039</v>
      </c>
      <c r="C451" t="s">
        <v>6871</v>
      </c>
      <c r="E451">
        <v>40909091</v>
      </c>
      <c r="F451">
        <v>270016294735</v>
      </c>
    </row>
    <row r="452" spans="1:6" x14ac:dyDescent="0.3">
      <c r="A452">
        <v>17</v>
      </c>
      <c r="B452" t="s">
        <v>2037</v>
      </c>
      <c r="C452" t="s">
        <v>6870</v>
      </c>
      <c r="E452">
        <v>35272727</v>
      </c>
      <c r="F452">
        <v>269975385644</v>
      </c>
    </row>
    <row r="453" spans="1:6" x14ac:dyDescent="0.3">
      <c r="A453">
        <v>17</v>
      </c>
      <c r="B453" t="s">
        <v>2037</v>
      </c>
      <c r="C453" t="s">
        <v>5590</v>
      </c>
      <c r="E453">
        <v>38500000</v>
      </c>
      <c r="F453">
        <v>269940112917</v>
      </c>
    </row>
    <row r="454" spans="1:6" x14ac:dyDescent="0.3">
      <c r="A454">
        <v>17</v>
      </c>
      <c r="B454" t="s">
        <v>2037</v>
      </c>
      <c r="C454" t="s">
        <v>6869</v>
      </c>
      <c r="E454">
        <v>39090909</v>
      </c>
      <c r="F454">
        <v>269901612917</v>
      </c>
    </row>
    <row r="455" spans="1:6" x14ac:dyDescent="0.3">
      <c r="A455">
        <v>17</v>
      </c>
      <c r="B455" t="s">
        <v>2032</v>
      </c>
      <c r="C455" t="s">
        <v>6868</v>
      </c>
      <c r="E455">
        <v>36363636</v>
      </c>
      <c r="F455">
        <v>269862522008</v>
      </c>
    </row>
    <row r="456" spans="1:6" x14ac:dyDescent="0.3">
      <c r="A456">
        <v>17</v>
      </c>
      <c r="B456" t="s">
        <v>2049</v>
      </c>
      <c r="C456" t="s">
        <v>5957</v>
      </c>
      <c r="E456">
        <v>194409091</v>
      </c>
      <c r="F456">
        <v>269826158372</v>
      </c>
    </row>
    <row r="457" spans="1:6" x14ac:dyDescent="0.3">
      <c r="A457">
        <v>17</v>
      </c>
      <c r="B457" t="s">
        <v>2037</v>
      </c>
      <c r="C457" t="s">
        <v>6867</v>
      </c>
      <c r="E457">
        <v>39090909</v>
      </c>
      <c r="F457">
        <v>269631749281</v>
      </c>
    </row>
    <row r="458" spans="1:6" x14ac:dyDescent="0.3">
      <c r="A458">
        <v>17</v>
      </c>
      <c r="B458" t="s">
        <v>2032</v>
      </c>
      <c r="C458" t="s">
        <v>5463</v>
      </c>
      <c r="E458">
        <v>34000000</v>
      </c>
      <c r="F458">
        <v>269592658372</v>
      </c>
    </row>
    <row r="459" spans="1:6" x14ac:dyDescent="0.3">
      <c r="A459">
        <v>17</v>
      </c>
      <c r="B459" t="s">
        <v>2039</v>
      </c>
      <c r="C459" t="s">
        <v>6866</v>
      </c>
      <c r="E459">
        <v>43636364</v>
      </c>
      <c r="F459">
        <v>269558658372</v>
      </c>
    </row>
    <row r="460" spans="1:6" x14ac:dyDescent="0.3">
      <c r="A460">
        <v>17</v>
      </c>
      <c r="B460" t="s">
        <v>2037</v>
      </c>
      <c r="C460" t="s">
        <v>6865</v>
      </c>
      <c r="E460">
        <v>38181818</v>
      </c>
      <c r="F460">
        <v>269515022008</v>
      </c>
    </row>
    <row r="461" spans="1:6" x14ac:dyDescent="0.3">
      <c r="A461">
        <v>17</v>
      </c>
      <c r="B461" t="s">
        <v>2037</v>
      </c>
      <c r="C461" t="s">
        <v>4698</v>
      </c>
      <c r="E461">
        <v>37700000</v>
      </c>
      <c r="F461">
        <v>269476840190</v>
      </c>
    </row>
    <row r="462" spans="1:6" x14ac:dyDescent="0.3">
      <c r="A462">
        <v>17</v>
      </c>
      <c r="B462" t="s">
        <v>2836</v>
      </c>
      <c r="C462" t="s">
        <v>6864</v>
      </c>
      <c r="E462">
        <v>31454546</v>
      </c>
      <c r="F462">
        <v>269439140190</v>
      </c>
    </row>
    <row r="463" spans="1:6" x14ac:dyDescent="0.3">
      <c r="A463">
        <v>17</v>
      </c>
      <c r="B463" t="s">
        <v>7370</v>
      </c>
      <c r="C463" t="s">
        <v>6863</v>
      </c>
      <c r="E463">
        <v>1270000</v>
      </c>
      <c r="F463">
        <v>269407685644</v>
      </c>
    </row>
    <row r="464" spans="1:6" x14ac:dyDescent="0.3">
      <c r="A464">
        <v>17</v>
      </c>
      <c r="B464" t="s">
        <v>2067</v>
      </c>
      <c r="C464" t="s">
        <v>6863</v>
      </c>
      <c r="E464">
        <v>101118182</v>
      </c>
      <c r="F464">
        <v>269406415644</v>
      </c>
    </row>
    <row r="465" spans="1:6" x14ac:dyDescent="0.3">
      <c r="A465">
        <v>17</v>
      </c>
      <c r="B465" t="s">
        <v>2037</v>
      </c>
      <c r="C465" t="s">
        <v>6862</v>
      </c>
      <c r="E465">
        <v>37000000</v>
      </c>
      <c r="F465">
        <v>269305297462</v>
      </c>
    </row>
    <row r="466" spans="1:6" x14ac:dyDescent="0.3">
      <c r="A466">
        <v>17</v>
      </c>
      <c r="B466" t="s">
        <v>2041</v>
      </c>
      <c r="C466" t="s">
        <v>6861</v>
      </c>
      <c r="E466">
        <v>52520000</v>
      </c>
      <c r="F466">
        <v>269268297462</v>
      </c>
    </row>
    <row r="467" spans="1:6" x14ac:dyDescent="0.3">
      <c r="A467">
        <v>17</v>
      </c>
      <c r="B467" t="s">
        <v>2040</v>
      </c>
      <c r="C467" t="s">
        <v>6860</v>
      </c>
      <c r="E467">
        <v>42000000</v>
      </c>
      <c r="F467">
        <v>269215777462</v>
      </c>
    </row>
    <row r="468" spans="1:6" x14ac:dyDescent="0.3">
      <c r="A468">
        <v>17</v>
      </c>
      <c r="B468" t="s">
        <v>2043</v>
      </c>
      <c r="C468" t="s">
        <v>6859</v>
      </c>
      <c r="E468">
        <v>55500000</v>
      </c>
      <c r="F468">
        <v>269173777462</v>
      </c>
    </row>
    <row r="469" spans="1:6" x14ac:dyDescent="0.3">
      <c r="A469">
        <v>17</v>
      </c>
      <c r="B469" t="s">
        <v>2028</v>
      </c>
      <c r="C469" t="s">
        <v>6858</v>
      </c>
      <c r="E469">
        <v>14520000</v>
      </c>
      <c r="F469">
        <v>269118277462</v>
      </c>
    </row>
    <row r="470" spans="1:6" x14ac:dyDescent="0.3">
      <c r="A470">
        <v>17</v>
      </c>
      <c r="B470" t="s">
        <v>7364</v>
      </c>
      <c r="C470" t="s">
        <v>6549</v>
      </c>
      <c r="E470">
        <v>1745898000</v>
      </c>
      <c r="F470">
        <v>269103757462</v>
      </c>
    </row>
    <row r="471" spans="1:6" x14ac:dyDescent="0.3">
      <c r="A471">
        <v>17</v>
      </c>
      <c r="B471" t="s">
        <v>7369</v>
      </c>
      <c r="C471" t="s">
        <v>6549</v>
      </c>
      <c r="E471">
        <v>541908600</v>
      </c>
      <c r="F471">
        <v>267357859462</v>
      </c>
    </row>
    <row r="472" spans="1:6" x14ac:dyDescent="0.3">
      <c r="A472">
        <v>17</v>
      </c>
      <c r="B472" t="s">
        <v>2039</v>
      </c>
      <c r="C472" t="s">
        <v>6857</v>
      </c>
      <c r="E472">
        <v>40727273</v>
      </c>
      <c r="F472">
        <v>266815950862</v>
      </c>
    </row>
    <row r="473" spans="1:6" x14ac:dyDescent="0.3">
      <c r="A473">
        <v>17</v>
      </c>
      <c r="B473" t="s">
        <v>2041</v>
      </c>
      <c r="C473" t="s">
        <v>6856</v>
      </c>
      <c r="E473">
        <v>51818182</v>
      </c>
      <c r="F473">
        <v>266775223589</v>
      </c>
    </row>
    <row r="474" spans="1:6" x14ac:dyDescent="0.3">
      <c r="A474">
        <v>17</v>
      </c>
      <c r="B474" t="s">
        <v>2037</v>
      </c>
      <c r="C474" t="s">
        <v>6855</v>
      </c>
      <c r="E474">
        <v>37500000</v>
      </c>
      <c r="F474">
        <v>266723405407</v>
      </c>
    </row>
    <row r="475" spans="1:6" x14ac:dyDescent="0.3">
      <c r="A475">
        <v>17</v>
      </c>
      <c r="B475" t="s">
        <v>2037</v>
      </c>
      <c r="C475" t="s">
        <v>6854</v>
      </c>
      <c r="E475">
        <v>38000000</v>
      </c>
      <c r="F475">
        <v>266685905407</v>
      </c>
    </row>
    <row r="476" spans="1:6" x14ac:dyDescent="0.3">
      <c r="A476">
        <v>17</v>
      </c>
      <c r="B476" t="s">
        <v>2037</v>
      </c>
      <c r="C476" t="s">
        <v>6853</v>
      </c>
      <c r="E476">
        <v>38100000</v>
      </c>
      <c r="F476">
        <v>266647905407</v>
      </c>
    </row>
    <row r="477" spans="1:6" x14ac:dyDescent="0.3">
      <c r="A477">
        <v>17</v>
      </c>
      <c r="B477" t="s">
        <v>2037</v>
      </c>
      <c r="C477" t="s">
        <v>6852</v>
      </c>
      <c r="E477">
        <v>38000000</v>
      </c>
      <c r="F477">
        <v>266609805407</v>
      </c>
    </row>
    <row r="478" spans="1:6" x14ac:dyDescent="0.3">
      <c r="A478">
        <v>17</v>
      </c>
      <c r="B478" t="s">
        <v>2032</v>
      </c>
      <c r="C478" t="s">
        <v>6851</v>
      </c>
      <c r="E478">
        <v>34900000</v>
      </c>
      <c r="F478">
        <v>266571805407</v>
      </c>
    </row>
    <row r="479" spans="1:6" x14ac:dyDescent="0.3">
      <c r="A479">
        <v>17</v>
      </c>
      <c r="B479" t="s">
        <v>2039</v>
      </c>
      <c r="C479" t="s">
        <v>6850</v>
      </c>
      <c r="E479">
        <v>42000000</v>
      </c>
      <c r="F479">
        <v>266536905407</v>
      </c>
    </row>
    <row r="480" spans="1:6" x14ac:dyDescent="0.3">
      <c r="A480">
        <v>17</v>
      </c>
      <c r="B480" t="s">
        <v>2836</v>
      </c>
      <c r="C480" t="s">
        <v>5250</v>
      </c>
      <c r="E480">
        <v>29980000</v>
      </c>
      <c r="F480">
        <v>266494905407</v>
      </c>
    </row>
    <row r="481" spans="1:6" x14ac:dyDescent="0.3">
      <c r="A481">
        <v>17</v>
      </c>
      <c r="B481" t="s">
        <v>2836</v>
      </c>
      <c r="C481" t="s">
        <v>5250</v>
      </c>
      <c r="E481">
        <v>29980000</v>
      </c>
      <c r="F481">
        <v>266464925407</v>
      </c>
    </row>
    <row r="482" spans="1:6" x14ac:dyDescent="0.3">
      <c r="A482">
        <v>17</v>
      </c>
      <c r="B482" t="s">
        <v>2836</v>
      </c>
      <c r="C482" t="s">
        <v>5250</v>
      </c>
      <c r="E482">
        <v>29980000</v>
      </c>
      <c r="F482">
        <v>266434945407</v>
      </c>
    </row>
    <row r="483" spans="1:6" x14ac:dyDescent="0.3">
      <c r="A483">
        <v>17</v>
      </c>
      <c r="B483" t="s">
        <v>2836</v>
      </c>
      <c r="C483" t="s">
        <v>5250</v>
      </c>
      <c r="E483">
        <v>29980000</v>
      </c>
      <c r="F483">
        <v>266404965407</v>
      </c>
    </row>
    <row r="484" spans="1:6" x14ac:dyDescent="0.3">
      <c r="A484">
        <v>17</v>
      </c>
      <c r="B484" t="s">
        <v>2049</v>
      </c>
      <c r="C484" t="s">
        <v>6849</v>
      </c>
      <c r="E484">
        <v>100522728</v>
      </c>
      <c r="F484">
        <v>266374985407</v>
      </c>
    </row>
    <row r="485" spans="1:6" x14ac:dyDescent="0.3">
      <c r="A485">
        <v>17</v>
      </c>
      <c r="B485" t="s">
        <v>2049</v>
      </c>
      <c r="C485" t="s">
        <v>5955</v>
      </c>
      <c r="E485">
        <v>198881820</v>
      </c>
      <c r="F485">
        <v>266274462679</v>
      </c>
    </row>
    <row r="486" spans="1:6" x14ac:dyDescent="0.3">
      <c r="A486">
        <v>17</v>
      </c>
      <c r="B486" t="s">
        <v>2820</v>
      </c>
      <c r="C486" t="s">
        <v>6658</v>
      </c>
      <c r="E486">
        <v>22120910</v>
      </c>
      <c r="F486">
        <v>266075580859</v>
      </c>
    </row>
    <row r="487" spans="1:6" x14ac:dyDescent="0.3">
      <c r="A487">
        <v>17</v>
      </c>
      <c r="B487" t="s">
        <v>2041</v>
      </c>
      <c r="C487" t="s">
        <v>6848</v>
      </c>
      <c r="E487">
        <v>51818181</v>
      </c>
      <c r="F487">
        <v>266053459949</v>
      </c>
    </row>
    <row r="488" spans="1:6" x14ac:dyDescent="0.3">
      <c r="A488">
        <v>17</v>
      </c>
      <c r="B488" t="s">
        <v>2041</v>
      </c>
      <c r="C488" t="s">
        <v>6847</v>
      </c>
      <c r="E488">
        <v>51818181</v>
      </c>
      <c r="F488">
        <v>266001641768</v>
      </c>
    </row>
    <row r="489" spans="1:6" x14ac:dyDescent="0.3">
      <c r="A489">
        <v>17</v>
      </c>
      <c r="B489" t="s">
        <v>2039</v>
      </c>
      <c r="C489" t="s">
        <v>3752</v>
      </c>
      <c r="E489">
        <v>41818182</v>
      </c>
      <c r="F489">
        <v>265949823587</v>
      </c>
    </row>
    <row r="490" spans="1:6" x14ac:dyDescent="0.3">
      <c r="A490">
        <v>17</v>
      </c>
      <c r="B490" t="s">
        <v>2037</v>
      </c>
      <c r="C490" t="s">
        <v>6846</v>
      </c>
      <c r="E490">
        <v>37000000</v>
      </c>
      <c r="F490">
        <v>265908005405</v>
      </c>
    </row>
    <row r="491" spans="1:6" x14ac:dyDescent="0.3">
      <c r="A491">
        <v>17</v>
      </c>
      <c r="B491" t="s">
        <v>2032</v>
      </c>
      <c r="C491" t="s">
        <v>6845</v>
      </c>
      <c r="E491">
        <v>36090909</v>
      </c>
      <c r="F491">
        <v>265871005405</v>
      </c>
    </row>
    <row r="492" spans="1:6" x14ac:dyDescent="0.3">
      <c r="A492">
        <v>17</v>
      </c>
      <c r="B492" t="s">
        <v>2836</v>
      </c>
      <c r="C492" t="s">
        <v>3674</v>
      </c>
      <c r="E492">
        <v>31363636</v>
      </c>
      <c r="F492">
        <v>265834914496</v>
      </c>
    </row>
    <row r="493" spans="1:6" x14ac:dyDescent="0.3">
      <c r="A493">
        <v>17</v>
      </c>
      <c r="B493" t="s">
        <v>2039</v>
      </c>
      <c r="C493" t="s">
        <v>6844</v>
      </c>
      <c r="E493">
        <v>39090909</v>
      </c>
      <c r="F493">
        <v>265803550860</v>
      </c>
    </row>
    <row r="494" spans="1:6" x14ac:dyDescent="0.3">
      <c r="A494">
        <v>17</v>
      </c>
      <c r="B494" t="s">
        <v>2039</v>
      </c>
      <c r="C494" t="s">
        <v>6843</v>
      </c>
      <c r="E494">
        <v>41300000</v>
      </c>
      <c r="F494">
        <v>265764459951</v>
      </c>
    </row>
    <row r="495" spans="1:6" x14ac:dyDescent="0.3">
      <c r="A495">
        <v>17</v>
      </c>
      <c r="B495" t="s">
        <v>2039</v>
      </c>
      <c r="C495" t="s">
        <v>6842</v>
      </c>
      <c r="E495">
        <v>43400000</v>
      </c>
      <c r="F495">
        <v>265723159951</v>
      </c>
    </row>
    <row r="496" spans="1:6" x14ac:dyDescent="0.3">
      <c r="A496">
        <v>17</v>
      </c>
      <c r="B496" t="s">
        <v>2836</v>
      </c>
      <c r="C496" t="s">
        <v>6841</v>
      </c>
      <c r="E496">
        <v>31000000</v>
      </c>
      <c r="F496">
        <v>265679759951</v>
      </c>
    </row>
    <row r="497" spans="1:6" x14ac:dyDescent="0.3">
      <c r="A497">
        <v>17</v>
      </c>
      <c r="B497" t="s">
        <v>2836</v>
      </c>
      <c r="C497" t="s">
        <v>6840</v>
      </c>
      <c r="E497">
        <v>32000000</v>
      </c>
      <c r="F497">
        <v>265648759951</v>
      </c>
    </row>
    <row r="498" spans="1:6" x14ac:dyDescent="0.3">
      <c r="A498">
        <v>17</v>
      </c>
      <c r="B498" t="s">
        <v>2836</v>
      </c>
      <c r="C498" t="s">
        <v>6839</v>
      </c>
      <c r="E498">
        <v>31000000</v>
      </c>
      <c r="F498">
        <v>265616759951</v>
      </c>
    </row>
    <row r="499" spans="1:6" x14ac:dyDescent="0.3">
      <c r="A499">
        <v>17</v>
      </c>
      <c r="B499" t="s">
        <v>2049</v>
      </c>
      <c r="C499" t="s">
        <v>6838</v>
      </c>
      <c r="E499">
        <v>99440910</v>
      </c>
      <c r="F499">
        <v>265585759951</v>
      </c>
    </row>
    <row r="500" spans="1:6" x14ac:dyDescent="0.3">
      <c r="A500">
        <v>17</v>
      </c>
      <c r="B500" t="s">
        <v>2039</v>
      </c>
      <c r="C500" t="s">
        <v>4017</v>
      </c>
      <c r="E500">
        <v>42272727</v>
      </c>
      <c r="F500">
        <v>265486319041</v>
      </c>
    </row>
    <row r="501" spans="1:6" x14ac:dyDescent="0.3">
      <c r="A501">
        <v>17</v>
      </c>
      <c r="B501" t="s">
        <v>2039</v>
      </c>
      <c r="C501" t="s">
        <v>4017</v>
      </c>
      <c r="E501">
        <v>-42272727</v>
      </c>
      <c r="F501">
        <v>265444046314</v>
      </c>
    </row>
    <row r="502" spans="1:6" x14ac:dyDescent="0.3">
      <c r="A502">
        <v>17</v>
      </c>
      <c r="B502" t="s">
        <v>2836</v>
      </c>
      <c r="C502" t="s">
        <v>6837</v>
      </c>
      <c r="E502">
        <v>31000000</v>
      </c>
      <c r="F502">
        <v>265486319041</v>
      </c>
    </row>
    <row r="503" spans="1:6" x14ac:dyDescent="0.3">
      <c r="A503">
        <v>17</v>
      </c>
      <c r="B503" t="s">
        <v>2039</v>
      </c>
      <c r="C503" t="s">
        <v>4017</v>
      </c>
      <c r="E503">
        <v>42272727</v>
      </c>
      <c r="F503">
        <v>265455319041</v>
      </c>
    </row>
    <row r="504" spans="1:6" x14ac:dyDescent="0.3">
      <c r="A504">
        <v>17</v>
      </c>
      <c r="B504" t="s">
        <v>2039</v>
      </c>
      <c r="C504" t="s">
        <v>6836</v>
      </c>
      <c r="E504">
        <v>39500000</v>
      </c>
      <c r="F504">
        <v>265413046314</v>
      </c>
    </row>
    <row r="505" spans="1:6" x14ac:dyDescent="0.3">
      <c r="A505">
        <v>17</v>
      </c>
      <c r="B505" t="s">
        <v>2037</v>
      </c>
      <c r="C505" t="s">
        <v>6302</v>
      </c>
      <c r="E505">
        <v>37500000</v>
      </c>
      <c r="F505">
        <v>265373546314</v>
      </c>
    </row>
    <row r="506" spans="1:6" x14ac:dyDescent="0.3">
      <c r="A506">
        <v>17</v>
      </c>
      <c r="B506" t="s">
        <v>2037</v>
      </c>
      <c r="C506" t="s">
        <v>6835</v>
      </c>
      <c r="E506">
        <v>38500000</v>
      </c>
      <c r="F506">
        <v>265336046314</v>
      </c>
    </row>
    <row r="507" spans="1:6" x14ac:dyDescent="0.3">
      <c r="A507">
        <v>17</v>
      </c>
      <c r="B507" t="s">
        <v>2037</v>
      </c>
      <c r="C507" t="s">
        <v>6834</v>
      </c>
      <c r="E507">
        <v>37000000</v>
      </c>
      <c r="F507">
        <v>265297546314</v>
      </c>
    </row>
    <row r="508" spans="1:6" x14ac:dyDescent="0.3">
      <c r="A508">
        <v>17</v>
      </c>
      <c r="B508" t="s">
        <v>2037</v>
      </c>
      <c r="C508" t="s">
        <v>5250</v>
      </c>
      <c r="E508">
        <v>37000000</v>
      </c>
      <c r="F508">
        <v>265260546314</v>
      </c>
    </row>
    <row r="509" spans="1:6" x14ac:dyDescent="0.3">
      <c r="A509">
        <v>17</v>
      </c>
      <c r="B509" t="s">
        <v>2061</v>
      </c>
      <c r="C509" t="s">
        <v>6833</v>
      </c>
      <c r="E509">
        <v>144000000</v>
      </c>
      <c r="F509">
        <v>265223546314</v>
      </c>
    </row>
    <row r="510" spans="1:6" x14ac:dyDescent="0.3">
      <c r="A510">
        <v>17</v>
      </c>
      <c r="B510" t="s">
        <v>2032</v>
      </c>
      <c r="C510" t="s">
        <v>6832</v>
      </c>
      <c r="E510">
        <v>18500000</v>
      </c>
      <c r="F510">
        <v>265079546314</v>
      </c>
    </row>
    <row r="511" spans="1:6" x14ac:dyDescent="0.3">
      <c r="A511">
        <v>17</v>
      </c>
      <c r="B511" t="s">
        <v>2039</v>
      </c>
      <c r="C511" t="s">
        <v>6831</v>
      </c>
      <c r="E511">
        <v>37200000</v>
      </c>
      <c r="F511">
        <v>265061046314</v>
      </c>
    </row>
    <row r="512" spans="1:6" x14ac:dyDescent="0.3">
      <c r="A512">
        <v>17</v>
      </c>
      <c r="B512" t="s">
        <v>2037</v>
      </c>
      <c r="C512" t="s">
        <v>6790</v>
      </c>
      <c r="E512">
        <v>37000000</v>
      </c>
      <c r="F512">
        <v>265023846314</v>
      </c>
    </row>
    <row r="513" spans="1:6" x14ac:dyDescent="0.3">
      <c r="A513">
        <v>17</v>
      </c>
      <c r="B513" t="s">
        <v>2034</v>
      </c>
      <c r="C513" t="s">
        <v>6830</v>
      </c>
      <c r="E513">
        <v>42290909</v>
      </c>
      <c r="F513">
        <v>264986846314</v>
      </c>
    </row>
    <row r="514" spans="1:6" x14ac:dyDescent="0.3">
      <c r="A514">
        <v>17</v>
      </c>
      <c r="B514" t="s">
        <v>2028</v>
      </c>
      <c r="C514" t="s">
        <v>6829</v>
      </c>
      <c r="E514">
        <v>14727273</v>
      </c>
      <c r="F514">
        <v>264944555405</v>
      </c>
    </row>
    <row r="515" spans="1:6" x14ac:dyDescent="0.3">
      <c r="A515">
        <v>17</v>
      </c>
      <c r="B515" t="s">
        <v>2041</v>
      </c>
      <c r="C515" t="s">
        <v>6828</v>
      </c>
      <c r="E515">
        <v>52000000</v>
      </c>
      <c r="F515">
        <v>264929828132</v>
      </c>
    </row>
    <row r="516" spans="1:6" x14ac:dyDescent="0.3">
      <c r="A516">
        <v>17</v>
      </c>
      <c r="B516" t="s">
        <v>2041</v>
      </c>
      <c r="C516" t="s">
        <v>6827</v>
      </c>
      <c r="E516">
        <v>53000000</v>
      </c>
      <c r="F516">
        <v>264877828132</v>
      </c>
    </row>
    <row r="517" spans="1:6" x14ac:dyDescent="0.3">
      <c r="A517">
        <v>17</v>
      </c>
      <c r="B517" t="s">
        <v>2041</v>
      </c>
      <c r="C517" t="s">
        <v>6469</v>
      </c>
      <c r="E517">
        <v>52000000</v>
      </c>
      <c r="F517">
        <v>264824828132</v>
      </c>
    </row>
    <row r="518" spans="1:6" x14ac:dyDescent="0.3">
      <c r="A518">
        <v>17</v>
      </c>
      <c r="B518" t="s">
        <v>2037</v>
      </c>
      <c r="C518" t="s">
        <v>3913</v>
      </c>
      <c r="E518">
        <v>38500000</v>
      </c>
      <c r="F518">
        <v>264772828132</v>
      </c>
    </row>
    <row r="519" spans="1:6" x14ac:dyDescent="0.3">
      <c r="A519">
        <v>17</v>
      </c>
      <c r="B519" t="s">
        <v>2054</v>
      </c>
      <c r="C519" t="s">
        <v>6194</v>
      </c>
      <c r="E519">
        <v>14272727</v>
      </c>
      <c r="F519">
        <v>264734328132</v>
      </c>
    </row>
    <row r="520" spans="1:6" x14ac:dyDescent="0.3">
      <c r="A520">
        <v>17</v>
      </c>
      <c r="B520" t="s">
        <v>2054</v>
      </c>
      <c r="C520" t="s">
        <v>6826</v>
      </c>
      <c r="E520">
        <v>13818182</v>
      </c>
      <c r="F520">
        <v>264720055405</v>
      </c>
    </row>
    <row r="521" spans="1:6" x14ac:dyDescent="0.3">
      <c r="A521">
        <v>17</v>
      </c>
      <c r="B521" t="s">
        <v>2039</v>
      </c>
      <c r="C521" t="s">
        <v>6825</v>
      </c>
      <c r="E521">
        <v>40500000</v>
      </c>
      <c r="F521">
        <v>264706237223</v>
      </c>
    </row>
    <row r="522" spans="1:6" x14ac:dyDescent="0.3">
      <c r="A522">
        <v>17</v>
      </c>
      <c r="B522" t="s">
        <v>2836</v>
      </c>
      <c r="C522" t="s">
        <v>6824</v>
      </c>
      <c r="E522">
        <v>31500000</v>
      </c>
      <c r="F522">
        <v>264665737223</v>
      </c>
    </row>
    <row r="523" spans="1:6" x14ac:dyDescent="0.3">
      <c r="A523">
        <v>17</v>
      </c>
      <c r="B523" t="s">
        <v>2037</v>
      </c>
      <c r="C523" t="s">
        <v>6489</v>
      </c>
      <c r="E523">
        <v>38181818</v>
      </c>
      <c r="F523">
        <v>264634237223</v>
      </c>
    </row>
    <row r="524" spans="1:6" x14ac:dyDescent="0.3">
      <c r="A524">
        <v>17</v>
      </c>
      <c r="B524" t="s">
        <v>2039</v>
      </c>
      <c r="C524" t="s">
        <v>4373</v>
      </c>
      <c r="E524">
        <v>43500000</v>
      </c>
      <c r="F524">
        <v>264596055405</v>
      </c>
    </row>
    <row r="525" spans="1:6" x14ac:dyDescent="0.3">
      <c r="A525">
        <v>17</v>
      </c>
      <c r="B525" t="s">
        <v>2041</v>
      </c>
      <c r="C525" t="s">
        <v>6823</v>
      </c>
      <c r="E525">
        <v>51818182</v>
      </c>
      <c r="F525">
        <v>264552555405</v>
      </c>
    </row>
    <row r="526" spans="1:6" x14ac:dyDescent="0.3">
      <c r="A526">
        <v>17</v>
      </c>
      <c r="B526" t="s">
        <v>2048</v>
      </c>
      <c r="C526" t="s">
        <v>6822</v>
      </c>
      <c r="E526">
        <v>45300000</v>
      </c>
      <c r="F526">
        <v>264500737223</v>
      </c>
    </row>
    <row r="527" spans="1:6" x14ac:dyDescent="0.3">
      <c r="A527">
        <v>17</v>
      </c>
      <c r="B527" t="s">
        <v>2055</v>
      </c>
      <c r="C527" t="s">
        <v>6821</v>
      </c>
      <c r="E527">
        <v>61818182</v>
      </c>
      <c r="F527">
        <v>264455437223</v>
      </c>
    </row>
    <row r="528" spans="1:6" x14ac:dyDescent="0.3">
      <c r="A528">
        <v>17</v>
      </c>
      <c r="B528" t="s">
        <v>2037</v>
      </c>
      <c r="C528" t="s">
        <v>5823</v>
      </c>
      <c r="E528">
        <v>38000000</v>
      </c>
      <c r="F528">
        <v>264393619041</v>
      </c>
    </row>
    <row r="529" spans="1:6" x14ac:dyDescent="0.3">
      <c r="A529">
        <v>17</v>
      </c>
      <c r="B529" t="s">
        <v>2040</v>
      </c>
      <c r="C529" t="s">
        <v>6820</v>
      </c>
      <c r="E529">
        <v>41500000</v>
      </c>
      <c r="F529">
        <v>264355619041</v>
      </c>
    </row>
    <row r="530" spans="1:6" x14ac:dyDescent="0.3">
      <c r="A530">
        <v>17</v>
      </c>
      <c r="B530" t="s">
        <v>2037</v>
      </c>
      <c r="C530" t="s">
        <v>6819</v>
      </c>
      <c r="E530">
        <v>36500000</v>
      </c>
      <c r="F530">
        <v>264314119041</v>
      </c>
    </row>
    <row r="531" spans="1:6" x14ac:dyDescent="0.3">
      <c r="A531">
        <v>17</v>
      </c>
      <c r="B531" t="s">
        <v>7358</v>
      </c>
      <c r="C531" t="s">
        <v>4730</v>
      </c>
      <c r="E531">
        <v>18373000</v>
      </c>
      <c r="F531">
        <v>264277619041</v>
      </c>
    </row>
    <row r="532" spans="1:6" x14ac:dyDescent="0.3">
      <c r="A532">
        <v>17</v>
      </c>
      <c r="B532" t="s">
        <v>2032</v>
      </c>
      <c r="C532" t="s">
        <v>6472</v>
      </c>
      <c r="E532">
        <v>18373000</v>
      </c>
      <c r="F532">
        <v>264259246041</v>
      </c>
    </row>
    <row r="533" spans="1:6" x14ac:dyDescent="0.3">
      <c r="A533">
        <v>17</v>
      </c>
      <c r="B533" t="s">
        <v>2032</v>
      </c>
      <c r="C533" t="s">
        <v>6818</v>
      </c>
      <c r="E533">
        <v>35300000</v>
      </c>
      <c r="F533">
        <v>264240873041</v>
      </c>
    </row>
    <row r="534" spans="1:6" x14ac:dyDescent="0.3">
      <c r="A534">
        <v>17</v>
      </c>
      <c r="B534" t="s">
        <v>2037</v>
      </c>
      <c r="C534" t="s">
        <v>6817</v>
      </c>
      <c r="E534">
        <v>38000000</v>
      </c>
      <c r="F534">
        <v>264205573041</v>
      </c>
    </row>
    <row r="535" spans="1:6" x14ac:dyDescent="0.3">
      <c r="A535">
        <v>17</v>
      </c>
      <c r="B535" t="s">
        <v>2037</v>
      </c>
      <c r="C535" t="s">
        <v>6816</v>
      </c>
      <c r="E535">
        <v>39090909</v>
      </c>
      <c r="F535">
        <v>264167573041</v>
      </c>
    </row>
    <row r="536" spans="1:6" x14ac:dyDescent="0.3">
      <c r="A536">
        <v>17</v>
      </c>
      <c r="B536" t="s">
        <v>2039</v>
      </c>
      <c r="C536" t="s">
        <v>6815</v>
      </c>
      <c r="E536">
        <v>39500000</v>
      </c>
      <c r="F536">
        <v>264128482132</v>
      </c>
    </row>
    <row r="537" spans="1:6" x14ac:dyDescent="0.3">
      <c r="A537">
        <v>17</v>
      </c>
      <c r="B537" t="s">
        <v>2039</v>
      </c>
      <c r="C537" t="s">
        <v>6814</v>
      </c>
      <c r="E537">
        <v>41140909</v>
      </c>
      <c r="F537">
        <v>264088982132</v>
      </c>
    </row>
    <row r="538" spans="1:6" x14ac:dyDescent="0.3">
      <c r="A538">
        <v>17</v>
      </c>
      <c r="B538" t="s">
        <v>2063</v>
      </c>
      <c r="C538" t="s">
        <v>6813</v>
      </c>
      <c r="E538">
        <v>161600000</v>
      </c>
      <c r="F538">
        <v>264047841223</v>
      </c>
    </row>
    <row r="539" spans="1:6" x14ac:dyDescent="0.3">
      <c r="A539">
        <v>17</v>
      </c>
      <c r="B539" t="s">
        <v>7368</v>
      </c>
      <c r="C539" t="s">
        <v>6291</v>
      </c>
      <c r="E539">
        <v>89906684</v>
      </c>
      <c r="F539">
        <v>263886241223</v>
      </c>
    </row>
    <row r="540" spans="1:6" x14ac:dyDescent="0.3">
      <c r="A540">
        <v>17</v>
      </c>
      <c r="B540" t="s">
        <v>7311</v>
      </c>
      <c r="C540" t="s">
        <v>6291</v>
      </c>
      <c r="E540">
        <v>16097844</v>
      </c>
    </row>
    <row r="541" spans="1:6" x14ac:dyDescent="0.3">
      <c r="A541">
        <v>17</v>
      </c>
      <c r="B541" t="s">
        <v>2882</v>
      </c>
      <c r="C541" t="s">
        <v>5996</v>
      </c>
      <c r="E541">
        <v>8636363</v>
      </c>
      <c r="F541">
        <v>263780236695</v>
      </c>
    </row>
    <row r="542" spans="1:6" x14ac:dyDescent="0.3">
      <c r="A542">
        <v>17</v>
      </c>
      <c r="B542" t="s">
        <v>2043</v>
      </c>
      <c r="C542" t="s">
        <v>6812</v>
      </c>
      <c r="E542">
        <v>53636363</v>
      </c>
      <c r="F542">
        <v>263771600332</v>
      </c>
    </row>
    <row r="543" spans="1:6" x14ac:dyDescent="0.3">
      <c r="A543">
        <v>17</v>
      </c>
      <c r="B543" t="s">
        <v>2041</v>
      </c>
      <c r="C543" t="s">
        <v>6811</v>
      </c>
      <c r="E543">
        <v>51818182</v>
      </c>
      <c r="F543">
        <v>263717963969</v>
      </c>
    </row>
    <row r="544" spans="1:6" x14ac:dyDescent="0.3">
      <c r="A544">
        <v>17</v>
      </c>
      <c r="B544" t="s">
        <v>2041</v>
      </c>
      <c r="C544" t="s">
        <v>6810</v>
      </c>
      <c r="E544">
        <v>51818182</v>
      </c>
      <c r="F544">
        <v>263666145787</v>
      </c>
    </row>
    <row r="545" spans="1:6" x14ac:dyDescent="0.3">
      <c r="A545">
        <v>17</v>
      </c>
      <c r="B545" t="s">
        <v>2037</v>
      </c>
      <c r="C545" t="s">
        <v>6809</v>
      </c>
      <c r="E545">
        <v>38000000</v>
      </c>
      <c r="F545">
        <v>263614327605</v>
      </c>
    </row>
    <row r="546" spans="1:6" x14ac:dyDescent="0.3">
      <c r="A546">
        <v>17</v>
      </c>
      <c r="B546" t="s">
        <v>2836</v>
      </c>
      <c r="C546" t="s">
        <v>6808</v>
      </c>
      <c r="E546">
        <v>30713000</v>
      </c>
      <c r="F546">
        <v>263576327605</v>
      </c>
    </row>
    <row r="547" spans="1:6" x14ac:dyDescent="0.3">
      <c r="A547">
        <v>17</v>
      </c>
      <c r="B547" t="s">
        <v>2032</v>
      </c>
      <c r="C547" t="s">
        <v>6807</v>
      </c>
      <c r="E547">
        <v>35909091</v>
      </c>
      <c r="F547">
        <v>263545614605</v>
      </c>
    </row>
    <row r="548" spans="1:6" x14ac:dyDescent="0.3">
      <c r="A548">
        <v>17</v>
      </c>
      <c r="B548" t="s">
        <v>2054</v>
      </c>
      <c r="C548" t="s">
        <v>6806</v>
      </c>
      <c r="E548">
        <v>14000000</v>
      </c>
      <c r="F548">
        <v>263509705514</v>
      </c>
    </row>
    <row r="549" spans="1:6" x14ac:dyDescent="0.3">
      <c r="A549">
        <v>17</v>
      </c>
      <c r="B549" t="s">
        <v>2037</v>
      </c>
      <c r="C549" t="s">
        <v>5307</v>
      </c>
      <c r="E549">
        <v>37000000</v>
      </c>
      <c r="F549">
        <v>263495705514</v>
      </c>
    </row>
    <row r="550" spans="1:6" x14ac:dyDescent="0.3">
      <c r="A550">
        <v>17</v>
      </c>
      <c r="B550" t="s">
        <v>2037</v>
      </c>
      <c r="C550" t="s">
        <v>6805</v>
      </c>
      <c r="E550">
        <v>37000000</v>
      </c>
      <c r="F550">
        <v>263458705514</v>
      </c>
    </row>
    <row r="551" spans="1:6" x14ac:dyDescent="0.3">
      <c r="A551">
        <v>17</v>
      </c>
      <c r="B551" t="s">
        <v>2041</v>
      </c>
      <c r="C551" t="s">
        <v>6804</v>
      </c>
      <c r="E551">
        <v>52500000</v>
      </c>
      <c r="F551">
        <v>263421705514</v>
      </c>
    </row>
    <row r="552" spans="1:6" x14ac:dyDescent="0.3">
      <c r="A552">
        <v>17</v>
      </c>
      <c r="B552" t="s">
        <v>2037</v>
      </c>
      <c r="C552" t="s">
        <v>6803</v>
      </c>
      <c r="E552">
        <v>38400000</v>
      </c>
      <c r="F552">
        <v>263369205514</v>
      </c>
    </row>
    <row r="553" spans="1:6" x14ac:dyDescent="0.3">
      <c r="A553">
        <v>17</v>
      </c>
      <c r="B553" t="s">
        <v>2039</v>
      </c>
      <c r="C553" t="s">
        <v>6802</v>
      </c>
      <c r="E553">
        <v>43636363</v>
      </c>
      <c r="F553">
        <v>263330805514</v>
      </c>
    </row>
    <row r="554" spans="1:6" x14ac:dyDescent="0.3">
      <c r="A554">
        <v>17</v>
      </c>
      <c r="B554" t="s">
        <v>2039</v>
      </c>
      <c r="C554" t="s">
        <v>6801</v>
      </c>
      <c r="E554">
        <v>41600000</v>
      </c>
      <c r="F554">
        <v>263287169151</v>
      </c>
    </row>
    <row r="555" spans="1:6" x14ac:dyDescent="0.3">
      <c r="A555">
        <v>17</v>
      </c>
      <c r="B555" t="s">
        <v>2836</v>
      </c>
      <c r="C555" t="s">
        <v>5823</v>
      </c>
      <c r="E555">
        <v>31000000</v>
      </c>
      <c r="F555">
        <v>263245569151</v>
      </c>
    </row>
    <row r="556" spans="1:6" x14ac:dyDescent="0.3">
      <c r="A556">
        <v>17</v>
      </c>
      <c r="B556" t="s">
        <v>2032</v>
      </c>
      <c r="C556" t="s">
        <v>3733</v>
      </c>
      <c r="E556">
        <v>36363636</v>
      </c>
      <c r="F556">
        <v>263214569151</v>
      </c>
    </row>
    <row r="557" spans="1:6" x14ac:dyDescent="0.3">
      <c r="A557">
        <v>17</v>
      </c>
      <c r="B557" t="s">
        <v>2039</v>
      </c>
      <c r="C557" t="s">
        <v>4246</v>
      </c>
      <c r="E557">
        <v>19873000</v>
      </c>
      <c r="F557">
        <v>263178205515</v>
      </c>
    </row>
    <row r="558" spans="1:6" x14ac:dyDescent="0.3">
      <c r="A558">
        <v>17</v>
      </c>
      <c r="B558" t="s">
        <v>2060</v>
      </c>
      <c r="C558" t="s">
        <v>6800</v>
      </c>
      <c r="E558">
        <v>167000000</v>
      </c>
      <c r="F558">
        <v>263158332515</v>
      </c>
    </row>
    <row r="559" spans="1:6" x14ac:dyDescent="0.3">
      <c r="A559">
        <v>17</v>
      </c>
      <c r="B559" t="s">
        <v>2028</v>
      </c>
      <c r="C559" t="s">
        <v>6799</v>
      </c>
      <c r="E559">
        <v>15000000</v>
      </c>
      <c r="F559">
        <v>262991332515</v>
      </c>
    </row>
    <row r="560" spans="1:6" x14ac:dyDescent="0.3">
      <c r="A560">
        <v>17</v>
      </c>
      <c r="B560" t="s">
        <v>2061</v>
      </c>
      <c r="C560" t="s">
        <v>6798</v>
      </c>
      <c r="E560">
        <v>147600000</v>
      </c>
      <c r="F560">
        <v>262976332515</v>
      </c>
    </row>
    <row r="561" spans="1:6" x14ac:dyDescent="0.3">
      <c r="A561">
        <v>17</v>
      </c>
      <c r="B561" t="s">
        <v>2039</v>
      </c>
      <c r="C561" t="s">
        <v>6797</v>
      </c>
      <c r="E561">
        <v>44545455</v>
      </c>
      <c r="F561">
        <v>262828732515</v>
      </c>
    </row>
    <row r="562" spans="1:6" x14ac:dyDescent="0.3">
      <c r="A562">
        <v>17</v>
      </c>
      <c r="B562" t="s">
        <v>2037</v>
      </c>
      <c r="C562" t="s">
        <v>6796</v>
      </c>
      <c r="E562">
        <v>38000000</v>
      </c>
      <c r="F562">
        <v>262784187060</v>
      </c>
    </row>
    <row r="563" spans="1:6" x14ac:dyDescent="0.3">
      <c r="A563">
        <v>17</v>
      </c>
      <c r="B563" t="s">
        <v>2037</v>
      </c>
      <c r="C563" t="s">
        <v>4932</v>
      </c>
      <c r="E563">
        <v>35800000</v>
      </c>
      <c r="F563">
        <v>262746187060</v>
      </c>
    </row>
    <row r="564" spans="1:6" x14ac:dyDescent="0.3">
      <c r="A564">
        <v>17</v>
      </c>
      <c r="B564" t="s">
        <v>2037</v>
      </c>
      <c r="C564" t="s">
        <v>4932</v>
      </c>
      <c r="E564">
        <v>35800000</v>
      </c>
      <c r="F564">
        <v>262710387060</v>
      </c>
    </row>
    <row r="565" spans="1:6" x14ac:dyDescent="0.3">
      <c r="A565">
        <v>17</v>
      </c>
      <c r="B565" t="s">
        <v>2037</v>
      </c>
      <c r="C565" t="s">
        <v>6795</v>
      </c>
      <c r="E565">
        <v>37000000</v>
      </c>
      <c r="F565">
        <v>262674587060</v>
      </c>
    </row>
    <row r="566" spans="1:6" x14ac:dyDescent="0.3">
      <c r="A566">
        <v>17</v>
      </c>
      <c r="B566" t="s">
        <v>2836</v>
      </c>
      <c r="C566" t="s">
        <v>5126</v>
      </c>
      <c r="E566">
        <v>31454545</v>
      </c>
      <c r="F566">
        <v>262637587060</v>
      </c>
    </row>
    <row r="567" spans="1:6" x14ac:dyDescent="0.3">
      <c r="A567">
        <v>17</v>
      </c>
      <c r="B567" t="s">
        <v>2836</v>
      </c>
      <c r="C567" t="s">
        <v>5027</v>
      </c>
      <c r="E567">
        <v>32500000</v>
      </c>
      <c r="F567">
        <v>262606132515</v>
      </c>
    </row>
    <row r="568" spans="1:6" x14ac:dyDescent="0.3">
      <c r="A568">
        <v>17</v>
      </c>
      <c r="B568" t="s">
        <v>2037</v>
      </c>
      <c r="C568" t="s">
        <v>5295</v>
      </c>
      <c r="E568">
        <v>39500000</v>
      </c>
      <c r="F568">
        <v>262573632515</v>
      </c>
    </row>
    <row r="569" spans="1:6" x14ac:dyDescent="0.3">
      <c r="A569">
        <v>17</v>
      </c>
      <c r="B569" t="s">
        <v>2836</v>
      </c>
      <c r="C569" t="s">
        <v>6794</v>
      </c>
      <c r="E569">
        <v>31000000</v>
      </c>
      <c r="F569">
        <v>262534132515</v>
      </c>
    </row>
    <row r="570" spans="1:6" x14ac:dyDescent="0.3">
      <c r="A570">
        <v>17</v>
      </c>
      <c r="B570" t="s">
        <v>2028</v>
      </c>
      <c r="C570" t="s">
        <v>6793</v>
      </c>
      <c r="E570">
        <v>14500000</v>
      </c>
      <c r="F570">
        <v>262503132515</v>
      </c>
    </row>
    <row r="571" spans="1:6" x14ac:dyDescent="0.3">
      <c r="A571">
        <v>17</v>
      </c>
      <c r="B571" t="s">
        <v>2028</v>
      </c>
      <c r="C571" t="s">
        <v>4663</v>
      </c>
      <c r="E571">
        <v>14500000</v>
      </c>
      <c r="F571">
        <v>262488632515</v>
      </c>
    </row>
    <row r="572" spans="1:6" x14ac:dyDescent="0.3">
      <c r="A572">
        <v>17</v>
      </c>
      <c r="B572" t="s">
        <v>2037</v>
      </c>
      <c r="C572" t="s">
        <v>6792</v>
      </c>
      <c r="E572">
        <v>37000000</v>
      </c>
      <c r="F572">
        <v>262474132515</v>
      </c>
    </row>
    <row r="573" spans="1:6" x14ac:dyDescent="0.3">
      <c r="A573">
        <v>17</v>
      </c>
      <c r="B573" t="s">
        <v>2037</v>
      </c>
      <c r="C573" t="s">
        <v>6791</v>
      </c>
      <c r="E573">
        <v>37000000</v>
      </c>
      <c r="F573">
        <v>262437132515</v>
      </c>
    </row>
    <row r="574" spans="1:6" x14ac:dyDescent="0.3">
      <c r="A574">
        <v>17</v>
      </c>
      <c r="B574" t="s">
        <v>2055</v>
      </c>
      <c r="C574" t="s">
        <v>5610</v>
      </c>
      <c r="E574">
        <v>60500000</v>
      </c>
      <c r="F574">
        <v>262400132515</v>
      </c>
    </row>
    <row r="575" spans="1:6" x14ac:dyDescent="0.3">
      <c r="A575">
        <v>17</v>
      </c>
      <c r="B575" t="s">
        <v>2038</v>
      </c>
      <c r="C575" t="s">
        <v>6790</v>
      </c>
      <c r="E575">
        <v>37800000</v>
      </c>
      <c r="F575">
        <v>262339632515</v>
      </c>
    </row>
    <row r="576" spans="1:6" x14ac:dyDescent="0.3">
      <c r="A576">
        <v>17</v>
      </c>
      <c r="B576" t="s">
        <v>2037</v>
      </c>
      <c r="C576" t="s">
        <v>6789</v>
      </c>
      <c r="E576">
        <v>37000000</v>
      </c>
      <c r="F576">
        <v>262301832515</v>
      </c>
    </row>
    <row r="577" spans="1:6" x14ac:dyDescent="0.3">
      <c r="A577">
        <v>17</v>
      </c>
      <c r="B577" t="s">
        <v>7365</v>
      </c>
      <c r="C577" t="s">
        <v>6788</v>
      </c>
      <c r="E577">
        <v>20662000</v>
      </c>
      <c r="F577">
        <v>262264832515</v>
      </c>
    </row>
    <row r="578" spans="1:6" x14ac:dyDescent="0.3">
      <c r="A578">
        <v>17</v>
      </c>
      <c r="B578" t="s">
        <v>2028</v>
      </c>
      <c r="C578" t="s">
        <v>6787</v>
      </c>
      <c r="E578">
        <v>14145455</v>
      </c>
      <c r="F578">
        <v>262244170515</v>
      </c>
    </row>
    <row r="579" spans="1:6" x14ac:dyDescent="0.3">
      <c r="A579">
        <v>17</v>
      </c>
      <c r="B579" t="s">
        <v>2037</v>
      </c>
      <c r="C579" t="s">
        <v>6786</v>
      </c>
      <c r="E579">
        <v>37000000</v>
      </c>
      <c r="F579">
        <v>262230025060</v>
      </c>
    </row>
    <row r="580" spans="1:6" x14ac:dyDescent="0.3">
      <c r="A580">
        <v>17</v>
      </c>
      <c r="B580" t="s">
        <v>2878</v>
      </c>
      <c r="C580" t="s">
        <v>5250</v>
      </c>
      <c r="E580">
        <v>41842100</v>
      </c>
      <c r="F580">
        <v>262193025060</v>
      </c>
    </row>
    <row r="581" spans="1:6" x14ac:dyDescent="0.3">
      <c r="A581">
        <v>17</v>
      </c>
      <c r="B581" t="s">
        <v>2878</v>
      </c>
      <c r="C581" t="s">
        <v>5250</v>
      </c>
      <c r="E581">
        <v>41842100</v>
      </c>
      <c r="F581">
        <v>262151182960</v>
      </c>
    </row>
    <row r="582" spans="1:6" x14ac:dyDescent="0.3">
      <c r="A582">
        <v>17</v>
      </c>
      <c r="B582" t="s">
        <v>2878</v>
      </c>
      <c r="C582" t="s">
        <v>5250</v>
      </c>
      <c r="E582">
        <v>41842100</v>
      </c>
      <c r="F582">
        <v>262109340860</v>
      </c>
    </row>
    <row r="583" spans="1:6" x14ac:dyDescent="0.3">
      <c r="A583">
        <v>17</v>
      </c>
      <c r="B583" t="s">
        <v>2878</v>
      </c>
      <c r="C583" t="s">
        <v>5250</v>
      </c>
      <c r="E583">
        <v>41842100</v>
      </c>
      <c r="F583">
        <v>262067498760</v>
      </c>
    </row>
    <row r="584" spans="1:6" x14ac:dyDescent="0.3">
      <c r="A584">
        <v>17</v>
      </c>
      <c r="B584" t="s">
        <v>2878</v>
      </c>
      <c r="C584" t="s">
        <v>5250</v>
      </c>
      <c r="E584">
        <v>41842100</v>
      </c>
      <c r="F584">
        <v>262025656660</v>
      </c>
    </row>
    <row r="585" spans="1:6" x14ac:dyDescent="0.3">
      <c r="A585">
        <v>17</v>
      </c>
      <c r="B585" t="s">
        <v>2878</v>
      </c>
      <c r="C585" t="s">
        <v>5250</v>
      </c>
      <c r="E585">
        <v>41842100</v>
      </c>
      <c r="F585">
        <v>261983814560</v>
      </c>
    </row>
    <row r="586" spans="1:6" x14ac:dyDescent="0.3">
      <c r="A586">
        <v>17</v>
      </c>
      <c r="B586" t="s">
        <v>2878</v>
      </c>
      <c r="C586" t="s">
        <v>5250</v>
      </c>
      <c r="E586">
        <v>41842100</v>
      </c>
      <c r="F586">
        <v>261941972460</v>
      </c>
    </row>
    <row r="587" spans="1:6" x14ac:dyDescent="0.3">
      <c r="A587">
        <v>17</v>
      </c>
      <c r="B587" t="s">
        <v>2878</v>
      </c>
      <c r="C587" t="s">
        <v>5250</v>
      </c>
      <c r="E587">
        <v>41842100</v>
      </c>
      <c r="F587">
        <v>261900130360</v>
      </c>
    </row>
    <row r="588" spans="1:6" x14ac:dyDescent="0.3">
      <c r="A588">
        <v>17</v>
      </c>
      <c r="B588" t="s">
        <v>2878</v>
      </c>
      <c r="C588" t="s">
        <v>5250</v>
      </c>
      <c r="E588">
        <v>41842100</v>
      </c>
      <c r="F588">
        <v>261858288260</v>
      </c>
    </row>
    <row r="589" spans="1:6" x14ac:dyDescent="0.3">
      <c r="A589">
        <v>17</v>
      </c>
      <c r="B589" t="s">
        <v>2878</v>
      </c>
      <c r="C589" t="s">
        <v>5250</v>
      </c>
      <c r="E589">
        <v>41842100</v>
      </c>
      <c r="F589">
        <v>261816446160</v>
      </c>
    </row>
    <row r="590" spans="1:6" x14ac:dyDescent="0.3">
      <c r="A590">
        <v>17</v>
      </c>
      <c r="B590" t="s">
        <v>2878</v>
      </c>
      <c r="C590" t="s">
        <v>5250</v>
      </c>
      <c r="E590">
        <v>41842100</v>
      </c>
      <c r="F590">
        <v>261774604060</v>
      </c>
    </row>
    <row r="591" spans="1:6" x14ac:dyDescent="0.3">
      <c r="A591">
        <v>17</v>
      </c>
      <c r="B591" t="s">
        <v>2878</v>
      </c>
      <c r="C591" t="s">
        <v>5250</v>
      </c>
      <c r="E591">
        <v>41842100</v>
      </c>
      <c r="F591">
        <v>261732761960</v>
      </c>
    </row>
    <row r="592" spans="1:6" x14ac:dyDescent="0.3">
      <c r="A592">
        <v>17</v>
      </c>
      <c r="B592" t="s">
        <v>2878</v>
      </c>
      <c r="C592" t="s">
        <v>5250</v>
      </c>
      <c r="E592">
        <v>41842100</v>
      </c>
      <c r="F592">
        <v>261690919860</v>
      </c>
    </row>
    <row r="593" spans="1:6" x14ac:dyDescent="0.3">
      <c r="A593">
        <v>17</v>
      </c>
      <c r="B593" t="s">
        <v>2878</v>
      </c>
      <c r="C593" t="s">
        <v>5250</v>
      </c>
      <c r="E593">
        <v>41842100</v>
      </c>
      <c r="F593">
        <v>261649077760</v>
      </c>
    </row>
    <row r="594" spans="1:6" x14ac:dyDescent="0.3">
      <c r="A594">
        <v>17</v>
      </c>
      <c r="B594" t="s">
        <v>2878</v>
      </c>
      <c r="C594" t="s">
        <v>5250</v>
      </c>
      <c r="E594">
        <v>41842100</v>
      </c>
      <c r="F594">
        <v>261607235660</v>
      </c>
    </row>
    <row r="595" spans="1:6" x14ac:dyDescent="0.3">
      <c r="A595">
        <v>17</v>
      </c>
      <c r="B595" t="s">
        <v>2055</v>
      </c>
      <c r="C595" t="s">
        <v>5760</v>
      </c>
      <c r="E595">
        <v>58000000</v>
      </c>
      <c r="F595">
        <v>261565393560</v>
      </c>
    </row>
    <row r="596" spans="1:6" x14ac:dyDescent="0.3">
      <c r="A596">
        <v>17</v>
      </c>
      <c r="B596" t="s">
        <v>2055</v>
      </c>
      <c r="C596" t="s">
        <v>6785</v>
      </c>
      <c r="E596">
        <v>58000000</v>
      </c>
      <c r="F596">
        <v>261507393560</v>
      </c>
    </row>
    <row r="597" spans="1:6" x14ac:dyDescent="0.3">
      <c r="A597">
        <v>17</v>
      </c>
      <c r="B597" t="s">
        <v>2039</v>
      </c>
      <c r="C597" t="s">
        <v>6784</v>
      </c>
      <c r="E597">
        <v>39090909</v>
      </c>
      <c r="F597">
        <v>261449393560</v>
      </c>
    </row>
    <row r="598" spans="1:6" x14ac:dyDescent="0.3">
      <c r="A598">
        <v>17</v>
      </c>
      <c r="B598" t="s">
        <v>2037</v>
      </c>
      <c r="C598" t="s">
        <v>6783</v>
      </c>
      <c r="E598">
        <v>36500000</v>
      </c>
      <c r="F598">
        <v>261410302651</v>
      </c>
    </row>
    <row r="599" spans="1:6" x14ac:dyDescent="0.3">
      <c r="A599">
        <v>17</v>
      </c>
      <c r="B599" t="s">
        <v>2037</v>
      </c>
      <c r="C599" t="s">
        <v>6782</v>
      </c>
      <c r="E599">
        <v>37000000</v>
      </c>
      <c r="F599">
        <v>261373802651</v>
      </c>
    </row>
    <row r="600" spans="1:6" x14ac:dyDescent="0.3">
      <c r="A600">
        <v>17</v>
      </c>
      <c r="B600" t="s">
        <v>2037</v>
      </c>
      <c r="C600" t="s">
        <v>6781</v>
      </c>
      <c r="E600">
        <v>36000000</v>
      </c>
      <c r="F600">
        <v>261336802651</v>
      </c>
    </row>
    <row r="601" spans="1:6" x14ac:dyDescent="0.3">
      <c r="A601">
        <v>17</v>
      </c>
      <c r="B601" t="s">
        <v>7365</v>
      </c>
      <c r="C601" t="s">
        <v>6780</v>
      </c>
      <c r="E601">
        <v>19755000</v>
      </c>
      <c r="F601">
        <v>261300802651</v>
      </c>
    </row>
    <row r="602" spans="1:6" x14ac:dyDescent="0.3">
      <c r="A602">
        <v>17</v>
      </c>
      <c r="B602" t="s">
        <v>2055</v>
      </c>
      <c r="C602" t="s">
        <v>6779</v>
      </c>
      <c r="E602">
        <v>56818182</v>
      </c>
      <c r="F602">
        <v>261281047651</v>
      </c>
    </row>
    <row r="603" spans="1:6" x14ac:dyDescent="0.3">
      <c r="A603">
        <v>17</v>
      </c>
      <c r="B603" t="s">
        <v>2037</v>
      </c>
      <c r="C603" t="s">
        <v>5252</v>
      </c>
      <c r="E603">
        <v>38000000</v>
      </c>
      <c r="F603">
        <v>261224229469</v>
      </c>
    </row>
    <row r="604" spans="1:6" x14ac:dyDescent="0.3">
      <c r="A604">
        <v>17</v>
      </c>
      <c r="B604" t="s">
        <v>2037</v>
      </c>
      <c r="C604" t="s">
        <v>5252</v>
      </c>
      <c r="E604">
        <v>38000000</v>
      </c>
      <c r="F604">
        <v>261186229469</v>
      </c>
    </row>
    <row r="605" spans="1:6" x14ac:dyDescent="0.3">
      <c r="A605">
        <v>17</v>
      </c>
      <c r="B605" t="s">
        <v>2037</v>
      </c>
      <c r="C605" t="s">
        <v>5252</v>
      </c>
      <c r="E605">
        <v>38000000</v>
      </c>
      <c r="F605">
        <v>261148229469</v>
      </c>
    </row>
    <row r="606" spans="1:6" x14ac:dyDescent="0.3">
      <c r="A606">
        <v>17</v>
      </c>
      <c r="B606" t="s">
        <v>2037</v>
      </c>
      <c r="C606" t="s">
        <v>5252</v>
      </c>
      <c r="E606">
        <v>38000000</v>
      </c>
      <c r="F606">
        <v>261110229469</v>
      </c>
    </row>
    <row r="607" spans="1:6" x14ac:dyDescent="0.3">
      <c r="A607">
        <v>17</v>
      </c>
      <c r="B607" t="s">
        <v>2037</v>
      </c>
      <c r="C607" t="s">
        <v>5252</v>
      </c>
      <c r="E607">
        <v>38000000</v>
      </c>
      <c r="F607">
        <v>261072229469</v>
      </c>
    </row>
    <row r="608" spans="1:6" x14ac:dyDescent="0.3">
      <c r="A608">
        <v>17</v>
      </c>
      <c r="B608" t="s">
        <v>2037</v>
      </c>
      <c r="C608" t="s">
        <v>5252</v>
      </c>
      <c r="E608">
        <v>38000000</v>
      </c>
      <c r="F608">
        <v>261034229469</v>
      </c>
    </row>
    <row r="609" spans="1:6" x14ac:dyDescent="0.3">
      <c r="A609">
        <v>17</v>
      </c>
      <c r="B609" t="s">
        <v>2028</v>
      </c>
      <c r="C609" t="s">
        <v>6778</v>
      </c>
      <c r="E609">
        <v>14802727</v>
      </c>
      <c r="F609">
        <v>260996229469</v>
      </c>
    </row>
    <row r="610" spans="1:6" x14ac:dyDescent="0.3">
      <c r="A610">
        <v>17</v>
      </c>
      <c r="B610" t="s">
        <v>2054</v>
      </c>
      <c r="C610" t="s">
        <v>6777</v>
      </c>
      <c r="E610">
        <v>13500000</v>
      </c>
      <c r="F610">
        <v>260981426742</v>
      </c>
    </row>
    <row r="611" spans="1:6" x14ac:dyDescent="0.3">
      <c r="A611">
        <v>17</v>
      </c>
      <c r="B611" t="s">
        <v>2054</v>
      </c>
      <c r="C611" t="s">
        <v>4498</v>
      </c>
      <c r="E611">
        <v>12800000</v>
      </c>
      <c r="F611">
        <v>260967926742</v>
      </c>
    </row>
    <row r="612" spans="1:6" x14ac:dyDescent="0.3">
      <c r="A612">
        <v>17</v>
      </c>
      <c r="B612" t="s">
        <v>2067</v>
      </c>
      <c r="C612" t="s">
        <v>6657</v>
      </c>
      <c r="E612">
        <v>51343183</v>
      </c>
      <c r="F612">
        <v>260955126742</v>
      </c>
    </row>
    <row r="613" spans="1:6" x14ac:dyDescent="0.3">
      <c r="A613">
        <v>17</v>
      </c>
      <c r="B613" t="s">
        <v>2041</v>
      </c>
      <c r="C613" t="s">
        <v>6776</v>
      </c>
      <c r="E613">
        <v>49000000</v>
      </c>
      <c r="F613">
        <v>260903783559</v>
      </c>
    </row>
    <row r="614" spans="1:6" x14ac:dyDescent="0.3">
      <c r="A614">
        <v>17</v>
      </c>
      <c r="B614" t="s">
        <v>2032</v>
      </c>
      <c r="C614" t="s">
        <v>4037</v>
      </c>
      <c r="E614">
        <v>18373000</v>
      </c>
      <c r="F614">
        <v>260854783559</v>
      </c>
    </row>
    <row r="615" spans="1:6" x14ac:dyDescent="0.3">
      <c r="A615">
        <v>17</v>
      </c>
      <c r="B615" t="s">
        <v>2041</v>
      </c>
      <c r="C615" t="s">
        <v>6775</v>
      </c>
      <c r="E615">
        <v>51818182</v>
      </c>
      <c r="F615">
        <v>260836410559</v>
      </c>
    </row>
    <row r="616" spans="1:6" x14ac:dyDescent="0.3">
      <c r="A616">
        <v>17</v>
      </c>
      <c r="B616" t="s">
        <v>2037</v>
      </c>
      <c r="C616" t="s">
        <v>6774</v>
      </c>
      <c r="E616">
        <v>36800000</v>
      </c>
      <c r="F616">
        <v>260784592377</v>
      </c>
    </row>
    <row r="617" spans="1:6" x14ac:dyDescent="0.3">
      <c r="A617">
        <v>17</v>
      </c>
      <c r="B617" t="s">
        <v>2836</v>
      </c>
      <c r="C617" t="s">
        <v>6773</v>
      </c>
      <c r="E617">
        <v>31700000</v>
      </c>
      <c r="F617">
        <v>260747792377</v>
      </c>
    </row>
    <row r="618" spans="1:6" x14ac:dyDescent="0.3">
      <c r="A618">
        <v>17</v>
      </c>
      <c r="B618" t="s">
        <v>2028</v>
      </c>
      <c r="C618" t="s">
        <v>4640</v>
      </c>
      <c r="E618">
        <v>14310000</v>
      </c>
      <c r="F618">
        <v>260716092377</v>
      </c>
    </row>
    <row r="619" spans="1:6" x14ac:dyDescent="0.3">
      <c r="A619">
        <v>17</v>
      </c>
      <c r="B619" t="s">
        <v>2028</v>
      </c>
      <c r="C619" t="s">
        <v>3824</v>
      </c>
      <c r="E619">
        <v>14545455</v>
      </c>
      <c r="F619">
        <v>260701782377</v>
      </c>
    </row>
    <row r="620" spans="1:6" x14ac:dyDescent="0.3">
      <c r="A620">
        <v>17</v>
      </c>
      <c r="B620" t="s">
        <v>2041</v>
      </c>
      <c r="C620" t="s">
        <v>6772</v>
      </c>
      <c r="E620">
        <v>52000000</v>
      </c>
      <c r="F620">
        <v>260687236922</v>
      </c>
    </row>
    <row r="621" spans="1:6" x14ac:dyDescent="0.3">
      <c r="A621">
        <v>17</v>
      </c>
      <c r="B621" t="s">
        <v>2037</v>
      </c>
      <c r="C621" t="s">
        <v>5052</v>
      </c>
      <c r="E621">
        <v>37272727</v>
      </c>
      <c r="F621">
        <v>260635236922</v>
      </c>
    </row>
    <row r="622" spans="1:6" x14ac:dyDescent="0.3">
      <c r="A622">
        <v>17</v>
      </c>
      <c r="B622" t="s">
        <v>2039</v>
      </c>
      <c r="C622" t="s">
        <v>6771</v>
      </c>
      <c r="E622">
        <v>40909091</v>
      </c>
      <c r="F622">
        <v>260597964195</v>
      </c>
    </row>
    <row r="623" spans="1:6" x14ac:dyDescent="0.3">
      <c r="A623">
        <v>17</v>
      </c>
      <c r="B623" t="s">
        <v>2039</v>
      </c>
      <c r="C623" t="s">
        <v>6770</v>
      </c>
      <c r="E623">
        <v>39090909</v>
      </c>
      <c r="F623">
        <v>260557055104</v>
      </c>
    </row>
    <row r="624" spans="1:6" x14ac:dyDescent="0.3">
      <c r="A624">
        <v>17</v>
      </c>
      <c r="B624" t="s">
        <v>2045</v>
      </c>
      <c r="C624" t="s">
        <v>6679</v>
      </c>
      <c r="E624">
        <v>96811819</v>
      </c>
      <c r="F624">
        <v>260517964195</v>
      </c>
    </row>
    <row r="625" spans="1:6" x14ac:dyDescent="0.3">
      <c r="A625">
        <v>17</v>
      </c>
      <c r="B625" t="s">
        <v>2034</v>
      </c>
      <c r="C625" t="s">
        <v>3826</v>
      </c>
      <c r="E625">
        <v>45370910</v>
      </c>
      <c r="F625">
        <v>260421152376</v>
      </c>
    </row>
    <row r="626" spans="1:6" x14ac:dyDescent="0.3">
      <c r="A626">
        <v>17</v>
      </c>
      <c r="B626" t="s">
        <v>2037</v>
      </c>
      <c r="C626" t="s">
        <v>6769</v>
      </c>
      <c r="E626">
        <v>36363636</v>
      </c>
      <c r="F626">
        <v>260375781466</v>
      </c>
    </row>
    <row r="627" spans="1:6" x14ac:dyDescent="0.3">
      <c r="A627">
        <v>17</v>
      </c>
      <c r="B627" t="s">
        <v>2041</v>
      </c>
      <c r="C627" t="s">
        <v>6768</v>
      </c>
      <c r="E627">
        <v>50900000</v>
      </c>
      <c r="F627">
        <v>260339417830</v>
      </c>
    </row>
    <row r="628" spans="1:6" x14ac:dyDescent="0.3">
      <c r="A628">
        <v>17</v>
      </c>
      <c r="B628" t="s">
        <v>2039</v>
      </c>
      <c r="C628" t="s">
        <v>6767</v>
      </c>
      <c r="E628">
        <v>40818181</v>
      </c>
      <c r="F628">
        <v>260288517830</v>
      </c>
    </row>
    <row r="629" spans="1:6" x14ac:dyDescent="0.3">
      <c r="A629">
        <v>17</v>
      </c>
      <c r="B629" t="s">
        <v>2039</v>
      </c>
      <c r="C629" t="s">
        <v>6766</v>
      </c>
      <c r="E629">
        <v>40909091</v>
      </c>
      <c r="F629">
        <v>260247699649</v>
      </c>
    </row>
    <row r="630" spans="1:6" x14ac:dyDescent="0.3">
      <c r="A630">
        <v>17</v>
      </c>
      <c r="B630" t="s">
        <v>2039</v>
      </c>
      <c r="C630" t="s">
        <v>5466</v>
      </c>
      <c r="E630">
        <v>39300000</v>
      </c>
      <c r="F630">
        <v>260206790558</v>
      </c>
    </row>
    <row r="631" spans="1:6" x14ac:dyDescent="0.3">
      <c r="A631">
        <v>17</v>
      </c>
      <c r="B631" t="s">
        <v>2037</v>
      </c>
      <c r="C631" t="s">
        <v>6765</v>
      </c>
      <c r="E631">
        <v>37000000</v>
      </c>
      <c r="F631">
        <v>260167490558</v>
      </c>
    </row>
    <row r="632" spans="1:6" x14ac:dyDescent="0.3">
      <c r="A632">
        <v>17</v>
      </c>
      <c r="B632" t="s">
        <v>2037</v>
      </c>
      <c r="C632" t="s">
        <v>4411</v>
      </c>
      <c r="E632">
        <v>38000000</v>
      </c>
      <c r="F632">
        <v>260130490558</v>
      </c>
    </row>
    <row r="633" spans="1:6" x14ac:dyDescent="0.3">
      <c r="A633">
        <v>17</v>
      </c>
      <c r="B633" t="s">
        <v>2039</v>
      </c>
      <c r="C633" t="s">
        <v>6764</v>
      </c>
      <c r="E633">
        <v>40500000</v>
      </c>
      <c r="F633">
        <v>260092490558</v>
      </c>
    </row>
    <row r="634" spans="1:6" x14ac:dyDescent="0.3">
      <c r="A634">
        <v>17</v>
      </c>
      <c r="B634" t="s">
        <v>2037</v>
      </c>
      <c r="C634" t="s">
        <v>3943</v>
      </c>
      <c r="E634">
        <v>38500000</v>
      </c>
      <c r="F634">
        <v>260051990558</v>
      </c>
    </row>
    <row r="635" spans="1:6" x14ac:dyDescent="0.3">
      <c r="A635">
        <v>17</v>
      </c>
      <c r="B635" t="s">
        <v>2067</v>
      </c>
      <c r="C635" t="s">
        <v>5123</v>
      </c>
      <c r="E635">
        <v>102436364</v>
      </c>
      <c r="F635">
        <v>260013490558</v>
      </c>
    </row>
    <row r="636" spans="1:6" x14ac:dyDescent="0.3">
      <c r="A636">
        <v>17</v>
      </c>
      <c r="B636" t="s">
        <v>2836</v>
      </c>
      <c r="C636" t="s">
        <v>5250</v>
      </c>
      <c r="E636">
        <v>29980000</v>
      </c>
      <c r="F636">
        <v>259911054194</v>
      </c>
    </row>
    <row r="637" spans="1:6" x14ac:dyDescent="0.3">
      <c r="A637">
        <v>17</v>
      </c>
      <c r="B637" t="s">
        <v>2880</v>
      </c>
      <c r="C637" t="s">
        <v>4111</v>
      </c>
      <c r="E637">
        <v>298837818</v>
      </c>
      <c r="F637">
        <v>259881074194</v>
      </c>
    </row>
    <row r="638" spans="1:6" x14ac:dyDescent="0.3">
      <c r="A638">
        <v>17</v>
      </c>
      <c r="B638" t="s">
        <v>2836</v>
      </c>
      <c r="C638" t="s">
        <v>4058</v>
      </c>
      <c r="E638">
        <v>31500000</v>
      </c>
      <c r="F638">
        <v>259582236376</v>
      </c>
    </row>
    <row r="639" spans="1:6" x14ac:dyDescent="0.3">
      <c r="A639">
        <v>17</v>
      </c>
      <c r="B639" t="s">
        <v>2836</v>
      </c>
      <c r="C639" t="s">
        <v>3976</v>
      </c>
      <c r="E639">
        <v>31000000</v>
      </c>
      <c r="F639">
        <v>259550736376</v>
      </c>
    </row>
    <row r="640" spans="1:6" x14ac:dyDescent="0.3">
      <c r="A640">
        <v>17</v>
      </c>
      <c r="B640" t="s">
        <v>2037</v>
      </c>
      <c r="C640" t="s">
        <v>3824</v>
      </c>
      <c r="E640">
        <v>36500000</v>
      </c>
      <c r="F640">
        <v>259519736376</v>
      </c>
    </row>
    <row r="641" spans="1:6" x14ac:dyDescent="0.3">
      <c r="A641">
        <v>17</v>
      </c>
      <c r="B641" t="s">
        <v>2037</v>
      </c>
      <c r="C641" t="s">
        <v>3753</v>
      </c>
      <c r="E641">
        <v>38623000</v>
      </c>
      <c r="F641">
        <v>259483236376</v>
      </c>
    </row>
    <row r="642" spans="1:6" x14ac:dyDescent="0.3">
      <c r="A642">
        <v>17</v>
      </c>
      <c r="B642" t="s">
        <v>2037</v>
      </c>
      <c r="C642" t="s">
        <v>6763</v>
      </c>
      <c r="E642">
        <v>34900000</v>
      </c>
      <c r="F642">
        <v>259444613376</v>
      </c>
    </row>
    <row r="643" spans="1:6" x14ac:dyDescent="0.3">
      <c r="A643">
        <v>17</v>
      </c>
      <c r="B643" t="s">
        <v>2037</v>
      </c>
      <c r="C643" t="s">
        <v>6762</v>
      </c>
      <c r="E643">
        <v>38000000</v>
      </c>
      <c r="F643">
        <v>259409713376</v>
      </c>
    </row>
    <row r="644" spans="1:6" x14ac:dyDescent="0.3">
      <c r="A644">
        <v>17</v>
      </c>
      <c r="B644" t="s">
        <v>2039</v>
      </c>
      <c r="C644" t="s">
        <v>6761</v>
      </c>
      <c r="E644">
        <v>42727273</v>
      </c>
      <c r="F644">
        <v>259371713376</v>
      </c>
    </row>
    <row r="645" spans="1:6" x14ac:dyDescent="0.3">
      <c r="A645">
        <v>17</v>
      </c>
      <c r="B645" t="s">
        <v>2037</v>
      </c>
      <c r="C645" t="s">
        <v>6760</v>
      </c>
      <c r="E645">
        <v>35900000</v>
      </c>
      <c r="F645">
        <v>259328986103</v>
      </c>
    </row>
    <row r="646" spans="1:6" x14ac:dyDescent="0.3">
      <c r="A646">
        <v>17</v>
      </c>
      <c r="B646" t="s">
        <v>2037</v>
      </c>
      <c r="C646" t="s">
        <v>6759</v>
      </c>
      <c r="E646">
        <v>38200000</v>
      </c>
      <c r="F646">
        <v>259293086103</v>
      </c>
    </row>
    <row r="647" spans="1:6" x14ac:dyDescent="0.3">
      <c r="A647">
        <v>17</v>
      </c>
      <c r="B647" t="s">
        <v>2037</v>
      </c>
      <c r="C647" t="s">
        <v>4102</v>
      </c>
      <c r="E647">
        <v>36500000</v>
      </c>
      <c r="F647">
        <v>259254886103</v>
      </c>
    </row>
    <row r="648" spans="1:6" x14ac:dyDescent="0.3">
      <c r="A648">
        <v>17</v>
      </c>
      <c r="B648" t="s">
        <v>2039</v>
      </c>
      <c r="C648" t="s">
        <v>6758</v>
      </c>
      <c r="E648">
        <v>40909091</v>
      </c>
      <c r="F648">
        <v>259218386103</v>
      </c>
    </row>
    <row r="649" spans="1:6" x14ac:dyDescent="0.3">
      <c r="A649">
        <v>17</v>
      </c>
      <c r="B649" t="s">
        <v>2836</v>
      </c>
      <c r="C649" t="s">
        <v>3733</v>
      </c>
      <c r="E649">
        <v>32418182</v>
      </c>
      <c r="F649">
        <v>259177477012</v>
      </c>
    </row>
    <row r="650" spans="1:6" x14ac:dyDescent="0.3">
      <c r="A650">
        <v>17</v>
      </c>
      <c r="B650" t="s">
        <v>2041</v>
      </c>
      <c r="C650" t="s">
        <v>6757</v>
      </c>
      <c r="E650">
        <v>52500000</v>
      </c>
      <c r="F650">
        <v>259145058830</v>
      </c>
    </row>
    <row r="651" spans="1:6" x14ac:dyDescent="0.3">
      <c r="A651">
        <v>17</v>
      </c>
      <c r="B651" t="s">
        <v>2039</v>
      </c>
      <c r="C651" t="s">
        <v>6756</v>
      </c>
      <c r="E651">
        <v>19873000</v>
      </c>
      <c r="F651">
        <v>259092558830</v>
      </c>
    </row>
    <row r="652" spans="1:6" x14ac:dyDescent="0.3">
      <c r="A652">
        <v>17</v>
      </c>
      <c r="B652" t="s">
        <v>2037</v>
      </c>
      <c r="C652" t="s">
        <v>3987</v>
      </c>
      <c r="E652">
        <v>18373000</v>
      </c>
      <c r="F652">
        <v>259072685830</v>
      </c>
    </row>
    <row r="653" spans="1:6" x14ac:dyDescent="0.3">
      <c r="A653">
        <v>17</v>
      </c>
      <c r="B653" t="s">
        <v>2037</v>
      </c>
      <c r="C653" t="s">
        <v>3987</v>
      </c>
      <c r="E653">
        <v>18373000</v>
      </c>
      <c r="F653">
        <v>259054312830</v>
      </c>
    </row>
    <row r="654" spans="1:6" x14ac:dyDescent="0.3">
      <c r="A654">
        <v>17</v>
      </c>
      <c r="B654" t="s">
        <v>2028</v>
      </c>
      <c r="C654" t="s">
        <v>6717</v>
      </c>
      <c r="E654">
        <v>14545454</v>
      </c>
      <c r="F654">
        <v>259035939830</v>
      </c>
    </row>
    <row r="655" spans="1:6" x14ac:dyDescent="0.3">
      <c r="A655">
        <v>17</v>
      </c>
      <c r="B655" t="s">
        <v>2836</v>
      </c>
      <c r="C655" t="s">
        <v>6755</v>
      </c>
      <c r="E655">
        <v>31363636</v>
      </c>
      <c r="F655">
        <v>259021394376</v>
      </c>
    </row>
    <row r="656" spans="1:6" x14ac:dyDescent="0.3">
      <c r="A656">
        <v>17</v>
      </c>
      <c r="B656" t="s">
        <v>2037</v>
      </c>
      <c r="C656" t="s">
        <v>5286</v>
      </c>
      <c r="E656">
        <v>38181818</v>
      </c>
      <c r="F656">
        <v>258990030740</v>
      </c>
    </row>
    <row r="657" spans="1:6" x14ac:dyDescent="0.3">
      <c r="A657">
        <v>17</v>
      </c>
      <c r="B657" t="s">
        <v>2063</v>
      </c>
      <c r="C657" t="s">
        <v>6754</v>
      </c>
      <c r="E657">
        <v>157272727</v>
      </c>
      <c r="F657">
        <v>258951848922</v>
      </c>
    </row>
    <row r="658" spans="1:6" x14ac:dyDescent="0.3">
      <c r="A658">
        <v>17</v>
      </c>
      <c r="B658" t="s">
        <v>2041</v>
      </c>
      <c r="C658" t="s">
        <v>6753</v>
      </c>
      <c r="E658">
        <v>49454545</v>
      </c>
      <c r="F658">
        <v>258794576195</v>
      </c>
    </row>
    <row r="659" spans="1:6" x14ac:dyDescent="0.3">
      <c r="A659">
        <v>17</v>
      </c>
      <c r="B659" t="s">
        <v>2041</v>
      </c>
      <c r="C659" t="s">
        <v>6752</v>
      </c>
      <c r="E659">
        <v>49090909</v>
      </c>
      <c r="F659">
        <v>258745121650</v>
      </c>
    </row>
    <row r="660" spans="1:6" x14ac:dyDescent="0.3">
      <c r="A660">
        <v>17</v>
      </c>
      <c r="B660" t="s">
        <v>2037</v>
      </c>
      <c r="C660" t="s">
        <v>6751</v>
      </c>
      <c r="E660">
        <v>39000000</v>
      </c>
      <c r="F660">
        <v>258696030741</v>
      </c>
    </row>
    <row r="661" spans="1:6" x14ac:dyDescent="0.3">
      <c r="A661">
        <v>17</v>
      </c>
      <c r="B661" t="s">
        <v>2037</v>
      </c>
      <c r="C661" t="s">
        <v>4730</v>
      </c>
      <c r="E661">
        <v>37909090</v>
      </c>
      <c r="F661">
        <v>258657030741</v>
      </c>
    </row>
    <row r="662" spans="1:6" x14ac:dyDescent="0.3">
      <c r="A662">
        <v>17</v>
      </c>
      <c r="B662" t="s">
        <v>2037</v>
      </c>
      <c r="C662" t="s">
        <v>4730</v>
      </c>
      <c r="E662">
        <v>37909090</v>
      </c>
      <c r="F662">
        <v>258619121651</v>
      </c>
    </row>
    <row r="663" spans="1:6" x14ac:dyDescent="0.3">
      <c r="A663">
        <v>17</v>
      </c>
      <c r="B663" t="s">
        <v>2068</v>
      </c>
      <c r="C663" t="s">
        <v>5250</v>
      </c>
      <c r="E663">
        <v>85837700</v>
      </c>
      <c r="F663">
        <v>258581212561</v>
      </c>
    </row>
    <row r="664" spans="1:6" x14ac:dyDescent="0.3">
      <c r="A664">
        <v>17</v>
      </c>
      <c r="B664" t="s">
        <v>2068</v>
      </c>
      <c r="C664" t="s">
        <v>5250</v>
      </c>
      <c r="E664">
        <v>85837700</v>
      </c>
      <c r="F664">
        <v>258495374861</v>
      </c>
    </row>
    <row r="665" spans="1:6" x14ac:dyDescent="0.3">
      <c r="A665">
        <v>17</v>
      </c>
      <c r="B665" t="s">
        <v>2068</v>
      </c>
      <c r="C665" t="s">
        <v>5250</v>
      </c>
      <c r="E665">
        <v>85837700</v>
      </c>
      <c r="F665">
        <v>258409537161</v>
      </c>
    </row>
    <row r="666" spans="1:6" x14ac:dyDescent="0.3">
      <c r="A666">
        <v>17</v>
      </c>
      <c r="B666" t="s">
        <v>2068</v>
      </c>
      <c r="C666" t="s">
        <v>5250</v>
      </c>
      <c r="E666">
        <v>85837700</v>
      </c>
      <c r="F666">
        <v>258323699461</v>
      </c>
    </row>
    <row r="667" spans="1:6" x14ac:dyDescent="0.3">
      <c r="A667">
        <v>17</v>
      </c>
      <c r="B667" t="s">
        <v>2068</v>
      </c>
      <c r="C667" t="s">
        <v>5250</v>
      </c>
      <c r="E667">
        <v>85837700</v>
      </c>
      <c r="F667">
        <v>258237861761</v>
      </c>
    </row>
    <row r="668" spans="1:6" x14ac:dyDescent="0.3">
      <c r="A668">
        <v>17</v>
      </c>
      <c r="B668" t="s">
        <v>7367</v>
      </c>
      <c r="C668" t="s">
        <v>5250</v>
      </c>
      <c r="E668">
        <v>85837700</v>
      </c>
      <c r="F668">
        <v>258152024061</v>
      </c>
    </row>
    <row r="669" spans="1:6" x14ac:dyDescent="0.3">
      <c r="A669">
        <v>17</v>
      </c>
      <c r="B669" t="s">
        <v>2068</v>
      </c>
      <c r="C669" t="s">
        <v>5250</v>
      </c>
      <c r="E669">
        <v>85837700</v>
      </c>
      <c r="F669">
        <v>258066186361</v>
      </c>
    </row>
    <row r="670" spans="1:6" x14ac:dyDescent="0.3">
      <c r="A670">
        <v>17</v>
      </c>
      <c r="B670" t="s">
        <v>2068</v>
      </c>
      <c r="C670" t="s">
        <v>5250</v>
      </c>
      <c r="E670">
        <v>85837700</v>
      </c>
      <c r="F670">
        <v>257980348661</v>
      </c>
    </row>
    <row r="671" spans="1:6" x14ac:dyDescent="0.3">
      <c r="A671">
        <v>17</v>
      </c>
      <c r="B671" t="s">
        <v>2035</v>
      </c>
      <c r="C671" t="s">
        <v>5250</v>
      </c>
      <c r="E671">
        <v>47700000</v>
      </c>
      <c r="F671">
        <v>257894510961</v>
      </c>
    </row>
    <row r="672" spans="1:6" x14ac:dyDescent="0.3">
      <c r="A672">
        <v>17</v>
      </c>
      <c r="B672" t="s">
        <v>2035</v>
      </c>
      <c r="C672" t="s">
        <v>5250</v>
      </c>
      <c r="E672">
        <v>47700000</v>
      </c>
      <c r="F672">
        <v>257846810961</v>
      </c>
    </row>
    <row r="673" spans="1:6" x14ac:dyDescent="0.3">
      <c r="A673">
        <v>17</v>
      </c>
      <c r="B673" t="s">
        <v>2035</v>
      </c>
      <c r="C673" t="s">
        <v>5250</v>
      </c>
      <c r="E673">
        <v>47700000</v>
      </c>
      <c r="F673">
        <v>257799110961</v>
      </c>
    </row>
    <row r="674" spans="1:6" x14ac:dyDescent="0.3">
      <c r="A674">
        <v>17</v>
      </c>
      <c r="B674" t="s">
        <v>2035</v>
      </c>
      <c r="C674" t="s">
        <v>5250</v>
      </c>
      <c r="E674">
        <v>47700000</v>
      </c>
      <c r="F674">
        <v>257751410961</v>
      </c>
    </row>
    <row r="675" spans="1:6" x14ac:dyDescent="0.3">
      <c r="A675">
        <v>17</v>
      </c>
      <c r="B675" t="s">
        <v>2035</v>
      </c>
      <c r="C675" t="s">
        <v>5250</v>
      </c>
      <c r="E675">
        <v>47700000</v>
      </c>
      <c r="F675">
        <v>257703710961</v>
      </c>
    </row>
    <row r="676" spans="1:6" x14ac:dyDescent="0.3">
      <c r="A676">
        <v>17</v>
      </c>
      <c r="B676" t="s">
        <v>2035</v>
      </c>
      <c r="C676" t="s">
        <v>5250</v>
      </c>
      <c r="E676">
        <v>47700000</v>
      </c>
      <c r="F676">
        <v>257656010961</v>
      </c>
    </row>
    <row r="677" spans="1:6" x14ac:dyDescent="0.3">
      <c r="A677">
        <v>17</v>
      </c>
      <c r="B677" t="s">
        <v>2035</v>
      </c>
      <c r="C677" t="s">
        <v>5250</v>
      </c>
      <c r="E677">
        <v>47700000</v>
      </c>
      <c r="F677">
        <v>257608310961</v>
      </c>
    </row>
    <row r="678" spans="1:6" x14ac:dyDescent="0.3">
      <c r="A678">
        <v>17</v>
      </c>
      <c r="B678" t="s">
        <v>2035</v>
      </c>
      <c r="C678" t="s">
        <v>5250</v>
      </c>
      <c r="E678">
        <v>47700000</v>
      </c>
      <c r="F678">
        <v>257560610961</v>
      </c>
    </row>
    <row r="679" spans="1:6" x14ac:dyDescent="0.3">
      <c r="A679">
        <v>17</v>
      </c>
      <c r="B679" t="s">
        <v>2035</v>
      </c>
      <c r="C679" t="s">
        <v>5250</v>
      </c>
      <c r="E679">
        <v>47700000</v>
      </c>
      <c r="F679">
        <v>257512910961</v>
      </c>
    </row>
    <row r="680" spans="1:6" x14ac:dyDescent="0.3">
      <c r="A680">
        <v>17</v>
      </c>
      <c r="B680" t="s">
        <v>2035</v>
      </c>
      <c r="C680" t="s">
        <v>5250</v>
      </c>
      <c r="E680">
        <v>47700000</v>
      </c>
      <c r="F680">
        <v>257465210961</v>
      </c>
    </row>
    <row r="681" spans="1:6" x14ac:dyDescent="0.3">
      <c r="A681">
        <v>17</v>
      </c>
      <c r="B681" t="s">
        <v>2067</v>
      </c>
      <c r="C681" t="s">
        <v>5278</v>
      </c>
      <c r="E681">
        <v>30513637</v>
      </c>
      <c r="F681">
        <v>257417510961</v>
      </c>
    </row>
    <row r="682" spans="1:6" x14ac:dyDescent="0.3">
      <c r="A682">
        <v>17</v>
      </c>
      <c r="B682" t="s">
        <v>7366</v>
      </c>
      <c r="C682" t="s">
        <v>5278</v>
      </c>
      <c r="E682">
        <v>1681818</v>
      </c>
      <c r="F682">
        <v>257386997324</v>
      </c>
    </row>
    <row r="683" spans="1:6" x14ac:dyDescent="0.3">
      <c r="A683">
        <v>17</v>
      </c>
      <c r="B683" t="s">
        <v>2039</v>
      </c>
      <c r="C683" t="s">
        <v>6750</v>
      </c>
      <c r="E683">
        <v>39500000</v>
      </c>
      <c r="F683">
        <v>257385315506</v>
      </c>
    </row>
    <row r="684" spans="1:6" x14ac:dyDescent="0.3">
      <c r="A684">
        <v>17</v>
      </c>
      <c r="B684" t="s">
        <v>2039</v>
      </c>
      <c r="C684" t="s">
        <v>6749</v>
      </c>
      <c r="E684">
        <v>43920000</v>
      </c>
      <c r="F684">
        <v>257345815506</v>
      </c>
    </row>
    <row r="685" spans="1:6" x14ac:dyDescent="0.3">
      <c r="A685">
        <v>17</v>
      </c>
      <c r="B685" t="s">
        <v>2836</v>
      </c>
      <c r="C685" t="s">
        <v>6748</v>
      </c>
      <c r="E685">
        <v>30713000</v>
      </c>
      <c r="F685">
        <v>257301895506</v>
      </c>
    </row>
    <row r="686" spans="1:6" x14ac:dyDescent="0.3">
      <c r="A686">
        <v>17</v>
      </c>
      <c r="B686" t="s">
        <v>2037</v>
      </c>
      <c r="C686" t="s">
        <v>6747</v>
      </c>
      <c r="E686">
        <v>37909090</v>
      </c>
      <c r="F686">
        <v>257271182506</v>
      </c>
    </row>
    <row r="687" spans="1:6" x14ac:dyDescent="0.3">
      <c r="A687">
        <v>17</v>
      </c>
      <c r="B687" t="s">
        <v>2037</v>
      </c>
      <c r="C687" t="s">
        <v>6747</v>
      </c>
      <c r="E687">
        <v>37909090</v>
      </c>
      <c r="F687">
        <v>257233273416</v>
      </c>
    </row>
    <row r="688" spans="1:6" x14ac:dyDescent="0.3">
      <c r="A688">
        <v>17</v>
      </c>
      <c r="B688" t="s">
        <v>2037</v>
      </c>
      <c r="C688" t="s">
        <v>6746</v>
      </c>
      <c r="E688">
        <v>37000000</v>
      </c>
      <c r="F688">
        <v>257195364326</v>
      </c>
    </row>
    <row r="689" spans="1:6" x14ac:dyDescent="0.3">
      <c r="A689">
        <v>17</v>
      </c>
      <c r="B689" t="s">
        <v>2037</v>
      </c>
      <c r="C689" t="s">
        <v>6745</v>
      </c>
      <c r="E689">
        <v>36000000</v>
      </c>
      <c r="F689">
        <v>257158364326</v>
      </c>
    </row>
    <row r="690" spans="1:6" x14ac:dyDescent="0.3">
      <c r="A690">
        <v>17</v>
      </c>
      <c r="B690" t="s">
        <v>2039</v>
      </c>
      <c r="C690" t="s">
        <v>6569</v>
      </c>
      <c r="E690">
        <v>19773000</v>
      </c>
      <c r="F690">
        <v>257122364326</v>
      </c>
    </row>
    <row r="691" spans="1:6" x14ac:dyDescent="0.3">
      <c r="A691">
        <v>17</v>
      </c>
      <c r="B691" t="s">
        <v>2037</v>
      </c>
      <c r="C691" t="s">
        <v>4628</v>
      </c>
      <c r="E691">
        <v>18373000</v>
      </c>
      <c r="F691">
        <v>257102591326</v>
      </c>
    </row>
    <row r="692" spans="1:6" x14ac:dyDescent="0.3">
      <c r="A692">
        <v>17</v>
      </c>
      <c r="B692" t="s">
        <v>2032</v>
      </c>
      <c r="C692" t="s">
        <v>4290</v>
      </c>
      <c r="E692">
        <v>35454545</v>
      </c>
      <c r="F692">
        <v>257084218326</v>
      </c>
    </row>
    <row r="693" spans="1:6" x14ac:dyDescent="0.3">
      <c r="A693">
        <v>17</v>
      </c>
      <c r="B693" t="s">
        <v>2032</v>
      </c>
      <c r="C693" t="s">
        <v>6744</v>
      </c>
      <c r="E693">
        <v>18373000</v>
      </c>
      <c r="F693">
        <v>257048763781</v>
      </c>
    </row>
    <row r="694" spans="1:6" x14ac:dyDescent="0.3">
      <c r="A694">
        <v>17</v>
      </c>
      <c r="B694" t="s">
        <v>2037</v>
      </c>
      <c r="C694" t="s">
        <v>6743</v>
      </c>
      <c r="E694">
        <v>18373000</v>
      </c>
      <c r="F694">
        <v>257030390781</v>
      </c>
    </row>
    <row r="695" spans="1:6" x14ac:dyDescent="0.3">
      <c r="A695">
        <v>17</v>
      </c>
      <c r="B695" t="s">
        <v>2836</v>
      </c>
      <c r="C695" t="s">
        <v>6743</v>
      </c>
      <c r="E695">
        <v>31000000</v>
      </c>
      <c r="F695">
        <v>257012017781</v>
      </c>
    </row>
    <row r="696" spans="1:6" x14ac:dyDescent="0.3">
      <c r="A696">
        <v>17</v>
      </c>
      <c r="B696" t="s">
        <v>2836</v>
      </c>
      <c r="C696" t="s">
        <v>6743</v>
      </c>
      <c r="E696">
        <v>31000000</v>
      </c>
      <c r="F696">
        <v>256981017781</v>
      </c>
    </row>
    <row r="697" spans="1:6" x14ac:dyDescent="0.3">
      <c r="A697">
        <v>17</v>
      </c>
      <c r="B697" t="s">
        <v>2037</v>
      </c>
      <c r="C697" t="s">
        <v>6742</v>
      </c>
      <c r="E697">
        <v>37000000</v>
      </c>
      <c r="F697">
        <v>256950017781</v>
      </c>
    </row>
    <row r="698" spans="1:6" x14ac:dyDescent="0.3">
      <c r="A698">
        <v>17</v>
      </c>
      <c r="B698" t="s">
        <v>2037</v>
      </c>
      <c r="C698" t="s">
        <v>6741</v>
      </c>
      <c r="E698">
        <v>37000000</v>
      </c>
      <c r="F698">
        <v>256913017781</v>
      </c>
    </row>
    <row r="699" spans="1:6" x14ac:dyDescent="0.3">
      <c r="A699">
        <v>17</v>
      </c>
      <c r="B699" t="s">
        <v>2037</v>
      </c>
      <c r="C699" t="s">
        <v>6740</v>
      </c>
      <c r="E699">
        <v>39090909</v>
      </c>
      <c r="F699">
        <v>256876017781</v>
      </c>
    </row>
    <row r="700" spans="1:6" x14ac:dyDescent="0.3">
      <c r="A700">
        <v>17</v>
      </c>
      <c r="B700" t="s">
        <v>2836</v>
      </c>
      <c r="C700" t="s">
        <v>4058</v>
      </c>
      <c r="E700">
        <v>31500000</v>
      </c>
      <c r="F700">
        <v>256836926872</v>
      </c>
    </row>
    <row r="701" spans="1:6" x14ac:dyDescent="0.3">
      <c r="A701">
        <v>17</v>
      </c>
      <c r="B701" t="s">
        <v>2836</v>
      </c>
      <c r="C701" t="s">
        <v>5556</v>
      </c>
      <c r="E701">
        <v>31500000</v>
      </c>
      <c r="F701">
        <v>256805426872</v>
      </c>
    </row>
    <row r="702" spans="1:6" x14ac:dyDescent="0.3">
      <c r="A702">
        <v>17</v>
      </c>
      <c r="B702" t="s">
        <v>2039</v>
      </c>
      <c r="C702" t="s">
        <v>6739</v>
      </c>
      <c r="E702">
        <v>38300000</v>
      </c>
      <c r="F702">
        <v>256773926872</v>
      </c>
    </row>
    <row r="703" spans="1:6" x14ac:dyDescent="0.3">
      <c r="A703">
        <v>17</v>
      </c>
      <c r="B703" t="s">
        <v>2037</v>
      </c>
      <c r="C703" t="s">
        <v>6738</v>
      </c>
      <c r="E703">
        <v>38000000</v>
      </c>
      <c r="F703">
        <v>256735626872</v>
      </c>
    </row>
    <row r="704" spans="1:6" x14ac:dyDescent="0.3">
      <c r="A704">
        <v>17</v>
      </c>
      <c r="B704" t="s">
        <v>2039</v>
      </c>
      <c r="C704" t="s">
        <v>6737</v>
      </c>
      <c r="E704">
        <v>41993637</v>
      </c>
      <c r="F704">
        <v>256697626872</v>
      </c>
    </row>
    <row r="705" spans="1:6" x14ac:dyDescent="0.3">
      <c r="A705">
        <v>17</v>
      </c>
      <c r="B705" t="s">
        <v>2039</v>
      </c>
      <c r="C705" t="s">
        <v>6736</v>
      </c>
      <c r="E705">
        <v>39648182</v>
      </c>
      <c r="F705">
        <v>256655633235</v>
      </c>
    </row>
    <row r="706" spans="1:6" x14ac:dyDescent="0.3">
      <c r="A706">
        <v>17</v>
      </c>
      <c r="B706" t="s">
        <v>7365</v>
      </c>
      <c r="C706" t="s">
        <v>4385</v>
      </c>
      <c r="E706">
        <v>19173000</v>
      </c>
      <c r="F706">
        <v>256615985053</v>
      </c>
    </row>
    <row r="707" spans="1:6" x14ac:dyDescent="0.3">
      <c r="A707">
        <v>17</v>
      </c>
      <c r="B707" t="s">
        <v>2034</v>
      </c>
      <c r="C707" t="s">
        <v>3725</v>
      </c>
      <c r="E707">
        <v>44918182</v>
      </c>
      <c r="F707">
        <v>256596812053</v>
      </c>
    </row>
    <row r="708" spans="1:6" x14ac:dyDescent="0.3">
      <c r="A708">
        <v>17</v>
      </c>
      <c r="B708" t="s">
        <v>2037</v>
      </c>
      <c r="C708" t="s">
        <v>3816</v>
      </c>
      <c r="E708">
        <v>35000000</v>
      </c>
      <c r="F708">
        <v>256551893871</v>
      </c>
    </row>
    <row r="709" spans="1:6" x14ac:dyDescent="0.3">
      <c r="A709">
        <v>17</v>
      </c>
      <c r="B709" t="s">
        <v>2037</v>
      </c>
      <c r="C709" t="s">
        <v>6735</v>
      </c>
      <c r="E709">
        <v>35570000</v>
      </c>
      <c r="F709">
        <v>256516893871</v>
      </c>
    </row>
    <row r="710" spans="1:6" x14ac:dyDescent="0.3">
      <c r="A710">
        <v>17</v>
      </c>
      <c r="B710" t="s">
        <v>2037</v>
      </c>
      <c r="C710" t="s">
        <v>6734</v>
      </c>
      <c r="E710">
        <v>37000000</v>
      </c>
      <c r="F710">
        <v>256481323871</v>
      </c>
    </row>
    <row r="711" spans="1:6" x14ac:dyDescent="0.3">
      <c r="A711">
        <v>17</v>
      </c>
      <c r="B711" t="s">
        <v>7153</v>
      </c>
      <c r="C711" t="s">
        <v>6289</v>
      </c>
      <c r="E711">
        <v>94021040</v>
      </c>
      <c r="F711">
        <v>256444323871</v>
      </c>
    </row>
    <row r="712" spans="1:6" x14ac:dyDescent="0.3">
      <c r="A712">
        <v>17</v>
      </c>
      <c r="B712" t="s">
        <v>2836</v>
      </c>
      <c r="C712" t="s">
        <v>6733</v>
      </c>
      <c r="E712">
        <v>32000000</v>
      </c>
      <c r="F712">
        <v>256350302831</v>
      </c>
    </row>
    <row r="713" spans="1:6" x14ac:dyDescent="0.3">
      <c r="A713">
        <v>17</v>
      </c>
      <c r="B713" t="s">
        <v>2037</v>
      </c>
      <c r="C713" t="s">
        <v>6732</v>
      </c>
      <c r="E713">
        <v>35800000</v>
      </c>
      <c r="F713">
        <v>256318302831</v>
      </c>
    </row>
    <row r="714" spans="1:6" x14ac:dyDescent="0.3">
      <c r="A714">
        <v>17</v>
      </c>
      <c r="B714" t="s">
        <v>2041</v>
      </c>
      <c r="C714" t="s">
        <v>6731</v>
      </c>
      <c r="E714">
        <v>51818181</v>
      </c>
      <c r="F714">
        <v>256282502831</v>
      </c>
    </row>
    <row r="715" spans="1:6" x14ac:dyDescent="0.3">
      <c r="A715">
        <v>17</v>
      </c>
      <c r="B715" t="s">
        <v>2037</v>
      </c>
      <c r="C715" t="s">
        <v>4100</v>
      </c>
      <c r="E715">
        <v>38000000</v>
      </c>
      <c r="F715">
        <v>256230684650</v>
      </c>
    </row>
    <row r="716" spans="1:6" x14ac:dyDescent="0.3">
      <c r="A716">
        <v>17</v>
      </c>
      <c r="B716" t="s">
        <v>2037</v>
      </c>
      <c r="C716" t="s">
        <v>6730</v>
      </c>
      <c r="E716">
        <v>36500000</v>
      </c>
      <c r="F716">
        <v>256192684650</v>
      </c>
    </row>
    <row r="717" spans="1:6" x14ac:dyDescent="0.3">
      <c r="A717">
        <v>17</v>
      </c>
      <c r="B717" t="s">
        <v>2054</v>
      </c>
      <c r="C717" t="s">
        <v>4213</v>
      </c>
      <c r="E717">
        <v>14700000</v>
      </c>
      <c r="F717">
        <v>256156184650</v>
      </c>
    </row>
    <row r="718" spans="1:6" x14ac:dyDescent="0.3">
      <c r="A718">
        <v>17</v>
      </c>
      <c r="B718" t="s">
        <v>2037</v>
      </c>
      <c r="C718" t="s">
        <v>5252</v>
      </c>
      <c r="E718">
        <v>38000000</v>
      </c>
      <c r="F718">
        <v>256141484650</v>
      </c>
    </row>
    <row r="719" spans="1:6" x14ac:dyDescent="0.3">
      <c r="A719">
        <v>17</v>
      </c>
      <c r="B719" t="s">
        <v>2037</v>
      </c>
      <c r="C719" t="s">
        <v>5252</v>
      </c>
      <c r="E719">
        <v>38000000</v>
      </c>
      <c r="F719">
        <v>256103484650</v>
      </c>
    </row>
    <row r="720" spans="1:6" x14ac:dyDescent="0.3">
      <c r="A720">
        <v>17</v>
      </c>
      <c r="B720" t="s">
        <v>2037</v>
      </c>
      <c r="C720" t="s">
        <v>5252</v>
      </c>
      <c r="E720">
        <v>38000000</v>
      </c>
      <c r="F720">
        <v>256065484650</v>
      </c>
    </row>
    <row r="721" spans="1:6" x14ac:dyDescent="0.3">
      <c r="A721">
        <v>17</v>
      </c>
      <c r="B721" t="s">
        <v>2037</v>
      </c>
      <c r="C721" t="s">
        <v>5252</v>
      </c>
      <c r="E721">
        <v>38000000</v>
      </c>
      <c r="F721">
        <v>256027484650</v>
      </c>
    </row>
    <row r="722" spans="1:6" x14ac:dyDescent="0.3">
      <c r="A722">
        <v>17</v>
      </c>
      <c r="B722" t="s">
        <v>2037</v>
      </c>
      <c r="C722" t="s">
        <v>5252</v>
      </c>
      <c r="E722">
        <v>-152000000</v>
      </c>
      <c r="F722">
        <v>255989484650</v>
      </c>
    </row>
    <row r="723" spans="1:6" x14ac:dyDescent="0.3">
      <c r="A723">
        <v>17</v>
      </c>
      <c r="B723" t="s">
        <v>2037</v>
      </c>
      <c r="C723" t="s">
        <v>5252</v>
      </c>
      <c r="E723">
        <v>152000000</v>
      </c>
      <c r="F723">
        <v>256141484650</v>
      </c>
    </row>
    <row r="724" spans="1:6" x14ac:dyDescent="0.3">
      <c r="A724">
        <v>17</v>
      </c>
      <c r="B724" t="s">
        <v>2028</v>
      </c>
      <c r="C724" t="s">
        <v>6729</v>
      </c>
      <c r="E724">
        <v>14472727</v>
      </c>
      <c r="F724">
        <v>255989484650</v>
      </c>
    </row>
    <row r="725" spans="1:6" x14ac:dyDescent="0.3">
      <c r="A725">
        <v>17</v>
      </c>
      <c r="B725" t="s">
        <v>2062</v>
      </c>
      <c r="C725" t="s">
        <v>6728</v>
      </c>
      <c r="E725">
        <v>175000000</v>
      </c>
      <c r="F725">
        <v>255975011923</v>
      </c>
    </row>
    <row r="726" spans="1:6" x14ac:dyDescent="0.3">
      <c r="A726">
        <v>17</v>
      </c>
      <c r="B726" t="s">
        <v>2875</v>
      </c>
      <c r="C726" t="s">
        <v>4111</v>
      </c>
      <c r="E726">
        <v>88507727</v>
      </c>
      <c r="F726">
        <v>255800011923</v>
      </c>
    </row>
    <row r="727" spans="1:6" x14ac:dyDescent="0.3">
      <c r="A727">
        <v>17</v>
      </c>
      <c r="B727" t="s">
        <v>2041</v>
      </c>
      <c r="C727" t="s">
        <v>6727</v>
      </c>
      <c r="E727">
        <v>50000000</v>
      </c>
      <c r="F727">
        <v>255711504196</v>
      </c>
    </row>
    <row r="728" spans="1:6" x14ac:dyDescent="0.3">
      <c r="A728">
        <v>17</v>
      </c>
      <c r="B728" t="s">
        <v>2039</v>
      </c>
      <c r="C728" t="s">
        <v>6726</v>
      </c>
      <c r="E728">
        <v>42300000</v>
      </c>
      <c r="F728">
        <v>255661504196</v>
      </c>
    </row>
    <row r="729" spans="1:6" x14ac:dyDescent="0.3">
      <c r="A729">
        <v>17</v>
      </c>
      <c r="B729" t="s">
        <v>2028</v>
      </c>
      <c r="C729" t="s">
        <v>6725</v>
      </c>
      <c r="E729">
        <v>14500000</v>
      </c>
      <c r="F729">
        <v>255619204196</v>
      </c>
    </row>
    <row r="730" spans="1:6" x14ac:dyDescent="0.3">
      <c r="A730">
        <v>17</v>
      </c>
      <c r="B730" t="s">
        <v>2037</v>
      </c>
      <c r="C730" t="s">
        <v>6569</v>
      </c>
      <c r="E730">
        <v>18573000</v>
      </c>
      <c r="F730">
        <v>255604704196</v>
      </c>
    </row>
    <row r="731" spans="1:6" x14ac:dyDescent="0.3">
      <c r="A731">
        <v>17</v>
      </c>
      <c r="B731" t="s">
        <v>7154</v>
      </c>
      <c r="C731" t="s">
        <v>5475</v>
      </c>
      <c r="E731">
        <v>32553669</v>
      </c>
      <c r="F731">
        <v>255586131196</v>
      </c>
    </row>
    <row r="732" spans="1:6" x14ac:dyDescent="0.3">
      <c r="A732">
        <v>17</v>
      </c>
      <c r="B732" t="s">
        <v>2039</v>
      </c>
      <c r="C732" t="s">
        <v>3903</v>
      </c>
      <c r="E732">
        <v>41500000</v>
      </c>
      <c r="F732">
        <v>255553577527</v>
      </c>
    </row>
    <row r="733" spans="1:6" x14ac:dyDescent="0.3">
      <c r="A733">
        <v>17</v>
      </c>
      <c r="B733" t="s">
        <v>2054</v>
      </c>
      <c r="C733" t="s">
        <v>6724</v>
      </c>
      <c r="E733">
        <v>13200000</v>
      </c>
      <c r="F733">
        <v>255512077527</v>
      </c>
    </row>
    <row r="734" spans="1:6" x14ac:dyDescent="0.3">
      <c r="A734">
        <v>17</v>
      </c>
      <c r="B734" t="s">
        <v>2039</v>
      </c>
      <c r="C734" t="s">
        <v>6723</v>
      </c>
      <c r="E734">
        <v>39500000</v>
      </c>
      <c r="F734">
        <v>255498877527</v>
      </c>
    </row>
    <row r="735" spans="1:6" x14ac:dyDescent="0.3">
      <c r="A735">
        <v>17</v>
      </c>
      <c r="B735" t="s">
        <v>2039</v>
      </c>
      <c r="C735" t="s">
        <v>6722</v>
      </c>
      <c r="E735">
        <v>40000000</v>
      </c>
      <c r="F735">
        <v>255459377527</v>
      </c>
    </row>
    <row r="736" spans="1:6" x14ac:dyDescent="0.3">
      <c r="A736">
        <v>17</v>
      </c>
      <c r="B736" t="s">
        <v>2037</v>
      </c>
      <c r="C736" t="s">
        <v>6721</v>
      </c>
      <c r="E736">
        <v>38181818</v>
      </c>
      <c r="F736">
        <v>255419377527</v>
      </c>
    </row>
    <row r="737" spans="1:6" x14ac:dyDescent="0.3">
      <c r="A737">
        <v>17</v>
      </c>
      <c r="B737" t="s">
        <v>2037</v>
      </c>
      <c r="C737" t="s">
        <v>6720</v>
      </c>
      <c r="E737">
        <v>38300000</v>
      </c>
      <c r="F737">
        <v>255381195709</v>
      </c>
    </row>
    <row r="738" spans="1:6" x14ac:dyDescent="0.3">
      <c r="A738">
        <v>17</v>
      </c>
      <c r="B738" t="s">
        <v>2840</v>
      </c>
      <c r="C738" t="s">
        <v>6719</v>
      </c>
      <c r="E738">
        <v>205000000</v>
      </c>
      <c r="F738">
        <v>255342895709</v>
      </c>
    </row>
    <row r="739" spans="1:6" x14ac:dyDescent="0.3">
      <c r="A739">
        <v>17</v>
      </c>
      <c r="B739" t="s">
        <v>2063</v>
      </c>
      <c r="C739" t="s">
        <v>6718</v>
      </c>
      <c r="E739">
        <v>157000000</v>
      </c>
      <c r="F739">
        <v>255137895709</v>
      </c>
    </row>
    <row r="740" spans="1:6" x14ac:dyDescent="0.3">
      <c r="A740">
        <v>17</v>
      </c>
      <c r="B740" t="s">
        <v>7154</v>
      </c>
      <c r="C740" t="s">
        <v>6561</v>
      </c>
      <c r="E740">
        <v>45529274</v>
      </c>
      <c r="F740">
        <v>254980895709</v>
      </c>
    </row>
    <row r="741" spans="1:6" x14ac:dyDescent="0.3">
      <c r="A741">
        <v>17</v>
      </c>
      <c r="B741" t="s">
        <v>2028</v>
      </c>
      <c r="C741" t="s">
        <v>6717</v>
      </c>
      <c r="E741">
        <v>1054545</v>
      </c>
      <c r="F741">
        <v>254935366435</v>
      </c>
    </row>
    <row r="742" spans="1:6" x14ac:dyDescent="0.3">
      <c r="A742">
        <v>17</v>
      </c>
      <c r="B742" t="s">
        <v>2032</v>
      </c>
      <c r="C742" t="s">
        <v>4342</v>
      </c>
      <c r="E742">
        <v>18373000</v>
      </c>
      <c r="F742">
        <v>254934311890</v>
      </c>
    </row>
    <row r="743" spans="1:6" x14ac:dyDescent="0.3">
      <c r="A743">
        <v>17</v>
      </c>
      <c r="B743" t="s">
        <v>2039</v>
      </c>
      <c r="C743" t="s">
        <v>6439</v>
      </c>
      <c r="E743">
        <v>39500000</v>
      </c>
      <c r="F743">
        <v>254915938890</v>
      </c>
    </row>
    <row r="744" spans="1:6" x14ac:dyDescent="0.3">
      <c r="A744">
        <v>17</v>
      </c>
      <c r="B744" t="s">
        <v>2836</v>
      </c>
      <c r="C744" t="s">
        <v>4363</v>
      </c>
      <c r="E744">
        <v>32000000</v>
      </c>
      <c r="F744">
        <v>254876438890</v>
      </c>
    </row>
    <row r="745" spans="1:6" x14ac:dyDescent="0.3">
      <c r="A745">
        <v>17</v>
      </c>
      <c r="B745" t="s">
        <v>2037</v>
      </c>
      <c r="C745" t="s">
        <v>6716</v>
      </c>
      <c r="E745">
        <v>35000000</v>
      </c>
      <c r="F745">
        <v>254844438890</v>
      </c>
    </row>
    <row r="746" spans="1:6" x14ac:dyDescent="0.3">
      <c r="A746">
        <v>17</v>
      </c>
      <c r="B746" t="s">
        <v>2037</v>
      </c>
      <c r="C746" t="s">
        <v>6715</v>
      </c>
      <c r="E746">
        <v>38000000</v>
      </c>
      <c r="F746">
        <v>254809438890</v>
      </c>
    </row>
    <row r="747" spans="1:6" x14ac:dyDescent="0.3">
      <c r="A747">
        <v>17</v>
      </c>
      <c r="B747" t="s">
        <v>2063</v>
      </c>
      <c r="C747" t="s">
        <v>6714</v>
      </c>
      <c r="E747">
        <v>160909091</v>
      </c>
      <c r="F747">
        <v>254771438890</v>
      </c>
    </row>
    <row r="748" spans="1:6" x14ac:dyDescent="0.3">
      <c r="A748">
        <v>17</v>
      </c>
      <c r="B748" t="s">
        <v>2830</v>
      </c>
      <c r="C748" t="s">
        <v>3903</v>
      </c>
      <c r="E748">
        <v>1181818</v>
      </c>
      <c r="F748">
        <v>254610529799</v>
      </c>
    </row>
    <row r="749" spans="1:6" x14ac:dyDescent="0.3">
      <c r="A749">
        <v>17</v>
      </c>
      <c r="B749" t="s">
        <v>2028</v>
      </c>
      <c r="C749" t="s">
        <v>6713</v>
      </c>
      <c r="E749">
        <v>14030000</v>
      </c>
      <c r="F749">
        <v>254609347981</v>
      </c>
    </row>
    <row r="750" spans="1:6" x14ac:dyDescent="0.3">
      <c r="A750">
        <v>17</v>
      </c>
      <c r="B750" t="s">
        <v>2032</v>
      </c>
      <c r="C750" t="s">
        <v>4647</v>
      </c>
      <c r="E750">
        <v>18373000</v>
      </c>
      <c r="F750">
        <v>254595317981</v>
      </c>
    </row>
    <row r="751" spans="1:6" x14ac:dyDescent="0.3">
      <c r="A751">
        <v>17</v>
      </c>
      <c r="B751" t="s">
        <v>2836</v>
      </c>
      <c r="C751" t="s">
        <v>6712</v>
      </c>
      <c r="E751">
        <v>32000000</v>
      </c>
      <c r="F751">
        <v>254576944981</v>
      </c>
    </row>
    <row r="752" spans="1:6" x14ac:dyDescent="0.3">
      <c r="A752">
        <v>17</v>
      </c>
      <c r="B752" t="s">
        <v>2836</v>
      </c>
      <c r="C752" t="s">
        <v>6694</v>
      </c>
      <c r="E752">
        <v>30000000</v>
      </c>
      <c r="F752">
        <v>254544944981</v>
      </c>
    </row>
    <row r="753" spans="1:6" x14ac:dyDescent="0.3">
      <c r="A753">
        <v>17</v>
      </c>
      <c r="B753" t="s">
        <v>2037</v>
      </c>
      <c r="C753" t="s">
        <v>6711</v>
      </c>
      <c r="E753">
        <v>36500000</v>
      </c>
      <c r="F753">
        <v>254514944981</v>
      </c>
    </row>
    <row r="754" spans="1:6" x14ac:dyDescent="0.3">
      <c r="A754">
        <v>17</v>
      </c>
      <c r="B754" t="s">
        <v>2039</v>
      </c>
      <c r="C754" t="s">
        <v>6710</v>
      </c>
      <c r="E754">
        <v>40000000</v>
      </c>
      <c r="F754">
        <v>254478444981</v>
      </c>
    </row>
    <row r="755" spans="1:6" x14ac:dyDescent="0.3">
      <c r="A755">
        <v>17</v>
      </c>
      <c r="B755" t="s">
        <v>2840</v>
      </c>
      <c r="C755" t="s">
        <v>6709</v>
      </c>
      <c r="E755">
        <v>205000000</v>
      </c>
      <c r="F755">
        <v>254438444981</v>
      </c>
    </row>
    <row r="756" spans="1:6" x14ac:dyDescent="0.3">
      <c r="A756">
        <v>17</v>
      </c>
      <c r="B756" t="s">
        <v>2037</v>
      </c>
      <c r="C756" t="s">
        <v>6708</v>
      </c>
      <c r="E756">
        <v>37000000</v>
      </c>
      <c r="F756">
        <v>254233444981</v>
      </c>
    </row>
    <row r="757" spans="1:6" x14ac:dyDescent="0.3">
      <c r="A757">
        <v>17</v>
      </c>
      <c r="B757" t="s">
        <v>2041</v>
      </c>
      <c r="C757" t="s">
        <v>6707</v>
      </c>
      <c r="E757">
        <v>53000000</v>
      </c>
      <c r="F757">
        <v>254196444981</v>
      </c>
    </row>
    <row r="758" spans="1:6" x14ac:dyDescent="0.3">
      <c r="A758">
        <v>17</v>
      </c>
      <c r="B758" t="s">
        <v>2836</v>
      </c>
      <c r="C758" t="s">
        <v>6706</v>
      </c>
      <c r="E758">
        <v>32000000</v>
      </c>
      <c r="F758">
        <v>254143444981</v>
      </c>
    </row>
    <row r="759" spans="1:6" x14ac:dyDescent="0.3">
      <c r="A759">
        <v>17</v>
      </c>
      <c r="B759" t="s">
        <v>2028</v>
      </c>
      <c r="C759" t="s">
        <v>6705</v>
      </c>
      <c r="E759">
        <v>14363635</v>
      </c>
      <c r="F759">
        <v>254111444981</v>
      </c>
    </row>
    <row r="760" spans="1:6" x14ac:dyDescent="0.3">
      <c r="A760">
        <v>17</v>
      </c>
      <c r="B760" t="s">
        <v>2032</v>
      </c>
      <c r="C760" t="s">
        <v>6704</v>
      </c>
      <c r="E760">
        <v>18373000</v>
      </c>
      <c r="F760">
        <v>254097081346</v>
      </c>
    </row>
    <row r="761" spans="1:6" x14ac:dyDescent="0.3">
      <c r="A761">
        <v>17</v>
      </c>
      <c r="B761" t="s">
        <v>2037</v>
      </c>
      <c r="C761" t="s">
        <v>6703</v>
      </c>
      <c r="E761">
        <v>18373000</v>
      </c>
      <c r="F761">
        <v>254078708346</v>
      </c>
    </row>
    <row r="762" spans="1:6" x14ac:dyDescent="0.3">
      <c r="A762">
        <v>17</v>
      </c>
      <c r="B762" t="s">
        <v>2032</v>
      </c>
      <c r="C762" t="s">
        <v>6619</v>
      </c>
      <c r="E762">
        <v>-18803000</v>
      </c>
      <c r="F762">
        <v>254060335346</v>
      </c>
    </row>
    <row r="763" spans="1:6" x14ac:dyDescent="0.3">
      <c r="A763">
        <v>17</v>
      </c>
      <c r="B763" t="s">
        <v>2032</v>
      </c>
      <c r="C763" t="s">
        <v>6619</v>
      </c>
      <c r="E763">
        <v>-18803000</v>
      </c>
      <c r="F763">
        <v>254079138346</v>
      </c>
    </row>
    <row r="764" spans="1:6" x14ac:dyDescent="0.3">
      <c r="A764">
        <v>17</v>
      </c>
      <c r="B764" t="s">
        <v>2063</v>
      </c>
      <c r="C764" t="s">
        <v>6702</v>
      </c>
      <c r="E764">
        <v>155000000</v>
      </c>
      <c r="F764">
        <v>254097941346</v>
      </c>
    </row>
    <row r="765" spans="1:6" x14ac:dyDescent="0.3">
      <c r="A765">
        <v>17</v>
      </c>
      <c r="B765" t="s">
        <v>2062</v>
      </c>
      <c r="C765" t="s">
        <v>6701</v>
      </c>
      <c r="E765">
        <v>175000000</v>
      </c>
      <c r="F765">
        <v>253942941346</v>
      </c>
    </row>
    <row r="766" spans="1:6" x14ac:dyDescent="0.3">
      <c r="A766">
        <v>17</v>
      </c>
      <c r="B766" t="s">
        <v>2836</v>
      </c>
      <c r="C766" t="s">
        <v>6592</v>
      </c>
      <c r="E766">
        <v>33227273</v>
      </c>
      <c r="F766">
        <v>253767941346</v>
      </c>
    </row>
    <row r="767" spans="1:6" x14ac:dyDescent="0.3">
      <c r="A767">
        <v>17</v>
      </c>
      <c r="B767" t="s">
        <v>2836</v>
      </c>
      <c r="C767" t="s">
        <v>4602</v>
      </c>
      <c r="E767">
        <v>32000000</v>
      </c>
      <c r="F767">
        <v>253734714073</v>
      </c>
    </row>
    <row r="768" spans="1:6" x14ac:dyDescent="0.3">
      <c r="A768">
        <v>17</v>
      </c>
      <c r="B768" t="s">
        <v>2836</v>
      </c>
      <c r="C768" t="s">
        <v>6700</v>
      </c>
      <c r="E768">
        <v>31000000</v>
      </c>
      <c r="F768">
        <v>253702714073</v>
      </c>
    </row>
    <row r="769" spans="1:6" x14ac:dyDescent="0.3">
      <c r="A769">
        <v>17</v>
      </c>
      <c r="B769" t="s">
        <v>2037</v>
      </c>
      <c r="C769" t="s">
        <v>6699</v>
      </c>
      <c r="E769">
        <v>37000000</v>
      </c>
      <c r="F769">
        <v>253671714073</v>
      </c>
    </row>
    <row r="770" spans="1:6" x14ac:dyDescent="0.3">
      <c r="A770">
        <v>17</v>
      </c>
      <c r="B770" t="s">
        <v>2039</v>
      </c>
      <c r="C770" t="s">
        <v>4601</v>
      </c>
      <c r="E770">
        <v>40000000</v>
      </c>
      <c r="F770">
        <v>253634714073</v>
      </c>
    </row>
    <row r="771" spans="1:6" x14ac:dyDescent="0.3">
      <c r="A771">
        <v>17</v>
      </c>
      <c r="B771" t="s">
        <v>2039</v>
      </c>
      <c r="C771" t="s">
        <v>6472</v>
      </c>
      <c r="E771">
        <v>39000000</v>
      </c>
      <c r="F771">
        <v>253594714073</v>
      </c>
    </row>
    <row r="772" spans="1:6" x14ac:dyDescent="0.3">
      <c r="A772">
        <v>17</v>
      </c>
      <c r="B772" t="s">
        <v>2039</v>
      </c>
      <c r="C772" t="s">
        <v>3436</v>
      </c>
      <c r="E772">
        <v>44909091</v>
      </c>
      <c r="F772">
        <v>253555714073</v>
      </c>
    </row>
    <row r="773" spans="1:6" x14ac:dyDescent="0.3">
      <c r="A773">
        <v>17</v>
      </c>
      <c r="B773" t="s">
        <v>2032</v>
      </c>
      <c r="C773" t="s">
        <v>6619</v>
      </c>
      <c r="E773">
        <v>18803000</v>
      </c>
      <c r="F773">
        <v>253510804982</v>
      </c>
    </row>
    <row r="774" spans="1:6" x14ac:dyDescent="0.3">
      <c r="A774">
        <v>17</v>
      </c>
      <c r="B774" t="s">
        <v>2032</v>
      </c>
      <c r="C774" t="s">
        <v>6619</v>
      </c>
      <c r="E774">
        <v>18803000</v>
      </c>
      <c r="F774">
        <v>253492001982</v>
      </c>
    </row>
    <row r="775" spans="1:6" x14ac:dyDescent="0.3">
      <c r="A775">
        <v>17</v>
      </c>
      <c r="B775" t="s">
        <v>2032</v>
      </c>
      <c r="C775" t="s">
        <v>5139</v>
      </c>
      <c r="E775">
        <v>35300000</v>
      </c>
      <c r="F775">
        <v>253473198982</v>
      </c>
    </row>
    <row r="776" spans="1:6" x14ac:dyDescent="0.3">
      <c r="A776">
        <v>17</v>
      </c>
      <c r="B776" t="s">
        <v>2039</v>
      </c>
      <c r="C776" t="s">
        <v>6698</v>
      </c>
      <c r="E776">
        <v>42100000</v>
      </c>
      <c r="F776">
        <v>253437898982</v>
      </c>
    </row>
    <row r="777" spans="1:6" x14ac:dyDescent="0.3">
      <c r="A777">
        <v>17</v>
      </c>
      <c r="B777" t="s">
        <v>2836</v>
      </c>
      <c r="C777" t="s">
        <v>6697</v>
      </c>
      <c r="E777">
        <v>31000000</v>
      </c>
      <c r="F777">
        <v>253395798982</v>
      </c>
    </row>
    <row r="778" spans="1:6" x14ac:dyDescent="0.3">
      <c r="A778">
        <v>17</v>
      </c>
      <c r="B778" t="s">
        <v>2836</v>
      </c>
      <c r="C778" t="s">
        <v>3874</v>
      </c>
      <c r="E778">
        <v>32727273</v>
      </c>
      <c r="F778">
        <v>253364798982</v>
      </c>
    </row>
    <row r="779" spans="1:6" x14ac:dyDescent="0.3">
      <c r="A779">
        <v>17</v>
      </c>
      <c r="B779" t="s">
        <v>2032</v>
      </c>
      <c r="C779" t="s">
        <v>6619</v>
      </c>
      <c r="E779">
        <v>18803000</v>
      </c>
      <c r="F779">
        <v>253332071709</v>
      </c>
    </row>
    <row r="780" spans="1:6" x14ac:dyDescent="0.3">
      <c r="A780">
        <v>17</v>
      </c>
      <c r="B780" t="s">
        <v>2032</v>
      </c>
      <c r="C780" t="s">
        <v>6619</v>
      </c>
      <c r="E780">
        <v>18803000</v>
      </c>
      <c r="F780">
        <v>253313268709</v>
      </c>
    </row>
    <row r="781" spans="1:6" x14ac:dyDescent="0.3">
      <c r="A781">
        <v>17</v>
      </c>
      <c r="B781" t="s">
        <v>2039</v>
      </c>
      <c r="C781" t="s">
        <v>6696</v>
      </c>
      <c r="E781">
        <v>43181818</v>
      </c>
      <c r="F781">
        <v>253294465709</v>
      </c>
    </row>
    <row r="782" spans="1:6" x14ac:dyDescent="0.3">
      <c r="A782">
        <v>17</v>
      </c>
      <c r="B782" t="s">
        <v>2034</v>
      </c>
      <c r="C782" t="s">
        <v>6695</v>
      </c>
      <c r="E782">
        <v>45543637</v>
      </c>
      <c r="F782">
        <v>253251283891</v>
      </c>
    </row>
    <row r="783" spans="1:6" x14ac:dyDescent="0.3">
      <c r="A783">
        <v>17</v>
      </c>
      <c r="B783" t="s">
        <v>2034</v>
      </c>
      <c r="C783" t="s">
        <v>6694</v>
      </c>
      <c r="E783">
        <v>41000000</v>
      </c>
      <c r="F783">
        <v>253205740254</v>
      </c>
    </row>
    <row r="784" spans="1:6" x14ac:dyDescent="0.3">
      <c r="A784">
        <v>17</v>
      </c>
      <c r="B784" t="s">
        <v>2037</v>
      </c>
      <c r="C784" t="s">
        <v>6693</v>
      </c>
      <c r="E784">
        <v>37000000</v>
      </c>
      <c r="F784">
        <v>253164740254</v>
      </c>
    </row>
    <row r="785" spans="1:6" x14ac:dyDescent="0.3">
      <c r="A785">
        <v>17</v>
      </c>
      <c r="B785" t="s">
        <v>2055</v>
      </c>
      <c r="C785" t="s">
        <v>6692</v>
      </c>
      <c r="E785">
        <v>62800000</v>
      </c>
      <c r="F785">
        <v>253127740254</v>
      </c>
    </row>
    <row r="786" spans="1:6" x14ac:dyDescent="0.3">
      <c r="A786">
        <v>17</v>
      </c>
      <c r="B786" t="s">
        <v>2055</v>
      </c>
      <c r="C786" t="s">
        <v>6691</v>
      </c>
      <c r="E786">
        <v>60669000</v>
      </c>
      <c r="F786">
        <v>253064940254</v>
      </c>
    </row>
    <row r="787" spans="1:6" x14ac:dyDescent="0.3">
      <c r="A787">
        <v>17</v>
      </c>
      <c r="B787" t="s">
        <v>2039</v>
      </c>
      <c r="C787" t="s">
        <v>6690</v>
      </c>
      <c r="E787">
        <v>41545455</v>
      </c>
      <c r="F787">
        <v>253004271254</v>
      </c>
    </row>
    <row r="788" spans="1:6" x14ac:dyDescent="0.3">
      <c r="A788">
        <v>17</v>
      </c>
      <c r="B788" t="s">
        <v>2028</v>
      </c>
      <c r="C788" t="s">
        <v>6689</v>
      </c>
      <c r="E788">
        <v>29170910</v>
      </c>
      <c r="F788">
        <v>252962725799</v>
      </c>
    </row>
    <row r="789" spans="1:6" x14ac:dyDescent="0.3">
      <c r="A789">
        <v>17</v>
      </c>
      <c r="B789" t="s">
        <v>2039</v>
      </c>
      <c r="C789" t="s">
        <v>6688</v>
      </c>
      <c r="E789">
        <v>44513637</v>
      </c>
      <c r="F789">
        <v>252933554889</v>
      </c>
    </row>
    <row r="790" spans="1:6" x14ac:dyDescent="0.3">
      <c r="A790">
        <v>17</v>
      </c>
      <c r="B790" t="s">
        <v>2836</v>
      </c>
      <c r="C790" t="s">
        <v>6687</v>
      </c>
      <c r="E790">
        <v>32000000</v>
      </c>
      <c r="F790">
        <v>252889041252</v>
      </c>
    </row>
    <row r="791" spans="1:6" x14ac:dyDescent="0.3">
      <c r="A791">
        <v>17</v>
      </c>
      <c r="B791" t="s">
        <v>2041</v>
      </c>
      <c r="C791" t="s">
        <v>6686</v>
      </c>
      <c r="E791">
        <v>52000000</v>
      </c>
      <c r="F791">
        <v>252857041252</v>
      </c>
    </row>
    <row r="792" spans="1:6" x14ac:dyDescent="0.3">
      <c r="A792">
        <v>17</v>
      </c>
      <c r="B792" t="s">
        <v>2836</v>
      </c>
      <c r="C792" t="s">
        <v>6685</v>
      </c>
      <c r="E792">
        <v>32000000</v>
      </c>
      <c r="F792">
        <v>252805041252</v>
      </c>
    </row>
    <row r="793" spans="1:6" x14ac:dyDescent="0.3">
      <c r="A793">
        <v>17</v>
      </c>
      <c r="B793" t="s">
        <v>2041</v>
      </c>
      <c r="C793" t="s">
        <v>6684</v>
      </c>
      <c r="E793">
        <v>51818182</v>
      </c>
      <c r="F793">
        <v>252773041252</v>
      </c>
    </row>
    <row r="794" spans="1:6" x14ac:dyDescent="0.3">
      <c r="A794">
        <v>17</v>
      </c>
      <c r="B794" t="s">
        <v>2037</v>
      </c>
      <c r="C794" t="s">
        <v>6683</v>
      </c>
      <c r="E794">
        <v>37000000</v>
      </c>
      <c r="F794">
        <v>252721223070</v>
      </c>
    </row>
    <row r="795" spans="1:6" x14ac:dyDescent="0.3">
      <c r="A795">
        <v>17</v>
      </c>
      <c r="B795" t="s">
        <v>2037</v>
      </c>
      <c r="C795" t="s">
        <v>6682</v>
      </c>
      <c r="E795">
        <v>38636364</v>
      </c>
      <c r="F795">
        <v>252684223070</v>
      </c>
    </row>
    <row r="796" spans="1:6" x14ac:dyDescent="0.3">
      <c r="A796">
        <v>17</v>
      </c>
      <c r="B796" t="s">
        <v>2034</v>
      </c>
      <c r="C796" t="s">
        <v>6681</v>
      </c>
      <c r="E796">
        <v>46268183</v>
      </c>
      <c r="F796">
        <v>252645586706</v>
      </c>
    </row>
    <row r="797" spans="1:6" x14ac:dyDescent="0.3">
      <c r="A797">
        <v>17</v>
      </c>
      <c r="B797" t="s">
        <v>7364</v>
      </c>
      <c r="C797" t="s">
        <v>6549</v>
      </c>
      <c r="E797">
        <v>1750056000</v>
      </c>
      <c r="F797">
        <v>252599318523</v>
      </c>
    </row>
    <row r="798" spans="1:6" x14ac:dyDescent="0.3">
      <c r="A798">
        <v>17</v>
      </c>
      <c r="B798" t="s">
        <v>2034</v>
      </c>
      <c r="C798" t="s">
        <v>6680</v>
      </c>
      <c r="E798">
        <v>47845455</v>
      </c>
      <c r="F798">
        <v>250849262523</v>
      </c>
    </row>
    <row r="799" spans="1:6" x14ac:dyDescent="0.3">
      <c r="A799">
        <v>17</v>
      </c>
      <c r="B799" t="s">
        <v>2045</v>
      </c>
      <c r="C799" t="s">
        <v>6679</v>
      </c>
      <c r="E799">
        <v>96811819</v>
      </c>
      <c r="F799">
        <v>250801417068</v>
      </c>
    </row>
    <row r="800" spans="1:6" x14ac:dyDescent="0.3">
      <c r="A800">
        <v>17</v>
      </c>
      <c r="B800" t="s">
        <v>2055</v>
      </c>
      <c r="C800" t="s">
        <v>6678</v>
      </c>
      <c r="E800">
        <v>61363636</v>
      </c>
      <c r="F800">
        <v>250704605249</v>
      </c>
    </row>
    <row r="801" spans="1:6" x14ac:dyDescent="0.3">
      <c r="A801">
        <v>17</v>
      </c>
      <c r="B801" t="s">
        <v>2039</v>
      </c>
      <c r="C801" t="s">
        <v>4297</v>
      </c>
      <c r="E801">
        <v>42300000</v>
      </c>
      <c r="F801">
        <v>250643241613</v>
      </c>
    </row>
    <row r="802" spans="1:6" x14ac:dyDescent="0.3">
      <c r="A802">
        <v>17</v>
      </c>
      <c r="B802" t="s">
        <v>2037</v>
      </c>
      <c r="C802" t="s">
        <v>4960</v>
      </c>
      <c r="E802">
        <v>37700000</v>
      </c>
      <c r="F802">
        <v>250600941613</v>
      </c>
    </row>
    <row r="803" spans="1:6" x14ac:dyDescent="0.3">
      <c r="A803">
        <v>17</v>
      </c>
      <c r="B803" t="s">
        <v>2037</v>
      </c>
      <c r="C803" t="s">
        <v>6677</v>
      </c>
      <c r="E803">
        <v>37000000</v>
      </c>
      <c r="F803">
        <v>250563241613</v>
      </c>
    </row>
    <row r="804" spans="1:6" x14ac:dyDescent="0.3">
      <c r="A804">
        <v>17</v>
      </c>
      <c r="B804" t="s">
        <v>2037</v>
      </c>
      <c r="C804" t="s">
        <v>6676</v>
      </c>
      <c r="E804">
        <v>39618182</v>
      </c>
      <c r="F804">
        <v>250526241613</v>
      </c>
    </row>
    <row r="805" spans="1:6" x14ac:dyDescent="0.3">
      <c r="A805">
        <v>17</v>
      </c>
      <c r="B805" t="s">
        <v>2039</v>
      </c>
      <c r="C805" t="s">
        <v>4938</v>
      </c>
      <c r="E805">
        <v>40400000</v>
      </c>
      <c r="F805">
        <v>250486623431</v>
      </c>
    </row>
    <row r="806" spans="1:6" x14ac:dyDescent="0.3">
      <c r="A806">
        <v>17</v>
      </c>
      <c r="B806" t="s">
        <v>2032</v>
      </c>
      <c r="C806" t="s">
        <v>6675</v>
      </c>
      <c r="E806">
        <v>18373000</v>
      </c>
      <c r="F806">
        <v>250446223431</v>
      </c>
    </row>
    <row r="807" spans="1:6" x14ac:dyDescent="0.3">
      <c r="A807">
        <v>17</v>
      </c>
      <c r="B807" t="s">
        <v>3937</v>
      </c>
      <c r="C807" t="s">
        <v>6674</v>
      </c>
      <c r="E807">
        <v>95441819</v>
      </c>
      <c r="F807">
        <v>250427850431</v>
      </c>
    </row>
    <row r="808" spans="1:6" x14ac:dyDescent="0.3">
      <c r="A808">
        <v>17</v>
      </c>
      <c r="B808" t="s">
        <v>2034</v>
      </c>
      <c r="C808" t="s">
        <v>5832</v>
      </c>
      <c r="E808">
        <v>44200000</v>
      </c>
      <c r="F808">
        <v>250332408612</v>
      </c>
    </row>
    <row r="809" spans="1:6" x14ac:dyDescent="0.3">
      <c r="A809">
        <v>17</v>
      </c>
      <c r="B809" t="s">
        <v>2034</v>
      </c>
      <c r="C809" t="s">
        <v>5832</v>
      </c>
      <c r="E809">
        <v>43570910</v>
      </c>
      <c r="F809">
        <v>250288208612</v>
      </c>
    </row>
    <row r="810" spans="1:6" x14ac:dyDescent="0.3">
      <c r="A810">
        <v>17</v>
      </c>
      <c r="B810" t="s">
        <v>2034</v>
      </c>
      <c r="C810" t="s">
        <v>6673</v>
      </c>
      <c r="E810">
        <v>45190910</v>
      </c>
      <c r="F810">
        <v>250244637702</v>
      </c>
    </row>
    <row r="811" spans="1:6" x14ac:dyDescent="0.3">
      <c r="A811">
        <v>17</v>
      </c>
      <c r="B811" t="s">
        <v>2067</v>
      </c>
      <c r="C811" t="s">
        <v>5278</v>
      </c>
      <c r="E811">
        <v>70854545</v>
      </c>
      <c r="F811">
        <v>250199446792</v>
      </c>
    </row>
    <row r="812" spans="1:6" x14ac:dyDescent="0.3">
      <c r="A812">
        <v>17</v>
      </c>
      <c r="B812" t="s">
        <v>2067</v>
      </c>
      <c r="C812" t="s">
        <v>5278</v>
      </c>
      <c r="E812">
        <v>-70957728</v>
      </c>
      <c r="F812">
        <v>250128592247</v>
      </c>
    </row>
    <row r="813" spans="1:6" x14ac:dyDescent="0.3">
      <c r="A813">
        <v>17</v>
      </c>
      <c r="B813" t="s">
        <v>7155</v>
      </c>
      <c r="C813" t="s">
        <v>6105</v>
      </c>
      <c r="E813">
        <v>32865175</v>
      </c>
      <c r="F813">
        <v>250199549975</v>
      </c>
    </row>
    <row r="814" spans="1:6" x14ac:dyDescent="0.3">
      <c r="A814">
        <v>17</v>
      </c>
      <c r="B814" t="s">
        <v>2049</v>
      </c>
      <c r="C814" t="s">
        <v>6672</v>
      </c>
      <c r="E814">
        <v>100422728</v>
      </c>
      <c r="F814">
        <v>250166684800</v>
      </c>
    </row>
    <row r="815" spans="1:6" x14ac:dyDescent="0.3">
      <c r="A815">
        <v>17</v>
      </c>
      <c r="B815" t="s">
        <v>2067</v>
      </c>
      <c r="C815" t="s">
        <v>5278</v>
      </c>
      <c r="E815">
        <v>70957728</v>
      </c>
      <c r="F815">
        <v>250066262072</v>
      </c>
    </row>
    <row r="816" spans="1:6" x14ac:dyDescent="0.3">
      <c r="A816">
        <v>17</v>
      </c>
      <c r="B816" t="s">
        <v>2850</v>
      </c>
      <c r="C816" t="s">
        <v>6672</v>
      </c>
      <c r="E816">
        <v>500000</v>
      </c>
      <c r="F816">
        <v>249995304344</v>
      </c>
    </row>
    <row r="817" spans="1:6" x14ac:dyDescent="0.3">
      <c r="A817">
        <v>17</v>
      </c>
      <c r="B817" t="s">
        <v>2836</v>
      </c>
      <c r="C817" t="s">
        <v>6671</v>
      </c>
      <c r="E817">
        <v>31000000</v>
      </c>
      <c r="F817">
        <v>249994804344</v>
      </c>
    </row>
    <row r="818" spans="1:6" x14ac:dyDescent="0.3">
      <c r="A818">
        <v>17</v>
      </c>
      <c r="B818" t="s">
        <v>2037</v>
      </c>
      <c r="C818" t="s">
        <v>6670</v>
      </c>
      <c r="E818">
        <v>37000000</v>
      </c>
      <c r="F818">
        <v>249963804344</v>
      </c>
    </row>
    <row r="819" spans="1:6" x14ac:dyDescent="0.3">
      <c r="A819">
        <v>17</v>
      </c>
      <c r="B819" t="s">
        <v>2039</v>
      </c>
      <c r="C819" t="s">
        <v>6669</v>
      </c>
      <c r="E819">
        <v>41000000</v>
      </c>
      <c r="F819">
        <v>249926804344</v>
      </c>
    </row>
    <row r="820" spans="1:6" x14ac:dyDescent="0.3">
      <c r="A820">
        <v>17</v>
      </c>
      <c r="B820" t="s">
        <v>2055</v>
      </c>
      <c r="C820" t="s">
        <v>6668</v>
      </c>
      <c r="E820">
        <v>60200000</v>
      </c>
      <c r="F820">
        <v>249885804344</v>
      </c>
    </row>
    <row r="821" spans="1:6" x14ac:dyDescent="0.3">
      <c r="A821">
        <v>17</v>
      </c>
      <c r="B821" t="s">
        <v>2836</v>
      </c>
      <c r="C821" t="s">
        <v>6667</v>
      </c>
      <c r="E821">
        <v>32000000</v>
      </c>
      <c r="F821">
        <v>249825604344</v>
      </c>
    </row>
    <row r="822" spans="1:6" x14ac:dyDescent="0.3">
      <c r="A822">
        <v>17</v>
      </c>
      <c r="B822" t="s">
        <v>2039</v>
      </c>
      <c r="C822" t="s">
        <v>6666</v>
      </c>
      <c r="E822">
        <v>40000000</v>
      </c>
      <c r="F822">
        <v>249793604344</v>
      </c>
    </row>
    <row r="823" spans="1:6" x14ac:dyDescent="0.3">
      <c r="A823">
        <v>17</v>
      </c>
      <c r="B823" t="s">
        <v>2039</v>
      </c>
      <c r="C823" t="s">
        <v>4491</v>
      </c>
      <c r="E823">
        <v>43593637</v>
      </c>
      <c r="F823">
        <v>249753604344</v>
      </c>
    </row>
    <row r="824" spans="1:6" x14ac:dyDescent="0.3">
      <c r="A824">
        <v>17</v>
      </c>
      <c r="B824" t="s">
        <v>2037</v>
      </c>
      <c r="C824" t="s">
        <v>6665</v>
      </c>
      <c r="E824">
        <v>36500000</v>
      </c>
      <c r="F824">
        <v>249710010707</v>
      </c>
    </row>
    <row r="825" spans="1:6" x14ac:dyDescent="0.3">
      <c r="A825">
        <v>17</v>
      </c>
      <c r="B825" t="s">
        <v>2037</v>
      </c>
      <c r="C825" t="s">
        <v>6664</v>
      </c>
      <c r="E825">
        <v>36500000</v>
      </c>
      <c r="F825">
        <v>249673510707</v>
      </c>
    </row>
    <row r="826" spans="1:6" x14ac:dyDescent="0.3">
      <c r="A826">
        <v>17</v>
      </c>
      <c r="B826" t="s">
        <v>2037</v>
      </c>
      <c r="C826" t="s">
        <v>6663</v>
      </c>
      <c r="E826">
        <v>37000000</v>
      </c>
      <c r="F826">
        <v>249637010707</v>
      </c>
    </row>
    <row r="827" spans="1:6" x14ac:dyDescent="0.3">
      <c r="A827">
        <v>17</v>
      </c>
      <c r="B827" t="s">
        <v>2039</v>
      </c>
      <c r="C827" t="s">
        <v>3953</v>
      </c>
      <c r="E827">
        <v>41600000</v>
      </c>
      <c r="F827">
        <v>249600010707</v>
      </c>
    </row>
    <row r="828" spans="1:6" x14ac:dyDescent="0.3">
      <c r="A828">
        <v>17</v>
      </c>
      <c r="B828" t="s">
        <v>2037</v>
      </c>
      <c r="C828" t="s">
        <v>6662</v>
      </c>
      <c r="E828">
        <v>36500000</v>
      </c>
      <c r="F828">
        <v>249558410707</v>
      </c>
    </row>
    <row r="829" spans="1:6" x14ac:dyDescent="0.3">
      <c r="A829">
        <v>17</v>
      </c>
      <c r="B829" t="s">
        <v>7213</v>
      </c>
      <c r="C829" t="s">
        <v>3715</v>
      </c>
      <c r="E829">
        <v>27562428</v>
      </c>
      <c r="F829">
        <v>249521910707</v>
      </c>
    </row>
    <row r="830" spans="1:6" x14ac:dyDescent="0.3">
      <c r="A830">
        <v>17</v>
      </c>
      <c r="B830" t="s">
        <v>2836</v>
      </c>
      <c r="C830" t="s">
        <v>4479</v>
      </c>
      <c r="E830">
        <v>31000000</v>
      </c>
      <c r="F830">
        <v>249494348279</v>
      </c>
    </row>
    <row r="831" spans="1:6" x14ac:dyDescent="0.3">
      <c r="A831">
        <v>17</v>
      </c>
      <c r="B831" t="s">
        <v>2840</v>
      </c>
      <c r="C831" t="s">
        <v>6661</v>
      </c>
      <c r="E831">
        <v>210000000</v>
      </c>
      <c r="F831">
        <v>249463348279</v>
      </c>
    </row>
    <row r="832" spans="1:6" x14ac:dyDescent="0.3">
      <c r="A832">
        <v>17</v>
      </c>
      <c r="B832" t="s">
        <v>2062</v>
      </c>
      <c r="C832" t="s">
        <v>6660</v>
      </c>
      <c r="E832">
        <v>172000000</v>
      </c>
      <c r="F832">
        <v>249253348279</v>
      </c>
    </row>
    <row r="833" spans="1:6" x14ac:dyDescent="0.3">
      <c r="A833">
        <v>17</v>
      </c>
      <c r="B833" t="s">
        <v>2060</v>
      </c>
      <c r="C833" t="s">
        <v>6659</v>
      </c>
      <c r="E833">
        <v>164000000</v>
      </c>
      <c r="F833">
        <v>249081348279</v>
      </c>
    </row>
    <row r="834" spans="1:6" x14ac:dyDescent="0.3">
      <c r="A834">
        <v>17</v>
      </c>
      <c r="B834" t="s">
        <v>2037</v>
      </c>
      <c r="C834" t="s">
        <v>6455</v>
      </c>
      <c r="E834">
        <v>37200000</v>
      </c>
      <c r="F834">
        <v>248917348279</v>
      </c>
    </row>
    <row r="835" spans="1:6" x14ac:dyDescent="0.3">
      <c r="A835">
        <v>17</v>
      </c>
      <c r="B835" t="s">
        <v>2820</v>
      </c>
      <c r="C835" t="s">
        <v>6658</v>
      </c>
      <c r="E835">
        <v>51615455</v>
      </c>
      <c r="F835">
        <v>248880148279</v>
      </c>
    </row>
    <row r="836" spans="1:6" x14ac:dyDescent="0.3">
      <c r="A836">
        <v>17</v>
      </c>
      <c r="B836" t="s">
        <v>2067</v>
      </c>
      <c r="C836" t="s">
        <v>6657</v>
      </c>
      <c r="E836">
        <v>51343182</v>
      </c>
      <c r="F836">
        <v>248828532824</v>
      </c>
    </row>
    <row r="837" spans="1:6" x14ac:dyDescent="0.3">
      <c r="A837">
        <v>17</v>
      </c>
      <c r="B837" t="s">
        <v>2037</v>
      </c>
      <c r="C837" t="s">
        <v>6656</v>
      </c>
      <c r="E837">
        <v>35670000</v>
      </c>
      <c r="F837">
        <v>248777189642</v>
      </c>
    </row>
    <row r="838" spans="1:6" x14ac:dyDescent="0.3">
      <c r="A838">
        <v>17</v>
      </c>
      <c r="B838" t="s">
        <v>2037</v>
      </c>
      <c r="C838" t="s">
        <v>6655</v>
      </c>
      <c r="E838">
        <v>37500000</v>
      </c>
      <c r="F838">
        <v>248741519642</v>
      </c>
    </row>
    <row r="839" spans="1:6" x14ac:dyDescent="0.3">
      <c r="A839">
        <v>17</v>
      </c>
      <c r="B839" t="s">
        <v>2836</v>
      </c>
      <c r="C839" t="s">
        <v>6655</v>
      </c>
      <c r="E839">
        <v>32000000</v>
      </c>
      <c r="F839">
        <v>248704019642</v>
      </c>
    </row>
    <row r="840" spans="1:6" x14ac:dyDescent="0.3">
      <c r="A840">
        <v>17</v>
      </c>
      <c r="B840" t="s">
        <v>2836</v>
      </c>
      <c r="C840" t="s">
        <v>4509</v>
      </c>
      <c r="E840">
        <v>32000000</v>
      </c>
      <c r="F840">
        <v>248672019642</v>
      </c>
    </row>
    <row r="841" spans="1:6" x14ac:dyDescent="0.3">
      <c r="A841">
        <v>17</v>
      </c>
      <c r="B841" t="s">
        <v>2037</v>
      </c>
      <c r="C841" t="s">
        <v>6569</v>
      </c>
      <c r="E841">
        <v>18573000</v>
      </c>
      <c r="F841">
        <v>248640019642</v>
      </c>
    </row>
    <row r="842" spans="1:6" x14ac:dyDescent="0.3">
      <c r="A842">
        <v>17</v>
      </c>
      <c r="B842" t="s">
        <v>2032</v>
      </c>
      <c r="C842" t="s">
        <v>4552</v>
      </c>
      <c r="E842">
        <v>18500000</v>
      </c>
      <c r="F842">
        <v>248621446642</v>
      </c>
    </row>
    <row r="843" spans="1:6" x14ac:dyDescent="0.3">
      <c r="A843">
        <v>17</v>
      </c>
      <c r="B843" t="s">
        <v>2063</v>
      </c>
      <c r="C843" t="s">
        <v>6654</v>
      </c>
      <c r="E843">
        <v>155600000</v>
      </c>
      <c r="F843">
        <v>248602946642</v>
      </c>
    </row>
    <row r="844" spans="1:6" x14ac:dyDescent="0.3">
      <c r="A844">
        <v>17</v>
      </c>
      <c r="B844" t="s">
        <v>2846</v>
      </c>
      <c r="C844" t="s">
        <v>6653</v>
      </c>
      <c r="E844">
        <v>36900000</v>
      </c>
      <c r="F844">
        <v>248447346642</v>
      </c>
    </row>
    <row r="845" spans="1:6" x14ac:dyDescent="0.3">
      <c r="A845">
        <v>17</v>
      </c>
      <c r="B845" t="s">
        <v>2028</v>
      </c>
      <c r="C845" t="s">
        <v>6652</v>
      </c>
      <c r="E845">
        <v>43010000</v>
      </c>
      <c r="F845">
        <v>248410446642</v>
      </c>
    </row>
    <row r="846" spans="1:6" x14ac:dyDescent="0.3">
      <c r="A846">
        <v>17</v>
      </c>
      <c r="B846" t="s">
        <v>7363</v>
      </c>
      <c r="C846" t="s">
        <v>6652</v>
      </c>
      <c r="E846">
        <v>34142000</v>
      </c>
      <c r="F846">
        <v>248367436642</v>
      </c>
    </row>
    <row r="847" spans="1:6" x14ac:dyDescent="0.3">
      <c r="A847">
        <v>17</v>
      </c>
      <c r="B847" t="s">
        <v>2041</v>
      </c>
      <c r="C847" t="s">
        <v>6651</v>
      </c>
      <c r="E847">
        <v>52727273</v>
      </c>
      <c r="F847">
        <v>248333294642</v>
      </c>
    </row>
    <row r="848" spans="1:6" x14ac:dyDescent="0.3">
      <c r="A848">
        <v>17</v>
      </c>
      <c r="B848" t="s">
        <v>2039</v>
      </c>
      <c r="C848" t="s">
        <v>6650</v>
      </c>
      <c r="E848">
        <v>41363636</v>
      </c>
      <c r="F848">
        <v>248280567369</v>
      </c>
    </row>
    <row r="849" spans="1:6" x14ac:dyDescent="0.3">
      <c r="A849">
        <v>17</v>
      </c>
      <c r="B849" t="s">
        <v>2037</v>
      </c>
      <c r="C849" t="s">
        <v>6649</v>
      </c>
      <c r="E849">
        <v>38181818</v>
      </c>
      <c r="F849">
        <v>248239203733</v>
      </c>
    </row>
    <row r="850" spans="1:6" x14ac:dyDescent="0.3">
      <c r="A850">
        <v>17</v>
      </c>
      <c r="B850" t="s">
        <v>2037</v>
      </c>
      <c r="C850" t="s">
        <v>6648</v>
      </c>
      <c r="E850">
        <v>36500000</v>
      </c>
      <c r="F850">
        <v>248201021915</v>
      </c>
    </row>
    <row r="851" spans="1:6" x14ac:dyDescent="0.3">
      <c r="A851">
        <v>17</v>
      </c>
      <c r="B851" t="s">
        <v>2836</v>
      </c>
      <c r="C851" t="s">
        <v>4511</v>
      </c>
      <c r="E851">
        <v>31800000</v>
      </c>
      <c r="F851">
        <v>248164521915</v>
      </c>
    </row>
    <row r="852" spans="1:6" x14ac:dyDescent="0.3">
      <c r="A852">
        <v>17</v>
      </c>
      <c r="B852" t="s">
        <v>2836</v>
      </c>
      <c r="C852" t="s">
        <v>4511</v>
      </c>
      <c r="E852">
        <v>31800000</v>
      </c>
      <c r="F852">
        <v>248132721915</v>
      </c>
    </row>
    <row r="853" spans="1:6" x14ac:dyDescent="0.3">
      <c r="A853">
        <v>17</v>
      </c>
      <c r="B853" t="s">
        <v>2836</v>
      </c>
      <c r="C853" t="s">
        <v>5133</v>
      </c>
      <c r="E853">
        <v>31000000</v>
      </c>
      <c r="F853">
        <v>248100921915</v>
      </c>
    </row>
    <row r="854" spans="1:6" x14ac:dyDescent="0.3">
      <c r="A854">
        <v>17</v>
      </c>
      <c r="B854" t="s">
        <v>2037</v>
      </c>
      <c r="C854" t="s">
        <v>6647</v>
      </c>
      <c r="E854">
        <v>38000000</v>
      </c>
      <c r="F854">
        <v>248069921915</v>
      </c>
    </row>
    <row r="855" spans="1:6" x14ac:dyDescent="0.3">
      <c r="A855">
        <v>17</v>
      </c>
      <c r="B855" t="s">
        <v>2039</v>
      </c>
      <c r="C855" t="s">
        <v>6646</v>
      </c>
      <c r="E855">
        <v>42500000</v>
      </c>
      <c r="F855">
        <v>248031921915</v>
      </c>
    </row>
    <row r="856" spans="1:6" x14ac:dyDescent="0.3">
      <c r="A856">
        <v>17</v>
      </c>
      <c r="B856" t="s">
        <v>2054</v>
      </c>
      <c r="C856" t="s">
        <v>6645</v>
      </c>
      <c r="E856">
        <v>13700000</v>
      </c>
      <c r="F856">
        <v>247989421915</v>
      </c>
    </row>
    <row r="857" spans="1:6" x14ac:dyDescent="0.3">
      <c r="A857">
        <v>17</v>
      </c>
      <c r="B857" t="s">
        <v>2039</v>
      </c>
      <c r="C857" t="s">
        <v>4048</v>
      </c>
      <c r="E857">
        <v>40454545</v>
      </c>
      <c r="F857">
        <v>247975721915</v>
      </c>
    </row>
    <row r="858" spans="1:6" x14ac:dyDescent="0.3">
      <c r="A858">
        <v>17</v>
      </c>
      <c r="B858" t="s">
        <v>2041</v>
      </c>
      <c r="C858" t="s">
        <v>6644</v>
      </c>
      <c r="E858">
        <v>52000000</v>
      </c>
      <c r="F858">
        <v>247935267370</v>
      </c>
    </row>
    <row r="859" spans="1:6" x14ac:dyDescent="0.3">
      <c r="A859">
        <v>17</v>
      </c>
      <c r="B859" t="s">
        <v>2039</v>
      </c>
      <c r="C859" t="s">
        <v>6643</v>
      </c>
      <c r="E859">
        <v>43173000</v>
      </c>
      <c r="F859">
        <v>247883267370</v>
      </c>
    </row>
    <row r="860" spans="1:6" x14ac:dyDescent="0.3">
      <c r="A860">
        <v>17</v>
      </c>
      <c r="B860" t="s">
        <v>2039</v>
      </c>
      <c r="C860" t="s">
        <v>6642</v>
      </c>
      <c r="E860">
        <v>40909091</v>
      </c>
      <c r="F860">
        <v>247840094370</v>
      </c>
    </row>
    <row r="861" spans="1:6" x14ac:dyDescent="0.3">
      <c r="A861">
        <v>17</v>
      </c>
      <c r="B861" t="s">
        <v>2037</v>
      </c>
      <c r="C861" t="s">
        <v>6641</v>
      </c>
      <c r="E861">
        <v>35500000</v>
      </c>
      <c r="F861">
        <v>247799185279</v>
      </c>
    </row>
    <row r="862" spans="1:6" x14ac:dyDescent="0.3">
      <c r="A862">
        <v>17</v>
      </c>
      <c r="B862" t="s">
        <v>2037</v>
      </c>
      <c r="C862" t="s">
        <v>6640</v>
      </c>
      <c r="E862">
        <v>37000000</v>
      </c>
      <c r="F862">
        <v>247763685279</v>
      </c>
    </row>
    <row r="863" spans="1:6" x14ac:dyDescent="0.3">
      <c r="A863">
        <v>17</v>
      </c>
      <c r="B863" t="s">
        <v>2028</v>
      </c>
      <c r="C863" t="s">
        <v>6639</v>
      </c>
      <c r="E863">
        <v>13700000</v>
      </c>
      <c r="F863">
        <v>247726685279</v>
      </c>
    </row>
    <row r="864" spans="1:6" x14ac:dyDescent="0.3">
      <c r="A864">
        <v>17</v>
      </c>
      <c r="B864" t="s">
        <v>2037</v>
      </c>
      <c r="C864" t="s">
        <v>6638</v>
      </c>
      <c r="E864">
        <v>18373000</v>
      </c>
      <c r="F864">
        <v>247712985279</v>
      </c>
    </row>
    <row r="865" spans="1:6" x14ac:dyDescent="0.3">
      <c r="A865">
        <v>17</v>
      </c>
      <c r="B865" t="s">
        <v>2032</v>
      </c>
      <c r="C865" t="s">
        <v>6595</v>
      </c>
      <c r="E865">
        <v>18400000</v>
      </c>
      <c r="F865">
        <v>247694612279</v>
      </c>
    </row>
    <row r="866" spans="1:6" x14ac:dyDescent="0.3">
      <c r="A866">
        <v>17</v>
      </c>
      <c r="B866" t="s">
        <v>2028</v>
      </c>
      <c r="C866" t="s">
        <v>6637</v>
      </c>
      <c r="E866">
        <v>14300000</v>
      </c>
      <c r="F866">
        <v>247676212279</v>
      </c>
    </row>
    <row r="867" spans="1:6" x14ac:dyDescent="0.3">
      <c r="A867">
        <v>17</v>
      </c>
      <c r="B867" t="s">
        <v>2028</v>
      </c>
      <c r="C867" t="s">
        <v>6636</v>
      </c>
      <c r="E867">
        <v>14200000</v>
      </c>
      <c r="F867">
        <v>247661912279</v>
      </c>
    </row>
    <row r="868" spans="1:6" x14ac:dyDescent="0.3">
      <c r="A868">
        <v>17</v>
      </c>
      <c r="B868" t="s">
        <v>2042</v>
      </c>
      <c r="C868" t="s">
        <v>6635</v>
      </c>
      <c r="E868">
        <v>78000000</v>
      </c>
      <c r="F868">
        <v>247647712279</v>
      </c>
    </row>
    <row r="869" spans="1:6" x14ac:dyDescent="0.3">
      <c r="A869">
        <v>17</v>
      </c>
      <c r="B869" t="s">
        <v>2028</v>
      </c>
      <c r="C869" t="s">
        <v>6634</v>
      </c>
      <c r="E869">
        <v>15000000</v>
      </c>
      <c r="F869">
        <v>247569712279</v>
      </c>
    </row>
    <row r="870" spans="1:6" x14ac:dyDescent="0.3">
      <c r="A870">
        <v>17</v>
      </c>
      <c r="B870" t="s">
        <v>2054</v>
      </c>
      <c r="C870" t="s">
        <v>6138</v>
      </c>
      <c r="E870">
        <v>15920909</v>
      </c>
      <c r="F870">
        <v>247554712279</v>
      </c>
    </row>
    <row r="871" spans="1:6" x14ac:dyDescent="0.3">
      <c r="A871">
        <v>17</v>
      </c>
      <c r="B871" t="s">
        <v>2028</v>
      </c>
      <c r="C871" t="s">
        <v>4455</v>
      </c>
      <c r="E871">
        <v>14954546</v>
      </c>
      <c r="F871">
        <v>247538791370</v>
      </c>
    </row>
    <row r="872" spans="1:6" x14ac:dyDescent="0.3">
      <c r="A872">
        <v>17</v>
      </c>
      <c r="B872" t="s">
        <v>2054</v>
      </c>
      <c r="C872" t="s">
        <v>6633</v>
      </c>
      <c r="E872">
        <v>14100000</v>
      </c>
      <c r="F872">
        <v>247523836824</v>
      </c>
    </row>
    <row r="873" spans="1:6" x14ac:dyDescent="0.3">
      <c r="A873">
        <v>17</v>
      </c>
      <c r="B873" t="s">
        <v>2037</v>
      </c>
      <c r="C873" t="s">
        <v>4465</v>
      </c>
      <c r="E873">
        <v>36800000</v>
      </c>
      <c r="F873">
        <v>247509736824</v>
      </c>
    </row>
    <row r="874" spans="1:6" x14ac:dyDescent="0.3">
      <c r="A874">
        <v>17</v>
      </c>
      <c r="B874" t="s">
        <v>2032</v>
      </c>
      <c r="C874" t="s">
        <v>6632</v>
      </c>
      <c r="E874">
        <v>35500000</v>
      </c>
      <c r="F874">
        <v>247472936824</v>
      </c>
    </row>
    <row r="875" spans="1:6" x14ac:dyDescent="0.3">
      <c r="A875">
        <v>17</v>
      </c>
      <c r="B875" t="s">
        <v>2043</v>
      </c>
      <c r="C875" t="s">
        <v>6466</v>
      </c>
      <c r="E875">
        <v>53250000</v>
      </c>
      <c r="F875">
        <v>247437436824</v>
      </c>
    </row>
    <row r="876" spans="1:6" x14ac:dyDescent="0.3">
      <c r="A876">
        <v>17</v>
      </c>
      <c r="B876" t="s">
        <v>2037</v>
      </c>
      <c r="C876" t="s">
        <v>4900</v>
      </c>
      <c r="E876">
        <v>38636364</v>
      </c>
      <c r="F876">
        <v>247384186824</v>
      </c>
    </row>
    <row r="877" spans="1:6" x14ac:dyDescent="0.3">
      <c r="A877">
        <v>17</v>
      </c>
      <c r="B877" t="s">
        <v>2037</v>
      </c>
      <c r="C877" t="s">
        <v>4900</v>
      </c>
      <c r="E877">
        <v>38636364</v>
      </c>
      <c r="F877">
        <v>247345550460</v>
      </c>
    </row>
    <row r="878" spans="1:6" x14ac:dyDescent="0.3">
      <c r="A878">
        <v>17</v>
      </c>
      <c r="B878" t="s">
        <v>2041</v>
      </c>
      <c r="C878" t="s">
        <v>6631</v>
      </c>
      <c r="E878">
        <v>52727272</v>
      </c>
      <c r="F878">
        <v>247306914096</v>
      </c>
    </row>
    <row r="879" spans="1:6" x14ac:dyDescent="0.3">
      <c r="A879">
        <v>17</v>
      </c>
      <c r="B879" t="s">
        <v>2039</v>
      </c>
      <c r="C879" t="s">
        <v>6630</v>
      </c>
      <c r="E879">
        <v>41000000</v>
      </c>
      <c r="F879">
        <v>247254186824</v>
      </c>
    </row>
    <row r="880" spans="1:6" x14ac:dyDescent="0.3">
      <c r="A880">
        <v>17</v>
      </c>
      <c r="B880" t="s">
        <v>2039</v>
      </c>
      <c r="C880" t="s">
        <v>6260</v>
      </c>
      <c r="E880">
        <v>40000000</v>
      </c>
      <c r="F880">
        <v>247213186824</v>
      </c>
    </row>
    <row r="881" spans="1:6" x14ac:dyDescent="0.3">
      <c r="A881">
        <v>17</v>
      </c>
      <c r="B881" t="s">
        <v>2039</v>
      </c>
      <c r="C881" t="s">
        <v>5137</v>
      </c>
      <c r="E881">
        <v>41000000</v>
      </c>
      <c r="F881">
        <v>247173186824</v>
      </c>
    </row>
    <row r="882" spans="1:6" x14ac:dyDescent="0.3">
      <c r="A882">
        <v>17</v>
      </c>
      <c r="B882" t="s">
        <v>2037</v>
      </c>
      <c r="C882" t="s">
        <v>6629</v>
      </c>
      <c r="E882">
        <v>37000000</v>
      </c>
      <c r="F882">
        <v>247132186824</v>
      </c>
    </row>
    <row r="883" spans="1:6" x14ac:dyDescent="0.3">
      <c r="A883">
        <v>17</v>
      </c>
      <c r="B883" t="s">
        <v>2039</v>
      </c>
      <c r="C883" t="s">
        <v>6628</v>
      </c>
      <c r="E883">
        <v>42000000</v>
      </c>
      <c r="F883">
        <v>247095186824</v>
      </c>
    </row>
    <row r="884" spans="1:6" x14ac:dyDescent="0.3">
      <c r="A884">
        <v>17</v>
      </c>
      <c r="B884" t="s">
        <v>2037</v>
      </c>
      <c r="C884" t="s">
        <v>6627</v>
      </c>
      <c r="E884">
        <v>35000000</v>
      </c>
      <c r="F884">
        <v>247053186824</v>
      </c>
    </row>
    <row r="885" spans="1:6" x14ac:dyDescent="0.3">
      <c r="A885">
        <v>17</v>
      </c>
      <c r="B885" t="s">
        <v>2041</v>
      </c>
      <c r="C885" t="s">
        <v>6626</v>
      </c>
      <c r="E885">
        <v>52000000</v>
      </c>
      <c r="F885">
        <v>247018186824</v>
      </c>
    </row>
    <row r="886" spans="1:6" x14ac:dyDescent="0.3">
      <c r="A886">
        <v>17</v>
      </c>
      <c r="B886" t="s">
        <v>2032</v>
      </c>
      <c r="C886" t="s">
        <v>3851</v>
      </c>
      <c r="E886">
        <v>36000000</v>
      </c>
      <c r="F886">
        <v>246966186824</v>
      </c>
    </row>
    <row r="887" spans="1:6" x14ac:dyDescent="0.3">
      <c r="A887">
        <v>17</v>
      </c>
      <c r="B887" t="s">
        <v>2037</v>
      </c>
      <c r="C887" t="s">
        <v>6314</v>
      </c>
      <c r="E887">
        <v>36363636</v>
      </c>
      <c r="F887">
        <v>246930186824</v>
      </c>
    </row>
    <row r="888" spans="1:6" x14ac:dyDescent="0.3">
      <c r="A888">
        <v>17</v>
      </c>
      <c r="B888" t="s">
        <v>2037</v>
      </c>
      <c r="C888" t="s">
        <v>6625</v>
      </c>
      <c r="E888">
        <v>38181818</v>
      </c>
      <c r="F888">
        <v>246893823188</v>
      </c>
    </row>
    <row r="889" spans="1:6" x14ac:dyDescent="0.3">
      <c r="A889">
        <v>17</v>
      </c>
      <c r="B889" t="s">
        <v>2836</v>
      </c>
      <c r="C889" t="s">
        <v>3848</v>
      </c>
      <c r="E889">
        <v>32000000</v>
      </c>
      <c r="F889">
        <v>246855641370</v>
      </c>
    </row>
    <row r="890" spans="1:6" x14ac:dyDescent="0.3">
      <c r="A890">
        <v>17</v>
      </c>
      <c r="B890" t="s">
        <v>7379</v>
      </c>
      <c r="C890" t="s">
        <v>6624</v>
      </c>
      <c r="E890">
        <v>17558880</v>
      </c>
      <c r="F890">
        <v>246823641370</v>
      </c>
    </row>
    <row r="891" spans="1:6" x14ac:dyDescent="0.3">
      <c r="A891">
        <v>17</v>
      </c>
      <c r="B891" t="s">
        <v>2043</v>
      </c>
      <c r="C891" t="s">
        <v>6623</v>
      </c>
      <c r="E891">
        <v>53000000</v>
      </c>
      <c r="F891">
        <v>246806082490</v>
      </c>
    </row>
    <row r="892" spans="1:6" x14ac:dyDescent="0.3">
      <c r="A892">
        <v>17</v>
      </c>
      <c r="B892" t="s">
        <v>2041</v>
      </c>
      <c r="C892" t="s">
        <v>6622</v>
      </c>
      <c r="E892">
        <v>51000000</v>
      </c>
      <c r="F892">
        <v>246753082490</v>
      </c>
    </row>
    <row r="893" spans="1:6" x14ac:dyDescent="0.3">
      <c r="A893">
        <v>17</v>
      </c>
      <c r="B893" t="s">
        <v>2039</v>
      </c>
      <c r="C893" t="s">
        <v>6621</v>
      </c>
      <c r="E893">
        <v>40500000</v>
      </c>
      <c r="F893">
        <v>246702082490</v>
      </c>
    </row>
    <row r="894" spans="1:6" x14ac:dyDescent="0.3">
      <c r="A894">
        <v>17</v>
      </c>
      <c r="B894" t="s">
        <v>2062</v>
      </c>
      <c r="C894" t="s">
        <v>6620</v>
      </c>
      <c r="E894">
        <v>176500000</v>
      </c>
      <c r="F894">
        <v>246661582490</v>
      </c>
    </row>
    <row r="895" spans="1:6" x14ac:dyDescent="0.3">
      <c r="A895">
        <v>17</v>
      </c>
      <c r="B895" t="s">
        <v>2032</v>
      </c>
      <c r="C895" t="s">
        <v>6619</v>
      </c>
      <c r="E895">
        <v>20503000</v>
      </c>
      <c r="F895">
        <v>246485082490</v>
      </c>
    </row>
    <row r="896" spans="1:6" x14ac:dyDescent="0.3">
      <c r="A896">
        <v>17</v>
      </c>
      <c r="B896" t="s">
        <v>2032</v>
      </c>
      <c r="C896" t="s">
        <v>6619</v>
      </c>
      <c r="E896">
        <v>20503000</v>
      </c>
      <c r="F896">
        <v>246464579490</v>
      </c>
    </row>
    <row r="897" spans="1:6" x14ac:dyDescent="0.3">
      <c r="A897">
        <v>17</v>
      </c>
      <c r="B897" t="s">
        <v>2836</v>
      </c>
      <c r="C897" t="s">
        <v>3750</v>
      </c>
      <c r="E897">
        <v>31000000</v>
      </c>
      <c r="F897">
        <v>246444076490</v>
      </c>
    </row>
    <row r="898" spans="1:6" x14ac:dyDescent="0.3">
      <c r="A898">
        <v>17</v>
      </c>
      <c r="B898" t="s">
        <v>2836</v>
      </c>
      <c r="C898" t="s">
        <v>6618</v>
      </c>
      <c r="E898">
        <v>31000000</v>
      </c>
      <c r="F898">
        <v>246413076490</v>
      </c>
    </row>
    <row r="899" spans="1:6" x14ac:dyDescent="0.3">
      <c r="A899">
        <v>17</v>
      </c>
      <c r="B899" t="s">
        <v>2037</v>
      </c>
      <c r="C899" t="s">
        <v>4604</v>
      </c>
      <c r="E899">
        <v>38181818</v>
      </c>
      <c r="F899">
        <v>246382076490</v>
      </c>
    </row>
    <row r="900" spans="1:6" x14ac:dyDescent="0.3">
      <c r="A900">
        <v>17</v>
      </c>
      <c r="B900" t="s">
        <v>2039</v>
      </c>
      <c r="C900" t="s">
        <v>6617</v>
      </c>
      <c r="E900">
        <v>40454545</v>
      </c>
      <c r="F900">
        <v>246343894672</v>
      </c>
    </row>
    <row r="901" spans="1:6" x14ac:dyDescent="0.3">
      <c r="A901">
        <v>17</v>
      </c>
      <c r="B901" t="s">
        <v>2836</v>
      </c>
      <c r="C901" t="s">
        <v>6616</v>
      </c>
      <c r="E901">
        <v>31363636</v>
      </c>
      <c r="F901">
        <v>246303440127</v>
      </c>
    </row>
    <row r="902" spans="1:6" x14ac:dyDescent="0.3">
      <c r="A902">
        <v>17</v>
      </c>
      <c r="B902" t="s">
        <v>2051</v>
      </c>
      <c r="C902" t="s">
        <v>4859</v>
      </c>
      <c r="E902">
        <v>832000000</v>
      </c>
      <c r="F902">
        <v>246272076491</v>
      </c>
    </row>
    <row r="903" spans="1:6" x14ac:dyDescent="0.3">
      <c r="A903">
        <v>17</v>
      </c>
      <c r="B903" t="s">
        <v>2037</v>
      </c>
      <c r="C903" t="s">
        <v>6615</v>
      </c>
      <c r="E903">
        <v>36670000</v>
      </c>
      <c r="F903">
        <v>245440076491</v>
      </c>
    </row>
    <row r="904" spans="1:6" x14ac:dyDescent="0.3">
      <c r="A904">
        <v>17</v>
      </c>
      <c r="B904" t="s">
        <v>2041</v>
      </c>
      <c r="C904" t="s">
        <v>6614</v>
      </c>
      <c r="E904">
        <v>51818182</v>
      </c>
      <c r="F904">
        <v>245403406491</v>
      </c>
    </row>
    <row r="905" spans="1:6" x14ac:dyDescent="0.3">
      <c r="A905">
        <v>17</v>
      </c>
      <c r="B905" t="s">
        <v>2039</v>
      </c>
      <c r="C905" t="s">
        <v>6613</v>
      </c>
      <c r="E905">
        <v>39545454</v>
      </c>
      <c r="F905">
        <v>245351588309</v>
      </c>
    </row>
    <row r="906" spans="1:6" x14ac:dyDescent="0.3">
      <c r="A906">
        <v>17</v>
      </c>
      <c r="B906" t="s">
        <v>2054</v>
      </c>
      <c r="C906" t="s">
        <v>6612</v>
      </c>
      <c r="E906">
        <v>14000000</v>
      </c>
      <c r="F906">
        <v>245312042855</v>
      </c>
    </row>
    <row r="907" spans="1:6" x14ac:dyDescent="0.3">
      <c r="A907">
        <v>17</v>
      </c>
      <c r="B907" t="s">
        <v>2043</v>
      </c>
      <c r="C907" t="s">
        <v>4843</v>
      </c>
      <c r="E907">
        <v>54200000</v>
      </c>
      <c r="F907">
        <v>245298042855</v>
      </c>
    </row>
    <row r="908" spans="1:6" x14ac:dyDescent="0.3">
      <c r="A908">
        <v>17</v>
      </c>
      <c r="B908" t="s">
        <v>2039</v>
      </c>
      <c r="C908" t="s">
        <v>6611</v>
      </c>
      <c r="E908">
        <v>42000000</v>
      </c>
      <c r="F908">
        <v>245243842855</v>
      </c>
    </row>
    <row r="909" spans="1:6" x14ac:dyDescent="0.3">
      <c r="A909">
        <v>17</v>
      </c>
      <c r="B909" t="s">
        <v>2054</v>
      </c>
      <c r="C909" t="s">
        <v>6444</v>
      </c>
      <c r="E909">
        <v>14100000</v>
      </c>
      <c r="F909">
        <v>245201842855</v>
      </c>
    </row>
    <row r="910" spans="1:6" x14ac:dyDescent="0.3">
      <c r="A910">
        <v>17</v>
      </c>
      <c r="B910" t="s">
        <v>2054</v>
      </c>
      <c r="C910" t="s">
        <v>6610</v>
      </c>
      <c r="E910">
        <v>13454545</v>
      </c>
      <c r="F910">
        <v>245187742855</v>
      </c>
    </row>
    <row r="911" spans="1:6" x14ac:dyDescent="0.3">
      <c r="A911">
        <v>17</v>
      </c>
      <c r="B911" t="s">
        <v>7362</v>
      </c>
      <c r="C911" t="s">
        <v>3438</v>
      </c>
      <c r="E911">
        <v>33015000</v>
      </c>
      <c r="F911">
        <v>245174288310</v>
      </c>
    </row>
    <row r="912" spans="1:6" x14ac:dyDescent="0.3">
      <c r="A912">
        <v>17</v>
      </c>
      <c r="B912" t="s">
        <v>2062</v>
      </c>
      <c r="C912" t="s">
        <v>6609</v>
      </c>
      <c r="E912">
        <v>175000000</v>
      </c>
      <c r="F912">
        <v>245141273310</v>
      </c>
    </row>
    <row r="913" spans="1:6" x14ac:dyDescent="0.3">
      <c r="A913">
        <v>17</v>
      </c>
      <c r="B913" t="s">
        <v>2062</v>
      </c>
      <c r="C913" t="s">
        <v>6608</v>
      </c>
      <c r="E913">
        <v>172600000</v>
      </c>
      <c r="F913">
        <v>244966273310</v>
      </c>
    </row>
    <row r="914" spans="1:6" x14ac:dyDescent="0.3">
      <c r="A914">
        <v>17</v>
      </c>
      <c r="B914" t="s">
        <v>2061</v>
      </c>
      <c r="C914" t="s">
        <v>6607</v>
      </c>
      <c r="E914">
        <v>149200000</v>
      </c>
      <c r="F914">
        <v>244793673310</v>
      </c>
    </row>
    <row r="915" spans="1:6" x14ac:dyDescent="0.3">
      <c r="A915">
        <v>17</v>
      </c>
      <c r="B915" t="s">
        <v>2039</v>
      </c>
      <c r="C915" t="s">
        <v>4777</v>
      </c>
      <c r="E915">
        <v>39500000</v>
      </c>
      <c r="F915">
        <v>244644473310</v>
      </c>
    </row>
    <row r="916" spans="1:6" x14ac:dyDescent="0.3">
      <c r="A916">
        <v>17</v>
      </c>
      <c r="B916" t="s">
        <v>2041</v>
      </c>
      <c r="C916" t="s">
        <v>6606</v>
      </c>
      <c r="E916">
        <v>52000000</v>
      </c>
      <c r="F916">
        <v>244604973310</v>
      </c>
    </row>
    <row r="917" spans="1:6" x14ac:dyDescent="0.3">
      <c r="A917">
        <v>17</v>
      </c>
      <c r="B917" t="s">
        <v>2032</v>
      </c>
      <c r="C917" t="s">
        <v>5431</v>
      </c>
      <c r="E917">
        <v>18373000</v>
      </c>
      <c r="F917">
        <v>244552973310</v>
      </c>
    </row>
    <row r="918" spans="1:6" x14ac:dyDescent="0.3">
      <c r="A918">
        <v>17</v>
      </c>
      <c r="B918" t="s">
        <v>2032</v>
      </c>
      <c r="C918" t="s">
        <v>6605</v>
      </c>
      <c r="E918">
        <v>18373000</v>
      </c>
      <c r="F918">
        <v>244534600310</v>
      </c>
    </row>
    <row r="919" spans="1:6" x14ac:dyDescent="0.3">
      <c r="A919">
        <v>17</v>
      </c>
      <c r="B919" t="s">
        <v>2063</v>
      </c>
      <c r="C919" t="s">
        <v>6604</v>
      </c>
      <c r="E919">
        <v>155600000</v>
      </c>
      <c r="F919">
        <v>244516227310</v>
      </c>
    </row>
    <row r="920" spans="1:6" x14ac:dyDescent="0.3">
      <c r="A920">
        <v>17</v>
      </c>
      <c r="B920" t="s">
        <v>2041</v>
      </c>
      <c r="C920" t="s">
        <v>6603</v>
      </c>
      <c r="E920">
        <v>51818181</v>
      </c>
      <c r="F920">
        <v>244360627310</v>
      </c>
    </row>
    <row r="921" spans="1:6" x14ac:dyDescent="0.3">
      <c r="A921">
        <v>17</v>
      </c>
      <c r="B921" t="s">
        <v>2037</v>
      </c>
      <c r="C921" t="s">
        <v>6602</v>
      </c>
      <c r="E921">
        <v>18373000</v>
      </c>
      <c r="F921">
        <v>244308809129</v>
      </c>
    </row>
    <row r="922" spans="1:6" x14ac:dyDescent="0.3">
      <c r="A922">
        <v>17</v>
      </c>
      <c r="B922" t="s">
        <v>2037</v>
      </c>
      <c r="C922" t="s">
        <v>6583</v>
      </c>
      <c r="E922">
        <v>18373000</v>
      </c>
      <c r="F922">
        <v>244290436129</v>
      </c>
    </row>
    <row r="923" spans="1:6" x14ac:dyDescent="0.3">
      <c r="A923">
        <v>17</v>
      </c>
      <c r="B923" t="s">
        <v>2037</v>
      </c>
      <c r="C923" t="s">
        <v>5016</v>
      </c>
      <c r="E923">
        <v>38000000</v>
      </c>
      <c r="F923">
        <v>244272063129</v>
      </c>
    </row>
    <row r="924" spans="1:6" x14ac:dyDescent="0.3">
      <c r="A924">
        <v>17</v>
      </c>
      <c r="B924" t="s">
        <v>2037</v>
      </c>
      <c r="C924" t="s">
        <v>5398</v>
      </c>
      <c r="E924">
        <v>37272727</v>
      </c>
      <c r="F924">
        <v>244234063129</v>
      </c>
    </row>
    <row r="925" spans="1:6" x14ac:dyDescent="0.3">
      <c r="A925">
        <v>17</v>
      </c>
      <c r="B925" t="s">
        <v>2039</v>
      </c>
      <c r="C925" t="s">
        <v>6601</v>
      </c>
      <c r="E925">
        <v>38600000</v>
      </c>
      <c r="F925">
        <v>244196790402</v>
      </c>
    </row>
    <row r="926" spans="1:6" x14ac:dyDescent="0.3">
      <c r="A926">
        <v>17</v>
      </c>
      <c r="B926" t="s">
        <v>2039</v>
      </c>
      <c r="C926" t="s">
        <v>6600</v>
      </c>
      <c r="E926">
        <v>41181818</v>
      </c>
      <c r="F926">
        <v>244158190402</v>
      </c>
    </row>
    <row r="927" spans="1:6" x14ac:dyDescent="0.3">
      <c r="A927">
        <v>17</v>
      </c>
      <c r="B927" t="s">
        <v>2037</v>
      </c>
      <c r="C927" t="s">
        <v>6599</v>
      </c>
      <c r="E927">
        <v>37500000</v>
      </c>
      <c r="F927">
        <v>244117008584</v>
      </c>
    </row>
    <row r="928" spans="1:6" x14ac:dyDescent="0.3">
      <c r="A928">
        <v>17</v>
      </c>
      <c r="B928" t="s">
        <v>2037</v>
      </c>
      <c r="C928" t="s">
        <v>6598</v>
      </c>
      <c r="E928">
        <v>35454546</v>
      </c>
      <c r="F928">
        <v>244079508584</v>
      </c>
    </row>
    <row r="929" spans="1:6" x14ac:dyDescent="0.3">
      <c r="A929">
        <v>17</v>
      </c>
      <c r="B929" t="s">
        <v>2836</v>
      </c>
      <c r="C929" t="s">
        <v>6597</v>
      </c>
      <c r="E929">
        <v>31000000</v>
      </c>
      <c r="F929">
        <v>244044054038</v>
      </c>
    </row>
    <row r="930" spans="1:6" x14ac:dyDescent="0.3">
      <c r="A930">
        <v>17</v>
      </c>
      <c r="B930" t="s">
        <v>2039</v>
      </c>
      <c r="C930" t="s">
        <v>6596</v>
      </c>
      <c r="E930">
        <v>40454545</v>
      </c>
      <c r="F930">
        <v>244013054038</v>
      </c>
    </row>
    <row r="931" spans="1:6" x14ac:dyDescent="0.3">
      <c r="A931">
        <v>17</v>
      </c>
      <c r="B931" t="s">
        <v>2032</v>
      </c>
      <c r="C931" t="s">
        <v>6595</v>
      </c>
      <c r="E931">
        <v>18400000</v>
      </c>
      <c r="F931">
        <v>243972599493</v>
      </c>
    </row>
    <row r="932" spans="1:6" x14ac:dyDescent="0.3">
      <c r="A932">
        <v>17</v>
      </c>
      <c r="B932" t="s">
        <v>7342</v>
      </c>
      <c r="C932" t="s">
        <v>6289</v>
      </c>
      <c r="E932">
        <v>130446004</v>
      </c>
      <c r="F932">
        <v>243954199493</v>
      </c>
    </row>
    <row r="933" spans="1:6" x14ac:dyDescent="0.3">
      <c r="A933">
        <v>17</v>
      </c>
      <c r="B933" t="s">
        <v>2062</v>
      </c>
      <c r="C933" t="s">
        <v>6594</v>
      </c>
      <c r="E933">
        <v>166363636</v>
      </c>
      <c r="F933">
        <v>243823753489</v>
      </c>
    </row>
    <row r="934" spans="1:6" x14ac:dyDescent="0.3">
      <c r="A934">
        <v>17</v>
      </c>
      <c r="B934" t="s">
        <v>2062</v>
      </c>
      <c r="C934" t="s">
        <v>6594</v>
      </c>
      <c r="E934">
        <v>166363636</v>
      </c>
      <c r="F934">
        <v>243657389853</v>
      </c>
    </row>
    <row r="935" spans="1:6" x14ac:dyDescent="0.3">
      <c r="A935">
        <v>17</v>
      </c>
      <c r="B935" t="s">
        <v>2028</v>
      </c>
      <c r="C935" t="s">
        <v>4313</v>
      </c>
      <c r="E935">
        <v>14700000</v>
      </c>
      <c r="F935">
        <v>243491026217</v>
      </c>
    </row>
    <row r="936" spans="1:6" x14ac:dyDescent="0.3">
      <c r="A936">
        <v>17</v>
      </c>
      <c r="B936" t="s">
        <v>2043</v>
      </c>
      <c r="C936" t="s">
        <v>6593</v>
      </c>
      <c r="E936">
        <v>53000000</v>
      </c>
      <c r="F936">
        <v>243476326217</v>
      </c>
    </row>
    <row r="937" spans="1:6" x14ac:dyDescent="0.3">
      <c r="A937">
        <v>17</v>
      </c>
      <c r="B937" t="s">
        <v>2836</v>
      </c>
      <c r="C937" t="s">
        <v>6592</v>
      </c>
      <c r="E937">
        <v>33227273</v>
      </c>
      <c r="F937">
        <v>243423326217</v>
      </c>
    </row>
    <row r="938" spans="1:6" x14ac:dyDescent="0.3">
      <c r="A938">
        <v>17</v>
      </c>
      <c r="B938" t="s">
        <v>2836</v>
      </c>
      <c r="C938" t="s">
        <v>4321</v>
      </c>
      <c r="E938">
        <v>33000000</v>
      </c>
      <c r="F938">
        <v>243390098944</v>
      </c>
    </row>
    <row r="939" spans="1:6" x14ac:dyDescent="0.3">
      <c r="A939">
        <v>17</v>
      </c>
      <c r="B939" t="s">
        <v>2840</v>
      </c>
      <c r="C939" t="s">
        <v>5482</v>
      </c>
      <c r="E939">
        <v>205000000</v>
      </c>
      <c r="F939">
        <v>243357098944</v>
      </c>
    </row>
    <row r="940" spans="1:6" x14ac:dyDescent="0.3">
      <c r="A940">
        <v>17</v>
      </c>
      <c r="B940" t="s">
        <v>2063</v>
      </c>
      <c r="C940" t="s">
        <v>6591</v>
      </c>
      <c r="E940">
        <v>156600000</v>
      </c>
      <c r="F940">
        <v>243152098944</v>
      </c>
    </row>
    <row r="941" spans="1:6" x14ac:dyDescent="0.3">
      <c r="A941">
        <v>17</v>
      </c>
      <c r="B941" t="s">
        <v>2041</v>
      </c>
      <c r="C941" t="s">
        <v>6590</v>
      </c>
      <c r="E941">
        <v>51140909</v>
      </c>
      <c r="F941">
        <v>242995498944</v>
      </c>
    </row>
    <row r="942" spans="1:6" x14ac:dyDescent="0.3">
      <c r="A942">
        <v>17</v>
      </c>
      <c r="B942" t="s">
        <v>2836</v>
      </c>
      <c r="C942" t="s">
        <v>6589</v>
      </c>
      <c r="E942">
        <v>31000000</v>
      </c>
      <c r="F942">
        <v>242944358035</v>
      </c>
    </row>
    <row r="943" spans="1:6" x14ac:dyDescent="0.3">
      <c r="A943">
        <v>17</v>
      </c>
      <c r="B943" t="s">
        <v>2028</v>
      </c>
      <c r="C943" t="s">
        <v>6588</v>
      </c>
      <c r="E943">
        <v>14250000</v>
      </c>
      <c r="F943">
        <v>242913358035</v>
      </c>
    </row>
    <row r="944" spans="1:6" x14ac:dyDescent="0.3">
      <c r="A944">
        <v>17</v>
      </c>
      <c r="B944" t="s">
        <v>2028</v>
      </c>
      <c r="C944" t="s">
        <v>6585</v>
      </c>
      <c r="E944">
        <v>17600000</v>
      </c>
      <c r="F944">
        <v>242899108035</v>
      </c>
    </row>
    <row r="945" spans="1:6" x14ac:dyDescent="0.3">
      <c r="A945">
        <v>17</v>
      </c>
      <c r="B945" t="s">
        <v>2028</v>
      </c>
      <c r="C945" t="s">
        <v>6585</v>
      </c>
      <c r="E945">
        <v>-32708182</v>
      </c>
      <c r="F945">
        <v>242881508035</v>
      </c>
    </row>
    <row r="946" spans="1:6" x14ac:dyDescent="0.3">
      <c r="A946">
        <v>17</v>
      </c>
      <c r="B946" t="s">
        <v>2041</v>
      </c>
      <c r="C946" t="s">
        <v>6587</v>
      </c>
      <c r="E946">
        <v>50800000</v>
      </c>
      <c r="F946">
        <v>242914216217</v>
      </c>
    </row>
    <row r="947" spans="1:6" x14ac:dyDescent="0.3">
      <c r="A947">
        <v>17</v>
      </c>
      <c r="B947" t="s">
        <v>2039</v>
      </c>
      <c r="C947" t="s">
        <v>6586</v>
      </c>
      <c r="E947">
        <v>45454545</v>
      </c>
      <c r="F947">
        <v>242863416217</v>
      </c>
    </row>
    <row r="948" spans="1:6" x14ac:dyDescent="0.3">
      <c r="A948">
        <v>17</v>
      </c>
      <c r="B948" t="s">
        <v>2028</v>
      </c>
      <c r="C948" t="s">
        <v>6585</v>
      </c>
      <c r="E948">
        <v>32708182</v>
      </c>
      <c r="F948">
        <v>242817961672</v>
      </c>
    </row>
    <row r="949" spans="1:6" x14ac:dyDescent="0.3">
      <c r="A949">
        <v>17</v>
      </c>
      <c r="B949" t="s">
        <v>2062</v>
      </c>
      <c r="C949" t="s">
        <v>6584</v>
      </c>
      <c r="E949">
        <v>172000000</v>
      </c>
      <c r="F949">
        <v>242785253490</v>
      </c>
    </row>
    <row r="950" spans="1:6" x14ac:dyDescent="0.3">
      <c r="A950">
        <v>17</v>
      </c>
      <c r="B950" t="s">
        <v>2043</v>
      </c>
      <c r="C950" t="s">
        <v>6021</v>
      </c>
      <c r="E950">
        <v>51700000</v>
      </c>
      <c r="F950">
        <v>242613253490</v>
      </c>
    </row>
    <row r="951" spans="1:6" x14ac:dyDescent="0.3">
      <c r="A951">
        <v>17</v>
      </c>
      <c r="B951" t="s">
        <v>2039</v>
      </c>
      <c r="C951" t="s">
        <v>4809</v>
      </c>
      <c r="E951">
        <v>39818181</v>
      </c>
      <c r="F951">
        <v>242561553490</v>
      </c>
    </row>
    <row r="952" spans="1:6" x14ac:dyDescent="0.3">
      <c r="A952">
        <v>17</v>
      </c>
      <c r="B952" t="s">
        <v>2037</v>
      </c>
      <c r="C952" t="s">
        <v>6583</v>
      </c>
      <c r="E952">
        <v>38000000</v>
      </c>
      <c r="F952">
        <v>242521735309</v>
      </c>
    </row>
    <row r="953" spans="1:6" x14ac:dyDescent="0.3">
      <c r="A953">
        <v>17</v>
      </c>
      <c r="B953" t="s">
        <v>2037</v>
      </c>
      <c r="C953" t="s">
        <v>6462</v>
      </c>
      <c r="E953">
        <v>34863636</v>
      </c>
      <c r="F953">
        <v>242483735309</v>
      </c>
    </row>
    <row r="954" spans="1:6" x14ac:dyDescent="0.3">
      <c r="A954">
        <v>17</v>
      </c>
      <c r="B954" t="s">
        <v>2037</v>
      </c>
      <c r="C954" t="s">
        <v>6569</v>
      </c>
      <c r="E954">
        <v>34181818</v>
      </c>
      <c r="F954">
        <v>242448871673</v>
      </c>
    </row>
    <row r="955" spans="1:6" x14ac:dyDescent="0.3">
      <c r="A955">
        <v>17</v>
      </c>
      <c r="B955" t="s">
        <v>2032</v>
      </c>
      <c r="C955" t="s">
        <v>6582</v>
      </c>
      <c r="E955">
        <v>35909091</v>
      </c>
      <c r="F955">
        <v>242414689855</v>
      </c>
    </row>
    <row r="956" spans="1:6" x14ac:dyDescent="0.3">
      <c r="A956">
        <v>17</v>
      </c>
      <c r="B956" t="s">
        <v>7154</v>
      </c>
      <c r="C956" t="s">
        <v>6105</v>
      </c>
      <c r="E956">
        <v>57704918</v>
      </c>
      <c r="F956">
        <v>242378780764</v>
      </c>
    </row>
    <row r="957" spans="1:6" x14ac:dyDescent="0.3">
      <c r="A957">
        <v>17</v>
      </c>
      <c r="B957" t="s">
        <v>7261</v>
      </c>
      <c r="C957" t="s">
        <v>4064</v>
      </c>
      <c r="E957">
        <v>91602200</v>
      </c>
      <c r="F957">
        <v>242321075846</v>
      </c>
    </row>
    <row r="958" spans="1:6" x14ac:dyDescent="0.3">
      <c r="A958">
        <v>17</v>
      </c>
      <c r="B958" t="s">
        <v>7170</v>
      </c>
      <c r="C958" t="s">
        <v>4064</v>
      </c>
      <c r="E958">
        <v>118312061</v>
      </c>
    </row>
    <row r="959" spans="1:6" x14ac:dyDescent="0.3">
      <c r="A959">
        <v>17</v>
      </c>
      <c r="B959" t="s">
        <v>2041</v>
      </c>
      <c r="C959" t="s">
        <v>6581</v>
      </c>
      <c r="E959">
        <v>51818182</v>
      </c>
      <c r="F959">
        <v>242111161585</v>
      </c>
    </row>
    <row r="960" spans="1:6" x14ac:dyDescent="0.3">
      <c r="A960">
        <v>17</v>
      </c>
      <c r="B960" t="s">
        <v>2037</v>
      </c>
      <c r="C960" t="s">
        <v>4088</v>
      </c>
      <c r="E960">
        <v>38000000</v>
      </c>
      <c r="F960">
        <v>242059343403</v>
      </c>
    </row>
    <row r="961" spans="1:6" x14ac:dyDescent="0.3">
      <c r="A961">
        <v>17</v>
      </c>
      <c r="B961" t="s">
        <v>2037</v>
      </c>
      <c r="C961" t="s">
        <v>5037</v>
      </c>
      <c r="E961">
        <v>38181818</v>
      </c>
      <c r="F961">
        <v>242021343403</v>
      </c>
    </row>
    <row r="962" spans="1:6" x14ac:dyDescent="0.3">
      <c r="A962">
        <v>17</v>
      </c>
      <c r="B962" t="s">
        <v>2037</v>
      </c>
      <c r="C962" t="s">
        <v>6580</v>
      </c>
      <c r="E962">
        <v>38000000</v>
      </c>
      <c r="F962">
        <v>241983161585</v>
      </c>
    </row>
    <row r="963" spans="1:6" x14ac:dyDescent="0.3">
      <c r="A963">
        <v>17</v>
      </c>
      <c r="B963" t="s">
        <v>2054</v>
      </c>
      <c r="C963" t="s">
        <v>5111</v>
      </c>
      <c r="E963">
        <v>14000000</v>
      </c>
      <c r="F963">
        <v>241945161585</v>
      </c>
    </row>
    <row r="964" spans="1:6" x14ac:dyDescent="0.3">
      <c r="A964">
        <v>17</v>
      </c>
      <c r="B964" t="s">
        <v>2028</v>
      </c>
      <c r="C964" t="s">
        <v>4747</v>
      </c>
      <c r="E964">
        <v>14090909</v>
      </c>
      <c r="F964">
        <v>241931161585</v>
      </c>
    </row>
    <row r="965" spans="1:6" x14ac:dyDescent="0.3">
      <c r="A965">
        <v>17</v>
      </c>
      <c r="B965" t="s">
        <v>2836</v>
      </c>
      <c r="C965" t="s">
        <v>3831</v>
      </c>
      <c r="E965">
        <v>32727273</v>
      </c>
      <c r="F965">
        <v>241917070676</v>
      </c>
    </row>
    <row r="966" spans="1:6" x14ac:dyDescent="0.3">
      <c r="A966">
        <v>17</v>
      </c>
      <c r="B966" t="s">
        <v>2041</v>
      </c>
      <c r="C966" t="s">
        <v>6579</v>
      </c>
      <c r="E966">
        <v>51000000</v>
      </c>
      <c r="F966">
        <v>241884343403</v>
      </c>
    </row>
    <row r="967" spans="1:6" x14ac:dyDescent="0.3">
      <c r="A967">
        <v>17</v>
      </c>
      <c r="B967" t="s">
        <v>2041</v>
      </c>
      <c r="C967" t="s">
        <v>6578</v>
      </c>
      <c r="E967">
        <v>51818181</v>
      </c>
      <c r="F967">
        <v>241833343403</v>
      </c>
    </row>
    <row r="968" spans="1:6" x14ac:dyDescent="0.3">
      <c r="A968">
        <v>17</v>
      </c>
      <c r="B968" t="s">
        <v>2037</v>
      </c>
      <c r="C968" t="s">
        <v>6577</v>
      </c>
      <c r="E968">
        <v>36363636</v>
      </c>
      <c r="F968">
        <v>241781525222</v>
      </c>
    </row>
    <row r="969" spans="1:6" x14ac:dyDescent="0.3">
      <c r="A969">
        <v>17</v>
      </c>
      <c r="B969" t="s">
        <v>2054</v>
      </c>
      <c r="C969" t="s">
        <v>6576</v>
      </c>
      <c r="E969">
        <v>15181818</v>
      </c>
      <c r="F969">
        <v>241745161586</v>
      </c>
    </row>
    <row r="970" spans="1:6" x14ac:dyDescent="0.3">
      <c r="A970">
        <v>17</v>
      </c>
      <c r="B970" t="s">
        <v>2037</v>
      </c>
      <c r="C970" t="s">
        <v>6575</v>
      </c>
      <c r="E970">
        <v>38500000</v>
      </c>
      <c r="F970">
        <v>241729979768</v>
      </c>
    </row>
    <row r="971" spans="1:6" x14ac:dyDescent="0.3">
      <c r="A971">
        <v>17</v>
      </c>
      <c r="B971" t="s">
        <v>2063</v>
      </c>
      <c r="C971" t="s">
        <v>6574</v>
      </c>
      <c r="E971">
        <v>154000000</v>
      </c>
      <c r="F971">
        <v>241691479768</v>
      </c>
    </row>
    <row r="972" spans="1:6" x14ac:dyDescent="0.3">
      <c r="A972">
        <v>17</v>
      </c>
      <c r="B972" t="s">
        <v>2028</v>
      </c>
      <c r="C972" t="s">
        <v>4213</v>
      </c>
      <c r="E972">
        <v>14500000</v>
      </c>
      <c r="F972">
        <v>241537479768</v>
      </c>
    </row>
    <row r="973" spans="1:6" x14ac:dyDescent="0.3">
      <c r="A973">
        <v>17</v>
      </c>
      <c r="B973" t="s">
        <v>2028</v>
      </c>
      <c r="C973" t="s">
        <v>4213</v>
      </c>
      <c r="E973">
        <v>14500000</v>
      </c>
      <c r="F973">
        <v>241522979768</v>
      </c>
    </row>
    <row r="974" spans="1:6" x14ac:dyDescent="0.3">
      <c r="A974">
        <v>17</v>
      </c>
      <c r="B974" t="s">
        <v>2032</v>
      </c>
      <c r="C974" t="s">
        <v>3720</v>
      </c>
      <c r="E974">
        <v>18500000</v>
      </c>
      <c r="F974">
        <v>241508479768</v>
      </c>
    </row>
    <row r="975" spans="1:6" x14ac:dyDescent="0.3">
      <c r="A975">
        <v>17</v>
      </c>
      <c r="B975" t="s">
        <v>2032</v>
      </c>
      <c r="C975" t="s">
        <v>3720</v>
      </c>
      <c r="E975">
        <v>18500000</v>
      </c>
      <c r="F975">
        <v>241489979768</v>
      </c>
    </row>
    <row r="976" spans="1:6" x14ac:dyDescent="0.3">
      <c r="A976">
        <v>17</v>
      </c>
      <c r="B976" t="s">
        <v>2039</v>
      </c>
      <c r="C976" t="s">
        <v>6573</v>
      </c>
      <c r="E976">
        <v>41454545</v>
      </c>
      <c r="F976">
        <v>241471479768</v>
      </c>
    </row>
    <row r="977" spans="1:6" x14ac:dyDescent="0.3">
      <c r="A977">
        <v>17</v>
      </c>
      <c r="B977" t="s">
        <v>2039</v>
      </c>
      <c r="C977" t="s">
        <v>6572</v>
      </c>
      <c r="E977">
        <v>41200000</v>
      </c>
      <c r="F977">
        <v>241430025223</v>
      </c>
    </row>
    <row r="978" spans="1:6" x14ac:dyDescent="0.3">
      <c r="A978">
        <v>17</v>
      </c>
      <c r="B978" t="s">
        <v>2037</v>
      </c>
      <c r="C978" t="s">
        <v>6571</v>
      </c>
      <c r="E978">
        <v>37727273</v>
      </c>
      <c r="F978">
        <v>241388825223</v>
      </c>
    </row>
    <row r="979" spans="1:6" x14ac:dyDescent="0.3">
      <c r="A979">
        <v>17</v>
      </c>
      <c r="B979" t="s">
        <v>2037</v>
      </c>
      <c r="C979" t="s">
        <v>6570</v>
      </c>
      <c r="E979">
        <v>37000000</v>
      </c>
      <c r="F979">
        <v>241351097950</v>
      </c>
    </row>
    <row r="980" spans="1:6" x14ac:dyDescent="0.3">
      <c r="A980">
        <v>17</v>
      </c>
      <c r="B980" t="s">
        <v>2037</v>
      </c>
      <c r="C980" t="s">
        <v>6569</v>
      </c>
      <c r="E980">
        <v>3818181</v>
      </c>
      <c r="F980">
        <v>241314097950</v>
      </c>
    </row>
    <row r="981" spans="1:6" x14ac:dyDescent="0.3">
      <c r="A981">
        <v>17</v>
      </c>
      <c r="B981" t="s">
        <v>2054</v>
      </c>
      <c r="C981" t="s">
        <v>6568</v>
      </c>
      <c r="E981">
        <v>14200000</v>
      </c>
      <c r="F981">
        <v>241310279769</v>
      </c>
    </row>
    <row r="982" spans="1:6" x14ac:dyDescent="0.3">
      <c r="A982">
        <v>17</v>
      </c>
      <c r="B982" t="s">
        <v>2039</v>
      </c>
      <c r="C982" t="s">
        <v>6567</v>
      </c>
      <c r="E982">
        <v>42327273</v>
      </c>
      <c r="F982">
        <v>241296079769</v>
      </c>
    </row>
    <row r="983" spans="1:6" x14ac:dyDescent="0.3">
      <c r="A983">
        <v>17</v>
      </c>
      <c r="B983" t="s">
        <v>2037</v>
      </c>
      <c r="C983" t="s">
        <v>6566</v>
      </c>
      <c r="E983">
        <v>35500000</v>
      </c>
      <c r="F983">
        <v>241253752496</v>
      </c>
    </row>
    <row r="984" spans="1:6" x14ac:dyDescent="0.3">
      <c r="A984">
        <v>17</v>
      </c>
      <c r="B984" t="s">
        <v>2037</v>
      </c>
      <c r="C984" t="s">
        <v>6565</v>
      </c>
      <c r="E984">
        <v>35500000</v>
      </c>
      <c r="F984">
        <v>241218252496</v>
      </c>
    </row>
    <row r="985" spans="1:6" x14ac:dyDescent="0.3">
      <c r="A985">
        <v>17</v>
      </c>
      <c r="B985" t="s">
        <v>2037</v>
      </c>
      <c r="C985" t="s">
        <v>4263</v>
      </c>
      <c r="E985">
        <v>35000000</v>
      </c>
      <c r="F985">
        <v>241182752496</v>
      </c>
    </row>
    <row r="986" spans="1:6" x14ac:dyDescent="0.3">
      <c r="A986">
        <v>17</v>
      </c>
      <c r="B986" t="s">
        <v>2037</v>
      </c>
      <c r="C986" t="s">
        <v>6564</v>
      </c>
      <c r="E986">
        <v>36400000</v>
      </c>
      <c r="F986">
        <v>241147752496</v>
      </c>
    </row>
    <row r="987" spans="1:6" x14ac:dyDescent="0.3">
      <c r="A987">
        <v>17</v>
      </c>
      <c r="B987" t="s">
        <v>2037</v>
      </c>
      <c r="C987" t="s">
        <v>5652</v>
      </c>
      <c r="E987">
        <v>38636364</v>
      </c>
      <c r="F987">
        <v>241111352496</v>
      </c>
    </row>
    <row r="988" spans="1:6" x14ac:dyDescent="0.3">
      <c r="A988">
        <v>17</v>
      </c>
      <c r="B988" t="s">
        <v>2037</v>
      </c>
      <c r="C988" t="s">
        <v>6563</v>
      </c>
      <c r="E988">
        <v>18500000</v>
      </c>
      <c r="F988">
        <v>241072716132</v>
      </c>
    </row>
    <row r="989" spans="1:6" x14ac:dyDescent="0.3">
      <c r="A989">
        <v>17</v>
      </c>
      <c r="B989" t="s">
        <v>2062</v>
      </c>
      <c r="C989" t="s">
        <v>6562</v>
      </c>
      <c r="E989">
        <v>175000000</v>
      </c>
      <c r="F989">
        <v>241054216132</v>
      </c>
    </row>
    <row r="990" spans="1:6" x14ac:dyDescent="0.3">
      <c r="A990">
        <v>17</v>
      </c>
      <c r="B990" t="s">
        <v>7203</v>
      </c>
      <c r="C990" t="s">
        <v>6561</v>
      </c>
      <c r="E990">
        <v>37184400</v>
      </c>
      <c r="F990">
        <v>240879216132</v>
      </c>
    </row>
    <row r="991" spans="1:6" x14ac:dyDescent="0.3">
      <c r="A991">
        <v>17</v>
      </c>
      <c r="B991" t="s">
        <v>2048</v>
      </c>
      <c r="C991" t="s">
        <v>6560</v>
      </c>
      <c r="E991">
        <v>40454545</v>
      </c>
      <c r="F991">
        <v>240842031732</v>
      </c>
    </row>
    <row r="992" spans="1:6" x14ac:dyDescent="0.3">
      <c r="A992">
        <v>17</v>
      </c>
      <c r="B992" t="s">
        <v>2836</v>
      </c>
      <c r="C992" t="s">
        <v>6559</v>
      </c>
      <c r="E992">
        <v>32727273</v>
      </c>
      <c r="F992">
        <v>240801577187</v>
      </c>
    </row>
    <row r="993" spans="1:6" x14ac:dyDescent="0.3">
      <c r="A993">
        <v>17</v>
      </c>
      <c r="B993" t="s">
        <v>2041</v>
      </c>
      <c r="C993" t="s">
        <v>6558</v>
      </c>
      <c r="E993">
        <v>50000000</v>
      </c>
      <c r="F993">
        <v>240768849914</v>
      </c>
    </row>
    <row r="994" spans="1:6" x14ac:dyDescent="0.3">
      <c r="A994">
        <v>17</v>
      </c>
      <c r="B994" t="s">
        <v>2028</v>
      </c>
      <c r="C994" t="s">
        <v>6557</v>
      </c>
      <c r="E994">
        <v>14545454</v>
      </c>
      <c r="F994">
        <v>240718849914</v>
      </c>
    </row>
    <row r="995" spans="1:6" x14ac:dyDescent="0.3">
      <c r="A995">
        <v>17</v>
      </c>
      <c r="B995" t="s">
        <v>2054</v>
      </c>
      <c r="C995" t="s">
        <v>6556</v>
      </c>
      <c r="E995">
        <v>13500000</v>
      </c>
      <c r="F995">
        <v>240704304460</v>
      </c>
    </row>
    <row r="996" spans="1:6" x14ac:dyDescent="0.3">
      <c r="A996">
        <v>17</v>
      </c>
      <c r="B996" t="s">
        <v>2063</v>
      </c>
      <c r="C996" t="s">
        <v>5371</v>
      </c>
      <c r="E996">
        <v>159000000</v>
      </c>
      <c r="F996">
        <v>240690804460</v>
      </c>
    </row>
    <row r="997" spans="1:6" x14ac:dyDescent="0.3">
      <c r="A997">
        <v>17</v>
      </c>
      <c r="B997" t="s">
        <v>2032</v>
      </c>
      <c r="C997" t="s">
        <v>6555</v>
      </c>
      <c r="E997">
        <v>18373000</v>
      </c>
      <c r="F997">
        <v>240531804460</v>
      </c>
    </row>
    <row r="998" spans="1:6" x14ac:dyDescent="0.3">
      <c r="A998">
        <v>17</v>
      </c>
      <c r="B998" t="s">
        <v>2054</v>
      </c>
      <c r="C998" t="s">
        <v>6554</v>
      </c>
      <c r="E998">
        <v>14720000</v>
      </c>
      <c r="F998">
        <v>240513431460</v>
      </c>
    </row>
    <row r="999" spans="1:6" x14ac:dyDescent="0.3">
      <c r="A999">
        <v>17</v>
      </c>
      <c r="B999" t="s">
        <v>2044</v>
      </c>
      <c r="C999" t="s">
        <v>6485</v>
      </c>
      <c r="E999">
        <v>39545455</v>
      </c>
      <c r="F999">
        <v>240498711460</v>
      </c>
    </row>
    <row r="1000" spans="1:6" x14ac:dyDescent="0.3">
      <c r="A1000">
        <v>17</v>
      </c>
      <c r="B1000" t="s">
        <v>2836</v>
      </c>
      <c r="C1000" t="s">
        <v>6553</v>
      </c>
      <c r="E1000">
        <v>31000000</v>
      </c>
      <c r="F1000">
        <v>240459166005</v>
      </c>
    </row>
    <row r="1001" spans="1:6" x14ac:dyDescent="0.3">
      <c r="A1001">
        <v>17</v>
      </c>
      <c r="B1001" t="s">
        <v>2039</v>
      </c>
      <c r="C1001" t="s">
        <v>3945</v>
      </c>
      <c r="E1001">
        <v>40909091</v>
      </c>
      <c r="F1001">
        <v>240428166005</v>
      </c>
    </row>
    <row r="1002" spans="1:6" x14ac:dyDescent="0.3">
      <c r="A1002">
        <v>17</v>
      </c>
      <c r="B1002" t="s">
        <v>2037</v>
      </c>
      <c r="C1002" t="s">
        <v>6552</v>
      </c>
      <c r="E1002">
        <v>37600000</v>
      </c>
      <c r="F1002">
        <v>240387256914</v>
      </c>
    </row>
    <row r="1003" spans="1:6" x14ac:dyDescent="0.3">
      <c r="A1003">
        <v>17</v>
      </c>
      <c r="B1003" t="s">
        <v>2061</v>
      </c>
      <c r="C1003" t="s">
        <v>6372</v>
      </c>
      <c r="E1003">
        <v>148600000</v>
      </c>
      <c r="F1003">
        <v>240349656914</v>
      </c>
    </row>
    <row r="1004" spans="1:6" x14ac:dyDescent="0.3">
      <c r="A1004">
        <v>17</v>
      </c>
      <c r="B1004" t="s">
        <v>2826</v>
      </c>
      <c r="C1004" t="s">
        <v>6551</v>
      </c>
      <c r="E1004">
        <v>13954545</v>
      </c>
      <c r="F1004">
        <v>240201056914</v>
      </c>
    </row>
    <row r="1005" spans="1:6" x14ac:dyDescent="0.3">
      <c r="A1005">
        <v>17</v>
      </c>
      <c r="B1005" t="s">
        <v>2037</v>
      </c>
      <c r="C1005" t="s">
        <v>4342</v>
      </c>
      <c r="E1005">
        <v>38500000</v>
      </c>
      <c r="F1005">
        <v>240187102369</v>
      </c>
    </row>
    <row r="1006" spans="1:6" x14ac:dyDescent="0.3">
      <c r="A1006">
        <v>17</v>
      </c>
      <c r="B1006" t="s">
        <v>2823</v>
      </c>
      <c r="C1006" t="s">
        <v>3515</v>
      </c>
      <c r="E1006">
        <v>21000000</v>
      </c>
      <c r="F1006">
        <v>240148602369</v>
      </c>
    </row>
    <row r="1007" spans="1:6" x14ac:dyDescent="0.3">
      <c r="A1007">
        <v>17</v>
      </c>
      <c r="B1007" t="s">
        <v>2041</v>
      </c>
      <c r="C1007" t="s">
        <v>6550</v>
      </c>
      <c r="E1007">
        <v>48500000</v>
      </c>
      <c r="F1007">
        <v>240127602369</v>
      </c>
    </row>
    <row r="1008" spans="1:6" x14ac:dyDescent="0.3">
      <c r="A1008">
        <v>17</v>
      </c>
      <c r="B1008" t="s">
        <v>7361</v>
      </c>
      <c r="C1008" t="s">
        <v>6549</v>
      </c>
      <c r="E1008">
        <v>571862000</v>
      </c>
      <c r="F1008">
        <v>240079102369</v>
      </c>
    </row>
    <row r="1009" spans="1:6" x14ac:dyDescent="0.3">
      <c r="A1009">
        <v>17</v>
      </c>
      <c r="B1009" t="s">
        <v>2062</v>
      </c>
      <c r="C1009" t="s">
        <v>6548</v>
      </c>
      <c r="E1009">
        <v>175000000</v>
      </c>
      <c r="F1009">
        <v>239507240369</v>
      </c>
    </row>
    <row r="1010" spans="1:6" x14ac:dyDescent="0.3">
      <c r="A1010">
        <v>17</v>
      </c>
      <c r="B1010" t="s">
        <v>2037</v>
      </c>
      <c r="C1010" t="s">
        <v>4316</v>
      </c>
      <c r="E1010">
        <v>18500000</v>
      </c>
      <c r="F1010">
        <v>239332240369</v>
      </c>
    </row>
    <row r="1011" spans="1:6" x14ac:dyDescent="0.3">
      <c r="A1011">
        <v>17</v>
      </c>
      <c r="B1011" t="s">
        <v>2063</v>
      </c>
      <c r="C1011" t="s">
        <v>6547</v>
      </c>
      <c r="E1011">
        <v>160500000</v>
      </c>
      <c r="F1011">
        <v>239313740369</v>
      </c>
    </row>
    <row r="1012" spans="1:6" x14ac:dyDescent="0.3">
      <c r="A1012">
        <v>17</v>
      </c>
      <c r="B1012" t="s">
        <v>2037</v>
      </c>
      <c r="C1012" t="s">
        <v>6546</v>
      </c>
      <c r="E1012">
        <v>37850000</v>
      </c>
      <c r="F1012">
        <v>239153240369</v>
      </c>
    </row>
    <row r="1013" spans="1:6" x14ac:dyDescent="0.3">
      <c r="A1013">
        <v>17</v>
      </c>
      <c r="B1013" t="s">
        <v>2032</v>
      </c>
      <c r="C1013" t="s">
        <v>6545</v>
      </c>
      <c r="E1013">
        <v>18373000</v>
      </c>
      <c r="F1013">
        <v>239115390369</v>
      </c>
    </row>
    <row r="1014" spans="1:6" x14ac:dyDescent="0.3">
      <c r="A1014">
        <v>17</v>
      </c>
      <c r="B1014" t="s">
        <v>2037</v>
      </c>
      <c r="C1014" t="s">
        <v>6544</v>
      </c>
      <c r="E1014">
        <v>37090909</v>
      </c>
      <c r="F1014">
        <v>239097017369</v>
      </c>
    </row>
    <row r="1015" spans="1:6" x14ac:dyDescent="0.3">
      <c r="A1015">
        <v>17</v>
      </c>
      <c r="B1015" t="s">
        <v>2063</v>
      </c>
      <c r="C1015" t="s">
        <v>6543</v>
      </c>
      <c r="E1015">
        <v>160500000</v>
      </c>
      <c r="F1015">
        <v>239059926460</v>
      </c>
    </row>
    <row r="1016" spans="1:6" x14ac:dyDescent="0.3">
      <c r="A1016">
        <v>17</v>
      </c>
      <c r="B1016" t="s">
        <v>2037</v>
      </c>
      <c r="C1016" t="s">
        <v>6238</v>
      </c>
      <c r="E1016">
        <v>38181818</v>
      </c>
      <c r="F1016">
        <v>238899426460</v>
      </c>
    </row>
    <row r="1017" spans="1:6" x14ac:dyDescent="0.3">
      <c r="A1017">
        <v>17</v>
      </c>
      <c r="B1017" t="s">
        <v>2028</v>
      </c>
      <c r="C1017" t="s">
        <v>6542</v>
      </c>
      <c r="E1017">
        <v>16850000</v>
      </c>
      <c r="F1017">
        <v>238861244642</v>
      </c>
    </row>
    <row r="1018" spans="1:6" x14ac:dyDescent="0.3">
      <c r="A1018">
        <v>17</v>
      </c>
      <c r="B1018" t="s">
        <v>2842</v>
      </c>
      <c r="C1018" t="s">
        <v>6541</v>
      </c>
      <c r="E1018">
        <v>47090000</v>
      </c>
      <c r="F1018">
        <v>238844394642</v>
      </c>
    </row>
    <row r="1019" spans="1:6" x14ac:dyDescent="0.3">
      <c r="A1019">
        <v>17</v>
      </c>
      <c r="B1019" t="s">
        <v>2842</v>
      </c>
      <c r="C1019" t="s">
        <v>6540</v>
      </c>
      <c r="E1019">
        <v>43000000</v>
      </c>
      <c r="F1019">
        <v>238797304642</v>
      </c>
    </row>
    <row r="1020" spans="1:6" x14ac:dyDescent="0.3">
      <c r="A1020">
        <v>17</v>
      </c>
      <c r="B1020" t="s">
        <v>2035</v>
      </c>
      <c r="C1020" t="s">
        <v>6539</v>
      </c>
      <c r="E1020">
        <v>49252273</v>
      </c>
      <c r="F1020">
        <v>238754304642</v>
      </c>
    </row>
    <row r="1021" spans="1:6" x14ac:dyDescent="0.3">
      <c r="A1021">
        <v>17</v>
      </c>
      <c r="B1021" t="s">
        <v>2062</v>
      </c>
      <c r="C1021" t="s">
        <v>6538</v>
      </c>
      <c r="E1021">
        <v>175000000</v>
      </c>
      <c r="F1021">
        <v>238705052369</v>
      </c>
    </row>
    <row r="1022" spans="1:6" x14ac:dyDescent="0.3">
      <c r="A1022">
        <v>17</v>
      </c>
      <c r="B1022" t="s">
        <v>2060</v>
      </c>
      <c r="C1022" t="s">
        <v>6537</v>
      </c>
      <c r="E1022">
        <v>164000000</v>
      </c>
      <c r="F1022">
        <v>238530052369</v>
      </c>
    </row>
    <row r="1023" spans="1:6" x14ac:dyDescent="0.3">
      <c r="A1023">
        <v>17</v>
      </c>
      <c r="B1023" t="s">
        <v>2836</v>
      </c>
      <c r="C1023" t="s">
        <v>6536</v>
      </c>
      <c r="E1023">
        <v>32000000</v>
      </c>
      <c r="F1023">
        <v>238366052369</v>
      </c>
    </row>
    <row r="1024" spans="1:6" x14ac:dyDescent="0.3">
      <c r="A1024">
        <v>17</v>
      </c>
      <c r="B1024" t="s">
        <v>2062</v>
      </c>
      <c r="C1024" t="s">
        <v>6535</v>
      </c>
      <c r="E1024">
        <v>175000000</v>
      </c>
      <c r="F1024">
        <v>238334052369</v>
      </c>
    </row>
    <row r="1025" spans="1:6" x14ac:dyDescent="0.3">
      <c r="A1025">
        <v>17</v>
      </c>
      <c r="B1025" t="s">
        <v>2039</v>
      </c>
      <c r="C1025" t="s">
        <v>6534</v>
      </c>
      <c r="E1025">
        <v>41818182</v>
      </c>
      <c r="F1025">
        <v>238159052369</v>
      </c>
    </row>
    <row r="1026" spans="1:6" x14ac:dyDescent="0.3">
      <c r="A1026">
        <v>17</v>
      </c>
      <c r="B1026" t="s">
        <v>2041</v>
      </c>
      <c r="C1026" t="s">
        <v>6533</v>
      </c>
      <c r="E1026">
        <v>49545454</v>
      </c>
      <c r="F1026">
        <v>238117234187</v>
      </c>
    </row>
    <row r="1027" spans="1:6" x14ac:dyDescent="0.3">
      <c r="A1027">
        <v>17</v>
      </c>
      <c r="B1027" t="s">
        <v>2055</v>
      </c>
      <c r="C1027" t="s">
        <v>6532</v>
      </c>
      <c r="E1027">
        <v>60581818</v>
      </c>
      <c r="F1027">
        <v>238067688733</v>
      </c>
    </row>
    <row r="1028" spans="1:6" x14ac:dyDescent="0.3">
      <c r="A1028">
        <v>17</v>
      </c>
      <c r="B1028" t="s">
        <v>2060</v>
      </c>
      <c r="C1028" t="s">
        <v>6531</v>
      </c>
      <c r="E1028">
        <v>163636363</v>
      </c>
      <c r="F1028">
        <v>238007106915</v>
      </c>
    </row>
    <row r="1029" spans="1:6" x14ac:dyDescent="0.3">
      <c r="A1029">
        <v>17</v>
      </c>
      <c r="B1029" t="s">
        <v>2062</v>
      </c>
      <c r="C1029" t="s">
        <v>6530</v>
      </c>
      <c r="E1029">
        <v>172200000</v>
      </c>
      <c r="F1029">
        <v>237843470552</v>
      </c>
    </row>
    <row r="1030" spans="1:6" x14ac:dyDescent="0.3">
      <c r="A1030">
        <v>17</v>
      </c>
      <c r="B1030" t="s">
        <v>2028</v>
      </c>
      <c r="C1030" t="s">
        <v>6529</v>
      </c>
      <c r="E1030">
        <v>14300000</v>
      </c>
      <c r="F1030">
        <v>237671270552</v>
      </c>
    </row>
    <row r="1031" spans="1:6" x14ac:dyDescent="0.3">
      <c r="A1031">
        <v>17</v>
      </c>
      <c r="B1031" t="s">
        <v>2028</v>
      </c>
      <c r="C1031" t="s">
        <v>6528</v>
      </c>
      <c r="E1031">
        <v>13500000</v>
      </c>
      <c r="F1031">
        <v>237656970552</v>
      </c>
    </row>
    <row r="1032" spans="1:6" x14ac:dyDescent="0.3">
      <c r="A1032">
        <v>17</v>
      </c>
      <c r="B1032" t="s">
        <v>2062</v>
      </c>
      <c r="C1032" t="s">
        <v>6527</v>
      </c>
      <c r="E1032">
        <v>176500000</v>
      </c>
      <c r="F1032">
        <v>237643470552</v>
      </c>
    </row>
    <row r="1033" spans="1:6" x14ac:dyDescent="0.3">
      <c r="A1033">
        <v>17</v>
      </c>
      <c r="B1033" t="s">
        <v>2037</v>
      </c>
      <c r="C1033" t="s">
        <v>4000</v>
      </c>
      <c r="E1033">
        <v>36500000</v>
      </c>
      <c r="F1033">
        <v>237466970552</v>
      </c>
    </row>
    <row r="1034" spans="1:6" x14ac:dyDescent="0.3">
      <c r="A1034">
        <v>17</v>
      </c>
      <c r="B1034" t="s">
        <v>2037</v>
      </c>
      <c r="C1034" t="s">
        <v>5652</v>
      </c>
      <c r="E1034">
        <v>38636364</v>
      </c>
      <c r="F1034">
        <v>237430470552</v>
      </c>
    </row>
    <row r="1035" spans="1:6" x14ac:dyDescent="0.3">
      <c r="A1035">
        <v>17</v>
      </c>
      <c r="B1035" t="s">
        <v>2037</v>
      </c>
      <c r="C1035" t="s">
        <v>4164</v>
      </c>
      <c r="E1035">
        <v>38181818</v>
      </c>
      <c r="F1035">
        <v>237391834188</v>
      </c>
    </row>
    <row r="1036" spans="1:6" x14ac:dyDescent="0.3">
      <c r="A1036">
        <v>17</v>
      </c>
      <c r="B1036" t="s">
        <v>7360</v>
      </c>
      <c r="C1036" t="s">
        <v>3438</v>
      </c>
      <c r="E1036">
        <v>33420000</v>
      </c>
      <c r="F1036">
        <v>237353652370</v>
      </c>
    </row>
    <row r="1037" spans="1:6" x14ac:dyDescent="0.3">
      <c r="A1037">
        <v>17</v>
      </c>
      <c r="B1037" t="s">
        <v>2028</v>
      </c>
      <c r="C1037" t="s">
        <v>3438</v>
      </c>
      <c r="E1037">
        <v>50054000</v>
      </c>
      <c r="F1037">
        <v>237320232370</v>
      </c>
    </row>
    <row r="1038" spans="1:6" x14ac:dyDescent="0.3">
      <c r="A1038">
        <v>17</v>
      </c>
      <c r="B1038" t="s">
        <v>2028</v>
      </c>
      <c r="C1038" t="s">
        <v>3438</v>
      </c>
      <c r="E1038">
        <v>50054000</v>
      </c>
      <c r="F1038">
        <v>237270178370</v>
      </c>
    </row>
    <row r="1039" spans="1:6" x14ac:dyDescent="0.3">
      <c r="A1039">
        <v>17</v>
      </c>
      <c r="B1039" t="s">
        <v>2041</v>
      </c>
      <c r="C1039" t="s">
        <v>6526</v>
      </c>
      <c r="E1039">
        <v>52000000</v>
      </c>
      <c r="F1039">
        <v>237220124370</v>
      </c>
    </row>
    <row r="1040" spans="1:6" x14ac:dyDescent="0.3">
      <c r="A1040">
        <v>17</v>
      </c>
      <c r="B1040" t="s">
        <v>2039</v>
      </c>
      <c r="C1040" t="s">
        <v>6525</v>
      </c>
      <c r="E1040">
        <v>42000000</v>
      </c>
      <c r="F1040">
        <v>237168124370</v>
      </c>
    </row>
    <row r="1041" spans="1:6" x14ac:dyDescent="0.3">
      <c r="A1041">
        <v>17</v>
      </c>
      <c r="B1041" t="s">
        <v>2039</v>
      </c>
      <c r="C1041" t="s">
        <v>6524</v>
      </c>
      <c r="E1041">
        <v>41000000</v>
      </c>
      <c r="F1041">
        <v>237126124370</v>
      </c>
    </row>
    <row r="1042" spans="1:6" x14ac:dyDescent="0.3">
      <c r="A1042">
        <v>17</v>
      </c>
      <c r="B1042" t="s">
        <v>2032</v>
      </c>
      <c r="C1042" t="s">
        <v>3594</v>
      </c>
      <c r="E1042">
        <v>18373000</v>
      </c>
      <c r="F1042">
        <v>237085124370</v>
      </c>
    </row>
    <row r="1043" spans="1:6" x14ac:dyDescent="0.3">
      <c r="A1043">
        <v>17</v>
      </c>
      <c r="B1043" t="s">
        <v>2037</v>
      </c>
      <c r="C1043" t="s">
        <v>6523</v>
      </c>
      <c r="E1043">
        <v>18500000</v>
      </c>
      <c r="F1043">
        <v>237066751370</v>
      </c>
    </row>
    <row r="1044" spans="1:6" x14ac:dyDescent="0.3">
      <c r="A1044">
        <v>17</v>
      </c>
      <c r="B1044" t="s">
        <v>2028</v>
      </c>
      <c r="C1044" t="s">
        <v>3938</v>
      </c>
      <c r="E1044">
        <v>14500000</v>
      </c>
      <c r="F1044">
        <v>237048251370</v>
      </c>
    </row>
    <row r="1045" spans="1:6" x14ac:dyDescent="0.3">
      <c r="A1045">
        <v>17</v>
      </c>
      <c r="B1045" t="s">
        <v>2028</v>
      </c>
      <c r="C1045" t="s">
        <v>5222</v>
      </c>
      <c r="E1045">
        <v>15454545</v>
      </c>
      <c r="F1045">
        <v>237033751370</v>
      </c>
    </row>
    <row r="1046" spans="1:6" x14ac:dyDescent="0.3">
      <c r="A1046">
        <v>17</v>
      </c>
      <c r="B1046" t="s">
        <v>2037</v>
      </c>
      <c r="C1046" t="s">
        <v>6522</v>
      </c>
      <c r="E1046">
        <v>50000000</v>
      </c>
      <c r="F1046">
        <v>237018296825</v>
      </c>
    </row>
    <row r="1047" spans="1:6" x14ac:dyDescent="0.3">
      <c r="A1047">
        <v>17</v>
      </c>
      <c r="B1047" t="s">
        <v>2060</v>
      </c>
      <c r="C1047" t="s">
        <v>3959</v>
      </c>
      <c r="E1047">
        <v>164000000</v>
      </c>
      <c r="F1047">
        <v>236968296825</v>
      </c>
    </row>
    <row r="1048" spans="1:6" x14ac:dyDescent="0.3">
      <c r="A1048">
        <v>17</v>
      </c>
      <c r="B1048" t="s">
        <v>2836</v>
      </c>
      <c r="C1048" t="s">
        <v>6521</v>
      </c>
      <c r="E1048">
        <v>30000000</v>
      </c>
      <c r="F1048">
        <v>236804296825</v>
      </c>
    </row>
    <row r="1049" spans="1:6" x14ac:dyDescent="0.3">
      <c r="A1049">
        <v>17</v>
      </c>
      <c r="B1049" t="s">
        <v>2037</v>
      </c>
      <c r="C1049" t="s">
        <v>6520</v>
      </c>
      <c r="E1049">
        <v>38636363</v>
      </c>
      <c r="F1049">
        <v>236774296825</v>
      </c>
    </row>
    <row r="1050" spans="1:6" x14ac:dyDescent="0.3">
      <c r="A1050">
        <v>17</v>
      </c>
      <c r="B1050" t="s">
        <v>2836</v>
      </c>
      <c r="C1050" t="s">
        <v>6519</v>
      </c>
      <c r="E1050">
        <v>31000000</v>
      </c>
      <c r="F1050">
        <v>236735660462</v>
      </c>
    </row>
    <row r="1051" spans="1:6" x14ac:dyDescent="0.3">
      <c r="A1051">
        <v>17</v>
      </c>
      <c r="B1051" t="s">
        <v>2037</v>
      </c>
      <c r="C1051" t="s">
        <v>6518</v>
      </c>
      <c r="E1051">
        <v>37500000</v>
      </c>
      <c r="F1051">
        <v>236704660462</v>
      </c>
    </row>
    <row r="1052" spans="1:6" x14ac:dyDescent="0.3">
      <c r="A1052">
        <v>17</v>
      </c>
      <c r="B1052" t="s">
        <v>2032</v>
      </c>
      <c r="C1052" t="s">
        <v>4628</v>
      </c>
      <c r="E1052">
        <v>36363636</v>
      </c>
      <c r="F1052">
        <v>236667160462</v>
      </c>
    </row>
    <row r="1053" spans="1:6" x14ac:dyDescent="0.3">
      <c r="A1053">
        <v>17</v>
      </c>
      <c r="B1053" t="s">
        <v>2028</v>
      </c>
      <c r="C1053" t="s">
        <v>6517</v>
      </c>
      <c r="E1053">
        <v>13936364</v>
      </c>
      <c r="F1053">
        <v>236630796826</v>
      </c>
    </row>
    <row r="1054" spans="1:6" x14ac:dyDescent="0.3">
      <c r="A1054">
        <v>17</v>
      </c>
      <c r="B1054" t="s">
        <v>2041</v>
      </c>
      <c r="C1054" t="s">
        <v>6103</v>
      </c>
      <c r="E1054">
        <v>51000000</v>
      </c>
      <c r="F1054">
        <v>236616860462</v>
      </c>
    </row>
    <row r="1055" spans="1:6" x14ac:dyDescent="0.3">
      <c r="A1055">
        <v>17</v>
      </c>
      <c r="B1055" t="s">
        <v>2037</v>
      </c>
      <c r="C1055" t="s">
        <v>6516</v>
      </c>
      <c r="E1055">
        <v>37000000</v>
      </c>
      <c r="F1055">
        <v>236565860462</v>
      </c>
    </row>
    <row r="1056" spans="1:6" x14ac:dyDescent="0.3">
      <c r="A1056">
        <v>17</v>
      </c>
      <c r="B1056" t="s">
        <v>2037</v>
      </c>
      <c r="C1056" t="s">
        <v>3491</v>
      </c>
      <c r="E1056">
        <v>38500000</v>
      </c>
      <c r="F1056">
        <v>236528860462</v>
      </c>
    </row>
    <row r="1057" spans="1:6" x14ac:dyDescent="0.3">
      <c r="A1057">
        <v>17</v>
      </c>
      <c r="B1057" t="s">
        <v>2037</v>
      </c>
      <c r="C1057" t="s">
        <v>6515</v>
      </c>
      <c r="E1057">
        <v>36545454</v>
      </c>
      <c r="F1057">
        <v>236490360462</v>
      </c>
    </row>
    <row r="1058" spans="1:6" x14ac:dyDescent="0.3">
      <c r="A1058">
        <v>17</v>
      </c>
      <c r="B1058" t="s">
        <v>2062</v>
      </c>
      <c r="C1058" t="s">
        <v>6513</v>
      </c>
      <c r="E1058">
        <v>175000000</v>
      </c>
      <c r="F1058">
        <v>236453815008</v>
      </c>
    </row>
    <row r="1059" spans="1:6" x14ac:dyDescent="0.3">
      <c r="A1059">
        <v>17</v>
      </c>
      <c r="B1059" t="s">
        <v>2062</v>
      </c>
      <c r="C1059" t="s">
        <v>6513</v>
      </c>
      <c r="E1059">
        <v>-175000000</v>
      </c>
      <c r="F1059">
        <v>236278815008</v>
      </c>
    </row>
    <row r="1060" spans="1:6" x14ac:dyDescent="0.3">
      <c r="A1060">
        <v>17</v>
      </c>
      <c r="B1060" t="s">
        <v>2061</v>
      </c>
      <c r="C1060" t="s">
        <v>6514</v>
      </c>
      <c r="E1060">
        <v>149200000</v>
      </c>
      <c r="F1060">
        <v>236453815008</v>
      </c>
    </row>
    <row r="1061" spans="1:6" x14ac:dyDescent="0.3">
      <c r="A1061">
        <v>17</v>
      </c>
      <c r="B1061" t="s">
        <v>2062</v>
      </c>
      <c r="C1061" t="s">
        <v>6513</v>
      </c>
      <c r="E1061">
        <v>175000000</v>
      </c>
      <c r="F1061">
        <v>236304615008</v>
      </c>
    </row>
    <row r="1062" spans="1:6" x14ac:dyDescent="0.3">
      <c r="A1062">
        <v>17</v>
      </c>
      <c r="B1062" t="s">
        <v>2062</v>
      </c>
      <c r="C1062" t="s">
        <v>6512</v>
      </c>
      <c r="E1062">
        <v>175000000</v>
      </c>
      <c r="F1062">
        <v>236129615008</v>
      </c>
    </row>
    <row r="1063" spans="1:6" x14ac:dyDescent="0.3">
      <c r="A1063">
        <v>17</v>
      </c>
      <c r="B1063" t="s">
        <v>2061</v>
      </c>
      <c r="C1063" t="s">
        <v>6511</v>
      </c>
      <c r="E1063">
        <v>146500000</v>
      </c>
      <c r="F1063">
        <v>235954615008</v>
      </c>
    </row>
    <row r="1064" spans="1:6" x14ac:dyDescent="0.3">
      <c r="A1064">
        <v>17</v>
      </c>
      <c r="B1064" t="s">
        <v>2836</v>
      </c>
      <c r="C1064" t="s">
        <v>4497</v>
      </c>
      <c r="E1064">
        <v>30000000</v>
      </c>
      <c r="F1064">
        <v>235808115008</v>
      </c>
    </row>
    <row r="1065" spans="1:6" x14ac:dyDescent="0.3">
      <c r="A1065">
        <v>17</v>
      </c>
      <c r="B1065" t="s">
        <v>2037</v>
      </c>
      <c r="C1065" t="s">
        <v>4497</v>
      </c>
      <c r="E1065">
        <v>35000000</v>
      </c>
      <c r="F1065">
        <v>235778115008</v>
      </c>
    </row>
    <row r="1066" spans="1:6" x14ac:dyDescent="0.3">
      <c r="A1066">
        <v>17</v>
      </c>
      <c r="B1066" t="s">
        <v>2039</v>
      </c>
      <c r="C1066" t="s">
        <v>6510</v>
      </c>
      <c r="E1066">
        <v>44150000</v>
      </c>
      <c r="F1066">
        <v>235743115008</v>
      </c>
    </row>
    <row r="1067" spans="1:6" x14ac:dyDescent="0.3">
      <c r="A1067">
        <v>17</v>
      </c>
      <c r="B1067" t="s">
        <v>2028</v>
      </c>
      <c r="C1067" t="s">
        <v>6509</v>
      </c>
      <c r="E1067">
        <v>14818182</v>
      </c>
      <c r="F1067">
        <v>235698965008</v>
      </c>
    </row>
    <row r="1068" spans="1:6" x14ac:dyDescent="0.3">
      <c r="A1068">
        <v>17</v>
      </c>
      <c r="B1068" t="s">
        <v>2037</v>
      </c>
      <c r="C1068" t="s">
        <v>5252</v>
      </c>
      <c r="E1068">
        <v>40454545</v>
      </c>
      <c r="F1068">
        <v>235684146826</v>
      </c>
    </row>
    <row r="1069" spans="1:6" x14ac:dyDescent="0.3">
      <c r="A1069">
        <v>17</v>
      </c>
      <c r="B1069" t="s">
        <v>2061</v>
      </c>
      <c r="C1069" t="s">
        <v>6508</v>
      </c>
      <c r="E1069">
        <v>149200000</v>
      </c>
      <c r="F1069">
        <v>235643692281</v>
      </c>
    </row>
    <row r="1070" spans="1:6" x14ac:dyDescent="0.3">
      <c r="A1070">
        <v>17</v>
      </c>
      <c r="B1070" t="s">
        <v>2063</v>
      </c>
      <c r="C1070" t="s">
        <v>6507</v>
      </c>
      <c r="E1070">
        <v>156600000</v>
      </c>
      <c r="F1070">
        <v>235494492281</v>
      </c>
    </row>
    <row r="1071" spans="1:6" x14ac:dyDescent="0.3">
      <c r="A1071">
        <v>17</v>
      </c>
      <c r="B1071" t="s">
        <v>2044</v>
      </c>
      <c r="C1071" t="s">
        <v>4295</v>
      </c>
      <c r="E1071">
        <v>38636364</v>
      </c>
      <c r="F1071">
        <v>235337892281</v>
      </c>
    </row>
    <row r="1072" spans="1:6" x14ac:dyDescent="0.3">
      <c r="A1072">
        <v>17</v>
      </c>
      <c r="B1072" t="s">
        <v>2041</v>
      </c>
      <c r="C1072" t="s">
        <v>6506</v>
      </c>
      <c r="E1072">
        <v>52727273</v>
      </c>
      <c r="F1072">
        <v>235299255917</v>
      </c>
    </row>
    <row r="1073" spans="1:6" x14ac:dyDescent="0.3">
      <c r="A1073">
        <v>17</v>
      </c>
      <c r="B1073" t="s">
        <v>2037</v>
      </c>
      <c r="C1073" t="s">
        <v>6505</v>
      </c>
      <c r="E1073">
        <v>38000000</v>
      </c>
      <c r="F1073">
        <v>235246528644</v>
      </c>
    </row>
    <row r="1074" spans="1:6" x14ac:dyDescent="0.3">
      <c r="A1074">
        <v>17</v>
      </c>
      <c r="B1074" t="s">
        <v>2034</v>
      </c>
      <c r="C1074" t="s">
        <v>6504</v>
      </c>
      <c r="E1074">
        <v>40000000</v>
      </c>
      <c r="F1074">
        <v>235208528644</v>
      </c>
    </row>
    <row r="1075" spans="1:6" x14ac:dyDescent="0.3">
      <c r="A1075">
        <v>17</v>
      </c>
      <c r="B1075" t="s">
        <v>2063</v>
      </c>
      <c r="C1075" t="s">
        <v>4990</v>
      </c>
      <c r="E1075">
        <v>155000000</v>
      </c>
      <c r="F1075">
        <v>235168528644</v>
      </c>
    </row>
    <row r="1076" spans="1:6" x14ac:dyDescent="0.3">
      <c r="A1076">
        <v>17</v>
      </c>
      <c r="B1076" t="s">
        <v>2028</v>
      </c>
      <c r="C1076" t="s">
        <v>6503</v>
      </c>
      <c r="E1076">
        <v>16900000</v>
      </c>
      <c r="F1076">
        <v>235013528644</v>
      </c>
    </row>
    <row r="1077" spans="1:6" x14ac:dyDescent="0.3">
      <c r="A1077">
        <v>17</v>
      </c>
      <c r="B1077" t="s">
        <v>2037</v>
      </c>
      <c r="C1077" t="s">
        <v>6502</v>
      </c>
      <c r="E1077">
        <v>37272727</v>
      </c>
      <c r="F1077">
        <v>234996628644</v>
      </c>
    </row>
    <row r="1078" spans="1:6" x14ac:dyDescent="0.3">
      <c r="A1078">
        <v>17</v>
      </c>
      <c r="B1078" t="s">
        <v>2028</v>
      </c>
      <c r="C1078" t="s">
        <v>6130</v>
      </c>
      <c r="E1078">
        <v>14500000</v>
      </c>
      <c r="F1078">
        <v>234959355917</v>
      </c>
    </row>
    <row r="1079" spans="1:6" x14ac:dyDescent="0.3">
      <c r="A1079">
        <v>17</v>
      </c>
      <c r="B1079" t="s">
        <v>2043</v>
      </c>
      <c r="C1079" t="s">
        <v>6501</v>
      </c>
      <c r="E1079">
        <v>56000000</v>
      </c>
      <c r="F1079">
        <v>234944855917</v>
      </c>
    </row>
    <row r="1080" spans="1:6" x14ac:dyDescent="0.3">
      <c r="A1080">
        <v>17</v>
      </c>
      <c r="B1080" t="s">
        <v>2041</v>
      </c>
      <c r="C1080" t="s">
        <v>6500</v>
      </c>
      <c r="E1080">
        <v>52000000</v>
      </c>
      <c r="F1080">
        <v>234888855917</v>
      </c>
    </row>
    <row r="1081" spans="1:6" x14ac:dyDescent="0.3">
      <c r="A1081">
        <v>17</v>
      </c>
      <c r="B1081" t="s">
        <v>2042</v>
      </c>
      <c r="C1081" t="s">
        <v>6499</v>
      </c>
      <c r="E1081">
        <v>41390909</v>
      </c>
      <c r="F1081">
        <v>234836855917</v>
      </c>
    </row>
    <row r="1082" spans="1:6" x14ac:dyDescent="0.3">
      <c r="A1082">
        <v>17</v>
      </c>
      <c r="B1082" t="s">
        <v>2032</v>
      </c>
      <c r="C1082" t="s">
        <v>6498</v>
      </c>
      <c r="E1082">
        <v>18373000</v>
      </c>
      <c r="F1082">
        <v>234795465008</v>
      </c>
    </row>
    <row r="1083" spans="1:6" x14ac:dyDescent="0.3">
      <c r="A1083">
        <v>17</v>
      </c>
      <c r="B1083" t="s">
        <v>2037</v>
      </c>
      <c r="C1083" t="s">
        <v>6497</v>
      </c>
      <c r="E1083">
        <v>18373000</v>
      </c>
      <c r="F1083">
        <v>234777092008</v>
      </c>
    </row>
    <row r="1084" spans="1:6" x14ac:dyDescent="0.3">
      <c r="A1084">
        <v>17</v>
      </c>
      <c r="B1084" t="s">
        <v>2840</v>
      </c>
      <c r="C1084" t="s">
        <v>6496</v>
      </c>
      <c r="E1084">
        <v>200000000</v>
      </c>
      <c r="F1084">
        <v>234758719008</v>
      </c>
    </row>
    <row r="1085" spans="1:6" x14ac:dyDescent="0.3">
      <c r="A1085">
        <v>17</v>
      </c>
      <c r="B1085" t="s">
        <v>2037</v>
      </c>
      <c r="C1085" t="s">
        <v>5103</v>
      </c>
      <c r="E1085">
        <v>37000000</v>
      </c>
      <c r="F1085">
        <v>234558719008</v>
      </c>
    </row>
    <row r="1086" spans="1:6" x14ac:dyDescent="0.3">
      <c r="A1086">
        <v>17</v>
      </c>
      <c r="B1086" t="s">
        <v>2041</v>
      </c>
      <c r="C1086" t="s">
        <v>6495</v>
      </c>
      <c r="E1086">
        <v>51818182</v>
      </c>
      <c r="F1086">
        <v>234521719008</v>
      </c>
    </row>
    <row r="1087" spans="1:6" x14ac:dyDescent="0.3">
      <c r="A1087">
        <v>17</v>
      </c>
      <c r="B1087" t="s">
        <v>2028</v>
      </c>
      <c r="C1087" t="s">
        <v>6494</v>
      </c>
      <c r="E1087">
        <v>16300000</v>
      </c>
      <c r="F1087">
        <v>234469900826</v>
      </c>
    </row>
    <row r="1088" spans="1:6" x14ac:dyDescent="0.3">
      <c r="A1088">
        <v>17</v>
      </c>
      <c r="B1088" t="s">
        <v>2028</v>
      </c>
      <c r="C1088" t="s">
        <v>6493</v>
      </c>
      <c r="E1088">
        <v>14500000</v>
      </c>
      <c r="F1088">
        <v>234453600826</v>
      </c>
    </row>
    <row r="1089" spans="1:6" x14ac:dyDescent="0.3">
      <c r="A1089">
        <v>17</v>
      </c>
      <c r="B1089" t="s">
        <v>7155</v>
      </c>
      <c r="C1089" t="s">
        <v>5475</v>
      </c>
      <c r="E1089">
        <v>41467124</v>
      </c>
      <c r="F1089">
        <v>234439100826</v>
      </c>
    </row>
    <row r="1090" spans="1:6" x14ac:dyDescent="0.3">
      <c r="A1090">
        <v>17</v>
      </c>
      <c r="B1090" t="s">
        <v>2041</v>
      </c>
      <c r="C1090" t="s">
        <v>6492</v>
      </c>
      <c r="E1090">
        <v>52000000</v>
      </c>
      <c r="F1090">
        <v>234397633702</v>
      </c>
    </row>
    <row r="1091" spans="1:6" x14ac:dyDescent="0.3">
      <c r="A1091">
        <v>17</v>
      </c>
      <c r="B1091" t="s">
        <v>2840</v>
      </c>
      <c r="C1091" t="s">
        <v>6491</v>
      </c>
      <c r="E1091">
        <v>203000000</v>
      </c>
      <c r="F1091">
        <v>234345633702</v>
      </c>
    </row>
    <row r="1092" spans="1:6" x14ac:dyDescent="0.3">
      <c r="A1092">
        <v>17</v>
      </c>
      <c r="B1092" t="s">
        <v>2037</v>
      </c>
      <c r="C1092" t="s">
        <v>5720</v>
      </c>
      <c r="E1092">
        <v>36363636</v>
      </c>
      <c r="F1092">
        <v>234142633702</v>
      </c>
    </row>
    <row r="1093" spans="1:6" x14ac:dyDescent="0.3">
      <c r="A1093">
        <v>17</v>
      </c>
      <c r="B1093" t="s">
        <v>2037</v>
      </c>
      <c r="C1093" t="s">
        <v>5720</v>
      </c>
      <c r="E1093">
        <v>36363636</v>
      </c>
      <c r="F1093">
        <v>234106270066</v>
      </c>
    </row>
    <row r="1094" spans="1:6" x14ac:dyDescent="0.3">
      <c r="A1094">
        <v>17</v>
      </c>
      <c r="B1094" t="s">
        <v>2061</v>
      </c>
      <c r="C1094" t="s">
        <v>6490</v>
      </c>
      <c r="E1094">
        <v>149000000</v>
      </c>
      <c r="F1094">
        <v>234069906430</v>
      </c>
    </row>
    <row r="1095" spans="1:6" x14ac:dyDescent="0.3">
      <c r="A1095">
        <v>17</v>
      </c>
      <c r="B1095" t="s">
        <v>2037</v>
      </c>
      <c r="C1095" t="s">
        <v>6489</v>
      </c>
      <c r="E1095">
        <v>38000000</v>
      </c>
      <c r="F1095">
        <v>233920906430</v>
      </c>
    </row>
    <row r="1096" spans="1:6" x14ac:dyDescent="0.3">
      <c r="A1096">
        <v>17</v>
      </c>
      <c r="B1096" t="s">
        <v>2028</v>
      </c>
      <c r="C1096" t="s">
        <v>6138</v>
      </c>
      <c r="E1096">
        <v>16909091</v>
      </c>
      <c r="F1096">
        <v>233882906430</v>
      </c>
    </row>
    <row r="1097" spans="1:6" x14ac:dyDescent="0.3">
      <c r="A1097">
        <v>17</v>
      </c>
      <c r="B1097" t="s">
        <v>2028</v>
      </c>
      <c r="C1097" t="s">
        <v>6138</v>
      </c>
      <c r="E1097">
        <v>16909091</v>
      </c>
      <c r="F1097">
        <v>233865997339</v>
      </c>
    </row>
    <row r="1098" spans="1:6" x14ac:dyDescent="0.3">
      <c r="A1098">
        <v>17</v>
      </c>
      <c r="B1098" t="s">
        <v>2062</v>
      </c>
      <c r="C1098" t="s">
        <v>6488</v>
      </c>
      <c r="E1098">
        <v>176500000</v>
      </c>
      <c r="F1098">
        <v>233849088248</v>
      </c>
    </row>
    <row r="1099" spans="1:6" x14ac:dyDescent="0.3">
      <c r="A1099">
        <v>17</v>
      </c>
      <c r="B1099" t="s">
        <v>2041</v>
      </c>
      <c r="C1099" t="s">
        <v>6487</v>
      </c>
      <c r="E1099">
        <v>52000000</v>
      </c>
      <c r="F1099">
        <v>233672588248</v>
      </c>
    </row>
    <row r="1100" spans="1:6" x14ac:dyDescent="0.3">
      <c r="A1100">
        <v>17</v>
      </c>
      <c r="B1100" t="s">
        <v>2041</v>
      </c>
      <c r="C1100" t="s">
        <v>6486</v>
      </c>
      <c r="E1100">
        <v>49090909</v>
      </c>
      <c r="F1100">
        <v>233620588248</v>
      </c>
    </row>
    <row r="1101" spans="1:6" x14ac:dyDescent="0.3">
      <c r="A1101">
        <v>17</v>
      </c>
      <c r="B1101" t="s">
        <v>2039</v>
      </c>
      <c r="C1101" t="s">
        <v>6485</v>
      </c>
      <c r="E1101">
        <v>39000000</v>
      </c>
      <c r="F1101">
        <v>233571497339</v>
      </c>
    </row>
    <row r="1102" spans="1:6" x14ac:dyDescent="0.3">
      <c r="A1102">
        <v>17</v>
      </c>
      <c r="B1102" t="s">
        <v>2054</v>
      </c>
      <c r="C1102" t="s">
        <v>4213</v>
      </c>
      <c r="E1102">
        <v>14700000</v>
      </c>
      <c r="F1102">
        <v>233532497339</v>
      </c>
    </row>
    <row r="1103" spans="1:6" x14ac:dyDescent="0.3">
      <c r="A1103">
        <v>17</v>
      </c>
      <c r="B1103" t="s">
        <v>2054</v>
      </c>
      <c r="C1103" t="s">
        <v>4213</v>
      </c>
      <c r="E1103">
        <v>14700000</v>
      </c>
      <c r="F1103">
        <v>233517797339</v>
      </c>
    </row>
    <row r="1104" spans="1:6" x14ac:dyDescent="0.3">
      <c r="A1104">
        <v>17</v>
      </c>
      <c r="B1104" t="s">
        <v>2842</v>
      </c>
      <c r="C1104" t="s">
        <v>6484</v>
      </c>
      <c r="E1104">
        <v>43000000</v>
      </c>
      <c r="F1104">
        <v>233503097339</v>
      </c>
    </row>
    <row r="1105" spans="1:6" x14ac:dyDescent="0.3">
      <c r="A1105">
        <v>17</v>
      </c>
      <c r="B1105" t="s">
        <v>2062</v>
      </c>
      <c r="C1105" t="s">
        <v>6483</v>
      </c>
      <c r="E1105">
        <v>176500000</v>
      </c>
      <c r="F1105">
        <v>233460097339</v>
      </c>
    </row>
    <row r="1106" spans="1:6" x14ac:dyDescent="0.3">
      <c r="A1106">
        <v>17</v>
      </c>
      <c r="B1106" t="s">
        <v>2039</v>
      </c>
      <c r="C1106" t="s">
        <v>6482</v>
      </c>
      <c r="E1106">
        <v>40000000</v>
      </c>
      <c r="F1106">
        <v>233283597339</v>
      </c>
    </row>
    <row r="1107" spans="1:6" x14ac:dyDescent="0.3">
      <c r="A1107">
        <v>17</v>
      </c>
      <c r="B1107" t="s">
        <v>2039</v>
      </c>
      <c r="C1107" t="s">
        <v>6481</v>
      </c>
      <c r="E1107">
        <v>42000000</v>
      </c>
      <c r="F1107">
        <v>233243597339</v>
      </c>
    </row>
    <row r="1108" spans="1:6" x14ac:dyDescent="0.3">
      <c r="A1108">
        <v>17</v>
      </c>
      <c r="B1108" t="s">
        <v>2039</v>
      </c>
      <c r="C1108" t="s">
        <v>6480</v>
      </c>
      <c r="E1108">
        <v>45454545</v>
      </c>
      <c r="F1108">
        <v>233201597339</v>
      </c>
    </row>
    <row r="1109" spans="1:6" x14ac:dyDescent="0.3">
      <c r="A1109">
        <v>17</v>
      </c>
      <c r="B1109" t="s">
        <v>2048</v>
      </c>
      <c r="C1109" t="s">
        <v>5808</v>
      </c>
      <c r="E1109">
        <v>39550000</v>
      </c>
      <c r="F1109">
        <v>233156142794</v>
      </c>
    </row>
    <row r="1110" spans="1:6" x14ac:dyDescent="0.3">
      <c r="A1110">
        <v>17</v>
      </c>
      <c r="B1110" t="s">
        <v>2842</v>
      </c>
      <c r="C1110" t="s">
        <v>6479</v>
      </c>
      <c r="E1110">
        <v>43636364</v>
      </c>
      <c r="F1110">
        <v>233116592794</v>
      </c>
    </row>
    <row r="1111" spans="1:6" x14ac:dyDescent="0.3">
      <c r="A1111">
        <v>17</v>
      </c>
      <c r="B1111" t="s">
        <v>2032</v>
      </c>
      <c r="C1111" t="s">
        <v>4332</v>
      </c>
      <c r="E1111">
        <v>18373000</v>
      </c>
      <c r="F1111">
        <v>233072956430</v>
      </c>
    </row>
    <row r="1112" spans="1:6" x14ac:dyDescent="0.3">
      <c r="A1112">
        <v>17</v>
      </c>
      <c r="B1112" t="s">
        <v>7359</v>
      </c>
      <c r="C1112" t="s">
        <v>4064</v>
      </c>
      <c r="E1112">
        <v>824976</v>
      </c>
      <c r="F1112">
        <v>233054583430</v>
      </c>
    </row>
    <row r="1113" spans="1:6" x14ac:dyDescent="0.3">
      <c r="A1113">
        <v>17</v>
      </c>
      <c r="B1113" t="s">
        <v>2062</v>
      </c>
      <c r="C1113" t="s">
        <v>6478</v>
      </c>
      <c r="E1113">
        <v>175000000</v>
      </c>
      <c r="F1113">
        <v>233053758454</v>
      </c>
    </row>
    <row r="1114" spans="1:6" x14ac:dyDescent="0.3">
      <c r="A1114">
        <v>17</v>
      </c>
      <c r="B1114" t="s">
        <v>2043</v>
      </c>
      <c r="C1114" t="s">
        <v>6477</v>
      </c>
      <c r="E1114">
        <v>56000000</v>
      </c>
      <c r="F1114">
        <v>232878758454</v>
      </c>
    </row>
    <row r="1115" spans="1:6" x14ac:dyDescent="0.3">
      <c r="A1115">
        <v>17</v>
      </c>
      <c r="B1115" t="s">
        <v>2032</v>
      </c>
      <c r="C1115" t="s">
        <v>6476</v>
      </c>
      <c r="E1115">
        <v>35800000</v>
      </c>
      <c r="F1115">
        <v>232822758454</v>
      </c>
    </row>
    <row r="1116" spans="1:6" x14ac:dyDescent="0.3">
      <c r="A1116">
        <v>17</v>
      </c>
      <c r="B1116" t="s">
        <v>2037</v>
      </c>
      <c r="C1116" t="s">
        <v>6128</v>
      </c>
      <c r="E1116">
        <v>38181818</v>
      </c>
      <c r="F1116">
        <v>232786958454</v>
      </c>
    </row>
    <row r="1117" spans="1:6" x14ac:dyDescent="0.3">
      <c r="A1117">
        <v>17</v>
      </c>
      <c r="B1117" t="s">
        <v>2063</v>
      </c>
      <c r="C1117" t="s">
        <v>6475</v>
      </c>
      <c r="E1117">
        <v>155000000</v>
      </c>
      <c r="F1117">
        <v>232748776636</v>
      </c>
    </row>
    <row r="1118" spans="1:6" x14ac:dyDescent="0.3">
      <c r="A1118">
        <v>17</v>
      </c>
      <c r="B1118" t="s">
        <v>2037</v>
      </c>
      <c r="C1118" t="s">
        <v>6474</v>
      </c>
      <c r="E1118">
        <v>37272727</v>
      </c>
      <c r="F1118">
        <v>232593776636</v>
      </c>
    </row>
    <row r="1119" spans="1:6" x14ac:dyDescent="0.3">
      <c r="A1119">
        <v>17</v>
      </c>
      <c r="B1119" t="s">
        <v>2037</v>
      </c>
      <c r="C1119" t="s">
        <v>6473</v>
      </c>
      <c r="E1119">
        <v>37272727</v>
      </c>
      <c r="F1119">
        <v>232556503909</v>
      </c>
    </row>
    <row r="1120" spans="1:6" x14ac:dyDescent="0.3">
      <c r="A1120">
        <v>17</v>
      </c>
      <c r="B1120" t="s">
        <v>2836</v>
      </c>
      <c r="C1120" t="s">
        <v>5249</v>
      </c>
      <c r="E1120">
        <v>31000000</v>
      </c>
      <c r="F1120">
        <v>232519231182</v>
      </c>
    </row>
    <row r="1121" spans="1:6" x14ac:dyDescent="0.3">
      <c r="A1121">
        <v>17</v>
      </c>
      <c r="B1121" t="s">
        <v>2039</v>
      </c>
      <c r="C1121" t="s">
        <v>6472</v>
      </c>
      <c r="E1121">
        <v>39000000</v>
      </c>
      <c r="F1121">
        <v>232488231182</v>
      </c>
    </row>
    <row r="1122" spans="1:6" x14ac:dyDescent="0.3">
      <c r="A1122">
        <v>17</v>
      </c>
      <c r="B1122" t="s">
        <v>2039</v>
      </c>
      <c r="C1122" t="s">
        <v>5425</v>
      </c>
      <c r="E1122">
        <v>44500000</v>
      </c>
      <c r="F1122">
        <v>232449231182</v>
      </c>
    </row>
    <row r="1123" spans="1:6" x14ac:dyDescent="0.3">
      <c r="A1123">
        <v>17</v>
      </c>
      <c r="B1123" t="s">
        <v>2039</v>
      </c>
      <c r="C1123" t="s">
        <v>6471</v>
      </c>
      <c r="E1123">
        <v>41550000</v>
      </c>
      <c r="F1123">
        <v>232404731182</v>
      </c>
    </row>
    <row r="1124" spans="1:6" x14ac:dyDescent="0.3">
      <c r="A1124">
        <v>17</v>
      </c>
      <c r="B1124" t="s">
        <v>2039</v>
      </c>
      <c r="C1124" t="s">
        <v>6470</v>
      </c>
      <c r="E1124">
        <v>39500000</v>
      </c>
      <c r="F1124">
        <v>232363181182</v>
      </c>
    </row>
    <row r="1125" spans="1:6" x14ac:dyDescent="0.3">
      <c r="A1125">
        <v>17</v>
      </c>
      <c r="B1125" t="s">
        <v>2032</v>
      </c>
      <c r="C1125" t="s">
        <v>5587</v>
      </c>
      <c r="E1125">
        <v>35909091</v>
      </c>
      <c r="F1125">
        <v>232323681182</v>
      </c>
    </row>
    <row r="1126" spans="1:6" x14ac:dyDescent="0.3">
      <c r="A1126">
        <v>17</v>
      </c>
      <c r="B1126" t="s">
        <v>2060</v>
      </c>
      <c r="C1126" t="s">
        <v>6469</v>
      </c>
      <c r="E1126">
        <v>163000000</v>
      </c>
      <c r="F1126">
        <v>232287772091</v>
      </c>
    </row>
    <row r="1127" spans="1:6" x14ac:dyDescent="0.3">
      <c r="A1127">
        <v>17</v>
      </c>
      <c r="B1127" t="s">
        <v>2063</v>
      </c>
      <c r="C1127" t="s">
        <v>6468</v>
      </c>
      <c r="E1127">
        <v>163250000</v>
      </c>
      <c r="F1127">
        <v>232124772091</v>
      </c>
    </row>
    <row r="1128" spans="1:6" x14ac:dyDescent="0.3">
      <c r="A1128">
        <v>17</v>
      </c>
      <c r="B1128" t="s">
        <v>2062</v>
      </c>
      <c r="C1128" t="s">
        <v>6075</v>
      </c>
      <c r="E1128">
        <v>171500000</v>
      </c>
      <c r="F1128">
        <v>231961522091</v>
      </c>
    </row>
    <row r="1129" spans="1:6" x14ac:dyDescent="0.3">
      <c r="A1129">
        <v>17</v>
      </c>
      <c r="B1129" t="s">
        <v>2063</v>
      </c>
      <c r="C1129" t="s">
        <v>6467</v>
      </c>
      <c r="E1129">
        <v>161818182</v>
      </c>
      <c r="F1129">
        <v>231790022091</v>
      </c>
    </row>
    <row r="1130" spans="1:6" x14ac:dyDescent="0.3">
      <c r="A1130">
        <v>17</v>
      </c>
      <c r="B1130" t="s">
        <v>2043</v>
      </c>
      <c r="C1130" t="s">
        <v>6466</v>
      </c>
      <c r="E1130">
        <v>56000000</v>
      </c>
      <c r="F1130">
        <v>231628203909</v>
      </c>
    </row>
    <row r="1131" spans="1:6" x14ac:dyDescent="0.3">
      <c r="A1131">
        <v>17</v>
      </c>
      <c r="B1131" t="s">
        <v>2041</v>
      </c>
      <c r="C1131" t="s">
        <v>6465</v>
      </c>
      <c r="E1131">
        <v>50000000</v>
      </c>
      <c r="F1131">
        <v>231572203909</v>
      </c>
    </row>
    <row r="1132" spans="1:6" x14ac:dyDescent="0.3">
      <c r="A1132">
        <v>17</v>
      </c>
      <c r="B1132" t="s">
        <v>2043</v>
      </c>
      <c r="C1132" t="s">
        <v>6464</v>
      </c>
      <c r="E1132">
        <v>54000000</v>
      </c>
      <c r="F1132">
        <v>231522203909</v>
      </c>
    </row>
    <row r="1133" spans="1:6" x14ac:dyDescent="0.3">
      <c r="A1133">
        <v>17</v>
      </c>
      <c r="B1133" t="s">
        <v>2838</v>
      </c>
      <c r="C1133" t="s">
        <v>6386</v>
      </c>
      <c r="E1133">
        <v>24500000</v>
      </c>
      <c r="F1133">
        <v>231468203909</v>
      </c>
    </row>
    <row r="1134" spans="1:6" x14ac:dyDescent="0.3">
      <c r="A1134">
        <v>17</v>
      </c>
      <c r="B1134" t="s">
        <v>2838</v>
      </c>
      <c r="C1134" t="s">
        <v>6386</v>
      </c>
      <c r="E1134">
        <v>24500000</v>
      </c>
      <c r="F1134">
        <v>231443703909</v>
      </c>
    </row>
    <row r="1135" spans="1:6" x14ac:dyDescent="0.3">
      <c r="A1135">
        <v>17</v>
      </c>
      <c r="B1135" t="s">
        <v>2063</v>
      </c>
      <c r="C1135" t="s">
        <v>6463</v>
      </c>
      <c r="E1135">
        <v>159000000</v>
      </c>
      <c r="F1135">
        <v>231419203909</v>
      </c>
    </row>
    <row r="1136" spans="1:6" x14ac:dyDescent="0.3">
      <c r="A1136">
        <v>17</v>
      </c>
      <c r="B1136" t="s">
        <v>2063</v>
      </c>
      <c r="C1136" t="s">
        <v>6459</v>
      </c>
      <c r="E1136">
        <v>-159000000</v>
      </c>
      <c r="F1136">
        <v>231260203909</v>
      </c>
    </row>
    <row r="1137" spans="1:6" x14ac:dyDescent="0.3">
      <c r="A1137">
        <v>17</v>
      </c>
      <c r="B1137" t="s">
        <v>2037</v>
      </c>
      <c r="C1137" t="s">
        <v>6462</v>
      </c>
      <c r="E1137">
        <v>3636363</v>
      </c>
      <c r="F1137">
        <v>231419203909</v>
      </c>
    </row>
    <row r="1138" spans="1:6" x14ac:dyDescent="0.3">
      <c r="A1138">
        <v>17</v>
      </c>
      <c r="B1138" t="s">
        <v>2041</v>
      </c>
      <c r="C1138" t="s">
        <v>6461</v>
      </c>
      <c r="E1138">
        <v>52000000</v>
      </c>
      <c r="F1138">
        <v>231415567546</v>
      </c>
    </row>
    <row r="1139" spans="1:6" x14ac:dyDescent="0.3">
      <c r="A1139">
        <v>17</v>
      </c>
      <c r="B1139" t="s">
        <v>2041</v>
      </c>
      <c r="C1139" t="s">
        <v>6460</v>
      </c>
      <c r="E1139">
        <v>52000000</v>
      </c>
      <c r="F1139">
        <v>231363567546</v>
      </c>
    </row>
    <row r="1140" spans="1:6" x14ac:dyDescent="0.3">
      <c r="A1140">
        <v>17</v>
      </c>
      <c r="B1140" t="s">
        <v>2063</v>
      </c>
      <c r="C1140" t="s">
        <v>6459</v>
      </c>
      <c r="E1140">
        <v>159000000</v>
      </c>
      <c r="F1140">
        <v>231311567546</v>
      </c>
    </row>
    <row r="1141" spans="1:6" x14ac:dyDescent="0.3">
      <c r="A1141">
        <v>17</v>
      </c>
      <c r="B1141" t="s">
        <v>2043</v>
      </c>
      <c r="C1141" t="s">
        <v>4044</v>
      </c>
      <c r="E1141">
        <v>53000000</v>
      </c>
      <c r="F1141">
        <v>231152567546</v>
      </c>
    </row>
    <row r="1142" spans="1:6" x14ac:dyDescent="0.3">
      <c r="A1142">
        <v>17</v>
      </c>
      <c r="B1142" t="s">
        <v>2032</v>
      </c>
      <c r="C1142" t="s">
        <v>4530</v>
      </c>
      <c r="E1142">
        <v>18400000</v>
      </c>
      <c r="F1142">
        <v>231099567546</v>
      </c>
    </row>
    <row r="1143" spans="1:6" x14ac:dyDescent="0.3">
      <c r="A1143">
        <v>17</v>
      </c>
      <c r="B1143" t="s">
        <v>2840</v>
      </c>
      <c r="C1143" t="s">
        <v>6458</v>
      </c>
      <c r="E1143">
        <v>205000000</v>
      </c>
      <c r="F1143">
        <v>231081167546</v>
      </c>
    </row>
    <row r="1144" spans="1:6" x14ac:dyDescent="0.3">
      <c r="A1144">
        <v>17</v>
      </c>
      <c r="B1144" t="s">
        <v>2032</v>
      </c>
      <c r="C1144" t="s">
        <v>6457</v>
      </c>
      <c r="E1144">
        <v>18373000</v>
      </c>
      <c r="F1144">
        <v>230876167546</v>
      </c>
    </row>
    <row r="1145" spans="1:6" x14ac:dyDescent="0.3">
      <c r="A1145">
        <v>17</v>
      </c>
      <c r="B1145" t="s">
        <v>2037</v>
      </c>
      <c r="C1145" t="s">
        <v>6456</v>
      </c>
      <c r="E1145">
        <v>38500000</v>
      </c>
      <c r="F1145">
        <v>230857794546</v>
      </c>
    </row>
    <row r="1146" spans="1:6" x14ac:dyDescent="0.3">
      <c r="A1146">
        <v>17</v>
      </c>
      <c r="B1146" t="s">
        <v>2037</v>
      </c>
      <c r="C1146" t="s">
        <v>6456</v>
      </c>
      <c r="E1146">
        <v>38500000</v>
      </c>
      <c r="F1146">
        <v>230819294546</v>
      </c>
    </row>
    <row r="1147" spans="1:6" x14ac:dyDescent="0.3">
      <c r="A1147">
        <v>17</v>
      </c>
      <c r="B1147" t="s">
        <v>7358</v>
      </c>
      <c r="C1147" t="s">
        <v>6455</v>
      </c>
      <c r="E1147">
        <v>38181818</v>
      </c>
      <c r="F1147">
        <v>230780794546</v>
      </c>
    </row>
    <row r="1148" spans="1:6" x14ac:dyDescent="0.3">
      <c r="A1148">
        <v>17</v>
      </c>
      <c r="B1148" t="s">
        <v>7358</v>
      </c>
      <c r="C1148" t="s">
        <v>6455</v>
      </c>
      <c r="E1148">
        <v>38181818</v>
      </c>
      <c r="F1148">
        <v>230742612728</v>
      </c>
    </row>
    <row r="1149" spans="1:6" x14ac:dyDescent="0.3">
      <c r="A1149">
        <v>17</v>
      </c>
      <c r="B1149" t="s">
        <v>2043</v>
      </c>
      <c r="C1149" t="s">
        <v>6454</v>
      </c>
      <c r="E1149">
        <v>53400000</v>
      </c>
      <c r="F1149">
        <v>230704430910</v>
      </c>
    </row>
    <row r="1150" spans="1:6" x14ac:dyDescent="0.3">
      <c r="A1150">
        <v>17</v>
      </c>
      <c r="B1150" t="s">
        <v>2043</v>
      </c>
      <c r="C1150" t="s">
        <v>6453</v>
      </c>
      <c r="E1150">
        <v>56000000</v>
      </c>
      <c r="F1150">
        <v>230651030910</v>
      </c>
    </row>
    <row r="1151" spans="1:6" x14ac:dyDescent="0.3">
      <c r="A1151">
        <v>17</v>
      </c>
      <c r="B1151" t="s">
        <v>2037</v>
      </c>
      <c r="C1151" t="s">
        <v>6452</v>
      </c>
      <c r="E1151">
        <v>37272727</v>
      </c>
      <c r="F1151">
        <v>230595030910</v>
      </c>
    </row>
    <row r="1152" spans="1:6" x14ac:dyDescent="0.3">
      <c r="A1152">
        <v>17</v>
      </c>
      <c r="B1152" t="s">
        <v>2060</v>
      </c>
      <c r="C1152" t="s">
        <v>6451</v>
      </c>
      <c r="E1152">
        <v>164800000</v>
      </c>
      <c r="F1152">
        <v>230557758183</v>
      </c>
    </row>
    <row r="1153" spans="1:6" x14ac:dyDescent="0.3">
      <c r="A1153">
        <v>17</v>
      </c>
      <c r="B1153" t="s">
        <v>2034</v>
      </c>
      <c r="C1153" t="s">
        <v>4102</v>
      </c>
      <c r="E1153">
        <v>45400000</v>
      </c>
      <c r="F1153">
        <v>230392958183</v>
      </c>
    </row>
    <row r="1154" spans="1:6" x14ac:dyDescent="0.3">
      <c r="A1154">
        <v>17</v>
      </c>
      <c r="B1154" t="s">
        <v>7357</v>
      </c>
      <c r="C1154" t="s">
        <v>4102</v>
      </c>
      <c r="E1154">
        <v>92272727</v>
      </c>
      <c r="F1154">
        <v>230347558183</v>
      </c>
    </row>
    <row r="1155" spans="1:6" x14ac:dyDescent="0.3">
      <c r="A1155">
        <v>17</v>
      </c>
      <c r="B1155" t="s">
        <v>2041</v>
      </c>
      <c r="C1155" t="s">
        <v>6450</v>
      </c>
      <c r="E1155">
        <v>51363636</v>
      </c>
      <c r="F1155">
        <v>230255285456</v>
      </c>
    </row>
    <row r="1156" spans="1:6" x14ac:dyDescent="0.3">
      <c r="A1156">
        <v>17</v>
      </c>
      <c r="B1156" t="s">
        <v>2041</v>
      </c>
      <c r="C1156" t="s">
        <v>6449</v>
      </c>
      <c r="E1156">
        <v>52000000</v>
      </c>
      <c r="F1156">
        <v>230203921820</v>
      </c>
    </row>
    <row r="1157" spans="1:6" x14ac:dyDescent="0.3">
      <c r="A1157">
        <v>17</v>
      </c>
      <c r="B1157" t="s">
        <v>2063</v>
      </c>
      <c r="C1157" t="s">
        <v>6448</v>
      </c>
      <c r="E1157">
        <v>157000000</v>
      </c>
      <c r="F1157">
        <v>230151921820</v>
      </c>
    </row>
    <row r="1158" spans="1:6" x14ac:dyDescent="0.3">
      <c r="A1158">
        <v>17</v>
      </c>
      <c r="B1158" t="s">
        <v>2028</v>
      </c>
      <c r="C1158" t="s">
        <v>4436</v>
      </c>
      <c r="E1158">
        <v>16500000</v>
      </c>
      <c r="F1158">
        <v>229994921820</v>
      </c>
    </row>
    <row r="1159" spans="1:6" x14ac:dyDescent="0.3">
      <c r="A1159">
        <v>17</v>
      </c>
      <c r="B1159" t="s">
        <v>2039</v>
      </c>
      <c r="C1159" t="s">
        <v>6447</v>
      </c>
      <c r="E1159">
        <v>39000000</v>
      </c>
      <c r="F1159">
        <v>229978421820</v>
      </c>
    </row>
    <row r="1160" spans="1:6" x14ac:dyDescent="0.3">
      <c r="A1160">
        <v>17</v>
      </c>
      <c r="B1160" t="s">
        <v>2028</v>
      </c>
      <c r="C1160" t="s">
        <v>6446</v>
      </c>
      <c r="E1160">
        <v>13800000</v>
      </c>
      <c r="F1160">
        <v>229939421820</v>
      </c>
    </row>
    <row r="1161" spans="1:6" x14ac:dyDescent="0.3">
      <c r="A1161">
        <v>17</v>
      </c>
      <c r="B1161" t="s">
        <v>2037</v>
      </c>
      <c r="C1161" t="s">
        <v>4126</v>
      </c>
      <c r="E1161">
        <v>37909090</v>
      </c>
      <c r="F1161">
        <v>229925621820</v>
      </c>
    </row>
    <row r="1162" spans="1:6" x14ac:dyDescent="0.3">
      <c r="A1162">
        <v>17</v>
      </c>
      <c r="B1162" t="s">
        <v>2028</v>
      </c>
      <c r="C1162" t="s">
        <v>6445</v>
      </c>
      <c r="E1162">
        <v>15500000</v>
      </c>
      <c r="F1162">
        <v>229887712730</v>
      </c>
    </row>
    <row r="1163" spans="1:6" x14ac:dyDescent="0.3">
      <c r="A1163">
        <v>17</v>
      </c>
      <c r="B1163" t="s">
        <v>2028</v>
      </c>
      <c r="C1163" t="s">
        <v>6444</v>
      </c>
      <c r="E1163">
        <v>13900000</v>
      </c>
      <c r="F1163">
        <v>229872212730</v>
      </c>
    </row>
    <row r="1164" spans="1:6" x14ac:dyDescent="0.3">
      <c r="A1164">
        <v>17</v>
      </c>
      <c r="B1164" t="s">
        <v>2062</v>
      </c>
      <c r="C1164" t="s">
        <v>6443</v>
      </c>
      <c r="E1164">
        <v>176500000</v>
      </c>
      <c r="F1164">
        <v>229858312730</v>
      </c>
    </row>
    <row r="1165" spans="1:6" x14ac:dyDescent="0.3">
      <c r="A1165">
        <v>17</v>
      </c>
      <c r="B1165" t="s">
        <v>2041</v>
      </c>
      <c r="C1165" t="s">
        <v>6442</v>
      </c>
      <c r="E1165">
        <v>50000000</v>
      </c>
      <c r="F1165">
        <v>229681812730</v>
      </c>
    </row>
    <row r="1166" spans="1:6" x14ac:dyDescent="0.3">
      <c r="A1166">
        <v>17</v>
      </c>
      <c r="B1166" t="s">
        <v>7356</v>
      </c>
      <c r="C1166" t="s">
        <v>6441</v>
      </c>
      <c r="E1166">
        <v>1277935</v>
      </c>
      <c r="F1166">
        <v>229631812730</v>
      </c>
    </row>
    <row r="1167" spans="1:6" x14ac:dyDescent="0.3">
      <c r="A1167">
        <v>17</v>
      </c>
      <c r="B1167" t="s">
        <v>2060</v>
      </c>
      <c r="C1167" t="s">
        <v>6440</v>
      </c>
      <c r="E1167">
        <v>166500000</v>
      </c>
      <c r="F1167">
        <v>229630534795</v>
      </c>
    </row>
    <row r="1168" spans="1:6" x14ac:dyDescent="0.3">
      <c r="A1168">
        <v>17</v>
      </c>
      <c r="B1168" t="s">
        <v>2037</v>
      </c>
      <c r="C1168" t="s">
        <v>6439</v>
      </c>
      <c r="E1168">
        <v>36636363</v>
      </c>
      <c r="F1168">
        <v>229464034795</v>
      </c>
    </row>
    <row r="1169" spans="1:6" x14ac:dyDescent="0.3">
      <c r="A1169">
        <v>17</v>
      </c>
      <c r="B1169" t="s">
        <v>2039</v>
      </c>
      <c r="C1169" t="s">
        <v>6438</v>
      </c>
      <c r="E1169">
        <v>45454545</v>
      </c>
      <c r="F1169">
        <v>229427398432</v>
      </c>
    </row>
    <row r="1170" spans="1:6" x14ac:dyDescent="0.3">
      <c r="A1170">
        <v>17</v>
      </c>
      <c r="B1170" t="s">
        <v>2060</v>
      </c>
      <c r="C1170" t="s">
        <v>6437</v>
      </c>
      <c r="E1170">
        <v>165000000</v>
      </c>
      <c r="F1170">
        <v>229381943887</v>
      </c>
    </row>
    <row r="1171" spans="1:6" x14ac:dyDescent="0.3">
      <c r="A1171">
        <v>17</v>
      </c>
      <c r="B1171" t="s">
        <v>2041</v>
      </c>
      <c r="C1171" t="s">
        <v>6436</v>
      </c>
      <c r="E1171">
        <v>50500000</v>
      </c>
      <c r="F1171">
        <v>229216943887</v>
      </c>
    </row>
    <row r="1172" spans="1:6" x14ac:dyDescent="0.3">
      <c r="A1172">
        <v>17</v>
      </c>
      <c r="B1172" t="s">
        <v>2062</v>
      </c>
      <c r="C1172" t="s">
        <v>6435</v>
      </c>
      <c r="E1172">
        <v>175000000</v>
      </c>
      <c r="F1172">
        <v>229166443887</v>
      </c>
    </row>
    <row r="1173" spans="1:6" x14ac:dyDescent="0.3">
      <c r="A1173">
        <v>17</v>
      </c>
      <c r="B1173" t="s">
        <v>2028</v>
      </c>
      <c r="C1173" t="s">
        <v>5250</v>
      </c>
      <c r="E1173">
        <v>14100000</v>
      </c>
      <c r="F1173">
        <v>228991443887</v>
      </c>
    </row>
    <row r="1174" spans="1:6" x14ac:dyDescent="0.3">
      <c r="A1174">
        <v>17</v>
      </c>
      <c r="B1174" t="s">
        <v>2028</v>
      </c>
      <c r="C1174" t="s">
        <v>5250</v>
      </c>
      <c r="E1174">
        <v>14100000</v>
      </c>
      <c r="F1174">
        <v>228977343887</v>
      </c>
    </row>
    <row r="1175" spans="1:6" x14ac:dyDescent="0.3">
      <c r="A1175">
        <v>17</v>
      </c>
      <c r="B1175" t="s">
        <v>2028</v>
      </c>
      <c r="C1175" t="s">
        <v>5250</v>
      </c>
      <c r="E1175">
        <v>14100000</v>
      </c>
      <c r="F1175">
        <v>228963243887</v>
      </c>
    </row>
    <row r="1176" spans="1:6" x14ac:dyDescent="0.3">
      <c r="A1176">
        <v>17</v>
      </c>
      <c r="B1176" t="s">
        <v>2028</v>
      </c>
      <c r="C1176" t="s">
        <v>5250</v>
      </c>
      <c r="E1176">
        <v>14100000</v>
      </c>
      <c r="F1176">
        <v>228949143887</v>
      </c>
    </row>
    <row r="1177" spans="1:6" x14ac:dyDescent="0.3">
      <c r="A1177">
        <v>17</v>
      </c>
      <c r="B1177" t="s">
        <v>2062</v>
      </c>
      <c r="C1177" t="s">
        <v>6434</v>
      </c>
      <c r="E1177">
        <v>176500000</v>
      </c>
      <c r="F1177">
        <v>228935043887</v>
      </c>
    </row>
    <row r="1178" spans="1:6" x14ac:dyDescent="0.3">
      <c r="A1178">
        <v>17</v>
      </c>
      <c r="B1178" t="s">
        <v>2840</v>
      </c>
      <c r="C1178" t="s">
        <v>6433</v>
      </c>
      <c r="E1178">
        <v>205000000</v>
      </c>
      <c r="F1178">
        <v>228758543887</v>
      </c>
    </row>
    <row r="1179" spans="1:6" x14ac:dyDescent="0.3">
      <c r="A1179">
        <v>17</v>
      </c>
      <c r="B1179" t="s">
        <v>2041</v>
      </c>
      <c r="C1179" t="s">
        <v>6432</v>
      </c>
      <c r="E1179">
        <v>50700000</v>
      </c>
      <c r="F1179">
        <v>228553543887</v>
      </c>
    </row>
    <row r="1180" spans="1:6" x14ac:dyDescent="0.3">
      <c r="A1180">
        <v>17</v>
      </c>
      <c r="B1180" t="s">
        <v>2063</v>
      </c>
      <c r="C1180" t="s">
        <v>6431</v>
      </c>
      <c r="E1180">
        <v>154000000</v>
      </c>
      <c r="F1180">
        <v>228502843887</v>
      </c>
    </row>
    <row r="1181" spans="1:6" x14ac:dyDescent="0.3">
      <c r="A1181">
        <v>17</v>
      </c>
      <c r="B1181" t="s">
        <v>2037</v>
      </c>
      <c r="C1181" t="s">
        <v>4635</v>
      </c>
      <c r="E1181">
        <v>38500000</v>
      </c>
      <c r="F1181">
        <v>228348843887</v>
      </c>
    </row>
    <row r="1182" spans="1:6" x14ac:dyDescent="0.3">
      <c r="A1182">
        <v>17</v>
      </c>
      <c r="B1182" t="s">
        <v>2063</v>
      </c>
      <c r="C1182" t="s">
        <v>6430</v>
      </c>
      <c r="E1182">
        <v>151000000</v>
      </c>
      <c r="F1182">
        <v>228310343887</v>
      </c>
    </row>
    <row r="1183" spans="1:6" x14ac:dyDescent="0.3">
      <c r="A1183">
        <v>17</v>
      </c>
      <c r="B1183" t="s">
        <v>2836</v>
      </c>
      <c r="C1183" t="s">
        <v>6429</v>
      </c>
      <c r="E1183">
        <v>31000000</v>
      </c>
      <c r="F1183">
        <v>228159343887</v>
      </c>
    </row>
    <row r="1184" spans="1:6" x14ac:dyDescent="0.3">
      <c r="A1184">
        <v>17</v>
      </c>
      <c r="B1184" t="s">
        <v>2037</v>
      </c>
      <c r="C1184" t="s">
        <v>4432</v>
      </c>
      <c r="E1184">
        <v>36500000</v>
      </c>
      <c r="F1184">
        <v>228128343887</v>
      </c>
    </row>
    <row r="1185" spans="1:6" x14ac:dyDescent="0.3">
      <c r="A1185">
        <v>17</v>
      </c>
      <c r="B1185" t="s">
        <v>2043</v>
      </c>
      <c r="C1185" t="s">
        <v>6428</v>
      </c>
      <c r="E1185">
        <v>56000000</v>
      </c>
      <c r="F1185">
        <v>228091843887</v>
      </c>
    </row>
    <row r="1186" spans="1:6" x14ac:dyDescent="0.3">
      <c r="A1186">
        <v>17</v>
      </c>
      <c r="B1186" t="s">
        <v>2037</v>
      </c>
      <c r="C1186" t="s">
        <v>6427</v>
      </c>
      <c r="E1186">
        <v>38000000</v>
      </c>
      <c r="F1186">
        <v>228035843887</v>
      </c>
    </row>
    <row r="1187" spans="1:6" x14ac:dyDescent="0.3">
      <c r="A1187">
        <v>17</v>
      </c>
      <c r="B1187" t="s">
        <v>2041</v>
      </c>
      <c r="C1187" t="s">
        <v>6426</v>
      </c>
      <c r="E1187">
        <v>49363636</v>
      </c>
      <c r="F1187">
        <v>227997843887</v>
      </c>
    </row>
    <row r="1188" spans="1:6" x14ac:dyDescent="0.3">
      <c r="A1188">
        <v>17</v>
      </c>
      <c r="B1188" t="s">
        <v>2836</v>
      </c>
      <c r="C1188" t="s">
        <v>4385</v>
      </c>
      <c r="E1188">
        <v>32727273</v>
      </c>
      <c r="F1188">
        <v>227948480251</v>
      </c>
    </row>
    <row r="1189" spans="1:6" x14ac:dyDescent="0.3">
      <c r="A1189">
        <v>17</v>
      </c>
      <c r="B1189" t="s">
        <v>2032</v>
      </c>
      <c r="C1189" t="s">
        <v>6292</v>
      </c>
      <c r="E1189">
        <v>18373000</v>
      </c>
      <c r="F1189">
        <v>227915752978</v>
      </c>
    </row>
    <row r="1190" spans="1:6" x14ac:dyDescent="0.3">
      <c r="A1190">
        <v>17</v>
      </c>
      <c r="B1190" t="s">
        <v>2041</v>
      </c>
      <c r="C1190" t="s">
        <v>6425</v>
      </c>
      <c r="E1190">
        <v>52000000</v>
      </c>
      <c r="F1190">
        <v>227897379978</v>
      </c>
    </row>
    <row r="1191" spans="1:6" x14ac:dyDescent="0.3">
      <c r="A1191">
        <v>17</v>
      </c>
      <c r="B1191" t="s">
        <v>2032</v>
      </c>
      <c r="C1191" t="s">
        <v>6424</v>
      </c>
      <c r="E1191">
        <v>18500000</v>
      </c>
      <c r="F1191">
        <v>227845379978</v>
      </c>
    </row>
    <row r="1192" spans="1:6" x14ac:dyDescent="0.3">
      <c r="A1192">
        <v>17</v>
      </c>
      <c r="B1192" t="s">
        <v>2836</v>
      </c>
      <c r="C1192" t="s">
        <v>6423</v>
      </c>
      <c r="E1192">
        <v>31000000</v>
      </c>
      <c r="F1192">
        <v>227826879978</v>
      </c>
    </row>
    <row r="1193" spans="1:6" x14ac:dyDescent="0.3">
      <c r="A1193">
        <v>17</v>
      </c>
      <c r="B1193" t="s">
        <v>2836</v>
      </c>
      <c r="C1193" t="s">
        <v>4319</v>
      </c>
      <c r="E1193">
        <v>31000000</v>
      </c>
      <c r="F1193">
        <v>227795879978</v>
      </c>
    </row>
    <row r="1194" spans="1:6" x14ac:dyDescent="0.3">
      <c r="A1194">
        <v>17</v>
      </c>
      <c r="B1194" t="s">
        <v>2063</v>
      </c>
      <c r="C1194" t="s">
        <v>6422</v>
      </c>
      <c r="E1194">
        <v>155000000</v>
      </c>
      <c r="F1194">
        <v>227764879978</v>
      </c>
    </row>
    <row r="1195" spans="1:6" x14ac:dyDescent="0.3">
      <c r="A1195">
        <v>17</v>
      </c>
      <c r="B1195" t="s">
        <v>2041</v>
      </c>
      <c r="C1195" t="s">
        <v>6421</v>
      </c>
      <c r="E1195">
        <v>52000000</v>
      </c>
      <c r="F1195">
        <v>227609879978</v>
      </c>
    </row>
    <row r="1196" spans="1:6" x14ac:dyDescent="0.3">
      <c r="A1196">
        <v>17</v>
      </c>
      <c r="B1196" t="s">
        <v>2028</v>
      </c>
      <c r="C1196" t="s">
        <v>6420</v>
      </c>
      <c r="E1196">
        <v>14000000</v>
      </c>
      <c r="F1196">
        <v>227557879978</v>
      </c>
    </row>
    <row r="1197" spans="1:6" x14ac:dyDescent="0.3">
      <c r="A1197">
        <v>17</v>
      </c>
      <c r="B1197" t="s">
        <v>2041</v>
      </c>
      <c r="C1197" t="s">
        <v>6419</v>
      </c>
      <c r="E1197">
        <v>50000000</v>
      </c>
      <c r="F1197">
        <v>227543879978</v>
      </c>
    </row>
    <row r="1198" spans="1:6" x14ac:dyDescent="0.3">
      <c r="A1198">
        <v>17</v>
      </c>
      <c r="B1198" t="s">
        <v>2039</v>
      </c>
      <c r="C1198" t="s">
        <v>6418</v>
      </c>
      <c r="E1198">
        <v>40689363</v>
      </c>
      <c r="F1198">
        <v>227493879978</v>
      </c>
    </row>
    <row r="1199" spans="1:6" x14ac:dyDescent="0.3">
      <c r="A1199">
        <v>17</v>
      </c>
      <c r="B1199" t="s">
        <v>2060</v>
      </c>
      <c r="C1199" t="s">
        <v>6417</v>
      </c>
      <c r="E1199">
        <v>165000000</v>
      </c>
      <c r="F1199">
        <v>227453190615</v>
      </c>
    </row>
    <row r="1200" spans="1:6" x14ac:dyDescent="0.3">
      <c r="A1200">
        <v>17</v>
      </c>
      <c r="B1200" t="s">
        <v>2028</v>
      </c>
      <c r="C1200" t="s">
        <v>6416</v>
      </c>
      <c r="E1200">
        <v>15200000</v>
      </c>
      <c r="F1200">
        <v>227288190615</v>
      </c>
    </row>
    <row r="1201" spans="1:6" x14ac:dyDescent="0.3">
      <c r="A1201">
        <v>17</v>
      </c>
      <c r="B1201" t="s">
        <v>2039</v>
      </c>
      <c r="C1201" t="s">
        <v>6415</v>
      </c>
      <c r="E1201">
        <v>40909091</v>
      </c>
      <c r="F1201">
        <v>227272990615</v>
      </c>
    </row>
    <row r="1202" spans="1:6" x14ac:dyDescent="0.3">
      <c r="A1202">
        <v>17</v>
      </c>
      <c r="B1202" t="s">
        <v>2039</v>
      </c>
      <c r="C1202" t="s">
        <v>6414</v>
      </c>
      <c r="E1202">
        <v>40800000</v>
      </c>
      <c r="F1202">
        <v>227232081524</v>
      </c>
    </row>
    <row r="1203" spans="1:6" x14ac:dyDescent="0.3">
      <c r="A1203">
        <v>17</v>
      </c>
      <c r="B1203" t="s">
        <v>2028</v>
      </c>
      <c r="C1203" t="s">
        <v>6413</v>
      </c>
      <c r="E1203">
        <v>14818182</v>
      </c>
      <c r="F1203">
        <v>227191281524</v>
      </c>
    </row>
    <row r="1204" spans="1:6" x14ac:dyDescent="0.3">
      <c r="A1204">
        <v>17</v>
      </c>
      <c r="B1204" t="s">
        <v>2039</v>
      </c>
      <c r="C1204" t="s">
        <v>3438</v>
      </c>
      <c r="E1204">
        <v>42000000</v>
      </c>
      <c r="F1204">
        <v>227176463342</v>
      </c>
    </row>
    <row r="1205" spans="1:6" x14ac:dyDescent="0.3">
      <c r="A1205">
        <v>17</v>
      </c>
      <c r="B1205" t="s">
        <v>2039</v>
      </c>
      <c r="C1205" t="s">
        <v>6412</v>
      </c>
      <c r="E1205">
        <v>37500000</v>
      </c>
      <c r="F1205">
        <v>227134463342</v>
      </c>
    </row>
    <row r="1206" spans="1:6" x14ac:dyDescent="0.3">
      <c r="A1206">
        <v>17</v>
      </c>
      <c r="B1206" t="s">
        <v>2062</v>
      </c>
      <c r="C1206" t="s">
        <v>6303</v>
      </c>
      <c r="E1206">
        <v>175500000</v>
      </c>
      <c r="F1206">
        <v>227096963342</v>
      </c>
    </row>
    <row r="1207" spans="1:6" x14ac:dyDescent="0.3">
      <c r="A1207">
        <v>17</v>
      </c>
      <c r="B1207" t="s">
        <v>2062</v>
      </c>
      <c r="C1207" t="s">
        <v>6410</v>
      </c>
      <c r="E1207">
        <v>-175500000</v>
      </c>
      <c r="F1207">
        <v>226921463342</v>
      </c>
    </row>
    <row r="1208" spans="1:6" x14ac:dyDescent="0.3">
      <c r="A1208">
        <v>17</v>
      </c>
      <c r="B1208" t="s">
        <v>2039</v>
      </c>
      <c r="C1208" t="s">
        <v>4777</v>
      </c>
      <c r="E1208">
        <v>41200000</v>
      </c>
      <c r="F1208">
        <v>227096963342</v>
      </c>
    </row>
    <row r="1209" spans="1:6" x14ac:dyDescent="0.3">
      <c r="A1209">
        <v>17</v>
      </c>
      <c r="B1209" t="s">
        <v>2039</v>
      </c>
      <c r="C1209" t="s">
        <v>6411</v>
      </c>
      <c r="E1209">
        <v>38500000</v>
      </c>
      <c r="F1209">
        <v>227055763342</v>
      </c>
    </row>
    <row r="1210" spans="1:6" x14ac:dyDescent="0.3">
      <c r="A1210">
        <v>17</v>
      </c>
      <c r="B1210" t="s">
        <v>2062</v>
      </c>
      <c r="C1210" t="s">
        <v>6410</v>
      </c>
      <c r="E1210">
        <v>175500000</v>
      </c>
      <c r="F1210">
        <v>227017263342</v>
      </c>
    </row>
    <row r="1211" spans="1:6" x14ac:dyDescent="0.3">
      <c r="A1211">
        <v>17</v>
      </c>
      <c r="B1211" t="s">
        <v>2039</v>
      </c>
      <c r="C1211" t="s">
        <v>6409</v>
      </c>
      <c r="E1211">
        <v>39090909</v>
      </c>
      <c r="F1211">
        <v>226841763342</v>
      </c>
    </row>
    <row r="1212" spans="1:6" x14ac:dyDescent="0.3">
      <c r="A1212">
        <v>17</v>
      </c>
      <c r="B1212" t="s">
        <v>2039</v>
      </c>
      <c r="C1212" t="s">
        <v>4613</v>
      </c>
      <c r="E1212">
        <v>43272727</v>
      </c>
      <c r="F1212">
        <v>226802672433</v>
      </c>
    </row>
    <row r="1213" spans="1:6" x14ac:dyDescent="0.3">
      <c r="A1213">
        <v>17</v>
      </c>
      <c r="B1213" t="s">
        <v>2039</v>
      </c>
      <c r="C1213" t="s">
        <v>5580</v>
      </c>
      <c r="E1213">
        <v>43181818</v>
      </c>
      <c r="F1213">
        <v>226759399706</v>
      </c>
    </row>
    <row r="1214" spans="1:6" x14ac:dyDescent="0.3">
      <c r="A1214">
        <v>17</v>
      </c>
      <c r="B1214" t="s">
        <v>2043</v>
      </c>
      <c r="C1214" t="s">
        <v>6408</v>
      </c>
      <c r="E1214">
        <v>56000000</v>
      </c>
      <c r="F1214">
        <v>226716217888</v>
      </c>
    </row>
    <row r="1215" spans="1:6" x14ac:dyDescent="0.3">
      <c r="A1215">
        <v>17</v>
      </c>
      <c r="B1215" t="s">
        <v>2037</v>
      </c>
      <c r="C1215" t="s">
        <v>6106</v>
      </c>
      <c r="E1215">
        <v>38636363</v>
      </c>
      <c r="F1215">
        <v>226660217888</v>
      </c>
    </row>
    <row r="1216" spans="1:6" x14ac:dyDescent="0.3">
      <c r="A1216">
        <v>17</v>
      </c>
      <c r="B1216" t="s">
        <v>2039</v>
      </c>
      <c r="C1216" t="s">
        <v>6407</v>
      </c>
      <c r="E1216">
        <v>43636364</v>
      </c>
      <c r="F1216">
        <v>226621581525</v>
      </c>
    </row>
    <row r="1217" spans="1:6" x14ac:dyDescent="0.3">
      <c r="A1217">
        <v>17</v>
      </c>
      <c r="B1217" t="s">
        <v>2037</v>
      </c>
      <c r="C1217" t="s">
        <v>3943</v>
      </c>
      <c r="E1217">
        <v>38500000</v>
      </c>
      <c r="F1217">
        <v>226577945161</v>
      </c>
    </row>
    <row r="1218" spans="1:6" x14ac:dyDescent="0.3">
      <c r="A1218">
        <v>17</v>
      </c>
      <c r="B1218" t="s">
        <v>2039</v>
      </c>
      <c r="C1218" t="s">
        <v>6406</v>
      </c>
      <c r="E1218">
        <v>41818182</v>
      </c>
      <c r="F1218">
        <v>226539445161</v>
      </c>
    </row>
    <row r="1219" spans="1:6" x14ac:dyDescent="0.3">
      <c r="A1219">
        <v>17</v>
      </c>
      <c r="B1219" t="s">
        <v>2039</v>
      </c>
      <c r="C1219" t="s">
        <v>6406</v>
      </c>
      <c r="E1219">
        <v>41818182</v>
      </c>
      <c r="F1219">
        <v>226497626979</v>
      </c>
    </row>
    <row r="1220" spans="1:6" x14ac:dyDescent="0.3">
      <c r="A1220">
        <v>17</v>
      </c>
      <c r="B1220" t="s">
        <v>2041</v>
      </c>
      <c r="C1220" t="s">
        <v>5464</v>
      </c>
      <c r="E1220">
        <v>51818182</v>
      </c>
      <c r="F1220">
        <v>226455808797</v>
      </c>
    </row>
    <row r="1221" spans="1:6" x14ac:dyDescent="0.3">
      <c r="A1221">
        <v>17</v>
      </c>
      <c r="B1221" t="s">
        <v>2039</v>
      </c>
      <c r="C1221" t="s">
        <v>6405</v>
      </c>
      <c r="E1221">
        <v>21170000</v>
      </c>
      <c r="F1221">
        <v>226403990615</v>
      </c>
    </row>
    <row r="1222" spans="1:6" x14ac:dyDescent="0.3">
      <c r="A1222">
        <v>17</v>
      </c>
      <c r="B1222" t="s">
        <v>2039</v>
      </c>
      <c r="C1222" t="s">
        <v>6404</v>
      </c>
      <c r="E1222">
        <v>39500000</v>
      </c>
      <c r="F1222">
        <v>226382820615</v>
      </c>
    </row>
    <row r="1223" spans="1:6" x14ac:dyDescent="0.3">
      <c r="A1223">
        <v>17</v>
      </c>
      <c r="B1223" t="s">
        <v>2039</v>
      </c>
      <c r="C1223" t="s">
        <v>5944</v>
      </c>
      <c r="E1223">
        <v>38800000</v>
      </c>
      <c r="F1223">
        <v>226343320615</v>
      </c>
    </row>
    <row r="1224" spans="1:6" x14ac:dyDescent="0.3">
      <c r="A1224">
        <v>17</v>
      </c>
      <c r="B1224" t="s">
        <v>2063</v>
      </c>
      <c r="C1224" t="s">
        <v>6403</v>
      </c>
      <c r="E1224">
        <v>159000000</v>
      </c>
      <c r="F1224">
        <v>226304520615</v>
      </c>
    </row>
    <row r="1225" spans="1:6" x14ac:dyDescent="0.3">
      <c r="A1225">
        <v>17</v>
      </c>
      <c r="B1225" t="s">
        <v>2041</v>
      </c>
      <c r="C1225" t="s">
        <v>3971</v>
      </c>
      <c r="E1225">
        <v>51000000</v>
      </c>
      <c r="F1225">
        <v>226145520615</v>
      </c>
    </row>
    <row r="1226" spans="1:6" x14ac:dyDescent="0.3">
      <c r="A1226">
        <v>17</v>
      </c>
      <c r="B1226" t="s">
        <v>2061</v>
      </c>
      <c r="C1226" t="s">
        <v>6402</v>
      </c>
      <c r="E1226">
        <v>147300000</v>
      </c>
      <c r="F1226">
        <v>226094520615</v>
      </c>
    </row>
    <row r="1227" spans="1:6" x14ac:dyDescent="0.3">
      <c r="A1227">
        <v>17</v>
      </c>
      <c r="B1227" t="s">
        <v>2041</v>
      </c>
      <c r="C1227" t="s">
        <v>6401</v>
      </c>
      <c r="E1227">
        <v>52000000</v>
      </c>
      <c r="F1227">
        <v>225947220615</v>
      </c>
    </row>
    <row r="1228" spans="1:6" x14ac:dyDescent="0.3">
      <c r="A1228">
        <v>17</v>
      </c>
      <c r="B1228" t="s">
        <v>2041</v>
      </c>
      <c r="C1228" t="s">
        <v>6400</v>
      </c>
      <c r="E1228">
        <v>52000000</v>
      </c>
      <c r="F1228">
        <v>225895220615</v>
      </c>
    </row>
    <row r="1229" spans="1:6" x14ac:dyDescent="0.3">
      <c r="A1229">
        <v>17</v>
      </c>
      <c r="B1229" t="s">
        <v>2041</v>
      </c>
      <c r="C1229" t="s">
        <v>6399</v>
      </c>
      <c r="E1229">
        <v>52000000</v>
      </c>
      <c r="F1229">
        <v>225843220615</v>
      </c>
    </row>
    <row r="1230" spans="1:6" x14ac:dyDescent="0.3">
      <c r="A1230">
        <v>17</v>
      </c>
      <c r="B1230" t="s">
        <v>2060</v>
      </c>
      <c r="C1230" t="s">
        <v>6398</v>
      </c>
      <c r="E1230">
        <v>166500000</v>
      </c>
      <c r="F1230">
        <v>225791220615</v>
      </c>
    </row>
    <row r="1231" spans="1:6" x14ac:dyDescent="0.3">
      <c r="A1231">
        <v>17</v>
      </c>
      <c r="B1231" t="s">
        <v>2063</v>
      </c>
      <c r="C1231" t="s">
        <v>5694</v>
      </c>
      <c r="E1231">
        <v>155000000</v>
      </c>
      <c r="F1231">
        <v>225624720615</v>
      </c>
    </row>
    <row r="1232" spans="1:6" x14ac:dyDescent="0.3">
      <c r="A1232">
        <v>17</v>
      </c>
      <c r="B1232" t="s">
        <v>7186</v>
      </c>
      <c r="C1232" t="s">
        <v>6289</v>
      </c>
      <c r="E1232">
        <v>50278285</v>
      </c>
      <c r="F1232">
        <v>225469720615</v>
      </c>
    </row>
    <row r="1233" spans="1:6" x14ac:dyDescent="0.3">
      <c r="A1233">
        <v>17</v>
      </c>
      <c r="B1233" t="s">
        <v>7154</v>
      </c>
      <c r="C1233" t="s">
        <v>6289</v>
      </c>
      <c r="E1233">
        <v>46378349</v>
      </c>
    </row>
    <row r="1234" spans="1:6" x14ac:dyDescent="0.3">
      <c r="A1234">
        <v>17</v>
      </c>
      <c r="B1234" t="s">
        <v>7203</v>
      </c>
      <c r="C1234" t="s">
        <v>6397</v>
      </c>
      <c r="E1234">
        <v>17084140</v>
      </c>
      <c r="F1234">
        <v>225373063981</v>
      </c>
    </row>
    <row r="1235" spans="1:6" x14ac:dyDescent="0.3">
      <c r="A1235">
        <v>17</v>
      </c>
      <c r="B1235" t="s">
        <v>2063</v>
      </c>
      <c r="C1235" t="s">
        <v>6396</v>
      </c>
      <c r="E1235">
        <v>159000000</v>
      </c>
      <c r="F1235">
        <v>225355979841</v>
      </c>
    </row>
    <row r="1236" spans="1:6" x14ac:dyDescent="0.3">
      <c r="A1236">
        <v>17</v>
      </c>
      <c r="B1236" t="s">
        <v>2032</v>
      </c>
      <c r="C1236" t="s">
        <v>6395</v>
      </c>
      <c r="E1236">
        <v>35909091</v>
      </c>
      <c r="F1236">
        <v>225196979841</v>
      </c>
    </row>
    <row r="1237" spans="1:6" x14ac:dyDescent="0.3">
      <c r="A1237">
        <v>17</v>
      </c>
      <c r="B1237" t="s">
        <v>2062</v>
      </c>
      <c r="C1237" t="s">
        <v>6394</v>
      </c>
      <c r="E1237">
        <v>175000000</v>
      </c>
      <c r="F1237">
        <v>225161070750</v>
      </c>
    </row>
    <row r="1238" spans="1:6" x14ac:dyDescent="0.3">
      <c r="A1238">
        <v>17</v>
      </c>
      <c r="B1238" t="s">
        <v>2048</v>
      </c>
      <c r="C1238" t="s">
        <v>6393</v>
      </c>
      <c r="E1238">
        <v>44818182</v>
      </c>
      <c r="F1238">
        <v>224986070750</v>
      </c>
    </row>
    <row r="1239" spans="1:6" x14ac:dyDescent="0.3">
      <c r="A1239">
        <v>17</v>
      </c>
      <c r="B1239" t="s">
        <v>2035</v>
      </c>
      <c r="C1239" t="s">
        <v>4137</v>
      </c>
      <c r="E1239">
        <v>47800000</v>
      </c>
      <c r="F1239">
        <v>224941252568</v>
      </c>
    </row>
    <row r="1240" spans="1:6" x14ac:dyDescent="0.3">
      <c r="A1240">
        <v>17</v>
      </c>
      <c r="B1240" t="s">
        <v>2037</v>
      </c>
      <c r="C1240" t="s">
        <v>6392</v>
      </c>
      <c r="E1240">
        <v>37272727</v>
      </c>
      <c r="F1240">
        <v>224893452568</v>
      </c>
    </row>
    <row r="1241" spans="1:6" x14ac:dyDescent="0.3">
      <c r="A1241">
        <v>17</v>
      </c>
      <c r="B1241" t="s">
        <v>2035</v>
      </c>
      <c r="C1241" t="s">
        <v>6391</v>
      </c>
      <c r="E1241">
        <v>49090909</v>
      </c>
      <c r="F1241">
        <v>224856179841</v>
      </c>
    </row>
    <row r="1242" spans="1:6" x14ac:dyDescent="0.3">
      <c r="A1242">
        <v>17</v>
      </c>
      <c r="B1242" t="s">
        <v>2028</v>
      </c>
      <c r="C1242" t="s">
        <v>6390</v>
      </c>
      <c r="E1242">
        <v>14000000</v>
      </c>
      <c r="F1242">
        <v>224807088932</v>
      </c>
    </row>
    <row r="1243" spans="1:6" x14ac:dyDescent="0.3">
      <c r="A1243">
        <v>17</v>
      </c>
      <c r="B1243" t="s">
        <v>2836</v>
      </c>
      <c r="C1243" t="s">
        <v>6389</v>
      </c>
      <c r="E1243">
        <v>30454546</v>
      </c>
      <c r="F1243">
        <v>224793088932</v>
      </c>
    </row>
    <row r="1244" spans="1:6" x14ac:dyDescent="0.3">
      <c r="A1244">
        <v>17</v>
      </c>
      <c r="B1244" t="s">
        <v>2048</v>
      </c>
      <c r="C1244" t="s">
        <v>6388</v>
      </c>
      <c r="E1244">
        <v>46370000</v>
      </c>
      <c r="F1244">
        <v>224762634386</v>
      </c>
    </row>
    <row r="1245" spans="1:6" x14ac:dyDescent="0.3">
      <c r="A1245">
        <v>17</v>
      </c>
      <c r="B1245" t="s">
        <v>2041</v>
      </c>
      <c r="C1245" t="s">
        <v>6387</v>
      </c>
      <c r="E1245">
        <v>52000000</v>
      </c>
      <c r="F1245">
        <v>224716264386</v>
      </c>
    </row>
    <row r="1246" spans="1:6" x14ac:dyDescent="0.3">
      <c r="A1246">
        <v>17</v>
      </c>
      <c r="B1246" t="s">
        <v>2062</v>
      </c>
      <c r="C1246" t="s">
        <v>6075</v>
      </c>
      <c r="E1246">
        <v>175000000</v>
      </c>
      <c r="F1246">
        <v>224664264386</v>
      </c>
    </row>
    <row r="1247" spans="1:6" x14ac:dyDescent="0.3">
      <c r="A1247">
        <v>17</v>
      </c>
      <c r="B1247" t="s">
        <v>2838</v>
      </c>
      <c r="C1247" t="s">
        <v>6386</v>
      </c>
      <c r="E1247">
        <v>24500000</v>
      </c>
      <c r="F1247">
        <v>224489264386</v>
      </c>
    </row>
    <row r="1248" spans="1:6" x14ac:dyDescent="0.3">
      <c r="A1248">
        <v>17</v>
      </c>
      <c r="B1248" t="s">
        <v>2041</v>
      </c>
      <c r="C1248" t="s">
        <v>5645</v>
      </c>
      <c r="E1248">
        <v>48300000</v>
      </c>
      <c r="F1248">
        <v>224464764386</v>
      </c>
    </row>
    <row r="1249" spans="1:6" x14ac:dyDescent="0.3">
      <c r="A1249">
        <v>17</v>
      </c>
      <c r="B1249" t="s">
        <v>2037</v>
      </c>
      <c r="C1249" t="s">
        <v>6385</v>
      </c>
      <c r="E1249">
        <v>35000000</v>
      </c>
      <c r="F1249">
        <v>224416464386</v>
      </c>
    </row>
    <row r="1250" spans="1:6" x14ac:dyDescent="0.3">
      <c r="A1250">
        <v>17</v>
      </c>
      <c r="B1250" t="s">
        <v>2062</v>
      </c>
      <c r="C1250" t="s">
        <v>6384</v>
      </c>
      <c r="E1250">
        <v>172500000</v>
      </c>
      <c r="F1250">
        <v>224381464386</v>
      </c>
    </row>
    <row r="1251" spans="1:6" x14ac:dyDescent="0.3">
      <c r="A1251">
        <v>17</v>
      </c>
      <c r="B1251" t="s">
        <v>2062</v>
      </c>
      <c r="C1251" t="s">
        <v>6383</v>
      </c>
      <c r="E1251">
        <v>175000000</v>
      </c>
      <c r="F1251">
        <v>224208964386</v>
      </c>
    </row>
    <row r="1252" spans="1:6" x14ac:dyDescent="0.3">
      <c r="A1252">
        <v>17</v>
      </c>
      <c r="B1252" t="s">
        <v>2054</v>
      </c>
      <c r="C1252" t="s">
        <v>4498</v>
      </c>
      <c r="E1252">
        <v>13230000</v>
      </c>
      <c r="F1252">
        <v>224033964386</v>
      </c>
    </row>
    <row r="1253" spans="1:6" x14ac:dyDescent="0.3">
      <c r="A1253">
        <v>17</v>
      </c>
      <c r="B1253" t="s">
        <v>2039</v>
      </c>
      <c r="C1253" t="s">
        <v>6382</v>
      </c>
      <c r="E1253">
        <v>41500000</v>
      </c>
      <c r="F1253">
        <v>224020734386</v>
      </c>
    </row>
    <row r="1254" spans="1:6" x14ac:dyDescent="0.3">
      <c r="A1254">
        <v>17</v>
      </c>
      <c r="B1254" t="s">
        <v>2037</v>
      </c>
      <c r="C1254" t="s">
        <v>6381</v>
      </c>
      <c r="E1254">
        <v>18373000</v>
      </c>
      <c r="F1254">
        <v>223979234386</v>
      </c>
    </row>
    <row r="1255" spans="1:6" x14ac:dyDescent="0.3">
      <c r="A1255">
        <v>17</v>
      </c>
      <c r="B1255" t="s">
        <v>2037</v>
      </c>
      <c r="C1255" t="s">
        <v>6380</v>
      </c>
      <c r="E1255">
        <v>37000000</v>
      </c>
      <c r="F1255">
        <v>223960861386</v>
      </c>
    </row>
    <row r="1256" spans="1:6" x14ac:dyDescent="0.3">
      <c r="A1256">
        <v>17</v>
      </c>
      <c r="B1256" t="s">
        <v>2836</v>
      </c>
      <c r="C1256" t="s">
        <v>3466</v>
      </c>
      <c r="E1256">
        <v>31000000</v>
      </c>
      <c r="F1256">
        <v>223923861386</v>
      </c>
    </row>
    <row r="1257" spans="1:6" x14ac:dyDescent="0.3">
      <c r="A1257">
        <v>17</v>
      </c>
      <c r="B1257" t="s">
        <v>2836</v>
      </c>
      <c r="C1257" t="s">
        <v>6379</v>
      </c>
      <c r="E1257">
        <v>32000000</v>
      </c>
      <c r="F1257">
        <v>223892861386</v>
      </c>
    </row>
    <row r="1258" spans="1:6" x14ac:dyDescent="0.3">
      <c r="A1258">
        <v>17</v>
      </c>
      <c r="B1258" t="s">
        <v>2836</v>
      </c>
      <c r="C1258" t="s">
        <v>6378</v>
      </c>
      <c r="E1258">
        <v>31000000</v>
      </c>
      <c r="F1258">
        <v>223860861386</v>
      </c>
    </row>
    <row r="1259" spans="1:6" x14ac:dyDescent="0.3">
      <c r="A1259">
        <v>17</v>
      </c>
      <c r="B1259" t="s">
        <v>2037</v>
      </c>
      <c r="C1259" t="s">
        <v>5879</v>
      </c>
      <c r="E1259">
        <v>18373000</v>
      </c>
      <c r="F1259">
        <v>223829861386</v>
      </c>
    </row>
    <row r="1260" spans="1:6" x14ac:dyDescent="0.3">
      <c r="A1260">
        <v>17</v>
      </c>
      <c r="B1260" t="s">
        <v>2037</v>
      </c>
      <c r="C1260" t="s">
        <v>4668</v>
      </c>
      <c r="E1260">
        <v>18373000</v>
      </c>
      <c r="F1260">
        <v>223811488386</v>
      </c>
    </row>
    <row r="1261" spans="1:6" x14ac:dyDescent="0.3">
      <c r="A1261">
        <v>17</v>
      </c>
      <c r="B1261" t="s">
        <v>2037</v>
      </c>
      <c r="C1261" t="s">
        <v>4668</v>
      </c>
      <c r="E1261">
        <v>18373000</v>
      </c>
      <c r="F1261">
        <v>223793115386</v>
      </c>
    </row>
    <row r="1262" spans="1:6" x14ac:dyDescent="0.3">
      <c r="A1262">
        <v>17</v>
      </c>
      <c r="B1262" t="s">
        <v>2032</v>
      </c>
      <c r="C1262" t="s">
        <v>3851</v>
      </c>
      <c r="E1262">
        <v>129600000</v>
      </c>
      <c r="F1262">
        <v>223774742386</v>
      </c>
    </row>
    <row r="1263" spans="1:6" x14ac:dyDescent="0.3">
      <c r="A1263">
        <v>17</v>
      </c>
      <c r="B1263" t="s">
        <v>2836</v>
      </c>
      <c r="C1263" t="s">
        <v>3692</v>
      </c>
      <c r="E1263">
        <v>33900000</v>
      </c>
      <c r="F1263">
        <v>223645142386</v>
      </c>
    </row>
    <row r="1264" spans="1:6" x14ac:dyDescent="0.3">
      <c r="A1264">
        <v>17</v>
      </c>
      <c r="B1264" t="s">
        <v>2836</v>
      </c>
      <c r="C1264" t="s">
        <v>3692</v>
      </c>
      <c r="E1264">
        <v>33900000</v>
      </c>
      <c r="F1264">
        <v>223611242386</v>
      </c>
    </row>
    <row r="1265" spans="1:6" x14ac:dyDescent="0.3">
      <c r="A1265">
        <v>17</v>
      </c>
      <c r="B1265" t="s">
        <v>2043</v>
      </c>
      <c r="C1265" t="s">
        <v>6377</v>
      </c>
      <c r="E1265">
        <v>54545454</v>
      </c>
      <c r="F1265">
        <v>223577342386</v>
      </c>
    </row>
    <row r="1266" spans="1:6" x14ac:dyDescent="0.3">
      <c r="A1266">
        <v>17</v>
      </c>
      <c r="B1266" t="s">
        <v>2060</v>
      </c>
      <c r="C1266" t="s">
        <v>4971</v>
      </c>
      <c r="E1266">
        <v>165000000</v>
      </c>
      <c r="F1266">
        <v>223522796932</v>
      </c>
    </row>
    <row r="1267" spans="1:6" x14ac:dyDescent="0.3">
      <c r="A1267">
        <v>17</v>
      </c>
      <c r="B1267" t="s">
        <v>2028</v>
      </c>
      <c r="C1267" t="s">
        <v>6376</v>
      </c>
      <c r="E1267">
        <v>13600000</v>
      </c>
      <c r="F1267">
        <v>223357796932</v>
      </c>
    </row>
    <row r="1268" spans="1:6" x14ac:dyDescent="0.3">
      <c r="A1268">
        <v>17</v>
      </c>
      <c r="B1268" t="s">
        <v>2062</v>
      </c>
      <c r="C1268" t="s">
        <v>3668</v>
      </c>
      <c r="E1268">
        <v>175000000</v>
      </c>
      <c r="F1268">
        <v>223344196932</v>
      </c>
    </row>
    <row r="1269" spans="1:6" x14ac:dyDescent="0.3">
      <c r="A1269">
        <v>17</v>
      </c>
      <c r="B1269" t="s">
        <v>2028</v>
      </c>
      <c r="C1269" t="s">
        <v>6375</v>
      </c>
      <c r="E1269">
        <v>14300000</v>
      </c>
      <c r="F1269">
        <v>223169196932</v>
      </c>
    </row>
    <row r="1270" spans="1:6" x14ac:dyDescent="0.3">
      <c r="A1270">
        <v>17</v>
      </c>
      <c r="B1270" t="s">
        <v>2032</v>
      </c>
      <c r="C1270" t="s">
        <v>4323</v>
      </c>
      <c r="E1270">
        <v>36818182</v>
      </c>
      <c r="F1270">
        <v>223154896932</v>
      </c>
    </row>
    <row r="1271" spans="1:6" x14ac:dyDescent="0.3">
      <c r="A1271">
        <v>17</v>
      </c>
      <c r="B1271" t="s">
        <v>2836</v>
      </c>
      <c r="C1271" t="s">
        <v>6374</v>
      </c>
      <c r="E1271">
        <v>30909091</v>
      </c>
      <c r="F1271">
        <v>223118078750</v>
      </c>
    </row>
    <row r="1272" spans="1:6" x14ac:dyDescent="0.3">
      <c r="A1272">
        <v>17</v>
      </c>
      <c r="B1272" t="s">
        <v>2836</v>
      </c>
      <c r="C1272" t="s">
        <v>6373</v>
      </c>
      <c r="E1272">
        <v>30400000</v>
      </c>
      <c r="F1272">
        <v>223087169659</v>
      </c>
    </row>
    <row r="1273" spans="1:6" x14ac:dyDescent="0.3">
      <c r="A1273">
        <v>17</v>
      </c>
      <c r="B1273" t="s">
        <v>2836</v>
      </c>
      <c r="C1273" t="s">
        <v>4538</v>
      </c>
      <c r="E1273">
        <v>30500000</v>
      </c>
      <c r="F1273">
        <v>223056769659</v>
      </c>
    </row>
    <row r="1274" spans="1:6" x14ac:dyDescent="0.3">
      <c r="A1274">
        <v>17</v>
      </c>
      <c r="B1274" t="s">
        <v>2836</v>
      </c>
      <c r="C1274" t="s">
        <v>3464</v>
      </c>
      <c r="E1274">
        <v>32727273</v>
      </c>
      <c r="F1274">
        <v>223026269659</v>
      </c>
    </row>
    <row r="1275" spans="1:6" x14ac:dyDescent="0.3">
      <c r="A1275">
        <v>17</v>
      </c>
      <c r="B1275" t="s">
        <v>2836</v>
      </c>
      <c r="C1275" t="s">
        <v>3464</v>
      </c>
      <c r="E1275">
        <v>32727273</v>
      </c>
      <c r="F1275">
        <v>222993542386</v>
      </c>
    </row>
    <row r="1276" spans="1:6" x14ac:dyDescent="0.3">
      <c r="A1276">
        <v>17</v>
      </c>
      <c r="B1276" t="s">
        <v>2044</v>
      </c>
      <c r="C1276" t="s">
        <v>3464</v>
      </c>
      <c r="E1276">
        <v>40000000</v>
      </c>
      <c r="F1276">
        <v>222960815113</v>
      </c>
    </row>
    <row r="1277" spans="1:6" x14ac:dyDescent="0.3">
      <c r="A1277">
        <v>17</v>
      </c>
      <c r="B1277" t="s">
        <v>2061</v>
      </c>
      <c r="C1277" t="s">
        <v>6372</v>
      </c>
      <c r="E1277">
        <v>148600000</v>
      </c>
      <c r="F1277">
        <v>222920815113</v>
      </c>
    </row>
    <row r="1278" spans="1:6" x14ac:dyDescent="0.3">
      <c r="A1278">
        <v>17</v>
      </c>
      <c r="B1278" t="s">
        <v>2062</v>
      </c>
      <c r="C1278" t="s">
        <v>6371</v>
      </c>
      <c r="E1278">
        <v>175000000</v>
      </c>
      <c r="F1278">
        <v>222772215113</v>
      </c>
    </row>
    <row r="1279" spans="1:6" x14ac:dyDescent="0.3">
      <c r="A1279">
        <v>17</v>
      </c>
      <c r="B1279" t="s">
        <v>2028</v>
      </c>
      <c r="C1279" t="s">
        <v>6370</v>
      </c>
      <c r="E1279">
        <v>16363636</v>
      </c>
      <c r="F1279">
        <v>222597215113</v>
      </c>
    </row>
    <row r="1280" spans="1:6" x14ac:dyDescent="0.3">
      <c r="A1280">
        <v>17</v>
      </c>
      <c r="B1280" t="s">
        <v>2062</v>
      </c>
      <c r="C1280" t="s">
        <v>6368</v>
      </c>
      <c r="E1280">
        <v>-175000000</v>
      </c>
      <c r="F1280">
        <v>222580851477</v>
      </c>
    </row>
    <row r="1281" spans="1:6" x14ac:dyDescent="0.3">
      <c r="A1281">
        <v>17</v>
      </c>
      <c r="B1281" t="s">
        <v>2037</v>
      </c>
      <c r="C1281" t="s">
        <v>6369</v>
      </c>
      <c r="E1281">
        <v>39090909</v>
      </c>
      <c r="F1281">
        <v>222755851477</v>
      </c>
    </row>
    <row r="1282" spans="1:6" x14ac:dyDescent="0.3">
      <c r="A1282">
        <v>17</v>
      </c>
      <c r="B1282" t="s">
        <v>2062</v>
      </c>
      <c r="C1282" t="s">
        <v>6368</v>
      </c>
      <c r="E1282">
        <v>175000000</v>
      </c>
      <c r="F1282">
        <v>222716760568</v>
      </c>
    </row>
    <row r="1283" spans="1:6" x14ac:dyDescent="0.3">
      <c r="A1283">
        <v>17</v>
      </c>
      <c r="B1283" t="s">
        <v>2061</v>
      </c>
      <c r="C1283" t="s">
        <v>6367</v>
      </c>
      <c r="E1283">
        <v>147272727</v>
      </c>
      <c r="F1283">
        <v>222541760568</v>
      </c>
    </row>
    <row r="1284" spans="1:6" x14ac:dyDescent="0.3">
      <c r="A1284">
        <v>17</v>
      </c>
      <c r="B1284" t="s">
        <v>2028</v>
      </c>
      <c r="C1284" t="s">
        <v>4074</v>
      </c>
      <c r="E1284">
        <v>13800000</v>
      </c>
      <c r="F1284">
        <v>222394487841</v>
      </c>
    </row>
    <row r="1285" spans="1:6" x14ac:dyDescent="0.3">
      <c r="A1285">
        <v>17</v>
      </c>
      <c r="B1285" t="s">
        <v>2055</v>
      </c>
      <c r="C1285" t="s">
        <v>6366</v>
      </c>
      <c r="E1285">
        <v>62000000</v>
      </c>
      <c r="F1285">
        <v>222380687841</v>
      </c>
    </row>
    <row r="1286" spans="1:6" x14ac:dyDescent="0.3">
      <c r="A1286">
        <v>17</v>
      </c>
      <c r="B1286" t="s">
        <v>2041</v>
      </c>
      <c r="C1286" t="s">
        <v>6365</v>
      </c>
      <c r="E1286">
        <v>52000000</v>
      </c>
      <c r="F1286">
        <v>222318687841</v>
      </c>
    </row>
    <row r="1287" spans="1:6" x14ac:dyDescent="0.3">
      <c r="A1287">
        <v>17</v>
      </c>
      <c r="B1287" t="s">
        <v>2028</v>
      </c>
      <c r="C1287" t="s">
        <v>6112</v>
      </c>
      <c r="E1287">
        <v>14400000</v>
      </c>
      <c r="F1287">
        <v>222266687841</v>
      </c>
    </row>
    <row r="1288" spans="1:6" x14ac:dyDescent="0.3">
      <c r="A1288">
        <v>17</v>
      </c>
      <c r="B1288" t="s">
        <v>2037</v>
      </c>
      <c r="C1288" t="s">
        <v>6364</v>
      </c>
      <c r="E1288">
        <v>38500000</v>
      </c>
      <c r="F1288">
        <v>222252287841</v>
      </c>
    </row>
    <row r="1289" spans="1:6" x14ac:dyDescent="0.3">
      <c r="A1289">
        <v>17</v>
      </c>
      <c r="B1289" t="s">
        <v>2028</v>
      </c>
      <c r="C1289" t="s">
        <v>6363</v>
      </c>
      <c r="E1289">
        <v>14750000</v>
      </c>
      <c r="F1289">
        <v>222213787841</v>
      </c>
    </row>
    <row r="1290" spans="1:6" x14ac:dyDescent="0.3">
      <c r="A1290">
        <v>17</v>
      </c>
      <c r="B1290" t="s">
        <v>2032</v>
      </c>
      <c r="C1290" t="s">
        <v>4396</v>
      </c>
      <c r="E1290">
        <v>35909091</v>
      </c>
      <c r="F1290">
        <v>222199037841</v>
      </c>
    </row>
    <row r="1291" spans="1:6" x14ac:dyDescent="0.3">
      <c r="A1291">
        <v>17</v>
      </c>
      <c r="B1291" t="s">
        <v>2037</v>
      </c>
      <c r="C1291" t="s">
        <v>6362</v>
      </c>
      <c r="E1291">
        <v>37000000</v>
      </c>
      <c r="F1291">
        <v>222163128750</v>
      </c>
    </row>
    <row r="1292" spans="1:6" x14ac:dyDescent="0.3">
      <c r="A1292">
        <v>17</v>
      </c>
      <c r="B1292" t="s">
        <v>2028</v>
      </c>
      <c r="C1292" t="s">
        <v>6361</v>
      </c>
      <c r="E1292">
        <v>14200000</v>
      </c>
      <c r="F1292">
        <v>222126128750</v>
      </c>
    </row>
    <row r="1293" spans="1:6" x14ac:dyDescent="0.3">
      <c r="A1293">
        <v>17</v>
      </c>
      <c r="B1293" t="s">
        <v>2028</v>
      </c>
      <c r="C1293" t="s">
        <v>6361</v>
      </c>
      <c r="E1293">
        <v>14200000</v>
      </c>
      <c r="F1293">
        <v>222111928750</v>
      </c>
    </row>
    <row r="1294" spans="1:6" x14ac:dyDescent="0.3">
      <c r="A1294">
        <v>17</v>
      </c>
      <c r="B1294" t="s">
        <v>2032</v>
      </c>
      <c r="C1294" t="s">
        <v>3851</v>
      </c>
      <c r="E1294">
        <v>86400000</v>
      </c>
      <c r="F1294">
        <v>222097728750</v>
      </c>
    </row>
    <row r="1295" spans="1:6" x14ac:dyDescent="0.3">
      <c r="A1295">
        <v>17</v>
      </c>
      <c r="B1295" t="s">
        <v>7355</v>
      </c>
      <c r="C1295" t="s">
        <v>6360</v>
      </c>
      <c r="E1295">
        <v>6242940</v>
      </c>
      <c r="F1295">
        <v>222011328750</v>
      </c>
    </row>
    <row r="1296" spans="1:6" x14ac:dyDescent="0.3">
      <c r="A1296">
        <v>17</v>
      </c>
      <c r="B1296" t="s">
        <v>2044</v>
      </c>
      <c r="C1296" t="s">
        <v>4073</v>
      </c>
      <c r="E1296">
        <v>38181818</v>
      </c>
      <c r="F1296">
        <v>222005085810</v>
      </c>
    </row>
    <row r="1297" spans="1:6" x14ac:dyDescent="0.3">
      <c r="A1297">
        <v>17</v>
      </c>
      <c r="B1297" t="s">
        <v>2037</v>
      </c>
      <c r="C1297" t="s">
        <v>6359</v>
      </c>
      <c r="E1297">
        <v>38181818</v>
      </c>
      <c r="F1297">
        <v>221966903992</v>
      </c>
    </row>
    <row r="1298" spans="1:6" x14ac:dyDescent="0.3">
      <c r="A1298">
        <v>17</v>
      </c>
      <c r="B1298" t="s">
        <v>2037</v>
      </c>
      <c r="C1298" t="s">
        <v>6358</v>
      </c>
      <c r="E1298">
        <v>38000000</v>
      </c>
      <c r="F1298">
        <v>221928722174</v>
      </c>
    </row>
    <row r="1299" spans="1:6" x14ac:dyDescent="0.3">
      <c r="A1299">
        <v>17</v>
      </c>
      <c r="B1299" t="s">
        <v>2836</v>
      </c>
      <c r="C1299" t="s">
        <v>4375</v>
      </c>
      <c r="E1299">
        <v>30909091</v>
      </c>
      <c r="F1299">
        <v>221890722174</v>
      </c>
    </row>
    <row r="1300" spans="1:6" x14ac:dyDescent="0.3">
      <c r="A1300">
        <v>17</v>
      </c>
      <c r="B1300" t="s">
        <v>2062</v>
      </c>
      <c r="C1300" t="s">
        <v>6357</v>
      </c>
      <c r="E1300">
        <v>176500000</v>
      </c>
      <c r="F1300">
        <v>221859813083</v>
      </c>
    </row>
    <row r="1301" spans="1:6" x14ac:dyDescent="0.3">
      <c r="A1301">
        <v>17</v>
      </c>
      <c r="B1301" t="s">
        <v>2060</v>
      </c>
      <c r="C1301" t="s">
        <v>6356</v>
      </c>
      <c r="E1301">
        <v>165000000</v>
      </c>
      <c r="F1301">
        <v>221683313083</v>
      </c>
    </row>
    <row r="1302" spans="1:6" x14ac:dyDescent="0.3">
      <c r="A1302">
        <v>17</v>
      </c>
      <c r="B1302" t="s">
        <v>7170</v>
      </c>
      <c r="C1302" t="s">
        <v>5162</v>
      </c>
      <c r="E1302">
        <v>170000000</v>
      </c>
      <c r="F1302">
        <v>221518313083</v>
      </c>
    </row>
    <row r="1303" spans="1:6" x14ac:dyDescent="0.3">
      <c r="A1303">
        <v>17</v>
      </c>
      <c r="B1303" t="s">
        <v>7154</v>
      </c>
      <c r="C1303" t="s">
        <v>6355</v>
      </c>
      <c r="E1303">
        <v>47800000</v>
      </c>
      <c r="F1303">
        <v>221348313083</v>
      </c>
    </row>
    <row r="1304" spans="1:6" x14ac:dyDescent="0.3">
      <c r="A1304">
        <v>17</v>
      </c>
      <c r="B1304" t="s">
        <v>7343</v>
      </c>
      <c r="C1304" t="s">
        <v>6342</v>
      </c>
      <c r="E1304">
        <v>30909091</v>
      </c>
      <c r="F1304">
        <v>221300513083</v>
      </c>
    </row>
    <row r="1305" spans="1:6" x14ac:dyDescent="0.3">
      <c r="A1305">
        <v>17</v>
      </c>
      <c r="B1305" t="s">
        <v>7343</v>
      </c>
      <c r="C1305" t="s">
        <v>6354</v>
      </c>
      <c r="E1305">
        <v>30454545</v>
      </c>
      <c r="F1305">
        <v>221269603992</v>
      </c>
    </row>
    <row r="1306" spans="1:6" x14ac:dyDescent="0.3">
      <c r="A1306">
        <v>17</v>
      </c>
      <c r="B1306" t="s">
        <v>7252</v>
      </c>
      <c r="C1306" t="s">
        <v>6353</v>
      </c>
      <c r="E1306">
        <v>60800000</v>
      </c>
      <c r="F1306">
        <v>221239149447</v>
      </c>
    </row>
    <row r="1307" spans="1:6" x14ac:dyDescent="0.3">
      <c r="A1307">
        <v>17</v>
      </c>
      <c r="B1307" t="s">
        <v>7273</v>
      </c>
      <c r="C1307" t="s">
        <v>6300</v>
      </c>
      <c r="E1307">
        <v>166500000</v>
      </c>
      <c r="F1307">
        <v>221178349447</v>
      </c>
    </row>
    <row r="1308" spans="1:6" x14ac:dyDescent="0.3">
      <c r="A1308">
        <v>17</v>
      </c>
      <c r="B1308" t="s">
        <v>7282</v>
      </c>
      <c r="C1308" t="s">
        <v>6352</v>
      </c>
      <c r="E1308">
        <v>159000000</v>
      </c>
      <c r="F1308">
        <v>221011849447</v>
      </c>
    </row>
    <row r="1309" spans="1:6" x14ac:dyDescent="0.3">
      <c r="A1309">
        <v>17</v>
      </c>
      <c r="B1309" t="s">
        <v>7343</v>
      </c>
      <c r="C1309" t="s">
        <v>6351</v>
      </c>
      <c r="E1309">
        <v>32000000</v>
      </c>
      <c r="F1309">
        <v>220852849447</v>
      </c>
    </row>
    <row r="1310" spans="1:6" x14ac:dyDescent="0.3">
      <c r="A1310">
        <v>17</v>
      </c>
      <c r="B1310" t="s">
        <v>7186</v>
      </c>
      <c r="C1310" t="s">
        <v>6350</v>
      </c>
      <c r="E1310">
        <v>53363636</v>
      </c>
      <c r="F1310">
        <v>220820849447</v>
      </c>
    </row>
    <row r="1311" spans="1:6" x14ac:dyDescent="0.3">
      <c r="A1311">
        <v>17</v>
      </c>
      <c r="B1311" t="s">
        <v>7343</v>
      </c>
      <c r="C1311" t="s">
        <v>6349</v>
      </c>
      <c r="E1311">
        <v>31000000</v>
      </c>
      <c r="F1311">
        <v>220767485811</v>
      </c>
    </row>
    <row r="1312" spans="1:6" x14ac:dyDescent="0.3">
      <c r="A1312">
        <v>17</v>
      </c>
      <c r="B1312" t="s">
        <v>7154</v>
      </c>
      <c r="C1312" t="s">
        <v>5475</v>
      </c>
      <c r="E1312">
        <v>31116736</v>
      </c>
      <c r="F1312">
        <v>220736485811</v>
      </c>
    </row>
    <row r="1313" spans="1:6" x14ac:dyDescent="0.3">
      <c r="A1313">
        <v>17</v>
      </c>
      <c r="B1313" t="s">
        <v>2032</v>
      </c>
      <c r="C1313" t="s">
        <v>5139</v>
      </c>
      <c r="E1313">
        <v>36000000</v>
      </c>
      <c r="F1313">
        <v>220705369075</v>
      </c>
    </row>
    <row r="1314" spans="1:6" x14ac:dyDescent="0.3">
      <c r="A1314">
        <v>17</v>
      </c>
      <c r="B1314" t="s">
        <v>7170</v>
      </c>
      <c r="C1314" t="s">
        <v>6348</v>
      </c>
      <c r="E1314">
        <v>173000000</v>
      </c>
      <c r="F1314">
        <v>220669369075</v>
      </c>
    </row>
    <row r="1315" spans="1:6" x14ac:dyDescent="0.3">
      <c r="A1315">
        <v>17</v>
      </c>
      <c r="B1315" t="s">
        <v>7154</v>
      </c>
      <c r="C1315" t="s">
        <v>6347</v>
      </c>
      <c r="E1315">
        <v>52000000</v>
      </c>
      <c r="F1315">
        <v>220496369075</v>
      </c>
    </row>
    <row r="1316" spans="1:6" x14ac:dyDescent="0.3">
      <c r="A1316">
        <v>17</v>
      </c>
      <c r="B1316" t="s">
        <v>7203</v>
      </c>
      <c r="C1316" t="s">
        <v>6346</v>
      </c>
      <c r="E1316">
        <v>18500000</v>
      </c>
      <c r="F1316">
        <v>220444369075</v>
      </c>
    </row>
    <row r="1317" spans="1:6" x14ac:dyDescent="0.3">
      <c r="A1317">
        <v>17</v>
      </c>
      <c r="B1317" t="s">
        <v>7282</v>
      </c>
      <c r="C1317" t="s">
        <v>6345</v>
      </c>
      <c r="E1317">
        <v>157000000</v>
      </c>
      <c r="F1317">
        <v>220425869075</v>
      </c>
    </row>
    <row r="1318" spans="1:6" x14ac:dyDescent="0.3">
      <c r="A1318">
        <v>17</v>
      </c>
      <c r="B1318" t="s">
        <v>7176</v>
      </c>
      <c r="C1318" t="s">
        <v>6344</v>
      </c>
      <c r="E1318">
        <v>39000000</v>
      </c>
      <c r="F1318">
        <v>220268869075</v>
      </c>
    </row>
    <row r="1319" spans="1:6" x14ac:dyDescent="0.3">
      <c r="A1319">
        <v>17</v>
      </c>
      <c r="B1319" t="s">
        <v>7343</v>
      </c>
      <c r="C1319" t="s">
        <v>6343</v>
      </c>
      <c r="E1319">
        <v>30909091</v>
      </c>
      <c r="F1319">
        <v>220229869075</v>
      </c>
    </row>
    <row r="1320" spans="1:6" x14ac:dyDescent="0.3">
      <c r="A1320">
        <v>17</v>
      </c>
      <c r="B1320" t="s">
        <v>7343</v>
      </c>
      <c r="C1320" t="s">
        <v>4538</v>
      </c>
      <c r="E1320">
        <v>32000000</v>
      </c>
      <c r="F1320">
        <v>220198959984</v>
      </c>
    </row>
    <row r="1321" spans="1:6" x14ac:dyDescent="0.3">
      <c r="A1321">
        <v>17</v>
      </c>
      <c r="B1321" t="s">
        <v>7203</v>
      </c>
      <c r="C1321" t="s">
        <v>4619</v>
      </c>
      <c r="E1321">
        <v>35909090</v>
      </c>
      <c r="F1321">
        <v>220166959984</v>
      </c>
    </row>
    <row r="1322" spans="1:6" x14ac:dyDescent="0.3">
      <c r="A1322">
        <v>17</v>
      </c>
      <c r="B1322" t="s">
        <v>7343</v>
      </c>
      <c r="C1322" t="s">
        <v>6342</v>
      </c>
      <c r="E1322">
        <v>30909091</v>
      </c>
      <c r="F1322">
        <v>220131050894</v>
      </c>
    </row>
    <row r="1323" spans="1:6" x14ac:dyDescent="0.3">
      <c r="A1323">
        <v>17</v>
      </c>
      <c r="B1323" t="s">
        <v>7343</v>
      </c>
      <c r="C1323" t="s">
        <v>6341</v>
      </c>
      <c r="E1323">
        <v>30454545</v>
      </c>
      <c r="F1323">
        <v>220100141803</v>
      </c>
    </row>
    <row r="1324" spans="1:6" x14ac:dyDescent="0.3">
      <c r="A1324">
        <v>17</v>
      </c>
      <c r="B1324" t="s">
        <v>7170</v>
      </c>
      <c r="C1324" t="s">
        <v>6340</v>
      </c>
      <c r="E1324">
        <v>175000000</v>
      </c>
      <c r="F1324">
        <v>220069687258</v>
      </c>
    </row>
    <row r="1325" spans="1:6" x14ac:dyDescent="0.3">
      <c r="A1325">
        <v>17</v>
      </c>
      <c r="B1325" t="s">
        <v>7154</v>
      </c>
      <c r="C1325" t="s">
        <v>6339</v>
      </c>
      <c r="E1325">
        <v>52000000</v>
      </c>
      <c r="F1325">
        <v>219894687258</v>
      </c>
    </row>
    <row r="1326" spans="1:6" x14ac:dyDescent="0.3">
      <c r="A1326">
        <v>17</v>
      </c>
      <c r="B1326" t="s">
        <v>7156</v>
      </c>
      <c r="C1326" t="s">
        <v>6338</v>
      </c>
      <c r="E1326">
        <v>14500000</v>
      </c>
      <c r="F1326">
        <v>219842687258</v>
      </c>
    </row>
    <row r="1327" spans="1:6" x14ac:dyDescent="0.3">
      <c r="A1327">
        <v>17</v>
      </c>
      <c r="B1327" t="s">
        <v>7252</v>
      </c>
      <c r="C1327" t="s">
        <v>6337</v>
      </c>
      <c r="E1327">
        <v>61000000</v>
      </c>
      <c r="F1327">
        <v>219828187258</v>
      </c>
    </row>
    <row r="1328" spans="1:6" x14ac:dyDescent="0.3">
      <c r="A1328">
        <v>17</v>
      </c>
      <c r="B1328" t="s">
        <v>7203</v>
      </c>
      <c r="C1328" t="s">
        <v>6336</v>
      </c>
      <c r="E1328">
        <v>36800000</v>
      </c>
      <c r="F1328">
        <v>219767187258</v>
      </c>
    </row>
    <row r="1329" spans="1:6" x14ac:dyDescent="0.3">
      <c r="A1329">
        <v>17</v>
      </c>
      <c r="B1329" t="s">
        <v>7170</v>
      </c>
      <c r="C1329" t="s">
        <v>6335</v>
      </c>
      <c r="E1329">
        <v>175000000</v>
      </c>
      <c r="F1329">
        <v>219730387258</v>
      </c>
    </row>
    <row r="1330" spans="1:6" x14ac:dyDescent="0.3">
      <c r="A1330">
        <v>17</v>
      </c>
      <c r="B1330" t="s">
        <v>7154</v>
      </c>
      <c r="C1330" t="s">
        <v>6334</v>
      </c>
      <c r="E1330">
        <v>51818182</v>
      </c>
      <c r="F1330">
        <v>219555387258</v>
      </c>
    </row>
    <row r="1331" spans="1:6" x14ac:dyDescent="0.3">
      <c r="A1331">
        <v>17</v>
      </c>
      <c r="B1331" t="s">
        <v>7154</v>
      </c>
      <c r="C1331" t="s">
        <v>6333</v>
      </c>
      <c r="E1331">
        <v>50000000</v>
      </c>
      <c r="F1331">
        <v>219503569076</v>
      </c>
    </row>
    <row r="1332" spans="1:6" x14ac:dyDescent="0.3">
      <c r="A1332">
        <v>17</v>
      </c>
      <c r="B1332" t="s">
        <v>7176</v>
      </c>
      <c r="C1332" t="s">
        <v>6332</v>
      </c>
      <c r="E1332">
        <v>38181818</v>
      </c>
      <c r="F1332">
        <v>219453569076</v>
      </c>
    </row>
    <row r="1333" spans="1:6" x14ac:dyDescent="0.3">
      <c r="A1333">
        <v>17</v>
      </c>
      <c r="B1333" t="s">
        <v>7154</v>
      </c>
      <c r="C1333" t="s">
        <v>6331</v>
      </c>
      <c r="E1333">
        <v>51363636</v>
      </c>
      <c r="F1333">
        <v>219415387258</v>
      </c>
    </row>
    <row r="1334" spans="1:6" x14ac:dyDescent="0.3">
      <c r="A1334">
        <v>17</v>
      </c>
      <c r="B1334" t="s">
        <v>7156</v>
      </c>
      <c r="C1334" t="s">
        <v>6330</v>
      </c>
      <c r="E1334">
        <v>13500000</v>
      </c>
      <c r="F1334">
        <v>219364023622</v>
      </c>
    </row>
    <row r="1335" spans="1:6" x14ac:dyDescent="0.3">
      <c r="A1335">
        <v>17</v>
      </c>
      <c r="B1335" t="s">
        <v>7354</v>
      </c>
      <c r="C1335" t="s">
        <v>3753</v>
      </c>
      <c r="E1335">
        <v>20760909</v>
      </c>
      <c r="F1335">
        <v>219350523622</v>
      </c>
    </row>
    <row r="1336" spans="1:6" x14ac:dyDescent="0.3">
      <c r="A1336">
        <v>17</v>
      </c>
      <c r="B1336" t="s">
        <v>7343</v>
      </c>
      <c r="C1336" t="s">
        <v>3753</v>
      </c>
      <c r="E1336">
        <v>-20760909</v>
      </c>
      <c r="F1336">
        <v>219329762713</v>
      </c>
    </row>
    <row r="1337" spans="1:6" x14ac:dyDescent="0.3">
      <c r="A1337">
        <v>17</v>
      </c>
      <c r="B1337" t="s">
        <v>7353</v>
      </c>
      <c r="C1337" t="s">
        <v>6329</v>
      </c>
      <c r="E1337">
        <v>2281800</v>
      </c>
      <c r="F1337">
        <v>219350523622</v>
      </c>
    </row>
    <row r="1338" spans="1:6" x14ac:dyDescent="0.3">
      <c r="A1338">
        <v>17</v>
      </c>
      <c r="B1338" t="s">
        <v>7343</v>
      </c>
      <c r="C1338" t="s">
        <v>3753</v>
      </c>
      <c r="E1338">
        <v>20760909</v>
      </c>
      <c r="F1338">
        <v>219348241822</v>
      </c>
    </row>
    <row r="1339" spans="1:6" x14ac:dyDescent="0.3">
      <c r="A1339">
        <v>17</v>
      </c>
      <c r="B1339" t="s">
        <v>7153</v>
      </c>
      <c r="C1339" t="s">
        <v>6075</v>
      </c>
      <c r="E1339">
        <v>113500000</v>
      </c>
      <c r="F1339">
        <v>219327480913</v>
      </c>
    </row>
    <row r="1340" spans="1:6" x14ac:dyDescent="0.3">
      <c r="A1340">
        <v>17</v>
      </c>
      <c r="B1340" t="s">
        <v>7282</v>
      </c>
      <c r="C1340" t="s">
        <v>6328</v>
      </c>
      <c r="E1340">
        <v>155500000</v>
      </c>
      <c r="F1340">
        <v>219213980913</v>
      </c>
    </row>
    <row r="1341" spans="1:6" x14ac:dyDescent="0.3">
      <c r="A1341">
        <v>17</v>
      </c>
      <c r="B1341" t="s">
        <v>7282</v>
      </c>
      <c r="C1341" t="s">
        <v>6328</v>
      </c>
      <c r="E1341">
        <v>159000000</v>
      </c>
      <c r="F1341">
        <v>219058480913</v>
      </c>
    </row>
    <row r="1342" spans="1:6" x14ac:dyDescent="0.3">
      <c r="A1342">
        <v>17</v>
      </c>
      <c r="B1342" t="s">
        <v>7154</v>
      </c>
      <c r="C1342" t="s">
        <v>6327</v>
      </c>
      <c r="E1342">
        <v>51818181</v>
      </c>
      <c r="F1342">
        <v>218899480913</v>
      </c>
    </row>
    <row r="1343" spans="1:6" x14ac:dyDescent="0.3">
      <c r="A1343">
        <v>17</v>
      </c>
      <c r="B1343" t="s">
        <v>7154</v>
      </c>
      <c r="C1343" t="s">
        <v>6326</v>
      </c>
      <c r="E1343">
        <v>50000000</v>
      </c>
      <c r="F1343">
        <v>218847662732</v>
      </c>
    </row>
    <row r="1344" spans="1:6" x14ac:dyDescent="0.3">
      <c r="A1344">
        <v>17</v>
      </c>
      <c r="B1344" t="s">
        <v>7176</v>
      </c>
      <c r="C1344" t="s">
        <v>6325</v>
      </c>
      <c r="E1344">
        <v>41600000</v>
      </c>
      <c r="F1344">
        <v>218797662732</v>
      </c>
    </row>
    <row r="1345" spans="1:6" x14ac:dyDescent="0.3">
      <c r="A1345">
        <v>17</v>
      </c>
      <c r="B1345" t="s">
        <v>7176</v>
      </c>
      <c r="C1345" t="s">
        <v>6324</v>
      </c>
      <c r="E1345">
        <v>44350000</v>
      </c>
      <c r="F1345">
        <v>218756062732</v>
      </c>
    </row>
    <row r="1346" spans="1:6" x14ac:dyDescent="0.3">
      <c r="A1346">
        <v>17</v>
      </c>
      <c r="B1346" t="s">
        <v>7282</v>
      </c>
      <c r="C1346" t="s">
        <v>6323</v>
      </c>
      <c r="E1346">
        <v>155500000</v>
      </c>
      <c r="F1346">
        <v>218711712732</v>
      </c>
    </row>
    <row r="1347" spans="1:6" x14ac:dyDescent="0.3">
      <c r="A1347">
        <v>17</v>
      </c>
      <c r="B1347" t="s">
        <v>7154</v>
      </c>
      <c r="C1347" t="s">
        <v>4587</v>
      </c>
      <c r="E1347">
        <v>52000000</v>
      </c>
      <c r="F1347">
        <v>218556212732</v>
      </c>
    </row>
    <row r="1348" spans="1:6" x14ac:dyDescent="0.3">
      <c r="A1348">
        <v>17</v>
      </c>
      <c r="B1348" t="s">
        <v>6321</v>
      </c>
      <c r="C1348" t="s">
        <v>6322</v>
      </c>
      <c r="E1348">
        <v>37150000</v>
      </c>
      <c r="F1348">
        <v>218504212732</v>
      </c>
    </row>
    <row r="1349" spans="1:6" x14ac:dyDescent="0.3">
      <c r="A1349">
        <v>17</v>
      </c>
      <c r="B1349" t="s">
        <v>7156</v>
      </c>
      <c r="C1349" t="s">
        <v>3438</v>
      </c>
      <c r="E1349">
        <v>16116000</v>
      </c>
      <c r="F1349">
        <v>218467062732</v>
      </c>
    </row>
    <row r="1350" spans="1:6" x14ac:dyDescent="0.3">
      <c r="A1350">
        <v>17</v>
      </c>
      <c r="B1350" t="s">
        <v>7203</v>
      </c>
      <c r="C1350" t="s">
        <v>6320</v>
      </c>
      <c r="E1350">
        <v>18503000</v>
      </c>
      <c r="F1350">
        <v>218450946732</v>
      </c>
    </row>
    <row r="1351" spans="1:6" x14ac:dyDescent="0.3">
      <c r="A1351">
        <v>17</v>
      </c>
      <c r="B1351" t="s">
        <v>7154</v>
      </c>
      <c r="C1351" t="s">
        <v>6319</v>
      </c>
      <c r="E1351">
        <v>51363636</v>
      </c>
      <c r="F1351">
        <v>218432443732</v>
      </c>
    </row>
    <row r="1352" spans="1:6" x14ac:dyDescent="0.3">
      <c r="A1352">
        <v>17</v>
      </c>
      <c r="B1352" t="s">
        <v>7186</v>
      </c>
      <c r="C1352" t="s">
        <v>6318</v>
      </c>
      <c r="E1352">
        <v>54000000</v>
      </c>
      <c r="F1352">
        <v>218381080096</v>
      </c>
    </row>
    <row r="1353" spans="1:6" x14ac:dyDescent="0.3">
      <c r="A1353">
        <v>17</v>
      </c>
      <c r="B1353" t="s">
        <v>7176</v>
      </c>
      <c r="C1353" t="s">
        <v>6317</v>
      </c>
      <c r="E1353">
        <v>43636364</v>
      </c>
      <c r="F1353">
        <v>218327080096</v>
      </c>
    </row>
    <row r="1354" spans="1:6" x14ac:dyDescent="0.3">
      <c r="A1354">
        <v>17</v>
      </c>
      <c r="B1354" t="s">
        <v>7203</v>
      </c>
      <c r="C1354" t="s">
        <v>6316</v>
      </c>
      <c r="E1354">
        <v>38000000</v>
      </c>
      <c r="F1354">
        <v>218283443732</v>
      </c>
    </row>
    <row r="1355" spans="1:6" x14ac:dyDescent="0.3">
      <c r="A1355">
        <v>17</v>
      </c>
      <c r="B1355" t="s">
        <v>7203</v>
      </c>
      <c r="C1355" t="s">
        <v>6315</v>
      </c>
      <c r="E1355">
        <v>38000000</v>
      </c>
      <c r="F1355">
        <v>218245443732</v>
      </c>
    </row>
    <row r="1356" spans="1:6" x14ac:dyDescent="0.3">
      <c r="A1356">
        <v>17</v>
      </c>
      <c r="B1356" t="s">
        <v>7176</v>
      </c>
      <c r="C1356" t="s">
        <v>6314</v>
      </c>
      <c r="E1356">
        <v>43636364</v>
      </c>
      <c r="F1356">
        <v>218207443732</v>
      </c>
    </row>
    <row r="1357" spans="1:6" x14ac:dyDescent="0.3">
      <c r="A1357">
        <v>17</v>
      </c>
      <c r="B1357" t="s">
        <v>7273</v>
      </c>
      <c r="C1357" t="s">
        <v>4064</v>
      </c>
      <c r="E1357">
        <v>113334314</v>
      </c>
      <c r="F1357">
        <v>218163807368</v>
      </c>
    </row>
    <row r="1358" spans="1:6" x14ac:dyDescent="0.3">
      <c r="A1358">
        <v>17</v>
      </c>
      <c r="B1358" t="s">
        <v>7170</v>
      </c>
      <c r="C1358" t="s">
        <v>4064</v>
      </c>
      <c r="E1358">
        <v>119843868</v>
      </c>
    </row>
    <row r="1359" spans="1:6" x14ac:dyDescent="0.3">
      <c r="A1359">
        <v>17</v>
      </c>
      <c r="B1359" t="s">
        <v>7252</v>
      </c>
      <c r="C1359" t="s">
        <v>6312</v>
      </c>
      <c r="E1359">
        <v>-61000000</v>
      </c>
      <c r="F1359">
        <v>217930629186</v>
      </c>
    </row>
    <row r="1360" spans="1:6" x14ac:dyDescent="0.3">
      <c r="A1360">
        <v>17</v>
      </c>
      <c r="B1360" t="s">
        <v>7203</v>
      </c>
      <c r="C1360" t="s">
        <v>6313</v>
      </c>
      <c r="E1360">
        <v>37727273</v>
      </c>
      <c r="F1360">
        <v>217991629186</v>
      </c>
    </row>
    <row r="1361" spans="1:6" x14ac:dyDescent="0.3">
      <c r="A1361">
        <v>17</v>
      </c>
      <c r="B1361" t="s">
        <v>7252</v>
      </c>
      <c r="C1361" t="s">
        <v>6312</v>
      </c>
      <c r="E1361">
        <v>61000000</v>
      </c>
      <c r="F1361">
        <v>217953901913</v>
      </c>
    </row>
    <row r="1362" spans="1:6" x14ac:dyDescent="0.3">
      <c r="A1362">
        <v>17</v>
      </c>
      <c r="B1362" t="s">
        <v>7154</v>
      </c>
      <c r="C1362" t="s">
        <v>6311</v>
      </c>
      <c r="E1362">
        <v>51800000</v>
      </c>
      <c r="F1362">
        <v>217892901913</v>
      </c>
    </row>
    <row r="1363" spans="1:6" x14ac:dyDescent="0.3">
      <c r="A1363">
        <v>17</v>
      </c>
      <c r="B1363" t="s">
        <v>7176</v>
      </c>
      <c r="C1363" t="s">
        <v>6310</v>
      </c>
      <c r="E1363">
        <v>38000000</v>
      </c>
      <c r="F1363">
        <v>217841101913</v>
      </c>
    </row>
    <row r="1364" spans="1:6" x14ac:dyDescent="0.3">
      <c r="A1364">
        <v>17</v>
      </c>
      <c r="B1364" t="s">
        <v>7154</v>
      </c>
      <c r="C1364" t="s">
        <v>6309</v>
      </c>
      <c r="E1364">
        <v>50909090</v>
      </c>
      <c r="F1364">
        <v>217803101913</v>
      </c>
    </row>
    <row r="1365" spans="1:6" x14ac:dyDescent="0.3">
      <c r="A1365">
        <v>17</v>
      </c>
      <c r="B1365" t="s">
        <v>7156</v>
      </c>
      <c r="C1365" t="s">
        <v>6308</v>
      </c>
      <c r="E1365">
        <v>14090909</v>
      </c>
      <c r="F1365">
        <v>217752192823</v>
      </c>
    </row>
    <row r="1366" spans="1:6" x14ac:dyDescent="0.3">
      <c r="A1366">
        <v>17</v>
      </c>
      <c r="B1366" t="s">
        <v>7282</v>
      </c>
      <c r="C1366" t="s">
        <v>6307</v>
      </c>
      <c r="E1366">
        <v>156500000</v>
      </c>
      <c r="F1366">
        <v>217738101914</v>
      </c>
    </row>
    <row r="1367" spans="1:6" x14ac:dyDescent="0.3">
      <c r="A1367">
        <v>17</v>
      </c>
      <c r="B1367" t="s">
        <v>7176</v>
      </c>
      <c r="C1367" t="s">
        <v>6306</v>
      </c>
      <c r="E1367">
        <v>43500000</v>
      </c>
      <c r="F1367">
        <v>217581601914</v>
      </c>
    </row>
    <row r="1368" spans="1:6" x14ac:dyDescent="0.3">
      <c r="A1368">
        <v>17</v>
      </c>
      <c r="B1368" t="s">
        <v>7176</v>
      </c>
      <c r="C1368" t="s">
        <v>6305</v>
      </c>
      <c r="E1368">
        <v>42800000</v>
      </c>
      <c r="F1368">
        <v>217538101914</v>
      </c>
    </row>
    <row r="1369" spans="1:6" x14ac:dyDescent="0.3">
      <c r="A1369">
        <v>17</v>
      </c>
      <c r="B1369" t="s">
        <v>7331</v>
      </c>
      <c r="C1369" t="s">
        <v>5626</v>
      </c>
      <c r="E1369">
        <v>45454545</v>
      </c>
      <c r="F1369">
        <v>217495301914</v>
      </c>
    </row>
    <row r="1370" spans="1:6" x14ac:dyDescent="0.3">
      <c r="A1370">
        <v>17</v>
      </c>
      <c r="B1370" t="s">
        <v>7156</v>
      </c>
      <c r="C1370" t="s">
        <v>6304</v>
      </c>
      <c r="E1370">
        <v>13600000</v>
      </c>
      <c r="F1370">
        <v>217449847369</v>
      </c>
    </row>
    <row r="1371" spans="1:6" x14ac:dyDescent="0.3">
      <c r="A1371">
        <v>17</v>
      </c>
      <c r="B1371" t="s">
        <v>7282</v>
      </c>
      <c r="C1371" t="s">
        <v>5162</v>
      </c>
      <c r="E1371">
        <v>150000000</v>
      </c>
      <c r="F1371">
        <v>217436247369</v>
      </c>
    </row>
    <row r="1372" spans="1:6" x14ac:dyDescent="0.3">
      <c r="A1372">
        <v>17</v>
      </c>
      <c r="B1372" t="s">
        <v>7176</v>
      </c>
      <c r="C1372" t="s">
        <v>6303</v>
      </c>
      <c r="E1372">
        <v>41500000</v>
      </c>
      <c r="F1372">
        <v>217286247369</v>
      </c>
    </row>
    <row r="1373" spans="1:6" x14ac:dyDescent="0.3">
      <c r="A1373">
        <v>17</v>
      </c>
      <c r="B1373" t="s">
        <v>7273</v>
      </c>
      <c r="C1373" t="s">
        <v>4843</v>
      </c>
      <c r="E1373">
        <v>162000000</v>
      </c>
      <c r="F1373">
        <v>217244747369</v>
      </c>
    </row>
    <row r="1374" spans="1:6" x14ac:dyDescent="0.3">
      <c r="A1374">
        <v>17</v>
      </c>
      <c r="B1374" t="s">
        <v>7176</v>
      </c>
      <c r="C1374" t="s">
        <v>5469</v>
      </c>
      <c r="E1374">
        <v>41000000</v>
      </c>
      <c r="F1374">
        <v>217082747369</v>
      </c>
    </row>
    <row r="1375" spans="1:6" x14ac:dyDescent="0.3">
      <c r="A1375">
        <v>17</v>
      </c>
      <c r="B1375" t="s">
        <v>7251</v>
      </c>
      <c r="C1375" t="s">
        <v>6302</v>
      </c>
      <c r="E1375">
        <v>36500000</v>
      </c>
      <c r="F1375">
        <v>217041747369</v>
      </c>
    </row>
    <row r="1376" spans="1:6" x14ac:dyDescent="0.3">
      <c r="A1376">
        <v>17</v>
      </c>
      <c r="B1376" t="s">
        <v>7176</v>
      </c>
      <c r="C1376" t="s">
        <v>6301</v>
      </c>
      <c r="E1376">
        <v>41000000</v>
      </c>
      <c r="F1376">
        <v>217005247369</v>
      </c>
    </row>
    <row r="1377" spans="1:6" x14ac:dyDescent="0.3">
      <c r="A1377">
        <v>17</v>
      </c>
      <c r="B1377" t="s">
        <v>7203</v>
      </c>
      <c r="C1377" t="s">
        <v>3607</v>
      </c>
      <c r="E1377">
        <v>18373000</v>
      </c>
      <c r="F1377">
        <v>216964247369</v>
      </c>
    </row>
    <row r="1378" spans="1:6" x14ac:dyDescent="0.3">
      <c r="A1378">
        <v>17</v>
      </c>
      <c r="B1378" t="s">
        <v>7273</v>
      </c>
      <c r="C1378" t="s">
        <v>6300</v>
      </c>
      <c r="E1378">
        <v>166500000</v>
      </c>
      <c r="F1378">
        <v>216945874369</v>
      </c>
    </row>
    <row r="1379" spans="1:6" x14ac:dyDescent="0.3">
      <c r="A1379">
        <v>17</v>
      </c>
      <c r="B1379" t="s">
        <v>7343</v>
      </c>
      <c r="C1379" t="s">
        <v>6299</v>
      </c>
      <c r="E1379">
        <v>32000000</v>
      </c>
      <c r="F1379">
        <v>216779374369</v>
      </c>
    </row>
    <row r="1380" spans="1:6" x14ac:dyDescent="0.3">
      <c r="A1380">
        <v>17</v>
      </c>
      <c r="B1380" t="s">
        <v>7156</v>
      </c>
      <c r="C1380" t="s">
        <v>6298</v>
      </c>
      <c r="E1380">
        <v>14200000</v>
      </c>
      <c r="F1380">
        <v>216747374369</v>
      </c>
    </row>
    <row r="1381" spans="1:6" x14ac:dyDescent="0.3">
      <c r="A1381">
        <v>17</v>
      </c>
      <c r="B1381" t="s">
        <v>7156</v>
      </c>
      <c r="C1381" t="s">
        <v>6297</v>
      </c>
      <c r="E1381">
        <v>13166364</v>
      </c>
      <c r="F1381">
        <v>216733174369</v>
      </c>
    </row>
    <row r="1382" spans="1:6" x14ac:dyDescent="0.3">
      <c r="A1382">
        <v>17</v>
      </c>
      <c r="B1382" t="s">
        <v>3937</v>
      </c>
      <c r="C1382" t="s">
        <v>6235</v>
      </c>
      <c r="E1382">
        <v>160500000</v>
      </c>
      <c r="F1382">
        <v>216720008005</v>
      </c>
    </row>
    <row r="1383" spans="1:6" x14ac:dyDescent="0.3">
      <c r="A1383">
        <v>17</v>
      </c>
      <c r="B1383" t="s">
        <v>3937</v>
      </c>
      <c r="C1383" t="s">
        <v>6296</v>
      </c>
      <c r="E1383">
        <v>54000000</v>
      </c>
      <c r="F1383">
        <v>216559508005</v>
      </c>
    </row>
    <row r="1384" spans="1:6" x14ac:dyDescent="0.3">
      <c r="A1384">
        <v>17</v>
      </c>
      <c r="B1384" t="s">
        <v>3937</v>
      </c>
      <c r="C1384" t="s">
        <v>6295</v>
      </c>
      <c r="E1384">
        <v>49545455</v>
      </c>
      <c r="F1384">
        <v>216505508005</v>
      </c>
    </row>
    <row r="1385" spans="1:6" x14ac:dyDescent="0.3">
      <c r="A1385">
        <v>17</v>
      </c>
      <c r="B1385" t="s">
        <v>3937</v>
      </c>
      <c r="C1385" t="s">
        <v>6294</v>
      </c>
      <c r="E1385">
        <v>50150000</v>
      </c>
      <c r="F1385">
        <v>216455962550</v>
      </c>
    </row>
    <row r="1386" spans="1:6" x14ac:dyDescent="0.3">
      <c r="A1386">
        <v>17</v>
      </c>
      <c r="B1386" t="s">
        <v>3937</v>
      </c>
      <c r="C1386" t="s">
        <v>6293</v>
      </c>
      <c r="E1386">
        <v>33000000</v>
      </c>
      <c r="F1386">
        <v>216405812550</v>
      </c>
    </row>
    <row r="1387" spans="1:6" x14ac:dyDescent="0.3">
      <c r="A1387">
        <v>17</v>
      </c>
      <c r="B1387" t="s">
        <v>3937</v>
      </c>
      <c r="C1387" t="s">
        <v>4163</v>
      </c>
      <c r="E1387">
        <v>32150000</v>
      </c>
      <c r="F1387">
        <v>216372812550</v>
      </c>
    </row>
    <row r="1388" spans="1:6" x14ac:dyDescent="0.3">
      <c r="A1388">
        <v>17</v>
      </c>
      <c r="B1388" t="s">
        <v>3937</v>
      </c>
      <c r="C1388" t="s">
        <v>5661</v>
      </c>
      <c r="E1388">
        <v>32250000</v>
      </c>
      <c r="F1388">
        <v>216340662550</v>
      </c>
    </row>
    <row r="1389" spans="1:6" x14ac:dyDescent="0.3">
      <c r="A1389">
        <v>17</v>
      </c>
      <c r="B1389" t="s">
        <v>3937</v>
      </c>
      <c r="C1389" t="s">
        <v>6242</v>
      </c>
      <c r="E1389">
        <v>18500000</v>
      </c>
      <c r="F1389">
        <v>216308412550</v>
      </c>
    </row>
    <row r="1390" spans="1:6" x14ac:dyDescent="0.3">
      <c r="A1390">
        <v>17</v>
      </c>
      <c r="B1390" t="s">
        <v>3937</v>
      </c>
      <c r="C1390" t="s">
        <v>6242</v>
      </c>
      <c r="E1390">
        <v>18500000</v>
      </c>
      <c r="F1390">
        <v>216289912550</v>
      </c>
    </row>
    <row r="1391" spans="1:6" x14ac:dyDescent="0.3">
      <c r="A1391">
        <v>17</v>
      </c>
      <c r="B1391" t="s">
        <v>3937</v>
      </c>
      <c r="C1391" t="s">
        <v>6292</v>
      </c>
      <c r="E1391">
        <v>18373000</v>
      </c>
      <c r="F1391">
        <v>216271412550</v>
      </c>
    </row>
    <row r="1392" spans="1:6" x14ac:dyDescent="0.3">
      <c r="A1392">
        <v>17</v>
      </c>
      <c r="B1392" t="s">
        <v>7170</v>
      </c>
      <c r="C1392" t="s">
        <v>6291</v>
      </c>
      <c r="E1392">
        <v>113287950</v>
      </c>
      <c r="F1392">
        <v>216253039550</v>
      </c>
    </row>
    <row r="1393" spans="1:6" x14ac:dyDescent="0.3">
      <c r="A1393">
        <v>17</v>
      </c>
      <c r="B1393" t="s">
        <v>7261</v>
      </c>
      <c r="C1393" t="s">
        <v>6197</v>
      </c>
      <c r="E1393">
        <v>147300000</v>
      </c>
      <c r="F1393">
        <v>216139751600</v>
      </c>
    </row>
    <row r="1394" spans="1:6" x14ac:dyDescent="0.3">
      <c r="A1394">
        <v>17</v>
      </c>
      <c r="B1394" t="s">
        <v>7176</v>
      </c>
      <c r="C1394" t="s">
        <v>6290</v>
      </c>
      <c r="E1394">
        <v>39900000</v>
      </c>
      <c r="F1394">
        <v>215992451600</v>
      </c>
    </row>
    <row r="1395" spans="1:6" x14ac:dyDescent="0.3">
      <c r="A1395">
        <v>17</v>
      </c>
      <c r="B1395" t="s">
        <v>7261</v>
      </c>
      <c r="C1395" t="s">
        <v>6237</v>
      </c>
      <c r="E1395">
        <v>148600000</v>
      </c>
      <c r="F1395">
        <v>215952551600</v>
      </c>
    </row>
    <row r="1396" spans="1:6" x14ac:dyDescent="0.3">
      <c r="A1396">
        <v>17</v>
      </c>
      <c r="B1396" t="s">
        <v>7352</v>
      </c>
      <c r="C1396" t="s">
        <v>6289</v>
      </c>
      <c r="E1396">
        <v>124579177</v>
      </c>
      <c r="F1396">
        <v>215803951600</v>
      </c>
    </row>
    <row r="1397" spans="1:6" x14ac:dyDescent="0.3">
      <c r="A1397">
        <v>17</v>
      </c>
      <c r="B1397" t="s">
        <v>7203</v>
      </c>
      <c r="C1397" t="s">
        <v>4342</v>
      </c>
      <c r="E1397">
        <v>38000000</v>
      </c>
      <c r="F1397">
        <v>215679372423</v>
      </c>
    </row>
    <row r="1398" spans="1:6" x14ac:dyDescent="0.3">
      <c r="A1398">
        <v>17</v>
      </c>
      <c r="B1398" t="s">
        <v>7203</v>
      </c>
      <c r="C1398" t="s">
        <v>6288</v>
      </c>
      <c r="E1398">
        <v>38000000</v>
      </c>
      <c r="F1398">
        <v>215641372423</v>
      </c>
    </row>
    <row r="1399" spans="1:6" x14ac:dyDescent="0.3">
      <c r="A1399">
        <v>17</v>
      </c>
      <c r="B1399" t="s">
        <v>7154</v>
      </c>
      <c r="C1399" t="s">
        <v>6287</v>
      </c>
      <c r="E1399">
        <v>51363636</v>
      </c>
      <c r="F1399">
        <v>215603372423</v>
      </c>
    </row>
    <row r="1400" spans="1:6" x14ac:dyDescent="0.3">
      <c r="A1400">
        <v>17</v>
      </c>
      <c r="B1400" t="s">
        <v>7154</v>
      </c>
      <c r="C1400" t="s">
        <v>6287</v>
      </c>
      <c r="E1400">
        <v>-51363636</v>
      </c>
      <c r="F1400">
        <v>215552008787</v>
      </c>
    </row>
    <row r="1401" spans="1:6" x14ac:dyDescent="0.3">
      <c r="A1401">
        <v>17</v>
      </c>
      <c r="B1401" t="s">
        <v>7154</v>
      </c>
      <c r="C1401" t="s">
        <v>6287</v>
      </c>
      <c r="E1401">
        <v>51363636</v>
      </c>
      <c r="F1401">
        <v>215603372423</v>
      </c>
    </row>
    <row r="1402" spans="1:6" x14ac:dyDescent="0.3">
      <c r="A1402">
        <v>17</v>
      </c>
      <c r="B1402" t="s">
        <v>7351</v>
      </c>
      <c r="C1402" t="s">
        <v>6286</v>
      </c>
      <c r="E1402">
        <v>14909091</v>
      </c>
      <c r="F1402">
        <v>215552008787</v>
      </c>
    </row>
    <row r="1403" spans="1:6" x14ac:dyDescent="0.3">
      <c r="A1403">
        <v>17</v>
      </c>
      <c r="B1403" t="s">
        <v>7156</v>
      </c>
      <c r="C1403" t="s">
        <v>5078</v>
      </c>
      <c r="E1403">
        <v>16500000</v>
      </c>
      <c r="F1403">
        <v>215537099696</v>
      </c>
    </row>
    <row r="1404" spans="1:6" x14ac:dyDescent="0.3">
      <c r="A1404">
        <v>17</v>
      </c>
      <c r="B1404" t="s">
        <v>7350</v>
      </c>
      <c r="C1404" t="s">
        <v>6285</v>
      </c>
      <c r="E1404">
        <v>610400</v>
      </c>
      <c r="F1404">
        <v>215520599696</v>
      </c>
    </row>
    <row r="1405" spans="1:6" x14ac:dyDescent="0.3">
      <c r="A1405">
        <v>17</v>
      </c>
      <c r="B1405" t="s">
        <v>7154</v>
      </c>
      <c r="C1405" t="s">
        <v>6284</v>
      </c>
      <c r="E1405">
        <v>51500000</v>
      </c>
      <c r="F1405">
        <v>215519989296</v>
      </c>
    </row>
    <row r="1406" spans="1:6" x14ac:dyDescent="0.3">
      <c r="A1406">
        <v>17</v>
      </c>
      <c r="B1406" t="s">
        <v>7176</v>
      </c>
      <c r="C1406" t="s">
        <v>6283</v>
      </c>
      <c r="E1406">
        <v>43500000</v>
      </c>
      <c r="F1406">
        <v>215468489296</v>
      </c>
    </row>
    <row r="1407" spans="1:6" x14ac:dyDescent="0.3">
      <c r="A1407">
        <v>17</v>
      </c>
      <c r="B1407" t="s">
        <v>7176</v>
      </c>
      <c r="C1407" t="s">
        <v>6282</v>
      </c>
      <c r="E1407">
        <v>39545455</v>
      </c>
      <c r="F1407">
        <v>215424989296</v>
      </c>
    </row>
    <row r="1408" spans="1:6" x14ac:dyDescent="0.3">
      <c r="A1408">
        <v>17</v>
      </c>
      <c r="B1408" t="s">
        <v>7176</v>
      </c>
      <c r="C1408" t="s">
        <v>6281</v>
      </c>
      <c r="E1408">
        <v>40500000</v>
      </c>
      <c r="F1408">
        <v>215385443841</v>
      </c>
    </row>
    <row r="1409" spans="1:6" x14ac:dyDescent="0.3">
      <c r="A1409">
        <v>17</v>
      </c>
      <c r="B1409" t="s">
        <v>7298</v>
      </c>
      <c r="C1409" t="s">
        <v>6280</v>
      </c>
      <c r="E1409">
        <v>148200000</v>
      </c>
      <c r="F1409">
        <v>215344943841</v>
      </c>
    </row>
    <row r="1410" spans="1:6" x14ac:dyDescent="0.3">
      <c r="A1410">
        <v>17</v>
      </c>
      <c r="B1410" t="s">
        <v>7203</v>
      </c>
      <c r="C1410" t="s">
        <v>3919</v>
      </c>
      <c r="E1410">
        <v>37272727</v>
      </c>
      <c r="F1410">
        <v>215196743841</v>
      </c>
    </row>
    <row r="1411" spans="1:6" x14ac:dyDescent="0.3">
      <c r="A1411">
        <v>17</v>
      </c>
      <c r="B1411" t="s">
        <v>7176</v>
      </c>
      <c r="C1411" t="s">
        <v>3541</v>
      </c>
      <c r="E1411">
        <v>38181818</v>
      </c>
      <c r="F1411">
        <v>215159471114</v>
      </c>
    </row>
    <row r="1412" spans="1:6" x14ac:dyDescent="0.3">
      <c r="A1412">
        <v>17</v>
      </c>
      <c r="B1412" t="s">
        <v>7203</v>
      </c>
      <c r="C1412" t="s">
        <v>6279</v>
      </c>
      <c r="E1412">
        <v>38000000</v>
      </c>
      <c r="F1412">
        <v>215121289296</v>
      </c>
    </row>
    <row r="1413" spans="1:6" x14ac:dyDescent="0.3">
      <c r="A1413">
        <v>17</v>
      </c>
      <c r="B1413" t="s">
        <v>7343</v>
      </c>
      <c r="C1413" t="s">
        <v>6278</v>
      </c>
      <c r="E1413">
        <v>32000000</v>
      </c>
      <c r="F1413">
        <v>215083289296</v>
      </c>
    </row>
    <row r="1414" spans="1:6" x14ac:dyDescent="0.3">
      <c r="A1414">
        <v>17</v>
      </c>
      <c r="B1414" t="s">
        <v>7156</v>
      </c>
      <c r="C1414" t="s">
        <v>5227</v>
      </c>
      <c r="E1414">
        <v>14500000</v>
      </c>
      <c r="F1414">
        <v>215051289296</v>
      </c>
    </row>
    <row r="1415" spans="1:6" x14ac:dyDescent="0.3">
      <c r="A1415">
        <v>17</v>
      </c>
      <c r="B1415" t="s">
        <v>7170</v>
      </c>
      <c r="C1415" t="s">
        <v>6277</v>
      </c>
      <c r="E1415">
        <v>156500000</v>
      </c>
      <c r="F1415">
        <v>215036789296</v>
      </c>
    </row>
    <row r="1416" spans="1:6" x14ac:dyDescent="0.3">
      <c r="A1416">
        <v>17</v>
      </c>
      <c r="B1416" t="s">
        <v>7203</v>
      </c>
      <c r="C1416" t="s">
        <v>3712</v>
      </c>
      <c r="E1416">
        <v>39000000</v>
      </c>
      <c r="F1416">
        <v>214880289296</v>
      </c>
    </row>
    <row r="1417" spans="1:6" x14ac:dyDescent="0.3">
      <c r="A1417">
        <v>17</v>
      </c>
      <c r="B1417" t="s">
        <v>7176</v>
      </c>
      <c r="C1417" t="s">
        <v>6276</v>
      </c>
      <c r="E1417">
        <v>40800000</v>
      </c>
      <c r="F1417">
        <v>214841289296</v>
      </c>
    </row>
    <row r="1418" spans="1:6" x14ac:dyDescent="0.3">
      <c r="A1418">
        <v>17</v>
      </c>
      <c r="B1418" t="s">
        <v>7203</v>
      </c>
      <c r="C1418" t="s">
        <v>6275</v>
      </c>
      <c r="E1418">
        <v>37050000</v>
      </c>
      <c r="F1418">
        <v>214800489296</v>
      </c>
    </row>
    <row r="1419" spans="1:6" x14ac:dyDescent="0.3">
      <c r="A1419">
        <v>17</v>
      </c>
      <c r="B1419" t="s">
        <v>3937</v>
      </c>
      <c r="C1419" t="s">
        <v>6141</v>
      </c>
      <c r="E1419">
        <v>163000000</v>
      </c>
      <c r="F1419">
        <v>214763439296</v>
      </c>
    </row>
    <row r="1420" spans="1:6" x14ac:dyDescent="0.3">
      <c r="A1420">
        <v>17</v>
      </c>
      <c r="B1420" t="s">
        <v>7349</v>
      </c>
      <c r="C1420" t="s">
        <v>4254</v>
      </c>
      <c r="E1420">
        <v>131973200</v>
      </c>
      <c r="F1420">
        <v>214600439296</v>
      </c>
    </row>
    <row r="1421" spans="1:6" x14ac:dyDescent="0.3">
      <c r="A1421">
        <v>17</v>
      </c>
      <c r="B1421" t="s">
        <v>7348</v>
      </c>
      <c r="C1421" t="s">
        <v>4256</v>
      </c>
      <c r="E1421">
        <v>1774812</v>
      </c>
      <c r="F1421">
        <v>214468466096</v>
      </c>
    </row>
    <row r="1422" spans="1:6" x14ac:dyDescent="0.3">
      <c r="A1422">
        <v>17</v>
      </c>
      <c r="B1422" t="s">
        <v>7170</v>
      </c>
      <c r="C1422" t="s">
        <v>6274</v>
      </c>
      <c r="E1422">
        <v>175000000</v>
      </c>
      <c r="F1422">
        <v>214466691284</v>
      </c>
    </row>
    <row r="1423" spans="1:6" x14ac:dyDescent="0.3">
      <c r="A1423">
        <v>17</v>
      </c>
      <c r="B1423" t="s">
        <v>7186</v>
      </c>
      <c r="C1423" t="s">
        <v>6273</v>
      </c>
      <c r="E1423">
        <v>54000000</v>
      </c>
      <c r="F1423">
        <v>214291691284</v>
      </c>
    </row>
    <row r="1424" spans="1:6" x14ac:dyDescent="0.3">
      <c r="A1424">
        <v>17</v>
      </c>
      <c r="B1424" t="s">
        <v>7203</v>
      </c>
      <c r="C1424" t="s">
        <v>6272</v>
      </c>
      <c r="E1424">
        <v>38636364</v>
      </c>
      <c r="F1424">
        <v>214237691284</v>
      </c>
    </row>
    <row r="1425" spans="1:6" x14ac:dyDescent="0.3">
      <c r="A1425">
        <v>17</v>
      </c>
      <c r="B1425" t="s">
        <v>7176</v>
      </c>
      <c r="C1425" t="s">
        <v>6271</v>
      </c>
      <c r="E1425">
        <v>41500000</v>
      </c>
      <c r="F1425">
        <v>214199054920</v>
      </c>
    </row>
    <row r="1426" spans="1:6" x14ac:dyDescent="0.3">
      <c r="A1426">
        <v>17</v>
      </c>
      <c r="B1426" t="s">
        <v>7331</v>
      </c>
      <c r="C1426" t="s">
        <v>6270</v>
      </c>
      <c r="E1426">
        <v>40909091</v>
      </c>
      <c r="F1426">
        <v>214157554920</v>
      </c>
    </row>
    <row r="1427" spans="1:6" x14ac:dyDescent="0.3">
      <c r="A1427">
        <v>17</v>
      </c>
      <c r="B1427" t="s">
        <v>7176</v>
      </c>
      <c r="C1427" t="s">
        <v>6269</v>
      </c>
      <c r="E1427">
        <v>41300000</v>
      </c>
      <c r="F1427">
        <v>214116645829</v>
      </c>
    </row>
    <row r="1428" spans="1:6" x14ac:dyDescent="0.3">
      <c r="A1428">
        <v>17</v>
      </c>
      <c r="B1428" t="s">
        <v>7154</v>
      </c>
      <c r="C1428" t="s">
        <v>5439</v>
      </c>
      <c r="E1428">
        <v>52500000</v>
      </c>
      <c r="F1428">
        <v>214075345829</v>
      </c>
    </row>
    <row r="1429" spans="1:6" x14ac:dyDescent="0.3">
      <c r="A1429">
        <v>17</v>
      </c>
      <c r="B1429" t="s">
        <v>7347</v>
      </c>
      <c r="C1429" t="s">
        <v>5701</v>
      </c>
      <c r="E1429">
        <v>358948</v>
      </c>
      <c r="F1429">
        <v>214022845829</v>
      </c>
    </row>
    <row r="1430" spans="1:6" x14ac:dyDescent="0.3">
      <c r="A1430">
        <v>17</v>
      </c>
      <c r="B1430" t="s">
        <v>7170</v>
      </c>
      <c r="C1430" t="s">
        <v>6268</v>
      </c>
      <c r="E1430">
        <v>175000000</v>
      </c>
      <c r="F1430">
        <v>214022486881</v>
      </c>
    </row>
    <row r="1431" spans="1:6" x14ac:dyDescent="0.3">
      <c r="A1431">
        <v>17</v>
      </c>
      <c r="B1431" t="s">
        <v>7282</v>
      </c>
      <c r="C1431" t="s">
        <v>6267</v>
      </c>
      <c r="E1431">
        <v>157000000</v>
      </c>
      <c r="F1431">
        <v>213847486881</v>
      </c>
    </row>
    <row r="1432" spans="1:6" x14ac:dyDescent="0.3">
      <c r="A1432">
        <v>17</v>
      </c>
      <c r="B1432" t="s">
        <v>7186</v>
      </c>
      <c r="C1432" t="s">
        <v>6266</v>
      </c>
      <c r="E1432">
        <v>55000000</v>
      </c>
      <c r="F1432">
        <v>213690486881</v>
      </c>
    </row>
    <row r="1433" spans="1:6" x14ac:dyDescent="0.3">
      <c r="A1433">
        <v>17</v>
      </c>
      <c r="B1433" t="s">
        <v>7170</v>
      </c>
      <c r="C1433" t="s">
        <v>6265</v>
      </c>
      <c r="E1433">
        <v>171000000</v>
      </c>
      <c r="F1433">
        <v>213635486881</v>
      </c>
    </row>
    <row r="1434" spans="1:6" x14ac:dyDescent="0.3">
      <c r="A1434">
        <v>17</v>
      </c>
      <c r="B1434" t="s">
        <v>7154</v>
      </c>
      <c r="C1434" t="s">
        <v>6264</v>
      </c>
      <c r="E1434">
        <v>51000000</v>
      </c>
      <c r="F1434">
        <v>213464486881</v>
      </c>
    </row>
    <row r="1435" spans="1:6" x14ac:dyDescent="0.3">
      <c r="A1435">
        <v>17</v>
      </c>
      <c r="B1435" t="s">
        <v>7251</v>
      </c>
      <c r="C1435" t="s">
        <v>6260</v>
      </c>
      <c r="E1435">
        <v>37272727</v>
      </c>
      <c r="F1435">
        <v>213413486881</v>
      </c>
    </row>
    <row r="1436" spans="1:6" x14ac:dyDescent="0.3">
      <c r="A1436">
        <v>17</v>
      </c>
      <c r="B1436" t="s">
        <v>7251</v>
      </c>
      <c r="C1436" t="s">
        <v>6260</v>
      </c>
      <c r="E1436">
        <v>-37272727</v>
      </c>
      <c r="F1436">
        <v>213376214154</v>
      </c>
    </row>
    <row r="1437" spans="1:6" x14ac:dyDescent="0.3">
      <c r="A1437">
        <v>17</v>
      </c>
      <c r="B1437" t="s">
        <v>7251</v>
      </c>
      <c r="C1437" t="s">
        <v>6263</v>
      </c>
      <c r="E1437">
        <v>18373000</v>
      </c>
      <c r="F1437">
        <v>213413486881</v>
      </c>
    </row>
    <row r="1438" spans="1:6" x14ac:dyDescent="0.3">
      <c r="A1438">
        <v>17</v>
      </c>
      <c r="B1438" t="s">
        <v>7203</v>
      </c>
      <c r="C1438" t="s">
        <v>6262</v>
      </c>
      <c r="E1438">
        <v>20610000</v>
      </c>
      <c r="F1438">
        <v>213395113881</v>
      </c>
    </row>
    <row r="1439" spans="1:6" x14ac:dyDescent="0.3">
      <c r="A1439">
        <v>17</v>
      </c>
      <c r="B1439" t="s">
        <v>7154</v>
      </c>
      <c r="C1439" t="s">
        <v>6261</v>
      </c>
      <c r="E1439">
        <v>51818189</v>
      </c>
      <c r="F1439">
        <v>213374503881</v>
      </c>
    </row>
    <row r="1440" spans="1:6" x14ac:dyDescent="0.3">
      <c r="A1440">
        <v>17</v>
      </c>
      <c r="B1440" t="s">
        <v>7251</v>
      </c>
      <c r="C1440" t="s">
        <v>3661</v>
      </c>
      <c r="E1440">
        <v>36363636</v>
      </c>
      <c r="F1440">
        <v>213322685692</v>
      </c>
    </row>
    <row r="1441" spans="1:6" x14ac:dyDescent="0.3">
      <c r="A1441">
        <v>17</v>
      </c>
      <c r="B1441" t="s">
        <v>7203</v>
      </c>
      <c r="C1441" t="s">
        <v>6260</v>
      </c>
      <c r="E1441">
        <v>39090909</v>
      </c>
      <c r="F1441">
        <v>213286322056</v>
      </c>
    </row>
    <row r="1442" spans="1:6" x14ac:dyDescent="0.3">
      <c r="A1442">
        <v>17</v>
      </c>
      <c r="B1442" t="s">
        <v>7251</v>
      </c>
      <c r="C1442" t="s">
        <v>6260</v>
      </c>
      <c r="E1442">
        <v>37272727</v>
      </c>
      <c r="F1442">
        <v>213247231147</v>
      </c>
    </row>
    <row r="1443" spans="1:6" x14ac:dyDescent="0.3">
      <c r="A1443">
        <v>17</v>
      </c>
      <c r="B1443" t="s">
        <v>7251</v>
      </c>
      <c r="C1443" t="s">
        <v>6259</v>
      </c>
      <c r="E1443">
        <v>35454545</v>
      </c>
      <c r="F1443">
        <v>213209958420</v>
      </c>
    </row>
    <row r="1444" spans="1:6" x14ac:dyDescent="0.3">
      <c r="A1444">
        <v>17</v>
      </c>
      <c r="B1444" t="s">
        <v>7251</v>
      </c>
      <c r="C1444" t="s">
        <v>6258</v>
      </c>
      <c r="E1444">
        <v>35454545</v>
      </c>
      <c r="F1444">
        <v>213174503875</v>
      </c>
    </row>
    <row r="1445" spans="1:6" x14ac:dyDescent="0.3">
      <c r="A1445">
        <v>17</v>
      </c>
      <c r="B1445" t="s">
        <v>7154</v>
      </c>
      <c r="C1445" t="s">
        <v>6257</v>
      </c>
      <c r="E1445">
        <v>51818182</v>
      </c>
      <c r="F1445">
        <v>213139049330</v>
      </c>
    </row>
    <row r="1446" spans="1:6" x14ac:dyDescent="0.3">
      <c r="A1446">
        <v>17</v>
      </c>
      <c r="B1446" t="s">
        <v>7203</v>
      </c>
      <c r="C1446" t="s">
        <v>6256</v>
      </c>
      <c r="E1446">
        <v>36800000</v>
      </c>
      <c r="F1446">
        <v>213087231148</v>
      </c>
    </row>
    <row r="1447" spans="1:6" x14ac:dyDescent="0.3">
      <c r="A1447">
        <v>17</v>
      </c>
      <c r="B1447" t="s">
        <v>7154</v>
      </c>
      <c r="C1447" t="s">
        <v>6255</v>
      </c>
      <c r="E1447">
        <v>51500000</v>
      </c>
      <c r="F1447">
        <v>213050431148</v>
      </c>
    </row>
    <row r="1448" spans="1:6" x14ac:dyDescent="0.3">
      <c r="A1448">
        <v>17</v>
      </c>
      <c r="B1448" t="s">
        <v>7154</v>
      </c>
      <c r="C1448" t="s">
        <v>5772</v>
      </c>
      <c r="E1448">
        <v>52000000</v>
      </c>
      <c r="F1448">
        <v>212998931148</v>
      </c>
    </row>
    <row r="1449" spans="1:6" x14ac:dyDescent="0.3">
      <c r="A1449">
        <v>17</v>
      </c>
      <c r="B1449" t="s">
        <v>7203</v>
      </c>
      <c r="C1449" t="s">
        <v>6254</v>
      </c>
      <c r="E1449">
        <v>38181818</v>
      </c>
      <c r="F1449">
        <v>212946931148</v>
      </c>
    </row>
    <row r="1450" spans="1:6" x14ac:dyDescent="0.3">
      <c r="A1450">
        <v>17</v>
      </c>
      <c r="B1450" t="s">
        <v>7273</v>
      </c>
      <c r="C1450" t="s">
        <v>4971</v>
      </c>
      <c r="E1450">
        <v>175000000</v>
      </c>
      <c r="F1450">
        <v>212908749330</v>
      </c>
    </row>
    <row r="1451" spans="1:6" x14ac:dyDescent="0.3">
      <c r="A1451">
        <v>17</v>
      </c>
      <c r="B1451" t="s">
        <v>7176</v>
      </c>
      <c r="C1451" t="s">
        <v>5207</v>
      </c>
      <c r="E1451">
        <v>39700000</v>
      </c>
      <c r="F1451">
        <v>212733749330</v>
      </c>
    </row>
    <row r="1452" spans="1:6" x14ac:dyDescent="0.3">
      <c r="A1452">
        <v>17</v>
      </c>
      <c r="B1452" t="s">
        <v>7176</v>
      </c>
      <c r="C1452" t="s">
        <v>5720</v>
      </c>
      <c r="E1452">
        <v>38636363</v>
      </c>
      <c r="F1452">
        <v>212694049330</v>
      </c>
    </row>
    <row r="1453" spans="1:6" x14ac:dyDescent="0.3">
      <c r="A1453">
        <v>17</v>
      </c>
      <c r="B1453" t="s">
        <v>7251</v>
      </c>
      <c r="C1453" t="s">
        <v>6253</v>
      </c>
      <c r="E1453">
        <v>36500000</v>
      </c>
      <c r="F1453">
        <v>212655412967</v>
      </c>
    </row>
    <row r="1454" spans="1:6" x14ac:dyDescent="0.3">
      <c r="A1454">
        <v>17</v>
      </c>
      <c r="B1454" t="s">
        <v>7251</v>
      </c>
      <c r="C1454" t="s">
        <v>6252</v>
      </c>
      <c r="E1454">
        <v>35454545</v>
      </c>
      <c r="F1454">
        <v>212618912967</v>
      </c>
    </row>
    <row r="1455" spans="1:6" x14ac:dyDescent="0.3">
      <c r="A1455">
        <v>17</v>
      </c>
      <c r="B1455" t="s">
        <v>7203</v>
      </c>
      <c r="C1455" t="s">
        <v>6251</v>
      </c>
      <c r="E1455">
        <v>37272727</v>
      </c>
      <c r="F1455">
        <v>212583458422</v>
      </c>
    </row>
    <row r="1456" spans="1:6" x14ac:dyDescent="0.3">
      <c r="A1456">
        <v>17</v>
      </c>
      <c r="B1456" t="s">
        <v>7203</v>
      </c>
      <c r="C1456" t="s">
        <v>4215</v>
      </c>
      <c r="E1456">
        <v>36500000</v>
      </c>
      <c r="F1456">
        <v>212546185695</v>
      </c>
    </row>
    <row r="1457" spans="1:6" x14ac:dyDescent="0.3">
      <c r="A1457">
        <v>17</v>
      </c>
      <c r="B1457" t="s">
        <v>7176</v>
      </c>
      <c r="C1457" t="s">
        <v>6250</v>
      </c>
      <c r="E1457">
        <v>42000000</v>
      </c>
      <c r="F1457">
        <v>212509685695</v>
      </c>
    </row>
    <row r="1458" spans="1:6" x14ac:dyDescent="0.3">
      <c r="A1458">
        <v>17</v>
      </c>
      <c r="B1458" t="s">
        <v>7261</v>
      </c>
      <c r="C1458" t="s">
        <v>5324</v>
      </c>
      <c r="E1458">
        <v>145454545</v>
      </c>
      <c r="F1458">
        <v>212467685695</v>
      </c>
    </row>
    <row r="1459" spans="1:6" x14ac:dyDescent="0.3">
      <c r="A1459">
        <v>17</v>
      </c>
      <c r="B1459" t="s">
        <v>7186</v>
      </c>
      <c r="C1459" t="s">
        <v>6249</v>
      </c>
      <c r="E1459">
        <v>52727272</v>
      </c>
      <c r="F1459">
        <v>212322231150</v>
      </c>
    </row>
    <row r="1460" spans="1:6" x14ac:dyDescent="0.3">
      <c r="A1460">
        <v>17</v>
      </c>
      <c r="B1460" t="s">
        <v>7203</v>
      </c>
      <c r="C1460" t="s">
        <v>6248</v>
      </c>
      <c r="E1460">
        <v>36363636</v>
      </c>
      <c r="F1460">
        <v>212269503878</v>
      </c>
    </row>
    <row r="1461" spans="1:6" x14ac:dyDescent="0.3">
      <c r="A1461">
        <v>17</v>
      </c>
      <c r="B1461" t="s">
        <v>7170</v>
      </c>
      <c r="C1461" t="s">
        <v>6247</v>
      </c>
      <c r="E1461">
        <v>171000000</v>
      </c>
      <c r="F1461">
        <v>212233140242</v>
      </c>
    </row>
    <row r="1462" spans="1:6" x14ac:dyDescent="0.3">
      <c r="A1462">
        <v>17</v>
      </c>
      <c r="B1462" t="s">
        <v>7282</v>
      </c>
      <c r="C1462" t="s">
        <v>6246</v>
      </c>
      <c r="E1462">
        <v>157000000</v>
      </c>
      <c r="F1462">
        <v>212062140242</v>
      </c>
    </row>
    <row r="1463" spans="1:6" x14ac:dyDescent="0.3">
      <c r="A1463">
        <v>17</v>
      </c>
      <c r="B1463" t="s">
        <v>7261</v>
      </c>
      <c r="C1463" t="s">
        <v>4843</v>
      </c>
      <c r="E1463">
        <v>143000000</v>
      </c>
      <c r="F1463">
        <v>211905140242</v>
      </c>
    </row>
    <row r="1464" spans="1:6" x14ac:dyDescent="0.3">
      <c r="A1464">
        <v>17</v>
      </c>
      <c r="B1464" t="s">
        <v>7176</v>
      </c>
      <c r="C1464" t="s">
        <v>6245</v>
      </c>
      <c r="E1464">
        <v>43636364</v>
      </c>
      <c r="F1464">
        <v>211762140242</v>
      </c>
    </row>
    <row r="1465" spans="1:6" x14ac:dyDescent="0.3">
      <c r="A1465">
        <v>17</v>
      </c>
      <c r="B1465" t="s">
        <v>7154</v>
      </c>
      <c r="C1465" t="s">
        <v>5515</v>
      </c>
      <c r="E1465">
        <v>50909090</v>
      </c>
      <c r="F1465">
        <v>211718503878</v>
      </c>
    </row>
    <row r="1466" spans="1:6" x14ac:dyDescent="0.3">
      <c r="A1466">
        <v>17</v>
      </c>
      <c r="B1466" t="s">
        <v>7176</v>
      </c>
      <c r="C1466" t="s">
        <v>6244</v>
      </c>
      <c r="E1466">
        <v>38800000</v>
      </c>
      <c r="F1466">
        <v>211667594788</v>
      </c>
    </row>
    <row r="1467" spans="1:6" x14ac:dyDescent="0.3">
      <c r="A1467">
        <v>17</v>
      </c>
      <c r="B1467" t="s">
        <v>7176</v>
      </c>
      <c r="C1467" t="s">
        <v>6243</v>
      </c>
      <c r="E1467">
        <v>39272727</v>
      </c>
      <c r="F1467">
        <v>211628794788</v>
      </c>
    </row>
    <row r="1468" spans="1:6" x14ac:dyDescent="0.3">
      <c r="A1468">
        <v>17</v>
      </c>
      <c r="B1468" t="s">
        <v>7203</v>
      </c>
      <c r="C1468" t="s">
        <v>6242</v>
      </c>
      <c r="E1468">
        <v>18500000</v>
      </c>
      <c r="F1468">
        <v>211589522061</v>
      </c>
    </row>
    <row r="1469" spans="1:6" x14ac:dyDescent="0.3">
      <c r="A1469">
        <v>17</v>
      </c>
      <c r="B1469" t="s">
        <v>7203</v>
      </c>
      <c r="C1469" t="s">
        <v>6242</v>
      </c>
      <c r="E1469">
        <v>18500000</v>
      </c>
      <c r="F1469">
        <v>211571022061</v>
      </c>
    </row>
    <row r="1470" spans="1:6" x14ac:dyDescent="0.3">
      <c r="A1470">
        <v>17</v>
      </c>
      <c r="B1470" t="s">
        <v>7156</v>
      </c>
      <c r="C1470" t="s">
        <v>6241</v>
      </c>
      <c r="E1470">
        <v>17039091</v>
      </c>
      <c r="F1470">
        <v>211552522061</v>
      </c>
    </row>
    <row r="1471" spans="1:6" x14ac:dyDescent="0.3">
      <c r="A1471">
        <v>17</v>
      </c>
      <c r="B1471" t="s">
        <v>7203</v>
      </c>
      <c r="C1471" t="s">
        <v>6107</v>
      </c>
      <c r="E1471">
        <v>17573000</v>
      </c>
      <c r="F1471">
        <v>211535482970</v>
      </c>
    </row>
    <row r="1472" spans="1:6" x14ac:dyDescent="0.3">
      <c r="A1472">
        <v>17</v>
      </c>
      <c r="B1472" t="s">
        <v>7176</v>
      </c>
      <c r="C1472" t="s">
        <v>6240</v>
      </c>
      <c r="E1472">
        <v>41000000</v>
      </c>
      <c r="F1472">
        <v>211517909970</v>
      </c>
    </row>
    <row r="1473" spans="1:6" x14ac:dyDescent="0.3">
      <c r="A1473">
        <v>17</v>
      </c>
      <c r="B1473" t="s">
        <v>7176</v>
      </c>
      <c r="C1473" t="s">
        <v>6239</v>
      </c>
      <c r="E1473">
        <v>43636364</v>
      </c>
      <c r="F1473">
        <v>211476909970</v>
      </c>
    </row>
    <row r="1474" spans="1:6" x14ac:dyDescent="0.3">
      <c r="A1474">
        <v>17</v>
      </c>
      <c r="B1474" t="s">
        <v>7176</v>
      </c>
      <c r="C1474" t="s">
        <v>4148</v>
      </c>
      <c r="E1474">
        <v>39036364</v>
      </c>
      <c r="F1474">
        <v>211433273606</v>
      </c>
    </row>
    <row r="1475" spans="1:6" x14ac:dyDescent="0.3">
      <c r="A1475">
        <v>17</v>
      </c>
      <c r="B1475" t="s">
        <v>7282</v>
      </c>
      <c r="C1475" t="s">
        <v>4908</v>
      </c>
      <c r="E1475">
        <v>159000000</v>
      </c>
      <c r="F1475">
        <v>211394237242</v>
      </c>
    </row>
    <row r="1476" spans="1:6" x14ac:dyDescent="0.3">
      <c r="A1476">
        <v>17</v>
      </c>
      <c r="B1476" t="s">
        <v>7330</v>
      </c>
      <c r="C1476" t="s">
        <v>6238</v>
      </c>
      <c r="E1476">
        <v>39545455</v>
      </c>
      <c r="F1476">
        <v>211235237242</v>
      </c>
    </row>
    <row r="1477" spans="1:6" x14ac:dyDescent="0.3">
      <c r="A1477">
        <v>17</v>
      </c>
      <c r="B1477" t="s">
        <v>7156</v>
      </c>
      <c r="C1477" t="s">
        <v>4213</v>
      </c>
      <c r="E1477">
        <v>15000000</v>
      </c>
      <c r="F1477">
        <v>211195691787</v>
      </c>
    </row>
    <row r="1478" spans="1:6" x14ac:dyDescent="0.3">
      <c r="A1478">
        <v>17</v>
      </c>
      <c r="B1478" t="s">
        <v>7261</v>
      </c>
      <c r="C1478" t="s">
        <v>6237</v>
      </c>
      <c r="E1478">
        <v>148600000</v>
      </c>
      <c r="F1478">
        <v>211180691787</v>
      </c>
    </row>
    <row r="1479" spans="1:6" x14ac:dyDescent="0.3">
      <c r="A1479">
        <v>17</v>
      </c>
      <c r="B1479" t="s">
        <v>7176</v>
      </c>
      <c r="C1479" t="s">
        <v>4510</v>
      </c>
      <c r="E1479">
        <v>44200000</v>
      </c>
      <c r="F1479">
        <v>211032091787</v>
      </c>
    </row>
    <row r="1480" spans="1:6" x14ac:dyDescent="0.3">
      <c r="A1480">
        <v>17</v>
      </c>
      <c r="B1480" t="s">
        <v>7261</v>
      </c>
      <c r="C1480" t="s">
        <v>5676</v>
      </c>
      <c r="E1480">
        <v>147300000</v>
      </c>
      <c r="F1480">
        <v>210987891787</v>
      </c>
    </row>
    <row r="1481" spans="1:6" x14ac:dyDescent="0.3">
      <c r="A1481">
        <v>17</v>
      </c>
      <c r="B1481" t="s">
        <v>7302</v>
      </c>
      <c r="C1481" t="s">
        <v>4925</v>
      </c>
      <c r="E1481">
        <v>670000</v>
      </c>
      <c r="F1481">
        <v>210840591787</v>
      </c>
    </row>
    <row r="1482" spans="1:6" x14ac:dyDescent="0.3">
      <c r="A1482">
        <v>17</v>
      </c>
      <c r="B1482" t="s">
        <v>7346</v>
      </c>
      <c r="C1482" t="s">
        <v>5701</v>
      </c>
      <c r="E1482">
        <v>50640535</v>
      </c>
      <c r="F1482">
        <v>210839921787</v>
      </c>
    </row>
    <row r="1483" spans="1:6" x14ac:dyDescent="0.3">
      <c r="A1483">
        <v>17</v>
      </c>
      <c r="B1483" t="s">
        <v>7203</v>
      </c>
      <c r="C1483" t="s">
        <v>6236</v>
      </c>
      <c r="E1483">
        <v>35818182</v>
      </c>
      <c r="F1483">
        <v>210789281252</v>
      </c>
    </row>
    <row r="1484" spans="1:6" x14ac:dyDescent="0.3">
      <c r="A1484">
        <v>17</v>
      </c>
      <c r="B1484" t="s">
        <v>7282</v>
      </c>
      <c r="C1484" t="s">
        <v>6235</v>
      </c>
      <c r="E1484">
        <v>160500000</v>
      </c>
      <c r="F1484">
        <v>210753463070</v>
      </c>
    </row>
    <row r="1485" spans="1:6" x14ac:dyDescent="0.3">
      <c r="A1485">
        <v>17</v>
      </c>
      <c r="B1485" t="s">
        <v>7154</v>
      </c>
      <c r="C1485" t="s">
        <v>6234</v>
      </c>
      <c r="E1485">
        <v>51818182</v>
      </c>
      <c r="F1485">
        <v>210592963070</v>
      </c>
    </row>
    <row r="1486" spans="1:6" x14ac:dyDescent="0.3">
      <c r="A1486">
        <v>17</v>
      </c>
      <c r="B1486" t="s">
        <v>7154</v>
      </c>
      <c r="C1486" t="s">
        <v>6233</v>
      </c>
      <c r="E1486">
        <v>51818182</v>
      </c>
      <c r="F1486">
        <v>210541144888</v>
      </c>
    </row>
    <row r="1487" spans="1:6" x14ac:dyDescent="0.3">
      <c r="A1487">
        <v>17</v>
      </c>
      <c r="B1487" t="s">
        <v>7170</v>
      </c>
      <c r="C1487" t="s">
        <v>6232</v>
      </c>
      <c r="E1487">
        <v>171000000</v>
      </c>
      <c r="F1487">
        <v>210489326706</v>
      </c>
    </row>
    <row r="1488" spans="1:6" x14ac:dyDescent="0.3">
      <c r="A1488">
        <v>17</v>
      </c>
      <c r="B1488" t="s">
        <v>7203</v>
      </c>
      <c r="C1488" t="s">
        <v>4660</v>
      </c>
      <c r="E1488">
        <v>18373000</v>
      </c>
      <c r="F1488">
        <v>210318326706</v>
      </c>
    </row>
    <row r="1489" spans="1:6" x14ac:dyDescent="0.3">
      <c r="A1489">
        <v>17</v>
      </c>
      <c r="B1489" t="s">
        <v>7203</v>
      </c>
      <c r="C1489" t="s">
        <v>4925</v>
      </c>
      <c r="E1489">
        <v>17703000</v>
      </c>
      <c r="F1489">
        <v>210299953706</v>
      </c>
    </row>
    <row r="1490" spans="1:6" x14ac:dyDescent="0.3">
      <c r="A1490">
        <v>17</v>
      </c>
      <c r="B1490" t="s">
        <v>7156</v>
      </c>
      <c r="C1490" t="s">
        <v>3438</v>
      </c>
      <c r="E1490">
        <v>49914000</v>
      </c>
      <c r="F1490">
        <v>210282250706</v>
      </c>
    </row>
    <row r="1491" spans="1:6" x14ac:dyDescent="0.3">
      <c r="A1491">
        <v>17</v>
      </c>
      <c r="B1491" t="s">
        <v>7156</v>
      </c>
      <c r="C1491" t="s">
        <v>3438</v>
      </c>
      <c r="E1491">
        <v>49914000</v>
      </c>
      <c r="F1491">
        <v>210232336706</v>
      </c>
    </row>
    <row r="1492" spans="1:6" x14ac:dyDescent="0.3">
      <c r="A1492">
        <v>17</v>
      </c>
      <c r="B1492" t="s">
        <v>7156</v>
      </c>
      <c r="C1492" t="s">
        <v>3438</v>
      </c>
      <c r="E1492">
        <v>49914000</v>
      </c>
      <c r="F1492">
        <v>210182422706</v>
      </c>
    </row>
    <row r="1493" spans="1:6" x14ac:dyDescent="0.3">
      <c r="A1493">
        <v>17</v>
      </c>
      <c r="B1493" t="s">
        <v>7170</v>
      </c>
      <c r="C1493" t="s">
        <v>5187</v>
      </c>
      <c r="E1493">
        <v>176500000</v>
      </c>
      <c r="F1493">
        <v>210132508706</v>
      </c>
    </row>
    <row r="1494" spans="1:6" x14ac:dyDescent="0.3">
      <c r="A1494">
        <v>17</v>
      </c>
      <c r="B1494" t="s">
        <v>7154</v>
      </c>
      <c r="C1494" t="s">
        <v>6231</v>
      </c>
      <c r="E1494">
        <v>48181818</v>
      </c>
      <c r="F1494">
        <v>209956008706</v>
      </c>
    </row>
    <row r="1495" spans="1:6" x14ac:dyDescent="0.3">
      <c r="A1495">
        <v>17</v>
      </c>
      <c r="B1495" t="s">
        <v>7282</v>
      </c>
      <c r="C1495" t="s">
        <v>6230</v>
      </c>
      <c r="E1495">
        <v>158000000</v>
      </c>
      <c r="F1495">
        <v>209907826888</v>
      </c>
    </row>
    <row r="1496" spans="1:6" x14ac:dyDescent="0.3">
      <c r="A1496">
        <v>17</v>
      </c>
      <c r="B1496" t="s">
        <v>7154</v>
      </c>
      <c r="C1496" t="s">
        <v>6229</v>
      </c>
      <c r="E1496">
        <v>52000000</v>
      </c>
      <c r="F1496">
        <v>209749826888</v>
      </c>
    </row>
    <row r="1497" spans="1:6" x14ac:dyDescent="0.3">
      <c r="A1497">
        <v>17</v>
      </c>
      <c r="B1497" t="s">
        <v>7154</v>
      </c>
      <c r="C1497" t="s">
        <v>6229</v>
      </c>
      <c r="E1497">
        <v>52000000</v>
      </c>
      <c r="F1497">
        <v>209697826888</v>
      </c>
    </row>
    <row r="1498" spans="1:6" x14ac:dyDescent="0.3">
      <c r="A1498">
        <v>17</v>
      </c>
      <c r="B1498" t="s">
        <v>7170</v>
      </c>
      <c r="C1498" t="s">
        <v>6228</v>
      </c>
      <c r="E1498">
        <v>176500000</v>
      </c>
      <c r="F1498">
        <v>209645826888</v>
      </c>
    </row>
    <row r="1499" spans="1:6" x14ac:dyDescent="0.3">
      <c r="A1499">
        <v>17</v>
      </c>
      <c r="B1499" t="s">
        <v>7203</v>
      </c>
      <c r="C1499" t="s">
        <v>6227</v>
      </c>
      <c r="E1499">
        <v>38000000</v>
      </c>
      <c r="F1499">
        <v>209469326888</v>
      </c>
    </row>
    <row r="1500" spans="1:6" x14ac:dyDescent="0.3">
      <c r="A1500">
        <v>17</v>
      </c>
      <c r="B1500" t="s">
        <v>7154</v>
      </c>
      <c r="C1500" t="s">
        <v>6226</v>
      </c>
      <c r="E1500">
        <v>48200000</v>
      </c>
      <c r="F1500">
        <v>209431326888</v>
      </c>
    </row>
    <row r="1501" spans="1:6" x14ac:dyDescent="0.3">
      <c r="A1501">
        <v>17</v>
      </c>
      <c r="B1501" t="s">
        <v>7170</v>
      </c>
      <c r="C1501" t="s">
        <v>6225</v>
      </c>
      <c r="E1501">
        <v>175000000</v>
      </c>
      <c r="F1501">
        <v>209383126888</v>
      </c>
    </row>
    <row r="1502" spans="1:6" x14ac:dyDescent="0.3">
      <c r="A1502">
        <v>17</v>
      </c>
      <c r="B1502" t="s">
        <v>7170</v>
      </c>
      <c r="C1502" t="s">
        <v>6224</v>
      </c>
      <c r="E1502">
        <v>175000000</v>
      </c>
      <c r="F1502">
        <v>209208126888</v>
      </c>
    </row>
    <row r="1503" spans="1:6" x14ac:dyDescent="0.3">
      <c r="A1503">
        <v>17</v>
      </c>
      <c r="B1503" t="s">
        <v>7345</v>
      </c>
      <c r="C1503" t="s">
        <v>5701</v>
      </c>
      <c r="E1503">
        <v>38008432</v>
      </c>
      <c r="F1503">
        <v>209033126888</v>
      </c>
    </row>
    <row r="1504" spans="1:6" x14ac:dyDescent="0.3">
      <c r="A1504">
        <v>17</v>
      </c>
      <c r="B1504" t="s">
        <v>7203</v>
      </c>
      <c r="C1504" t="s">
        <v>6223</v>
      </c>
      <c r="E1504">
        <v>36363636</v>
      </c>
      <c r="F1504">
        <v>208995118456</v>
      </c>
    </row>
    <row r="1505" spans="1:6" x14ac:dyDescent="0.3">
      <c r="A1505">
        <v>17</v>
      </c>
      <c r="B1505" t="s">
        <v>7170</v>
      </c>
      <c r="C1505" t="s">
        <v>6222</v>
      </c>
      <c r="E1505">
        <v>175000000</v>
      </c>
      <c r="F1505">
        <v>208958754820</v>
      </c>
    </row>
    <row r="1506" spans="1:6" x14ac:dyDescent="0.3">
      <c r="A1506">
        <v>17</v>
      </c>
      <c r="B1506" t="s">
        <v>7282</v>
      </c>
      <c r="C1506" t="s">
        <v>6221</v>
      </c>
      <c r="E1506">
        <v>157000000</v>
      </c>
      <c r="F1506">
        <v>208783754820</v>
      </c>
    </row>
    <row r="1507" spans="1:6" x14ac:dyDescent="0.3">
      <c r="A1507">
        <v>17</v>
      </c>
      <c r="B1507" t="s">
        <v>7154</v>
      </c>
      <c r="C1507" t="s">
        <v>6220</v>
      </c>
      <c r="E1507">
        <v>51818182</v>
      </c>
      <c r="F1507">
        <v>208626754820</v>
      </c>
    </row>
    <row r="1508" spans="1:6" x14ac:dyDescent="0.3">
      <c r="A1508">
        <v>17</v>
      </c>
      <c r="B1508" t="s">
        <v>7154</v>
      </c>
      <c r="C1508" t="s">
        <v>5190</v>
      </c>
      <c r="E1508">
        <v>48181818</v>
      </c>
      <c r="F1508">
        <v>208574936638</v>
      </c>
    </row>
    <row r="1509" spans="1:6" x14ac:dyDescent="0.3">
      <c r="A1509">
        <v>17</v>
      </c>
      <c r="B1509" t="s">
        <v>6219</v>
      </c>
      <c r="C1509" t="s">
        <v>4111</v>
      </c>
      <c r="E1509">
        <v>2396700</v>
      </c>
      <c r="F1509">
        <v>208526754820</v>
      </c>
    </row>
    <row r="1510" spans="1:6" x14ac:dyDescent="0.3">
      <c r="A1510">
        <v>17</v>
      </c>
      <c r="B1510" t="s">
        <v>7251</v>
      </c>
      <c r="C1510" t="s">
        <v>6218</v>
      </c>
      <c r="E1510">
        <v>18373000</v>
      </c>
      <c r="F1510">
        <v>208524358120</v>
      </c>
    </row>
    <row r="1511" spans="1:6" x14ac:dyDescent="0.3">
      <c r="A1511">
        <v>17</v>
      </c>
      <c r="B1511" t="s">
        <v>7203</v>
      </c>
      <c r="C1511" t="s">
        <v>4422</v>
      </c>
      <c r="E1511">
        <v>18143000</v>
      </c>
      <c r="F1511">
        <v>208505985120</v>
      </c>
    </row>
    <row r="1512" spans="1:6" x14ac:dyDescent="0.3">
      <c r="A1512">
        <v>17</v>
      </c>
      <c r="B1512" t="s">
        <v>7203</v>
      </c>
      <c r="C1512" t="s">
        <v>3721</v>
      </c>
      <c r="E1512">
        <v>36000000</v>
      </c>
      <c r="F1512">
        <v>208487842120</v>
      </c>
    </row>
    <row r="1513" spans="1:6" x14ac:dyDescent="0.3">
      <c r="A1513">
        <v>17</v>
      </c>
      <c r="B1513" t="s">
        <v>7176</v>
      </c>
      <c r="C1513" t="s">
        <v>6217</v>
      </c>
      <c r="E1513">
        <v>40000000</v>
      </c>
      <c r="F1513">
        <v>208451842120</v>
      </c>
    </row>
    <row r="1514" spans="1:6" x14ac:dyDescent="0.3">
      <c r="A1514">
        <v>17</v>
      </c>
      <c r="B1514" t="s">
        <v>7156</v>
      </c>
      <c r="C1514" t="s">
        <v>6216</v>
      </c>
      <c r="E1514">
        <v>12400000</v>
      </c>
      <c r="F1514">
        <v>208411842120</v>
      </c>
    </row>
    <row r="1515" spans="1:6" x14ac:dyDescent="0.3">
      <c r="A1515">
        <v>17</v>
      </c>
      <c r="B1515" t="s">
        <v>7203</v>
      </c>
      <c r="C1515" t="s">
        <v>5720</v>
      </c>
      <c r="E1515">
        <v>36363636</v>
      </c>
      <c r="F1515">
        <v>208399442120</v>
      </c>
    </row>
    <row r="1516" spans="1:6" x14ac:dyDescent="0.3">
      <c r="A1516">
        <v>17</v>
      </c>
      <c r="B1516" t="s">
        <v>7203</v>
      </c>
      <c r="C1516" t="s">
        <v>6215</v>
      </c>
      <c r="E1516">
        <v>37000000</v>
      </c>
      <c r="F1516">
        <v>208363078484</v>
      </c>
    </row>
    <row r="1517" spans="1:6" x14ac:dyDescent="0.3">
      <c r="A1517">
        <v>17</v>
      </c>
      <c r="B1517" t="s">
        <v>7203</v>
      </c>
      <c r="C1517" t="s">
        <v>6214</v>
      </c>
      <c r="E1517">
        <v>38500000</v>
      </c>
      <c r="F1517">
        <v>208326078484</v>
      </c>
    </row>
    <row r="1518" spans="1:6" x14ac:dyDescent="0.3">
      <c r="A1518">
        <v>17</v>
      </c>
      <c r="B1518" t="s">
        <v>7203</v>
      </c>
      <c r="C1518" t="s">
        <v>6213</v>
      </c>
      <c r="E1518">
        <v>38500000</v>
      </c>
      <c r="F1518">
        <v>208287578484</v>
      </c>
    </row>
    <row r="1519" spans="1:6" x14ac:dyDescent="0.3">
      <c r="A1519">
        <v>17</v>
      </c>
      <c r="B1519" t="s">
        <v>7203</v>
      </c>
      <c r="C1519" t="s">
        <v>6212</v>
      </c>
      <c r="E1519">
        <v>36363636</v>
      </c>
      <c r="F1519">
        <v>208249078484</v>
      </c>
    </row>
    <row r="1520" spans="1:6" x14ac:dyDescent="0.3">
      <c r="A1520">
        <v>17</v>
      </c>
      <c r="B1520" t="s">
        <v>7170</v>
      </c>
      <c r="C1520" t="s">
        <v>3671</v>
      </c>
      <c r="E1520">
        <v>175000000</v>
      </c>
      <c r="F1520">
        <v>208212714848</v>
      </c>
    </row>
    <row r="1521" spans="1:6" x14ac:dyDescent="0.3">
      <c r="A1521">
        <v>17</v>
      </c>
      <c r="B1521" t="s">
        <v>7176</v>
      </c>
      <c r="C1521" t="s">
        <v>6211</v>
      </c>
      <c r="E1521">
        <v>39000000</v>
      </c>
      <c r="F1521">
        <v>208037714848</v>
      </c>
    </row>
    <row r="1522" spans="1:6" x14ac:dyDescent="0.3">
      <c r="A1522">
        <v>17</v>
      </c>
      <c r="B1522" t="s">
        <v>7176</v>
      </c>
      <c r="C1522" t="s">
        <v>6210</v>
      </c>
      <c r="E1522">
        <v>45500000</v>
      </c>
      <c r="F1522">
        <v>207998714848</v>
      </c>
    </row>
    <row r="1523" spans="1:6" x14ac:dyDescent="0.3">
      <c r="A1523">
        <v>17</v>
      </c>
      <c r="B1523" t="s">
        <v>7156</v>
      </c>
      <c r="C1523" t="s">
        <v>6209</v>
      </c>
      <c r="E1523">
        <v>14150000</v>
      </c>
      <c r="F1523">
        <v>207953214848</v>
      </c>
    </row>
    <row r="1524" spans="1:6" x14ac:dyDescent="0.3">
      <c r="A1524">
        <v>17</v>
      </c>
      <c r="B1524" t="s">
        <v>7176</v>
      </c>
      <c r="C1524" t="s">
        <v>6208</v>
      </c>
      <c r="E1524">
        <v>40500000</v>
      </c>
      <c r="F1524">
        <v>207939064848</v>
      </c>
    </row>
    <row r="1525" spans="1:6" x14ac:dyDescent="0.3">
      <c r="A1525">
        <v>17</v>
      </c>
      <c r="B1525" t="s">
        <v>7203</v>
      </c>
      <c r="C1525" t="s">
        <v>6118</v>
      </c>
      <c r="E1525">
        <v>18373000</v>
      </c>
      <c r="F1525">
        <v>207898564848</v>
      </c>
    </row>
    <row r="1526" spans="1:6" x14ac:dyDescent="0.3">
      <c r="A1526">
        <v>17</v>
      </c>
      <c r="B1526" t="s">
        <v>7156</v>
      </c>
      <c r="C1526" t="s">
        <v>4213</v>
      </c>
      <c r="E1526">
        <v>15000000</v>
      </c>
      <c r="F1526">
        <v>207880191848</v>
      </c>
    </row>
    <row r="1527" spans="1:6" x14ac:dyDescent="0.3">
      <c r="A1527">
        <v>17</v>
      </c>
      <c r="B1527" t="s">
        <v>7203</v>
      </c>
      <c r="C1527" t="s">
        <v>6207</v>
      </c>
      <c r="E1527">
        <v>37500000</v>
      </c>
      <c r="F1527">
        <v>207865191848</v>
      </c>
    </row>
    <row r="1528" spans="1:6" x14ac:dyDescent="0.3">
      <c r="A1528">
        <v>17</v>
      </c>
      <c r="B1528" t="s">
        <v>7252</v>
      </c>
      <c r="C1528" t="s">
        <v>6206</v>
      </c>
      <c r="E1528">
        <v>62200000</v>
      </c>
      <c r="F1528">
        <v>207827691848</v>
      </c>
    </row>
    <row r="1529" spans="1:6" x14ac:dyDescent="0.3">
      <c r="A1529">
        <v>17</v>
      </c>
      <c r="B1529" t="s">
        <v>7282</v>
      </c>
      <c r="C1529" t="s">
        <v>6150</v>
      </c>
      <c r="E1529">
        <v>159000000</v>
      </c>
      <c r="F1529">
        <v>207765491848</v>
      </c>
    </row>
    <row r="1530" spans="1:6" x14ac:dyDescent="0.3">
      <c r="A1530">
        <v>17</v>
      </c>
      <c r="B1530" t="s">
        <v>7261</v>
      </c>
      <c r="C1530" t="s">
        <v>6150</v>
      </c>
      <c r="E1530">
        <v>149000000</v>
      </c>
      <c r="F1530">
        <v>207606491848</v>
      </c>
    </row>
    <row r="1531" spans="1:6" x14ac:dyDescent="0.3">
      <c r="A1531">
        <v>17</v>
      </c>
      <c r="B1531" t="s">
        <v>7203</v>
      </c>
      <c r="C1531" t="s">
        <v>6163</v>
      </c>
      <c r="E1531">
        <v>37470000</v>
      </c>
      <c r="F1531">
        <v>207457491848</v>
      </c>
    </row>
    <row r="1532" spans="1:6" x14ac:dyDescent="0.3">
      <c r="A1532">
        <v>17</v>
      </c>
      <c r="B1532" t="s">
        <v>7176</v>
      </c>
      <c r="C1532" t="s">
        <v>5647</v>
      </c>
      <c r="E1532">
        <v>39090909</v>
      </c>
      <c r="F1532">
        <v>207420021848</v>
      </c>
    </row>
    <row r="1533" spans="1:6" x14ac:dyDescent="0.3">
      <c r="A1533">
        <v>17</v>
      </c>
      <c r="B1533" t="s">
        <v>7203</v>
      </c>
      <c r="C1533" t="s">
        <v>6205</v>
      </c>
      <c r="E1533">
        <v>37000000</v>
      </c>
      <c r="F1533">
        <v>207380930939</v>
      </c>
    </row>
    <row r="1534" spans="1:6" x14ac:dyDescent="0.3">
      <c r="A1534">
        <v>17</v>
      </c>
      <c r="B1534" t="s">
        <v>7203</v>
      </c>
      <c r="C1534" t="s">
        <v>5053</v>
      </c>
      <c r="E1534">
        <v>38000000</v>
      </c>
      <c r="F1534">
        <v>207343930939</v>
      </c>
    </row>
    <row r="1535" spans="1:6" x14ac:dyDescent="0.3">
      <c r="A1535">
        <v>17</v>
      </c>
      <c r="B1535" t="s">
        <v>7176</v>
      </c>
      <c r="C1535" t="s">
        <v>6204</v>
      </c>
      <c r="E1535">
        <v>42727273</v>
      </c>
      <c r="F1535">
        <v>207305930939</v>
      </c>
    </row>
    <row r="1536" spans="1:6" x14ac:dyDescent="0.3">
      <c r="A1536">
        <v>17</v>
      </c>
      <c r="B1536" t="s">
        <v>7154</v>
      </c>
      <c r="C1536" t="s">
        <v>6203</v>
      </c>
      <c r="E1536">
        <v>48700000</v>
      </c>
      <c r="F1536">
        <v>207263203666</v>
      </c>
    </row>
    <row r="1537" spans="1:11" x14ac:dyDescent="0.3">
      <c r="A1537">
        <v>17</v>
      </c>
      <c r="B1537" t="s">
        <v>7203</v>
      </c>
      <c r="C1537" t="s">
        <v>3919</v>
      </c>
      <c r="E1537">
        <v>37272727</v>
      </c>
      <c r="F1537">
        <v>207214503666</v>
      </c>
    </row>
    <row r="1538" spans="1:11" x14ac:dyDescent="0.3">
      <c r="A1538">
        <v>17</v>
      </c>
      <c r="B1538" t="s">
        <v>7261</v>
      </c>
      <c r="C1538" t="s">
        <v>6141</v>
      </c>
      <c r="E1538">
        <v>148200000</v>
      </c>
      <c r="F1538">
        <v>207177230939</v>
      </c>
    </row>
    <row r="1539" spans="1:11" x14ac:dyDescent="0.3">
      <c r="A1539">
        <v>17</v>
      </c>
      <c r="B1539" t="s">
        <v>7273</v>
      </c>
      <c r="C1539" t="s">
        <v>6202</v>
      </c>
      <c r="E1539">
        <v>165000000</v>
      </c>
      <c r="F1539">
        <v>207029030939</v>
      </c>
    </row>
    <row r="1540" spans="1:11" x14ac:dyDescent="0.3">
      <c r="A1540">
        <v>17</v>
      </c>
      <c r="B1540" t="s">
        <v>7251</v>
      </c>
      <c r="C1540" t="s">
        <v>6201</v>
      </c>
      <c r="E1540">
        <v>18373000</v>
      </c>
      <c r="F1540">
        <v>206864030939</v>
      </c>
    </row>
    <row r="1541" spans="1:11" x14ac:dyDescent="0.3">
      <c r="A1541">
        <v>17</v>
      </c>
      <c r="B1541" t="s">
        <v>7154</v>
      </c>
      <c r="C1541" t="s">
        <v>6200</v>
      </c>
      <c r="E1541">
        <v>49000000</v>
      </c>
      <c r="F1541">
        <v>206845657939</v>
      </c>
    </row>
    <row r="1542" spans="1:11" x14ac:dyDescent="0.3">
      <c r="A1542">
        <v>17</v>
      </c>
      <c r="B1542" t="s">
        <v>7154</v>
      </c>
      <c r="C1542" t="s">
        <v>6199</v>
      </c>
      <c r="E1542">
        <v>49000000</v>
      </c>
      <c r="F1542">
        <v>206796657939</v>
      </c>
    </row>
    <row r="1543" spans="1:11" x14ac:dyDescent="0.3">
      <c r="A1543">
        <v>17</v>
      </c>
      <c r="B1543" t="s">
        <v>7176</v>
      </c>
      <c r="C1543" t="s">
        <v>6198</v>
      </c>
      <c r="E1543">
        <v>38909090</v>
      </c>
      <c r="F1543">
        <v>206747657939</v>
      </c>
    </row>
    <row r="1544" spans="1:11" x14ac:dyDescent="0.3">
      <c r="A1544">
        <v>17</v>
      </c>
      <c r="B1544" t="s">
        <v>7176</v>
      </c>
      <c r="C1544" t="s">
        <v>6197</v>
      </c>
      <c r="E1544">
        <v>41000000</v>
      </c>
      <c r="F1544">
        <v>206708748849</v>
      </c>
    </row>
    <row r="1545" spans="1:11" x14ac:dyDescent="0.3">
      <c r="A1545">
        <v>17</v>
      </c>
      <c r="B1545" t="s">
        <v>7203</v>
      </c>
      <c r="C1545" t="s">
        <v>6196</v>
      </c>
      <c r="E1545">
        <v>38300000</v>
      </c>
      <c r="F1545">
        <v>206667748849</v>
      </c>
    </row>
    <row r="1546" spans="1:11" x14ac:dyDescent="0.3">
      <c r="A1546">
        <v>17</v>
      </c>
      <c r="B1546" t="s">
        <v>7251</v>
      </c>
      <c r="C1546" t="s">
        <v>4352</v>
      </c>
      <c r="E1546">
        <v>35000000</v>
      </c>
      <c r="F1546">
        <v>206629448849</v>
      </c>
    </row>
    <row r="1547" spans="1:11" x14ac:dyDescent="0.3">
      <c r="A1547">
        <v>17</v>
      </c>
      <c r="B1547" t="s">
        <v>7261</v>
      </c>
      <c r="C1547" t="s">
        <v>6195</v>
      </c>
      <c r="E1547">
        <v>147400000</v>
      </c>
      <c r="F1547">
        <v>206594448849</v>
      </c>
    </row>
    <row r="1548" spans="1:11" x14ac:dyDescent="0.3">
      <c r="A1548">
        <v>17</v>
      </c>
      <c r="B1548" t="s">
        <v>7156</v>
      </c>
      <c r="C1548" t="s">
        <v>6194</v>
      </c>
      <c r="E1548">
        <v>14545455</v>
      </c>
      <c r="F1548">
        <v>206447048849</v>
      </c>
    </row>
    <row r="1549" spans="1:11" x14ac:dyDescent="0.3">
      <c r="A1549">
        <v>17</v>
      </c>
      <c r="B1549" t="s">
        <v>7261</v>
      </c>
      <c r="C1549" t="s">
        <v>6193</v>
      </c>
      <c r="E1549">
        <v>144200000</v>
      </c>
      <c r="F1549">
        <v>206432503394</v>
      </c>
    </row>
    <row r="1551" spans="1:11" x14ac:dyDescent="0.3">
      <c r="C1551" t="s">
        <v>3374</v>
      </c>
      <c r="D1551" t="s">
        <v>3375</v>
      </c>
      <c r="E1551" s="153">
        <v>2013</v>
      </c>
      <c r="F1551" s="153">
        <v>2014</v>
      </c>
      <c r="G1551" s="153">
        <v>2015</v>
      </c>
      <c r="H1551" s="153">
        <v>2016</v>
      </c>
      <c r="I1551" t="s">
        <v>7388</v>
      </c>
      <c r="J1551" t="s">
        <v>7386</v>
      </c>
      <c r="K1551" t="s">
        <v>7390</v>
      </c>
    </row>
    <row r="1552" spans="1:11" x14ac:dyDescent="0.3">
      <c r="B1552" t="s">
        <v>2037</v>
      </c>
      <c r="E1552" s="1042">
        <f>SUMIFS(계정별원장!$F$3:$F$5997,계정별원장!$A$3:$A$5997,"13",계정별원장!$B$3:$B$5997,Sheet3!$B1552)</f>
        <v>4865982374</v>
      </c>
      <c r="F1552" s="1042">
        <f>SUMIFS(계정별원장!$F$3:$F$5997,계정별원장!$A$3:$A$5997,"14",계정별원장!$B$3:$B$5997,Sheet3!$B1552)</f>
        <v>2407829268</v>
      </c>
      <c r="G1552" s="1042">
        <f>SUMIFS(계정별원장!$F$3:$F$5997,계정별원장!$A$3:$A$5997,"15",계정별원장!$B$3:$B$5997,Sheet3!$B1552)</f>
        <v>0</v>
      </c>
      <c r="H1552" s="1042">
        <f>SUMIFS(계정별원장!$F$3:$F$5997,계정별원장!$A$3:$A$5997,"16",계정별원장!$B$3:$B$5997,Sheet3!$B1552)</f>
        <v>75768270</v>
      </c>
      <c r="I1552" s="1042">
        <v>10083699453</v>
      </c>
      <c r="J1552">
        <f>COUNTIF(표1[적요],B1552)</f>
        <v>293</v>
      </c>
      <c r="K1552" s="1042">
        <f>SUMIFS('사업계획(매출 확정본)'!S$12:S$160,'사업계획(매출 확정본)'!$M$12:$M$160,Sheet3!$B1552,'사업계획(매출 확정본)'!$Q$12:$Q$160,'사업계획(매출 확정본)'!$Q$14)</f>
        <v>11497500000</v>
      </c>
    </row>
    <row r="1553" spans="2:11" x14ac:dyDescent="0.3">
      <c r="B1553" t="s">
        <v>2039</v>
      </c>
      <c r="E1553" s="1042">
        <f>SUMIFS(계정별원장!$F$3:$F$5997,계정별원장!$A$3:$A$5997,"13",계정별원장!$B$3:$B$5997,Sheet3!$B1553)</f>
        <v>3364552525</v>
      </c>
      <c r="F1553" s="1042">
        <f>SUMIFS(계정별원장!$F$3:$F$5997,계정별원장!$A$3:$A$5997,"14",계정별원장!$B$3:$B$5997,Sheet3!$B1553)</f>
        <v>2511282813</v>
      </c>
      <c r="G1553" s="1042">
        <f>SUMIFS(계정별원장!$F$3:$F$5997,계정별원장!$A$3:$A$5997,"15",계정별원장!$B$3:$B$5997,Sheet3!$B1553)</f>
        <v>0</v>
      </c>
      <c r="H1553" s="1042">
        <f>SUMIFS(계정별원장!$F$3:$F$5997,계정별원장!$A$3:$A$5997,"16",계정별원장!$B$3:$B$5997,Sheet3!$B1553)</f>
        <v>40000000</v>
      </c>
      <c r="I1553" s="1042">
        <v>7365804270</v>
      </c>
      <c r="J1553" s="153">
        <f>COUNTIF(표1[적요],B1553)</f>
        <v>186</v>
      </c>
      <c r="K1553" s="1042">
        <f>SUMIFS('사업계획(매출 확정본)'!S$12:S$160,'사업계획(매출 확정본)'!$M$12:$M$160,Sheet3!$B1553,'사업계획(매출 확정본)'!$Q$12:$Q$160,'사업계획(매출 확정본)'!$Q$14)</f>
        <v>11605000000</v>
      </c>
    </row>
    <row r="1554" spans="2:11" x14ac:dyDescent="0.3">
      <c r="B1554" t="s">
        <v>2062</v>
      </c>
      <c r="E1554" s="1042">
        <f>SUMIFS(계정별원장!$F$3:$F$5997,계정별원장!$A$3:$A$5997,"13",계정별원장!$B$3:$B$5997,Sheet3!$B1554)</f>
        <v>419091876</v>
      </c>
      <c r="F1554" s="1042">
        <f>SUMIFS(계정별원장!$F$3:$F$5997,계정별원장!$A$3:$A$5997,"14",계정별원장!$B$3:$B$5997,Sheet3!$B1554)</f>
        <v>0</v>
      </c>
      <c r="G1554" s="1042">
        <f>SUMIFS(계정별원장!$F$3:$F$5997,계정별원장!$A$3:$A$5997,"15",계정별원장!$B$3:$B$5997,Sheet3!$B1554)</f>
        <v>0</v>
      </c>
      <c r="H1554" s="1042">
        <f>SUMIFS(계정별원장!$F$3:$F$5997,계정별원장!$A$3:$A$5997,"16",계정별원장!$B$3:$B$5997,Sheet3!$B1554)</f>
        <v>0</v>
      </c>
      <c r="I1554" s="1042">
        <v>7159408173</v>
      </c>
      <c r="J1554" s="153">
        <f>COUNTIF(표1[적요],B1554)</f>
        <v>48</v>
      </c>
      <c r="K1554" s="1042">
        <f>SUMIFS('사업계획(매출 확정본)'!S$12:S$160,'사업계획(매출 확정본)'!$M$12:$M$160,Sheet3!$B1554,'사업계획(매출 확정본)'!$Q$12:$Q$160,'사업계획(매출 확정본)'!$Q$14)</f>
        <v>13125000000</v>
      </c>
    </row>
    <row r="1555" spans="2:11" x14ac:dyDescent="0.3">
      <c r="B1555" t="s">
        <v>2041</v>
      </c>
      <c r="E1555" s="1042">
        <f>SUMIFS(계정별원장!$F$3:$F$5997,계정별원장!$A$3:$A$5997,"13",계정별원장!$B$3:$B$5997,Sheet3!$B1555)</f>
        <v>3352077865</v>
      </c>
      <c r="F1555" s="1042">
        <f>SUMIFS(계정별원장!$F$3:$F$5997,계정별원장!$A$3:$A$5997,"14",계정별원장!$B$3:$B$5997,Sheet3!$B1555)</f>
        <v>2127326017</v>
      </c>
      <c r="G1555" s="1042">
        <f>SUMIFS(계정별원장!$F$3:$F$5997,계정별원장!$A$3:$A$5997,"15",계정별원장!$B$3:$B$5997,Sheet3!$B1555)</f>
        <v>0</v>
      </c>
      <c r="H1555" s="1042">
        <f>SUMIFS(계정별원장!$F$3:$F$5997,계정별원장!$A$3:$A$5997,"16",계정별원장!$B$3:$B$5997,Sheet3!$B1555)</f>
        <v>0</v>
      </c>
      <c r="I1555" s="1042">
        <v>5821424540</v>
      </c>
      <c r="J1555" s="153">
        <f>COUNTIF(표1[적요],B1555)</f>
        <v>114</v>
      </c>
      <c r="K1555" s="1042">
        <f>SUMIFS('사업계획(매출 확정본)'!S$12:S$160,'사업계획(매출 확정본)'!$M$12:$M$160,Sheet3!$B1555,'사업계획(매출 확정본)'!$Q$12:$Q$160,'사업계획(매출 확정본)'!$Q$14)</f>
        <v>9618500000</v>
      </c>
    </row>
    <row r="1556" spans="2:11" x14ac:dyDescent="0.3">
      <c r="B1556" t="s">
        <v>2063</v>
      </c>
      <c r="E1556" s="1042">
        <f>SUMIFS(계정별원장!$F$3:$F$5997,계정별원장!$A$3:$A$5997,"13",계정별원장!$B$3:$B$5997,Sheet3!$B1556)</f>
        <v>270000000</v>
      </c>
      <c r="F1556" s="1042">
        <f>SUMIFS(계정별원장!$F$3:$F$5997,계정별원장!$A$3:$A$5997,"14",계정별원장!$B$3:$B$5997,Sheet3!$B1556)</f>
        <v>0</v>
      </c>
      <c r="G1556" s="1042">
        <f>SUMIFS(계정별원장!$F$3:$F$5997,계정별원장!$A$3:$A$5997,"15",계정별원장!$B$3:$B$5997,Sheet3!$B1556)</f>
        <v>0</v>
      </c>
      <c r="H1556" s="1042">
        <f>SUMIFS(계정별원장!$F$3:$F$5997,계정별원장!$A$3:$A$5997,"16",계정별원장!$B$3:$B$5997,Sheet3!$B1556)</f>
        <v>0</v>
      </c>
      <c r="I1556" s="1042">
        <v>4734650000</v>
      </c>
      <c r="J1556" s="153">
        <f>COUNTIF(표1[적요],B1556)</f>
        <v>32</v>
      </c>
      <c r="K1556" s="1042">
        <f>SUMIFS('사업계획(매출 확정본)'!S$12:S$160,'사업계획(매출 확정본)'!$M$12:$M$160,Sheet3!$B1556,'사업계획(매출 확정본)'!$Q$12:$Q$160,'사업계획(매출 확정본)'!$Q$14)</f>
        <v>7900000000</v>
      </c>
    </row>
    <row r="1557" spans="2:11" x14ac:dyDescent="0.3">
      <c r="B1557" t="s">
        <v>2836</v>
      </c>
      <c r="E1557" s="1042">
        <f>SUMIFS(계정별원장!$F$3:$F$5997,계정별원장!$A$3:$A$5997,"13",계정별원장!$B$3:$B$5997,Sheet3!$B1557)</f>
        <v>0</v>
      </c>
      <c r="F1557" s="1042">
        <f>SUMIFS(계정별원장!$F$3:$F$5997,계정별원장!$A$3:$A$5997,"14",계정별원장!$B$3:$B$5997,Sheet3!$B1557)</f>
        <v>0</v>
      </c>
      <c r="G1557" s="1042">
        <f>SUMIFS(계정별원장!$F$3:$F$5997,계정별원장!$A$3:$A$5997,"15",계정별원장!$B$3:$B$5997,Sheet3!$B1557)</f>
        <v>0</v>
      </c>
      <c r="H1557" s="1042">
        <f>SUMIFS(계정별원장!$F$3:$F$5997,계정별원장!$A$3:$A$5997,"16",계정별원장!$B$3:$B$5997,Sheet3!$B1557)</f>
        <v>0</v>
      </c>
      <c r="I1557" s="1042">
        <v>4520271457</v>
      </c>
      <c r="J1557" s="153">
        <f>COUNTIF(표1[적요],B1557)</f>
        <v>145</v>
      </c>
      <c r="K1557" s="1042">
        <f>SUMIFS('사업계획(매출 확정본)'!S$12:S$160,'사업계획(매출 확정본)'!$M$12:$M$160,Sheet3!$B1557,'사업계획(매출 확정본)'!$Q$12:$Q$160,'사업계획(매출 확정본)'!$Q$14)</f>
        <v>5622500000</v>
      </c>
    </row>
    <row r="1558" spans="2:11" x14ac:dyDescent="0.3">
      <c r="B1558" t="s">
        <v>7364</v>
      </c>
      <c r="E1558" s="1042">
        <f>SUMIFS(계정별원장!$F$3:$F$5997,계정별원장!$A$3:$A$5997,"13",계정별원장!$B$3:$B$5997,Sheet3!$B1558)</f>
        <v>0</v>
      </c>
      <c r="F1558" s="1042">
        <f>SUMIFS(계정별원장!$F$3:$F$5997,계정별원장!$A$3:$A$5997,"14",계정별원장!$B$3:$B$5997,Sheet3!$B1558)</f>
        <v>0</v>
      </c>
      <c r="G1558" s="1042">
        <f>SUMIFS(계정별원장!$F$3:$F$5997,계정별원장!$A$3:$A$5997,"15",계정별원장!$B$3:$B$5997,Sheet3!$B1558)</f>
        <v>0</v>
      </c>
      <c r="H1558" s="1042">
        <f>SUMIFS(계정별원장!$F$3:$F$5997,계정별원장!$A$3:$A$5997,"16",계정별원장!$B$3:$B$5997,Sheet3!$B1558)</f>
        <v>0</v>
      </c>
      <c r="I1558" s="1042">
        <v>3495954000</v>
      </c>
      <c r="J1558" s="153">
        <f>COUNTIF(표1[적요],B1558)</f>
        <v>2</v>
      </c>
      <c r="K1558" s="1042">
        <f>SUMIFS('사업계획(매출 확정본)'!S$12:S$160,'사업계획(매출 확정본)'!$M$12:$M$160,Sheet3!$B1558,'사업계획(매출 확정본)'!$Q$12:$Q$160,'사업계획(매출 확정본)'!$Q$14)</f>
        <v>0</v>
      </c>
    </row>
    <row r="1559" spans="2:11" x14ac:dyDescent="0.3">
      <c r="B1559" t="s">
        <v>7170</v>
      </c>
      <c r="E1559" s="1042">
        <f>SUMIFS(계정별원장!$F$3:$F$5997,계정별원장!$A$3:$A$5997,"13",계정별원장!$B$3:$B$5997,Sheet3!$B1559)</f>
        <v>111614378</v>
      </c>
      <c r="F1559" s="1042">
        <f>SUMIFS(계정별원장!$F$3:$F$5997,계정별원장!$A$3:$A$5997,"14",계정별원장!$B$3:$B$5997,Sheet3!$B1559)</f>
        <v>95661373</v>
      </c>
      <c r="G1559" s="1042">
        <f>SUMIFS(계정별원장!$F$3:$F$5997,계정별원장!$A$3:$A$5997,"15",계정별원장!$B$3:$B$5997,Sheet3!$B1559)</f>
        <v>4656155539</v>
      </c>
      <c r="H1559" s="1042">
        <f>SUMIFS(계정별원장!$F$3:$F$5997,계정별원장!$A$3:$A$5997,"16",계정별원장!$B$3:$B$5997,Sheet3!$B1559)</f>
        <v>4800950000</v>
      </c>
      <c r="I1559" s="1042">
        <v>3238686596</v>
      </c>
      <c r="J1559" s="153">
        <f>COUNTIF(표1[적요],B1559)</f>
        <v>20</v>
      </c>
      <c r="K1559" s="1042">
        <f>SUMIFS('사업계획(매출 확정본)'!S$12:S$160,'사업계획(매출 확정본)'!$M$12:$M$160,Sheet3!$B1559,'사업계획(매출 확정본)'!$Q$12:$Q$160,'사업계획(매출 확정본)'!$Q$14)</f>
        <v>0</v>
      </c>
    </row>
    <row r="1560" spans="2:11" x14ac:dyDescent="0.3">
      <c r="B1560" t="s">
        <v>2060</v>
      </c>
      <c r="E1560" s="1042">
        <f>SUMIFS(계정별원장!$F$3:$F$5997,계정별원장!$A$3:$A$5997,"13",계정별원장!$B$3:$B$5997,Sheet3!$B1560)</f>
        <v>0</v>
      </c>
      <c r="F1560" s="1042">
        <f>SUMIFS(계정별원장!$F$3:$F$5997,계정별원장!$A$3:$A$5997,"14",계정별원장!$B$3:$B$5997,Sheet3!$B1560)</f>
        <v>0</v>
      </c>
      <c r="G1560" s="1042">
        <f>SUMIFS(계정별원장!$F$3:$F$5997,계정별원장!$A$3:$A$5997,"15",계정별원장!$B$3:$B$5997,Sheet3!$B1560)</f>
        <v>0</v>
      </c>
      <c r="H1560" s="1042">
        <f>SUMIFS(계정별원장!$F$3:$F$5997,계정별원장!$A$3:$A$5997,"16",계정별원장!$B$3:$B$5997,Sheet3!$B1560)</f>
        <v>0</v>
      </c>
      <c r="I1560" s="1042">
        <v>2637672726</v>
      </c>
      <c r="J1560" s="153">
        <f>COUNTIF(표1[적요],B1560)</f>
        <v>16</v>
      </c>
      <c r="K1560" s="1042">
        <f>SUMIFS('사업계획(매출 확정본)'!S$12:S$160,'사업계획(매출 확정본)'!$M$12:$M$160,Sheet3!$B1560,'사업계획(매출 확정본)'!$Q$12:$Q$160,'사업계획(매출 확정본)'!$Q$14)</f>
        <v>6270000000</v>
      </c>
    </row>
    <row r="1561" spans="2:11" x14ac:dyDescent="0.3">
      <c r="B1561" t="s">
        <v>2051</v>
      </c>
      <c r="E1561" s="1042">
        <f>SUMIFS(계정별원장!$F$3:$F$5997,계정별원장!$A$3:$A$5997,"13",계정별원장!$B$3:$B$5997,Sheet3!$B1561)</f>
        <v>0</v>
      </c>
      <c r="F1561" s="1042">
        <f>SUMIFS(계정별원장!$F$3:$F$5997,계정별원장!$A$3:$A$5997,"14",계정별원장!$B$3:$B$5997,Sheet3!$B1561)</f>
        <v>0</v>
      </c>
      <c r="G1561" s="1042">
        <f>SUMIFS(계정별원장!$F$3:$F$5997,계정별원장!$A$3:$A$5997,"15",계정별원장!$B$3:$B$5997,Sheet3!$B1561)</f>
        <v>0</v>
      </c>
      <c r="H1561" s="1042">
        <f>SUMIFS(계정별원장!$F$3:$F$5997,계정별원장!$A$3:$A$5997,"16",계정별원장!$B$3:$B$5997,Sheet3!$B1561)</f>
        <v>0</v>
      </c>
      <c r="I1561" s="1042">
        <v>2414000000</v>
      </c>
      <c r="J1561" s="153">
        <f>COUNTIF(표1[적요],B1561)</f>
        <v>2</v>
      </c>
      <c r="K1561" s="1042">
        <f>SUMIFS('사업계획(매출 확정본)'!S$12:S$160,'사업계획(매출 확정본)'!$M$12:$M$160,Sheet3!$B1561,'사업계획(매출 확정본)'!$Q$12:$Q$160,'사업계획(매출 확정본)'!$Q$14)</f>
        <v>2990000000</v>
      </c>
    </row>
    <row r="1562" spans="2:11" x14ac:dyDescent="0.3">
      <c r="B1562" t="s">
        <v>2032</v>
      </c>
      <c r="E1562" s="1042">
        <f>SUMIFS(계정별원장!$F$3:$F$5997,계정별원장!$A$3:$A$5997,"13",계정별원장!$B$3:$B$5997,Sheet3!$B1562)</f>
        <v>1515999183</v>
      </c>
      <c r="F1562" s="1042">
        <f>SUMIFS(계정별원장!$F$3:$F$5997,계정별원장!$A$3:$A$5997,"14",계정별원장!$B$3:$B$5997,Sheet3!$B1562)</f>
        <v>989538178</v>
      </c>
      <c r="G1562" s="1042">
        <f>SUMIFS(계정별원장!$F$3:$F$5997,계정별원장!$A$3:$A$5997,"15",계정별원장!$B$3:$B$5997,Sheet3!$B1562)</f>
        <v>22374590</v>
      </c>
      <c r="H1562" s="1042">
        <f>SUMIFS(계정별원장!$F$3:$F$5997,계정별원장!$A$3:$A$5997,"16",계정별원장!$B$3:$B$5997,Sheet3!$B1562)</f>
        <v>0</v>
      </c>
      <c r="I1562" s="1042">
        <v>2282731090</v>
      </c>
      <c r="J1562" s="153">
        <f>COUNTIF(표1[적요],B1562)</f>
        <v>80</v>
      </c>
      <c r="K1562" s="1042">
        <f>SUMIFS('사업계획(매출 확정본)'!S$12:S$160,'사업계획(매출 확정본)'!$M$12:$M$160,Sheet3!$B1562,'사업계획(매출 확정본)'!$Q$12:$Q$160,'사업계획(매출 확정본)'!$Q$14)</f>
        <v>2094500000</v>
      </c>
    </row>
    <row r="1563" spans="2:11" x14ac:dyDescent="0.3">
      <c r="B1563" t="s">
        <v>7282</v>
      </c>
      <c r="E1563" s="1042">
        <f>SUMIFS(계정별원장!$F$3:$F$5997,계정별원장!$A$3:$A$5997,"13",계정별원장!$B$3:$B$5997,Sheet3!$B1563)</f>
        <v>0</v>
      </c>
      <c r="F1563" s="1042">
        <f>SUMIFS(계정별원장!$F$3:$F$5997,계정별원장!$A$3:$A$5997,"14",계정별원장!$B$3:$B$5997,Sheet3!$B1563)</f>
        <v>0</v>
      </c>
      <c r="G1563" s="1042">
        <f>SUMIFS(계정별원장!$F$3:$F$5997,계정별원장!$A$3:$A$5997,"15",계정별원장!$B$3:$B$5997,Sheet3!$B1563)</f>
        <v>1645500000</v>
      </c>
      <c r="H1563" s="1042">
        <f>SUMIFS(계정별원장!$F$3:$F$5997,계정별원장!$A$3:$A$5997,"16",계정별원장!$B$3:$B$5997,Sheet3!$B1563)</f>
        <v>2810677273</v>
      </c>
      <c r="I1563" s="1042">
        <v>2200000000</v>
      </c>
      <c r="J1563" s="153">
        <f>COUNTIF(표1[적요],B1563)</f>
        <v>14</v>
      </c>
      <c r="K1563" s="1042">
        <f>SUMIFS('사업계획(매출 확정본)'!S$12:S$160,'사업계획(매출 확정본)'!$M$12:$M$160,Sheet3!$B1563,'사업계획(매출 확정본)'!$Q$12:$Q$160,'사업계획(매출 확정본)'!$Q$14)</f>
        <v>0</v>
      </c>
    </row>
    <row r="1564" spans="2:11" x14ac:dyDescent="0.3">
      <c r="B1564" t="s">
        <v>7154</v>
      </c>
      <c r="E1564" s="1042">
        <f>SUMIFS(계정별원장!$F$3:$F$5997,계정별원장!$A$3:$A$5997,"13",계정별원장!$B$3:$B$5997,Sheet3!$B1564)</f>
        <v>242439953</v>
      </c>
      <c r="F1564" s="1042">
        <f>SUMIFS(계정별원장!$F$3:$F$5997,계정별원장!$A$3:$A$5997,"14",계정별원장!$B$3:$B$5997,Sheet3!$B1564)</f>
        <v>121930459</v>
      </c>
      <c r="G1564" s="1042">
        <f>SUMIFS(계정별원장!$F$3:$F$5997,계정별원장!$A$3:$A$5997,"15",계정별원장!$B$3:$B$5997,Sheet3!$B1564)</f>
        <v>3101594484</v>
      </c>
      <c r="H1564" s="1042">
        <f>SUMIFS(계정별원장!$F$3:$F$5997,계정별원장!$A$3:$A$5997,"16",계정별원장!$B$3:$B$5997,Sheet3!$B1564)</f>
        <v>5588614966</v>
      </c>
      <c r="I1564" s="1042">
        <v>1947290281</v>
      </c>
      <c r="J1564" s="153">
        <f>COUNTIF(표1[적요],B1564)</f>
        <v>41</v>
      </c>
      <c r="K1564" s="1042">
        <f>SUMIFS('사업계획(매출 확정본)'!S$12:S$160,'사업계획(매출 확정본)'!$M$12:$M$160,Sheet3!$B1564,'사업계획(매출 확정본)'!$Q$12:$Q$160,'사업계획(매출 확정본)'!$Q$14)</f>
        <v>0</v>
      </c>
    </row>
    <row r="1565" spans="2:11" x14ac:dyDescent="0.3">
      <c r="B1565" t="s">
        <v>2043</v>
      </c>
      <c r="E1565" s="1042">
        <f>SUMIFS(계정별원장!$F$3:$F$5997,계정별원장!$A$3:$A$5997,"13",계정별원장!$B$3:$B$5997,Sheet3!$B1565)</f>
        <v>1303240910</v>
      </c>
      <c r="F1565" s="1042">
        <f>SUMIFS(계정별원장!$F$3:$F$5997,계정별원장!$A$3:$A$5997,"14",계정별원장!$B$3:$B$5997,Sheet3!$B1565)</f>
        <v>521481944</v>
      </c>
      <c r="G1565" s="1042">
        <f>SUMIFS(계정별원장!$F$3:$F$5997,계정별원장!$A$3:$A$5997,"15",계정별원장!$B$3:$B$5997,Sheet3!$B1565)</f>
        <v>0</v>
      </c>
      <c r="H1565" s="1042">
        <f>SUMIFS(계정별원장!$F$3:$F$5997,계정별원장!$A$3:$A$5997,"16",계정별원장!$B$3:$B$5997,Sheet3!$B1565)</f>
        <v>0</v>
      </c>
      <c r="I1565" s="1042">
        <v>1854359089</v>
      </c>
      <c r="J1565" s="153">
        <f>COUNTIF(표1[적요],B1565)</f>
        <v>34</v>
      </c>
      <c r="K1565" s="1042">
        <f>SUMIFS('사업계획(매출 확정본)'!S$12:S$160,'사업계획(매출 확정본)'!$M$12:$M$160,Sheet3!$B1565,'사업계획(매출 확정본)'!$Q$12:$Q$160,'사업계획(매출 확정본)'!$Q$14)</f>
        <v>3124400000</v>
      </c>
    </row>
    <row r="1566" spans="2:11" x14ac:dyDescent="0.3">
      <c r="B1566" t="s">
        <v>2061</v>
      </c>
      <c r="E1566" s="1042">
        <f>SUMIFS(계정별원장!$F$3:$F$5997,계정별원장!$A$3:$A$5997,"13",계정별원장!$B$3:$B$5997,Sheet3!$B1566)</f>
        <v>0</v>
      </c>
      <c r="F1566" s="1042">
        <f>SUMIFS(계정별원장!$F$3:$F$5997,계정별원장!$A$3:$A$5997,"14",계정별원장!$B$3:$B$5997,Sheet3!$B1566)</f>
        <v>0</v>
      </c>
      <c r="G1566" s="1042">
        <f>SUMIFS(계정별원장!$F$3:$F$5997,계정별원장!$A$3:$A$5997,"15",계정별원장!$B$3:$B$5997,Sheet3!$B1566)</f>
        <v>0</v>
      </c>
      <c r="H1566" s="1042">
        <f>SUMIFS(계정별원장!$F$3:$F$5997,계정별원장!$A$3:$A$5997,"16",계정별원장!$B$3:$B$5997,Sheet3!$B1566)</f>
        <v>0</v>
      </c>
      <c r="I1566" s="1042">
        <v>1775272727</v>
      </c>
      <c r="J1566" s="153">
        <f>COUNTIF(표1[적요],B1566)</f>
        <v>12</v>
      </c>
      <c r="K1566" s="1042">
        <f>SUMIFS('사업계획(매출 확정본)'!S$12:S$160,'사업계획(매출 확정본)'!$M$12:$M$160,Sheet3!$B1566,'사업계획(매출 확정본)'!$Q$12:$Q$160,'사업계획(매출 확정본)'!$Q$14)</f>
        <v>5197500000</v>
      </c>
    </row>
    <row r="1567" spans="2:11" x14ac:dyDescent="0.3">
      <c r="B1567" t="s">
        <v>7261</v>
      </c>
      <c r="E1567" s="1042">
        <f>SUMIFS(계정별원장!$F$3:$F$5997,계정별원장!$A$3:$A$5997,"13",계정별원장!$B$3:$B$5997,Sheet3!$B1567)</f>
        <v>0</v>
      </c>
      <c r="F1567" s="1042">
        <f>SUMIFS(계정별원장!$F$3:$F$5997,계정별원장!$A$3:$A$5997,"14",계정별원장!$B$3:$B$5997,Sheet3!$B1567)</f>
        <v>0</v>
      </c>
      <c r="G1567" s="1042">
        <f>SUMIFS(계정별원장!$F$3:$F$5997,계정별원장!$A$3:$A$5997,"15",계정별원장!$B$3:$B$5997,Sheet3!$B1567)</f>
        <v>3377868184</v>
      </c>
      <c r="H1567" s="1042">
        <f>SUMIFS(계정별원장!$F$3:$F$5997,계정별원장!$A$3:$A$5997,"16",계정별원장!$B$3:$B$5997,Sheet3!$B1567)</f>
        <v>3934604545</v>
      </c>
      <c r="I1567" s="1042">
        <v>1741279345</v>
      </c>
      <c r="J1567" s="153">
        <f>COUNTIF(표1[적요],B1567)</f>
        <v>13</v>
      </c>
      <c r="K1567" s="1042">
        <f>SUMIFS('사업계획(매출 확정본)'!S$12:S$160,'사업계획(매출 확정본)'!$M$12:$M$160,Sheet3!$B1567,'사업계획(매출 확정본)'!$Q$12:$Q$160,'사업계획(매출 확정본)'!$Q$14)</f>
        <v>0</v>
      </c>
    </row>
    <row r="1568" spans="2:11" x14ac:dyDescent="0.3">
      <c r="B1568" t="s">
        <v>2840</v>
      </c>
      <c r="E1568" s="1042">
        <f>SUMIFS(계정별원장!$F$3:$F$5997,계정별원장!$A$3:$A$5997,"13",계정별원장!$B$3:$B$5997,Sheet3!$B1568)</f>
        <v>0</v>
      </c>
      <c r="F1568" s="1042">
        <f>SUMIFS(계정별원장!$F$3:$F$5997,계정별원장!$A$3:$A$5997,"14",계정별원장!$B$3:$B$5997,Sheet3!$B1568)</f>
        <v>0</v>
      </c>
      <c r="G1568" s="1042">
        <f>SUMIFS(계정별원장!$F$3:$F$5997,계정별원장!$A$3:$A$5997,"15",계정별원장!$B$3:$B$5997,Sheet3!$B1568)</f>
        <v>0</v>
      </c>
      <c r="H1568" s="1042">
        <f>SUMIFS(계정별원장!$F$3:$F$5997,계정별원장!$A$3:$A$5997,"16",계정별원장!$B$3:$B$5997,Sheet3!$B1568)</f>
        <v>0</v>
      </c>
      <c r="I1568" s="1042">
        <v>1638000000</v>
      </c>
      <c r="J1568" s="153">
        <f>COUNTIF(표1[적요],B1568)</f>
        <v>8</v>
      </c>
      <c r="K1568" s="1042">
        <f>SUMIFS('사업계획(매출 확정본)'!S$12:S$160,'사업계획(매출 확정본)'!$M$12:$M$160,Sheet3!$B1568,'사업계획(매출 확정본)'!$Q$12:$Q$160,'사업계획(매출 확정본)'!$Q$14)</f>
        <v>1640000000</v>
      </c>
    </row>
    <row r="1569" spans="2:12" x14ac:dyDescent="0.3">
      <c r="B1569" t="s">
        <v>2028</v>
      </c>
      <c r="E1569" s="1042">
        <f>SUMIFS(계정별원장!$F$3:$F$5997,계정별원장!$A$3:$A$5997,"13",계정별원장!$B$3:$B$5997,Sheet3!$B1569)</f>
        <v>1383420902</v>
      </c>
      <c r="F1569" s="1042">
        <f>SUMIFS(계정별원장!$F$3:$F$5997,계정별원장!$A$3:$A$5997,"14",계정별원장!$B$3:$B$5997,Sheet3!$B1569)</f>
        <v>898819141</v>
      </c>
      <c r="G1569" s="1042">
        <f>SUMIFS(계정별원장!$F$3:$F$5997,계정별원장!$A$3:$A$5997,"15",계정별원장!$B$3:$B$5997,Sheet3!$B1569)</f>
        <v>0</v>
      </c>
      <c r="H1569" s="1042">
        <f>SUMIFS(계정별원장!$F$3:$F$5997,계정별원장!$A$3:$A$5997,"16",계정별원장!$B$3:$B$5997,Sheet3!$B1569)</f>
        <v>12200000</v>
      </c>
      <c r="I1569" s="1042">
        <v>1609368456</v>
      </c>
      <c r="J1569" s="153">
        <f>COUNTIF(표1[적요],B1569)</f>
        <v>102</v>
      </c>
      <c r="K1569" s="1042">
        <f>SUMIFS('사업계획(매출 확정본)'!S$12:S$160,'사업계획(매출 확정본)'!$M$12:$M$160,Sheet3!$B1569,'사업계획(매출 확정본)'!$Q$12:$Q$160,'사업계획(매출 확정본)'!$Q$14)</f>
        <v>3375000000</v>
      </c>
    </row>
    <row r="1570" spans="2:12" x14ac:dyDescent="0.3">
      <c r="B1570" t="s">
        <v>7176</v>
      </c>
      <c r="E1570" s="1042">
        <f>SUMIFS(계정별원장!$F$3:$F$5997,계정별원장!$A$3:$A$5997,"13",계정별원장!$B$3:$B$5997,Sheet3!$B1570)</f>
        <v>89673194</v>
      </c>
      <c r="F1570" s="1042">
        <f>SUMIFS(계정별원장!$F$3:$F$5997,계정별원장!$A$3:$A$5997,"14",계정별원장!$B$3:$B$5997,Sheet3!$B1570)</f>
        <v>37987200</v>
      </c>
      <c r="G1570" s="1042">
        <f>SUMIFS(계정별원장!$F$3:$F$5997,계정별원장!$A$3:$A$5997,"15",계정별원장!$B$3:$B$5997,Sheet3!$B1570)</f>
        <v>3668480002</v>
      </c>
      <c r="H1570" s="1042">
        <f>SUMIFS(계정별원장!$F$3:$F$5997,계정별원장!$A$3:$A$5997,"16",계정별원장!$B$3:$B$5997,Sheet3!$B1570)</f>
        <v>6357136815</v>
      </c>
      <c r="I1570" s="1042">
        <v>1598507323</v>
      </c>
      <c r="J1570" s="153">
        <f>COUNTIF(표1[적요],B1570)</f>
        <v>39</v>
      </c>
      <c r="K1570" s="1042">
        <f>SUMIFS('사업계획(매출 확정본)'!S$12:S$160,'사업계획(매출 확정본)'!$M$12:$M$160,Sheet3!$B1570,'사업계획(매출 확정본)'!$Q$12:$Q$160,'사업계획(매출 확정본)'!$Q$14)</f>
        <v>0</v>
      </c>
    </row>
    <row r="1571" spans="2:12" x14ac:dyDescent="0.3">
      <c r="B1571" t="s">
        <v>7203</v>
      </c>
      <c r="E1571" s="1042">
        <f>SUMIFS(계정별원장!$F$3:$F$5997,계정별원장!$A$3:$A$5997,"13",계정별원장!$B$3:$B$5997,Sheet3!$B1571)</f>
        <v>0</v>
      </c>
      <c r="F1571" s="1042">
        <f>SUMIFS(계정별원장!$F$3:$F$5997,계정별원장!$A$3:$A$5997,"14",계정별원장!$B$3:$B$5997,Sheet3!$B1571)</f>
        <v>34390118</v>
      </c>
      <c r="G1571" s="1042">
        <f>SUMIFS(계정별원장!$F$3:$F$5997,계정별원장!$A$3:$A$5997,"15",계정별원장!$B$3:$B$5997,Sheet3!$B1571)</f>
        <v>11111963779</v>
      </c>
      <c r="H1571" s="1042">
        <f>SUMIFS(계정별원장!$F$3:$F$5997,계정별원장!$A$3:$A$5997,"16",계정별원장!$B$3:$B$5997,Sheet3!$B1571)</f>
        <v>13249563649</v>
      </c>
      <c r="I1571" s="1042">
        <v>1492475901</v>
      </c>
      <c r="J1571" s="153">
        <f>COUNTIF(표1[적요],B1571)</f>
        <v>46</v>
      </c>
      <c r="K1571" s="1042">
        <f>SUMIFS('사업계획(매출 확정본)'!S$12:S$160,'사업계획(매출 확정본)'!$M$12:$M$160,Sheet3!$B1571,'사업계획(매출 확정본)'!$Q$12:$Q$160,'사업계획(매출 확정본)'!$Q$14)</f>
        <v>0</v>
      </c>
    </row>
    <row r="1572" spans="2:12" x14ac:dyDescent="0.3">
      <c r="B1572" t="s">
        <v>7374</v>
      </c>
      <c r="E1572" s="1042">
        <f>SUMIFS(계정별원장!$F$3:$F$5997,계정별원장!$A$3:$A$5997,"13",계정별원장!$B$3:$B$5997,Sheet3!$B1572)</f>
        <v>0</v>
      </c>
      <c r="F1572" s="1042">
        <f>SUMIFS(계정별원장!$F$3:$F$5997,계정별원장!$A$3:$A$5997,"14",계정별원장!$B$3:$B$5997,Sheet3!$B1572)</f>
        <v>0</v>
      </c>
      <c r="G1572" s="1042">
        <f>SUMIFS(계정별원장!$F$3:$F$5997,계정별원장!$A$3:$A$5997,"15",계정별원장!$B$3:$B$5997,Sheet3!$B1572)</f>
        <v>0</v>
      </c>
      <c r="H1572" s="1042">
        <f>SUMIFS(계정별원장!$F$3:$F$5997,계정별원장!$A$3:$A$5997,"16",계정별원장!$B$3:$B$5997,Sheet3!$B1572)</f>
        <v>0</v>
      </c>
      <c r="I1572" s="1042">
        <v>1296575000</v>
      </c>
      <c r="J1572" s="153">
        <f>COUNTIF(표1[적요],B1572)</f>
        <v>1</v>
      </c>
      <c r="K1572" s="1042">
        <f>SUMIFS('사업계획(매출 확정본)'!S$12:S$160,'사업계획(매출 확정본)'!$M$12:$M$160,Sheet3!$B1572,'사업계획(매출 확정본)'!$Q$12:$Q$160,'사업계획(매출 확정본)'!$Q$14)</f>
        <v>0</v>
      </c>
    </row>
    <row r="1573" spans="2:12" x14ac:dyDescent="0.3">
      <c r="B1573" t="s">
        <v>7378</v>
      </c>
      <c r="E1573" s="1042">
        <f>SUMIFS(계정별원장!$F$3:$F$5997,계정별원장!$A$3:$A$5997,"13",계정별원장!$B$3:$B$5997,Sheet3!$B1573)</f>
        <v>0</v>
      </c>
      <c r="F1573" s="1042">
        <f>SUMIFS(계정별원장!$F$3:$F$5997,계정별원장!$A$3:$A$5997,"14",계정별원장!$B$3:$B$5997,Sheet3!$B1573)</f>
        <v>0</v>
      </c>
      <c r="G1573" s="1042">
        <f>SUMIFS(계정별원장!$F$3:$F$5997,계정별원장!$A$3:$A$5997,"15",계정별원장!$B$3:$B$5997,Sheet3!$B1573)</f>
        <v>0</v>
      </c>
      <c r="H1573" s="1042">
        <f>SUMIFS(계정별원장!$F$3:$F$5997,계정별원장!$A$3:$A$5997,"16",계정별원장!$B$3:$B$5997,Sheet3!$B1573)</f>
        <v>0</v>
      </c>
      <c r="I1573" s="1042">
        <v>1149250000</v>
      </c>
      <c r="J1573" s="153">
        <f>COUNTIF(표1[적요],B1573)</f>
        <v>1</v>
      </c>
      <c r="K1573" s="1042">
        <f>SUMIFS('사업계획(매출 확정본)'!S$12:S$160,'사업계획(매출 확정본)'!$M$12:$M$160,Sheet3!$B1573,'사업계획(매출 확정본)'!$Q$12:$Q$160,'사업계획(매출 확정본)'!$Q$14)</f>
        <v>0</v>
      </c>
    </row>
    <row r="1574" spans="2:12" x14ac:dyDescent="0.3">
      <c r="B1574" t="s">
        <v>7273</v>
      </c>
      <c r="E1574" s="1042">
        <f>SUMIFS(계정별원장!$F$3:$F$5997,계정별원장!$A$3:$A$5997,"13",계정별원장!$B$3:$B$5997,Sheet3!$B1574)</f>
        <v>0</v>
      </c>
      <c r="F1574" s="1042">
        <f>SUMIFS(계정별원장!$F$3:$F$5997,계정별원장!$A$3:$A$5997,"14",계정별원장!$B$3:$B$5997,Sheet3!$B1574)</f>
        <v>0</v>
      </c>
      <c r="G1574" s="1042">
        <f>SUMIFS(계정별원장!$F$3:$F$5997,계정별원장!$A$3:$A$5997,"15",계정별원장!$B$3:$B$5997,Sheet3!$B1574)</f>
        <v>2246072727</v>
      </c>
      <c r="H1574" s="1042">
        <f>SUMIFS(계정별원장!$F$3:$F$5997,계정별원장!$A$3:$A$5997,"16",계정별원장!$B$3:$B$5997,Sheet3!$B1574)</f>
        <v>3137409091</v>
      </c>
      <c r="I1574" s="1042">
        <v>1055165222</v>
      </c>
      <c r="J1574" s="153">
        <f>COUNTIF(표1[적요],B1574)</f>
        <v>7</v>
      </c>
      <c r="K1574" s="1042">
        <f>SUMIFS('사업계획(매출 확정본)'!S$12:S$160,'사업계획(매출 확정본)'!$M$12:$M$160,Sheet3!$B1574,'사업계획(매출 확정본)'!$Q$12:$Q$160,'사업계획(매출 확정본)'!$Q$14)</f>
        <v>0</v>
      </c>
    </row>
    <row r="1575" spans="2:12" x14ac:dyDescent="0.3">
      <c r="B1575" t="s">
        <v>2055</v>
      </c>
      <c r="E1575" s="1042">
        <f>SUMIFS(계정별원장!$F$3:$F$5997,계정별원장!$A$3:$A$5997,"13",계정별원장!$B$3:$B$5997,Sheet3!$B1575)</f>
        <v>0</v>
      </c>
      <c r="F1575" s="1042">
        <f>SUMIFS(계정별원장!$F$3:$F$5997,계정별원장!$A$3:$A$5997,"14",계정별원장!$B$3:$B$5997,Sheet3!$B1575)</f>
        <v>363385272</v>
      </c>
      <c r="G1575" s="1042">
        <f>SUMIFS(계정별원장!$F$3:$F$5997,계정별원장!$A$3:$A$5997,"15",계정별원장!$B$3:$B$5997,Sheet3!$B1575)</f>
        <v>60700000</v>
      </c>
      <c r="H1575" s="1042">
        <f>SUMIFS(계정별원장!$F$3:$F$5997,계정별원장!$A$3:$A$5997,"16",계정별원장!$B$3:$B$5997,Sheet3!$B1575)</f>
        <v>50237000</v>
      </c>
      <c r="I1575" s="1042">
        <v>1024459909</v>
      </c>
      <c r="J1575" s="153">
        <f>COUNTIF(표1[적요],B1575)</f>
        <v>17</v>
      </c>
      <c r="K1575" s="1042">
        <f>SUMIFS('사업계획(매출 확정본)'!S$12:S$160,'사업계획(매출 확정본)'!$M$12:$M$160,Sheet3!$B1575,'사업계획(매출 확정본)'!$Q$12:$Q$160,'사업계획(매출 확정본)'!$Q$14)</f>
        <v>2375000000</v>
      </c>
    </row>
    <row r="1576" spans="2:12" x14ac:dyDescent="0.3">
      <c r="B1576" t="s">
        <v>2049</v>
      </c>
      <c r="E1576" s="1042">
        <f>SUMIFS(계정별원장!$F$3:$F$5997,계정별원장!$A$3:$A$5997,"13",계정별원장!$B$3:$B$5997,Sheet3!$B1576)</f>
        <v>0</v>
      </c>
      <c r="F1576" s="1042">
        <f>SUMIFS(계정별원장!$F$3:$F$5997,계정별원장!$A$3:$A$5997,"14",계정별원장!$B$3:$B$5997,Sheet3!$B1576)</f>
        <v>42045455</v>
      </c>
      <c r="G1576" s="1042">
        <f>SUMIFS(계정별원장!$F$3:$F$5997,계정별원장!$A$3:$A$5997,"15",계정별원장!$B$3:$B$5997,Sheet3!$B1576)</f>
        <v>0</v>
      </c>
      <c r="H1576" s="1042">
        <f>SUMIFS(계정별원장!$F$3:$F$5997,계정별원장!$A$3:$A$5997,"16",계정별원장!$B$3:$B$5997,Sheet3!$B1576)</f>
        <v>0</v>
      </c>
      <c r="I1576" s="1042">
        <v>892559097</v>
      </c>
      <c r="J1576" s="153">
        <f>COUNTIF(표1[적요],B1576)</f>
        <v>7</v>
      </c>
      <c r="K1576" s="1042">
        <f>SUMIFS('사업계획(매출 확정본)'!S$12:S$160,'사업계획(매출 확정본)'!$M$12:$M$160,Sheet3!$B1576,'사업계획(매출 확정본)'!$Q$12:$Q$160,'사업계획(매출 확정본)'!$Q$14)</f>
        <v>1265000000</v>
      </c>
    </row>
    <row r="1577" spans="2:12" x14ac:dyDescent="0.3">
      <c r="B1577" s="1529" t="s">
        <v>3937</v>
      </c>
      <c r="C1577" s="1529"/>
      <c r="D1577" s="1529"/>
      <c r="E1577" s="1042">
        <f>SUMIFS(계정별원장!$F$3:$F$5997,계정별원장!$A$3:$A$5997,"13",계정별원장!$B$3:$B$5997,Sheet3!$B1577)</f>
        <v>820565302</v>
      </c>
      <c r="F1577" s="1042">
        <f>SUMIFS(계정별원장!$F$3:$F$5997,계정별원장!$A$3:$A$5997,"14",계정별원장!$B$3:$B$5997,Sheet3!$B1577)</f>
        <v>14962482998</v>
      </c>
      <c r="G1577" s="1042">
        <f>SUMIFS(계정별원장!$F$3:$F$5997,계정별원장!$A$3:$A$5997,"15",계정별원장!$B$3:$B$5997,Sheet3!$B1577)</f>
        <v>8808256449</v>
      </c>
      <c r="H1577" s="1042">
        <f>SUMIFS(계정별원장!$F$3:$F$5997,계정별원장!$A$3:$A$5997,"16",계정별원장!$B$3:$B$5997,Sheet3!$B1577)</f>
        <v>0</v>
      </c>
      <c r="I1577" s="1619">
        <v>725410274</v>
      </c>
      <c r="J1577" s="1529">
        <f>COUNTIF(표1[적요],B1577)</f>
        <v>12</v>
      </c>
      <c r="K1577" s="1619">
        <f>SUMIFS('사업계획(매출 확정본)'!S$12:S$160,'사업계획(매출 확정본)'!$M$12:$M$160,Sheet3!$B1577,'사업계획(매출 확정본)'!$Q$12:$Q$160,'사업계획(매출 확정본)'!$Q$14)</f>
        <v>0</v>
      </c>
      <c r="L1577" t="s">
        <v>7391</v>
      </c>
    </row>
    <row r="1578" spans="2:12" x14ac:dyDescent="0.3">
      <c r="B1578" t="s">
        <v>2068</v>
      </c>
      <c r="E1578" s="1042">
        <f>SUMIFS(계정별원장!$F$3:$F$5997,계정별원장!$A$3:$A$5997,"13",계정별원장!$B$3:$B$5997,Sheet3!$B1578)</f>
        <v>201500000</v>
      </c>
      <c r="F1578" s="1042">
        <f>SUMIFS(계정별원장!$F$3:$F$5997,계정별원장!$A$3:$A$5997,"14",계정별원장!$B$3:$B$5997,Sheet3!$B1578)</f>
        <v>46158000</v>
      </c>
      <c r="G1578" s="1042">
        <f>SUMIFS(계정별원장!$F$3:$F$5997,계정별원장!$A$3:$A$5997,"15",계정별원장!$B$3:$B$5997,Sheet3!$B1578)</f>
        <v>0</v>
      </c>
      <c r="H1578" s="1042">
        <f>SUMIFS(계정별원장!$F$3:$F$5997,계정별원장!$A$3:$A$5997,"16",계정별원장!$B$3:$B$5997,Sheet3!$B1578)+Sheet5!E1471</f>
        <v>6485027040</v>
      </c>
      <c r="I1578" s="1042">
        <v>699354809</v>
      </c>
      <c r="J1578" s="153">
        <f>COUNTIF(표1[적요],B1578)</f>
        <v>8</v>
      </c>
      <c r="K1578" s="1042">
        <f>SUMIFS('사업계획(매출 확정본)'!S$12:S$160,'사업계획(매출 확정본)'!$M$12:$M$160,Sheet3!$B1578,'사업계획(매출 확정본)'!$Q$12:$Q$160,'사업계획(매출 확정본)'!$Q$14)</f>
        <v>1766000000</v>
      </c>
    </row>
    <row r="1579" spans="2:12" x14ac:dyDescent="0.3">
      <c r="B1579" t="s">
        <v>2878</v>
      </c>
      <c r="E1579" s="1042">
        <f>SUMIFS(계정별원장!$F$3:$F$5997,계정별원장!$A$3:$A$5997,"13",계정별원장!$B$3:$B$5997,Sheet3!$B1579)</f>
        <v>0</v>
      </c>
      <c r="F1579" s="1042">
        <f>SUMIFS(계정별원장!$F$3:$F$5997,계정별원장!$A$3:$A$5997,"14",계정별원장!$B$3:$B$5997,Sheet3!$B1579)</f>
        <v>0</v>
      </c>
      <c r="G1579" s="1042">
        <f>SUMIFS(계정별원장!$F$3:$F$5997,계정별원장!$A$3:$A$5997,"15",계정별원장!$B$3:$B$5997,Sheet3!$B1579)</f>
        <v>0</v>
      </c>
      <c r="H1579" s="1042">
        <f>SUMIFS(계정별원장!$F$3:$F$5997,계정별원장!$A$3:$A$5997,"16",계정별원장!$B$3:$B$5997,Sheet3!$B1579)</f>
        <v>0</v>
      </c>
      <c r="I1579" s="1042">
        <v>627631500</v>
      </c>
      <c r="J1579" s="153">
        <f>COUNTIF(표1[적요],B1579)</f>
        <v>15</v>
      </c>
      <c r="K1579" s="1042">
        <f>SUMIFS('사업계획(매출 확정본)'!S$12:S$160,'사업계획(매출 확정본)'!$M$12:$M$160,Sheet3!$B1579,'사업계획(매출 확정본)'!$Q$12:$Q$160,'사업계획(매출 확정본)'!$Q$14)</f>
        <v>672000000</v>
      </c>
    </row>
    <row r="1580" spans="2:12" x14ac:dyDescent="0.3">
      <c r="B1580" t="s">
        <v>2035</v>
      </c>
      <c r="E1580" s="1042">
        <f>SUMIFS(계정별원장!$F$3:$F$5997,계정별원장!$A$3:$A$5997,"13",계정별원장!$B$3:$B$5997,Sheet3!$B1580)</f>
        <v>0</v>
      </c>
      <c r="F1580" s="1042">
        <f>SUMIFS(계정별원장!$F$3:$F$5997,계정별원장!$A$3:$A$5997,"14",계정별원장!$B$3:$B$5997,Sheet3!$B1580)</f>
        <v>0</v>
      </c>
      <c r="G1580" s="1042">
        <f>SUMIFS(계정별원장!$F$3:$F$5997,계정별원장!$A$3:$A$5997,"15",계정별원장!$B$3:$B$5997,Sheet3!$B1580)</f>
        <v>0</v>
      </c>
      <c r="H1580" s="1042">
        <f>SUMIFS(계정별원장!$F$3:$F$5997,계정별원장!$A$3:$A$5997,"16",계정별원장!$B$3:$B$5997,Sheet3!$B1580)</f>
        <v>0</v>
      </c>
      <c r="I1580" s="1042">
        <v>623143182</v>
      </c>
      <c r="J1580" s="153">
        <f>COUNTIF(표1[적요],B1580)</f>
        <v>13</v>
      </c>
      <c r="K1580" s="1042">
        <f>SUMIFS('사업계획(매출 확정본)'!S$12:S$160,'사업계획(매출 확정본)'!$M$12:$M$160,Sheet3!$B1580,'사업계획(매출 확정본)'!$Q$12:$Q$160,'사업계획(매출 확정본)'!$Q$14)</f>
        <v>1261000000</v>
      </c>
    </row>
    <row r="1581" spans="2:12" x14ac:dyDescent="0.3">
      <c r="B1581" t="s">
        <v>2034</v>
      </c>
      <c r="E1581" s="1042">
        <f>SUMIFS(계정별원장!$F$3:$F$5997,계정별원장!$A$3:$A$5997,"13",계정별원장!$B$3:$B$5997,Sheet3!$B1581)</f>
        <v>454980917</v>
      </c>
      <c r="F1581" s="1042">
        <f>SUMIFS(계정별원장!$F$3:$F$5997,계정별원장!$A$3:$A$5997,"14",계정별원장!$B$3:$B$5997,Sheet3!$B1581)</f>
        <v>123236365</v>
      </c>
      <c r="G1581" s="1042">
        <f>SUMIFS(계정별원장!$F$3:$F$5997,계정별원장!$A$3:$A$5997,"15",계정별원장!$B$3:$B$5997,Sheet3!$B1581)</f>
        <v>0</v>
      </c>
      <c r="H1581" s="1042">
        <f>SUMIFS(계정별원장!$F$3:$F$5997,계정별원장!$A$3:$A$5997,"16",계정별원장!$B$3:$B$5997,Sheet3!$B1581)</f>
        <v>0</v>
      </c>
      <c r="I1581" s="1042">
        <v>620799096</v>
      </c>
      <c r="J1581" s="153">
        <f>COUNTIF(표1[적요],B1581)</f>
        <v>14</v>
      </c>
      <c r="K1581" s="1042">
        <f>SUMIFS('사업계획(매출 확정본)'!S$12:S$160,'사업계획(매출 확정본)'!$M$12:$M$160,Sheet3!$B1581,'사업계획(매출 확정본)'!$Q$12:$Q$160,'사업계획(매출 확정본)'!$Q$14)</f>
        <v>728000000</v>
      </c>
    </row>
    <row r="1582" spans="2:12" x14ac:dyDescent="0.3">
      <c r="B1582" t="s">
        <v>7361</v>
      </c>
      <c r="E1582" s="1042">
        <f>SUMIFS(계정별원장!$F$3:$F$5997,계정별원장!$A$3:$A$5997,"13",계정별원장!$B$3:$B$5997,Sheet3!$B1582)</f>
        <v>0</v>
      </c>
      <c r="F1582" s="1042">
        <f>SUMIFS(계정별원장!$F$3:$F$5997,계정별원장!$A$3:$A$5997,"14",계정별원장!$B$3:$B$5997,Sheet3!$B1582)</f>
        <v>0</v>
      </c>
      <c r="G1582" s="1042">
        <f>SUMIFS(계정별원장!$F$3:$F$5997,계정별원장!$A$3:$A$5997,"15",계정별원장!$B$3:$B$5997,Sheet3!$B1582)</f>
        <v>0</v>
      </c>
      <c r="H1582" s="1042">
        <f>SUMIFS(계정별원장!$F$3:$F$5997,계정별원장!$A$3:$A$5997,"16",계정별원장!$B$3:$B$5997,Sheet3!$B1582)</f>
        <v>0</v>
      </c>
      <c r="I1582" s="1042">
        <v>571862000</v>
      </c>
      <c r="J1582" s="153">
        <f>COUNTIF(표1[적요],B1582)</f>
        <v>1</v>
      </c>
      <c r="K1582" s="1042">
        <f>SUMIFS('사업계획(매출 확정본)'!S$12:S$160,'사업계획(매출 확정본)'!$M$12:$M$160,Sheet3!$B1582,'사업계획(매출 확정본)'!$Q$12:$Q$160,'사업계획(매출 확정본)'!$Q$14)</f>
        <v>0</v>
      </c>
    </row>
    <row r="1583" spans="2:12" x14ac:dyDescent="0.3">
      <c r="B1583" t="s">
        <v>7369</v>
      </c>
      <c r="E1583" s="1042">
        <f>SUMIFS(계정별원장!$F$3:$F$5997,계정별원장!$A$3:$A$5997,"13",계정별원장!$B$3:$B$5997,Sheet3!$B1583)</f>
        <v>0</v>
      </c>
      <c r="F1583" s="1042">
        <f>SUMIFS(계정별원장!$F$3:$F$5997,계정별원장!$A$3:$A$5997,"14",계정별원장!$B$3:$B$5997,Sheet3!$B1583)</f>
        <v>0</v>
      </c>
      <c r="G1583" s="1042">
        <f>SUMIFS(계정별원장!$F$3:$F$5997,계정별원장!$A$3:$A$5997,"15",계정별원장!$B$3:$B$5997,Sheet3!$B1583)</f>
        <v>0</v>
      </c>
      <c r="H1583" s="1042">
        <f>SUMIFS(계정별원장!$F$3:$F$5997,계정별원장!$A$3:$A$5997,"16",계정별원장!$B$3:$B$5997,Sheet3!$B1583)</f>
        <v>0</v>
      </c>
      <c r="I1583" s="1042">
        <v>541908600</v>
      </c>
      <c r="J1583" s="153">
        <f>COUNTIF(표1[적요],B1583)</f>
        <v>1</v>
      </c>
      <c r="K1583" s="1042">
        <f>SUMIFS('사업계획(매출 확정본)'!S$12:S$160,'사업계획(매출 확정본)'!$M$12:$M$160,Sheet3!$B1583,'사업계획(매출 확정본)'!$Q$12:$Q$160,'사업계획(매출 확정본)'!$Q$14)</f>
        <v>0</v>
      </c>
    </row>
    <row r="1584" spans="2:12" x14ac:dyDescent="0.3">
      <c r="B1584" t="s">
        <v>7375</v>
      </c>
      <c r="E1584" s="1042">
        <f>SUMIFS(계정별원장!$F$3:$F$5997,계정별원장!$A$3:$A$5997,"13",계정별원장!$B$3:$B$5997,Sheet3!$B1584)</f>
        <v>0</v>
      </c>
      <c r="F1584" s="1042">
        <f>SUMIFS(계정별원장!$F$3:$F$5997,계정별원장!$A$3:$A$5997,"14",계정별원장!$B$3:$B$5997,Sheet3!$B1584)</f>
        <v>0</v>
      </c>
      <c r="G1584" s="1042">
        <f>SUMIFS(계정별원장!$F$3:$F$5997,계정별원장!$A$3:$A$5997,"15",계정별원장!$B$3:$B$5997,Sheet3!$B1584)</f>
        <v>0</v>
      </c>
      <c r="H1584" s="1042">
        <f>SUMIFS(계정별원장!$F$3:$F$5997,계정별원장!$A$3:$A$5997,"16",계정별원장!$B$3:$B$5997,Sheet3!$B1584)</f>
        <v>0</v>
      </c>
      <c r="I1584" s="1042">
        <v>532301250</v>
      </c>
      <c r="J1584" s="153">
        <f>COUNTIF(표1[적요],B1584)</f>
        <v>1</v>
      </c>
      <c r="K1584" s="1042">
        <f>SUMIFS('사업계획(매출 확정본)'!S$12:S$160,'사업계획(매출 확정본)'!$M$12:$M$160,Sheet3!$B1584,'사업계획(매출 확정본)'!$Q$12:$Q$160,'사업계획(매출 확정본)'!$Q$14)</f>
        <v>0</v>
      </c>
    </row>
    <row r="1585" spans="2:11" x14ac:dyDescent="0.3">
      <c r="B1585" t="s">
        <v>2067</v>
      </c>
      <c r="E1585" s="1042">
        <f>SUMIFS(계정별원장!$F$3:$F$5997,계정별원장!$A$3:$A$5997,"13",계정별원장!$B$3:$B$5997,Sheet3!$B1585)</f>
        <v>93636364</v>
      </c>
      <c r="F1585" s="1042">
        <f>SUMIFS(계정별원장!$F$3:$F$5997,계정별원장!$A$3:$A$5997,"14",계정별원장!$B$3:$B$5997,Sheet3!$B1585)</f>
        <v>309818184</v>
      </c>
      <c r="G1585" s="1042">
        <f>SUMIFS(계정별원장!$F$3:$F$5997,계정별원장!$A$3:$A$5997,"15",계정별원장!$B$3:$B$5997,Sheet3!$B1585)</f>
        <v>0</v>
      </c>
      <c r="H1585" s="1042">
        <f>SUMIFS(계정별원장!$F$3:$F$5997,계정별원장!$A$3:$A$5997,"16",계정별원장!$B$3:$B$5997,Sheet3!$B1585)</f>
        <v>0</v>
      </c>
      <c r="I1585" s="1042">
        <v>506700002</v>
      </c>
      <c r="J1585" s="153">
        <f>COUNTIF(표1[적요],B1585)</f>
        <v>9</v>
      </c>
      <c r="K1585" s="1042">
        <f>SUMIFS('사업계획(매출 확정본)'!S$12:S$160,'사업계획(매출 확정본)'!$M$12:$M$160,Sheet3!$B1585,'사업계획(매출 확정본)'!$Q$12:$Q$160,'사업계획(매출 확정본)'!$Q$14)</f>
        <v>2230000000</v>
      </c>
    </row>
    <row r="1586" spans="2:11" x14ac:dyDescent="0.3">
      <c r="B1586" t="s">
        <v>7372</v>
      </c>
      <c r="E1586" s="1042">
        <f>SUMIFS(계정별원장!$F$3:$F$5997,계정별원장!$A$3:$A$5997,"13",계정별원장!$B$3:$B$5997,Sheet3!$B1586)</f>
        <v>0</v>
      </c>
      <c r="F1586" s="1042">
        <f>SUMIFS(계정별원장!$F$3:$F$5997,계정별원장!$A$3:$A$5997,"14",계정별원장!$B$3:$B$5997,Sheet3!$B1586)</f>
        <v>0</v>
      </c>
      <c r="G1586" s="1042">
        <f>SUMIFS(계정별원장!$F$3:$F$5997,계정별원장!$A$3:$A$5997,"15",계정별원장!$B$3:$B$5997,Sheet3!$B1586)</f>
        <v>0</v>
      </c>
      <c r="H1586" s="1042">
        <f>SUMIFS(계정별원장!$F$3:$F$5997,계정별원장!$A$3:$A$5997,"16",계정별원장!$B$3:$B$5997,Sheet3!$B1586)</f>
        <v>0</v>
      </c>
      <c r="I1586" s="1042">
        <v>502149915</v>
      </c>
      <c r="J1586" s="153">
        <f>COUNTIF(표1[적요],B1586)</f>
        <v>1</v>
      </c>
      <c r="K1586" s="1042">
        <f>SUMIFS('사업계획(매출 확정본)'!S$12:S$160,'사업계획(매출 확정본)'!$M$12:$M$160,Sheet3!$B1586,'사업계획(매출 확정본)'!$Q$12:$Q$160,'사업계획(매출 확정본)'!$Q$14)</f>
        <v>0</v>
      </c>
    </row>
    <row r="1587" spans="2:11" x14ac:dyDescent="0.3">
      <c r="B1587" t="s">
        <v>2883</v>
      </c>
      <c r="E1587" s="1042">
        <f>SUMIFS(계정별원장!$F$3:$F$5997,계정별원장!$A$3:$A$5997,"13",계정별원장!$B$3:$B$5997,Sheet3!$B1587)</f>
        <v>0</v>
      </c>
      <c r="F1587" s="1042">
        <f>SUMIFS(계정별원장!$F$3:$F$5997,계정별원장!$A$3:$A$5997,"14",계정별원장!$B$3:$B$5997,Sheet3!$B1587)</f>
        <v>0</v>
      </c>
      <c r="G1587" s="1042">
        <f>SUMIFS(계정별원장!$F$3:$F$5997,계정별원장!$A$3:$A$5997,"15",계정별원장!$B$3:$B$5997,Sheet3!$B1587)</f>
        <v>0</v>
      </c>
      <c r="H1587" s="1042">
        <f>SUMIFS(계정별원장!$F$3:$F$5997,계정별원장!$A$3:$A$5997,"16",계정별원장!$B$3:$B$5997,Sheet3!$B1587)</f>
        <v>0</v>
      </c>
      <c r="I1587" s="1042">
        <v>501818182</v>
      </c>
      <c r="J1587" s="153">
        <f>COUNTIF(표1[적요],B1587)</f>
        <v>1</v>
      </c>
      <c r="K1587" s="1042">
        <f>SUMIFS('사업계획(매출 확정본)'!S$12:S$160,'사업계획(매출 확정본)'!$M$12:$M$160,Sheet3!$B1587,'사업계획(매출 확정본)'!$Q$12:$Q$160,'사업계획(매출 확정본)'!$Q$14)</f>
        <v>0</v>
      </c>
    </row>
    <row r="1588" spans="2:11" x14ac:dyDescent="0.3">
      <c r="B1588" t="s">
        <v>7156</v>
      </c>
      <c r="E1588" s="1042">
        <f>SUMIFS(계정별원장!$F$3:$F$5997,계정별원장!$A$3:$A$5997,"13",계정별원장!$B$3:$B$5997,Sheet3!$B1588)</f>
        <v>62529095</v>
      </c>
      <c r="F1588" s="1042">
        <f>SUMIFS(계정별원장!$F$3:$F$5997,계정별원장!$A$3:$A$5997,"14",계정별원장!$B$3:$B$5997,Sheet3!$B1588)</f>
        <v>39716525</v>
      </c>
      <c r="G1588" s="1042">
        <f>SUMIFS(계정별원장!$F$3:$F$5997,계정별원장!$A$3:$A$5997,"15",계정별원장!$B$3:$B$5997,Sheet3!$B1588)</f>
        <v>1206261815</v>
      </c>
      <c r="H1588" s="1042">
        <f>SUMIFS(계정별원장!$F$3:$F$5997,계정별원장!$A$3:$A$5997,"16",계정별원장!$B$3:$B$5997,Sheet3!$B1588)</f>
        <v>2703566366</v>
      </c>
      <c r="I1588" s="1042">
        <v>368049819</v>
      </c>
      <c r="J1588" s="153">
        <f>COUNTIF(표1[적요],B1588)</f>
        <v>18</v>
      </c>
      <c r="K1588" s="1042">
        <f>SUMIFS('사업계획(매출 확정본)'!S$12:S$160,'사업계획(매출 확정본)'!$M$12:$M$160,Sheet3!$B1588,'사업계획(매출 확정본)'!$Q$12:$Q$160,'사업계획(매출 확정본)'!$Q$14)</f>
        <v>0</v>
      </c>
    </row>
    <row r="1589" spans="2:11" x14ac:dyDescent="0.3">
      <c r="B1589" t="s">
        <v>2054</v>
      </c>
      <c r="E1589" s="1042">
        <f>SUMIFS(계정별원장!$F$3:$F$5997,계정별원장!$A$3:$A$5997,"13",계정별원장!$B$3:$B$5997,Sheet3!$B1589)</f>
        <v>0</v>
      </c>
      <c r="F1589" s="1042">
        <f>SUMIFS(계정별원장!$F$3:$F$5997,계정별원장!$A$3:$A$5997,"14",계정별원장!$B$3:$B$5997,Sheet3!$B1589)</f>
        <v>0</v>
      </c>
      <c r="G1589" s="1042">
        <f>SUMIFS(계정별원장!$F$3:$F$5997,계정별원장!$A$3:$A$5997,"15",계정별원장!$B$3:$B$5997,Sheet3!$B1589)</f>
        <v>0</v>
      </c>
      <c r="H1589" s="1042">
        <f>SUMIFS(계정별원장!$F$3:$F$5997,계정별원장!$A$3:$A$5997,"16",계정별원장!$B$3:$B$5997,Sheet3!$B1589)</f>
        <v>14200000</v>
      </c>
      <c r="I1589" s="1042">
        <v>350419091</v>
      </c>
      <c r="J1589" s="153">
        <f>COUNTIF(표1[적요],B1589)</f>
        <v>25</v>
      </c>
      <c r="K1589" s="1042">
        <f>SUMIFS('사업계획(매출 확정본)'!S$12:S$160,'사업계획(매출 확정본)'!$M$12:$M$160,Sheet3!$B1589,'사업계획(매출 확정본)'!$Q$12:$Q$160,'사업계획(매출 확정본)'!$Q$14)</f>
        <v>661500000</v>
      </c>
    </row>
    <row r="1590" spans="2:11" x14ac:dyDescent="0.3">
      <c r="B1590" t="s">
        <v>2048</v>
      </c>
      <c r="E1590" s="1042">
        <f>SUMIFS(계정별원장!$F$3:$F$5997,계정별원장!$A$3:$A$5997,"13",계정별원장!$B$3:$B$5997,Sheet3!$B1590)</f>
        <v>0</v>
      </c>
      <c r="F1590" s="1042">
        <f>SUMIFS(계정별원장!$F$3:$F$5997,계정별원장!$A$3:$A$5997,"14",계정별원장!$B$3:$B$5997,Sheet3!$B1590)</f>
        <v>0</v>
      </c>
      <c r="G1590" s="1042">
        <f>SUMIFS(계정별원장!$F$3:$F$5997,계정별원장!$A$3:$A$5997,"15",계정별원장!$B$3:$B$5997,Sheet3!$B1590)</f>
        <v>0</v>
      </c>
      <c r="H1590" s="1042">
        <f>SUMIFS(계정별원장!$F$3:$F$5997,계정별원장!$A$3:$A$5997,"16",계정별원장!$B$3:$B$5997,Sheet3!$B1590)</f>
        <v>0</v>
      </c>
      <c r="I1590" s="1042">
        <v>347856363</v>
      </c>
      <c r="J1590" s="153">
        <f>COUNTIF(표1[적요],B1590)</f>
        <v>8</v>
      </c>
      <c r="K1590" s="1042">
        <f>SUMIFS('사업계획(매출 확정본)'!S$12:S$160,'사업계획(매출 확정본)'!$M$12:$M$160,Sheet3!$B1590,'사업계획(매출 확정본)'!$Q$12:$Q$160,'사업계획(매출 확정본)'!$Q$14)</f>
        <v>456500000</v>
      </c>
    </row>
    <row r="1591" spans="2:11" x14ac:dyDescent="0.3">
      <c r="B1591" t="s">
        <v>7251</v>
      </c>
      <c r="E1591" s="1042">
        <f>SUMIFS(계정별원장!$F$3:$F$5997,계정별원장!$A$3:$A$5997,"13",계정별원장!$B$3:$B$5997,Sheet3!$B1591)</f>
        <v>0</v>
      </c>
      <c r="F1591" s="1042">
        <f>SUMIFS(계정별원장!$F$3:$F$5997,계정별원장!$A$3:$A$5997,"14",계정별원장!$B$3:$B$5997,Sheet3!$B1591)</f>
        <v>0</v>
      </c>
      <c r="G1591" s="1042">
        <f>SUMIFS(계정별원장!$F$3:$F$5997,계정별원장!$A$3:$A$5997,"15",계정별원장!$B$3:$B$5997,Sheet3!$B1591)</f>
        <v>4511703854</v>
      </c>
      <c r="H1591" s="1042">
        <f>SUMIFS(계정별원장!$F$3:$F$5997,계정별원장!$A$3:$A$5997,"16",계정별원장!$B$3:$B$5997,Sheet3!$B1591)</f>
        <v>4571621271</v>
      </c>
      <c r="I1591" s="1042">
        <v>343118998</v>
      </c>
      <c r="J1591" s="153">
        <f>COUNTIF(표1[적요],B1591)</f>
        <v>13</v>
      </c>
      <c r="K1591" s="1042">
        <f>SUMIFS('사업계획(매출 확정본)'!S$12:S$160,'사업계획(매출 확정본)'!$M$12:$M$160,Sheet3!$B1591,'사업계획(매출 확정본)'!$Q$12:$Q$160,'사업계획(매출 확정본)'!$Q$14)</f>
        <v>0</v>
      </c>
    </row>
    <row r="1592" spans="2:11" x14ac:dyDescent="0.3">
      <c r="B1592" t="s">
        <v>2044</v>
      </c>
      <c r="E1592" s="1042">
        <f>SUMIFS(계정별원장!$F$3:$F$5997,계정별원장!$A$3:$A$5997,"13",계정별원장!$B$3:$B$5997,Sheet3!$B1592)</f>
        <v>0</v>
      </c>
      <c r="F1592" s="1042">
        <f>SUMIFS(계정별원장!$F$3:$F$5997,계정별원장!$A$3:$A$5997,"14",계정별원장!$B$3:$B$5997,Sheet3!$B1592)</f>
        <v>0</v>
      </c>
      <c r="G1592" s="1042">
        <f>SUMIFS(계정별원장!$F$3:$F$5997,계정별원장!$A$3:$A$5997,"15",계정별원장!$B$3:$B$5997,Sheet3!$B1592)</f>
        <v>0</v>
      </c>
      <c r="H1592" s="1042">
        <f>SUMIFS(계정별원장!$F$3:$F$5997,계정별원장!$A$3:$A$5997,"16",계정별원장!$B$3:$B$5997,Sheet3!$B1592)</f>
        <v>0</v>
      </c>
      <c r="I1592" s="1042">
        <v>341863637</v>
      </c>
      <c r="J1592" s="153">
        <f>COUNTIF(표1[적요],B1592)</f>
        <v>9</v>
      </c>
      <c r="K1592" s="1042">
        <f>SUMIFS('사업계획(매출 확정본)'!S$12:S$160,'사업계획(매출 확정본)'!$M$12:$M$160,Sheet3!$B1592,'사업계획(매출 확정본)'!$Q$12:$Q$160,'사업계획(매출 확정본)'!$Q$14)</f>
        <v>395000000</v>
      </c>
    </row>
    <row r="1593" spans="2:11" x14ac:dyDescent="0.3">
      <c r="B1593" t="s">
        <v>7153</v>
      </c>
      <c r="E1593" s="1042">
        <f>SUMIFS(계정별원장!$F$3:$F$5997,계정별원장!$A$3:$A$5997,"13",계정별원장!$B$3:$B$5997,Sheet3!$B1593)</f>
        <v>115678662</v>
      </c>
      <c r="F1593" s="1042">
        <f>SUMIFS(계정별원장!$F$3:$F$5997,계정별원장!$A$3:$A$5997,"14",계정별원장!$B$3:$B$5997,Sheet3!$B1593)</f>
        <v>348226972</v>
      </c>
      <c r="G1593" s="1042">
        <f>SUMIFS(계정별원장!$F$3:$F$5997,계정별원장!$A$3:$A$5997,"15",계정별원장!$B$3:$B$5997,Sheet3!$B1593)</f>
        <v>127548600</v>
      </c>
      <c r="H1593" s="1042">
        <f>SUMIFS(계정별원장!$F$3:$F$5997,계정별원장!$A$3:$A$5997,"16",계정별원장!$B$3:$B$5997,Sheet3!$B1593)</f>
        <v>175121996</v>
      </c>
      <c r="I1593" s="1042">
        <v>339419310</v>
      </c>
      <c r="J1593" s="153">
        <f>COUNTIF(표1[적요],B1593)</f>
        <v>3</v>
      </c>
      <c r="K1593" s="1042">
        <f>SUMIFS('사업계획(매출 확정본)'!S$12:S$160,'사업계획(매출 확정본)'!$M$12:$M$160,Sheet3!$B1593,'사업계획(매출 확정본)'!$Q$12:$Q$160,'사업계획(매출 확정본)'!$Q$14)</f>
        <v>0</v>
      </c>
    </row>
    <row r="1594" spans="2:11" x14ac:dyDescent="0.3">
      <c r="B1594" t="s">
        <v>2040</v>
      </c>
      <c r="E1594" s="1042">
        <f>SUMIFS(계정별원장!$F$3:$F$5997,계정별원장!$A$3:$A$5997,"13",계정별원장!$B$3:$B$5997,Sheet3!$B1594)</f>
        <v>0</v>
      </c>
      <c r="F1594" s="1042">
        <f>SUMIFS(계정별원장!$F$3:$F$5997,계정별원장!$A$3:$A$5997,"14",계정별원장!$B$3:$B$5997,Sheet3!$B1594)</f>
        <v>134727272</v>
      </c>
      <c r="G1594" s="1042">
        <f>SUMIFS(계정별원장!$F$3:$F$5997,계정별원장!$A$3:$A$5997,"15",계정별원장!$B$3:$B$5997,Sheet3!$B1594)</f>
        <v>0</v>
      </c>
      <c r="H1594" s="1042">
        <f>SUMIFS(계정별원장!$F$3:$F$5997,계정별원장!$A$3:$A$5997,"16",계정별원장!$B$3:$B$5997,Sheet3!$B1594)</f>
        <v>0</v>
      </c>
      <c r="I1594" s="1042">
        <v>334572726</v>
      </c>
      <c r="J1594" s="153">
        <f>COUNTIF(표1[적요],B1594)</f>
        <v>8</v>
      </c>
      <c r="K1594" s="1042">
        <f>SUMIFS('사업계획(매출 확정본)'!S$12:S$160,'사업계획(매출 확정본)'!$M$12:$M$160,Sheet3!$B1594,'사업계획(매출 확정본)'!$Q$12:$Q$160,'사업계획(매출 확정본)'!$Q$14)</f>
        <v>0</v>
      </c>
    </row>
    <row r="1595" spans="2:11" x14ac:dyDescent="0.3">
      <c r="B1595" t="s">
        <v>7186</v>
      </c>
      <c r="E1595" s="1042">
        <f>SUMIFS(계정별원장!$F$3:$F$5997,계정별원장!$A$3:$A$5997,"13",계정별원장!$B$3:$B$5997,Sheet3!$B1595)</f>
        <v>0</v>
      </c>
      <c r="F1595" s="1042">
        <f>SUMIFS(계정별원장!$F$3:$F$5997,계정별원장!$A$3:$A$5997,"14",계정별원장!$B$3:$B$5997,Sheet3!$B1595)</f>
        <v>852725750</v>
      </c>
      <c r="G1595" s="1042">
        <f>SUMIFS(계정별원장!$F$3:$F$5997,계정별원장!$A$3:$A$5997,"15",계정별원장!$B$3:$B$5997,Sheet3!$B1595)</f>
        <v>1017261436</v>
      </c>
      <c r="H1595" s="1042">
        <f>SUMIFS(계정별원장!$F$3:$F$5997,계정별원장!$A$3:$A$5997,"16",계정별원장!$B$3:$B$5997,Sheet3!$B1595)</f>
        <v>639618181</v>
      </c>
      <c r="I1595" s="1042">
        <v>319369193</v>
      </c>
      <c r="J1595" s="153">
        <f>COUNTIF(표1[적요],B1595)</f>
        <v>6</v>
      </c>
      <c r="K1595" s="1042">
        <f>SUMIFS('사업계획(매출 확정본)'!S$12:S$160,'사업계획(매출 확정본)'!$M$12:$M$160,Sheet3!$B1595,'사업계획(매출 확정본)'!$Q$12:$Q$160,'사업계획(매출 확정본)'!$Q$14)</f>
        <v>0</v>
      </c>
    </row>
    <row r="1596" spans="2:11" x14ac:dyDescent="0.3">
      <c r="B1596" t="s">
        <v>7343</v>
      </c>
      <c r="E1596" s="1042">
        <f>SUMIFS(계정별원장!$F$3:$F$5997,계정별원장!$A$3:$A$5997,"13",계정별원장!$B$3:$B$5997,Sheet3!$B1596)</f>
        <v>0</v>
      </c>
      <c r="F1596" s="1042">
        <f>SUMIFS(계정별원장!$F$3:$F$5997,계정별원장!$A$3:$A$5997,"14",계정별원장!$B$3:$B$5997,Sheet3!$B1596)</f>
        <v>0</v>
      </c>
      <c r="G1596" s="1042">
        <f>SUMIFS(계정별원장!$F$3:$F$5997,계정별원장!$A$3:$A$5997,"15",계정별원장!$B$3:$B$5997,Sheet3!$B1596)</f>
        <v>0</v>
      </c>
      <c r="H1596" s="1042">
        <f>SUMIFS(계정별원장!$F$3:$F$5997,계정별원장!$A$3:$A$5997,"16",계정별원장!$B$3:$B$5997,Sheet3!$B1596)</f>
        <v>30909090</v>
      </c>
      <c r="I1596" s="1042">
        <v>312636363</v>
      </c>
      <c r="J1596" s="153">
        <f>COUNTIF(표1[적요],B1596)</f>
        <v>12</v>
      </c>
      <c r="K1596" s="1042">
        <f>SUMIFS('사업계획(매출 확정본)'!S$12:S$160,'사업계획(매출 확정본)'!$M$12:$M$160,Sheet3!$B1596,'사업계획(매출 확정본)'!$Q$12:$Q$160,'사업계획(매출 확정본)'!$Q$14)</f>
        <v>0</v>
      </c>
    </row>
    <row r="1597" spans="2:11" x14ac:dyDescent="0.3">
      <c r="B1597" t="s">
        <v>2880</v>
      </c>
      <c r="E1597" s="1042">
        <f>SUMIFS(계정별원장!$F$3:$F$5997,계정별원장!$A$3:$A$5997,"13",계정별원장!$B$3:$B$5997,Sheet3!$B1597)</f>
        <v>0</v>
      </c>
      <c r="F1597" s="1042">
        <f>SUMIFS(계정별원장!$F$3:$F$5997,계정별원장!$A$3:$A$5997,"14",계정별원장!$B$3:$B$5997,Sheet3!$B1597)</f>
        <v>0</v>
      </c>
      <c r="G1597" s="1042">
        <f>SUMIFS(계정별원장!$F$3:$F$5997,계정별원장!$A$3:$A$5997,"15",계정별원장!$B$3:$B$5997,Sheet3!$B1597)</f>
        <v>0</v>
      </c>
      <c r="H1597" s="1042">
        <f>SUMIFS(계정별원장!$F$3:$F$5997,계정별원장!$A$3:$A$5997,"16",계정별원장!$B$3:$B$5997,Sheet3!$B1597)</f>
        <v>0</v>
      </c>
      <c r="I1597" s="1042">
        <v>298837818</v>
      </c>
      <c r="J1597" s="153">
        <f>COUNTIF(표1[적요],B1597)</f>
        <v>1</v>
      </c>
      <c r="K1597" s="1042">
        <f>SUMIFS('사업계획(매출 확정본)'!S$12:S$160,'사업계획(매출 확정본)'!$M$12:$M$160,Sheet3!$B1597,'사업계획(매출 확정본)'!$Q$12:$Q$160,'사업계획(매출 확정본)'!$Q$14)</f>
        <v>0</v>
      </c>
    </row>
    <row r="1598" spans="2:11" x14ac:dyDescent="0.3">
      <c r="B1598" t="s">
        <v>7298</v>
      </c>
      <c r="E1598" s="1042">
        <f>SUMIFS(계정별원장!$F$3:$F$5997,계정별원장!$A$3:$A$5997,"13",계정별원장!$B$3:$B$5997,Sheet3!$B1598)</f>
        <v>0</v>
      </c>
      <c r="F1598" s="1042">
        <f>SUMIFS(계정별원장!$F$3:$F$5997,계정별원장!$A$3:$A$5997,"14",계정별원장!$B$3:$B$5997,Sheet3!$B1598)</f>
        <v>0</v>
      </c>
      <c r="G1598" s="1042">
        <f>SUMIFS(계정별원장!$F$3:$F$5997,계정별원장!$A$3:$A$5997,"15",계정별원장!$B$3:$B$5997,Sheet3!$B1598)</f>
        <v>141500000</v>
      </c>
      <c r="H1598" s="1042">
        <f>SUMIFS(계정별원장!$F$3:$F$5997,계정별원장!$A$3:$A$5997,"16",계정별원장!$B$3:$B$5997,Sheet3!$B1598)</f>
        <v>0</v>
      </c>
      <c r="I1598" s="1042">
        <v>251659050</v>
      </c>
      <c r="J1598" s="153">
        <f>COUNTIF(표1[적요],B1598)</f>
        <v>2</v>
      </c>
      <c r="K1598" s="1042">
        <f>SUMIFS('사업계획(매출 확정본)'!S$12:S$160,'사업계획(매출 확정본)'!$M$12:$M$160,Sheet3!$B1598,'사업계획(매출 확정본)'!$Q$12:$Q$160,'사업계획(매출 확정본)'!$Q$14)</f>
        <v>0</v>
      </c>
    </row>
    <row r="1599" spans="2:11" x14ac:dyDescent="0.3">
      <c r="B1599" t="s">
        <v>7371</v>
      </c>
      <c r="E1599" s="1042">
        <f>SUMIFS(계정별원장!$F$3:$F$5997,계정별원장!$A$3:$A$5997,"13",계정별원장!$B$3:$B$5997,Sheet3!$B1599)</f>
        <v>0</v>
      </c>
      <c r="F1599" s="1042">
        <f>SUMIFS(계정별원장!$F$3:$F$5997,계정별원장!$A$3:$A$5997,"14",계정별원장!$B$3:$B$5997,Sheet3!$B1599)</f>
        <v>0</v>
      </c>
      <c r="G1599" s="1042">
        <f>SUMIFS(계정별원장!$F$3:$F$5997,계정별원장!$A$3:$A$5997,"15",계정별원장!$B$3:$B$5997,Sheet3!$B1599)</f>
        <v>0</v>
      </c>
      <c r="H1599" s="1042">
        <f>SUMIFS(계정별원장!$F$3:$F$5997,계정별원장!$A$3:$A$5997,"16",계정별원장!$B$3:$B$5997,Sheet3!$B1599)</f>
        <v>0</v>
      </c>
      <c r="I1599" s="1042">
        <v>198881821</v>
      </c>
      <c r="J1599" s="153">
        <f>COUNTIF(표1[적요],B1599)</f>
        <v>1</v>
      </c>
      <c r="K1599" s="1042">
        <f>SUMIFS('사업계획(매출 확정본)'!S$12:S$160,'사업계획(매출 확정본)'!$M$12:$M$160,Sheet3!$B1599,'사업계획(매출 확정본)'!$Q$12:$Q$160,'사업계획(매출 확정본)'!$Q$14)</f>
        <v>0</v>
      </c>
    </row>
    <row r="1600" spans="2:11" x14ac:dyDescent="0.3">
      <c r="B1600" t="s">
        <v>2045</v>
      </c>
      <c r="E1600" s="1042">
        <f>SUMIFS(계정별원장!$F$3:$F$5997,계정별원장!$A$3:$A$5997,"13",계정별원장!$B$3:$B$5997,Sheet3!$B1600)</f>
        <v>395518185</v>
      </c>
      <c r="F1600" s="1042">
        <f>SUMIFS(계정별원장!$F$3:$F$5997,계정별원장!$A$3:$A$5997,"14",계정별원장!$B$3:$B$5997,Sheet3!$B1600)</f>
        <v>78990910</v>
      </c>
      <c r="G1600" s="1042">
        <f>SUMIFS(계정별원장!$F$3:$F$5997,계정별원장!$A$3:$A$5997,"15",계정별원장!$B$3:$B$5997,Sheet3!$B1600)</f>
        <v>65328535</v>
      </c>
      <c r="H1600" s="1042">
        <f>SUMIFS(계정별원장!$F$3:$F$5997,계정별원장!$A$3:$A$5997,"16",계정별원장!$B$3:$B$5997,Sheet3!$B1600)</f>
        <v>0</v>
      </c>
      <c r="I1600" s="1042">
        <v>193623638</v>
      </c>
      <c r="J1600" s="153">
        <f>COUNTIF(표1[적요],B1600)</f>
        <v>2</v>
      </c>
      <c r="K1600" s="1042">
        <f>SUMIFS('사업계획(매출 확정본)'!S$12:S$160,'사업계획(매출 확정본)'!$M$12:$M$160,Sheet3!$B1600,'사업계획(매출 확정본)'!$Q$12:$Q$160,'사업계획(매출 확정본)'!$Q$14)</f>
        <v>554400000</v>
      </c>
    </row>
    <row r="1601" spans="2:11" x14ac:dyDescent="0.3">
      <c r="B1601" t="s">
        <v>2038</v>
      </c>
      <c r="E1601" s="1042">
        <f>SUMIFS(계정별원장!$F$3:$F$5997,계정별원장!$A$3:$A$5997,"13",계정별원장!$B$3:$B$5997,Sheet3!$B1601)</f>
        <v>3254377266</v>
      </c>
      <c r="F1601" s="1042">
        <f>SUMIFS(계정별원장!$F$3:$F$5997,계정별원장!$A$3:$A$5997,"14",계정별원장!$B$3:$B$5997,Sheet3!$B1601)</f>
        <v>3616912541</v>
      </c>
      <c r="G1601" s="1042">
        <f>SUMIFS(계정별원장!$F$3:$F$5997,계정별원장!$A$3:$A$5997,"15",계정별원장!$B$3:$B$5997,Sheet3!$B1601)</f>
        <v>0</v>
      </c>
      <c r="H1601" s="1042">
        <f>SUMIFS(계정별원장!$F$3:$F$5997,계정별원장!$A$3:$A$5997,"16",계정별원장!$B$3:$B$5997,Sheet3!$B1601)</f>
        <v>39500000</v>
      </c>
      <c r="I1601" s="1042">
        <v>191700000</v>
      </c>
      <c r="J1601" s="153">
        <f>COUNTIF(표1[적요],B1601)</f>
        <v>5</v>
      </c>
      <c r="K1601" s="1042">
        <f>SUMIFS('사업계획(매출 확정본)'!S$12:S$160,'사업계획(매출 확정본)'!$M$12:$M$160,Sheet3!$B1601,'사업계획(매출 확정본)'!$Q$12:$Q$160,'사업계획(매출 확정본)'!$Q$14)</f>
        <v>0</v>
      </c>
    </row>
    <row r="1602" spans="2:11" x14ac:dyDescent="0.3">
      <c r="B1602" t="s">
        <v>7252</v>
      </c>
      <c r="E1602" s="1042">
        <f>SUMIFS(계정별원장!$F$3:$F$5997,계정별원장!$A$3:$A$5997,"13",계정별원장!$B$3:$B$5997,Sheet3!$B1602)</f>
        <v>0</v>
      </c>
      <c r="F1602" s="1042">
        <f>SUMIFS(계정별원장!$F$3:$F$5997,계정별원장!$A$3:$A$5997,"14",계정별원장!$B$3:$B$5997,Sheet3!$B1602)</f>
        <v>0</v>
      </c>
      <c r="G1602" s="1042">
        <f>SUMIFS(계정별원장!$F$3:$F$5997,계정별원장!$A$3:$A$5997,"15",계정별원장!$B$3:$B$5997,Sheet3!$B1602)</f>
        <v>555509092</v>
      </c>
      <c r="H1602" s="1042">
        <f>SUMIFS(계정별원장!$F$3:$F$5997,계정별원장!$A$3:$A$5997,"16",계정별원장!$B$3:$B$5997,Sheet3!$B1602)</f>
        <v>603877272</v>
      </c>
      <c r="I1602" s="1042">
        <v>184000000</v>
      </c>
      <c r="J1602" s="153">
        <f>COUNTIF(표1[적요],B1602)</f>
        <v>5</v>
      </c>
      <c r="K1602" s="1042">
        <f>SUMIFS('사업계획(매출 확정본)'!S$12:S$160,'사업계획(매출 확정본)'!$M$12:$M$160,Sheet3!$B1602,'사업계획(매출 확정본)'!$Q$12:$Q$160,'사업계획(매출 확정본)'!$Q$14)</f>
        <v>0</v>
      </c>
    </row>
    <row r="1603" spans="2:11" x14ac:dyDescent="0.3">
      <c r="B1603" t="s">
        <v>2842</v>
      </c>
      <c r="E1603" s="1042">
        <f>SUMIFS(계정별원장!$F$3:$F$5997,계정별원장!$A$3:$A$5997,"13",계정별원장!$B$3:$B$5997,Sheet3!$B1603)</f>
        <v>0</v>
      </c>
      <c r="F1603" s="1042">
        <f>SUMIFS(계정별원장!$F$3:$F$5997,계정별원장!$A$3:$A$5997,"14",계정별원장!$B$3:$B$5997,Sheet3!$B1603)</f>
        <v>0</v>
      </c>
      <c r="G1603" s="1042">
        <f>SUMIFS(계정별원장!$F$3:$F$5997,계정별원장!$A$3:$A$5997,"15",계정별원장!$B$3:$B$5997,Sheet3!$B1603)</f>
        <v>0</v>
      </c>
      <c r="H1603" s="1042">
        <f>SUMIFS(계정별원장!$F$3:$F$5997,계정별원장!$A$3:$A$5997,"16",계정별원장!$B$3:$B$5997,Sheet3!$B1603)</f>
        <v>0</v>
      </c>
      <c r="I1603" s="1042">
        <v>176726364</v>
      </c>
      <c r="J1603" s="153">
        <f>COUNTIF(표1[적요],B1603)</f>
        <v>4</v>
      </c>
      <c r="K1603" s="1042">
        <f>SUMIFS('사업계획(매출 확정본)'!S$12:S$160,'사업계획(매출 확정본)'!$M$12:$M$160,Sheet3!$B1603,'사업계획(매출 확정본)'!$Q$12:$Q$160,'사업계획(매출 확정본)'!$Q$14)</f>
        <v>178000000</v>
      </c>
    </row>
    <row r="1604" spans="2:11" x14ac:dyDescent="0.3">
      <c r="B1604" t="s">
        <v>7381</v>
      </c>
      <c r="E1604" s="1042">
        <f>SUMIFS(계정별원장!$F$3:$F$5997,계정별원장!$A$3:$A$5997,"13",계정별원장!$B$3:$B$5997,Sheet3!$B1604)</f>
        <v>0</v>
      </c>
      <c r="F1604" s="1042">
        <f>SUMIFS(계정별원장!$F$3:$F$5997,계정별원장!$A$3:$A$5997,"14",계정별원장!$B$3:$B$5997,Sheet3!$B1604)</f>
        <v>0</v>
      </c>
      <c r="G1604" s="1042">
        <f>SUMIFS(계정별원장!$F$3:$F$5997,계정별원장!$A$3:$A$5997,"15",계정별원장!$B$3:$B$5997,Sheet3!$B1604)</f>
        <v>0</v>
      </c>
      <c r="H1604" s="1042">
        <f>SUMIFS(계정별원장!$F$3:$F$5997,계정별원장!$A$3:$A$5997,"16",계정별원장!$B$3:$B$5997,Sheet3!$B1604)</f>
        <v>0</v>
      </c>
      <c r="I1604" s="1042">
        <v>174246539</v>
      </c>
      <c r="J1604" s="153">
        <f>COUNTIF(표1[적요],B1604)</f>
        <v>2</v>
      </c>
      <c r="K1604" s="1042">
        <f>SUMIFS('사업계획(매출 확정본)'!S$12:S$160,'사업계획(매출 확정본)'!$M$12:$M$160,Sheet3!$B1604,'사업계획(매출 확정본)'!$Q$12:$Q$160,'사업계획(매출 확정본)'!$Q$14)</f>
        <v>0</v>
      </c>
    </row>
    <row r="1605" spans="2:11" x14ac:dyDescent="0.3">
      <c r="B1605" t="s">
        <v>7383</v>
      </c>
      <c r="E1605" s="1042">
        <f>SUMIFS(계정별원장!$F$3:$F$5997,계정별원장!$A$3:$A$5997,"13",계정별원장!$B$3:$B$5997,Sheet3!$B1605)</f>
        <v>0</v>
      </c>
      <c r="F1605" s="1042">
        <f>SUMIFS(계정별원장!$F$3:$F$5997,계정별원장!$A$3:$A$5997,"14",계정별원장!$B$3:$B$5997,Sheet3!$B1605)</f>
        <v>0</v>
      </c>
      <c r="G1605" s="1042">
        <f>SUMIFS(계정별원장!$F$3:$F$5997,계정별원장!$A$3:$A$5997,"15",계정별원장!$B$3:$B$5997,Sheet3!$B1605)</f>
        <v>0</v>
      </c>
      <c r="H1605" s="1042">
        <f>SUMIFS(계정별원장!$F$3:$F$5997,계정별원장!$A$3:$A$5997,"16",계정별원장!$B$3:$B$5997,Sheet3!$B1605)</f>
        <v>0</v>
      </c>
      <c r="I1605" s="1042">
        <v>173720163</v>
      </c>
      <c r="J1605" s="153">
        <f>COUNTIF(표1[적요],B1605)</f>
        <v>2</v>
      </c>
      <c r="K1605" s="1042">
        <f>SUMIFS('사업계획(매출 확정본)'!S$12:S$160,'사업계획(매출 확정본)'!$M$12:$M$160,Sheet3!$B1605,'사업계획(매출 확정본)'!$Q$12:$Q$160,'사업계획(매출 확정본)'!$Q$14)</f>
        <v>0</v>
      </c>
    </row>
    <row r="1606" spans="2:11" x14ac:dyDescent="0.3">
      <c r="B1606" t="s">
        <v>7349</v>
      </c>
      <c r="E1606" s="1042">
        <f>SUMIFS(계정별원장!$F$3:$F$5997,계정별원장!$A$3:$A$5997,"13",계정별원장!$B$3:$B$5997,Sheet3!$B1606)</f>
        <v>0</v>
      </c>
      <c r="F1606" s="1042">
        <f>SUMIFS(계정별원장!$F$3:$F$5997,계정별원장!$A$3:$A$5997,"14",계정별원장!$B$3:$B$5997,Sheet3!$B1606)</f>
        <v>0</v>
      </c>
      <c r="G1606" s="1042">
        <f>SUMIFS(계정별원장!$F$3:$F$5997,계정별원장!$A$3:$A$5997,"15",계정별원장!$B$3:$B$5997,Sheet3!$B1606)</f>
        <v>0</v>
      </c>
      <c r="H1606" s="1042">
        <f>SUMIFS(계정별원장!$F$3:$F$5997,계정별원장!$A$3:$A$5997,"16",계정별원장!$B$3:$B$5997,Sheet3!$B1606)</f>
        <v>0</v>
      </c>
      <c r="I1606" s="1042">
        <v>131973200</v>
      </c>
      <c r="J1606" s="153">
        <f>COUNTIF(표1[적요],B1606)</f>
        <v>1</v>
      </c>
      <c r="K1606" s="1042">
        <f>SUMIFS('사업계획(매출 확정본)'!S$12:S$160,'사업계획(매출 확정본)'!$M$12:$M$160,Sheet3!$B1606,'사업계획(매출 확정본)'!$Q$12:$Q$160,'사업계획(매출 확정본)'!$Q$14)</f>
        <v>0</v>
      </c>
    </row>
    <row r="1607" spans="2:11" x14ac:dyDescent="0.3">
      <c r="B1607" t="s">
        <v>7342</v>
      </c>
      <c r="E1607" s="1042">
        <f>SUMIFS(계정별원장!$F$3:$F$5997,계정별원장!$A$3:$A$5997,"13",계정별원장!$B$3:$B$5997,Sheet3!$B1607)</f>
        <v>0</v>
      </c>
      <c r="F1607" s="1042">
        <f>SUMIFS(계정별원장!$F$3:$F$5997,계정별원장!$A$3:$A$5997,"14",계정별원장!$B$3:$B$5997,Sheet3!$B1607)</f>
        <v>0</v>
      </c>
      <c r="G1607" s="1042">
        <f>SUMIFS(계정별원장!$F$3:$F$5997,계정별원장!$A$3:$A$5997,"15",계정별원장!$B$3:$B$5997,Sheet3!$B1607)</f>
        <v>0</v>
      </c>
      <c r="H1607" s="1042">
        <f>SUMIFS(계정별원장!$F$3:$F$5997,계정별원장!$A$3:$A$5997,"16",계정별원장!$B$3:$B$5997,Sheet3!$B1607)</f>
        <v>128790540</v>
      </c>
      <c r="I1607" s="1042">
        <v>130446004</v>
      </c>
      <c r="J1607" s="153">
        <f>COUNTIF(표1[적요],B1607)</f>
        <v>1</v>
      </c>
      <c r="K1607" s="1042">
        <f>SUMIFS('사업계획(매출 확정본)'!S$12:S$160,'사업계획(매출 확정본)'!$M$12:$M$160,Sheet3!$B1607,'사업계획(매출 확정본)'!$Q$12:$Q$160,'사업계획(매출 확정본)'!$Q$14)</f>
        <v>0</v>
      </c>
    </row>
    <row r="1608" spans="2:11" x14ac:dyDescent="0.3">
      <c r="B1608" t="s">
        <v>7352</v>
      </c>
      <c r="E1608" s="1042">
        <f>SUMIFS(계정별원장!$F$3:$F$5997,계정별원장!$A$3:$A$5997,"13",계정별원장!$B$3:$B$5997,Sheet3!$B1608)</f>
        <v>0</v>
      </c>
      <c r="F1608" s="1042">
        <f>SUMIFS(계정별원장!$F$3:$F$5997,계정별원장!$A$3:$A$5997,"14",계정별원장!$B$3:$B$5997,Sheet3!$B1608)</f>
        <v>0</v>
      </c>
      <c r="G1608" s="1042">
        <f>SUMIFS(계정별원장!$F$3:$F$5997,계정별원장!$A$3:$A$5997,"15",계정별원장!$B$3:$B$5997,Sheet3!$B1608)</f>
        <v>0</v>
      </c>
      <c r="H1608" s="1042">
        <f>SUMIFS(계정별원장!$F$3:$F$5997,계정별원장!$A$3:$A$5997,"16",계정별원장!$B$3:$B$5997,Sheet3!$B1608)</f>
        <v>0</v>
      </c>
      <c r="I1608" s="1042">
        <v>124579177</v>
      </c>
      <c r="J1608" s="153">
        <f>COUNTIF(표1[적요],B1608)</f>
        <v>1</v>
      </c>
      <c r="K1608" s="1042">
        <f>SUMIFS('사업계획(매출 확정본)'!S$12:S$160,'사업계획(매출 확정본)'!$M$12:$M$160,Sheet3!$B1608,'사업계획(매출 확정본)'!$Q$12:$Q$160,'사업계획(매출 확정본)'!$Q$14)</f>
        <v>0</v>
      </c>
    </row>
    <row r="1609" spans="2:11" x14ac:dyDescent="0.3">
      <c r="B1609" t="s">
        <v>2042</v>
      </c>
      <c r="E1609" s="1042">
        <f>SUMIFS(계정별원장!$F$3:$F$5997,계정별원장!$A$3:$A$5997,"13",계정별원장!$B$3:$B$5997,Sheet3!$B1609)</f>
        <v>0</v>
      </c>
      <c r="F1609" s="1042">
        <f>SUMIFS(계정별원장!$F$3:$F$5997,계정별원장!$A$3:$A$5997,"14",계정별원장!$B$3:$B$5997,Sheet3!$B1609)</f>
        <v>0</v>
      </c>
      <c r="G1609" s="1042">
        <f>SUMIFS(계정별원장!$F$3:$F$5997,계정별원장!$A$3:$A$5997,"15",계정별원장!$B$3:$B$5997,Sheet3!$B1609)</f>
        <v>0</v>
      </c>
      <c r="H1609" s="1042">
        <f>SUMIFS(계정별원장!$F$3:$F$5997,계정별원장!$A$3:$A$5997,"16",계정별원장!$B$3:$B$5997,Sheet3!$B1609)</f>
        <v>0</v>
      </c>
      <c r="I1609" s="1042">
        <v>119390909</v>
      </c>
      <c r="J1609" s="153">
        <f>COUNTIF(표1[적요],B1609)</f>
        <v>2</v>
      </c>
      <c r="K1609" s="1042">
        <f>SUMIFS('사업계획(매출 확정본)'!S$12:S$160,'사업계획(매출 확정본)'!$M$12:$M$160,Sheet3!$B1609,'사업계획(매출 확정본)'!$Q$12:$Q$160,'사업계획(매출 확정본)'!$Q$14)</f>
        <v>0</v>
      </c>
    </row>
    <row r="1610" spans="2:11" x14ac:dyDescent="0.3">
      <c r="B1610" t="s">
        <v>7365</v>
      </c>
      <c r="E1610" s="1042">
        <f>SUMIFS(계정별원장!$F$3:$F$5997,계정별원장!$A$3:$A$5997,"13",계정별원장!$B$3:$B$5997,Sheet3!$B1610)</f>
        <v>0</v>
      </c>
      <c r="F1610" s="1042">
        <f>SUMIFS(계정별원장!$F$3:$F$5997,계정별원장!$A$3:$A$5997,"14",계정별원장!$B$3:$B$5997,Sheet3!$B1610)</f>
        <v>0</v>
      </c>
      <c r="G1610" s="1042">
        <f>SUMIFS(계정별원장!$F$3:$F$5997,계정별원장!$A$3:$A$5997,"15",계정별원장!$B$3:$B$5997,Sheet3!$B1610)</f>
        <v>0</v>
      </c>
      <c r="H1610" s="1042">
        <f>SUMIFS(계정별원장!$F$3:$F$5997,계정별원장!$A$3:$A$5997,"16",계정별원장!$B$3:$B$5997,Sheet3!$B1610)</f>
        <v>0</v>
      </c>
      <c r="I1610" s="1042">
        <v>98745000</v>
      </c>
      <c r="J1610" s="153">
        <f>COUNTIF(표1[적요],B1610)</f>
        <v>5</v>
      </c>
      <c r="K1610" s="1042">
        <f>SUMIFS('사업계획(매출 확정본)'!S$12:S$160,'사업계획(매출 확정본)'!$M$12:$M$160,Sheet3!$B1610,'사업계획(매출 확정본)'!$Q$12:$Q$160,'사업계획(매출 확정본)'!$Q$14)</f>
        <v>0</v>
      </c>
    </row>
    <row r="1611" spans="2:11" x14ac:dyDescent="0.3">
      <c r="B1611" t="s">
        <v>7358</v>
      </c>
      <c r="E1611" s="1042">
        <f>SUMIFS(계정별원장!$F$3:$F$5997,계정별원장!$A$3:$A$5997,"13",계정별원장!$B$3:$B$5997,Sheet3!$B1611)</f>
        <v>0</v>
      </c>
      <c r="F1611" s="1042">
        <f>SUMIFS(계정별원장!$F$3:$F$5997,계정별원장!$A$3:$A$5997,"14",계정별원장!$B$3:$B$5997,Sheet3!$B1611)</f>
        <v>0</v>
      </c>
      <c r="G1611" s="1042">
        <f>SUMIFS(계정별원장!$F$3:$F$5997,계정별원장!$A$3:$A$5997,"15",계정별원장!$B$3:$B$5997,Sheet3!$B1611)</f>
        <v>0</v>
      </c>
      <c r="H1611" s="1042">
        <f>SUMIFS(계정별원장!$F$3:$F$5997,계정별원장!$A$3:$A$5997,"16",계정별원장!$B$3:$B$5997,Sheet3!$B1611)</f>
        <v>0</v>
      </c>
      <c r="I1611" s="1042">
        <v>94736636</v>
      </c>
      <c r="J1611" s="153">
        <f>COUNTIF(표1[적요],B1611)</f>
        <v>3</v>
      </c>
      <c r="K1611" s="1042">
        <f>SUMIFS('사업계획(매출 확정본)'!S$12:S$160,'사업계획(매출 확정본)'!$M$12:$M$160,Sheet3!$B1611,'사업계획(매출 확정본)'!$Q$12:$Q$160,'사업계획(매출 확정본)'!$Q$14)</f>
        <v>0</v>
      </c>
    </row>
    <row r="1612" spans="2:11" x14ac:dyDescent="0.3">
      <c r="B1612" t="s">
        <v>7357</v>
      </c>
      <c r="E1612" s="1042">
        <f>SUMIFS(계정별원장!$F$3:$F$5997,계정별원장!$A$3:$A$5997,"13",계정별원장!$B$3:$B$5997,Sheet3!$B1612)</f>
        <v>0</v>
      </c>
      <c r="F1612" s="1042">
        <f>SUMIFS(계정별원장!$F$3:$F$5997,계정별원장!$A$3:$A$5997,"14",계정별원장!$B$3:$B$5997,Sheet3!$B1612)</f>
        <v>0</v>
      </c>
      <c r="G1612" s="1042">
        <f>SUMIFS(계정별원장!$F$3:$F$5997,계정별원장!$A$3:$A$5997,"15",계정별원장!$B$3:$B$5997,Sheet3!$B1612)</f>
        <v>0</v>
      </c>
      <c r="H1612" s="1042">
        <f>SUMIFS(계정별원장!$F$3:$F$5997,계정별원장!$A$3:$A$5997,"16",계정별원장!$B$3:$B$5997,Sheet3!$B1612)</f>
        <v>0</v>
      </c>
      <c r="I1612" s="1042">
        <v>92272727</v>
      </c>
      <c r="J1612" s="153">
        <f>COUNTIF(표1[적요],B1612)</f>
        <v>1</v>
      </c>
      <c r="K1612" s="1042">
        <f>SUMIFS('사업계획(매출 확정본)'!S$12:S$160,'사업계획(매출 확정본)'!$M$12:$M$160,Sheet3!$B1612,'사업계획(매출 확정본)'!$Q$12:$Q$160,'사업계획(매출 확정본)'!$Q$14)</f>
        <v>0</v>
      </c>
    </row>
    <row r="1613" spans="2:11" x14ac:dyDescent="0.3">
      <c r="B1613" t="s">
        <v>7368</v>
      </c>
      <c r="E1613" s="1042">
        <f>SUMIFS(계정별원장!$F$3:$F$5997,계정별원장!$A$3:$A$5997,"13",계정별원장!$B$3:$B$5997,Sheet3!$B1613)</f>
        <v>0</v>
      </c>
      <c r="F1613" s="1042">
        <f>SUMIFS(계정별원장!$F$3:$F$5997,계정별원장!$A$3:$A$5997,"14",계정별원장!$B$3:$B$5997,Sheet3!$B1613)</f>
        <v>0</v>
      </c>
      <c r="G1613" s="1042">
        <f>SUMIFS(계정별원장!$F$3:$F$5997,계정별원장!$A$3:$A$5997,"15",계정별원장!$B$3:$B$5997,Sheet3!$B1613)</f>
        <v>0</v>
      </c>
      <c r="H1613" s="1042">
        <f>SUMIFS(계정별원장!$F$3:$F$5997,계정별원장!$A$3:$A$5997,"16",계정별원장!$B$3:$B$5997,Sheet3!$B1613)</f>
        <v>0</v>
      </c>
      <c r="I1613" s="1042">
        <v>89906684</v>
      </c>
      <c r="J1613" s="153">
        <f>COUNTIF(표1[적요],B1613)</f>
        <v>1</v>
      </c>
      <c r="K1613" s="1042">
        <f>SUMIFS('사업계획(매출 확정본)'!S$12:S$160,'사업계획(매출 확정본)'!$M$12:$M$160,Sheet3!$B1613,'사업계획(매출 확정본)'!$Q$12:$Q$160,'사업계획(매출 확정본)'!$Q$14)</f>
        <v>0</v>
      </c>
    </row>
    <row r="1614" spans="2:11" x14ac:dyDescent="0.3">
      <c r="B1614" t="s">
        <v>2875</v>
      </c>
      <c r="E1614" s="1042">
        <f>SUMIFS(계정별원장!$F$3:$F$5997,계정별원장!$A$3:$A$5997,"13",계정별원장!$B$3:$B$5997,Sheet3!$B1614)</f>
        <v>0</v>
      </c>
      <c r="F1614" s="1042">
        <f>SUMIFS(계정별원장!$F$3:$F$5997,계정별원장!$A$3:$A$5997,"14",계정별원장!$B$3:$B$5997,Sheet3!$B1614)</f>
        <v>0</v>
      </c>
      <c r="G1614" s="1042">
        <f>SUMIFS(계정별원장!$F$3:$F$5997,계정별원장!$A$3:$A$5997,"15",계정별원장!$B$3:$B$5997,Sheet3!$B1614)</f>
        <v>0</v>
      </c>
      <c r="H1614" s="1042">
        <f>SUMIFS(계정별원장!$F$3:$F$5997,계정별원장!$A$3:$A$5997,"16",계정별원장!$B$3:$B$5997,Sheet3!$B1614)</f>
        <v>0</v>
      </c>
      <c r="I1614" s="1042">
        <v>88507727</v>
      </c>
      <c r="J1614" s="153">
        <f>COUNTIF(표1[적요],B1614)</f>
        <v>1</v>
      </c>
      <c r="K1614" s="1042">
        <f>SUMIFS('사업계획(매출 확정본)'!S$12:S$160,'사업계획(매출 확정본)'!$M$12:$M$160,Sheet3!$B1614,'사업계획(매출 확정본)'!$Q$12:$Q$160,'사업계획(매출 확정본)'!$Q$14)</f>
        <v>0</v>
      </c>
    </row>
    <row r="1615" spans="2:11" x14ac:dyDescent="0.3">
      <c r="B1615" t="s">
        <v>7331</v>
      </c>
      <c r="E1615" s="1042">
        <f>SUMIFS(계정별원장!$F$3:$F$5997,계정별원장!$A$3:$A$5997,"13",계정별원장!$B$3:$B$5997,Sheet3!$B1615)</f>
        <v>0</v>
      </c>
      <c r="F1615" s="1042">
        <f>SUMIFS(계정별원장!$F$3:$F$5997,계정별원장!$A$3:$A$5997,"14",계정별원장!$B$3:$B$5997,Sheet3!$B1615)</f>
        <v>0</v>
      </c>
      <c r="G1615" s="1042">
        <f>SUMIFS(계정별원장!$F$3:$F$5997,계정별원장!$A$3:$A$5997,"15",계정별원장!$B$3:$B$5997,Sheet3!$B1615)</f>
        <v>0</v>
      </c>
      <c r="H1615" s="1042">
        <f>SUMIFS(계정별원장!$F$3:$F$5997,계정별원장!$A$3:$A$5997,"16",계정별원장!$B$3:$B$5997,Sheet3!$B1615)</f>
        <v>166600000</v>
      </c>
      <c r="I1615" s="1042">
        <v>86363636</v>
      </c>
      <c r="J1615" s="153">
        <f>COUNTIF(표1[적요],B1615)</f>
        <v>2</v>
      </c>
      <c r="K1615" s="1042">
        <f>SUMIFS('사업계획(매출 확정본)'!S$12:S$160,'사업계획(매출 확정본)'!$M$12:$M$160,Sheet3!$B1615,'사업계획(매출 확정본)'!$Q$12:$Q$160,'사업계획(매출 확정본)'!$Q$14)</f>
        <v>0</v>
      </c>
    </row>
    <row r="1616" spans="2:11" x14ac:dyDescent="0.3">
      <c r="B1616" t="s">
        <v>7367</v>
      </c>
      <c r="E1616" s="1042">
        <f>SUMIFS(계정별원장!$F$3:$F$5997,계정별원장!$A$3:$A$5997,"13",계정별원장!$B$3:$B$5997,Sheet3!$B1616)</f>
        <v>0</v>
      </c>
      <c r="F1616" s="1042">
        <f>SUMIFS(계정별원장!$F$3:$F$5997,계정별원장!$A$3:$A$5997,"14",계정별원장!$B$3:$B$5997,Sheet3!$B1616)</f>
        <v>0</v>
      </c>
      <c r="G1616" s="1042">
        <f>SUMIFS(계정별원장!$F$3:$F$5997,계정별원장!$A$3:$A$5997,"15",계정별원장!$B$3:$B$5997,Sheet3!$B1616)</f>
        <v>0</v>
      </c>
      <c r="H1616" s="1042">
        <f>SUMIFS(계정별원장!$F$3:$F$5997,계정별원장!$A$3:$A$5997,"16",계정별원장!$B$3:$B$5997,Sheet3!$B1616)</f>
        <v>0</v>
      </c>
      <c r="I1616" s="1042">
        <v>85837700</v>
      </c>
      <c r="J1616" s="153">
        <f>COUNTIF(표1[적요],B1616)</f>
        <v>1</v>
      </c>
      <c r="K1616" s="1042">
        <f>SUMIFS('사업계획(매출 확정본)'!S$12:S$160,'사업계획(매출 확정본)'!$M$12:$M$160,Sheet3!$B1616,'사업계획(매출 확정본)'!$Q$12:$Q$160,'사업계획(매출 확정본)'!$Q$14)</f>
        <v>0</v>
      </c>
    </row>
    <row r="1617" spans="2:11" x14ac:dyDescent="0.3">
      <c r="B1617" t="s">
        <v>7155</v>
      </c>
      <c r="E1617" s="1042">
        <f>SUMIFS(계정별원장!$F$3:$F$5997,계정별원장!$A$3:$A$5997,"13",계정별원장!$B$3:$B$5997,Sheet3!$B1617)</f>
        <v>78694552</v>
      </c>
      <c r="F1617" s="1042">
        <f>SUMIFS(계정별원장!$F$3:$F$5997,계정별원장!$A$3:$A$5997,"14",계정별원장!$B$3:$B$5997,Sheet3!$B1617)</f>
        <v>141435064</v>
      </c>
      <c r="G1617" s="1042">
        <f>SUMIFS(계정별원장!$F$3:$F$5997,계정별원장!$A$3:$A$5997,"15",계정별원장!$B$3:$B$5997,Sheet3!$B1617)</f>
        <v>216809589</v>
      </c>
      <c r="H1617" s="1042">
        <f>SUMIFS(계정별원장!$F$3:$F$5997,계정별원장!$A$3:$A$5997,"16",계정별원장!$B$3:$B$5997,Sheet3!$B1617)</f>
        <v>326471977</v>
      </c>
      <c r="I1617" s="1042">
        <v>74332299</v>
      </c>
      <c r="J1617" s="153">
        <f>COUNTIF(표1[적요],B1617)</f>
        <v>2</v>
      </c>
      <c r="K1617" s="1042">
        <f>SUMIFS('사업계획(매출 확정본)'!S$12:S$160,'사업계획(매출 확정본)'!$M$12:$M$160,Sheet3!$B1617,'사업계획(매출 확정본)'!$Q$12:$Q$160,'사업계획(매출 확정본)'!$Q$14)</f>
        <v>0</v>
      </c>
    </row>
    <row r="1618" spans="2:11" x14ac:dyDescent="0.3">
      <c r="B1618" t="s">
        <v>2820</v>
      </c>
      <c r="E1618" s="1042">
        <f>SUMIFS(계정별원장!$F$3:$F$5997,계정별원장!$A$3:$A$5997,"13",계정별원장!$B$3:$B$5997,Sheet3!$B1618)</f>
        <v>183210911</v>
      </c>
      <c r="F1618" s="1042">
        <f>SUMIFS(계정별원장!$F$3:$F$5997,계정별원장!$A$3:$A$5997,"14",계정별원장!$B$3:$B$5997,Sheet3!$B1618)</f>
        <v>0</v>
      </c>
      <c r="G1618" s="1042">
        <f>SUMIFS(계정별원장!$F$3:$F$5997,계정별원장!$A$3:$A$5997,"15",계정별원장!$B$3:$B$5997,Sheet3!$B1618)</f>
        <v>0</v>
      </c>
      <c r="H1618" s="1042">
        <f>SUMIFS(계정별원장!$F$3:$F$5997,계정별원장!$A$3:$A$5997,"16",계정별원장!$B$3:$B$5997,Sheet3!$B1618)</f>
        <v>0</v>
      </c>
      <c r="I1618" s="1042">
        <v>73736365</v>
      </c>
      <c r="J1618" s="153">
        <f>COUNTIF(표1[적요],B1618)</f>
        <v>2</v>
      </c>
      <c r="K1618" s="1042">
        <f>SUMIFS('사업계획(매출 확정본)'!S$12:S$160,'사업계획(매출 확정본)'!$M$12:$M$160,Sheet3!$B1618,'사업계획(매출 확정본)'!$Q$12:$Q$160,'사업계획(매출 확정본)'!$Q$14)</f>
        <v>298000000</v>
      </c>
    </row>
    <row r="1619" spans="2:11" x14ac:dyDescent="0.3">
      <c r="B1619" t="s">
        <v>2838</v>
      </c>
      <c r="E1619" s="1042">
        <f>SUMIFS(계정별원장!$F$3:$F$5997,계정별원장!$A$3:$A$5997,"13",계정별원장!$B$3:$B$5997,Sheet3!$B1619)</f>
        <v>25150000</v>
      </c>
      <c r="F1619" s="1042">
        <f>SUMIFS(계정별원장!$F$3:$F$5997,계정별원장!$A$3:$A$5997,"14",계정별원장!$B$3:$B$5997,Sheet3!$B1619)</f>
        <v>0</v>
      </c>
      <c r="G1619" s="1042">
        <f>SUMIFS(계정별원장!$F$3:$F$5997,계정별원장!$A$3:$A$5997,"15",계정별원장!$B$3:$B$5997,Sheet3!$B1619)</f>
        <v>0</v>
      </c>
      <c r="H1619" s="1042">
        <f>SUMIFS(계정별원장!$F$3:$F$5997,계정별원장!$A$3:$A$5997,"16",계정별원장!$B$3:$B$5997,Sheet3!$B1619)</f>
        <v>0</v>
      </c>
      <c r="I1619" s="1042">
        <v>73500000</v>
      </c>
      <c r="J1619" s="153">
        <f>COUNTIF(표1[적요],B1619)</f>
        <v>3</v>
      </c>
      <c r="K1619" s="1042">
        <f>SUMIFS('사업계획(매출 확정본)'!S$12:S$160,'사업계획(매출 확정본)'!$M$12:$M$160,Sheet3!$B1619,'사업계획(매출 확정본)'!$Q$12:$Q$160,'사업계획(매출 확정본)'!$Q$14)</f>
        <v>0</v>
      </c>
    </row>
    <row r="1620" spans="2:11" x14ac:dyDescent="0.3">
      <c r="B1620" t="s">
        <v>7312</v>
      </c>
      <c r="E1620" s="1042">
        <f>SUMIFS(계정별원장!$F$3:$F$5997,계정별원장!$A$3:$A$5997,"13",계정별원장!$B$3:$B$5997,Sheet3!$B1620)</f>
        <v>0</v>
      </c>
      <c r="F1620" s="1042">
        <f>SUMIFS(계정별원장!$F$3:$F$5997,계정별원장!$A$3:$A$5997,"14",계정별원장!$B$3:$B$5997,Sheet3!$B1620)</f>
        <v>0</v>
      </c>
      <c r="G1620" s="1042">
        <f>SUMIFS(계정별원장!$F$3:$F$5997,계정별원장!$A$3:$A$5997,"15",계정별원장!$B$3:$B$5997,Sheet3!$B1620)</f>
        <v>0</v>
      </c>
      <c r="H1620" s="1042">
        <f>SUMIFS(계정별원장!$F$3:$F$5997,계정별원장!$A$3:$A$5997,"16",계정별원장!$B$3:$B$5997,Sheet3!$B1620)</f>
        <v>81943200</v>
      </c>
      <c r="I1620" s="1042">
        <v>68487300</v>
      </c>
      <c r="J1620" s="153">
        <f>COUNTIF(표1[적요],B1620)</f>
        <v>1</v>
      </c>
      <c r="K1620" s="1042">
        <f>SUMIFS('사업계획(매출 확정본)'!S$12:S$160,'사업계획(매출 확정본)'!$M$12:$M$160,Sheet3!$B1620,'사업계획(매출 확정본)'!$Q$12:$Q$160,'사업계획(매출 확정본)'!$Q$14)</f>
        <v>0</v>
      </c>
    </row>
    <row r="1621" spans="2:11" x14ac:dyDescent="0.3">
      <c r="B1621" t="s">
        <v>7346</v>
      </c>
      <c r="E1621" s="1042">
        <f>SUMIFS(계정별원장!$F$3:$F$5997,계정별원장!$A$3:$A$5997,"13",계정별원장!$B$3:$B$5997,Sheet3!$B1621)</f>
        <v>0</v>
      </c>
      <c r="F1621" s="1042">
        <f>SUMIFS(계정별원장!$F$3:$F$5997,계정별원장!$A$3:$A$5997,"14",계정별원장!$B$3:$B$5997,Sheet3!$B1621)</f>
        <v>0</v>
      </c>
      <c r="G1621" s="1042">
        <f>SUMIFS(계정별원장!$F$3:$F$5997,계정별원장!$A$3:$A$5997,"15",계정별원장!$B$3:$B$5997,Sheet3!$B1621)</f>
        <v>0</v>
      </c>
      <c r="H1621" s="1042">
        <f>SUMIFS(계정별원장!$F$3:$F$5997,계정별원장!$A$3:$A$5997,"16",계정별원장!$B$3:$B$5997,Sheet3!$B1621)</f>
        <v>0</v>
      </c>
      <c r="I1621" s="1042">
        <v>50640535</v>
      </c>
      <c r="J1621" s="153">
        <f>COUNTIF(표1[적요],B1621)</f>
        <v>1</v>
      </c>
      <c r="K1621" s="1042">
        <f>SUMIFS('사업계획(매출 확정본)'!S$12:S$160,'사업계획(매출 확정본)'!$M$12:$M$160,Sheet3!$B1621,'사업계획(매출 확정본)'!$Q$12:$Q$160,'사업계획(매출 확정본)'!$Q$14)</f>
        <v>0</v>
      </c>
    </row>
    <row r="1622" spans="2:11" x14ac:dyDescent="0.3">
      <c r="B1622" t="s">
        <v>7376</v>
      </c>
      <c r="E1622" s="1042">
        <f>SUMIFS(계정별원장!$F$3:$F$5997,계정별원장!$A$3:$A$5997,"13",계정별원장!$B$3:$B$5997,Sheet3!$B1622)</f>
        <v>0</v>
      </c>
      <c r="F1622" s="1042">
        <f>SUMIFS(계정별원장!$F$3:$F$5997,계정별원장!$A$3:$A$5997,"14",계정별원장!$B$3:$B$5997,Sheet3!$B1622)</f>
        <v>0</v>
      </c>
      <c r="G1622" s="1042">
        <f>SUMIFS(계정별원장!$F$3:$F$5997,계정별원장!$A$3:$A$5997,"15",계정별원장!$B$3:$B$5997,Sheet3!$B1622)</f>
        <v>0</v>
      </c>
      <c r="H1622" s="1042">
        <f>SUMIFS(계정별원장!$F$3:$F$5997,계정별원장!$A$3:$A$5997,"16",계정별원장!$B$3:$B$5997,Sheet3!$B1622)</f>
        <v>0</v>
      </c>
      <c r="I1622" s="1042">
        <v>49527273</v>
      </c>
      <c r="J1622" s="153">
        <f>COUNTIF(표1[적요],B1622)</f>
        <v>1</v>
      </c>
      <c r="K1622" s="1042">
        <f>SUMIFS('사업계획(매출 확정본)'!S$12:S$160,'사업계획(매출 확정본)'!$M$12:$M$160,Sheet3!$B1622,'사업계획(매출 확정본)'!$Q$12:$Q$160,'사업계획(매출 확정본)'!$Q$14)</f>
        <v>0</v>
      </c>
    </row>
    <row r="1623" spans="2:11" x14ac:dyDescent="0.3">
      <c r="B1623" t="s">
        <v>2823</v>
      </c>
      <c r="E1623" s="1042">
        <f>SUMIFS(계정별원장!$F$3:$F$5997,계정별원장!$A$3:$A$5997,"13",계정별원장!$B$3:$B$5997,Sheet3!$B1623)</f>
        <v>45000000</v>
      </c>
      <c r="F1623" s="1042">
        <f>SUMIFS(계정별원장!$F$3:$F$5997,계정별원장!$A$3:$A$5997,"14",계정별원장!$B$3:$B$5997,Sheet3!$B1623)</f>
        <v>0</v>
      </c>
      <c r="G1623" s="1042">
        <f>SUMIFS(계정별원장!$F$3:$F$5997,계정별원장!$A$3:$A$5997,"15",계정별원장!$B$3:$B$5997,Sheet3!$B1623)</f>
        <v>0</v>
      </c>
      <c r="H1623" s="1042">
        <f>SUMIFS(계정별원장!$F$3:$F$5997,계정별원장!$A$3:$A$5997,"16",계정별원장!$B$3:$B$5997,Sheet3!$B1623)</f>
        <v>0</v>
      </c>
      <c r="I1623" s="1042">
        <v>42000000</v>
      </c>
      <c r="J1623" s="153">
        <f>COUNTIF(표1[적요],B1623)</f>
        <v>2</v>
      </c>
      <c r="K1623" s="1042">
        <f>SUMIFS('사업계획(매출 확정본)'!S$12:S$160,'사업계획(매출 확정본)'!$M$12:$M$160,Sheet3!$B1623,'사업계획(매출 확정본)'!$Q$12:$Q$160,'사업계획(매출 확정본)'!$Q$14)</f>
        <v>0</v>
      </c>
    </row>
    <row r="1624" spans="2:11" x14ac:dyDescent="0.3">
      <c r="B1624" t="s">
        <v>7330</v>
      </c>
      <c r="E1624" s="1042">
        <f>SUMIFS(계정별원장!$F$3:$F$5997,계정별원장!$A$3:$A$5997,"13",계정별원장!$B$3:$B$5997,Sheet3!$B1624)</f>
        <v>0</v>
      </c>
      <c r="F1624" s="1042">
        <f>SUMIFS(계정별원장!$F$3:$F$5997,계정별원장!$A$3:$A$5997,"14",계정별원장!$B$3:$B$5997,Sheet3!$B1624)</f>
        <v>0</v>
      </c>
      <c r="G1624" s="1042">
        <f>SUMIFS(계정별원장!$F$3:$F$5997,계정별원장!$A$3:$A$5997,"15",계정별원장!$B$3:$B$5997,Sheet3!$B1624)</f>
        <v>0</v>
      </c>
      <c r="H1624" s="1042">
        <f>SUMIFS(계정별원장!$F$3:$F$5997,계정별원장!$A$3:$A$5997,"16",계정별원장!$B$3:$B$5997,Sheet3!$B1624)</f>
        <v>37772727</v>
      </c>
      <c r="I1624" s="1042">
        <v>39545455</v>
      </c>
      <c r="J1624" s="153">
        <f>COUNTIF(표1[적요],B1624)</f>
        <v>1</v>
      </c>
      <c r="K1624" s="1042">
        <f>SUMIFS('사업계획(매출 확정본)'!S$12:S$160,'사업계획(매출 확정본)'!$M$12:$M$160,Sheet3!$B1624,'사업계획(매출 확정본)'!$Q$12:$Q$160,'사업계획(매출 확정본)'!$Q$14)</f>
        <v>0</v>
      </c>
    </row>
    <row r="1625" spans="2:11" x14ac:dyDescent="0.3">
      <c r="B1625" t="s">
        <v>7345</v>
      </c>
      <c r="E1625" s="1042">
        <f>SUMIFS(계정별원장!$F$3:$F$5997,계정별원장!$A$3:$A$5997,"13",계정별원장!$B$3:$B$5997,Sheet3!$B1625)</f>
        <v>0</v>
      </c>
      <c r="F1625" s="1042">
        <f>SUMIFS(계정별원장!$F$3:$F$5997,계정별원장!$A$3:$A$5997,"14",계정별원장!$B$3:$B$5997,Sheet3!$B1625)</f>
        <v>0</v>
      </c>
      <c r="G1625" s="1042">
        <f>SUMIFS(계정별원장!$F$3:$F$5997,계정별원장!$A$3:$A$5997,"15",계정별원장!$B$3:$B$5997,Sheet3!$B1625)</f>
        <v>0</v>
      </c>
      <c r="H1625" s="1042">
        <f>SUMIFS(계정별원장!$F$3:$F$5997,계정별원장!$A$3:$A$5997,"16",계정별원장!$B$3:$B$5997,Sheet3!$B1625)</f>
        <v>0</v>
      </c>
      <c r="I1625" s="1042">
        <v>38008432</v>
      </c>
      <c r="J1625" s="153">
        <f>COUNTIF(표1[적요],B1625)</f>
        <v>1</v>
      </c>
      <c r="K1625" s="1042">
        <f>SUMIFS('사업계획(매출 확정본)'!S$12:S$160,'사업계획(매출 확정본)'!$M$12:$M$160,Sheet3!$B1625,'사업계획(매출 확정본)'!$Q$12:$Q$160,'사업계획(매출 확정본)'!$Q$14)</f>
        <v>0</v>
      </c>
    </row>
    <row r="1626" spans="2:11" x14ac:dyDescent="0.3">
      <c r="B1626" t="s">
        <v>6321</v>
      </c>
      <c r="E1626" s="1042">
        <f>SUMIFS(계정별원장!$F$3:$F$5997,계정별원장!$A$3:$A$5997,"13",계정별원장!$B$3:$B$5997,Sheet3!$B1626)</f>
        <v>0</v>
      </c>
      <c r="F1626" s="1042">
        <f>SUMIFS(계정별원장!$F$3:$F$5997,계정별원장!$A$3:$A$5997,"14",계정별원장!$B$3:$B$5997,Sheet3!$B1626)</f>
        <v>0</v>
      </c>
      <c r="G1626" s="1042">
        <f>SUMIFS(계정별원장!$F$3:$F$5997,계정별원장!$A$3:$A$5997,"15",계정별원장!$B$3:$B$5997,Sheet3!$B1626)</f>
        <v>0</v>
      </c>
      <c r="H1626" s="1042">
        <f>SUMIFS(계정별원장!$F$3:$F$5997,계정별원장!$A$3:$A$5997,"16",계정별원장!$B$3:$B$5997,Sheet3!$B1626)</f>
        <v>0</v>
      </c>
      <c r="I1626" s="1042">
        <v>37150000</v>
      </c>
      <c r="J1626" s="153">
        <f>COUNTIF(표1[적요],B1626)</f>
        <v>1</v>
      </c>
      <c r="K1626" s="1042">
        <f>SUMIFS('사업계획(매출 확정본)'!S$12:S$160,'사업계획(매출 확정본)'!$M$12:$M$160,Sheet3!$B1626,'사업계획(매출 확정본)'!$Q$12:$Q$160,'사업계획(매출 확정본)'!$Q$14)</f>
        <v>0</v>
      </c>
    </row>
    <row r="1627" spans="2:11" x14ac:dyDescent="0.3">
      <c r="B1627" t="s">
        <v>2846</v>
      </c>
      <c r="E1627" s="1042">
        <f>SUMIFS(계정별원장!$F$3:$F$5997,계정별원장!$A$3:$A$5997,"13",계정별원장!$B$3:$B$5997,Sheet3!$B1627)</f>
        <v>0</v>
      </c>
      <c r="F1627" s="1042">
        <f>SUMIFS(계정별원장!$F$3:$F$5997,계정별원장!$A$3:$A$5997,"14",계정별원장!$B$3:$B$5997,Sheet3!$B1627)</f>
        <v>0</v>
      </c>
      <c r="G1627" s="1042">
        <f>SUMIFS(계정별원장!$F$3:$F$5997,계정별원장!$A$3:$A$5997,"15",계정별원장!$B$3:$B$5997,Sheet3!$B1627)</f>
        <v>0</v>
      </c>
      <c r="H1627" s="1042">
        <f>SUMIFS(계정별원장!$F$3:$F$5997,계정별원장!$A$3:$A$5997,"16",계정별원장!$B$3:$B$5997,Sheet3!$B1627)</f>
        <v>0</v>
      </c>
      <c r="I1627" s="1042">
        <v>36900000</v>
      </c>
      <c r="J1627" s="153">
        <f>COUNTIF(표1[적요],B1627)</f>
        <v>1</v>
      </c>
      <c r="K1627" s="1042">
        <f>SUMIFS('사업계획(매출 확정본)'!S$12:S$160,'사업계획(매출 확정본)'!$M$12:$M$160,Sheet3!$B1627,'사업계획(매출 확정본)'!$Q$12:$Q$160,'사업계획(매출 확정본)'!$Q$14)</f>
        <v>553500000</v>
      </c>
    </row>
    <row r="1628" spans="2:11" x14ac:dyDescent="0.3">
      <c r="B1628" t="s">
        <v>7363</v>
      </c>
      <c r="E1628" s="1042">
        <f>SUMIFS(계정별원장!$F$3:$F$5997,계정별원장!$A$3:$A$5997,"13",계정별원장!$B$3:$B$5997,Sheet3!$B1628)</f>
        <v>0</v>
      </c>
      <c r="F1628" s="1042">
        <f>SUMIFS(계정별원장!$F$3:$F$5997,계정별원장!$A$3:$A$5997,"14",계정별원장!$B$3:$B$5997,Sheet3!$B1628)</f>
        <v>0</v>
      </c>
      <c r="G1628" s="1042">
        <f>SUMIFS(계정별원장!$F$3:$F$5997,계정별원장!$A$3:$A$5997,"15",계정별원장!$B$3:$B$5997,Sheet3!$B1628)</f>
        <v>0</v>
      </c>
      <c r="H1628" s="1042">
        <f>SUMIFS(계정별원장!$F$3:$F$5997,계정별원장!$A$3:$A$5997,"16",계정별원장!$B$3:$B$5997,Sheet3!$B1628)</f>
        <v>0</v>
      </c>
      <c r="I1628" s="1042">
        <v>34142000</v>
      </c>
      <c r="J1628" s="153">
        <f>COUNTIF(표1[적요],B1628)</f>
        <v>1</v>
      </c>
      <c r="K1628" s="1042">
        <f>SUMIFS('사업계획(매출 확정본)'!S$12:S$160,'사업계획(매출 확정본)'!$M$12:$M$160,Sheet3!$B1628,'사업계획(매출 확정본)'!$Q$12:$Q$160,'사업계획(매출 확정본)'!$Q$14)</f>
        <v>0</v>
      </c>
    </row>
    <row r="1629" spans="2:11" x14ac:dyDescent="0.3">
      <c r="B1629" t="s">
        <v>7360</v>
      </c>
      <c r="E1629" s="1042">
        <f>SUMIFS(계정별원장!$F$3:$F$5997,계정별원장!$A$3:$A$5997,"13",계정별원장!$B$3:$B$5997,Sheet3!$B1629)</f>
        <v>0</v>
      </c>
      <c r="F1629" s="1042">
        <f>SUMIFS(계정별원장!$F$3:$F$5997,계정별원장!$A$3:$A$5997,"14",계정별원장!$B$3:$B$5997,Sheet3!$B1629)</f>
        <v>0</v>
      </c>
      <c r="G1629" s="1042">
        <f>SUMIFS(계정별원장!$F$3:$F$5997,계정별원장!$A$3:$A$5997,"15",계정별원장!$B$3:$B$5997,Sheet3!$B1629)</f>
        <v>0</v>
      </c>
      <c r="H1629" s="1042">
        <f>SUMIFS(계정별원장!$F$3:$F$5997,계정별원장!$A$3:$A$5997,"16",계정별원장!$B$3:$B$5997,Sheet3!$B1629)</f>
        <v>0</v>
      </c>
      <c r="I1629" s="1042">
        <v>33420000</v>
      </c>
      <c r="J1629" s="153">
        <f>COUNTIF(표1[적요],B1629)</f>
        <v>1</v>
      </c>
      <c r="K1629" s="1042">
        <f>SUMIFS('사업계획(매출 확정본)'!S$12:S$160,'사업계획(매출 확정본)'!$M$12:$M$160,Sheet3!$B1629,'사업계획(매출 확정본)'!$Q$12:$Q$160,'사업계획(매출 확정본)'!$Q$14)</f>
        <v>0</v>
      </c>
    </row>
    <row r="1630" spans="2:11" x14ac:dyDescent="0.3">
      <c r="B1630" t="s">
        <v>7362</v>
      </c>
      <c r="E1630" s="1042">
        <f>SUMIFS(계정별원장!$F$3:$F$5997,계정별원장!$A$3:$A$5997,"13",계정별원장!$B$3:$B$5997,Sheet3!$B1630)</f>
        <v>0</v>
      </c>
      <c r="F1630" s="1042">
        <f>SUMIFS(계정별원장!$F$3:$F$5997,계정별원장!$A$3:$A$5997,"14",계정별원장!$B$3:$B$5997,Sheet3!$B1630)</f>
        <v>0</v>
      </c>
      <c r="G1630" s="1042">
        <f>SUMIFS(계정별원장!$F$3:$F$5997,계정별원장!$A$3:$A$5997,"15",계정별원장!$B$3:$B$5997,Sheet3!$B1630)</f>
        <v>0</v>
      </c>
      <c r="H1630" s="1042">
        <f>SUMIFS(계정별원장!$F$3:$F$5997,계정별원장!$A$3:$A$5997,"16",계정별원장!$B$3:$B$5997,Sheet3!$B1630)</f>
        <v>0</v>
      </c>
      <c r="I1630" s="1042">
        <v>33015000</v>
      </c>
      <c r="J1630" s="153">
        <f>COUNTIF(표1[적요],B1630)</f>
        <v>1</v>
      </c>
      <c r="K1630" s="1042">
        <f>SUMIFS('사업계획(매출 확정본)'!S$12:S$160,'사업계획(매출 확정본)'!$M$12:$M$160,Sheet3!$B1630,'사업계획(매출 확정본)'!$Q$12:$Q$160,'사업계획(매출 확정본)'!$Q$14)</f>
        <v>0</v>
      </c>
    </row>
    <row r="1631" spans="2:11" x14ac:dyDescent="0.3">
      <c r="B1631" t="s">
        <v>7213</v>
      </c>
      <c r="E1631" s="1042">
        <f>SUMIFS(계정별원장!$F$3:$F$5997,계정별원장!$A$3:$A$5997,"13",계정별원장!$B$3:$B$5997,Sheet3!$B1631)</f>
        <v>0</v>
      </c>
      <c r="F1631" s="1042">
        <f>SUMIFS(계정별원장!$F$3:$F$5997,계정별원장!$A$3:$A$5997,"14",계정별원장!$B$3:$B$5997,Sheet3!$B1631)</f>
        <v>19813236</v>
      </c>
      <c r="G1631" s="1042">
        <f>SUMIFS(계정별원장!$F$3:$F$5997,계정별원장!$A$3:$A$5997,"15",계정별원장!$B$3:$B$5997,Sheet3!$B1631)</f>
        <v>57160050</v>
      </c>
      <c r="H1631" s="1042">
        <f>SUMIFS(계정별원장!$F$3:$F$5997,계정별원장!$A$3:$A$5997,"16",계정별원장!$B$3:$B$5997,Sheet3!$B1631)</f>
        <v>53399007</v>
      </c>
      <c r="I1631" s="1042">
        <v>27562428</v>
      </c>
      <c r="J1631" s="153">
        <f>COUNTIF(표1[적요],B1631)</f>
        <v>1</v>
      </c>
      <c r="K1631" s="1042">
        <f>SUMIFS('사업계획(매출 확정본)'!S$12:S$160,'사업계획(매출 확정본)'!$M$12:$M$160,Sheet3!$B1631,'사업계획(매출 확정본)'!$Q$12:$Q$160,'사업계획(매출 확정본)'!$Q$14)</f>
        <v>0</v>
      </c>
    </row>
    <row r="1632" spans="2:11" x14ac:dyDescent="0.3">
      <c r="B1632" t="s">
        <v>7354</v>
      </c>
      <c r="E1632" s="1042">
        <f>SUMIFS(계정별원장!$F$3:$F$5997,계정별원장!$A$3:$A$5997,"13",계정별원장!$B$3:$B$5997,Sheet3!$B1632)</f>
        <v>0</v>
      </c>
      <c r="F1632" s="1042">
        <f>SUMIFS(계정별원장!$F$3:$F$5997,계정별원장!$A$3:$A$5997,"14",계정별원장!$B$3:$B$5997,Sheet3!$B1632)</f>
        <v>0</v>
      </c>
      <c r="G1632" s="1042">
        <f>SUMIFS(계정별원장!$F$3:$F$5997,계정별원장!$A$3:$A$5997,"15",계정별원장!$B$3:$B$5997,Sheet3!$B1632)</f>
        <v>0</v>
      </c>
      <c r="H1632" s="1042">
        <f>SUMIFS(계정별원장!$F$3:$F$5997,계정별원장!$A$3:$A$5997,"16",계정별원장!$B$3:$B$5997,Sheet3!$B1632)</f>
        <v>0</v>
      </c>
      <c r="I1632" s="1042">
        <v>20760909</v>
      </c>
      <c r="J1632" s="153">
        <f>COUNTIF(표1[적요],B1632)</f>
        <v>1</v>
      </c>
      <c r="K1632" s="1042">
        <f>SUMIFS('사업계획(매출 확정본)'!S$12:S$160,'사업계획(매출 확정본)'!$M$12:$M$160,Sheet3!$B1632,'사업계획(매출 확정본)'!$Q$12:$Q$160,'사업계획(매출 확정본)'!$Q$14)</f>
        <v>0</v>
      </c>
    </row>
    <row r="1633" spans="2:11" x14ac:dyDescent="0.3">
      <c r="B1633" t="s">
        <v>2891</v>
      </c>
      <c r="E1633" s="1042">
        <f>SUMIFS(계정별원장!$F$3:$F$5997,계정별원장!$A$3:$A$5997,"13",계정별원장!$B$3:$B$5997,Sheet3!$B1633)</f>
        <v>0</v>
      </c>
      <c r="F1633" s="1042">
        <f>SUMIFS(계정별원장!$F$3:$F$5997,계정별원장!$A$3:$A$5997,"14",계정별원장!$B$3:$B$5997,Sheet3!$B1633)</f>
        <v>0</v>
      </c>
      <c r="G1633" s="1042">
        <f>SUMIFS(계정별원장!$F$3:$F$5997,계정별원장!$A$3:$A$5997,"15",계정별원장!$B$3:$B$5997,Sheet3!$B1633)</f>
        <v>0</v>
      </c>
      <c r="H1633" s="1042">
        <f>SUMIFS(계정별원장!$F$3:$F$5997,계정별원장!$A$3:$A$5997,"16",계정별원장!$B$3:$B$5997,Sheet3!$B1633)</f>
        <v>0</v>
      </c>
      <c r="I1633" s="1042">
        <v>17727273</v>
      </c>
      <c r="J1633" s="153">
        <f>COUNTIF(표1[적요],B1633)</f>
        <v>1</v>
      </c>
      <c r="K1633" s="1042">
        <f>SUMIFS('사업계획(매출 확정본)'!S$12:S$160,'사업계획(매출 확정본)'!$M$12:$M$160,Sheet3!$B1633,'사업계획(매출 확정본)'!$Q$12:$Q$160,'사업계획(매출 확정본)'!$Q$14)</f>
        <v>0</v>
      </c>
    </row>
    <row r="1634" spans="2:11" x14ac:dyDescent="0.3">
      <c r="B1634" t="s">
        <v>7379</v>
      </c>
      <c r="E1634" s="1042">
        <f>SUMIFS(계정별원장!$F$3:$F$5997,계정별원장!$A$3:$A$5997,"13",계정별원장!$B$3:$B$5997,Sheet3!$B1634)</f>
        <v>0</v>
      </c>
      <c r="F1634" s="1042">
        <f>SUMIFS(계정별원장!$F$3:$F$5997,계정별원장!$A$3:$A$5997,"14",계정별원장!$B$3:$B$5997,Sheet3!$B1634)</f>
        <v>0</v>
      </c>
      <c r="G1634" s="1042">
        <f>SUMIFS(계정별원장!$F$3:$F$5997,계정별원장!$A$3:$A$5997,"15",계정별원장!$B$3:$B$5997,Sheet3!$B1634)</f>
        <v>0</v>
      </c>
      <c r="H1634" s="1042">
        <f>SUMIFS(계정별원장!$F$3:$F$5997,계정별원장!$A$3:$A$5997,"16",계정별원장!$B$3:$B$5997,Sheet3!$B1634)</f>
        <v>0</v>
      </c>
      <c r="I1634" s="1042">
        <v>17558880</v>
      </c>
      <c r="J1634" s="153">
        <f>COUNTIF(표1[적요],B1634)</f>
        <v>1</v>
      </c>
      <c r="K1634" s="1042">
        <f>SUMIFS('사업계획(매출 확정본)'!S$12:S$160,'사업계획(매출 확정본)'!$M$12:$M$160,Sheet3!$B1634,'사업계획(매출 확정본)'!$Q$12:$Q$160,'사업계획(매출 확정본)'!$Q$14)</f>
        <v>0</v>
      </c>
    </row>
    <row r="1635" spans="2:11" x14ac:dyDescent="0.3">
      <c r="B1635" t="s">
        <v>2052</v>
      </c>
      <c r="E1635" s="1042">
        <f>SUMIFS(계정별원장!$F$3:$F$5997,계정별원장!$A$3:$A$5997,"13",계정별원장!$B$3:$B$5997,Sheet3!$B1635)</f>
        <v>0</v>
      </c>
      <c r="F1635" s="1042">
        <f>SUMIFS(계정별원장!$F$3:$F$5997,계정별원장!$A$3:$A$5997,"14",계정별원장!$B$3:$B$5997,Sheet3!$B1635)</f>
        <v>0</v>
      </c>
      <c r="G1635" s="1042">
        <f>SUMIFS(계정별원장!$F$3:$F$5997,계정별원장!$A$3:$A$5997,"15",계정별원장!$B$3:$B$5997,Sheet3!$B1635)</f>
        <v>0</v>
      </c>
      <c r="H1635" s="1042">
        <f>SUMIFS(계정별원장!$F$3:$F$5997,계정별원장!$A$3:$A$5997,"16",계정별원장!$B$3:$B$5997,Sheet3!$B1635)</f>
        <v>0</v>
      </c>
      <c r="I1635" s="1042">
        <v>16800000</v>
      </c>
      <c r="J1635" s="153">
        <f>COUNTIF(표1[적요],B1635)</f>
        <v>2</v>
      </c>
      <c r="K1635" s="1042">
        <f>SUMIFS('사업계획(매출 확정본)'!S$12:S$160,'사업계획(매출 확정본)'!$M$12:$M$160,Sheet3!$B1635,'사업계획(매출 확정본)'!$Q$12:$Q$160,'사업계획(매출 확정본)'!$Q$14)</f>
        <v>0</v>
      </c>
    </row>
    <row r="1636" spans="2:11" x14ac:dyDescent="0.3">
      <c r="B1636" t="s">
        <v>7311</v>
      </c>
      <c r="E1636" s="1042">
        <f>SUMIFS(계정별원장!$F$3:$F$5997,계정별원장!$A$3:$A$5997,"13",계정별원장!$B$3:$B$5997,Sheet3!$B1636)</f>
        <v>0</v>
      </c>
      <c r="F1636" s="1042">
        <f>SUMIFS(계정별원장!$F$3:$F$5997,계정별원장!$A$3:$A$5997,"14",계정별원장!$B$3:$B$5997,Sheet3!$B1636)</f>
        <v>0</v>
      </c>
      <c r="G1636" s="1042">
        <f>SUMIFS(계정별원장!$F$3:$F$5997,계정별원장!$A$3:$A$5997,"15",계정별원장!$B$3:$B$5997,Sheet3!$B1636)</f>
        <v>0</v>
      </c>
      <c r="H1636" s="1042">
        <f>SUMIFS(계정별원장!$F$3:$F$5997,계정별원장!$A$3:$A$5997,"16",계정별원장!$B$3:$B$5997,Sheet3!$B1636)</f>
        <v>367804364</v>
      </c>
      <c r="I1636" s="1042">
        <v>16097844</v>
      </c>
      <c r="J1636" s="153">
        <f>COUNTIF(표1[적요],B1636)</f>
        <v>1</v>
      </c>
      <c r="K1636" s="1042">
        <f>SUMIFS('사업계획(매출 확정본)'!S$12:S$160,'사업계획(매출 확정본)'!$M$12:$M$160,Sheet3!$B1636,'사업계획(매출 확정본)'!$Q$12:$Q$160,'사업계획(매출 확정본)'!$Q$14)</f>
        <v>0</v>
      </c>
    </row>
    <row r="1637" spans="2:11" x14ac:dyDescent="0.3">
      <c r="B1637" t="s">
        <v>7373</v>
      </c>
      <c r="E1637" s="1042">
        <f>SUMIFS(계정별원장!$F$3:$F$5997,계정별원장!$A$3:$A$5997,"13",계정별원장!$B$3:$B$5997,Sheet3!$B1637)</f>
        <v>0</v>
      </c>
      <c r="F1637" s="1042">
        <f>SUMIFS(계정별원장!$F$3:$F$5997,계정별원장!$A$3:$A$5997,"14",계정별원장!$B$3:$B$5997,Sheet3!$B1637)</f>
        <v>0</v>
      </c>
      <c r="G1637" s="1042">
        <f>SUMIFS(계정별원장!$F$3:$F$5997,계정별원장!$A$3:$A$5997,"15",계정별원장!$B$3:$B$5997,Sheet3!$B1637)</f>
        <v>0</v>
      </c>
      <c r="H1637" s="1042">
        <f>SUMIFS(계정별원장!$F$3:$F$5997,계정별원장!$A$3:$A$5997,"16",계정별원장!$B$3:$B$5997,Sheet3!$B1637)</f>
        <v>0</v>
      </c>
      <c r="I1637" s="1042">
        <v>15475500</v>
      </c>
      <c r="J1637" s="153">
        <f>COUNTIF(표1[적요],B1637)</f>
        <v>1</v>
      </c>
      <c r="K1637" s="1042">
        <f>SUMIFS('사업계획(매출 확정본)'!S$12:S$160,'사업계획(매출 확정본)'!$M$12:$M$160,Sheet3!$B1637,'사업계획(매출 확정본)'!$Q$12:$Q$160,'사업계획(매출 확정본)'!$Q$14)</f>
        <v>0</v>
      </c>
    </row>
    <row r="1638" spans="2:11" x14ac:dyDescent="0.3">
      <c r="B1638" t="s">
        <v>7351</v>
      </c>
      <c r="E1638" s="1042">
        <f>SUMIFS(계정별원장!$F$3:$F$5997,계정별원장!$A$3:$A$5997,"13",계정별원장!$B$3:$B$5997,Sheet3!$B1638)</f>
        <v>0</v>
      </c>
      <c r="F1638" s="1042">
        <f>SUMIFS(계정별원장!$F$3:$F$5997,계정별원장!$A$3:$A$5997,"14",계정별원장!$B$3:$B$5997,Sheet3!$B1638)</f>
        <v>0</v>
      </c>
      <c r="G1638" s="1042">
        <f>SUMIFS(계정별원장!$F$3:$F$5997,계정별원장!$A$3:$A$5997,"15",계정별원장!$B$3:$B$5997,Sheet3!$B1638)</f>
        <v>0</v>
      </c>
      <c r="H1638" s="1042">
        <f>SUMIFS(계정별원장!$F$3:$F$5997,계정별원장!$A$3:$A$5997,"16",계정별원장!$B$3:$B$5997,Sheet3!$B1638)</f>
        <v>0</v>
      </c>
      <c r="I1638" s="1042">
        <v>14909091</v>
      </c>
      <c r="J1638" s="153">
        <f>COUNTIF(표1[적요],B1638)</f>
        <v>1</v>
      </c>
      <c r="K1638" s="1042">
        <f>SUMIFS('사업계획(매출 확정본)'!S$12:S$160,'사업계획(매출 확정본)'!$M$12:$M$160,Sheet3!$B1638,'사업계획(매출 확정본)'!$Q$12:$Q$160,'사업계획(매출 확정본)'!$Q$14)</f>
        <v>0</v>
      </c>
    </row>
    <row r="1639" spans="2:11" x14ac:dyDescent="0.3">
      <c r="B1639" t="s">
        <v>2826</v>
      </c>
      <c r="E1639" s="1042">
        <f>SUMIFS(계정별원장!$F$3:$F$5997,계정별원장!$A$3:$A$5997,"13",계정별원장!$B$3:$B$5997,Sheet3!$B1639)</f>
        <v>0</v>
      </c>
      <c r="F1639" s="1042">
        <f>SUMIFS(계정별원장!$F$3:$F$5997,계정별원장!$A$3:$A$5997,"14",계정별원장!$B$3:$B$5997,Sheet3!$B1639)</f>
        <v>0</v>
      </c>
      <c r="G1639" s="1042">
        <f>SUMIFS(계정별원장!$F$3:$F$5997,계정별원장!$A$3:$A$5997,"15",계정별원장!$B$3:$B$5997,Sheet3!$B1639)</f>
        <v>0</v>
      </c>
      <c r="H1639" s="1042">
        <f>SUMIFS(계정별원장!$F$3:$F$5997,계정별원장!$A$3:$A$5997,"16",계정별원장!$B$3:$B$5997,Sheet3!$B1639)</f>
        <v>0</v>
      </c>
      <c r="I1639" s="1042">
        <v>13954545</v>
      </c>
      <c r="J1639" s="153">
        <f>COUNTIF(표1[적요],B1639)</f>
        <v>1</v>
      </c>
      <c r="K1639" s="1042">
        <f>SUMIFS('사업계획(매출 확정본)'!S$12:S$160,'사업계획(매출 확정본)'!$M$12:$M$160,Sheet3!$B1639,'사업계획(매출 확정본)'!$Q$12:$Q$160,'사업계획(매출 확정본)'!$Q$14)</f>
        <v>0</v>
      </c>
    </row>
    <row r="1640" spans="2:11" x14ac:dyDescent="0.3">
      <c r="B1640" t="s">
        <v>7089</v>
      </c>
      <c r="E1640" s="1042">
        <f>SUMIFS(계정별원장!$F$3:$F$5997,계정별원장!$A$3:$A$5997,"13",계정별원장!$B$3:$B$5997,Sheet3!$B1640)</f>
        <v>0</v>
      </c>
      <c r="F1640" s="1042">
        <f>SUMIFS(계정별원장!$F$3:$F$5997,계정별원장!$A$3:$A$5997,"14",계정별원장!$B$3:$B$5997,Sheet3!$B1640)</f>
        <v>0</v>
      </c>
      <c r="G1640" s="1042">
        <f>SUMIFS(계정별원장!$F$3:$F$5997,계정별원장!$A$3:$A$5997,"15",계정별원장!$B$3:$B$5997,Sheet3!$B1640)</f>
        <v>0</v>
      </c>
      <c r="H1640" s="1042">
        <f>SUMIFS(계정별원장!$F$3:$F$5997,계정별원장!$A$3:$A$5997,"16",계정별원장!$B$3:$B$5997,Sheet3!$B1640)</f>
        <v>0</v>
      </c>
      <c r="I1640" s="1042">
        <v>12265000</v>
      </c>
      <c r="J1640" s="153">
        <f>COUNTIF(표1[적요],B1640)</f>
        <v>1</v>
      </c>
      <c r="K1640" s="1042">
        <f>SUMIFS('사업계획(매출 확정본)'!S$12:S$160,'사업계획(매출 확정본)'!$M$12:$M$160,Sheet3!$B1640,'사업계획(매출 확정본)'!$Q$12:$Q$160,'사업계획(매출 확정본)'!$Q$14)</f>
        <v>0</v>
      </c>
    </row>
    <row r="1641" spans="2:11" x14ac:dyDescent="0.3">
      <c r="B1641" t="s">
        <v>7377</v>
      </c>
      <c r="E1641" s="1042">
        <f>SUMIFS(계정별원장!$F$3:$F$5997,계정별원장!$A$3:$A$5997,"13",계정별원장!$B$3:$B$5997,Sheet3!$B1641)</f>
        <v>0</v>
      </c>
      <c r="F1641" s="1042">
        <f>SUMIFS(계정별원장!$F$3:$F$5997,계정별원장!$A$3:$A$5997,"14",계정별원장!$B$3:$B$5997,Sheet3!$B1641)</f>
        <v>0</v>
      </c>
      <c r="G1641" s="1042">
        <f>SUMIFS(계정별원장!$F$3:$F$5997,계정별원장!$A$3:$A$5997,"15",계정별원장!$B$3:$B$5997,Sheet3!$B1641)</f>
        <v>0</v>
      </c>
      <c r="H1641" s="1042">
        <f>SUMIFS(계정별원장!$F$3:$F$5997,계정별원장!$A$3:$A$5997,"16",계정별원장!$B$3:$B$5997,Sheet3!$B1641)</f>
        <v>0</v>
      </c>
      <c r="I1641" s="1042">
        <v>9090909</v>
      </c>
      <c r="J1641" s="153">
        <f>COUNTIF(표1[적요],B1641)</f>
        <v>1</v>
      </c>
      <c r="K1641" s="1042">
        <f>SUMIFS('사업계획(매출 확정본)'!S$12:S$160,'사업계획(매출 확정본)'!$M$12:$M$160,Sheet3!$B1641,'사업계획(매출 확정본)'!$Q$12:$Q$160,'사업계획(매출 확정본)'!$Q$14)</f>
        <v>11000000000</v>
      </c>
    </row>
    <row r="1642" spans="2:11" x14ac:dyDescent="0.3">
      <c r="B1642" t="s">
        <v>2882</v>
      </c>
      <c r="E1642" s="1042">
        <f>SUMIFS(계정별원장!$F$3:$F$5997,계정별원장!$A$3:$A$5997,"13",계정별원장!$B$3:$B$5997,Sheet3!$B1642)</f>
        <v>0</v>
      </c>
      <c r="F1642" s="1042">
        <f>SUMIFS(계정별원장!$F$3:$F$5997,계정별원장!$A$3:$A$5997,"14",계정별원장!$B$3:$B$5997,Sheet3!$B1642)</f>
        <v>0</v>
      </c>
      <c r="G1642" s="1042">
        <f>SUMIFS(계정별원장!$F$3:$F$5997,계정별원장!$A$3:$A$5997,"15",계정별원장!$B$3:$B$5997,Sheet3!$B1642)</f>
        <v>0</v>
      </c>
      <c r="H1642" s="1042">
        <f>SUMIFS(계정별원장!$F$3:$F$5997,계정별원장!$A$3:$A$5997,"16",계정별원장!$B$3:$B$5997,Sheet3!$B1642)</f>
        <v>0</v>
      </c>
      <c r="I1642" s="1042">
        <v>8636363</v>
      </c>
      <c r="J1642" s="153">
        <f>COUNTIF(표1[적요],B1642)</f>
        <v>1</v>
      </c>
      <c r="K1642" s="1042">
        <f>SUMIFS('사업계획(매출 확정본)'!S$12:S$160,'사업계획(매출 확정본)'!$M$12:$M$160,Sheet3!$B1642,'사업계획(매출 확정본)'!$Q$12:$Q$160,'사업계획(매출 확정본)'!$Q$14)</f>
        <v>0</v>
      </c>
    </row>
    <row r="1643" spans="2:11" x14ac:dyDescent="0.3">
      <c r="B1643" t="s">
        <v>2026</v>
      </c>
      <c r="E1643" s="1042">
        <f>SUMIFS(계정별원장!$F$3:$F$5997,계정별원장!$A$3:$A$5997,"13",계정별원장!$B$3:$B$5997,Sheet3!$B1643)</f>
        <v>283533640</v>
      </c>
      <c r="F1643" s="1042">
        <f>SUMIFS(계정별원장!$F$3:$F$5997,계정별원장!$A$3:$A$5997,"14",계정별원장!$B$3:$B$5997,Sheet3!$B1643)</f>
        <v>138096363</v>
      </c>
      <c r="G1643" s="1042">
        <f>SUMIFS(계정별원장!$F$3:$F$5997,계정별원장!$A$3:$A$5997,"15",계정별원장!$B$3:$B$5997,Sheet3!$B1643)</f>
        <v>0</v>
      </c>
      <c r="H1643" s="1042">
        <f>SUMIFS(계정별원장!$F$3:$F$5997,계정별원장!$A$3:$A$5997,"16",계정별원장!$B$3:$B$5997,Sheet3!$B1643)</f>
        <v>0</v>
      </c>
      <c r="I1643" s="1042">
        <v>6575800</v>
      </c>
      <c r="J1643" s="153">
        <f>COUNTIF(표1[적요],B1643)</f>
        <v>1</v>
      </c>
      <c r="K1643" s="1042">
        <f>SUMIFS('사업계획(매출 확정본)'!S$12:S$160,'사업계획(매출 확정본)'!$M$12:$M$160,Sheet3!$B1643,'사업계획(매출 확정본)'!$Q$12:$Q$160,'사업계획(매출 확정본)'!$Q$14)</f>
        <v>0</v>
      </c>
    </row>
    <row r="1644" spans="2:11" x14ac:dyDescent="0.3">
      <c r="B1644" t="s">
        <v>7355</v>
      </c>
      <c r="E1644" s="1042">
        <f>SUMIFS(계정별원장!$F$3:$F$5997,계정별원장!$A$3:$A$5997,"13",계정별원장!$B$3:$B$5997,Sheet3!$B1644)</f>
        <v>0</v>
      </c>
      <c r="F1644" s="1042">
        <f>SUMIFS(계정별원장!$F$3:$F$5997,계정별원장!$A$3:$A$5997,"14",계정별원장!$B$3:$B$5997,Sheet3!$B1644)</f>
        <v>0</v>
      </c>
      <c r="G1644" s="1042">
        <f>SUMIFS(계정별원장!$F$3:$F$5997,계정별원장!$A$3:$A$5997,"15",계정별원장!$B$3:$B$5997,Sheet3!$B1644)</f>
        <v>0</v>
      </c>
      <c r="H1644" s="1042">
        <f>SUMIFS(계정별원장!$F$3:$F$5997,계정별원장!$A$3:$A$5997,"16",계정별원장!$B$3:$B$5997,Sheet3!$B1644)</f>
        <v>0</v>
      </c>
      <c r="I1644" s="1042">
        <v>6242940</v>
      </c>
      <c r="J1644" s="153">
        <f>COUNTIF(표1[적요],B1644)</f>
        <v>1</v>
      </c>
      <c r="K1644" s="1042">
        <f>SUMIFS('사업계획(매출 확정본)'!S$12:S$160,'사업계획(매출 확정본)'!$M$12:$M$160,Sheet3!$B1644,'사업계획(매출 확정본)'!$Q$12:$Q$160,'사업계획(매출 확정본)'!$Q$14)</f>
        <v>0</v>
      </c>
    </row>
    <row r="1645" spans="2:11" x14ac:dyDescent="0.3">
      <c r="B1645" t="s">
        <v>2830</v>
      </c>
      <c r="E1645" s="1042">
        <f>SUMIFS(계정별원장!$F$3:$F$5997,계정별원장!$A$3:$A$5997,"13",계정별원장!$B$3:$B$5997,Sheet3!$B1645)</f>
        <v>0</v>
      </c>
      <c r="F1645" s="1042">
        <f>SUMIFS(계정별원장!$F$3:$F$5997,계정별원장!$A$3:$A$5997,"14",계정별원장!$B$3:$B$5997,Sheet3!$B1645)</f>
        <v>0</v>
      </c>
      <c r="G1645" s="1042">
        <f>SUMIFS(계정별원장!$F$3:$F$5997,계정별원장!$A$3:$A$5997,"15",계정별원장!$B$3:$B$5997,Sheet3!$B1645)</f>
        <v>0</v>
      </c>
      <c r="H1645" s="1042">
        <f>SUMIFS(계정별원장!$F$3:$F$5997,계정별원장!$A$3:$A$5997,"16",계정별원장!$B$3:$B$5997,Sheet3!$B1645)</f>
        <v>0</v>
      </c>
      <c r="I1645" s="1042">
        <v>2681818</v>
      </c>
      <c r="J1645" s="153">
        <f>COUNTIF(표1[적요],B1645)</f>
        <v>2</v>
      </c>
      <c r="K1645" s="1042">
        <f>SUMIFS('사업계획(매출 확정본)'!S$12:S$160,'사업계획(매출 확정본)'!$M$12:$M$160,Sheet3!$B1645,'사업계획(매출 확정본)'!$Q$12:$Q$160,'사업계획(매출 확정본)'!$Q$14)</f>
        <v>0</v>
      </c>
    </row>
    <row r="1646" spans="2:11" x14ac:dyDescent="0.3">
      <c r="B1646" t="s">
        <v>6219</v>
      </c>
      <c r="E1646" s="1042">
        <f>SUMIFS(계정별원장!$F$3:$F$5997,계정별원장!$A$3:$A$5997,"13",계정별원장!$B$3:$B$5997,Sheet3!$B1646)</f>
        <v>0</v>
      </c>
      <c r="F1646" s="1042">
        <f>SUMIFS(계정별원장!$F$3:$F$5997,계정별원장!$A$3:$A$5997,"14",계정별원장!$B$3:$B$5997,Sheet3!$B1646)</f>
        <v>0</v>
      </c>
      <c r="G1646" s="1042">
        <f>SUMIFS(계정별원장!$F$3:$F$5997,계정별원장!$A$3:$A$5997,"15",계정별원장!$B$3:$B$5997,Sheet3!$B1646)</f>
        <v>0</v>
      </c>
      <c r="H1646" s="1042">
        <f>SUMIFS(계정별원장!$F$3:$F$5997,계정별원장!$A$3:$A$5997,"16",계정별원장!$B$3:$B$5997,Sheet3!$B1646)</f>
        <v>0</v>
      </c>
      <c r="I1646" s="1042">
        <v>2396700</v>
      </c>
      <c r="J1646" s="153">
        <f>COUNTIF(표1[적요],B1646)</f>
        <v>1</v>
      </c>
      <c r="K1646" s="1042">
        <f>SUMIFS('사업계획(매출 확정본)'!S$12:S$160,'사업계획(매출 확정본)'!$M$12:$M$160,Sheet3!$B1646,'사업계획(매출 확정본)'!$Q$12:$Q$160,'사업계획(매출 확정본)'!$Q$14)</f>
        <v>0</v>
      </c>
    </row>
    <row r="1647" spans="2:11" x14ac:dyDescent="0.3">
      <c r="B1647" t="s">
        <v>7353</v>
      </c>
      <c r="E1647" s="1042">
        <f>SUMIFS(계정별원장!$F$3:$F$5997,계정별원장!$A$3:$A$5997,"13",계정별원장!$B$3:$B$5997,Sheet3!$B1647)</f>
        <v>0</v>
      </c>
      <c r="F1647" s="1042">
        <f>SUMIFS(계정별원장!$F$3:$F$5997,계정별원장!$A$3:$A$5997,"14",계정별원장!$B$3:$B$5997,Sheet3!$B1647)</f>
        <v>0</v>
      </c>
      <c r="G1647" s="1042">
        <f>SUMIFS(계정별원장!$F$3:$F$5997,계정별원장!$A$3:$A$5997,"15",계정별원장!$B$3:$B$5997,Sheet3!$B1647)</f>
        <v>0</v>
      </c>
      <c r="H1647" s="1042">
        <f>SUMIFS(계정별원장!$F$3:$F$5997,계정별원장!$A$3:$A$5997,"16",계정별원장!$B$3:$B$5997,Sheet3!$B1647)</f>
        <v>0</v>
      </c>
      <c r="I1647" s="1042">
        <v>2281800</v>
      </c>
      <c r="J1647" s="153">
        <f>COUNTIF(표1[적요],B1647)</f>
        <v>1</v>
      </c>
      <c r="K1647" s="1042">
        <f>SUMIFS('사업계획(매출 확정본)'!S$12:S$160,'사업계획(매출 확정본)'!$M$12:$M$160,Sheet3!$B1647,'사업계획(매출 확정본)'!$Q$12:$Q$160,'사업계획(매출 확정본)'!$Q$14)</f>
        <v>0</v>
      </c>
    </row>
    <row r="1648" spans="2:11" x14ac:dyDescent="0.3">
      <c r="B1648" t="s">
        <v>7348</v>
      </c>
      <c r="E1648" s="1042">
        <f>SUMIFS(계정별원장!$F$3:$F$5997,계정별원장!$A$3:$A$5997,"13",계정별원장!$B$3:$B$5997,Sheet3!$B1648)</f>
        <v>0</v>
      </c>
      <c r="F1648" s="1042">
        <f>SUMIFS(계정별원장!$F$3:$F$5997,계정별원장!$A$3:$A$5997,"14",계정별원장!$B$3:$B$5997,Sheet3!$B1648)</f>
        <v>0</v>
      </c>
      <c r="G1648" s="1042">
        <f>SUMIFS(계정별원장!$F$3:$F$5997,계정별원장!$A$3:$A$5997,"15",계정별원장!$B$3:$B$5997,Sheet3!$B1648)</f>
        <v>0</v>
      </c>
      <c r="H1648" s="1042">
        <f>SUMIFS(계정별원장!$F$3:$F$5997,계정별원장!$A$3:$A$5997,"16",계정별원장!$B$3:$B$5997,Sheet3!$B1648)</f>
        <v>0</v>
      </c>
      <c r="I1648" s="1042">
        <v>1774812</v>
      </c>
      <c r="J1648" s="153">
        <f>COUNTIF(표1[적요],B1648)</f>
        <v>1</v>
      </c>
      <c r="K1648" s="1042">
        <f>SUMIFS('사업계획(매출 확정본)'!S$12:S$160,'사업계획(매출 확정본)'!$M$12:$M$160,Sheet3!$B1648,'사업계획(매출 확정본)'!$Q$12:$Q$160,'사업계획(매출 확정본)'!$Q$14)</f>
        <v>0</v>
      </c>
    </row>
    <row r="1649" spans="2:11" x14ac:dyDescent="0.3">
      <c r="B1649" t="s">
        <v>7366</v>
      </c>
      <c r="E1649" s="1042">
        <f>SUMIFS(계정별원장!$F$3:$F$5997,계정별원장!$A$3:$A$5997,"13",계정별원장!$B$3:$B$5997,Sheet3!$B1649)</f>
        <v>0</v>
      </c>
      <c r="F1649" s="1042">
        <f>SUMIFS(계정별원장!$F$3:$F$5997,계정별원장!$A$3:$A$5997,"14",계정별원장!$B$3:$B$5997,Sheet3!$B1649)</f>
        <v>0</v>
      </c>
      <c r="G1649" s="1042">
        <f>SUMIFS(계정별원장!$F$3:$F$5997,계정별원장!$A$3:$A$5997,"15",계정별원장!$B$3:$B$5997,Sheet3!$B1649)</f>
        <v>0</v>
      </c>
      <c r="H1649" s="1042">
        <f>SUMIFS(계정별원장!$F$3:$F$5997,계정별원장!$A$3:$A$5997,"16",계정별원장!$B$3:$B$5997,Sheet3!$B1649)</f>
        <v>0</v>
      </c>
      <c r="I1649" s="1042">
        <v>1681818</v>
      </c>
      <c r="J1649" s="153">
        <f>COUNTIF(표1[적요],B1649)</f>
        <v>1</v>
      </c>
      <c r="K1649" s="1042">
        <f>SUMIFS('사업계획(매출 확정본)'!S$12:S$160,'사업계획(매출 확정본)'!$M$12:$M$160,Sheet3!$B1649,'사업계획(매출 확정본)'!$Q$12:$Q$160,'사업계획(매출 확정본)'!$Q$14)</f>
        <v>0</v>
      </c>
    </row>
    <row r="1650" spans="2:11" x14ac:dyDescent="0.3">
      <c r="B1650" t="s">
        <v>7356</v>
      </c>
      <c r="E1650" s="1042">
        <f>SUMIFS(계정별원장!$F$3:$F$5997,계정별원장!$A$3:$A$5997,"13",계정별원장!$B$3:$B$5997,Sheet3!$B1650)</f>
        <v>0</v>
      </c>
      <c r="F1650" s="1042">
        <f>SUMIFS(계정별원장!$F$3:$F$5997,계정별원장!$A$3:$A$5997,"14",계정별원장!$B$3:$B$5997,Sheet3!$B1650)</f>
        <v>0</v>
      </c>
      <c r="G1650" s="1042">
        <f>SUMIFS(계정별원장!$F$3:$F$5997,계정별원장!$A$3:$A$5997,"15",계정별원장!$B$3:$B$5997,Sheet3!$B1650)</f>
        <v>0</v>
      </c>
      <c r="H1650" s="1042">
        <f>SUMIFS(계정별원장!$F$3:$F$5997,계정별원장!$A$3:$A$5997,"16",계정별원장!$B$3:$B$5997,Sheet3!$B1650)</f>
        <v>0</v>
      </c>
      <c r="I1650" s="1042">
        <v>1277935</v>
      </c>
      <c r="J1650" s="153">
        <f>COUNTIF(표1[적요],B1650)</f>
        <v>1</v>
      </c>
      <c r="K1650" s="1042">
        <f>SUMIFS('사업계획(매출 확정본)'!S$12:S$160,'사업계획(매출 확정본)'!$M$12:$M$160,Sheet3!$B1650,'사업계획(매출 확정본)'!$Q$12:$Q$160,'사업계획(매출 확정본)'!$Q$14)</f>
        <v>0</v>
      </c>
    </row>
    <row r="1651" spans="2:11" x14ac:dyDescent="0.3">
      <c r="B1651" t="s">
        <v>7370</v>
      </c>
      <c r="E1651" s="1042">
        <f>SUMIFS(계정별원장!$F$3:$F$5997,계정별원장!$A$3:$A$5997,"13",계정별원장!$B$3:$B$5997,Sheet3!$B1651)</f>
        <v>0</v>
      </c>
      <c r="F1651" s="1042">
        <f>SUMIFS(계정별원장!$F$3:$F$5997,계정별원장!$A$3:$A$5997,"14",계정별원장!$B$3:$B$5997,Sheet3!$B1651)</f>
        <v>0</v>
      </c>
      <c r="G1651" s="1042">
        <f>SUMIFS(계정별원장!$F$3:$F$5997,계정별원장!$A$3:$A$5997,"15",계정별원장!$B$3:$B$5997,Sheet3!$B1651)</f>
        <v>0</v>
      </c>
      <c r="H1651" s="1042">
        <f>SUMIFS(계정별원장!$F$3:$F$5997,계정별원장!$A$3:$A$5997,"16",계정별원장!$B$3:$B$5997,Sheet3!$B1651)</f>
        <v>0</v>
      </c>
      <c r="I1651" s="1042">
        <v>1270000</v>
      </c>
      <c r="J1651" s="153">
        <f>COUNTIF(표1[적요],B1651)</f>
        <v>1</v>
      </c>
      <c r="K1651" s="1042">
        <f>SUMIFS('사업계획(매출 확정본)'!S$12:S$160,'사업계획(매출 확정본)'!$M$12:$M$160,Sheet3!$B1651,'사업계획(매출 확정본)'!$Q$12:$Q$160,'사업계획(매출 확정본)'!$Q$14)</f>
        <v>0</v>
      </c>
    </row>
    <row r="1652" spans="2:11" x14ac:dyDescent="0.3">
      <c r="B1652" t="s">
        <v>7359</v>
      </c>
      <c r="E1652" s="1042">
        <f>SUMIFS(계정별원장!$F$3:$F$5997,계정별원장!$A$3:$A$5997,"13",계정별원장!$B$3:$B$5997,Sheet3!$B1652)</f>
        <v>0</v>
      </c>
      <c r="F1652" s="1042">
        <f>SUMIFS(계정별원장!$F$3:$F$5997,계정별원장!$A$3:$A$5997,"14",계정별원장!$B$3:$B$5997,Sheet3!$B1652)</f>
        <v>0</v>
      </c>
      <c r="G1652" s="1042">
        <f>SUMIFS(계정별원장!$F$3:$F$5997,계정별원장!$A$3:$A$5997,"15",계정별원장!$B$3:$B$5997,Sheet3!$B1652)</f>
        <v>0</v>
      </c>
      <c r="H1652" s="1042">
        <f>SUMIFS(계정별원장!$F$3:$F$5997,계정별원장!$A$3:$A$5997,"16",계정별원장!$B$3:$B$5997,Sheet3!$B1652)</f>
        <v>0</v>
      </c>
      <c r="I1652" s="1042">
        <v>824976</v>
      </c>
      <c r="J1652" s="153">
        <f>COUNTIF(표1[적요],B1652)</f>
        <v>1</v>
      </c>
      <c r="K1652" s="1042">
        <f>SUMIFS('사업계획(매출 확정본)'!S$12:S$160,'사업계획(매출 확정본)'!$M$12:$M$160,Sheet3!$B1652,'사업계획(매출 확정본)'!$Q$12:$Q$160,'사업계획(매출 확정본)'!$Q$14)</f>
        <v>0</v>
      </c>
    </row>
    <row r="1653" spans="2:11" x14ac:dyDescent="0.3">
      <c r="B1653" t="s">
        <v>7302</v>
      </c>
      <c r="E1653" s="1042">
        <f>SUMIFS(계정별원장!$F$3:$F$5997,계정별원장!$A$3:$A$5997,"13",계정별원장!$B$3:$B$5997,Sheet3!$B1653)</f>
        <v>0</v>
      </c>
      <c r="F1653" s="1042">
        <f>SUMIFS(계정별원장!$F$3:$F$5997,계정별원장!$A$3:$A$5997,"14",계정별원장!$B$3:$B$5997,Sheet3!$B1653)</f>
        <v>0</v>
      </c>
      <c r="G1653" s="1042">
        <f>SUMIFS(계정별원장!$F$3:$F$5997,계정별원장!$A$3:$A$5997,"15",계정별원장!$B$3:$B$5997,Sheet3!$B1653)</f>
        <v>909091</v>
      </c>
      <c r="H1653" s="1042">
        <f>SUMIFS(계정별원장!$F$3:$F$5997,계정별원장!$A$3:$A$5997,"16",계정별원장!$B$3:$B$5997,Sheet3!$B1653)</f>
        <v>0</v>
      </c>
      <c r="I1653" s="1042">
        <v>670000</v>
      </c>
      <c r="J1653" s="153">
        <f>COUNTIF(표1[적요],B1653)</f>
        <v>1</v>
      </c>
      <c r="K1653" s="1042">
        <f>SUMIFS('사업계획(매출 확정본)'!S$12:S$160,'사업계획(매출 확정본)'!$M$12:$M$160,Sheet3!$B1653,'사업계획(매출 확정본)'!$Q$12:$Q$160,'사업계획(매출 확정본)'!$Q$14)</f>
        <v>0</v>
      </c>
    </row>
    <row r="1654" spans="2:11" x14ac:dyDescent="0.3">
      <c r="B1654" t="s">
        <v>7350</v>
      </c>
      <c r="E1654" s="1042">
        <f>SUMIFS(계정별원장!$F$3:$F$5997,계정별원장!$A$3:$A$5997,"13",계정별원장!$B$3:$B$5997,Sheet3!$B1654)</f>
        <v>0</v>
      </c>
      <c r="F1654" s="1042">
        <f>SUMIFS(계정별원장!$F$3:$F$5997,계정별원장!$A$3:$A$5997,"14",계정별원장!$B$3:$B$5997,Sheet3!$B1654)</f>
        <v>0</v>
      </c>
      <c r="G1654" s="1042">
        <f>SUMIFS(계정별원장!$F$3:$F$5997,계정별원장!$A$3:$A$5997,"15",계정별원장!$B$3:$B$5997,Sheet3!$B1654)</f>
        <v>0</v>
      </c>
      <c r="H1654" s="1042">
        <f>SUMIFS(계정별원장!$F$3:$F$5997,계정별원장!$A$3:$A$5997,"16",계정별원장!$B$3:$B$5997,Sheet3!$B1654)</f>
        <v>0</v>
      </c>
      <c r="I1654" s="1042">
        <v>610400</v>
      </c>
      <c r="J1654" s="153">
        <f>COUNTIF(표1[적요],B1654)</f>
        <v>1</v>
      </c>
      <c r="K1654" s="1042">
        <f>SUMIFS('사업계획(매출 확정본)'!S$12:S$160,'사업계획(매출 확정본)'!$M$12:$M$160,Sheet3!$B1654,'사업계획(매출 확정본)'!$Q$12:$Q$160,'사업계획(매출 확정본)'!$Q$14)</f>
        <v>0</v>
      </c>
    </row>
    <row r="1655" spans="2:11" x14ac:dyDescent="0.3">
      <c r="B1655" t="s">
        <v>2850</v>
      </c>
      <c r="E1655" s="1042">
        <f>SUMIFS(계정별원장!$F$3:$F$5997,계정별원장!$A$3:$A$5997,"13",계정별원장!$B$3:$B$5997,Sheet3!$B1655)</f>
        <v>0</v>
      </c>
      <c r="F1655" s="1042">
        <f>SUMIFS(계정별원장!$F$3:$F$5997,계정별원장!$A$3:$A$5997,"14",계정별원장!$B$3:$B$5997,Sheet3!$B1655)</f>
        <v>0</v>
      </c>
      <c r="G1655" s="1042">
        <f>SUMIFS(계정별원장!$F$3:$F$5997,계정별원장!$A$3:$A$5997,"15",계정별원장!$B$3:$B$5997,Sheet3!$B1655)</f>
        <v>0</v>
      </c>
      <c r="H1655" s="1042">
        <f>SUMIFS(계정별원장!$F$3:$F$5997,계정별원장!$A$3:$A$5997,"16",계정별원장!$B$3:$B$5997,Sheet3!$B1655)</f>
        <v>0</v>
      </c>
      <c r="I1655" s="1042">
        <v>500000</v>
      </c>
      <c r="J1655" s="153">
        <f>COUNTIF(표1[적요],B1655)</f>
        <v>1</v>
      </c>
      <c r="K1655" s="1042">
        <f>SUMIFS('사업계획(매출 확정본)'!S$12:S$160,'사업계획(매출 확정본)'!$M$12:$M$160,Sheet3!$B1655,'사업계획(매출 확정본)'!$Q$12:$Q$160,'사업계획(매출 확정본)'!$Q$14)</f>
        <v>0</v>
      </c>
    </row>
    <row r="1656" spans="2:11" x14ac:dyDescent="0.3">
      <c r="B1656" t="s">
        <v>7347</v>
      </c>
      <c r="E1656" s="1042">
        <f>SUMIFS(계정별원장!$F$3:$F$5997,계정별원장!$A$3:$A$5997,"13",계정별원장!$B$3:$B$5997,Sheet3!$B1656)</f>
        <v>0</v>
      </c>
      <c r="F1656" s="1042">
        <f>SUMIFS(계정별원장!$F$3:$F$5997,계정별원장!$A$3:$A$5997,"14",계정별원장!$B$3:$B$5997,Sheet3!$B1656)</f>
        <v>0</v>
      </c>
      <c r="G1656" s="1042">
        <f>SUMIFS(계정별원장!$F$3:$F$5997,계정별원장!$A$3:$A$5997,"15",계정별원장!$B$3:$B$5997,Sheet3!$B1656)</f>
        <v>0</v>
      </c>
      <c r="H1656" s="1042">
        <f>SUMIFS(계정별원장!$F$3:$F$5997,계정별원장!$A$3:$A$5997,"16",계정별원장!$B$3:$B$5997,Sheet3!$B1656)</f>
        <v>0</v>
      </c>
      <c r="I1656" s="1042">
        <v>358948</v>
      </c>
      <c r="J1656" s="153">
        <f>COUNTIF(표1[적요],B1656)</f>
        <v>1</v>
      </c>
      <c r="K1656" s="1042">
        <f>SUMIFS('사업계획(매출 확정본)'!S$12:S$160,'사업계획(매출 확정본)'!$M$12:$M$160,Sheet3!$B1656,'사업계획(매출 확정본)'!$Q$12:$Q$160,'사업계획(매출 확정본)'!$Q$14)</f>
        <v>0</v>
      </c>
    </row>
    <row r="1657" spans="2:11" x14ac:dyDescent="0.3">
      <c r="B1657" s="981" t="s">
        <v>3279</v>
      </c>
      <c r="E1657" s="1042">
        <f>SUMIFS(계정별원장!$F$3:$F$5997,계정별원장!$A$3:$A$5997,"13",계정별원장!$B$3:$B$5997,Sheet3!$B1657)</f>
        <v>0</v>
      </c>
      <c r="F1657" s="1042">
        <f>SUMIFS(계정별원장!$F$3:$F$5997,계정별원장!$A$3:$A$5997,"14",계정별원장!$B$3:$B$5997,Sheet3!$B1657)</f>
        <v>0</v>
      </c>
      <c r="G1657" s="1042">
        <f>SUMIFS(계정별원장!$F$3:$F$5997,계정별원장!$A$3:$A$5997,"15",계정별원장!$B$3:$B$5997,Sheet3!$B1657)</f>
        <v>0</v>
      </c>
      <c r="H1657" s="1042">
        <f>SUMIFS(계정별원장!$F$3:$F$5997,계정별원장!$A$3:$A$5997,"16",계정별원장!$B$3:$B$5997,Sheet3!$B1657)</f>
        <v>0</v>
      </c>
      <c r="K1657" s="823">
        <f>'사업계획(매출 확정본)'!S110</f>
        <v>1250000000</v>
      </c>
    </row>
    <row r="1658" spans="2:11" x14ac:dyDescent="0.3">
      <c r="B1658" t="str">
        <f>'사업계획(매출 확정본)'!M63</f>
        <v>AUGER CRANE(5TON)</v>
      </c>
      <c r="E1658" s="1042">
        <f>SUMIFS(계정별원장!$F$3:$F$5997,계정별원장!$A$3:$A$5997,"13",계정별원장!$B$3:$B$5997,Sheet3!$B1658)</f>
        <v>0</v>
      </c>
      <c r="F1658" s="1042">
        <f>SUMIFS(계정별원장!$F$3:$F$5997,계정별원장!$A$3:$A$5997,"14",계정별원장!$B$3:$B$5997,Sheet3!$B1658)</f>
        <v>0</v>
      </c>
      <c r="G1658" s="1042">
        <f>SUMIFS(계정별원장!$F$3:$F$5997,계정별원장!$A$3:$A$5997,"15",계정별원장!$B$3:$B$5997,Sheet3!$B1658)</f>
        <v>0</v>
      </c>
      <c r="H1658" s="1042">
        <f>SUMIFS(계정별원장!$F$3:$F$5997,계정별원장!$A$3:$A$5997,"16",계정별원장!$B$3:$B$5997,Sheet3!$B1658)</f>
        <v>0</v>
      </c>
      <c r="K1658" s="1042">
        <f>SUMIFS('사업계획(매출 확정본)'!S$12:S$160,'사업계획(매출 확정본)'!$M$12:$M$160,Sheet3!$B1658,'사업계획(매출 확정본)'!$Q$12:$Q$160,'사업계획(매출 확정본)'!$Q$14)</f>
        <v>270000000</v>
      </c>
    </row>
    <row r="1659" spans="2:11" x14ac:dyDescent="0.3">
      <c r="B1659" s="968" t="s">
        <v>2064</v>
      </c>
      <c r="E1659" s="1042">
        <f>SUMIFS(계정별원장!$F$3:$F$5997,계정별원장!$A$3:$A$5997,"13",계정별원장!$B$3:$B$5997,Sheet3!$B1659)</f>
        <v>0</v>
      </c>
      <c r="F1659" s="1042">
        <f>SUMIFS(계정별원장!$F$3:$F$5997,계정별원장!$A$3:$A$5997,"14",계정별원장!$B$3:$B$5997,Sheet3!$B1659)</f>
        <v>0</v>
      </c>
      <c r="G1659" s="1042">
        <f>SUMIFS(계정별원장!$F$3:$F$5997,계정별원장!$A$3:$A$5997,"15",계정별원장!$B$3:$B$5997,Sheet3!$B1659)</f>
        <v>0</v>
      </c>
      <c r="H1659" s="1042">
        <f>SUMIFS(계정별원장!$F$3:$F$5997,계정별원장!$A$3:$A$5997,"16",계정별원장!$B$3:$B$5997,Sheet3!$B1659)</f>
        <v>0</v>
      </c>
      <c r="K1659" s="1042">
        <f>SUMIFS('사업계획(매출 확정본)'!S$12:S$160,'사업계획(매출 확정본)'!$M$12:$M$160,Sheet3!$B1659,'사업계획(매출 확정본)'!$Q$12:$Q$160,'사업계획(매출 확정본)'!$Q$14)</f>
        <v>28294166666.666668</v>
      </c>
    </row>
    <row r="1660" spans="2:11" x14ac:dyDescent="0.3">
      <c r="B1660" s="968" t="s">
        <v>2930</v>
      </c>
      <c r="E1660" s="1042">
        <f>SUMIFS(계정별원장!$F$3:$F$5997,계정별원장!$A$3:$A$5997,"13",계정별원장!$B$3:$B$5997,Sheet3!$B1660)</f>
        <v>0</v>
      </c>
      <c r="F1660" s="1042">
        <f>SUMIFS(계정별원장!$F$3:$F$5997,계정별원장!$A$3:$A$5997,"14",계정별원장!$B$3:$B$5997,Sheet3!$B1660)</f>
        <v>0</v>
      </c>
      <c r="G1660" s="1042">
        <f>SUMIFS(계정별원장!$F$3:$F$5997,계정별원장!$A$3:$A$5997,"15",계정별원장!$B$3:$B$5997,Sheet3!$B1660)</f>
        <v>0</v>
      </c>
      <c r="H1660" s="1042">
        <f>SUMIFS(계정별원장!$F$3:$F$5997,계정별원장!$A$3:$A$5997,"16",계정별원장!$B$3:$B$5997,Sheet3!$B1660)</f>
        <v>0</v>
      </c>
      <c r="K1660" s="1042">
        <f>SUMIFS('사업계획(매출 확정본)'!S$12:S$160,'사업계획(매출 확정본)'!$M$12:$M$160,Sheet3!$B1660,'사업계획(매출 확정본)'!$Q$12:$Q$160,'사업계획(매출 확정본)'!$Q$14)</f>
        <v>2050000000</v>
      </c>
    </row>
    <row r="1661" spans="2:11" x14ac:dyDescent="0.3">
      <c r="B1661" s="968" t="s">
        <v>2047</v>
      </c>
      <c r="E1661" s="1042">
        <f>SUMIFS(계정별원장!$F$3:$F$5997,계정별원장!$A$3:$A$5997,"13",계정별원장!$B$3:$B$5997,Sheet3!$B1661)</f>
        <v>372581355</v>
      </c>
      <c r="F1661" s="1042">
        <f>SUMIFS(계정별원장!$F$3:$F$5997,계정별원장!$A$3:$A$5997,"14",계정별원장!$B$3:$B$5997,Sheet3!$B1661)</f>
        <v>326439200</v>
      </c>
      <c r="G1661" s="1042">
        <f>SUMIFS(계정별원장!$F$3:$F$5997,계정별원장!$A$3:$A$5997,"15",계정별원장!$B$3:$B$5997,Sheet3!$B1661)</f>
        <v>0</v>
      </c>
      <c r="H1661" s="1042">
        <f>SUMIFS(계정별원장!$F$3:$F$5997,계정별원장!$A$3:$A$5997,"16",계정별원장!$B$3:$B$5997,Sheet3!$B1661)</f>
        <v>0</v>
      </c>
      <c r="K1661" s="1042">
        <f>SUMIFS('사업계획(매출 확정본)'!S$12:S$160,'사업계획(매출 확정본)'!$M$12:$M$160,Sheet3!$B1661,'사업계획(매출 확정본)'!$Q$12:$Q$160,'사업계획(매출 확정본)'!$Q$14)</f>
        <v>567500000</v>
      </c>
    </row>
    <row r="1662" spans="2:11" s="153" customFormat="1" x14ac:dyDescent="0.3">
      <c r="B1662" s="153" t="s">
        <v>3627</v>
      </c>
      <c r="E1662" s="1042">
        <f>SUMIFS(계정별원장!$F$3:$F$5997,계정별원장!$A$3:$A$5997,"13",계정별원장!$B$3:$B$5997,Sheet3!$B1662)</f>
        <v>1218887274</v>
      </c>
      <c r="F1662" s="1042">
        <f>SUMIFS(계정별원장!$F$3:$F$5997,계정별원장!$A$3:$A$5997,"14",계정별원장!$B$3:$B$5997,Sheet3!$B1662)</f>
        <v>370709092</v>
      </c>
      <c r="G1662" s="1042">
        <f>SUMIFS(계정별원장!$F$3:$F$5997,계정별원장!$A$3:$A$5997,"15",계정별원장!$B$3:$B$5997,Sheet3!$B1662)</f>
        <v>0</v>
      </c>
      <c r="H1662" s="1042">
        <f>SUMIFS(계정별원장!$F$3:$F$5997,계정별원장!$A$3:$A$5997,"16",계정별원장!$B$3:$B$5997,Sheet3!$B1662)</f>
        <v>0</v>
      </c>
      <c r="K1662" s="1042"/>
    </row>
    <row r="1663" spans="2:11" s="153" customFormat="1" x14ac:dyDescent="0.3">
      <c r="B1663" s="153" t="s">
        <v>3666</v>
      </c>
      <c r="E1663" s="1042">
        <f>SUMIFS(계정별원장!$F$3:$F$5997,계정별원장!$A$3:$A$5997,"13",계정별원장!$B$3:$B$5997,Sheet3!$B1663)</f>
        <v>901290909</v>
      </c>
      <c r="F1663" s="1042">
        <f>SUMIFS(계정별원장!$F$3:$F$5997,계정별원장!$A$3:$A$5997,"14",계정별원장!$B$3:$B$5997,Sheet3!$B1663)</f>
        <v>0</v>
      </c>
      <c r="G1663" s="1042">
        <f>SUMIFS(계정별원장!$F$3:$F$5997,계정별원장!$A$3:$A$5997,"15",계정별원장!$B$3:$B$5997,Sheet3!$B1663)</f>
        <v>0</v>
      </c>
      <c r="H1663" s="1042">
        <f>SUMIFS(계정별원장!$F$3:$F$5997,계정별원장!$A$3:$A$5997,"16",계정별원장!$B$3:$B$5997,Sheet3!$B1663)</f>
        <v>0</v>
      </c>
      <c r="K1663" s="1042"/>
    </row>
    <row r="1664" spans="2:11" s="153" customFormat="1" x14ac:dyDescent="0.3">
      <c r="B1664" s="37"/>
      <c r="E1664" s="823">
        <f>SUM(E1552:E1663)</f>
        <v>25425227592</v>
      </c>
      <c r="F1664" s="823">
        <f>SUM(F1552:F1661)</f>
        <v>31290456618</v>
      </c>
      <c r="G1664" s="823">
        <f>SUM(G1552:G1661)</f>
        <v>46598957816</v>
      </c>
      <c r="H1664" s="823">
        <f>SUM(H1552:H1661)</f>
        <v>56483384640</v>
      </c>
      <c r="I1664" s="823">
        <f>SUM(I1552:I1661)</f>
        <v>88429795106</v>
      </c>
      <c r="K1664" s="823">
        <f>SUM(K1552:K1661)</f>
        <v>140885466666.66666</v>
      </c>
    </row>
    <row r="1665" spans="5:11" x14ac:dyDescent="0.3">
      <c r="K1665" s="823">
        <f>'사업계획(매출 확정본)'!S161+'사업계획(매출 확정본)'!S115</f>
        <v>140885466666.66666</v>
      </c>
    </row>
    <row r="1666" spans="5:11" x14ac:dyDescent="0.3">
      <c r="E1666" s="823">
        <f>'매출액 분석'!E212-E1664</f>
        <v>6700147858</v>
      </c>
      <c r="F1666" s="823">
        <f>'매출액 분석'!F212-F1664</f>
        <v>6444988462</v>
      </c>
      <c r="G1666" s="823">
        <f>'매출액 분석'!G212-G1664</f>
        <v>11703493032</v>
      </c>
      <c r="H1666" s="823">
        <f>'매출액 분석'!H212-H1664</f>
        <v>21641647376</v>
      </c>
      <c r="K1666" s="823">
        <f>K1664-K1665</f>
        <v>0</v>
      </c>
    </row>
  </sheetData>
  <dataConsolidate topLabels="1">
    <dataRefs count="1">
      <dataRef ref="B1:E1549" sheet="Sheet3"/>
    </dataRefs>
  </dataConsolidate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B882" sqref="B882"/>
    </sheetView>
  </sheetViews>
  <sheetFormatPr defaultRowHeight="16.5" x14ac:dyDescent="0.3"/>
  <cols>
    <col min="1" max="1" width="11.875" customWidth="1"/>
    <col min="2" max="2" width="19.125" bestFit="1" customWidth="1"/>
    <col min="3" max="3" width="12.75" bestFit="1" customWidth="1"/>
    <col min="4" max="4" width="13.625" bestFit="1" customWidth="1"/>
  </cols>
  <sheetData>
    <row r="3" spans="1:4" x14ac:dyDescent="0.3">
      <c r="A3" s="1041" t="s">
        <v>3037</v>
      </c>
      <c r="B3" t="s">
        <v>3570</v>
      </c>
    </row>
    <row r="4" spans="1:4" x14ac:dyDescent="0.3">
      <c r="A4" s="1040">
        <v>13</v>
      </c>
      <c r="B4" s="823">
        <v>32125375450</v>
      </c>
    </row>
    <row r="5" spans="1:4" x14ac:dyDescent="0.3">
      <c r="A5" s="1040">
        <v>14</v>
      </c>
      <c r="B5" s="823">
        <v>37735445080</v>
      </c>
    </row>
    <row r="6" spans="1:4" x14ac:dyDescent="0.3">
      <c r="A6" s="1040">
        <v>15</v>
      </c>
      <c r="B6" s="823">
        <v>58302450848</v>
      </c>
      <c r="D6" s="153"/>
    </row>
    <row r="7" spans="1:4" x14ac:dyDescent="0.3">
      <c r="A7" s="1040">
        <v>16</v>
      </c>
      <c r="B7" s="823">
        <v>78125032016</v>
      </c>
      <c r="D7" s="153"/>
    </row>
    <row r="8" spans="1:4" x14ac:dyDescent="0.3">
      <c r="A8" s="1040">
        <v>17</v>
      </c>
      <c r="B8" s="823">
        <v>88429795106</v>
      </c>
      <c r="D8" s="153"/>
    </row>
    <row r="9" spans="1:4" x14ac:dyDescent="0.3">
      <c r="A9" s="1040" t="s">
        <v>3038</v>
      </c>
      <c r="B9" s="823">
        <v>294718098500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00338D"/>
    <pageSetUpPr fitToPage="1"/>
  </sheetPr>
  <dimension ref="B1:T160"/>
  <sheetViews>
    <sheetView showGridLines="0" zoomScale="85" zoomScaleNormal="85" workbookViewId="0">
      <selection activeCell="L22" sqref="L22"/>
    </sheetView>
  </sheetViews>
  <sheetFormatPr defaultColWidth="8.625" defaultRowHeight="13.5" customHeight="1" x14ac:dyDescent="0.3"/>
  <cols>
    <col min="1" max="1" width="1.625" style="110" customWidth="1"/>
    <col min="2" max="2" width="20.625" style="110" customWidth="1"/>
    <col min="3" max="10" width="9.625" style="110" customWidth="1"/>
    <col min="11" max="12" width="9.625" style="159" customWidth="1"/>
    <col min="13" max="14" width="9" style="110" customWidth="1"/>
    <col min="15" max="15" width="14" style="110" bestFit="1" customWidth="1"/>
    <col min="16" max="16" width="14.875" style="110" customWidth="1"/>
    <col min="17" max="16384" width="8.625" style="110"/>
  </cols>
  <sheetData>
    <row r="1" spans="2:20" s="40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255"/>
      <c r="H1" s="255"/>
      <c r="I1" s="255"/>
      <c r="J1" s="255"/>
      <c r="K1" s="255" t="str">
        <f>Des!C12</f>
        <v>DRAFT - For Discussion Purposes Only</v>
      </c>
      <c r="L1" s="256"/>
    </row>
    <row r="2" spans="2:20" s="40" customFormat="1" ht="20.100000000000001" customHeight="1" x14ac:dyDescent="0.3">
      <c r="B2" s="321" t="s">
        <v>13</v>
      </c>
      <c r="C2" s="321"/>
      <c r="D2" s="321"/>
      <c r="E2" s="321"/>
      <c r="F2" s="321"/>
      <c r="G2" s="257"/>
      <c r="H2" s="257"/>
      <c r="I2" s="257"/>
      <c r="J2" s="257"/>
      <c r="K2" s="257"/>
      <c r="L2" s="257"/>
    </row>
    <row r="3" spans="2:20" s="40" customFormat="1" ht="14.1" customHeight="1" x14ac:dyDescent="0.3">
      <c r="C3" s="53"/>
      <c r="D3" s="114"/>
      <c r="E3" s="114"/>
      <c r="F3" s="114"/>
      <c r="G3" s="53"/>
      <c r="H3" s="53"/>
      <c r="I3" s="53"/>
      <c r="K3" s="153"/>
      <c r="L3" s="153"/>
    </row>
    <row r="4" spans="2:20" ht="13.5" customHeight="1" x14ac:dyDescent="0.3">
      <c r="B4" s="421" t="s">
        <v>140</v>
      </c>
      <c r="C4" s="422"/>
      <c r="D4" s="422"/>
      <c r="E4" s="422"/>
      <c r="F4" s="422"/>
      <c r="G4" s="423"/>
      <c r="H4" s="423"/>
      <c r="I4" s="423"/>
      <c r="J4" s="423"/>
      <c r="K4" s="423"/>
      <c r="L4" s="424"/>
    </row>
    <row r="5" spans="2:20" s="65" customFormat="1" ht="13.5" customHeight="1" x14ac:dyDescent="0.3">
      <c r="B5" s="425" t="str">
        <f>unit</f>
        <v>KRW Million</v>
      </c>
      <c r="C5" s="426"/>
      <c r="D5" s="299">
        <f>'Pro forma'!D$5</f>
        <v>2014</v>
      </c>
      <c r="E5" s="299">
        <f>'Pro forma'!E$5</f>
        <v>2015</v>
      </c>
      <c r="F5" s="299">
        <f>'Pro forma'!F$5</f>
        <v>2016</v>
      </c>
      <c r="G5" s="419">
        <f>'Pro forma'!G$5</f>
        <v>2017</v>
      </c>
      <c r="H5" s="375">
        <f>'Pro forma'!H$5</f>
        <v>2018</v>
      </c>
      <c r="I5" s="375">
        <f>'Pro forma'!I$5</f>
        <v>2019</v>
      </c>
      <c r="J5" s="375">
        <f>'Pro forma'!J$5</f>
        <v>2020</v>
      </c>
      <c r="K5" s="375">
        <f>'Pro forma'!K$5</f>
        <v>2021</v>
      </c>
      <c r="L5" s="376">
        <f>'Pro forma'!L$5</f>
        <v>2022</v>
      </c>
      <c r="P5" s="663" t="s">
        <v>688</v>
      </c>
      <c r="Q5" s="159" t="s">
        <v>689</v>
      </c>
      <c r="T5" s="159">
        <v>2</v>
      </c>
    </row>
    <row r="6" spans="2:20" s="65" customFormat="1" ht="13.5" customHeight="1" x14ac:dyDescent="0.3">
      <c r="B6" s="427" t="s">
        <v>140</v>
      </c>
      <c r="C6" s="428"/>
      <c r="D6" s="306">
        <f t="shared" ref="D6:G6" si="0">D10+D14+D18+D22</f>
        <v>6260.3831690000006</v>
      </c>
      <c r="E6" s="306">
        <f t="shared" si="0"/>
        <v>7139.8918059999996</v>
      </c>
      <c r="F6" s="306">
        <f t="shared" si="0"/>
        <v>7407.6969589999999</v>
      </c>
      <c r="G6" s="306">
        <f t="shared" si="0"/>
        <v>10368.970547999999</v>
      </c>
      <c r="H6" s="306">
        <f t="shared" ref="H6:J6" si="1">H10+H14+H18+H22</f>
        <v>9842.4628749312888</v>
      </c>
      <c r="I6" s="305">
        <f t="shared" si="1"/>
        <v>11618.075060446225</v>
      </c>
      <c r="J6" s="305">
        <f t="shared" si="1"/>
        <v>13319.839572860108</v>
      </c>
      <c r="K6" s="305">
        <f>K10+K14+K18+K22</f>
        <v>15631.564503681235</v>
      </c>
      <c r="L6" s="305">
        <f>L10+L14+L18+L22</f>
        <v>17765.693422261098</v>
      </c>
      <c r="Q6" s="159" t="s">
        <v>690</v>
      </c>
    </row>
    <row r="7" spans="2:20" s="80" customFormat="1" ht="13.5" customHeight="1" x14ac:dyDescent="0.3">
      <c r="B7" s="429" t="s">
        <v>141</v>
      </c>
      <c r="C7" s="430"/>
      <c r="D7" s="554"/>
      <c r="E7" s="554">
        <f>E6/D6-1</f>
        <v>0.14048798823610764</v>
      </c>
      <c r="F7" s="554">
        <f>F6/E6-1</f>
        <v>3.7508292881266225E-2</v>
      </c>
      <c r="G7" s="554">
        <f>G6/F6-1</f>
        <v>0.39975630825477992</v>
      </c>
      <c r="H7" s="554">
        <f t="shared" ref="H7:K7" si="2">H6/G6-1</f>
        <v>-5.0777236817425964E-2</v>
      </c>
      <c r="I7" s="554">
        <f t="shared" si="2"/>
        <v>0.18040323931903401</v>
      </c>
      <c r="J7" s="554">
        <f t="shared" si="2"/>
        <v>0.14647559974952706</v>
      </c>
      <c r="K7" s="554">
        <f t="shared" si="2"/>
        <v>0.17355501304470589</v>
      </c>
      <c r="L7" s="562"/>
      <c r="Q7" s="159" t="s">
        <v>691</v>
      </c>
    </row>
    <row r="8" spans="2:20" ht="13.5" customHeight="1" x14ac:dyDescent="0.3">
      <c r="B8" s="431" t="s">
        <v>58</v>
      </c>
      <c r="C8" s="432"/>
      <c r="D8" s="802">
        <f t="shared" ref="D8:L8" si="3">D6/D$33</f>
        <v>0.15104290619283481</v>
      </c>
      <c r="E8" s="802">
        <f t="shared" si="3"/>
        <v>0.11701978456913886</v>
      </c>
      <c r="F8" s="802">
        <f t="shared" si="3"/>
        <v>9.116855177852777E-2</v>
      </c>
      <c r="G8" s="802">
        <f t="shared" si="3"/>
        <v>0.11495027394473296</v>
      </c>
      <c r="H8" s="802">
        <f t="shared" si="3"/>
        <v>7.1316393193953692E-2</v>
      </c>
      <c r="I8" s="802">
        <f t="shared" si="3"/>
        <v>6.3782646585628433E-2</v>
      </c>
      <c r="J8" s="802">
        <f t="shared" si="3"/>
        <v>6.5310997704637205E-2</v>
      </c>
      <c r="K8" s="802">
        <f t="shared" si="3"/>
        <v>5.9841370708675068E-2</v>
      </c>
      <c r="L8" s="802">
        <f t="shared" si="3"/>
        <v>5.9054328956347761E-2</v>
      </c>
    </row>
    <row r="9" spans="2:20" ht="13.5" customHeight="1" x14ac:dyDescent="0.3">
      <c r="B9" s="431"/>
      <c r="C9" s="432"/>
      <c r="D9" s="432"/>
      <c r="E9" s="432"/>
      <c r="F9" s="432"/>
      <c r="G9" s="432"/>
      <c r="H9" s="432"/>
      <c r="I9" s="432"/>
      <c r="J9" s="432"/>
      <c r="K9" s="432"/>
      <c r="L9" s="433"/>
    </row>
    <row r="10" spans="2:20" ht="13.5" customHeight="1" x14ac:dyDescent="0.3">
      <c r="B10" s="436" t="s">
        <v>63</v>
      </c>
      <c r="C10" s="434"/>
      <c r="D10" s="92">
        <f t="shared" ref="D10:L10" si="4">D39</f>
        <v>893.82739099999992</v>
      </c>
      <c r="E10" s="92">
        <f t="shared" si="4"/>
        <v>1369.427619</v>
      </c>
      <c r="F10" s="92">
        <f t="shared" si="4"/>
        <v>662.60552299999995</v>
      </c>
      <c r="G10" s="92">
        <f t="shared" si="4"/>
        <v>2756.3304310000003</v>
      </c>
      <c r="H10" s="101">
        <f>H39</f>
        <v>1426.834527543288</v>
      </c>
      <c r="I10" s="92">
        <f t="shared" si="4"/>
        <v>1887.7546142885853</v>
      </c>
      <c r="J10" s="92">
        <f t="shared" si="4"/>
        <v>2244.32410514908</v>
      </c>
      <c r="K10" s="92">
        <f t="shared" si="4"/>
        <v>2806.0552274211282</v>
      </c>
      <c r="L10" s="270">
        <f t="shared" si="4"/>
        <v>3300.3063863785337</v>
      </c>
    </row>
    <row r="11" spans="2:20" s="80" customFormat="1" ht="13.5" customHeight="1" x14ac:dyDescent="0.3">
      <c r="B11" s="437" t="s">
        <v>37</v>
      </c>
      <c r="C11" s="430"/>
      <c r="D11" s="554"/>
      <c r="E11" s="554">
        <f>E10/D10-1</f>
        <v>0.53209404051480913</v>
      </c>
      <c r="F11" s="554">
        <f>F10/E10-1</f>
        <v>-0.51614418038110277</v>
      </c>
      <c r="G11" s="554">
        <f>G10/F10-1</f>
        <v>3.1598361850660286</v>
      </c>
      <c r="H11" s="554">
        <f t="shared" ref="H11:L11" si="5">H10/G10-1</f>
        <v>-0.4823427149749856</v>
      </c>
      <c r="I11" s="554">
        <f t="shared" si="5"/>
        <v>0.32303681880961044</v>
      </c>
      <c r="J11" s="554">
        <f t="shared" si="5"/>
        <v>0.18888550882704136</v>
      </c>
      <c r="K11" s="554">
        <f t="shared" si="5"/>
        <v>0.2502896622565729</v>
      </c>
      <c r="L11" s="562">
        <f t="shared" si="5"/>
        <v>0.17613735970964517</v>
      </c>
    </row>
    <row r="12" spans="2:20" ht="13.5" customHeight="1" x14ac:dyDescent="0.3">
      <c r="B12" s="438" t="s">
        <v>58</v>
      </c>
      <c r="C12" s="432"/>
      <c r="D12" s="1843">
        <f t="shared" ref="D12:L12" si="6">D10/D$33</f>
        <v>2.1565179498903488E-2</v>
      </c>
      <c r="E12" s="1843">
        <f t="shared" si="6"/>
        <v>2.2444335196192017E-2</v>
      </c>
      <c r="F12" s="1843">
        <f t="shared" si="6"/>
        <v>8.154867331468002E-3</v>
      </c>
      <c r="G12" s="1843">
        <f t="shared" si="6"/>
        <v>3.0556643657047251E-2</v>
      </c>
      <c r="H12" s="1843">
        <f t="shared" si="6"/>
        <v>1.0338539599489894E-2</v>
      </c>
      <c r="I12" s="1843">
        <f t="shared" si="6"/>
        <v>1.0363677698509691E-2</v>
      </c>
      <c r="J12" s="1843">
        <f t="shared" si="6"/>
        <v>1.1004565458769957E-2</v>
      </c>
      <c r="K12" s="1843">
        <f t="shared" si="6"/>
        <v>1.0742251106955961E-2</v>
      </c>
      <c r="L12" s="1844">
        <f t="shared" si="6"/>
        <v>1.097043466672229E-2</v>
      </c>
    </row>
    <row r="13" spans="2:20" ht="13.5" customHeight="1" x14ac:dyDescent="0.3">
      <c r="B13" s="438"/>
      <c r="C13" s="432"/>
      <c r="D13" s="432"/>
      <c r="E13" s="432"/>
      <c r="F13" s="432"/>
      <c r="G13" s="432"/>
      <c r="H13" s="432"/>
      <c r="I13" s="432"/>
      <c r="J13" s="432"/>
      <c r="K13" s="432"/>
      <c r="L13" s="439"/>
    </row>
    <row r="14" spans="2:20" ht="13.5" customHeight="1" x14ac:dyDescent="0.3">
      <c r="B14" s="436" t="s">
        <v>69</v>
      </c>
      <c r="C14" s="434"/>
      <c r="D14" s="92">
        <f>D72</f>
        <v>3661.7588479999999</v>
      </c>
      <c r="E14" s="92">
        <f t="shared" ref="E14:L14" si="7">E72</f>
        <v>4234.9547910000001</v>
      </c>
      <c r="F14" s="92">
        <f t="shared" si="7"/>
        <v>4672.4253799999997</v>
      </c>
      <c r="G14" s="92">
        <f t="shared" si="7"/>
        <v>5587.3653519999989</v>
      </c>
      <c r="H14" s="101">
        <f t="shared" si="7"/>
        <v>6394.7056872936491</v>
      </c>
      <c r="I14" s="92">
        <f t="shared" si="7"/>
        <v>7653.1618348011925</v>
      </c>
      <c r="J14" s="92">
        <f t="shared" si="7"/>
        <v>8856.8218502155287</v>
      </c>
      <c r="K14" s="92">
        <f t="shared" si="7"/>
        <v>10363.038436776174</v>
      </c>
      <c r="L14" s="270">
        <f t="shared" si="7"/>
        <v>11845.323813272882</v>
      </c>
    </row>
    <row r="15" spans="2:20" s="80" customFormat="1" ht="13.5" customHeight="1" x14ac:dyDescent="0.3">
      <c r="B15" s="437" t="s">
        <v>37</v>
      </c>
      <c r="C15" s="430"/>
      <c r="D15" s="554"/>
      <c r="E15" s="554">
        <f>E14/D14-1</f>
        <v>0.15653568866586376</v>
      </c>
      <c r="F15" s="554">
        <f>F14/E14-1</f>
        <v>0.10329994311384372</v>
      </c>
      <c r="G15" s="554">
        <f>G14/F14-1</f>
        <v>0.19581692538447748</v>
      </c>
      <c r="H15" s="554">
        <f t="shared" ref="H15" si="8">H14/G14-1</f>
        <v>0.14449392234654246</v>
      </c>
      <c r="I15" s="554">
        <f t="shared" ref="I15" si="9">I14/H14-1</f>
        <v>0.19679657032662345</v>
      </c>
      <c r="J15" s="554">
        <f t="shared" ref="J15" si="10">J14/I14-1</f>
        <v>0.15727617439643549</v>
      </c>
      <c r="K15" s="554">
        <f t="shared" ref="K15:L15" si="11">K14/J14-1</f>
        <v>0.17006287492662975</v>
      </c>
      <c r="L15" s="562">
        <f t="shared" si="11"/>
        <v>0.14303578873512612</v>
      </c>
    </row>
    <row r="16" spans="2:20" ht="13.5" customHeight="1" x14ac:dyDescent="0.3">
      <c r="B16" s="438" t="s">
        <v>58</v>
      </c>
      <c r="C16" s="432"/>
      <c r="D16" s="1843">
        <f t="shared" ref="D16:L16" si="12">D14/D$33</f>
        <v>8.8346461110876906E-2</v>
      </c>
      <c r="E16" s="1843">
        <f t="shared" si="12"/>
        <v>6.9409104615059836E-2</v>
      </c>
      <c r="F16" s="1843">
        <f t="shared" si="12"/>
        <v>5.7504816617841514E-2</v>
      </c>
      <c r="G16" s="1843">
        <f t="shared" si="12"/>
        <v>6.1941460328054671E-2</v>
      </c>
      <c r="H16" s="1843">
        <f t="shared" si="12"/>
        <v>4.6334677707161737E-2</v>
      </c>
      <c r="I16" s="1843">
        <f t="shared" si="12"/>
        <v>4.2015472789775195E-2</v>
      </c>
      <c r="J16" s="1843">
        <f t="shared" si="12"/>
        <v>4.3427540426870144E-2</v>
      </c>
      <c r="K16" s="1843">
        <f t="shared" si="12"/>
        <v>3.9672191776922203E-2</v>
      </c>
      <c r="L16" s="1844">
        <f t="shared" si="12"/>
        <v>3.9374632469282279E-2</v>
      </c>
    </row>
    <row r="17" spans="2:14" ht="13.5" customHeight="1" x14ac:dyDescent="0.3">
      <c r="B17" s="438"/>
      <c r="C17" s="432"/>
      <c r="D17" s="432"/>
      <c r="E17" s="432"/>
      <c r="F17" s="432"/>
      <c r="G17" s="435"/>
      <c r="H17" s="432"/>
      <c r="I17" s="432"/>
      <c r="J17" s="432"/>
      <c r="K17" s="432"/>
      <c r="L17" s="439"/>
    </row>
    <row r="18" spans="2:14" ht="13.5" customHeight="1" x14ac:dyDescent="0.3">
      <c r="B18" s="436" t="s">
        <v>62</v>
      </c>
      <c r="C18" s="434"/>
      <c r="D18" s="92">
        <f t="shared" ref="D18:L18" si="13">D106</f>
        <v>1498.107546</v>
      </c>
      <c r="E18" s="92">
        <f t="shared" si="13"/>
        <v>1303.2362859999998</v>
      </c>
      <c r="F18" s="92">
        <f t="shared" si="13"/>
        <v>1627.505989</v>
      </c>
      <c r="G18" s="92">
        <f t="shared" si="13"/>
        <v>1485.0576809999998</v>
      </c>
      <c r="H18" s="101">
        <f t="shared" si="13"/>
        <v>1508.818603896</v>
      </c>
      <c r="I18" s="92">
        <f t="shared" si="13"/>
        <v>1529.9420643505439</v>
      </c>
      <c r="J18" s="92">
        <f t="shared" si="13"/>
        <v>1551.3612532514514</v>
      </c>
      <c r="K18" s="92">
        <f t="shared" si="13"/>
        <v>1577.7343945567263</v>
      </c>
      <c r="L18" s="270">
        <f t="shared" si="13"/>
        <v>1604.5558792641907</v>
      </c>
    </row>
    <row r="19" spans="2:14" s="80" customFormat="1" ht="13.5" customHeight="1" x14ac:dyDescent="0.3">
      <c r="B19" s="437" t="s">
        <v>37</v>
      </c>
      <c r="C19" s="430"/>
      <c r="D19" s="554"/>
      <c r="E19" s="554">
        <f>E18/D18-1</f>
        <v>-0.13007828478023042</v>
      </c>
      <c r="F19" s="554">
        <f>F18/E18-1</f>
        <v>0.2488188108967373</v>
      </c>
      <c r="G19" s="554">
        <f>G18/F18-1</f>
        <v>-8.7525520005936053E-2</v>
      </c>
      <c r="H19" s="554">
        <f t="shared" ref="H19:L19" si="14">H18/G18-1</f>
        <v>1.6000000000000236E-2</v>
      </c>
      <c r="I19" s="554">
        <f t="shared" si="14"/>
        <v>1.4000000000000012E-2</v>
      </c>
      <c r="J19" s="554">
        <f t="shared" si="14"/>
        <v>1.4000000000000012E-2</v>
      </c>
      <c r="K19" s="554">
        <f t="shared" si="14"/>
        <v>1.7000000000000126E-2</v>
      </c>
      <c r="L19" s="562">
        <f t="shared" si="14"/>
        <v>1.7000000000000126E-2</v>
      </c>
    </row>
    <row r="20" spans="2:14" ht="13.5" customHeight="1" x14ac:dyDescent="0.3">
      <c r="B20" s="438" t="s">
        <v>58</v>
      </c>
      <c r="C20" s="432"/>
      <c r="D20" s="1843">
        <f t="shared" ref="D20:L20" si="15">D18/D$33</f>
        <v>3.614451566762493E-2</v>
      </c>
      <c r="E20" s="1843">
        <f t="shared" si="15"/>
        <v>2.1359487450810906E-2</v>
      </c>
      <c r="F20" s="1843">
        <f t="shared" si="15"/>
        <v>2.0030161175497212E-2</v>
      </c>
      <c r="G20" s="1843">
        <f t="shared" si="15"/>
        <v>1.6463330324301723E-2</v>
      </c>
      <c r="H20" s="1843">
        <f t="shared" si="15"/>
        <v>1.0932578784509827E-2</v>
      </c>
      <c r="I20" s="1843">
        <f t="shared" si="15"/>
        <v>8.3993048314158127E-3</v>
      </c>
      <c r="J20" s="1843">
        <f t="shared" si="15"/>
        <v>7.6067696383232382E-3</v>
      </c>
      <c r="K20" s="1843">
        <f t="shared" si="15"/>
        <v>6.0399449308008559E-3</v>
      </c>
      <c r="L20" s="1844">
        <f t="shared" si="15"/>
        <v>5.3336488743060528E-3</v>
      </c>
    </row>
    <row r="21" spans="2:14" ht="13.5" customHeight="1" x14ac:dyDescent="0.3">
      <c r="B21" s="438"/>
      <c r="C21" s="432"/>
      <c r="D21" s="432"/>
      <c r="E21" s="432"/>
      <c r="F21" s="432"/>
      <c r="G21" s="432"/>
      <c r="H21" s="432"/>
      <c r="I21" s="432"/>
      <c r="J21" s="432"/>
      <c r="K21" s="432"/>
      <c r="L21" s="439"/>
    </row>
    <row r="22" spans="2:14" ht="13.5" customHeight="1" x14ac:dyDescent="0.3">
      <c r="B22" s="436" t="s">
        <v>90</v>
      </c>
      <c r="C22" s="434"/>
      <c r="D22" s="92">
        <f t="shared" ref="D22:L22" si="16">D148</f>
        <v>206.68938399999999</v>
      </c>
      <c r="E22" s="92">
        <f t="shared" si="16"/>
        <v>232.27311</v>
      </c>
      <c r="F22" s="92">
        <f t="shared" si="16"/>
        <v>445.16006700000003</v>
      </c>
      <c r="G22" s="92">
        <f t="shared" si="16"/>
        <v>540.217084</v>
      </c>
      <c r="H22" s="92">
        <f t="shared" si="16"/>
        <v>512.10405619835103</v>
      </c>
      <c r="I22" s="92">
        <f t="shared" si="16"/>
        <v>547.21654700590273</v>
      </c>
      <c r="J22" s="92">
        <f t="shared" si="16"/>
        <v>667.33236424404856</v>
      </c>
      <c r="K22" s="92">
        <f t="shared" si="16"/>
        <v>884.73644492720655</v>
      </c>
      <c r="L22" s="270">
        <f t="shared" si="16"/>
        <v>1015.5073433454936</v>
      </c>
    </row>
    <row r="23" spans="2:14" s="80" customFormat="1" ht="13.5" customHeight="1" x14ac:dyDescent="0.3">
      <c r="B23" s="437" t="s">
        <v>37</v>
      </c>
      <c r="C23" s="430"/>
      <c r="D23" s="554"/>
      <c r="E23" s="554">
        <f>E22/D22-1</f>
        <v>0.12377861651568911</v>
      </c>
      <c r="F23" s="554">
        <f>F22/E22-1</f>
        <v>0.91653724789752911</v>
      </c>
      <c r="G23" s="554">
        <f>G22/F22-1</f>
        <v>0.21353446557011146</v>
      </c>
      <c r="H23" s="554">
        <f t="shared" ref="H23:L23" si="17">H22/G22-1</f>
        <v>-5.2040242032865724E-2</v>
      </c>
      <c r="I23" s="554">
        <f t="shared" si="17"/>
        <v>6.8565148786776442E-2</v>
      </c>
      <c r="J23" s="554">
        <f t="shared" si="17"/>
        <v>0.21950326227406669</v>
      </c>
      <c r="K23" s="554">
        <f t="shared" si="17"/>
        <v>0.32578081377700374</v>
      </c>
      <c r="L23" s="562">
        <f t="shared" si="17"/>
        <v>0.14780774451881706</v>
      </c>
    </row>
    <row r="24" spans="2:14" ht="13.5" customHeight="1" x14ac:dyDescent="0.3">
      <c r="B24" s="438" t="s">
        <v>58</v>
      </c>
      <c r="C24" s="432"/>
      <c r="D24" s="1843">
        <f t="shared" ref="D24:L24" si="18">D22/D$33</f>
        <v>4.986749915429467E-3</v>
      </c>
      <c r="E24" s="1843">
        <f t="shared" si="18"/>
        <v>3.8068573070761031E-3</v>
      </c>
      <c r="F24" s="1843">
        <f t="shared" si="18"/>
        <v>5.4787066537210372E-3</v>
      </c>
      <c r="G24" s="1843">
        <f t="shared" si="18"/>
        <v>5.9888396353293249E-3</v>
      </c>
      <c r="H24" s="1843">
        <f t="shared" si="18"/>
        <v>3.7105971027922339E-3</v>
      </c>
      <c r="I24" s="1843">
        <f t="shared" si="18"/>
        <v>3.004191265927738E-3</v>
      </c>
      <c r="J24" s="1843">
        <f t="shared" si="18"/>
        <v>3.2721221806738736E-3</v>
      </c>
      <c r="K24" s="1843">
        <f t="shared" si="18"/>
        <v>3.3869828939960532E-3</v>
      </c>
      <c r="L24" s="1844">
        <f t="shared" si="18"/>
        <v>3.3756129460371484E-3</v>
      </c>
    </row>
    <row r="25" spans="2:14" s="159" customFormat="1" ht="13.5" customHeight="1" x14ac:dyDescent="0.3">
      <c r="B25" s="440"/>
      <c r="C25" s="441"/>
      <c r="D25" s="441"/>
      <c r="E25" s="441"/>
      <c r="F25" s="441"/>
      <c r="G25" s="441"/>
      <c r="H25" s="441"/>
      <c r="I25" s="441"/>
      <c r="J25" s="441"/>
      <c r="K25" s="441"/>
      <c r="L25" s="442"/>
    </row>
    <row r="26" spans="2:14" ht="13.5" customHeight="1" x14ac:dyDescent="0.3">
      <c r="B26" s="59"/>
      <c r="C26" s="43"/>
      <c r="D26" s="43" t="b">
        <f>D6=IS!D14/10^6</f>
        <v>1</v>
      </c>
      <c r="E26" s="43" t="b">
        <f>E6=IS!E14/10^6</f>
        <v>1</v>
      </c>
      <c r="F26" s="43" t="b">
        <f>F6=IS!F14/10^6</f>
        <v>1</v>
      </c>
      <c r="G26" s="43" t="b">
        <f>G6=IS!G14/10^6</f>
        <v>1</v>
      </c>
      <c r="H26" s="43"/>
      <c r="I26" s="43"/>
      <c r="J26" s="43"/>
      <c r="K26" s="43"/>
      <c r="L26" s="43"/>
    </row>
    <row r="27" spans="2:14" s="100" customFormat="1" ht="13.5" customHeight="1" x14ac:dyDescent="0.3">
      <c r="B27" s="382" t="s">
        <v>135</v>
      </c>
      <c r="C27" s="383"/>
      <c r="D27" s="383"/>
      <c r="E27" s="383"/>
      <c r="F27" s="383"/>
      <c r="G27" s="383"/>
      <c r="H27" s="383"/>
      <c r="I27" s="383"/>
      <c r="J27" s="383"/>
      <c r="K27" s="383"/>
      <c r="L27" s="384"/>
      <c r="N27" s="118"/>
    </row>
    <row r="28" spans="2:14" s="65" customFormat="1" ht="13.5" customHeight="1" x14ac:dyDescent="0.3">
      <c r="B28" s="378" t="s">
        <v>136</v>
      </c>
      <c r="C28" s="379"/>
      <c r="D28" s="379">
        <f t="shared" ref="D28:K28" si="19">D$5</f>
        <v>2014</v>
      </c>
      <c r="E28" s="379">
        <f t="shared" si="19"/>
        <v>2015</v>
      </c>
      <c r="F28" s="379">
        <f t="shared" si="19"/>
        <v>2016</v>
      </c>
      <c r="G28" s="380">
        <f t="shared" si="19"/>
        <v>2017</v>
      </c>
      <c r="H28" s="380">
        <f t="shared" si="19"/>
        <v>2018</v>
      </c>
      <c r="I28" s="380">
        <f t="shared" si="19"/>
        <v>2019</v>
      </c>
      <c r="J28" s="380">
        <f t="shared" si="19"/>
        <v>2020</v>
      </c>
      <c r="K28" s="380">
        <f t="shared" si="19"/>
        <v>2021</v>
      </c>
      <c r="L28" s="1487">
        <f>K28+1</f>
        <v>2022</v>
      </c>
    </row>
    <row r="29" spans="2:14" s="159" customFormat="1" ht="13.5" customHeight="1" x14ac:dyDescent="0.15">
      <c r="B29" s="648" t="s">
        <v>607</v>
      </c>
      <c r="C29" s="363"/>
      <c r="D29" s="364">
        <f>Macro!D6/100</f>
        <v>3.3410000000000002E-2</v>
      </c>
      <c r="E29" s="364">
        <f>Macro!E6/100</f>
        <v>2.7900000000000001E-2</v>
      </c>
      <c r="F29" s="364">
        <f>Macro!F6/100</f>
        <v>2.828E-2</v>
      </c>
      <c r="G29" s="364">
        <f>Macro!G6/100</f>
        <v>0.03</v>
      </c>
      <c r="H29" s="364">
        <f>Macro!H6/100</f>
        <v>2.3E-2</v>
      </c>
      <c r="I29" s="364">
        <f>Macro!I6/100</f>
        <v>2.5000000000000001E-2</v>
      </c>
      <c r="J29" s="364">
        <f>Macro!J6/100</f>
        <v>2.2000000000000002E-2</v>
      </c>
      <c r="K29" s="364">
        <f>Macro!K6/100</f>
        <v>2.7999999999999997E-2</v>
      </c>
      <c r="L29" s="368">
        <f>K29</f>
        <v>2.7999999999999997E-2</v>
      </c>
    </row>
    <row r="30" spans="2:14" s="159" customFormat="1" ht="13.5" customHeight="1" x14ac:dyDescent="0.15">
      <c r="B30" s="649" t="s">
        <v>615</v>
      </c>
      <c r="C30" s="365"/>
      <c r="D30" s="367">
        <f>Macro!D7/100</f>
        <v>1.2749999999999999E-2</v>
      </c>
      <c r="E30" s="367">
        <f>Macro!E7/100</f>
        <v>7.0799999999999995E-3</v>
      </c>
      <c r="F30" s="367">
        <f>Macro!F7/100</f>
        <v>9.7199999999999995E-3</v>
      </c>
      <c r="G30" s="367">
        <f>Macro!G7/100</f>
        <v>0.02</v>
      </c>
      <c r="H30" s="367">
        <f>Macro!H7/100</f>
        <v>1.6E-2</v>
      </c>
      <c r="I30" s="367">
        <f>Macro!I7/100</f>
        <v>1.3999999999999999E-2</v>
      </c>
      <c r="J30" s="367">
        <f>Macro!J7/100</f>
        <v>1.3999999999999999E-2</v>
      </c>
      <c r="K30" s="367">
        <f>Macro!K7/100</f>
        <v>1.7000000000000001E-2</v>
      </c>
      <c r="L30" s="368">
        <f t="shared" ref="L30:L32" si="20">K30</f>
        <v>1.7000000000000001E-2</v>
      </c>
    </row>
    <row r="31" spans="2:14" s="159" customFormat="1" ht="13.5" customHeight="1" x14ac:dyDescent="0.15">
      <c r="B31" s="649" t="s">
        <v>616</v>
      </c>
      <c r="C31" s="366"/>
      <c r="D31" s="367">
        <f>Macro!D8/100</f>
        <v>2.5539999999999997E-2</v>
      </c>
      <c r="E31" s="367">
        <f>Macro!E8/100</f>
        <v>3.4140000000000004E-2</v>
      </c>
      <c r="F31" s="367">
        <f>Macro!F8/100</f>
        <v>3.807E-2</v>
      </c>
      <c r="G31" s="367">
        <f>Macro!G8/100</f>
        <v>4.2000000000000003E-2</v>
      </c>
      <c r="H31" s="367">
        <f>Macro!H8/100</f>
        <v>3.6000000000000004E-2</v>
      </c>
      <c r="I31" s="367">
        <f>Macro!I8/100</f>
        <v>3.4000000000000002E-2</v>
      </c>
      <c r="J31" s="367">
        <f>Macro!J8/100</f>
        <v>3.6000000000000004E-2</v>
      </c>
      <c r="K31" s="367">
        <f>Macro!K8/100</f>
        <v>3.9E-2</v>
      </c>
      <c r="L31" s="368">
        <f t="shared" si="20"/>
        <v>3.9E-2</v>
      </c>
    </row>
    <row r="32" spans="2:14" s="159" customFormat="1" ht="13.5" customHeight="1" x14ac:dyDescent="0.15">
      <c r="B32" s="649" t="s">
        <v>646</v>
      </c>
      <c r="C32" s="366"/>
      <c r="D32" s="367">
        <f>Macro!D9/100</f>
        <v>1.2629999999999999E-2</v>
      </c>
      <c r="E32" s="367">
        <f>Macro!E9/100</f>
        <v>2.6869999999999998E-2</v>
      </c>
      <c r="F32" s="367">
        <f>Macro!F9/100</f>
        <v>2.8079999999999997E-2</v>
      </c>
      <c r="G32" s="367">
        <f>Macro!G9/100</f>
        <v>2.2000000000000002E-2</v>
      </c>
      <c r="H32" s="367">
        <f>Macro!H9/100</f>
        <v>1.9E-2</v>
      </c>
      <c r="I32" s="367">
        <f>Macro!I9/100</f>
        <v>1.9E-2</v>
      </c>
      <c r="J32" s="367">
        <f>Macro!J9/100</f>
        <v>2.2000000000000002E-2</v>
      </c>
      <c r="K32" s="367">
        <f>Macro!K9/100</f>
        <v>2.2000000000000002E-2</v>
      </c>
      <c r="L32" s="368">
        <f t="shared" si="20"/>
        <v>2.2000000000000002E-2</v>
      </c>
    </row>
    <row r="33" spans="2:16" s="159" customFormat="1" ht="13.5" customHeight="1" x14ac:dyDescent="0.3">
      <c r="B33" s="1694" t="s">
        <v>467</v>
      </c>
      <c r="C33" s="1695"/>
      <c r="D33" s="1696">
        <f>'Pro forma'!D6</f>
        <v>41447.713943000002</v>
      </c>
      <c r="E33" s="1696">
        <f>'Pro forma'!E6-매출원가!E48</f>
        <v>61014.398824000004</v>
      </c>
      <c r="F33" s="1696">
        <f>'Pro forma'!F6-매출원가!F48</f>
        <v>81252.76550400001</v>
      </c>
      <c r="G33" s="1696">
        <f>'Pro forma'!G6-매출원가!G48</f>
        <v>90203.965525000007</v>
      </c>
      <c r="H33" s="1697">
        <f>'Pro forma'!H6</f>
        <v>138011.22622905931</v>
      </c>
      <c r="I33" s="1697">
        <f>'Pro forma'!I6</f>
        <v>182151.03452706241</v>
      </c>
      <c r="J33" s="1697">
        <f>'Pro forma'!J6</f>
        <v>203944.81849898878</v>
      </c>
      <c r="K33" s="1697">
        <f>'Pro forma'!K6</f>
        <v>261216.68535602515</v>
      </c>
      <c r="L33" s="1698">
        <f>'Pro forma'!L6</f>
        <v>300836.4286959095</v>
      </c>
    </row>
    <row r="34" spans="2:16" s="159" customFormat="1" ht="13.5" customHeight="1" x14ac:dyDescent="0.3">
      <c r="B34" s="1699" t="s">
        <v>7542</v>
      </c>
      <c r="C34" s="81"/>
      <c r="D34" s="1520"/>
      <c r="E34" s="1520">
        <f>E33-E35</f>
        <v>59051.346203000001</v>
      </c>
      <c r="F34" s="1520">
        <f t="shared" ref="F34:G34" si="21">F33-F35</f>
        <v>78328.201145000014</v>
      </c>
      <c r="G34" s="1520">
        <f t="shared" si="21"/>
        <v>84738.851773000002</v>
      </c>
      <c r="H34" s="1520">
        <f>H33-H35</f>
        <v>112544.83104505931</v>
      </c>
      <c r="I34" s="1520">
        <f t="shared" ref="I34:L34" si="22">I33-I35</f>
        <v>148376.57358306242</v>
      </c>
      <c r="J34" s="1520">
        <f t="shared" si="22"/>
        <v>161470.57301416379</v>
      </c>
      <c r="K34" s="1520">
        <f t="shared" si="22"/>
        <v>209257.11302865265</v>
      </c>
      <c r="L34" s="1700">
        <f t="shared" si="22"/>
        <v>238549.1824554468</v>
      </c>
    </row>
    <row r="35" spans="2:16" s="159" customFormat="1" ht="13.5" customHeight="1" x14ac:dyDescent="0.3">
      <c r="B35" s="1701" t="s">
        <v>7543</v>
      </c>
      <c r="C35" s="1702"/>
      <c r="D35" s="1703"/>
      <c r="E35" s="1703">
        <f>'매출액(보고서)'!D158-매출원가!E48</f>
        <v>1963.052621</v>
      </c>
      <c r="F35" s="1703">
        <f>'매출액(보고서)'!E158-매출원가!F48</f>
        <v>2924.5643590000004</v>
      </c>
      <c r="G35" s="1703">
        <f>'매출액(보고서)'!F158-매출원가!G48</f>
        <v>5465.1137519999993</v>
      </c>
      <c r="H35" s="1703">
        <f>'모델별 Mapping'!Q163/10^6</f>
        <v>25466.395184000001</v>
      </c>
      <c r="I35" s="1703">
        <f>'모델별 Mapping'!T163/10^6</f>
        <v>33774.460943999999</v>
      </c>
      <c r="J35" s="1703">
        <f>'모델별 Mapping'!W163/10^6</f>
        <v>42474.245484824998</v>
      </c>
      <c r="K35" s="1703">
        <f>'모델별 Mapping'!Z163/10^6</f>
        <v>51959.572327372494</v>
      </c>
      <c r="L35" s="1704">
        <f>'모델별 Mapping'!AC163/10^6</f>
        <v>62287.246240462693</v>
      </c>
    </row>
    <row r="36" spans="2:16" ht="13.5" customHeight="1" x14ac:dyDescent="0.3">
      <c r="P36" s="82"/>
    </row>
    <row r="37" spans="2:16" s="159" customFormat="1" ht="14.1" customHeight="1" x14ac:dyDescent="0.3">
      <c r="B37" s="392" t="s">
        <v>142</v>
      </c>
      <c r="C37" s="393"/>
      <c r="D37" s="393"/>
      <c r="E37" s="393"/>
      <c r="F37" s="393"/>
      <c r="G37" s="393"/>
      <c r="H37" s="393"/>
      <c r="I37" s="393"/>
      <c r="J37" s="393"/>
      <c r="K37" s="393"/>
      <c r="L37" s="394"/>
    </row>
    <row r="38" spans="2:16" s="65" customFormat="1" ht="14.1" customHeight="1" x14ac:dyDescent="0.3">
      <c r="B38" s="395" t="str">
        <f>unit</f>
        <v>KRW Million</v>
      </c>
      <c r="C38" s="396"/>
      <c r="D38" s="396">
        <f>'Pro forma'!D$5</f>
        <v>2014</v>
      </c>
      <c r="E38" s="396">
        <f>'Pro forma'!E$5</f>
        <v>2015</v>
      </c>
      <c r="F38" s="396">
        <f>'Pro forma'!F$5</f>
        <v>2016</v>
      </c>
      <c r="G38" s="397">
        <f>'Pro forma'!G$5</f>
        <v>2017</v>
      </c>
      <c r="H38" s="398">
        <f>'Pro forma'!H$5</f>
        <v>2018</v>
      </c>
      <c r="I38" s="398">
        <f>'Pro forma'!I$5</f>
        <v>2019</v>
      </c>
      <c r="J38" s="398">
        <f>'Pro forma'!J$5</f>
        <v>2020</v>
      </c>
      <c r="K38" s="398">
        <f>'Pro forma'!K$5</f>
        <v>2021</v>
      </c>
      <c r="L38" s="399">
        <f>K38+1</f>
        <v>2022</v>
      </c>
    </row>
    <row r="39" spans="2:16" s="65" customFormat="1" ht="14.1" customHeight="1" x14ac:dyDescent="0.3">
      <c r="B39" s="400" t="s">
        <v>63</v>
      </c>
      <c r="C39" s="56"/>
      <c r="D39" s="92">
        <f>D43+D47+D51+D55+D61+D65</f>
        <v>893.82739099999992</v>
      </c>
      <c r="E39" s="92">
        <f t="shared" ref="E39:L39" si="23">E43+E47+E51+E55+E61+E65</f>
        <v>1369.427619</v>
      </c>
      <c r="F39" s="92">
        <f t="shared" si="23"/>
        <v>662.60552299999995</v>
      </c>
      <c r="G39" s="92">
        <f t="shared" si="23"/>
        <v>2756.3304310000003</v>
      </c>
      <c r="H39" s="92">
        <f t="shared" si="23"/>
        <v>1426.834527543288</v>
      </c>
      <c r="I39" s="92">
        <f t="shared" si="23"/>
        <v>1887.7546142885853</v>
      </c>
      <c r="J39" s="92">
        <f t="shared" si="23"/>
        <v>2244.32410514908</v>
      </c>
      <c r="K39" s="92">
        <f t="shared" si="23"/>
        <v>2806.0552274211282</v>
      </c>
      <c r="L39" s="401">
        <f t="shared" si="23"/>
        <v>3300.3063863785337</v>
      </c>
    </row>
    <row r="40" spans="2:16" s="80" customFormat="1" ht="14.1" customHeight="1" x14ac:dyDescent="0.3">
      <c r="B40" s="402" t="s">
        <v>143</v>
      </c>
      <c r="C40" s="58"/>
      <c r="D40" s="554" t="e">
        <f>D39/C39-1</f>
        <v>#DIV/0!</v>
      </c>
      <c r="E40" s="554">
        <f>E39/D39-1</f>
        <v>0.53209404051480913</v>
      </c>
      <c r="F40" s="554">
        <f>F39/E39-1</f>
        <v>-0.51614418038110277</v>
      </c>
      <c r="G40" s="554">
        <f>G39/F39-1</f>
        <v>3.1598361850660286</v>
      </c>
      <c r="H40" s="554">
        <f t="shared" ref="H40:K40" si="24">H39/G39-1</f>
        <v>-0.4823427149749856</v>
      </c>
      <c r="I40" s="554">
        <f t="shared" si="24"/>
        <v>0.32303681880961044</v>
      </c>
      <c r="J40" s="554">
        <f t="shared" si="24"/>
        <v>0.18888550882704136</v>
      </c>
      <c r="K40" s="554">
        <f t="shared" si="24"/>
        <v>0.2502896622565729</v>
      </c>
      <c r="L40" s="555"/>
    </row>
    <row r="41" spans="2:16" s="159" customFormat="1" ht="14.1" customHeight="1" x14ac:dyDescent="0.3">
      <c r="B41" s="403" t="s">
        <v>58</v>
      </c>
      <c r="C41" s="43"/>
      <c r="D41" s="43"/>
      <c r="E41" s="43"/>
      <c r="F41" s="43"/>
      <c r="G41" s="43"/>
      <c r="H41" s="43"/>
      <c r="I41" s="43"/>
      <c r="J41" s="43"/>
      <c r="K41" s="43"/>
      <c r="L41" s="404"/>
    </row>
    <row r="42" spans="2:16" s="159" customFormat="1" ht="14.1" customHeight="1" x14ac:dyDescent="0.3">
      <c r="B42" s="403"/>
      <c r="C42" s="43"/>
      <c r="D42" s="43"/>
      <c r="E42" s="43"/>
      <c r="F42" s="43"/>
      <c r="G42" s="43"/>
      <c r="H42" s="43"/>
      <c r="I42" s="43"/>
      <c r="J42" s="43"/>
      <c r="K42" s="43"/>
      <c r="L42" s="404"/>
    </row>
    <row r="43" spans="2:16" s="159" customFormat="1" ht="14.1" customHeight="1" x14ac:dyDescent="0.3">
      <c r="B43" s="552" t="s">
        <v>466</v>
      </c>
      <c r="C43" s="43"/>
      <c r="D43" s="507">
        <f>IS!D32/10^6</f>
        <v>112.390479</v>
      </c>
      <c r="E43" s="507">
        <f>IS!E32/10^6</f>
        <v>126.949994</v>
      </c>
      <c r="F43" s="507">
        <f>IS!F32/10^6</f>
        <v>166.87516099999999</v>
      </c>
      <c r="G43" s="507">
        <f>IS!G32/10^6</f>
        <v>201.546728</v>
      </c>
      <c r="H43" s="507">
        <f>H45*H$33</f>
        <v>292.98766522094832</v>
      </c>
      <c r="I43" s="507">
        <f t="shared" ref="I43:L43" si="25">I45*I$33</f>
        <v>386.69322620964675</v>
      </c>
      <c r="J43" s="507">
        <f t="shared" si="25"/>
        <v>432.95982391139194</v>
      </c>
      <c r="K43" s="507">
        <f t="shared" si="25"/>
        <v>554.5437777082966</v>
      </c>
      <c r="L43" s="556">
        <f t="shared" si="25"/>
        <v>638.65357380951957</v>
      </c>
    </row>
    <row r="44" spans="2:16" s="159" customFormat="1" ht="14.1" customHeight="1" x14ac:dyDescent="0.3">
      <c r="B44" s="402" t="s">
        <v>143</v>
      </c>
      <c r="C44" s="43"/>
      <c r="D44" s="554" t="e">
        <f>D43/C43-1</f>
        <v>#DIV/0!</v>
      </c>
      <c r="E44" s="554">
        <f>E43/D43-1</f>
        <v>0.12954402481014426</v>
      </c>
      <c r="F44" s="554">
        <f>F43/E43-1</f>
        <v>0.31449522557677301</v>
      </c>
      <c r="G44" s="554">
        <f>G43/F43-1</f>
        <v>0.20776948943288209</v>
      </c>
      <c r="H44" s="554">
        <f t="shared" ref="H44:L44" si="26">H43/G43-1</f>
        <v>0.45369596484319175</v>
      </c>
      <c r="I44" s="554">
        <f t="shared" si="26"/>
        <v>0.31982766550268615</v>
      </c>
      <c r="J44" s="554">
        <f t="shared" si="26"/>
        <v>0.11964677570188842</v>
      </c>
      <c r="K44" s="554">
        <f t="shared" si="26"/>
        <v>0.28082040661072427</v>
      </c>
      <c r="L44" s="555">
        <f t="shared" si="26"/>
        <v>0.15167386143762074</v>
      </c>
    </row>
    <row r="45" spans="2:16" s="159" customFormat="1" ht="14.1" customHeight="1" x14ac:dyDescent="0.3">
      <c r="B45" s="403" t="s">
        <v>58</v>
      </c>
      <c r="C45" s="557">
        <f>CHOOSE($T$5,AVERAGE(D45:G45),AVERAGE(E45:G45), AVERAGE(F45:G45))</f>
        <v>2.1229263243750353E-3</v>
      </c>
      <c r="D45" s="43">
        <f>D43/D$33</f>
        <v>2.7116206976954718E-3</v>
      </c>
      <c r="E45" s="43">
        <f t="shared" ref="E45:G45" si="27">E43/E$33</f>
        <v>2.0806563114093039E-3</v>
      </c>
      <c r="F45" s="43">
        <f t="shared" si="27"/>
        <v>2.0537782309918407E-3</v>
      </c>
      <c r="G45" s="43">
        <f t="shared" si="27"/>
        <v>2.2343444307239618E-3</v>
      </c>
      <c r="H45" s="43">
        <f>C45</f>
        <v>2.1229263243750353E-3</v>
      </c>
      <c r="I45" s="43">
        <f>H45</f>
        <v>2.1229263243750353E-3</v>
      </c>
      <c r="J45" s="43">
        <f t="shared" ref="J45:K45" si="28">I45</f>
        <v>2.1229263243750353E-3</v>
      </c>
      <c r="K45" s="43">
        <f t="shared" si="28"/>
        <v>2.1229263243750353E-3</v>
      </c>
      <c r="L45" s="404">
        <f>K45</f>
        <v>2.1229263243750353E-3</v>
      </c>
      <c r="M45" s="43"/>
    </row>
    <row r="46" spans="2:16" s="159" customFormat="1" ht="14.1" customHeight="1" x14ac:dyDescent="0.3">
      <c r="B46" s="403"/>
      <c r="C46" s="43"/>
      <c r="D46" s="43"/>
      <c r="E46" s="43"/>
      <c r="F46" s="43"/>
      <c r="G46" s="43"/>
      <c r="H46" s="43"/>
      <c r="I46" s="43"/>
      <c r="J46" s="43"/>
      <c r="K46" s="43"/>
      <c r="L46" s="404"/>
    </row>
    <row r="47" spans="2:16" s="159" customFormat="1" ht="14.1" customHeight="1" x14ac:dyDescent="0.3">
      <c r="B47" s="552" t="s">
        <v>468</v>
      </c>
      <c r="C47" s="43"/>
      <c r="D47" s="507">
        <f>IS!D37/10^6</f>
        <v>120.204596</v>
      </c>
      <c r="E47" s="507">
        <f>IS!E37/10^6</f>
        <v>157.913275</v>
      </c>
      <c r="F47" s="507">
        <f>IS!F37/10^6</f>
        <v>160.33937399999999</v>
      </c>
      <c r="G47" s="507">
        <f>IS!G37/10^6</f>
        <v>171.39398399999999</v>
      </c>
      <c r="H47" s="507">
        <f>H49*H$33</f>
        <v>297.25517170474524</v>
      </c>
      <c r="I47" s="507">
        <f t="shared" ref="I47:L47" si="29">I49*I$33</f>
        <v>392.32559932967399</v>
      </c>
      <c r="J47" s="507">
        <f t="shared" si="29"/>
        <v>439.26609231478045</v>
      </c>
      <c r="K47" s="507">
        <f t="shared" si="29"/>
        <v>562.62097496892102</v>
      </c>
      <c r="L47" s="556">
        <f t="shared" si="29"/>
        <v>647.9558707682562</v>
      </c>
    </row>
    <row r="48" spans="2:16" s="159" customFormat="1" ht="14.1" customHeight="1" x14ac:dyDescent="0.3">
      <c r="B48" s="402" t="s">
        <v>143</v>
      </c>
      <c r="C48" s="43"/>
      <c r="D48" s="554" t="e">
        <f>D47/C47-1</f>
        <v>#DIV/0!</v>
      </c>
      <c r="E48" s="554">
        <f>E47/D47-1</f>
        <v>0.31370413657061835</v>
      </c>
      <c r="F48" s="554">
        <f>F47/E47-1</f>
        <v>1.5363489864927304E-2</v>
      </c>
      <c r="G48" s="554">
        <f>G47/F47-1</f>
        <v>6.8945073965425374E-2</v>
      </c>
      <c r="H48" s="554">
        <f t="shared" ref="H48" si="30">H47/G47-1</f>
        <v>0.73433842173098252</v>
      </c>
      <c r="I48" s="554">
        <f t="shared" ref="I48" si="31">I47/H47-1</f>
        <v>0.31982766550268593</v>
      </c>
      <c r="J48" s="554">
        <f t="shared" ref="J48" si="32">J47/I47-1</f>
        <v>0.11964677570188842</v>
      </c>
      <c r="K48" s="554">
        <f t="shared" ref="K48:L48" si="33">K47/J47-1</f>
        <v>0.28082040661072427</v>
      </c>
      <c r="L48" s="555">
        <f t="shared" si="33"/>
        <v>0.15167386143762074</v>
      </c>
    </row>
    <row r="49" spans="2:13" s="159" customFormat="1" ht="14.1" customHeight="1" x14ac:dyDescent="0.3">
      <c r="B49" s="403" t="s">
        <v>58</v>
      </c>
      <c r="C49" s="557">
        <f>CHOOSE($T$5,AVERAGE(D49:G49),AVERAGE(E49:G49), AVERAGE(F49:G49))</f>
        <v>2.1538477689589277E-3</v>
      </c>
      <c r="D49" s="43">
        <f>D47/D$33</f>
        <v>2.9001502028630226E-3</v>
      </c>
      <c r="E49" s="43">
        <f t="shared" ref="E49:G49" si="34">E47/E$33</f>
        <v>2.5881312943115461E-3</v>
      </c>
      <c r="F49" s="43">
        <f t="shared" si="34"/>
        <v>1.9733405134635894E-3</v>
      </c>
      <c r="G49" s="43">
        <f t="shared" si="34"/>
        <v>1.9000714991016464E-3</v>
      </c>
      <c r="H49" s="43">
        <f>C49</f>
        <v>2.1538477689589277E-3</v>
      </c>
      <c r="I49" s="43">
        <f>H49</f>
        <v>2.1538477689589277E-3</v>
      </c>
      <c r="J49" s="43">
        <f t="shared" ref="J49:K49" si="35">I49</f>
        <v>2.1538477689589277E-3</v>
      </c>
      <c r="K49" s="43">
        <f t="shared" si="35"/>
        <v>2.1538477689589277E-3</v>
      </c>
      <c r="L49" s="404">
        <f>K49</f>
        <v>2.1538477689589277E-3</v>
      </c>
    </row>
    <row r="50" spans="2:13" s="159" customFormat="1" ht="14.1" customHeight="1" x14ac:dyDescent="0.3">
      <c r="B50" s="403"/>
      <c r="C50" s="43"/>
      <c r="D50" s="43"/>
      <c r="E50" s="43"/>
      <c r="F50" s="43"/>
      <c r="G50" s="43"/>
      <c r="H50" s="43"/>
      <c r="I50" s="43"/>
      <c r="J50" s="43"/>
      <c r="K50" s="43"/>
      <c r="L50" s="404"/>
    </row>
    <row r="51" spans="2:13" s="159" customFormat="1" ht="14.1" customHeight="1" x14ac:dyDescent="0.3">
      <c r="B51" s="552" t="s">
        <v>469</v>
      </c>
      <c r="C51" s="43"/>
      <c r="D51" s="507">
        <f>IS!D38/10^6</f>
        <v>68.590874999999997</v>
      </c>
      <c r="E51" s="507">
        <f>IS!E38/10^6</f>
        <v>70.543763999999996</v>
      </c>
      <c r="F51" s="507">
        <f>IS!F38/10^6</f>
        <v>30.088508999999998</v>
      </c>
      <c r="G51" s="507">
        <f>IS!G38/10^6</f>
        <v>71.411270999999999</v>
      </c>
      <c r="H51" s="507">
        <f>H53*H$33</f>
        <v>106.64376662987229</v>
      </c>
      <c r="I51" s="507">
        <f t="shared" ref="I51:L51" si="36">I53*I$33</f>
        <v>140.75139355151759</v>
      </c>
      <c r="J51" s="507">
        <f t="shared" si="36"/>
        <v>157.59184396550424</v>
      </c>
      <c r="K51" s="507">
        <f t="shared" si="36"/>
        <v>201.84684966643093</v>
      </c>
      <c r="L51" s="556">
        <f t="shared" si="36"/>
        <v>232.46174077435745</v>
      </c>
      <c r="M51" s="891" t="s">
        <v>2144</v>
      </c>
    </row>
    <row r="52" spans="2:13" s="159" customFormat="1" ht="14.1" customHeight="1" x14ac:dyDescent="0.3">
      <c r="B52" s="402" t="s">
        <v>143</v>
      </c>
      <c r="C52" s="43"/>
      <c r="D52" s="554" t="e">
        <f>D51/C51-1</f>
        <v>#DIV/0!</v>
      </c>
      <c r="E52" s="554">
        <f>E51/D51-1</f>
        <v>2.8471556894412053E-2</v>
      </c>
      <c r="F52" s="554">
        <f>F51/E51-1</f>
        <v>-0.5734774090024457</v>
      </c>
      <c r="G52" s="554">
        <f>G51/F51-1</f>
        <v>1.3733735360565724</v>
      </c>
      <c r="H52" s="554">
        <f t="shared" ref="H52" si="37">H51/G51-1</f>
        <v>0.49337443706711626</v>
      </c>
      <c r="I52" s="554">
        <f t="shared" ref="I52" si="38">I51/H51-1</f>
        <v>0.31982766550268593</v>
      </c>
      <c r="J52" s="554">
        <f t="shared" ref="J52" si="39">J51/I51-1</f>
        <v>0.11964677570188842</v>
      </c>
      <c r="K52" s="554">
        <f t="shared" ref="K52:L52" si="40">K51/J51-1</f>
        <v>0.28082040661072405</v>
      </c>
      <c r="L52" s="555">
        <f t="shared" si="40"/>
        <v>0.15167386143762074</v>
      </c>
    </row>
    <row r="53" spans="2:13" s="159" customFormat="1" ht="14.1" customHeight="1" x14ac:dyDescent="0.3">
      <c r="B53" s="403" t="s">
        <v>58</v>
      </c>
      <c r="C53" s="557">
        <f>CHOOSE($T$5,AVERAGE(D53:G53),AVERAGE(E53:G53), AVERAGE(F53:G53))</f>
        <v>7.7271805739102719E-4</v>
      </c>
      <c r="D53" s="43">
        <f>D51/D$33</f>
        <v>1.6548771566588206E-3</v>
      </c>
      <c r="E53" s="43">
        <f t="shared" ref="E53:G53" si="41">E51/E$33</f>
        <v>1.1561822350079703E-3</v>
      </c>
      <c r="F53" s="43">
        <f t="shared" si="41"/>
        <v>3.7030750662288243E-4</v>
      </c>
      <c r="G53" s="43">
        <f t="shared" si="41"/>
        <v>7.9166443054222912E-4</v>
      </c>
      <c r="H53" s="43">
        <f>C53</f>
        <v>7.7271805739102719E-4</v>
      </c>
      <c r="I53" s="43">
        <f>H53</f>
        <v>7.7271805739102719E-4</v>
      </c>
      <c r="J53" s="43">
        <f t="shared" ref="J53:K53" si="42">I53</f>
        <v>7.7271805739102719E-4</v>
      </c>
      <c r="K53" s="43">
        <f t="shared" si="42"/>
        <v>7.7271805739102719E-4</v>
      </c>
      <c r="L53" s="404">
        <f>K53</f>
        <v>7.7271805739102719E-4</v>
      </c>
    </row>
    <row r="54" spans="2:13" s="159" customFormat="1" ht="14.1" customHeight="1" x14ac:dyDescent="0.3">
      <c r="B54" s="403"/>
      <c r="C54" s="43"/>
      <c r="D54" s="43"/>
      <c r="E54" s="43"/>
      <c r="F54" s="43"/>
      <c r="G54" s="43"/>
      <c r="H54" s="43"/>
      <c r="I54" s="43"/>
      <c r="J54" s="43"/>
      <c r="K54" s="43"/>
      <c r="L54" s="404"/>
    </row>
    <row r="55" spans="2:13" s="159" customFormat="1" ht="14.1" customHeight="1" x14ac:dyDescent="0.3">
      <c r="B55" s="552" t="s">
        <v>470</v>
      </c>
      <c r="C55" s="43"/>
      <c r="D55" s="507">
        <f>IS!D41/10^6</f>
        <v>476.54705200000001</v>
      </c>
      <c r="E55" s="507">
        <f>IS!E41/10^6</f>
        <v>956.96694500000001</v>
      </c>
      <c r="F55" s="507">
        <f>IS!F41/10^6</f>
        <v>235.465363</v>
      </c>
      <c r="G55" s="507">
        <f>IS!G41/10^6</f>
        <v>2139.4973770000001</v>
      </c>
      <c r="H55" s="507">
        <f>H59</f>
        <v>12.613820785530415</v>
      </c>
      <c r="I55" s="507">
        <f t="shared" ref="I55:L55" si="43">I59</f>
        <v>16.629777579020839</v>
      </c>
      <c r="J55" s="507">
        <f t="shared" si="43"/>
        <v>18.097329315125211</v>
      </c>
      <c r="K55" s="507">
        <f t="shared" si="43"/>
        <v>23.453158153341782</v>
      </c>
      <c r="L55" s="507">
        <f t="shared" si="43"/>
        <v>26.736160231322302</v>
      </c>
      <c r="M55" s="891" t="s">
        <v>7551</v>
      </c>
    </row>
    <row r="56" spans="2:13" s="159" customFormat="1" ht="14.1" customHeight="1" x14ac:dyDescent="0.3">
      <c r="B56" s="402" t="s">
        <v>143</v>
      </c>
      <c r="C56" s="43"/>
      <c r="D56" s="554" t="e">
        <f>D55/C55-1</f>
        <v>#DIV/0!</v>
      </c>
      <c r="E56" s="554">
        <f>E55/D55-1</f>
        <v>1.0081268806170267</v>
      </c>
      <c r="F56" s="554">
        <f>F55/E55-1</f>
        <v>-0.75394618985507389</v>
      </c>
      <c r="G56" s="554">
        <f>G55/F55-1</f>
        <v>8.0862509446877766</v>
      </c>
      <c r="H56" s="554">
        <f t="shared" ref="H56" si="44">H55/G55-1</f>
        <v>-0.99410430649687564</v>
      </c>
      <c r="I56" s="554">
        <f t="shared" ref="I56" si="45">I55/H55-1</f>
        <v>0.31837750525972397</v>
      </c>
      <c r="J56" s="554">
        <f t="shared" ref="J56" si="46">J55/I55-1</f>
        <v>8.8248428406868751E-2</v>
      </c>
      <c r="K56" s="554">
        <f t="shared" ref="K56:L56" si="47">K55/J55-1</f>
        <v>0.29594581305100798</v>
      </c>
      <c r="L56" s="555">
        <f t="shared" si="47"/>
        <v>0.13998123649342009</v>
      </c>
    </row>
    <row r="57" spans="2:13" s="159" customFormat="1" ht="14.1" customHeight="1" x14ac:dyDescent="0.3">
      <c r="B57" s="403" t="s">
        <v>58</v>
      </c>
      <c r="C57" s="557">
        <f>CHOOSE($T$5,AVERAGE(D57:G57),AVERAGE(E57:G57), AVERAGE(F57:G57))</f>
        <v>1.4100219151216729E-2</v>
      </c>
      <c r="D57" s="43">
        <f>D55/D$33</f>
        <v>1.1497547311182474E-2</v>
      </c>
      <c r="E57" s="43">
        <f t="shared" ref="E57:G57" si="48">E55/E$33</f>
        <v>1.5684280488617669E-2</v>
      </c>
      <c r="F57" s="43">
        <f t="shared" si="48"/>
        <v>2.8979365999352749E-3</v>
      </c>
      <c r="G57" s="43">
        <f t="shared" si="48"/>
        <v>2.3718440365097241E-2</v>
      </c>
      <c r="H57" s="43">
        <f>C57</f>
        <v>1.4100219151216729E-2</v>
      </c>
      <c r="I57" s="43">
        <f>H57</f>
        <v>1.4100219151216729E-2</v>
      </c>
      <c r="J57" s="43">
        <f t="shared" ref="J57:K57" si="49">I57</f>
        <v>1.4100219151216729E-2</v>
      </c>
      <c r="K57" s="43">
        <f t="shared" si="49"/>
        <v>1.4100219151216729E-2</v>
      </c>
      <c r="L57" s="404">
        <f>K57</f>
        <v>1.4100219151216729E-2</v>
      </c>
    </row>
    <row r="58" spans="2:13" s="159" customFormat="1" ht="14.1" customHeight="1" x14ac:dyDescent="0.3">
      <c r="B58" s="403" t="s">
        <v>7552</v>
      </c>
      <c r="C58" s="557"/>
      <c r="D58" s="43"/>
      <c r="E58" s="43"/>
      <c r="F58" s="43"/>
      <c r="G58" s="1307">
        <v>2130</v>
      </c>
      <c r="H58" s="1307">
        <f>'모델별 Mapping'!Q16012^6</f>
        <v>0</v>
      </c>
      <c r="I58" s="1708">
        <f>'사업계획(매출 확정본)'!T167/10^6</f>
        <v>4200</v>
      </c>
      <c r="J58" s="1708">
        <f>'사업계획(매출 확정본)'!U167/10^6</f>
        <v>5292</v>
      </c>
      <c r="K58" s="1708">
        <f>'사업계획(매출 확정본)'!V167/10^6</f>
        <v>6482</v>
      </c>
      <c r="L58" s="1709">
        <f>'사업계획(매출 확정본)'!W167/10^6</f>
        <v>8019</v>
      </c>
    </row>
    <row r="59" spans="2:13" s="159" customFormat="1" ht="14.1" customHeight="1" x14ac:dyDescent="0.3">
      <c r="B59" s="403" t="s">
        <v>7547</v>
      </c>
      <c r="C59" s="557"/>
      <c r="D59" s="43"/>
      <c r="E59" s="43"/>
      <c r="F59" s="43"/>
      <c r="G59" s="1307">
        <f>G55-G58</f>
        <v>9.4973770000001423</v>
      </c>
      <c r="H59" s="1710">
        <f>$G$59/$G$34*H34</f>
        <v>12.613820785530415</v>
      </c>
      <c r="I59" s="1711">
        <f t="shared" ref="I59:L59" si="50">$G$59/$G$34*I34</f>
        <v>16.629777579020839</v>
      </c>
      <c r="J59" s="1711">
        <f t="shared" si="50"/>
        <v>18.097329315125211</v>
      </c>
      <c r="K59" s="1711">
        <f t="shared" si="50"/>
        <v>23.453158153341782</v>
      </c>
      <c r="L59" s="1712">
        <f t="shared" si="50"/>
        <v>26.736160231322302</v>
      </c>
    </row>
    <row r="60" spans="2:13" s="159" customFormat="1" ht="14.1" customHeight="1" x14ac:dyDescent="0.3">
      <c r="B60" s="403"/>
      <c r="C60" s="43"/>
      <c r="D60" s="43"/>
      <c r="E60" s="43"/>
      <c r="F60" s="43"/>
      <c r="G60" s="43"/>
      <c r="H60" s="43"/>
      <c r="I60" s="43"/>
      <c r="J60" s="43"/>
      <c r="K60" s="43"/>
      <c r="L60" s="404"/>
    </row>
    <row r="61" spans="2:13" s="159" customFormat="1" ht="14.1" customHeight="1" x14ac:dyDescent="0.3">
      <c r="B61" s="552" t="s">
        <v>471</v>
      </c>
      <c r="C61" s="43"/>
      <c r="D61" s="507">
        <f>IS!D43/10^6</f>
        <v>0.45219999999999999</v>
      </c>
      <c r="E61" s="507">
        <f>IS!E43/10^6</f>
        <v>1.334238</v>
      </c>
      <c r="F61" s="507">
        <f>IS!F43/10^6</f>
        <v>6.4035960000000003</v>
      </c>
      <c r="G61" s="507">
        <f>IS!G43/10^6</f>
        <v>3.4372220000000002</v>
      </c>
      <c r="H61" s="507">
        <f>H63*H$35</f>
        <v>29.695545037638045</v>
      </c>
      <c r="I61" s="507">
        <f t="shared" ref="I61:L61" si="51">I63*I$35</f>
        <v>39.383313532911487</v>
      </c>
      <c r="J61" s="507">
        <f t="shared" si="51"/>
        <v>49.527852710255623</v>
      </c>
      <c r="K61" s="507">
        <f t="shared" si="51"/>
        <v>60.588387521501886</v>
      </c>
      <c r="L61" s="556">
        <f t="shared" si="51"/>
        <v>72.631156182097158</v>
      </c>
      <c r="M61" s="891" t="s">
        <v>3283</v>
      </c>
    </row>
    <row r="62" spans="2:13" s="159" customFormat="1" ht="14.1" customHeight="1" x14ac:dyDescent="0.3">
      <c r="B62" s="402" t="s">
        <v>143</v>
      </c>
      <c r="C62" s="43"/>
      <c r="D62" s="554" t="e">
        <f>D61/C61-1</f>
        <v>#DIV/0!</v>
      </c>
      <c r="E62" s="554">
        <f>E61/D61-1</f>
        <v>1.9505484298982751</v>
      </c>
      <c r="F62" s="554">
        <f>F61/E61-1</f>
        <v>3.7994405795667641</v>
      </c>
      <c r="G62" s="554">
        <f>G61/F61-1</f>
        <v>-0.4632356569652426</v>
      </c>
      <c r="H62" s="554">
        <f t="shared" ref="H62" si="52">H61/G61-1</f>
        <v>7.639402703007848</v>
      </c>
      <c r="I62" s="554">
        <f t="shared" ref="I62" si="53">I61/H61-1</f>
        <v>0.32623642647388817</v>
      </c>
      <c r="J62" s="554">
        <f t="shared" ref="J62" si="54">J61/I61-1</f>
        <v>0.25758470446796311</v>
      </c>
      <c r="K62" s="554">
        <f t="shared" ref="K62:L62" si="55">K61/J61-1</f>
        <v>0.22331949006454677</v>
      </c>
      <c r="L62" s="555">
        <f t="shared" si="55"/>
        <v>0.1987636435500364</v>
      </c>
    </row>
    <row r="63" spans="2:13" s="159" customFormat="1" ht="14.1" customHeight="1" x14ac:dyDescent="0.3">
      <c r="B63" s="403" t="s">
        <v>58</v>
      </c>
      <c r="C63" s="557">
        <f>AVERAGE(E63:G63)</f>
        <v>1.1660678640648414E-3</v>
      </c>
      <c r="D63" s="1531">
        <f>D61/D$33</f>
        <v>1.0910131270976186E-5</v>
      </c>
      <c r="E63" s="1531">
        <f>E61/E$35</f>
        <v>6.7967510688548172E-4</v>
      </c>
      <c r="F63" s="1531">
        <f t="shared" ref="F63:G63" si="56">F61/F$35</f>
        <v>2.1895897008707269E-3</v>
      </c>
      <c r="G63" s="1531">
        <f t="shared" si="56"/>
        <v>6.289387844383153E-4</v>
      </c>
      <c r="H63" s="43">
        <f>C63</f>
        <v>1.1660678640648414E-3</v>
      </c>
      <c r="I63" s="43">
        <f>H63</f>
        <v>1.1660678640648414E-3</v>
      </c>
      <c r="J63" s="43">
        <f t="shared" ref="J63:L63" si="57">I63</f>
        <v>1.1660678640648414E-3</v>
      </c>
      <c r="K63" s="43">
        <f t="shared" si="57"/>
        <v>1.1660678640648414E-3</v>
      </c>
      <c r="L63" s="43">
        <f t="shared" si="57"/>
        <v>1.1660678640648414E-3</v>
      </c>
    </row>
    <row r="64" spans="2:13" s="159" customFormat="1" ht="14.1" customHeight="1" x14ac:dyDescent="0.3">
      <c r="B64" s="403"/>
      <c r="C64" s="557"/>
      <c r="D64" s="1531"/>
      <c r="E64" s="1531"/>
      <c r="F64" s="1531"/>
      <c r="G64" s="1531"/>
      <c r="H64" s="43"/>
      <c r="I64" s="43"/>
      <c r="J64" s="43"/>
      <c r="K64" s="43"/>
      <c r="L64" s="43"/>
    </row>
    <row r="65" spans="2:14" s="159" customFormat="1" ht="14.1" customHeight="1" x14ac:dyDescent="0.3">
      <c r="B65" s="552" t="s">
        <v>498</v>
      </c>
      <c r="C65" s="43"/>
      <c r="D65" s="560">
        <f>IS!D40/10^6</f>
        <v>115.642189</v>
      </c>
      <c r="E65" s="560">
        <f>IS!E40/10^6</f>
        <v>55.719403</v>
      </c>
      <c r="F65" s="560">
        <f>IS!F40/10^6</f>
        <v>63.433520000000001</v>
      </c>
      <c r="G65" s="560">
        <f>IS!G40/10^6</f>
        <v>169.04384899999999</v>
      </c>
      <c r="H65" s="507">
        <f>H67*H35</f>
        <v>687.63855816455384</v>
      </c>
      <c r="I65" s="507">
        <f>I67*I35</f>
        <v>911.97130408581484</v>
      </c>
      <c r="J65" s="507">
        <f>J67*J35</f>
        <v>1146.8811629320223</v>
      </c>
      <c r="K65" s="507">
        <f>K67*K35</f>
        <v>1403.0020794026359</v>
      </c>
      <c r="L65" s="556">
        <f>L67*L35</f>
        <v>1681.867884612981</v>
      </c>
      <c r="N65" s="1855">
        <f>G55-G59</f>
        <v>2130</v>
      </c>
    </row>
    <row r="66" spans="2:14" s="159" customFormat="1" ht="14.1" customHeight="1" x14ac:dyDescent="0.3">
      <c r="B66" s="402" t="s">
        <v>143</v>
      </c>
      <c r="C66" s="43"/>
      <c r="D66" s="554" t="e">
        <f>D65/C65-1</f>
        <v>#DIV/0!</v>
      </c>
      <c r="E66" s="554">
        <f>E65/D65-1</f>
        <v>-0.51817408956172561</v>
      </c>
      <c r="F66" s="554">
        <f>F65/E65-1</f>
        <v>0.13844579418770886</v>
      </c>
      <c r="G66" s="554">
        <f>G65/F65-1</f>
        <v>1.664897817431541</v>
      </c>
      <c r="H66" s="554">
        <f t="shared" ref="H66" si="58">H65/G65-1</f>
        <v>3.0678117673749483</v>
      </c>
      <c r="I66" s="554">
        <f t="shared" ref="I66" si="59">I65/H65-1</f>
        <v>0.32623642647388817</v>
      </c>
      <c r="J66" s="554">
        <f t="shared" ref="J66" si="60">J65/I65-1</f>
        <v>0.25758470446796311</v>
      </c>
      <c r="K66" s="554">
        <f t="shared" ref="K66" si="61">K65/J65-1</f>
        <v>0.22331949006454677</v>
      </c>
      <c r="L66" s="555">
        <f t="shared" ref="L66" si="62">L65/K65-1</f>
        <v>0.19876364355003617</v>
      </c>
    </row>
    <row r="67" spans="2:14" s="159" customFormat="1" ht="14.1" customHeight="1" x14ac:dyDescent="0.3">
      <c r="B67" s="403" t="s">
        <v>58</v>
      </c>
      <c r="C67" s="557">
        <f>AVERAGE(E67:G67)</f>
        <v>2.700180191174378E-2</v>
      </c>
      <c r="D67" s="43">
        <f>D65/D$33</f>
        <v>2.7900739992327253E-3</v>
      </c>
      <c r="E67" s="43">
        <f>E65/E$35</f>
        <v>2.8384059807635691E-2</v>
      </c>
      <c r="F67" s="43">
        <f>F65/F$35</f>
        <v>2.168990393553517E-2</v>
      </c>
      <c r="G67" s="43">
        <f>G65/G$35</f>
        <v>3.0931441992060483E-2</v>
      </c>
      <c r="H67" s="43">
        <f>C67</f>
        <v>2.700180191174378E-2</v>
      </c>
      <c r="I67" s="43">
        <f>H67</f>
        <v>2.700180191174378E-2</v>
      </c>
      <c r="J67" s="43">
        <f t="shared" ref="J67" si="63">I67</f>
        <v>2.700180191174378E-2</v>
      </c>
      <c r="K67" s="43">
        <f t="shared" ref="K67" si="64">J67</f>
        <v>2.700180191174378E-2</v>
      </c>
      <c r="L67" s="404">
        <f>K67</f>
        <v>2.700180191174378E-2</v>
      </c>
    </row>
    <row r="68" spans="2:14" s="159" customFormat="1" ht="14.1" customHeight="1" thickBot="1" x14ac:dyDescent="0.35">
      <c r="B68" s="415"/>
      <c r="C68" s="406"/>
      <c r="D68" s="406"/>
      <c r="E68" s="406"/>
      <c r="F68" s="406"/>
      <c r="G68" s="406"/>
      <c r="H68" s="406"/>
      <c r="I68" s="406"/>
      <c r="J68" s="406"/>
      <c r="K68" s="406"/>
      <c r="L68" s="407"/>
    </row>
    <row r="69" spans="2:14" s="159" customFormat="1" ht="14.1" customHeight="1" x14ac:dyDescent="0.3">
      <c r="J69" s="108"/>
      <c r="K69" s="108"/>
      <c r="L69" s="108"/>
    </row>
    <row r="70" spans="2:14" s="159" customFormat="1" ht="14.1" customHeight="1" x14ac:dyDescent="0.3">
      <c r="B70" s="392" t="s">
        <v>144</v>
      </c>
      <c r="C70" s="393"/>
      <c r="D70" s="393"/>
      <c r="E70" s="393"/>
      <c r="F70" s="393"/>
      <c r="G70" s="393"/>
      <c r="H70" s="393"/>
      <c r="I70" s="393"/>
      <c r="J70" s="393"/>
      <c r="K70" s="393"/>
      <c r="L70" s="394"/>
    </row>
    <row r="71" spans="2:14" s="65" customFormat="1" ht="14.1" customHeight="1" x14ac:dyDescent="0.3">
      <c r="B71" s="395" t="str">
        <f>unit</f>
        <v>KRW Million</v>
      </c>
      <c r="C71" s="396"/>
      <c r="D71" s="396">
        <f>'Pro forma'!D$5</f>
        <v>2014</v>
      </c>
      <c r="E71" s="396">
        <f>'Pro forma'!E$5</f>
        <v>2015</v>
      </c>
      <c r="F71" s="396">
        <f>'Pro forma'!F$5</f>
        <v>2016</v>
      </c>
      <c r="G71" s="397">
        <f>'Pro forma'!G$5</f>
        <v>2017</v>
      </c>
      <c r="H71" s="398">
        <f>'Pro forma'!H$5</f>
        <v>2018</v>
      </c>
      <c r="I71" s="398">
        <f>'Pro forma'!I$5</f>
        <v>2019</v>
      </c>
      <c r="J71" s="398">
        <f>'Pro forma'!J$5</f>
        <v>2020</v>
      </c>
      <c r="K71" s="398">
        <f>'Pro forma'!K$5</f>
        <v>2021</v>
      </c>
      <c r="L71" s="399">
        <v>2022</v>
      </c>
    </row>
    <row r="72" spans="2:14" s="65" customFormat="1" ht="14.1" customHeight="1" x14ac:dyDescent="0.3">
      <c r="B72" s="400" t="s">
        <v>69</v>
      </c>
      <c r="C72" s="56"/>
      <c r="D72" s="92">
        <f t="shared" ref="D72:L72" si="65">D76+D87+D91+D95+D99</f>
        <v>3661.7588479999999</v>
      </c>
      <c r="E72" s="92">
        <f t="shared" si="65"/>
        <v>4234.9547910000001</v>
      </c>
      <c r="F72" s="92">
        <f t="shared" si="65"/>
        <v>4672.4253799999997</v>
      </c>
      <c r="G72" s="92">
        <f t="shared" si="65"/>
        <v>5587.3653519999989</v>
      </c>
      <c r="H72" s="92">
        <f t="shared" si="65"/>
        <v>6394.7056872936491</v>
      </c>
      <c r="I72" s="92">
        <f t="shared" si="65"/>
        <v>7653.1618348011925</v>
      </c>
      <c r="J72" s="92">
        <f t="shared" si="65"/>
        <v>8856.8218502155287</v>
      </c>
      <c r="K72" s="92">
        <f t="shared" si="65"/>
        <v>10363.038436776174</v>
      </c>
      <c r="L72" s="401">
        <f t="shared" si="65"/>
        <v>11845.323813272882</v>
      </c>
    </row>
    <row r="73" spans="2:14" s="80" customFormat="1" ht="14.1" customHeight="1" x14ac:dyDescent="0.3">
      <c r="B73" s="402" t="s">
        <v>143</v>
      </c>
      <c r="C73" s="58"/>
      <c r="D73" s="554" t="e">
        <f>D72/C72-1</f>
        <v>#DIV/0!</v>
      </c>
      <c r="E73" s="554">
        <f>E72/D72-1</f>
        <v>0.15653568866586376</v>
      </c>
      <c r="F73" s="554">
        <f>F72/E72-1</f>
        <v>0.10329994311384372</v>
      </c>
      <c r="G73" s="554">
        <f>G72/F72-1</f>
        <v>0.19581692538447748</v>
      </c>
      <c r="H73" s="554">
        <f t="shared" ref="H73" si="66">H72/G72-1</f>
        <v>0.14449392234654246</v>
      </c>
      <c r="I73" s="554">
        <f t="shared" ref="I73" si="67">I72/H72-1</f>
        <v>0.19679657032662345</v>
      </c>
      <c r="J73" s="554">
        <f t="shared" ref="J73" si="68">J72/I72-1</f>
        <v>0.15727617439643549</v>
      </c>
      <c r="K73" s="554">
        <f t="shared" ref="K73:L73" si="69">K72/J72-1</f>
        <v>0.17006287492662975</v>
      </c>
      <c r="L73" s="554">
        <f t="shared" si="69"/>
        <v>0.14303578873512612</v>
      </c>
    </row>
    <row r="74" spans="2:14" s="159" customFormat="1" ht="14.1" customHeight="1" x14ac:dyDescent="0.3">
      <c r="B74" s="403" t="s">
        <v>58</v>
      </c>
      <c r="C74" s="43"/>
      <c r="D74" s="43">
        <f>D72/D$33</f>
        <v>8.8346461110876906E-2</v>
      </c>
      <c r="E74" s="43">
        <f t="shared" ref="E74:K74" si="70">E72/E$33</f>
        <v>6.9409104615059836E-2</v>
      </c>
      <c r="F74" s="43">
        <f t="shared" si="70"/>
        <v>5.7504816617841514E-2</v>
      </c>
      <c r="G74" s="43">
        <f t="shared" si="70"/>
        <v>6.1941460328054671E-2</v>
      </c>
      <c r="H74" s="43">
        <f t="shared" si="70"/>
        <v>4.6334677707161737E-2</v>
      </c>
      <c r="I74" s="43">
        <f t="shared" si="70"/>
        <v>4.2015472789775195E-2</v>
      </c>
      <c r="J74" s="43">
        <f t="shared" si="70"/>
        <v>4.3427540426870144E-2</v>
      </c>
      <c r="K74" s="43">
        <f t="shared" si="70"/>
        <v>3.9672191776922203E-2</v>
      </c>
      <c r="L74" s="43">
        <f t="shared" ref="L74" si="71">L72/L$33</f>
        <v>3.9374632469282279E-2</v>
      </c>
    </row>
    <row r="75" spans="2:14" s="159" customFormat="1" ht="14.1" customHeight="1" x14ac:dyDescent="0.3">
      <c r="B75" s="403"/>
      <c r="C75" s="43"/>
      <c r="D75" s="43"/>
      <c r="E75" s="43"/>
      <c r="F75" s="43"/>
      <c r="G75" s="43"/>
      <c r="H75" s="43"/>
      <c r="I75" s="43"/>
      <c r="J75" s="43"/>
      <c r="K75" s="43"/>
      <c r="L75" s="404"/>
    </row>
    <row r="76" spans="2:14" s="159" customFormat="1" ht="14.1" customHeight="1" x14ac:dyDescent="0.3">
      <c r="B76" s="552" t="s">
        <v>475</v>
      </c>
      <c r="C76" s="43"/>
      <c r="D76" s="507">
        <f>D79+D82</f>
        <v>2667.3690430000001</v>
      </c>
      <c r="E76" s="507">
        <f t="shared" ref="E76:L76" si="72">E79+E82</f>
        <v>2834.687124</v>
      </c>
      <c r="F76" s="507">
        <f t="shared" si="72"/>
        <v>3219.9568429999999</v>
      </c>
      <c r="G76" s="507">
        <f t="shared" si="72"/>
        <v>3544.6453649999999</v>
      </c>
      <c r="H76" s="507">
        <f t="shared" si="72"/>
        <v>4271.0266402216785</v>
      </c>
      <c r="I76" s="507">
        <f t="shared" si="72"/>
        <v>5035.3739055016731</v>
      </c>
      <c r="J76" s="507">
        <f t="shared" si="72"/>
        <v>5858.0684905546386</v>
      </c>
      <c r="K76" s="507">
        <f t="shared" si="72"/>
        <v>6752.9697099949153</v>
      </c>
      <c r="L76" s="507">
        <f t="shared" si="72"/>
        <v>7708.7631023774002</v>
      </c>
    </row>
    <row r="77" spans="2:14" s="159" customFormat="1" ht="13.5" customHeight="1" x14ac:dyDescent="0.3">
      <c r="B77" s="402" t="s">
        <v>143</v>
      </c>
      <c r="C77" s="43"/>
      <c r="D77" s="554" t="e">
        <f>D76/C76-1</f>
        <v>#DIV/0!</v>
      </c>
      <c r="E77" s="554">
        <f>E76/D76-1</f>
        <v>6.2727758440135784E-2</v>
      </c>
      <c r="F77" s="554">
        <f>F76/E76-1</f>
        <v>0.1359126076871402</v>
      </c>
      <c r="G77" s="554">
        <f>G76/F76-1</f>
        <v>0.1008362962087066</v>
      </c>
      <c r="H77" s="554">
        <f t="shared" ref="H77" si="73">H76/G76-1</f>
        <v>0.20492353971260502</v>
      </c>
      <c r="I77" s="554">
        <f t="shared" ref="I77" si="74">I76/H76-1</f>
        <v>0.17896101562136901</v>
      </c>
      <c r="J77" s="554">
        <f t="shared" ref="J77" si="75">J76/I76-1</f>
        <v>0.16338301792327381</v>
      </c>
      <c r="K77" s="554">
        <f t="shared" ref="K77:L77" si="76">K76/J76-1</f>
        <v>0.15276387104097311</v>
      </c>
      <c r="L77" s="555">
        <f t="shared" si="76"/>
        <v>0.14153675100420449</v>
      </c>
    </row>
    <row r="78" spans="2:14" s="159" customFormat="1" ht="14.1" customHeight="1" x14ac:dyDescent="0.3">
      <c r="B78" s="403" t="s">
        <v>58</v>
      </c>
      <c r="C78" s="43"/>
      <c r="D78" s="43">
        <f>D76/D$33</f>
        <v>6.4355034071800363E-2</v>
      </c>
      <c r="E78" s="43">
        <f t="shared" ref="E78:F78" si="77">E76/E$33</f>
        <v>4.6459314172329048E-2</v>
      </c>
      <c r="F78" s="43">
        <f t="shared" si="77"/>
        <v>3.9628889220287324E-2</v>
      </c>
      <c r="G78" s="43">
        <f>G76/G$33</f>
        <v>3.9295892862022813E-2</v>
      </c>
      <c r="H78" s="1530">
        <f t="shared" ref="H78:L78" si="78">H76/H$33</f>
        <v>3.0946950888857339E-2</v>
      </c>
      <c r="I78" s="43">
        <f t="shared" si="78"/>
        <v>2.7643948982093547E-2</v>
      </c>
      <c r="J78" s="43">
        <f t="shared" si="78"/>
        <v>2.8723791727926076E-2</v>
      </c>
      <c r="K78" s="43">
        <f t="shared" si="78"/>
        <v>2.5851984534567378E-2</v>
      </c>
      <c r="L78" s="43">
        <f t="shared" si="78"/>
        <v>2.5624433635893035E-2</v>
      </c>
    </row>
    <row r="79" spans="2:14" s="159" customFormat="1" ht="14.1" customHeight="1" x14ac:dyDescent="0.3">
      <c r="B79" s="558" t="s">
        <v>474</v>
      </c>
      <c r="C79" s="43"/>
      <c r="D79" s="507">
        <f>IS!D15/10^6</f>
        <v>463.26260000000002</v>
      </c>
      <c r="E79" s="507">
        <f>IS!E15/10^6</f>
        <v>520.15279999999996</v>
      </c>
      <c r="F79" s="507">
        <f>IS!F15/10^6</f>
        <v>578.5711</v>
      </c>
      <c r="G79" s="507">
        <f>IS!G15/10^6</f>
        <v>636.33662000000004</v>
      </c>
      <c r="H79" s="507">
        <f>H80*H81</f>
        <v>732.49415368888901</v>
      </c>
      <c r="I79" s="507">
        <f t="shared" ref="I79:L79" si="79">I80*I81</f>
        <v>833.13885040574246</v>
      </c>
      <c r="J79" s="507">
        <f t="shared" si="79"/>
        <v>941.59838074947174</v>
      </c>
      <c r="K79" s="507">
        <f t="shared" si="79"/>
        <v>1059.8474440652597</v>
      </c>
      <c r="L79" s="556">
        <f t="shared" si="79"/>
        <v>1185.8877631825587</v>
      </c>
    </row>
    <row r="80" spans="2:14" s="159" customFormat="1" ht="14.1" customHeight="1" x14ac:dyDescent="0.3">
      <c r="B80" s="559" t="s">
        <v>476</v>
      </c>
      <c r="C80" s="43"/>
      <c r="D80" s="507">
        <f>'인건비 분석'!E75</f>
        <v>9</v>
      </c>
      <c r="E80" s="507">
        <f>'인건비 분석'!F75</f>
        <v>8</v>
      </c>
      <c r="F80" s="507">
        <f>'인건비 분석'!G75</f>
        <v>9</v>
      </c>
      <c r="G80" s="507">
        <f>'인건비 분석'!H75</f>
        <v>9</v>
      </c>
      <c r="H80" s="507">
        <v>10</v>
      </c>
      <c r="I80" s="507">
        <v>11</v>
      </c>
      <c r="J80" s="507">
        <v>12</v>
      </c>
      <c r="K80" s="507">
        <v>13</v>
      </c>
      <c r="L80" s="556">
        <v>14</v>
      </c>
      <c r="M80" s="550" t="s">
        <v>7513</v>
      </c>
    </row>
    <row r="81" spans="2:13" s="159" customFormat="1" ht="14.1" customHeight="1" x14ac:dyDescent="0.3">
      <c r="B81" s="559" t="s">
        <v>477</v>
      </c>
      <c r="C81" s="43"/>
      <c r="D81" s="507">
        <f>D79/D80</f>
        <v>51.473622222222225</v>
      </c>
      <c r="E81" s="507">
        <f t="shared" ref="E81:G81" si="80">E79/E80</f>
        <v>65.019099999999995</v>
      </c>
      <c r="F81" s="507">
        <f t="shared" si="80"/>
        <v>64.285677777777778</v>
      </c>
      <c r="G81" s="507">
        <f t="shared" si="80"/>
        <v>70.704068888888898</v>
      </c>
      <c r="H81" s="507">
        <f>G81*(1+H$31)</f>
        <v>73.249415368888904</v>
      </c>
      <c r="I81" s="507">
        <f t="shared" ref="I81:L81" si="81">H81*(1+I$31)</f>
        <v>75.739895491431128</v>
      </c>
      <c r="J81" s="507">
        <f t="shared" si="81"/>
        <v>78.46653172912265</v>
      </c>
      <c r="K81" s="507">
        <f t="shared" si="81"/>
        <v>81.526726466558429</v>
      </c>
      <c r="L81" s="556">
        <f t="shared" si="81"/>
        <v>84.706268798754195</v>
      </c>
    </row>
    <row r="82" spans="2:13" s="159" customFormat="1" ht="14.1" customHeight="1" x14ac:dyDescent="0.3">
      <c r="B82" s="558" t="s">
        <v>478</v>
      </c>
      <c r="C82" s="43"/>
      <c r="D82" s="507">
        <f>IS!D16/10^6</f>
        <v>2204.1064430000001</v>
      </c>
      <c r="E82" s="507">
        <f>IS!E16/10^6</f>
        <v>2314.5343240000002</v>
      </c>
      <c r="F82" s="507">
        <f>IS!F16/10^6</f>
        <v>2641.3857429999998</v>
      </c>
      <c r="G82" s="507">
        <f>IS!G16/10^6</f>
        <v>2908.3087449999998</v>
      </c>
      <c r="H82" s="507">
        <f>H83*H84</f>
        <v>3538.5324865327898</v>
      </c>
      <c r="I82" s="507">
        <f t="shared" ref="I82:L82" si="82">I83*I84</f>
        <v>4202.2350550959309</v>
      </c>
      <c r="J82" s="507">
        <f t="shared" si="82"/>
        <v>4916.4701098051664</v>
      </c>
      <c r="K82" s="507">
        <f t="shared" si="82"/>
        <v>5693.1222659296554</v>
      </c>
      <c r="L82" s="556">
        <f t="shared" si="82"/>
        <v>6522.8753391948412</v>
      </c>
    </row>
    <row r="83" spans="2:13" s="159" customFormat="1" ht="14.1" customHeight="1" x14ac:dyDescent="0.3">
      <c r="B83" s="559" t="s">
        <v>479</v>
      </c>
      <c r="C83" s="43"/>
      <c r="D83" s="507">
        <f>'인건비 분석'!E76</f>
        <v>74</v>
      </c>
      <c r="E83" s="507">
        <f>'인건비 분석'!F76</f>
        <v>79</v>
      </c>
      <c r="F83" s="507">
        <f>'인건비 분석'!G76</f>
        <v>80</v>
      </c>
      <c r="G83" s="507">
        <f>'인건비 분석'!H76</f>
        <v>86</v>
      </c>
      <c r="H83" s="507">
        <f>G83+15</f>
        <v>101</v>
      </c>
      <c r="I83" s="507">
        <f>H83+15</f>
        <v>116</v>
      </c>
      <c r="J83" s="507">
        <f>I83+15</f>
        <v>131</v>
      </c>
      <c r="K83" s="507">
        <f t="shared" ref="K83:L83" si="83">J83+15</f>
        <v>146</v>
      </c>
      <c r="L83" s="556">
        <f t="shared" si="83"/>
        <v>161</v>
      </c>
      <c r="M83" s="550" t="s">
        <v>7514</v>
      </c>
    </row>
    <row r="84" spans="2:13" s="159" customFormat="1" ht="14.1" customHeight="1" x14ac:dyDescent="0.3">
      <c r="B84" s="559" t="s">
        <v>480</v>
      </c>
      <c r="C84" s="43"/>
      <c r="D84" s="1019">
        <f>D82/D83</f>
        <v>29.785222202702705</v>
      </c>
      <c r="E84" s="1019">
        <f t="shared" ref="E84:G84" si="84">E82/E83</f>
        <v>29.29790283544304</v>
      </c>
      <c r="F84" s="1019">
        <f t="shared" si="84"/>
        <v>33.017321787499995</v>
      </c>
      <c r="G84" s="1019">
        <f t="shared" si="84"/>
        <v>33.817543546511622</v>
      </c>
      <c r="H84" s="507">
        <f>G84*(1+H$31)</f>
        <v>35.034975114186039</v>
      </c>
      <c r="I84" s="507">
        <f t="shared" ref="I84:L84" si="85">H84*(1+I$31)</f>
        <v>36.226164268068366</v>
      </c>
      <c r="J84" s="507">
        <f t="shared" si="85"/>
        <v>37.530306181718828</v>
      </c>
      <c r="K84" s="507">
        <f t="shared" si="85"/>
        <v>38.99398812280586</v>
      </c>
      <c r="L84" s="556">
        <f t="shared" si="85"/>
        <v>40.514753659595286</v>
      </c>
    </row>
    <row r="85" spans="2:13" s="159" customFormat="1" ht="14.1" customHeight="1" x14ac:dyDescent="0.3">
      <c r="B85" s="559"/>
      <c r="C85" s="43"/>
      <c r="D85" s="1019"/>
      <c r="E85" s="1586">
        <f>E84/D84-1</f>
        <v>-1.6361112364488117E-2</v>
      </c>
      <c r="F85" s="1586">
        <f t="shared" ref="F85:G85" si="86">F84/E84-1</f>
        <v>0.12695171299282904</v>
      </c>
      <c r="G85" s="1586">
        <f t="shared" si="86"/>
        <v>2.4236422450066186E-2</v>
      </c>
      <c r="H85" s="507"/>
      <c r="I85" s="507"/>
      <c r="J85" s="507"/>
      <c r="K85" s="507"/>
      <c r="L85" s="507"/>
    </row>
    <row r="86" spans="2:13" s="159" customFormat="1" ht="14.1" customHeight="1" x14ac:dyDescent="0.3">
      <c r="B86" s="402"/>
      <c r="C86" s="43"/>
      <c r="D86" s="43"/>
      <c r="E86" s="43"/>
      <c r="F86" s="43"/>
      <c r="G86" s="43"/>
      <c r="H86" s="43"/>
      <c r="I86" s="43"/>
      <c r="J86" s="43"/>
      <c r="K86" s="43"/>
      <c r="L86" s="404"/>
    </row>
    <row r="87" spans="2:13" s="159" customFormat="1" ht="14.1" customHeight="1" x14ac:dyDescent="0.3">
      <c r="B87" s="552" t="s">
        <v>481</v>
      </c>
      <c r="C87" s="43"/>
      <c r="D87" s="507">
        <f>IS!D17/10^6</f>
        <v>623.27835000000005</v>
      </c>
      <c r="E87" s="507">
        <f>IS!E17/10^6</f>
        <v>998.62633000000005</v>
      </c>
      <c r="F87" s="507">
        <f>IS!F17/10^6</f>
        <v>990.65332999999998</v>
      </c>
      <c r="G87" s="507">
        <f>IS!G17/10^6</f>
        <v>1561.6345699999999</v>
      </c>
      <c r="H87" s="507">
        <f>H89*H76</f>
        <v>1314.0259233140032</v>
      </c>
      <c r="I87" s="507">
        <f>I89*I76</f>
        <v>1549.1853371030843</v>
      </c>
      <c r="J87" s="507">
        <f>J89*J76</f>
        <v>1802.2959128014706</v>
      </c>
      <c r="K87" s="507">
        <f>K89*K76</f>
        <v>2077.6216132023474</v>
      </c>
      <c r="L87" s="556">
        <f>L89*L76</f>
        <v>2371.6814261511217</v>
      </c>
    </row>
    <row r="88" spans="2:13" s="159" customFormat="1" ht="14.1" customHeight="1" x14ac:dyDescent="0.3">
      <c r="B88" s="402" t="s">
        <v>143</v>
      </c>
      <c r="C88" s="43"/>
      <c r="D88" s="554" t="e">
        <f>D87/C87-1</f>
        <v>#DIV/0!</v>
      </c>
      <c r="E88" s="554">
        <f>E87/D87-1</f>
        <v>0.60221565533280597</v>
      </c>
      <c r="F88" s="554">
        <f>F87/E87-1</f>
        <v>-7.9839673364110464E-3</v>
      </c>
      <c r="G88" s="554">
        <f>G87/F87-1</f>
        <v>0.57636836490520849</v>
      </c>
      <c r="H88" s="554">
        <f t="shared" ref="H88" si="87">H87/G87-1</f>
        <v>-0.15855735486567557</v>
      </c>
      <c r="I88" s="554">
        <f t="shared" ref="I88" si="88">I87/H87-1</f>
        <v>0.17896101562136901</v>
      </c>
      <c r="J88" s="554">
        <f t="shared" ref="J88" si="89">J87/I87-1</f>
        <v>0.16338301792327381</v>
      </c>
      <c r="K88" s="554">
        <f t="shared" ref="K88:L88" si="90">K87/J87-1</f>
        <v>0.15276387104097311</v>
      </c>
      <c r="L88" s="555">
        <f t="shared" si="90"/>
        <v>0.14153675100420449</v>
      </c>
    </row>
    <row r="89" spans="2:13" s="159" customFormat="1" ht="14.1" customHeight="1" x14ac:dyDescent="0.3">
      <c r="B89" s="403" t="s">
        <v>605</v>
      </c>
      <c r="C89" s="557">
        <f>F89</f>
        <v>0.30766043717437491</v>
      </c>
      <c r="D89" s="43">
        <f>D87/D$76</f>
        <v>0.23366783521600615</v>
      </c>
      <c r="E89" s="43">
        <f t="shared" ref="E89:G89" si="91">E87/E$76</f>
        <v>0.35228802556200556</v>
      </c>
      <c r="F89" s="43">
        <f t="shared" si="91"/>
        <v>0.30766043717437491</v>
      </c>
      <c r="G89" s="43">
        <f t="shared" si="91"/>
        <v>0.44056158210343277</v>
      </c>
      <c r="H89" s="43">
        <f>C89</f>
        <v>0.30766043717437491</v>
      </c>
      <c r="I89" s="43">
        <f>H89</f>
        <v>0.30766043717437491</v>
      </c>
      <c r="J89" s="43">
        <f t="shared" ref="J89:K89" si="92">I89</f>
        <v>0.30766043717437491</v>
      </c>
      <c r="K89" s="43">
        <f t="shared" si="92"/>
        <v>0.30766043717437491</v>
      </c>
      <c r="L89" s="404">
        <f>K89</f>
        <v>0.30766043717437491</v>
      </c>
    </row>
    <row r="90" spans="2:13" s="159" customFormat="1" ht="14.1" customHeight="1" x14ac:dyDescent="0.3">
      <c r="B90" s="403"/>
      <c r="C90" s="43"/>
      <c r="D90" s="43"/>
      <c r="E90" s="43"/>
      <c r="F90" s="43"/>
      <c r="G90" s="43"/>
      <c r="H90" s="43"/>
      <c r="I90" s="43"/>
      <c r="J90" s="43"/>
      <c r="K90" s="43"/>
      <c r="L90" s="404"/>
    </row>
    <row r="91" spans="2:13" s="159" customFormat="1" ht="14.1" customHeight="1" x14ac:dyDescent="0.3">
      <c r="B91" s="552" t="s">
        <v>482</v>
      </c>
      <c r="C91" s="43"/>
      <c r="D91" s="507">
        <f>IS!D18/10^6</f>
        <v>3.7</v>
      </c>
      <c r="E91" s="507">
        <f>IS!E18/10^6</f>
        <v>0.50778000000000001</v>
      </c>
      <c r="F91" s="507">
        <f>IS!F18/10^6</f>
        <v>11.89437</v>
      </c>
      <c r="G91" s="507">
        <f>IS!G18/10^6</f>
        <v>0.27192</v>
      </c>
      <c r="H91" s="507">
        <f>H93*H33</f>
        <v>7.255897115319236</v>
      </c>
      <c r="I91" s="507">
        <f>I93*I33</f>
        <v>9.5765337508394612</v>
      </c>
      <c r="J91" s="507">
        <f>J93*J33</f>
        <v>10.722335136527715</v>
      </c>
      <c r="K91" s="507">
        <f>K93*K33</f>
        <v>13.733385649383882</v>
      </c>
      <c r="L91" s="556">
        <f>L93*L33</f>
        <v>15.816381281437943</v>
      </c>
      <c r="M91" s="891" t="s">
        <v>2145</v>
      </c>
    </row>
    <row r="92" spans="2:13" s="159" customFormat="1" ht="14.1" customHeight="1" x14ac:dyDescent="0.3">
      <c r="B92" s="402" t="s">
        <v>143</v>
      </c>
      <c r="C92" s="43"/>
      <c r="D92" s="554" t="e">
        <f>D91/C91-1</f>
        <v>#DIV/0!</v>
      </c>
      <c r="E92" s="554">
        <f>E91/D91-1</f>
        <v>-0.86276216216216217</v>
      </c>
      <c r="F92" s="554">
        <f>F91/E91-1</f>
        <v>22.424258537161762</v>
      </c>
      <c r="G92" s="554">
        <f>G91/F91-1</f>
        <v>-0.97713876396984456</v>
      </c>
      <c r="H92" s="554">
        <f t="shared" ref="H92" si="93">H91/G91-1</f>
        <v>25.68394055354235</v>
      </c>
      <c r="I92" s="554">
        <f t="shared" ref="I92" si="94">I91/H91-1</f>
        <v>0.31982766550268615</v>
      </c>
      <c r="J92" s="554">
        <f t="shared" ref="J92" si="95">J91/I91-1</f>
        <v>0.11964677570188842</v>
      </c>
      <c r="K92" s="554">
        <f t="shared" ref="K92:L92" si="96">K91/J91-1</f>
        <v>0.28082040661072405</v>
      </c>
      <c r="L92" s="555">
        <f t="shared" si="96"/>
        <v>0.15167386143762074</v>
      </c>
    </row>
    <row r="93" spans="2:13" s="159" customFormat="1" ht="14.1" customHeight="1" x14ac:dyDescent="0.3">
      <c r="B93" s="403" t="s">
        <v>58</v>
      </c>
      <c r="C93" s="557">
        <f>CHOOSE($T$5,AVERAGE(D93:G93),AVERAGE(E93:G93), AVERAGE(F93:G93))</f>
        <v>5.2574687679946518E-5</v>
      </c>
      <c r="D93" s="43">
        <f>D91/D$33</f>
        <v>8.9269097086713603E-5</v>
      </c>
      <c r="E93" s="43">
        <f t="shared" ref="E93:G93" si="97">E91/E$33</f>
        <v>8.3222978475084936E-6</v>
      </c>
      <c r="F93" s="43">
        <f t="shared" si="97"/>
        <v>1.4638726357460964E-4</v>
      </c>
      <c r="G93" s="43">
        <f t="shared" si="97"/>
        <v>3.014501617721423E-6</v>
      </c>
      <c r="H93" s="43">
        <f>C93</f>
        <v>5.2574687679946518E-5</v>
      </c>
      <c r="I93" s="43">
        <f>H93</f>
        <v>5.2574687679946518E-5</v>
      </c>
      <c r="J93" s="43">
        <f t="shared" ref="J93:K93" si="98">I93</f>
        <v>5.2574687679946518E-5</v>
      </c>
      <c r="K93" s="43">
        <f t="shared" si="98"/>
        <v>5.2574687679946518E-5</v>
      </c>
      <c r="L93" s="404">
        <f>K93</f>
        <v>5.2574687679946518E-5</v>
      </c>
    </row>
    <row r="94" spans="2:13" s="159" customFormat="1" ht="14.1" customHeight="1" x14ac:dyDescent="0.3">
      <c r="B94" s="403"/>
      <c r="C94" s="43"/>
      <c r="D94" s="43"/>
      <c r="E94" s="43"/>
      <c r="F94" s="43"/>
      <c r="G94" s="43"/>
      <c r="H94" s="43"/>
      <c r="I94" s="43"/>
      <c r="J94" s="43"/>
      <c r="K94" s="43"/>
      <c r="L94" s="404"/>
    </row>
    <row r="95" spans="2:13" s="159" customFormat="1" ht="14.1" customHeight="1" x14ac:dyDescent="0.3">
      <c r="B95" s="552" t="s">
        <v>483</v>
      </c>
      <c r="C95" s="43"/>
      <c r="D95" s="507">
        <f>IS!D19/10^6</f>
        <v>174.84352999999999</v>
      </c>
      <c r="E95" s="507">
        <f>IS!E19/10^6</f>
        <v>196.85085000000001</v>
      </c>
      <c r="F95" s="507">
        <f>IS!F19/10^6</f>
        <v>209.05510000000001</v>
      </c>
      <c r="G95" s="507">
        <f>IS!G19/10^6</f>
        <v>237.35219000000001</v>
      </c>
      <c r="H95" s="507">
        <f>H97*H33</f>
        <v>387.83377250362008</v>
      </c>
      <c r="I95" s="507">
        <f>I97*I33</f>
        <v>511.87374256655272</v>
      </c>
      <c r="J95" s="507">
        <f>J97*J33</f>
        <v>573.11778543109926</v>
      </c>
      <c r="K95" s="507">
        <f>K97*K33</f>
        <v>734.06095497169827</v>
      </c>
      <c r="L95" s="556">
        <f>L97*L33</f>
        <v>845.3988145428433</v>
      </c>
    </row>
    <row r="96" spans="2:13" s="159" customFormat="1" ht="14.1" customHeight="1" x14ac:dyDescent="0.3">
      <c r="B96" s="402" t="s">
        <v>143</v>
      </c>
      <c r="C96" s="43"/>
      <c r="D96" s="554" t="e">
        <f>D95/C95-1</f>
        <v>#DIV/0!</v>
      </c>
      <c r="E96" s="554">
        <f>E95/D95-1</f>
        <v>0.12586865524849578</v>
      </c>
      <c r="F96" s="554">
        <f>F95/E95-1</f>
        <v>6.1997446289919544E-2</v>
      </c>
      <c r="G96" s="554">
        <f>G95/F95-1</f>
        <v>0.1353570900685992</v>
      </c>
      <c r="H96" s="554">
        <f t="shared" ref="H96" si="99">H95/G95-1</f>
        <v>0.63400123884940807</v>
      </c>
      <c r="I96" s="554">
        <f t="shared" ref="I96" si="100">I95/H95-1</f>
        <v>0.31982766550268593</v>
      </c>
      <c r="J96" s="554">
        <f t="shared" ref="J96" si="101">J95/I95-1</f>
        <v>0.11964677570188842</v>
      </c>
      <c r="K96" s="554">
        <f t="shared" ref="K96:L96" si="102">K95/J95-1</f>
        <v>0.28082040661072405</v>
      </c>
      <c r="L96" s="555">
        <f t="shared" si="102"/>
        <v>0.15167386143762096</v>
      </c>
    </row>
    <row r="97" spans="2:13" s="159" customFormat="1" ht="14.1" customHeight="1" x14ac:dyDescent="0.3">
      <c r="B97" s="403" t="s">
        <v>58</v>
      </c>
      <c r="C97" s="557">
        <f>CHOOSE($T$5,AVERAGE(D97:G97),AVERAGE(E97:G97), AVERAGE(F97:G97))</f>
        <v>2.8101610506664622E-3</v>
      </c>
      <c r="D97" s="43">
        <f>D95/D$33</f>
        <v>4.2184119066361403E-3</v>
      </c>
      <c r="E97" s="43">
        <f t="shared" ref="E97:G97" si="103">E95/E$33</f>
        <v>3.2263015582244623E-3</v>
      </c>
      <c r="F97" s="43">
        <f t="shared" si="103"/>
        <v>2.572898272486595E-3</v>
      </c>
      <c r="G97" s="43">
        <f t="shared" si="103"/>
        <v>2.6312833212883296E-3</v>
      </c>
      <c r="H97" s="43">
        <f>C97</f>
        <v>2.8101610506664622E-3</v>
      </c>
      <c r="I97" s="43">
        <f>H97</f>
        <v>2.8101610506664622E-3</v>
      </c>
      <c r="J97" s="43">
        <f t="shared" ref="J97:K97" si="104">I97</f>
        <v>2.8101610506664622E-3</v>
      </c>
      <c r="K97" s="43">
        <f t="shared" si="104"/>
        <v>2.8101610506664622E-3</v>
      </c>
      <c r="L97" s="404">
        <f>K97</f>
        <v>2.8101610506664622E-3</v>
      </c>
    </row>
    <row r="98" spans="2:13" s="159" customFormat="1" ht="14.1" customHeight="1" x14ac:dyDescent="0.3">
      <c r="B98" s="403"/>
      <c r="C98" s="43"/>
      <c r="D98" s="43"/>
      <c r="E98" s="43"/>
      <c r="F98" s="43"/>
      <c r="G98" s="43"/>
      <c r="H98" s="43"/>
      <c r="I98" s="43"/>
      <c r="J98" s="43"/>
      <c r="K98" s="43"/>
      <c r="L98" s="404"/>
    </row>
    <row r="99" spans="2:13" s="159" customFormat="1" ht="14.1" customHeight="1" x14ac:dyDescent="0.3">
      <c r="B99" s="552" t="s">
        <v>484</v>
      </c>
      <c r="C99" s="43"/>
      <c r="D99" s="507">
        <f>IS!D20/10^6</f>
        <v>192.567925</v>
      </c>
      <c r="E99" s="507">
        <f>IS!E20/10^6</f>
        <v>204.28270699999999</v>
      </c>
      <c r="F99" s="507">
        <f>IS!F20/10^6</f>
        <v>240.865737</v>
      </c>
      <c r="G99" s="507">
        <f>IS!G20/10^6</f>
        <v>243.46130700000001</v>
      </c>
      <c r="H99" s="507">
        <f>H101*H33</f>
        <v>414.56345413902841</v>
      </c>
      <c r="I99" s="507">
        <f>I101*I33</f>
        <v>547.15231587904373</v>
      </c>
      <c r="J99" s="507">
        <f>J101*J33</f>
        <v>612.61732629179244</v>
      </c>
      <c r="K99" s="507">
        <f>K101*K33</f>
        <v>784.65277295782835</v>
      </c>
      <c r="L99" s="556">
        <f>L101*L33</f>
        <v>903.66408892007894</v>
      </c>
    </row>
    <row r="100" spans="2:13" s="159" customFormat="1" ht="14.1" customHeight="1" x14ac:dyDescent="0.3">
      <c r="B100" s="402" t="s">
        <v>143</v>
      </c>
      <c r="C100" s="43"/>
      <c r="D100" s="554" t="e">
        <f>D99/C99-1</f>
        <v>#DIV/0!</v>
      </c>
      <c r="E100" s="554">
        <f>E99/D99-1</f>
        <v>6.0834544486055853E-2</v>
      </c>
      <c r="F100" s="554">
        <f>F99/E99-1</f>
        <v>0.17908040546966131</v>
      </c>
      <c r="G100" s="554">
        <f>G99/F99-1</f>
        <v>1.0776003396448353E-2</v>
      </c>
      <c r="H100" s="554">
        <f t="shared" ref="H100" si="105">H99/G99-1</f>
        <v>0.70278989810495185</v>
      </c>
      <c r="I100" s="554">
        <f t="shared" ref="I100" si="106">I99/H99-1</f>
        <v>0.31982766550268615</v>
      </c>
      <c r="J100" s="554">
        <f t="shared" ref="J100" si="107">J99/I99-1</f>
        <v>0.11964677570188842</v>
      </c>
      <c r="K100" s="554">
        <f t="shared" ref="K100:L100" si="108">K99/J99-1</f>
        <v>0.28082040661072427</v>
      </c>
      <c r="L100" s="555">
        <f t="shared" si="108"/>
        <v>0.15167386143762074</v>
      </c>
    </row>
    <row r="101" spans="2:13" s="159" customFormat="1" ht="14.1" customHeight="1" x14ac:dyDescent="0.3">
      <c r="B101" s="403" t="s">
        <v>58</v>
      </c>
      <c r="C101" s="557">
        <f>CHOOSE($T$5,AVERAGE(D101:G101),AVERAGE(E101:G101), AVERAGE(F101:G101))</f>
        <v>3.003838640278228E-3</v>
      </c>
      <c r="D101" s="43">
        <f>D99/D$33</f>
        <v>4.6460445385437792E-3</v>
      </c>
      <c r="E101" s="43">
        <f t="shared" ref="E101:G101" si="109">E99/E$33</f>
        <v>3.3481065279241172E-3</v>
      </c>
      <c r="F101" s="43">
        <f t="shared" si="109"/>
        <v>2.9644004792445172E-3</v>
      </c>
      <c r="G101" s="43">
        <f t="shared" si="109"/>
        <v>2.6990089136660492E-3</v>
      </c>
      <c r="H101" s="43">
        <f>C101</f>
        <v>3.003838640278228E-3</v>
      </c>
      <c r="I101" s="43">
        <f>H101</f>
        <v>3.003838640278228E-3</v>
      </c>
      <c r="J101" s="43">
        <f t="shared" ref="J101:K101" si="110">I101</f>
        <v>3.003838640278228E-3</v>
      </c>
      <c r="K101" s="43">
        <f t="shared" si="110"/>
        <v>3.003838640278228E-3</v>
      </c>
      <c r="L101" s="404">
        <f>K101</f>
        <v>3.003838640278228E-3</v>
      </c>
    </row>
    <row r="102" spans="2:13" s="159" customFormat="1" ht="14.1" customHeight="1" thickBot="1" x14ac:dyDescent="0.35">
      <c r="B102" s="405"/>
      <c r="C102" s="406"/>
      <c r="D102" s="406"/>
      <c r="E102" s="406"/>
      <c r="F102" s="406"/>
      <c r="G102" s="406"/>
      <c r="H102" s="406"/>
      <c r="I102" s="406"/>
      <c r="J102" s="406"/>
      <c r="K102" s="406"/>
      <c r="L102" s="407"/>
    </row>
    <row r="103" spans="2:13" s="159" customFormat="1" ht="14.1" customHeight="1" x14ac:dyDescent="0.3">
      <c r="G103" s="651"/>
      <c r="J103" s="108"/>
      <c r="K103" s="108"/>
      <c r="L103" s="108"/>
    </row>
    <row r="104" spans="2:13" s="159" customFormat="1" ht="14.1" customHeight="1" x14ac:dyDescent="0.3">
      <c r="B104" s="392" t="s">
        <v>145</v>
      </c>
      <c r="C104" s="393"/>
      <c r="D104" s="393"/>
      <c r="E104" s="393"/>
      <c r="F104" s="393"/>
      <c r="G104" s="393"/>
      <c r="H104" s="393"/>
      <c r="I104" s="393"/>
      <c r="J104" s="393"/>
      <c r="K104" s="393"/>
      <c r="L104" s="394"/>
    </row>
    <row r="105" spans="2:13" s="65" customFormat="1" ht="14.1" customHeight="1" x14ac:dyDescent="0.3">
      <c r="B105" s="395" t="str">
        <f>unit</f>
        <v>KRW Million</v>
      </c>
      <c r="C105" s="396"/>
      <c r="D105" s="396">
        <f>'Pro forma'!D$5</f>
        <v>2014</v>
      </c>
      <c r="E105" s="396">
        <f>'Pro forma'!E$5</f>
        <v>2015</v>
      </c>
      <c r="F105" s="396">
        <f>'Pro forma'!F$5</f>
        <v>2016</v>
      </c>
      <c r="G105" s="396">
        <f>'Pro forma'!G$5</f>
        <v>2017</v>
      </c>
      <c r="H105" s="396">
        <f>'Pro forma'!H$5</f>
        <v>2018</v>
      </c>
      <c r="I105" s="398">
        <f>'Pro forma'!I$5</f>
        <v>2019</v>
      </c>
      <c r="J105" s="398">
        <f>'Pro forma'!J$5</f>
        <v>2020</v>
      </c>
      <c r="K105" s="398">
        <f>'Pro forma'!K$5</f>
        <v>2021</v>
      </c>
      <c r="L105" s="399">
        <f>K105+1</f>
        <v>2022</v>
      </c>
    </row>
    <row r="106" spans="2:13" s="65" customFormat="1" ht="14.1" customHeight="1" x14ac:dyDescent="0.3">
      <c r="B106" s="408" t="s">
        <v>61</v>
      </c>
      <c r="C106" s="409"/>
      <c r="D106" s="410">
        <f>D110+D112+D114+D116+D118+D120+D122+D124+D126+D128+D130+D132+D134+D136+D138+D140+D142</f>
        <v>1498.107546</v>
      </c>
      <c r="E106" s="410">
        <f t="shared" ref="E106:L106" si="111">E110+E112+E114+E116+E118+E120+E122+E124+E126+E128+E130+E132+E134+E136+E138+E140+E142</f>
        <v>1303.2362859999998</v>
      </c>
      <c r="F106" s="410">
        <f t="shared" si="111"/>
        <v>1627.505989</v>
      </c>
      <c r="G106" s="410">
        <f t="shared" si="111"/>
        <v>1485.0576809999998</v>
      </c>
      <c r="H106" s="410">
        <f t="shared" si="111"/>
        <v>1508.818603896</v>
      </c>
      <c r="I106" s="410">
        <f t="shared" si="111"/>
        <v>1529.9420643505439</v>
      </c>
      <c r="J106" s="410">
        <f t="shared" si="111"/>
        <v>1551.3612532514514</v>
      </c>
      <c r="K106" s="410">
        <f t="shared" si="111"/>
        <v>1577.7343945567263</v>
      </c>
      <c r="L106" s="410">
        <f t="shared" si="111"/>
        <v>1604.5558792641907</v>
      </c>
      <c r="M106" s="112"/>
    </row>
    <row r="107" spans="2:13" s="80" customFormat="1" ht="14.1" customHeight="1" x14ac:dyDescent="0.3">
      <c r="B107" s="402" t="s">
        <v>143</v>
      </c>
      <c r="C107" s="58"/>
      <c r="D107" s="554" t="e">
        <f>D106/C106-1</f>
        <v>#DIV/0!</v>
      </c>
      <c r="E107" s="554">
        <f>E106/D106-1</f>
        <v>-0.13007828478023042</v>
      </c>
      <c r="F107" s="554">
        <f>F106/E106-1</f>
        <v>0.2488188108967373</v>
      </c>
      <c r="G107" s="554">
        <f>G106/F106-1</f>
        <v>-8.7525520005936053E-2</v>
      </c>
      <c r="H107" s="554">
        <f t="shared" ref="H107" si="112">H106/G106-1</f>
        <v>1.6000000000000236E-2</v>
      </c>
      <c r="I107" s="554">
        <f t="shared" ref="I107" si="113">I106/H106-1</f>
        <v>1.4000000000000012E-2</v>
      </c>
      <c r="J107" s="554">
        <f t="shared" ref="J107" si="114">J106/I106-1</f>
        <v>1.4000000000000012E-2</v>
      </c>
      <c r="K107" s="554">
        <f t="shared" ref="K107" si="115">K106/J106-1</f>
        <v>1.7000000000000126E-2</v>
      </c>
      <c r="L107" s="555"/>
      <c r="M107" s="172"/>
    </row>
    <row r="108" spans="2:13" s="159" customFormat="1" ht="14.1" customHeight="1" x14ac:dyDescent="0.3">
      <c r="B108" s="403" t="s">
        <v>58</v>
      </c>
      <c r="C108" s="43"/>
      <c r="D108" s="43">
        <f>D106/D$33</f>
        <v>3.614451566762493E-2</v>
      </c>
      <c r="E108" s="43">
        <f t="shared" ref="E108:K108" si="116">E106/E$33</f>
        <v>2.1359487450810906E-2</v>
      </c>
      <c r="F108" s="43">
        <f t="shared" si="116"/>
        <v>2.0030161175497212E-2</v>
      </c>
      <c r="G108" s="43">
        <f t="shared" si="116"/>
        <v>1.6463330324301723E-2</v>
      </c>
      <c r="H108" s="43">
        <f t="shared" si="116"/>
        <v>1.0932578784509827E-2</v>
      </c>
      <c r="I108" s="43">
        <f t="shared" si="116"/>
        <v>8.3993048314158127E-3</v>
      </c>
      <c r="J108" s="43">
        <f t="shared" si="116"/>
        <v>7.6067696383232382E-3</v>
      </c>
      <c r="K108" s="43">
        <f t="shared" si="116"/>
        <v>6.0399449308008559E-3</v>
      </c>
      <c r="L108" s="404"/>
      <c r="M108" s="173"/>
    </row>
    <row r="109" spans="2:13" s="159" customFormat="1" ht="14.1" customHeight="1" x14ac:dyDescent="0.3">
      <c r="B109" s="403"/>
      <c r="C109" s="43"/>
      <c r="D109" s="43"/>
      <c r="E109" s="43"/>
      <c r="F109" s="43"/>
      <c r="G109" s="43"/>
      <c r="H109" s="43"/>
      <c r="I109" s="43"/>
      <c r="J109" s="43"/>
      <c r="K109" s="43"/>
      <c r="L109" s="404"/>
      <c r="M109" s="173"/>
    </row>
    <row r="110" spans="2:13" s="159" customFormat="1" ht="14.1" customHeight="1" x14ac:dyDescent="0.3">
      <c r="B110" s="552" t="s">
        <v>472</v>
      </c>
      <c r="C110" s="43"/>
      <c r="D110" s="560">
        <f>IS!D21/10^6</f>
        <v>299.33285599999999</v>
      </c>
      <c r="E110" s="560">
        <f>IS!E21/10^6</f>
        <v>226.305993</v>
      </c>
      <c r="F110" s="560">
        <f>IS!F21/10^6</f>
        <v>262.40722399999999</v>
      </c>
      <c r="G110" s="560">
        <f>IS!G21/10^6</f>
        <v>318.16871300000003</v>
      </c>
      <c r="H110" s="560">
        <f>G110*(1+H$30)</f>
        <v>323.259412408</v>
      </c>
      <c r="I110" s="560">
        <f t="shared" ref="I110:L110" si="117">H110*(1+I$30)</f>
        <v>327.78504418171201</v>
      </c>
      <c r="J110" s="560">
        <f t="shared" si="117"/>
        <v>332.37403480025597</v>
      </c>
      <c r="K110" s="560">
        <f t="shared" si="117"/>
        <v>338.02439339186031</v>
      </c>
      <c r="L110" s="563">
        <f t="shared" si="117"/>
        <v>343.77080807952188</v>
      </c>
      <c r="M110" s="173"/>
    </row>
    <row r="111" spans="2:13" s="159" customFormat="1" ht="14.1" customHeight="1" x14ac:dyDescent="0.3">
      <c r="B111" s="402" t="s">
        <v>37</v>
      </c>
      <c r="C111" s="43"/>
      <c r="D111" s="554" t="e">
        <f>D110/C110-1</f>
        <v>#DIV/0!</v>
      </c>
      <c r="E111" s="554">
        <f>E110/D110-1</f>
        <v>-0.24396541019873874</v>
      </c>
      <c r="F111" s="554">
        <f>F110/E110-1</f>
        <v>0.15952397248269068</v>
      </c>
      <c r="G111" s="554">
        <f>G110/F110-1</f>
        <v>0.21249982431886116</v>
      </c>
      <c r="H111" s="554">
        <f t="shared" ref="H111" si="118">H110/G110-1</f>
        <v>1.6000000000000014E-2</v>
      </c>
      <c r="I111" s="554">
        <f t="shared" ref="I111" si="119">I110/H110-1</f>
        <v>1.4000000000000012E-2</v>
      </c>
      <c r="J111" s="554">
        <f t="shared" ref="J111" si="120">J110/I110-1</f>
        <v>1.4000000000000012E-2</v>
      </c>
      <c r="K111" s="554">
        <f t="shared" ref="K111" si="121">K110/J110-1</f>
        <v>1.6999999999999904E-2</v>
      </c>
      <c r="L111" s="555"/>
      <c r="M111" s="173"/>
    </row>
    <row r="112" spans="2:13" s="159" customFormat="1" ht="14.1" customHeight="1" x14ac:dyDescent="0.3">
      <c r="B112" s="552" t="s">
        <v>485</v>
      </c>
      <c r="C112" s="43"/>
      <c r="D112" s="560">
        <f>IS!D22/10^6</f>
        <v>16.80968</v>
      </c>
      <c r="E112" s="560">
        <f>IS!E22/10^6</f>
        <v>17.736404</v>
      </c>
      <c r="F112" s="560">
        <f>IS!F22/10^6</f>
        <v>14.208299999999999</v>
      </c>
      <c r="G112" s="560">
        <f>IS!G22/10^6</f>
        <v>14.699909999999999</v>
      </c>
      <c r="H112" s="560">
        <f>G112*(1+H$30)</f>
        <v>14.93510856</v>
      </c>
      <c r="I112" s="560">
        <f t="shared" ref="I112:L112" si="122">H112*(1+I$30)</f>
        <v>15.144200079839999</v>
      </c>
      <c r="J112" s="560">
        <f t="shared" si="122"/>
        <v>15.35621888095776</v>
      </c>
      <c r="K112" s="560">
        <f t="shared" si="122"/>
        <v>15.61727460193404</v>
      </c>
      <c r="L112" s="563">
        <f t="shared" si="122"/>
        <v>15.882768270166917</v>
      </c>
      <c r="M112" s="173"/>
    </row>
    <row r="113" spans="2:13" s="159" customFormat="1" ht="14.1" customHeight="1" x14ac:dyDescent="0.3">
      <c r="B113" s="402" t="s">
        <v>37</v>
      </c>
      <c r="C113" s="43"/>
      <c r="D113" s="554" t="e">
        <f>D112/C112-1</f>
        <v>#DIV/0!</v>
      </c>
      <c r="E113" s="554">
        <f>E112/D112-1</f>
        <v>5.5130377258817642E-2</v>
      </c>
      <c r="F113" s="554">
        <f>F112/E112-1</f>
        <v>-0.1989187887240278</v>
      </c>
      <c r="G113" s="554">
        <f>G112/F112-1</f>
        <v>3.4600198475538857E-2</v>
      </c>
      <c r="H113" s="554">
        <f t="shared" ref="H113" si="123">H112/G112-1</f>
        <v>1.6000000000000014E-2</v>
      </c>
      <c r="I113" s="554">
        <f t="shared" ref="I113" si="124">I112/H112-1</f>
        <v>1.4000000000000012E-2</v>
      </c>
      <c r="J113" s="554">
        <f t="shared" ref="J113" si="125">J112/I112-1</f>
        <v>1.4000000000000012E-2</v>
      </c>
      <c r="K113" s="554">
        <f t="shared" ref="K113" si="126">K112/J112-1</f>
        <v>1.6999999999999904E-2</v>
      </c>
      <c r="L113" s="555"/>
      <c r="M113" s="173"/>
    </row>
    <row r="114" spans="2:13" s="159" customFormat="1" ht="14.1" customHeight="1" x14ac:dyDescent="0.3">
      <c r="B114" s="552" t="s">
        <v>473</v>
      </c>
      <c r="C114" s="43"/>
      <c r="D114" s="560">
        <f>IS!D23/10^6</f>
        <v>88.381894000000003</v>
      </c>
      <c r="E114" s="560">
        <f>IS!E23/10^6</f>
        <v>79.730134000000007</v>
      </c>
      <c r="F114" s="560">
        <f>IS!F23/10^6</f>
        <v>74.973653999999996</v>
      </c>
      <c r="G114" s="560">
        <f>IS!G23/10^6</f>
        <v>78.848518999999996</v>
      </c>
      <c r="H114" s="560">
        <f t="shared" ref="H114:L114" si="127">G114*(1+H$30)</f>
        <v>80.110095303999998</v>
      </c>
      <c r="I114" s="560">
        <f t="shared" si="127"/>
        <v>81.231636638255992</v>
      </c>
      <c r="J114" s="560">
        <f t="shared" si="127"/>
        <v>82.368879551191583</v>
      </c>
      <c r="K114" s="560">
        <f t="shared" si="127"/>
        <v>83.769150503561832</v>
      </c>
      <c r="L114" s="563">
        <f t="shared" si="127"/>
        <v>85.193226062122378</v>
      </c>
      <c r="M114" s="173"/>
    </row>
    <row r="115" spans="2:13" s="159" customFormat="1" ht="14.1" customHeight="1" x14ac:dyDescent="0.3">
      <c r="B115" s="402" t="s">
        <v>37</v>
      </c>
      <c r="C115" s="43"/>
      <c r="D115" s="554" t="e">
        <f>D114/C114-1</f>
        <v>#DIV/0!</v>
      </c>
      <c r="E115" s="554">
        <f>E114/D114-1</f>
        <v>-9.7890638098341642E-2</v>
      </c>
      <c r="F115" s="554">
        <f>F114/E114-1</f>
        <v>-5.9657243270154425E-2</v>
      </c>
      <c r="G115" s="554">
        <f>G114/F114-1</f>
        <v>5.1683021878592195E-2</v>
      </c>
      <c r="H115" s="554">
        <f t="shared" ref="H115" si="128">H114/G114-1</f>
        <v>1.6000000000000014E-2</v>
      </c>
      <c r="I115" s="554">
        <f t="shared" ref="I115" si="129">I114/H114-1</f>
        <v>1.4000000000000012E-2</v>
      </c>
      <c r="J115" s="554">
        <f t="shared" ref="J115" si="130">J114/I114-1</f>
        <v>1.4000000000000012E-2</v>
      </c>
      <c r="K115" s="554">
        <f t="shared" ref="K115" si="131">K114/J114-1</f>
        <v>1.6999999999999904E-2</v>
      </c>
      <c r="L115" s="555"/>
      <c r="M115" s="173"/>
    </row>
    <row r="116" spans="2:13" s="159" customFormat="1" ht="14.1" customHeight="1" x14ac:dyDescent="0.3">
      <c r="B116" s="552" t="s">
        <v>486</v>
      </c>
      <c r="C116" s="43"/>
      <c r="D116" s="560">
        <f>IS!D24/10^6</f>
        <v>8.9426020000000008</v>
      </c>
      <c r="E116" s="560">
        <f>IS!E24/10^6</f>
        <v>5.4563579999999998</v>
      </c>
      <c r="F116" s="560">
        <f>IS!F24/10^6</f>
        <v>8.0618390000000009</v>
      </c>
      <c r="G116" s="560">
        <f>IS!G24/10^6</f>
        <v>7.8374160000000002</v>
      </c>
      <c r="H116" s="560">
        <f t="shared" ref="H116:L116" si="132">G116*(1+H$30)</f>
        <v>7.9628146559999999</v>
      </c>
      <c r="I116" s="560">
        <f t="shared" si="132"/>
        <v>8.0742940611840002</v>
      </c>
      <c r="J116" s="560">
        <f t="shared" si="132"/>
        <v>8.1873341780405759</v>
      </c>
      <c r="K116" s="560">
        <f t="shared" si="132"/>
        <v>8.3265188590672654</v>
      </c>
      <c r="L116" s="563">
        <f t="shared" si="132"/>
        <v>8.4680696796714088</v>
      </c>
      <c r="M116" s="173"/>
    </row>
    <row r="117" spans="2:13" s="159" customFormat="1" ht="14.1" customHeight="1" x14ac:dyDescent="0.3">
      <c r="B117" s="402" t="s">
        <v>37</v>
      </c>
      <c r="C117" s="43"/>
      <c r="D117" s="554" t="e">
        <f>D116/C116-1</f>
        <v>#DIV/0!</v>
      </c>
      <c r="E117" s="554">
        <f>E116/D116-1</f>
        <v>-0.38984671351805666</v>
      </c>
      <c r="F117" s="554">
        <f>F116/E116-1</f>
        <v>0.47751283915021725</v>
      </c>
      <c r="G117" s="554">
        <f>G116/F116-1</f>
        <v>-2.7837693111956274E-2</v>
      </c>
      <c r="H117" s="554">
        <f t="shared" ref="H117" si="133">H116/G116-1</f>
        <v>1.6000000000000014E-2</v>
      </c>
      <c r="I117" s="554">
        <f t="shared" ref="I117" si="134">I116/H116-1</f>
        <v>1.4000000000000012E-2</v>
      </c>
      <c r="J117" s="554">
        <f t="shared" ref="J117" si="135">J116/I116-1</f>
        <v>1.4000000000000012E-2</v>
      </c>
      <c r="K117" s="554">
        <f t="shared" ref="K117" si="136">K116/J116-1</f>
        <v>1.6999999999999904E-2</v>
      </c>
      <c r="L117" s="555"/>
      <c r="M117" s="173"/>
    </row>
    <row r="118" spans="2:13" s="159" customFormat="1" ht="14.1" customHeight="1" x14ac:dyDescent="0.3">
      <c r="B118" s="552" t="s">
        <v>487</v>
      </c>
      <c r="C118" s="43"/>
      <c r="D118" s="560">
        <f>IS!D25/10^6</f>
        <v>92.963854999999995</v>
      </c>
      <c r="E118" s="560">
        <f>IS!E25/10^6</f>
        <v>73.104812999999993</v>
      </c>
      <c r="F118" s="560">
        <f>IS!F25/10^6</f>
        <v>89.962703000000005</v>
      </c>
      <c r="G118" s="560">
        <f>IS!G25/10^6</f>
        <v>81.198488999999995</v>
      </c>
      <c r="H118" s="560">
        <f t="shared" ref="H118:L118" si="137">G118*(1+H$30)</f>
        <v>82.497664823999997</v>
      </c>
      <c r="I118" s="560">
        <f t="shared" si="137"/>
        <v>83.652632131535995</v>
      </c>
      <c r="J118" s="560">
        <f t="shared" si="137"/>
        <v>84.823768981377498</v>
      </c>
      <c r="K118" s="560">
        <f t="shared" si="137"/>
        <v>86.265773054060901</v>
      </c>
      <c r="L118" s="563">
        <f t="shared" si="137"/>
        <v>87.732291195979926</v>
      </c>
      <c r="M118" s="173"/>
    </row>
    <row r="119" spans="2:13" s="159" customFormat="1" ht="14.1" customHeight="1" x14ac:dyDescent="0.3">
      <c r="B119" s="402" t="s">
        <v>37</v>
      </c>
      <c r="C119" s="43"/>
      <c r="D119" s="554" t="e">
        <f>D118/C118-1</f>
        <v>#DIV/0!</v>
      </c>
      <c r="E119" s="554">
        <f>E118/D118-1</f>
        <v>-0.21362111112969662</v>
      </c>
      <c r="F119" s="554">
        <f>F118/E118-1</f>
        <v>0.23059890735237931</v>
      </c>
      <c r="G119" s="554">
        <f>G118/F118-1</f>
        <v>-9.7420527704686788E-2</v>
      </c>
      <c r="H119" s="554">
        <f t="shared" ref="H119" si="138">H118/G118-1</f>
        <v>1.6000000000000014E-2</v>
      </c>
      <c r="I119" s="554">
        <f t="shared" ref="I119" si="139">I118/H118-1</f>
        <v>1.4000000000000012E-2</v>
      </c>
      <c r="J119" s="554">
        <f t="shared" ref="J119" si="140">J118/I118-1</f>
        <v>1.4000000000000012E-2</v>
      </c>
      <c r="K119" s="554">
        <f t="shared" ref="K119" si="141">K118/J118-1</f>
        <v>1.6999999999999904E-2</v>
      </c>
      <c r="L119" s="555"/>
      <c r="M119" s="173"/>
    </row>
    <row r="120" spans="2:13" s="159" customFormat="1" ht="14.1" customHeight="1" x14ac:dyDescent="0.3">
      <c r="B120" s="552" t="s">
        <v>488</v>
      </c>
      <c r="C120" s="43"/>
      <c r="D120" s="560">
        <f>IS!D26/10^6</f>
        <v>161.84231</v>
      </c>
      <c r="E120" s="560">
        <f>IS!E26/10^6</f>
        <v>186.17190199999999</v>
      </c>
      <c r="F120" s="560">
        <f>IS!F26/10^6</f>
        <v>210.77677600000001</v>
      </c>
      <c r="G120" s="560">
        <f>IS!G26/10^6</f>
        <v>231.43616599999999</v>
      </c>
      <c r="H120" s="560">
        <f t="shared" ref="H120:L120" si="142">G120*(1+H$30)</f>
        <v>235.13914465599998</v>
      </c>
      <c r="I120" s="560">
        <f t="shared" si="142"/>
        <v>238.431092681184</v>
      </c>
      <c r="J120" s="560">
        <f t="shared" si="142"/>
        <v>241.76912797872058</v>
      </c>
      <c r="K120" s="560">
        <f t="shared" si="142"/>
        <v>245.87920315435881</v>
      </c>
      <c r="L120" s="563">
        <f t="shared" si="142"/>
        <v>250.05914960798287</v>
      </c>
      <c r="M120" s="173"/>
    </row>
    <row r="121" spans="2:13" s="159" customFormat="1" ht="14.1" customHeight="1" x14ac:dyDescent="0.3">
      <c r="B121" s="402" t="s">
        <v>37</v>
      </c>
      <c r="C121" s="43"/>
      <c r="D121" s="554" t="e">
        <f>D120/C120-1</f>
        <v>#DIV/0!</v>
      </c>
      <c r="E121" s="554">
        <f>E120/D120-1</f>
        <v>0.15032899616917228</v>
      </c>
      <c r="F121" s="554">
        <f>F120/E120-1</f>
        <v>0.1321621240137516</v>
      </c>
      <c r="G121" s="554">
        <f>G120/F120-1</f>
        <v>9.8015494838008088E-2</v>
      </c>
      <c r="H121" s="554">
        <f t="shared" ref="H121" si="143">H120/G120-1</f>
        <v>1.6000000000000014E-2</v>
      </c>
      <c r="I121" s="554">
        <f t="shared" ref="I121" si="144">I120/H120-1</f>
        <v>1.4000000000000012E-2</v>
      </c>
      <c r="J121" s="554">
        <f t="shared" ref="J121" si="145">J120/I120-1</f>
        <v>1.4000000000000012E-2</v>
      </c>
      <c r="K121" s="554">
        <f t="shared" ref="K121:L121" si="146">K120/J120-1</f>
        <v>1.6999999999999904E-2</v>
      </c>
      <c r="L121" s="555">
        <f t="shared" si="146"/>
        <v>1.6999999999999904E-2</v>
      </c>
      <c r="M121" s="173"/>
    </row>
    <row r="122" spans="2:13" s="159" customFormat="1" ht="14.1" customHeight="1" x14ac:dyDescent="0.3">
      <c r="B122" s="552" t="s">
        <v>489</v>
      </c>
      <c r="C122" s="43"/>
      <c r="D122" s="560">
        <f>IS!D28/10^6</f>
        <v>63.220033000000001</v>
      </c>
      <c r="E122" s="560">
        <f>IS!E28/10^6</f>
        <v>33.745489999999997</v>
      </c>
      <c r="F122" s="560">
        <f>IS!F28/10^6</f>
        <v>23.566706</v>
      </c>
      <c r="G122" s="560">
        <f>IS!G28/10^6</f>
        <v>42.356859999999998</v>
      </c>
      <c r="H122" s="560">
        <f t="shared" ref="H122:L122" si="147">G122*(1+H$30)</f>
        <v>43.034569759999997</v>
      </c>
      <c r="I122" s="560">
        <f t="shared" si="147"/>
        <v>43.637053736639999</v>
      </c>
      <c r="J122" s="560">
        <f t="shared" si="147"/>
        <v>44.247972488952961</v>
      </c>
      <c r="K122" s="560">
        <f t="shared" si="147"/>
        <v>45.00018802126516</v>
      </c>
      <c r="L122" s="563">
        <f t="shared" si="147"/>
        <v>45.765191217626665</v>
      </c>
      <c r="M122" s="891" t="s">
        <v>2146</v>
      </c>
    </row>
    <row r="123" spans="2:13" s="159" customFormat="1" ht="14.1" customHeight="1" x14ac:dyDescent="0.3">
      <c r="B123" s="402" t="s">
        <v>37</v>
      </c>
      <c r="C123" s="43"/>
      <c r="D123" s="554" t="e">
        <f>D122/C122-1</f>
        <v>#DIV/0!</v>
      </c>
      <c r="E123" s="554">
        <f>E122/D122-1</f>
        <v>-0.46622156935602999</v>
      </c>
      <c r="F123" s="554">
        <f>F122/E122-1</f>
        <v>-0.30163390722730643</v>
      </c>
      <c r="G123" s="554">
        <f>G122/F122-1</f>
        <v>0.79731779231259536</v>
      </c>
      <c r="H123" s="554">
        <f t="shared" ref="H123" si="148">H122/G122-1</f>
        <v>1.6000000000000014E-2</v>
      </c>
      <c r="I123" s="554">
        <f t="shared" ref="I123" si="149">I122/H122-1</f>
        <v>1.4000000000000012E-2</v>
      </c>
      <c r="J123" s="554">
        <f t="shared" ref="J123" si="150">J122/I122-1</f>
        <v>1.4000000000000012E-2</v>
      </c>
      <c r="K123" s="554">
        <f t="shared" ref="K123" si="151">K122/J122-1</f>
        <v>1.6999999999999904E-2</v>
      </c>
      <c r="L123" s="555"/>
      <c r="M123" s="173"/>
    </row>
    <row r="124" spans="2:13" s="159" customFormat="1" ht="14.1" customHeight="1" x14ac:dyDescent="0.3">
      <c r="B124" s="552" t="s">
        <v>490</v>
      </c>
      <c r="C124" s="43"/>
      <c r="D124" s="560">
        <f>IS!D29/10^6</f>
        <v>27.743929000000001</v>
      </c>
      <c r="E124" s="560">
        <f>IS!E29/10^6</f>
        <v>38.432264000000004</v>
      </c>
      <c r="F124" s="560">
        <f>IS!F29/10^6</f>
        <v>16.287403999999999</v>
      </c>
      <c r="G124" s="560">
        <f>IS!G29/10^6</f>
        <v>41.606155000000001</v>
      </c>
      <c r="H124" s="560">
        <f t="shared" ref="H124:L124" si="152">G124*(1+H$30)</f>
        <v>42.271853480000004</v>
      </c>
      <c r="I124" s="560">
        <f t="shared" si="152"/>
        <v>42.863659428720005</v>
      </c>
      <c r="J124" s="560">
        <f t="shared" si="152"/>
        <v>43.463750660722084</v>
      </c>
      <c r="K124" s="560">
        <f t="shared" si="152"/>
        <v>44.202634421954357</v>
      </c>
      <c r="L124" s="563">
        <f t="shared" si="152"/>
        <v>44.954079207127577</v>
      </c>
      <c r="M124" s="891" t="s">
        <v>2149</v>
      </c>
    </row>
    <row r="125" spans="2:13" s="159" customFormat="1" ht="14.1" customHeight="1" x14ac:dyDescent="0.3">
      <c r="B125" s="402" t="s">
        <v>37</v>
      </c>
      <c r="C125" s="43"/>
      <c r="D125" s="554" t="e">
        <f>D124/C124-1</f>
        <v>#DIV/0!</v>
      </c>
      <c r="E125" s="554">
        <f>E124/D124-1</f>
        <v>0.38524950809959191</v>
      </c>
      <c r="F125" s="554">
        <f>F124/E124-1</f>
        <v>-0.57620493031584097</v>
      </c>
      <c r="G125" s="554">
        <f>G124/F124-1</f>
        <v>1.5544988630477885</v>
      </c>
      <c r="H125" s="554">
        <f t="shared" ref="H125" si="153">H124/G124-1</f>
        <v>1.6000000000000014E-2</v>
      </c>
      <c r="I125" s="554">
        <f t="shared" ref="I125" si="154">I124/H124-1</f>
        <v>1.4000000000000012E-2</v>
      </c>
      <c r="J125" s="554">
        <f t="shared" ref="J125" si="155">J124/I124-1</f>
        <v>1.4000000000000012E-2</v>
      </c>
      <c r="K125" s="554">
        <f t="shared" ref="K125" si="156">K124/J124-1</f>
        <v>1.6999999999999904E-2</v>
      </c>
      <c r="L125" s="555"/>
      <c r="M125" s="173"/>
    </row>
    <row r="126" spans="2:13" s="159" customFormat="1" ht="14.1" customHeight="1" x14ac:dyDescent="0.3">
      <c r="B126" s="552" t="s">
        <v>491</v>
      </c>
      <c r="C126" s="43"/>
      <c r="D126" s="560">
        <f>IS!D30/10^6</f>
        <v>171.519408</v>
      </c>
      <c r="E126" s="560">
        <f>IS!E30/10^6</f>
        <v>128.521151</v>
      </c>
      <c r="F126" s="560">
        <f>IS!F30/10^6</f>
        <v>157.962628</v>
      </c>
      <c r="G126" s="560">
        <f>IS!G30/10^6</f>
        <v>145.510717</v>
      </c>
      <c r="H126" s="560">
        <f t="shared" ref="H126:L126" si="157">G126*(1+H$30)</f>
        <v>147.83888847200001</v>
      </c>
      <c r="I126" s="560">
        <f t="shared" si="157"/>
        <v>149.90863291060802</v>
      </c>
      <c r="J126" s="560">
        <f t="shared" si="157"/>
        <v>152.00735377135652</v>
      </c>
      <c r="K126" s="560">
        <f t="shared" si="157"/>
        <v>154.59147878546958</v>
      </c>
      <c r="L126" s="563">
        <f t="shared" si="157"/>
        <v>157.21953392482254</v>
      </c>
      <c r="M126" s="173"/>
    </row>
    <row r="127" spans="2:13" s="159" customFormat="1" ht="14.1" customHeight="1" x14ac:dyDescent="0.3">
      <c r="B127" s="402" t="s">
        <v>37</v>
      </c>
      <c r="C127" s="43"/>
      <c r="D127" s="554" t="e">
        <f>D126/C126-1</f>
        <v>#DIV/0!</v>
      </c>
      <c r="E127" s="554">
        <f>E126/D126-1</f>
        <v>-0.25069033004125107</v>
      </c>
      <c r="F127" s="554">
        <f>F126/E126-1</f>
        <v>0.2290788463293485</v>
      </c>
      <c r="G127" s="554">
        <f>G126/F126-1</f>
        <v>-7.8828208657050203E-2</v>
      </c>
      <c r="H127" s="554">
        <f t="shared" ref="H127" si="158">H126/G126-1</f>
        <v>1.6000000000000014E-2</v>
      </c>
      <c r="I127" s="554">
        <f t="shared" ref="I127" si="159">I126/H126-1</f>
        <v>1.4000000000000012E-2</v>
      </c>
      <c r="J127" s="554">
        <f t="shared" ref="J127" si="160">J126/I126-1</f>
        <v>1.4000000000000012E-2</v>
      </c>
      <c r="K127" s="554">
        <f t="shared" ref="K127" si="161">K126/J126-1</f>
        <v>1.6999999999999904E-2</v>
      </c>
      <c r="L127" s="555"/>
      <c r="M127" s="173"/>
    </row>
    <row r="128" spans="2:13" s="159" customFormat="1" ht="14.1" customHeight="1" x14ac:dyDescent="0.3">
      <c r="B128" s="552" t="s">
        <v>492</v>
      </c>
      <c r="C128" s="43"/>
      <c r="D128" s="560">
        <f>IS!D31/10^6</f>
        <v>30.115171</v>
      </c>
      <c r="E128" s="560">
        <f>IS!E31/10^6</f>
        <v>26.720154000000001</v>
      </c>
      <c r="F128" s="560">
        <f>IS!F31/10^6</f>
        <v>29.790707000000001</v>
      </c>
      <c r="G128" s="560">
        <f>IS!G31/10^6</f>
        <v>30.609743999999999</v>
      </c>
      <c r="H128" s="560">
        <f t="shared" ref="H128:L128" si="162">G128*(1+H$30)</f>
        <v>31.099499903999998</v>
      </c>
      <c r="I128" s="560">
        <f t="shared" si="162"/>
        <v>31.534892902655997</v>
      </c>
      <c r="J128" s="560">
        <f t="shared" si="162"/>
        <v>31.976381403293182</v>
      </c>
      <c r="K128" s="560">
        <f t="shared" si="162"/>
        <v>32.519979887149162</v>
      </c>
      <c r="L128" s="563">
        <f t="shared" si="162"/>
        <v>33.072819545230693</v>
      </c>
      <c r="M128" s="173"/>
    </row>
    <row r="129" spans="2:13" s="159" customFormat="1" ht="14.1" customHeight="1" x14ac:dyDescent="0.3">
      <c r="B129" s="402" t="s">
        <v>37</v>
      </c>
      <c r="C129" s="43"/>
      <c r="D129" s="554" t="e">
        <f>D128/C128-1</f>
        <v>#DIV/0!</v>
      </c>
      <c r="E129" s="554">
        <f>E128/D128-1</f>
        <v>-0.11273444205247907</v>
      </c>
      <c r="F129" s="554">
        <f>F128/E128-1</f>
        <v>0.11491524337771408</v>
      </c>
      <c r="G129" s="554">
        <f>G128/F128-1</f>
        <v>2.7493036670797943E-2</v>
      </c>
      <c r="H129" s="554">
        <f t="shared" ref="H129" si="163">H128/G128-1</f>
        <v>1.6000000000000014E-2</v>
      </c>
      <c r="I129" s="554">
        <f t="shared" ref="I129" si="164">I128/H128-1</f>
        <v>1.4000000000000012E-2</v>
      </c>
      <c r="J129" s="554">
        <f t="shared" ref="J129" si="165">J128/I128-1</f>
        <v>1.4000000000000012E-2</v>
      </c>
      <c r="K129" s="554">
        <f t="shared" ref="K129" si="166">K128/J128-1</f>
        <v>1.6999999999999904E-2</v>
      </c>
      <c r="L129" s="555"/>
      <c r="M129" s="173"/>
    </row>
    <row r="130" spans="2:13" s="159" customFormat="1" ht="14.1" customHeight="1" x14ac:dyDescent="0.3">
      <c r="B130" s="552" t="s">
        <v>493</v>
      </c>
      <c r="C130" s="43"/>
      <c r="D130" s="560">
        <f>IS!D33/10^6</f>
        <v>5.3711859999999998</v>
      </c>
      <c r="E130" s="560">
        <f>IS!E33/10^6</f>
        <v>3.50915</v>
      </c>
      <c r="F130" s="560">
        <f>IS!F33/10^6</f>
        <v>1.0549999999999999</v>
      </c>
      <c r="G130" s="560">
        <f>IS!G33/10^6</f>
        <v>2.0175000000000001</v>
      </c>
      <c r="H130" s="560">
        <f t="shared" ref="H130:L130" si="167">G130*(1+H$30)</f>
        <v>2.0497800000000002</v>
      </c>
      <c r="I130" s="560">
        <f t="shared" si="167"/>
        <v>2.0784769200000004</v>
      </c>
      <c r="J130" s="560">
        <f t="shared" si="167"/>
        <v>2.1075755968800003</v>
      </c>
      <c r="K130" s="560">
        <f t="shared" si="167"/>
        <v>2.1434043820269602</v>
      </c>
      <c r="L130" s="563">
        <f t="shared" si="167"/>
        <v>2.1798422565214182</v>
      </c>
      <c r="M130" s="173"/>
    </row>
    <row r="131" spans="2:13" s="159" customFormat="1" ht="14.1" customHeight="1" x14ac:dyDescent="0.3">
      <c r="B131" s="402" t="s">
        <v>37</v>
      </c>
      <c r="C131" s="43"/>
      <c r="D131" s="554" t="e">
        <f>D130/C130-1</f>
        <v>#DIV/0!</v>
      </c>
      <c r="E131" s="554">
        <f>E130/D130-1</f>
        <v>-0.34667129382598183</v>
      </c>
      <c r="F131" s="554">
        <f>F130/E130-1</f>
        <v>-0.69935739424077059</v>
      </c>
      <c r="G131" s="554">
        <f>G130/F130-1</f>
        <v>0.91232227488151674</v>
      </c>
      <c r="H131" s="554">
        <f t="shared" ref="H131" si="168">H130/G130-1</f>
        <v>1.6000000000000014E-2</v>
      </c>
      <c r="I131" s="554">
        <f t="shared" ref="I131" si="169">I130/H130-1</f>
        <v>1.4000000000000012E-2</v>
      </c>
      <c r="J131" s="554">
        <f t="shared" ref="J131" si="170">J130/I130-1</f>
        <v>1.4000000000000012E-2</v>
      </c>
      <c r="K131" s="554">
        <f t="shared" ref="K131" si="171">K130/J130-1</f>
        <v>1.6999999999999904E-2</v>
      </c>
      <c r="L131" s="555"/>
      <c r="M131" s="173"/>
    </row>
    <row r="132" spans="2:13" s="159" customFormat="1" ht="14.1" customHeight="1" x14ac:dyDescent="0.3">
      <c r="B132" s="552" t="s">
        <v>494</v>
      </c>
      <c r="C132" s="43"/>
      <c r="D132" s="560">
        <f>IS!D34/10^6</f>
        <v>51.397488000000003</v>
      </c>
      <c r="E132" s="560">
        <f>IS!E34/10^6</f>
        <v>41.474913000000001</v>
      </c>
      <c r="F132" s="560">
        <f>IS!F34/10^6</f>
        <v>55.511367</v>
      </c>
      <c r="G132" s="560">
        <f>IS!G34/10^6</f>
        <v>24.837910999999998</v>
      </c>
      <c r="H132" s="560">
        <f t="shared" ref="H132:L132" si="172">G132*(1+H$30)</f>
        <v>25.235317576</v>
      </c>
      <c r="I132" s="560">
        <f t="shared" si="172"/>
        <v>25.588612022064002</v>
      </c>
      <c r="J132" s="560">
        <f t="shared" si="172"/>
        <v>25.946852590372899</v>
      </c>
      <c r="K132" s="560">
        <f t="shared" si="172"/>
        <v>26.387949084409236</v>
      </c>
      <c r="L132" s="563">
        <f t="shared" si="172"/>
        <v>26.836544218844189</v>
      </c>
      <c r="M132" s="173"/>
    </row>
    <row r="133" spans="2:13" s="159" customFormat="1" ht="14.1" customHeight="1" x14ac:dyDescent="0.3">
      <c r="B133" s="402" t="s">
        <v>37</v>
      </c>
      <c r="C133" s="43"/>
      <c r="D133" s="554" t="e">
        <f>D132/C132-1</f>
        <v>#DIV/0!</v>
      </c>
      <c r="E133" s="554">
        <f>E132/D132-1</f>
        <v>-0.19305564116285223</v>
      </c>
      <c r="F133" s="554">
        <f>F132/E132-1</f>
        <v>0.33843239164841643</v>
      </c>
      <c r="G133" s="554">
        <f>G132/F132-1</f>
        <v>-0.55256171227056972</v>
      </c>
      <c r="H133" s="554">
        <f t="shared" ref="H133" si="173">H132/G132-1</f>
        <v>1.6000000000000014E-2</v>
      </c>
      <c r="I133" s="554">
        <f t="shared" ref="I133" si="174">I132/H132-1</f>
        <v>1.4000000000000012E-2</v>
      </c>
      <c r="J133" s="554">
        <f t="shared" ref="J133" si="175">J132/I132-1</f>
        <v>1.4000000000000012E-2</v>
      </c>
      <c r="K133" s="554">
        <f t="shared" ref="K133" si="176">K132/J132-1</f>
        <v>1.6999999999999904E-2</v>
      </c>
      <c r="L133" s="555"/>
      <c r="M133" s="173"/>
    </row>
    <row r="134" spans="2:13" s="159" customFormat="1" ht="14.1" customHeight="1" x14ac:dyDescent="0.3">
      <c r="B134" s="552" t="s">
        <v>495</v>
      </c>
      <c r="C134" s="43"/>
      <c r="D134" s="560">
        <f>IS!D35/10^6</f>
        <v>7.2260140000000002</v>
      </c>
      <c r="E134" s="560">
        <f>IS!E35/10^6</f>
        <v>8.6567500000000006</v>
      </c>
      <c r="F134" s="560">
        <f>IS!F35/10^6</f>
        <v>5.7069099999999997</v>
      </c>
      <c r="G134" s="560">
        <f>IS!G35/10^6</f>
        <v>5.2728580000000003</v>
      </c>
      <c r="H134" s="560">
        <f t="shared" ref="H134:L134" si="177">G134*(1+H$30)</f>
        <v>5.3572237280000001</v>
      </c>
      <c r="I134" s="560">
        <f t="shared" si="177"/>
        <v>5.432224860192</v>
      </c>
      <c r="J134" s="560">
        <f t="shared" si="177"/>
        <v>5.508276008234688</v>
      </c>
      <c r="K134" s="560">
        <f t="shared" si="177"/>
        <v>5.6019167003746775</v>
      </c>
      <c r="L134" s="563">
        <f t="shared" si="177"/>
        <v>5.6971492842810463</v>
      </c>
      <c r="M134" s="173"/>
    </row>
    <row r="135" spans="2:13" s="159" customFormat="1" ht="14.1" customHeight="1" x14ac:dyDescent="0.3">
      <c r="B135" s="402" t="s">
        <v>37</v>
      </c>
      <c r="C135" s="43"/>
      <c r="D135" s="554" t="e">
        <f>D134/C134-1</f>
        <v>#DIV/0!</v>
      </c>
      <c r="E135" s="554">
        <f>E134/D134-1</f>
        <v>0.19799795571943268</v>
      </c>
      <c r="F135" s="554">
        <f>F134/E134-1</f>
        <v>-0.34075605741184634</v>
      </c>
      <c r="G135" s="554">
        <f>G134/F134-1</f>
        <v>-7.6057270922443077E-2</v>
      </c>
      <c r="H135" s="554">
        <f t="shared" ref="H135" si="178">H134/G134-1</f>
        <v>1.6000000000000014E-2</v>
      </c>
      <c r="I135" s="554">
        <f t="shared" ref="I135" si="179">I134/H134-1</f>
        <v>1.4000000000000012E-2</v>
      </c>
      <c r="J135" s="554">
        <f t="shared" ref="J135" si="180">J134/I134-1</f>
        <v>1.4000000000000012E-2</v>
      </c>
      <c r="K135" s="554">
        <f t="shared" ref="K135" si="181">K134/J134-1</f>
        <v>1.6999999999999904E-2</v>
      </c>
      <c r="L135" s="555"/>
      <c r="M135" s="173"/>
    </row>
    <row r="136" spans="2:13" s="159" customFormat="1" ht="14.1" customHeight="1" x14ac:dyDescent="0.3">
      <c r="B136" s="552" t="s">
        <v>496</v>
      </c>
      <c r="C136" s="43"/>
      <c r="D136" s="560">
        <f>IS!D36/10^6</f>
        <v>352.29311899999999</v>
      </c>
      <c r="E136" s="560">
        <f>IS!E36/10^6</f>
        <v>279.768484</v>
      </c>
      <c r="F136" s="560">
        <f>IS!F36/10^6</f>
        <v>459.15963799999997</v>
      </c>
      <c r="G136" s="560">
        <f>IS!G36/10^6</f>
        <v>262.64807400000001</v>
      </c>
      <c r="H136" s="560">
        <f t="shared" ref="H136:L136" si="182">G136*(1+H$30)</f>
        <v>266.85044318400003</v>
      </c>
      <c r="I136" s="560">
        <f t="shared" si="182"/>
        <v>270.58634938857602</v>
      </c>
      <c r="J136" s="560">
        <f t="shared" si="182"/>
        <v>274.37455828001612</v>
      </c>
      <c r="K136" s="560">
        <f t="shared" si="182"/>
        <v>279.03892577077636</v>
      </c>
      <c r="L136" s="563">
        <f t="shared" si="182"/>
        <v>283.78258750887954</v>
      </c>
      <c r="M136" s="173"/>
    </row>
    <row r="137" spans="2:13" s="159" customFormat="1" ht="14.1" customHeight="1" x14ac:dyDescent="0.3">
      <c r="B137" s="402" t="s">
        <v>37</v>
      </c>
      <c r="C137" s="43"/>
      <c r="D137" s="554" t="e">
        <f>D136/C136-1</f>
        <v>#DIV/0!</v>
      </c>
      <c r="E137" s="554">
        <f>E136/D136-1</f>
        <v>-0.20586446651545298</v>
      </c>
      <c r="F137" s="554">
        <f>F136/E136-1</f>
        <v>0.64121287514286274</v>
      </c>
      <c r="G137" s="554">
        <f>G136/F136-1</f>
        <v>-0.42798091935075522</v>
      </c>
      <c r="H137" s="554">
        <f t="shared" ref="H137" si="183">H136/G136-1</f>
        <v>1.6000000000000014E-2</v>
      </c>
      <c r="I137" s="554">
        <f t="shared" ref="I137" si="184">I136/H136-1</f>
        <v>1.4000000000000012E-2</v>
      </c>
      <c r="J137" s="554">
        <f t="shared" ref="J137" si="185">J136/I136-1</f>
        <v>1.4000000000000012E-2</v>
      </c>
      <c r="K137" s="554">
        <f t="shared" ref="K137" si="186">K136/J136-1</f>
        <v>1.6999999999999904E-2</v>
      </c>
      <c r="L137" s="555"/>
      <c r="M137" s="173"/>
    </row>
    <row r="138" spans="2:13" s="159" customFormat="1" ht="14.1" customHeight="1" x14ac:dyDescent="0.3">
      <c r="B138" s="552" t="s">
        <v>497</v>
      </c>
      <c r="C138" s="43"/>
      <c r="D138" s="560">
        <f>IS!D39/10^6</f>
        <v>25.205850000000002</v>
      </c>
      <c r="E138" s="560">
        <f>IS!E39/10^6</f>
        <v>3.4800409999999999</v>
      </c>
      <c r="F138" s="560">
        <f>IS!F39/10^6</f>
        <v>21.744554999999998</v>
      </c>
      <c r="G138" s="560">
        <f>IS!G39/10^6</f>
        <v>40.277329000000002</v>
      </c>
      <c r="H138" s="560">
        <f t="shared" ref="H138:L138" si="187">G138*(1+H$30)</f>
        <v>40.921766264000006</v>
      </c>
      <c r="I138" s="560">
        <f t="shared" si="187"/>
        <v>41.494670991696005</v>
      </c>
      <c r="J138" s="560">
        <f t="shared" si="187"/>
        <v>42.07559638557975</v>
      </c>
      <c r="K138" s="560">
        <f t="shared" si="187"/>
        <v>42.790881524134605</v>
      </c>
      <c r="L138" s="563">
        <f t="shared" si="187"/>
        <v>43.518326510044886</v>
      </c>
      <c r="M138" s="891" t="s">
        <v>2150</v>
      </c>
    </row>
    <row r="139" spans="2:13" s="159" customFormat="1" ht="14.1" customHeight="1" x14ac:dyDescent="0.3">
      <c r="B139" s="402" t="s">
        <v>37</v>
      </c>
      <c r="C139" s="43"/>
      <c r="D139" s="554" t="e">
        <f>D138/C138-1</f>
        <v>#DIV/0!</v>
      </c>
      <c r="E139" s="554">
        <f>E138/D138-1</f>
        <v>-0.86193518568110183</v>
      </c>
      <c r="F139" s="554">
        <f>F138/E138-1</f>
        <v>5.2483617290715827</v>
      </c>
      <c r="G139" s="554">
        <f>G138/F138-1</f>
        <v>0.85229493084590624</v>
      </c>
      <c r="H139" s="554">
        <f t="shared" ref="H139" si="188">H138/G138-1</f>
        <v>1.6000000000000014E-2</v>
      </c>
      <c r="I139" s="554">
        <f t="shared" ref="I139" si="189">I138/H138-1</f>
        <v>1.4000000000000012E-2</v>
      </c>
      <c r="J139" s="554">
        <f t="shared" ref="J139" si="190">J138/I138-1</f>
        <v>1.4000000000000012E-2</v>
      </c>
      <c r="K139" s="554">
        <f t="shared" ref="K139" si="191">K138/J138-1</f>
        <v>1.6999999999999904E-2</v>
      </c>
      <c r="L139" s="555"/>
      <c r="M139" s="173"/>
    </row>
    <row r="140" spans="2:13" s="159" customFormat="1" ht="14.1" customHeight="1" x14ac:dyDescent="0.3">
      <c r="B140" s="552" t="s">
        <v>499</v>
      </c>
      <c r="C140" s="43"/>
      <c r="D140" s="560">
        <f>IS!D44/10^6</f>
        <v>11.574769999999999</v>
      </c>
      <c r="E140" s="560">
        <f>IS!E44/10^6</f>
        <v>15.45074</v>
      </c>
      <c r="F140" s="560">
        <f>IS!F44/10^6</f>
        <v>6.2157780000000002</v>
      </c>
      <c r="G140" s="560">
        <f>IS!G44/10^6</f>
        <v>1.29332</v>
      </c>
      <c r="H140" s="560">
        <f t="shared" ref="H140:L140" si="192">G140*(1+H$30)</f>
        <v>1.31401312</v>
      </c>
      <c r="I140" s="560">
        <f t="shared" si="192"/>
        <v>1.33240930368</v>
      </c>
      <c r="J140" s="560">
        <f t="shared" si="192"/>
        <v>1.3510630339315199</v>
      </c>
      <c r="K140" s="560">
        <f t="shared" si="192"/>
        <v>1.3740311055083556</v>
      </c>
      <c r="L140" s="563">
        <f t="shared" si="192"/>
        <v>1.3973896343019976</v>
      </c>
      <c r="M140" s="173"/>
    </row>
    <row r="141" spans="2:13" s="159" customFormat="1" ht="14.1" customHeight="1" x14ac:dyDescent="0.3">
      <c r="B141" s="402" t="s">
        <v>37</v>
      </c>
      <c r="C141" s="43"/>
      <c r="D141" s="554" t="e">
        <f>D140/C140-1</f>
        <v>#DIV/0!</v>
      </c>
      <c r="E141" s="554">
        <f>E140/D140-1</f>
        <v>0.33486367331705091</v>
      </c>
      <c r="F141" s="554">
        <f>F140/E140-1</f>
        <v>-0.59770354041295115</v>
      </c>
      <c r="G141" s="554">
        <f>G140/F140-1</f>
        <v>-0.79192950584786004</v>
      </c>
      <c r="H141" s="554">
        <f t="shared" ref="H141" si="193">H140/G140-1</f>
        <v>1.6000000000000014E-2</v>
      </c>
      <c r="I141" s="554">
        <f t="shared" ref="I141" si="194">I140/H140-1</f>
        <v>1.4000000000000012E-2</v>
      </c>
      <c r="J141" s="554">
        <f t="shared" ref="J141" si="195">J140/I140-1</f>
        <v>1.4000000000000012E-2</v>
      </c>
      <c r="K141" s="554">
        <f t="shared" ref="K141" si="196">K140/J140-1</f>
        <v>1.6999999999999904E-2</v>
      </c>
      <c r="L141" s="555"/>
      <c r="M141" s="173"/>
    </row>
    <row r="142" spans="2:13" s="159" customFormat="1" ht="14.1" customHeight="1" x14ac:dyDescent="0.3">
      <c r="B142" s="552" t="s">
        <v>500</v>
      </c>
      <c r="C142" s="43"/>
      <c r="D142" s="560">
        <f>IS!D45/10^6</f>
        <v>84.167381000000006</v>
      </c>
      <c r="E142" s="560">
        <f>IS!E45/10^6</f>
        <v>134.97154499999999</v>
      </c>
      <c r="F142" s="560">
        <f>IS!F45/10^6</f>
        <v>190.1148</v>
      </c>
      <c r="G142" s="560">
        <f>IS!G45/10^6</f>
        <v>156.43799999999999</v>
      </c>
      <c r="H142" s="560">
        <f t="shared" ref="H142:L142" si="197">G142*(1+H$30)</f>
        <v>158.94100799999998</v>
      </c>
      <c r="I142" s="560">
        <f t="shared" si="197"/>
        <v>161.16618211199997</v>
      </c>
      <c r="J142" s="560">
        <f t="shared" si="197"/>
        <v>163.42250866156797</v>
      </c>
      <c r="K142" s="560">
        <f t="shared" si="197"/>
        <v>166.20069130881461</v>
      </c>
      <c r="L142" s="563">
        <f t="shared" si="197"/>
        <v>169.02610306106445</v>
      </c>
      <c r="M142" s="891" t="s">
        <v>2147</v>
      </c>
    </row>
    <row r="143" spans="2:13" s="159" customFormat="1" ht="14.1" customHeight="1" x14ac:dyDescent="0.3">
      <c r="B143" s="402" t="s">
        <v>37</v>
      </c>
      <c r="C143" s="43"/>
      <c r="D143" s="554" t="e">
        <f>D142/C142-1</f>
        <v>#DIV/0!</v>
      </c>
      <c r="E143" s="554">
        <f>E142/D142-1</f>
        <v>0.60360870679818324</v>
      </c>
      <c r="F143" s="554">
        <f>F142/E142-1</f>
        <v>0.408554669800957</v>
      </c>
      <c r="G143" s="554">
        <f>G142/F142-1</f>
        <v>-0.17713928636802612</v>
      </c>
      <c r="H143" s="554">
        <f t="shared" ref="H143" si="198">H142/G142-1</f>
        <v>1.6000000000000014E-2</v>
      </c>
      <c r="I143" s="554">
        <f t="shared" ref="I143" si="199">I142/H142-1</f>
        <v>1.4000000000000012E-2</v>
      </c>
      <c r="J143" s="554">
        <f t="shared" ref="J143" si="200">J142/I142-1</f>
        <v>1.4000000000000012E-2</v>
      </c>
      <c r="K143" s="554">
        <f t="shared" ref="K143" si="201">K142/J142-1</f>
        <v>1.6999999999999904E-2</v>
      </c>
      <c r="L143" s="555"/>
      <c r="M143" s="173"/>
    </row>
    <row r="144" spans="2:13" s="159" customFormat="1" ht="14.1" customHeight="1" thickBot="1" x14ac:dyDescent="0.35">
      <c r="B144" s="405"/>
      <c r="C144" s="406"/>
      <c r="D144" s="406"/>
      <c r="E144" s="406"/>
      <c r="F144" s="406"/>
      <c r="G144" s="406"/>
      <c r="H144" s="406"/>
      <c r="I144" s="406"/>
      <c r="J144" s="406"/>
      <c r="K144" s="406"/>
      <c r="L144" s="407"/>
      <c r="M144" s="111"/>
    </row>
    <row r="145" spans="2:20" s="159" customFormat="1" ht="14.1" customHeight="1" x14ac:dyDescent="0.3">
      <c r="G145" s="651"/>
      <c r="J145" s="108"/>
      <c r="K145" s="108"/>
      <c r="L145" s="108"/>
    </row>
    <row r="146" spans="2:20" s="159" customFormat="1" ht="14.1" customHeight="1" x14ac:dyDescent="0.3">
      <c r="B146" s="392" t="s">
        <v>146</v>
      </c>
      <c r="C146" s="393"/>
      <c r="D146" s="393"/>
      <c r="E146" s="393"/>
      <c r="F146" s="393"/>
      <c r="G146" s="420"/>
      <c r="H146" s="393"/>
      <c r="I146" s="393"/>
      <c r="J146" s="393"/>
      <c r="K146" s="393"/>
      <c r="L146" s="394"/>
    </row>
    <row r="147" spans="2:20" s="65" customFormat="1" ht="14.1" customHeight="1" x14ac:dyDescent="0.3">
      <c r="B147" s="395" t="str">
        <f>unit</f>
        <v>KRW Million</v>
      </c>
      <c r="C147" s="396"/>
      <c r="D147" s="396">
        <f>'Pro forma'!D$5</f>
        <v>2014</v>
      </c>
      <c r="E147" s="396">
        <f>'Pro forma'!E$5</f>
        <v>2015</v>
      </c>
      <c r="F147" s="396">
        <f>'Pro forma'!F$5</f>
        <v>2016</v>
      </c>
      <c r="G147" s="397">
        <f>'Pro forma'!G$5</f>
        <v>2017</v>
      </c>
      <c r="H147" s="398">
        <f>'Pro forma'!H$5</f>
        <v>2018</v>
      </c>
      <c r="I147" s="398">
        <f>'Pro forma'!I$5</f>
        <v>2019</v>
      </c>
      <c r="J147" s="398">
        <f>'Pro forma'!J$5</f>
        <v>2020</v>
      </c>
      <c r="K147" s="398">
        <f>'Pro forma'!K$5</f>
        <v>2021</v>
      </c>
      <c r="L147" s="399">
        <f>K147+1</f>
        <v>2022</v>
      </c>
    </row>
    <row r="148" spans="2:20" s="65" customFormat="1" ht="14.1" customHeight="1" x14ac:dyDescent="0.3">
      <c r="B148" s="408" t="s">
        <v>146</v>
      </c>
      <c r="C148" s="409"/>
      <c r="D148" s="412">
        <f>D153+D156</f>
        <v>206.68938399999999</v>
      </c>
      <c r="E148" s="412">
        <f>E153+E156</f>
        <v>232.27311</v>
      </c>
      <c r="F148" s="412">
        <f>F153+F156</f>
        <v>445.16006700000003</v>
      </c>
      <c r="G148" s="412">
        <f t="shared" ref="G148" si="202">G153+G156</f>
        <v>540.217084</v>
      </c>
      <c r="H148" s="412">
        <f>H151*'CapEx&amp;Dep'!H$64</f>
        <v>512.10405619835103</v>
      </c>
      <c r="I148" s="412">
        <f>I151*'CapEx&amp;Dep'!I$64</f>
        <v>547.21654700590273</v>
      </c>
      <c r="J148" s="412">
        <f>J151*'CapEx&amp;Dep'!J$64</f>
        <v>667.33236424404856</v>
      </c>
      <c r="K148" s="412">
        <f>K151*'CapEx&amp;Dep'!K$64</f>
        <v>884.73644492720655</v>
      </c>
      <c r="L148" s="413">
        <f>L151*'CapEx&amp;Dep'!L$64</f>
        <v>1015.5073433454936</v>
      </c>
      <c r="M148" s="112"/>
    </row>
    <row r="149" spans="2:20" s="80" customFormat="1" ht="14.1" customHeight="1" x14ac:dyDescent="0.3">
      <c r="B149" s="402" t="s">
        <v>143</v>
      </c>
      <c r="C149" s="58"/>
      <c r="D149" s="554" t="e">
        <f>D148/C148-1</f>
        <v>#DIV/0!</v>
      </c>
      <c r="E149" s="554">
        <f>E148/D148-1</f>
        <v>0.12377861651568911</v>
      </c>
      <c r="F149" s="554">
        <f>F148/E148-1</f>
        <v>0.91653724789752911</v>
      </c>
      <c r="G149" s="554">
        <f>G148/F148-1</f>
        <v>0.21353446557011146</v>
      </c>
      <c r="H149" s="554">
        <f t="shared" ref="H149" si="203">H148/G148-1</f>
        <v>-5.2040242032865724E-2</v>
      </c>
      <c r="I149" s="554">
        <f t="shared" ref="I149" si="204">I148/H148-1</f>
        <v>6.8565148786776442E-2</v>
      </c>
      <c r="J149" s="554">
        <f t="shared" ref="J149" si="205">J148/I148-1</f>
        <v>0.21950326227406669</v>
      </c>
      <c r="K149" s="554">
        <f t="shared" ref="K149" si="206">K148/J148-1</f>
        <v>0.32578081377700374</v>
      </c>
      <c r="L149" s="555"/>
      <c r="M149" s="172"/>
    </row>
    <row r="150" spans="2:20" s="159" customFormat="1" ht="14.1" customHeight="1" x14ac:dyDescent="0.3">
      <c r="B150" s="403" t="s">
        <v>58</v>
      </c>
      <c r="C150" s="43"/>
      <c r="D150" s="43">
        <f>D148/D$33</f>
        <v>4.986749915429467E-3</v>
      </c>
      <c r="E150" s="43">
        <f t="shared" ref="E150:L150" si="207">E148/E$33</f>
        <v>3.8068573070761031E-3</v>
      </c>
      <c r="F150" s="43">
        <f t="shared" si="207"/>
        <v>5.4787066537210372E-3</v>
      </c>
      <c r="G150" s="43">
        <f t="shared" si="207"/>
        <v>5.9888396353293249E-3</v>
      </c>
      <c r="H150" s="43">
        <f t="shared" si="207"/>
        <v>3.7105971027922339E-3</v>
      </c>
      <c r="I150" s="43">
        <f t="shared" si="207"/>
        <v>3.004191265927738E-3</v>
      </c>
      <c r="J150" s="43">
        <f t="shared" si="207"/>
        <v>3.2721221806738736E-3</v>
      </c>
      <c r="K150" s="43">
        <f t="shared" si="207"/>
        <v>3.3869828939960532E-3</v>
      </c>
      <c r="L150" s="404">
        <f t="shared" si="207"/>
        <v>3.3756129460371484E-3</v>
      </c>
      <c r="M150" s="111"/>
    </row>
    <row r="151" spans="2:20" s="159" customFormat="1" ht="14.1" customHeight="1" x14ac:dyDescent="0.3">
      <c r="B151" s="403" t="s">
        <v>147</v>
      </c>
      <c r="C151" s="43"/>
      <c r="D151" s="52">
        <f>D148/'CapEx&amp;Dep'!D$64</f>
        <v>0.28448765367526829</v>
      </c>
      <c r="E151" s="52">
        <f>E148/'CapEx&amp;Dep'!E$64</f>
        <v>0.31101868738400729</v>
      </c>
      <c r="F151" s="52">
        <f>F148/'CapEx&amp;Dep'!F$64</f>
        <v>0.41112735562843389</v>
      </c>
      <c r="G151" s="52">
        <f>G148/'CapEx&amp;Dep'!G$64</f>
        <v>0.4658353435306461</v>
      </c>
      <c r="H151" s="52">
        <f>G151</f>
        <v>0.4658353435306461</v>
      </c>
      <c r="I151" s="52">
        <f>H151</f>
        <v>0.4658353435306461</v>
      </c>
      <c r="J151" s="52">
        <f t="shared" ref="J151:K151" si="208">I151</f>
        <v>0.4658353435306461</v>
      </c>
      <c r="K151" s="52">
        <f t="shared" si="208"/>
        <v>0.4658353435306461</v>
      </c>
      <c r="L151" s="414">
        <f>K151</f>
        <v>0.4658353435306461</v>
      </c>
      <c r="M151" s="173"/>
      <c r="N151" s="1298">
        <f>E151+매출원가!E246</f>
        <v>0.99946573372011971</v>
      </c>
      <c r="O151" s="1298">
        <f>F151+매출원가!F246</f>
        <v>0.87967940137213119</v>
      </c>
      <c r="P151" s="1298">
        <f>G151+매출원가!G246</f>
        <v>1.011727789624224</v>
      </c>
      <c r="Q151" s="1298">
        <f>H151+매출원가!H246</f>
        <v>1.011727789624224</v>
      </c>
      <c r="R151" s="1298">
        <f>I151+매출원가!I246</f>
        <v>1.011727789624224</v>
      </c>
      <c r="S151" s="1298">
        <f>J151+매출원가!J246</f>
        <v>1.011727789624224</v>
      </c>
      <c r="T151" s="1298">
        <f>K151+매출원가!K246</f>
        <v>1.011727789624224</v>
      </c>
    </row>
    <row r="152" spans="2:20" s="159" customFormat="1" ht="14.1" customHeight="1" x14ac:dyDescent="0.3">
      <c r="B152" s="403"/>
      <c r="C152" s="43"/>
      <c r="D152" s="52"/>
      <c r="E152" s="52"/>
      <c r="F152" s="52"/>
      <c r="G152" s="43"/>
      <c r="H152" s="52"/>
      <c r="I152" s="52"/>
      <c r="J152" s="52"/>
      <c r="K152" s="52"/>
      <c r="L152" s="414"/>
      <c r="M152" s="173"/>
    </row>
    <row r="153" spans="2:20" s="159" customFormat="1" ht="14.1" customHeight="1" x14ac:dyDescent="0.3">
      <c r="B153" s="552" t="s">
        <v>3024</v>
      </c>
      <c r="C153" s="43"/>
      <c r="D153" s="560">
        <f>IS!D27/10^6</f>
        <v>196.159651</v>
      </c>
      <c r="E153" s="560">
        <f>IS!E27/10^6</f>
        <v>201.24937800000001</v>
      </c>
      <c r="F153" s="560">
        <f>IS!F27/10^6</f>
        <v>253.22008500000001</v>
      </c>
      <c r="G153" s="560">
        <f>IS!G27/10^6</f>
        <v>288.33949100000001</v>
      </c>
      <c r="H153" s="560">
        <f>H154*('CapEx&amp;Dep'!H66+'CapEx&amp;Dep'!H79)</f>
        <v>273.69902110710336</v>
      </c>
      <c r="I153" s="560">
        <f>I154*('CapEx&amp;Dep'!I66+'CapEx&amp;Dep'!I79)</f>
        <v>300.68859065654931</v>
      </c>
      <c r="J153" s="560">
        <f>J154*('CapEx&amp;Dep'!J66+'CapEx&amp;Dep'!J79)</f>
        <v>380.78387705460057</v>
      </c>
      <c r="K153" s="560">
        <f>K154*('CapEx&amp;Dep'!K66+'CapEx&amp;Dep'!K79)</f>
        <v>526.9780017455555</v>
      </c>
      <c r="L153" s="563">
        <f>L154*('CapEx&amp;Dep'!L66+'CapEx&amp;Dep'!L79)</f>
        <v>615.73596177970023</v>
      </c>
      <c r="M153" s="173"/>
    </row>
    <row r="154" spans="2:20" s="159" customFormat="1" ht="14.1" customHeight="1" x14ac:dyDescent="0.3">
      <c r="B154" s="960" t="s">
        <v>3026</v>
      </c>
      <c r="C154" s="1038">
        <f>AVERAGE(E154:G154)</f>
        <v>0.30865684053448139</v>
      </c>
      <c r="D154" s="1037">
        <f>D153/'CapEx&amp;Dep'!D66+'CapEx&amp;Dep'!D79</f>
        <v>0.27396522775076049</v>
      </c>
      <c r="E154" s="1037">
        <f>E153/'CapEx&amp;Dep'!E66+'CapEx&amp;Dep'!E79</f>
        <v>0.28115701253160846</v>
      </c>
      <c r="F154" s="1037">
        <f>F153/'CapEx&amp;Dep'!F66+'CapEx&amp;Dep'!F79</f>
        <v>0.32718774590434002</v>
      </c>
      <c r="G154" s="1037">
        <f>G153/'CapEx&amp;Dep'!G66+'CapEx&amp;Dep'!G79</f>
        <v>0.31762576316749563</v>
      </c>
      <c r="H154" s="1037">
        <f>C154</f>
        <v>0.30865684053448139</v>
      </c>
      <c r="I154" s="1037">
        <f>H154</f>
        <v>0.30865684053448139</v>
      </c>
      <c r="J154" s="1037">
        <f t="shared" ref="J154:L154" si="209">I154</f>
        <v>0.30865684053448139</v>
      </c>
      <c r="K154" s="1037">
        <f t="shared" si="209"/>
        <v>0.30865684053448139</v>
      </c>
      <c r="L154" s="1039">
        <f t="shared" si="209"/>
        <v>0.30865684053448139</v>
      </c>
      <c r="M154" s="173"/>
    </row>
    <row r="155" spans="2:20" s="159" customFormat="1" ht="14.1" customHeight="1" x14ac:dyDescent="0.3">
      <c r="B155" s="552"/>
      <c r="C155" s="43"/>
      <c r="D155" s="52"/>
      <c r="E155" s="52"/>
      <c r="F155" s="52"/>
      <c r="G155" s="43"/>
      <c r="H155" s="52"/>
      <c r="I155" s="52"/>
      <c r="J155" s="52"/>
      <c r="K155" s="52"/>
      <c r="L155" s="414"/>
      <c r="M155" s="173"/>
    </row>
    <row r="156" spans="2:20" s="159" customFormat="1" ht="14.1" customHeight="1" x14ac:dyDescent="0.3">
      <c r="B156" s="552" t="s">
        <v>3025</v>
      </c>
      <c r="C156" s="43"/>
      <c r="D156" s="560">
        <f>IS!D42/10^6</f>
        <v>10.529733</v>
      </c>
      <c r="E156" s="560">
        <f>IS!E42/10^6</f>
        <v>31.023731999999999</v>
      </c>
      <c r="F156" s="560">
        <f>IS!F42/10^6</f>
        <v>191.93998199999999</v>
      </c>
      <c r="G156" s="560">
        <f>IS!G42/10^6</f>
        <v>251.87759299999999</v>
      </c>
      <c r="H156" s="560">
        <f>H158*('CapEx&amp;Dep'!H75+'CapEx&amp;Dep'!J97)</f>
        <v>351.78399041057162</v>
      </c>
      <c r="I156" s="560">
        <f>I158*('CapEx&amp;Dep'!I75+'CapEx&amp;Dep'!I97)</f>
        <v>175.21422695478316</v>
      </c>
      <c r="J156" s="560">
        <f>J158*('CapEx&amp;Dep'!J75+'CapEx&amp;Dep'!J97)</f>
        <v>339.80172132258076</v>
      </c>
      <c r="K156" s="560">
        <f>K158*('CapEx&amp;Dep'!K75+'CapEx&amp;Dep'!K97)</f>
        <v>499.75532514032045</v>
      </c>
      <c r="L156" s="563">
        <f>L158*('CapEx&amp;Dep'!L75+'CapEx&amp;Dep'!L97)</f>
        <v>493.77970788025158</v>
      </c>
      <c r="M156" s="560"/>
    </row>
    <row r="157" spans="2:20" s="159" customFormat="1" ht="14.1" customHeight="1" x14ac:dyDescent="0.3">
      <c r="B157" s="558" t="s">
        <v>2744</v>
      </c>
      <c r="C157" s="43"/>
      <c r="D157" s="560"/>
      <c r="E157" s="560"/>
      <c r="F157" s="560"/>
      <c r="G157" s="560"/>
      <c r="H157" s="560"/>
      <c r="I157" s="560"/>
      <c r="J157" s="560"/>
      <c r="K157" s="560"/>
      <c r="L157" s="563"/>
      <c r="M157" s="173"/>
    </row>
    <row r="158" spans="2:20" s="159" customFormat="1" ht="14.1" customHeight="1" x14ac:dyDescent="0.3">
      <c r="B158" s="837" t="s">
        <v>503</v>
      </c>
      <c r="C158" s="1038">
        <f>AVERAGE(E158:G158)</f>
        <v>0.87381934488962065</v>
      </c>
      <c r="D158" s="1037">
        <f>D156/('CapEx&amp;Dep'!D75+'CapEx&amp;Dep'!D97)</f>
        <v>0.99997464387464396</v>
      </c>
      <c r="E158" s="1037">
        <f>E156/('CapEx&amp;Dep'!E75+'CapEx&amp;Dep'!E97)</f>
        <v>0.99999136152655999</v>
      </c>
      <c r="F158" s="1037">
        <f>F156/('CapEx&amp;Dep'!F75+'CapEx&amp;Dep'!F97)</f>
        <v>0.62146667314230197</v>
      </c>
      <c r="G158" s="1037">
        <f>G156/('CapEx&amp;Dep'!G75+'CapEx&amp;Dep'!G97)</f>
        <v>1</v>
      </c>
      <c r="H158" s="1037">
        <f>C158</f>
        <v>0.87381934488962065</v>
      </c>
      <c r="I158" s="1037">
        <f>H158</f>
        <v>0.87381934488962065</v>
      </c>
      <c r="J158" s="1037">
        <f t="shared" ref="J158:L158" si="210">I158</f>
        <v>0.87381934488962065</v>
      </c>
      <c r="K158" s="1037">
        <f t="shared" si="210"/>
        <v>0.87381934488962065</v>
      </c>
      <c r="L158" s="1039">
        <f t="shared" si="210"/>
        <v>0.87381934488962065</v>
      </c>
      <c r="M158" s="173"/>
    </row>
    <row r="159" spans="2:20" s="159" customFormat="1" ht="14.1" customHeight="1" x14ac:dyDescent="0.3">
      <c r="B159" s="403"/>
      <c r="C159" s="43"/>
      <c r="D159" s="52"/>
      <c r="E159" s="52"/>
      <c r="F159" s="52"/>
      <c r="G159" s="43"/>
      <c r="H159" s="52"/>
      <c r="I159" s="52"/>
      <c r="J159" s="52"/>
      <c r="K159" s="52"/>
      <c r="L159" s="414"/>
      <c r="M159" s="173"/>
    </row>
    <row r="160" spans="2:20" s="159" customFormat="1" ht="14.1" customHeight="1" thickBot="1" x14ac:dyDescent="0.35">
      <c r="B160" s="415"/>
      <c r="C160" s="416"/>
      <c r="D160" s="416"/>
      <c r="E160" s="416"/>
      <c r="F160" s="416"/>
      <c r="G160" s="1020"/>
      <c r="H160" s="416"/>
      <c r="I160" s="416"/>
      <c r="J160" s="416"/>
      <c r="K160" s="416"/>
      <c r="L160" s="41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38" fitToHeight="1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4897" r:id="rId4" name="Drop Down 1">
              <controlPr defaultSize="0" autoLine="0" autoPict="0">
                <anchor moveWithCells="1">
                  <from>
                    <xdr:col>12</xdr:col>
                    <xdr:colOff>57150</xdr:colOff>
                    <xdr:row>3</xdr:row>
                    <xdr:rowOff>152400</xdr:rowOff>
                  </from>
                  <to>
                    <xdr:col>14</xdr:col>
                    <xdr:colOff>676275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1473"/>
  <sheetViews>
    <sheetView topLeftCell="L141" zoomScale="70" zoomScaleNormal="70" workbookViewId="0">
      <selection activeCell="N163" sqref="N163"/>
    </sheetView>
  </sheetViews>
  <sheetFormatPr defaultColWidth="9" defaultRowHeight="16.5" x14ac:dyDescent="0.3"/>
  <cols>
    <col min="1" max="1" width="9" style="153"/>
    <col min="2" max="8" width="9" style="153" customWidth="1"/>
    <col min="9" max="10" width="9" style="153"/>
    <col min="11" max="12" width="20.5" style="153" customWidth="1"/>
    <col min="13" max="14" width="16.75" style="153" customWidth="1"/>
    <col min="15" max="15" width="13.75" style="153" bestFit="1" customWidth="1"/>
    <col min="16" max="16" width="16.125" style="153" customWidth="1"/>
    <col min="17" max="17" width="17.125" style="153" customWidth="1"/>
    <col min="18" max="21" width="18.375" style="153" bestFit="1" customWidth="1"/>
    <col min="22" max="29" width="9" style="153"/>
    <col min="30" max="30" width="15.125" style="153" bestFit="1" customWidth="1"/>
    <col min="31" max="31" width="9" style="153" customWidth="1"/>
    <col min="32" max="32" width="9" style="153"/>
    <col min="33" max="33" width="13" style="153" bestFit="1" customWidth="1"/>
    <col min="34" max="38" width="20.625" style="153" customWidth="1"/>
    <col min="39" max="40" width="9" style="153"/>
    <col min="41" max="41" width="14.25" style="153" bestFit="1" customWidth="1"/>
    <col min="42" max="44" width="15.625" style="153" customWidth="1"/>
    <col min="45" max="16384" width="9" style="153"/>
  </cols>
  <sheetData>
    <row r="2" spans="2:52" x14ac:dyDescent="0.3">
      <c r="K2" s="888" t="s">
        <v>2794</v>
      </c>
    </row>
    <row r="4" spans="2:52" x14ac:dyDescent="0.3">
      <c r="K4" s="153" t="s">
        <v>2795</v>
      </c>
    </row>
    <row r="5" spans="2:52" x14ac:dyDescent="0.3">
      <c r="K5" s="967" t="s">
        <v>2796</v>
      </c>
    </row>
    <row r="6" spans="2:52" x14ac:dyDescent="0.3">
      <c r="K6" s="967" t="s">
        <v>2797</v>
      </c>
      <c r="U6" s="153" t="s">
        <v>3217</v>
      </c>
      <c r="V6" s="1456">
        <v>4.5999999999999999E-2</v>
      </c>
      <c r="AE6" s="888" t="s">
        <v>2798</v>
      </c>
    </row>
    <row r="7" spans="2:52" x14ac:dyDescent="0.3">
      <c r="K7" s="967"/>
      <c r="U7" s="153" t="s">
        <v>3218</v>
      </c>
      <c r="X7" s="1456">
        <f>AVERAGE(W67,W74,W103)</f>
        <v>0.61501617845117851</v>
      </c>
    </row>
    <row r="8" spans="2:52" x14ac:dyDescent="0.3">
      <c r="K8" s="967" t="s">
        <v>2799</v>
      </c>
      <c r="U8" s="153" t="s">
        <v>3220</v>
      </c>
      <c r="X8" s="1461">
        <f>W85</f>
        <v>0.83777777777777773</v>
      </c>
      <c r="AH8" s="819"/>
      <c r="AI8" s="819"/>
      <c r="AJ8" s="819"/>
      <c r="AK8" s="819"/>
      <c r="AL8" s="819"/>
    </row>
    <row r="9" spans="2:52" x14ac:dyDescent="0.3">
      <c r="K9" s="967"/>
      <c r="U9" s="153" t="s">
        <v>3221</v>
      </c>
      <c r="X9" s="1456">
        <f>AVERAGE(W48,W52,W57,W101,W113,W124,W135)</f>
        <v>0.61707690309626118</v>
      </c>
      <c r="AH9" s="819" t="s">
        <v>3231</v>
      </c>
      <c r="AI9" s="819"/>
      <c r="AJ9" s="819"/>
      <c r="AK9" s="819"/>
      <c r="AL9" s="819"/>
    </row>
    <row r="10" spans="2:52" x14ac:dyDescent="0.3">
      <c r="K10" s="967"/>
      <c r="U10" s="153" t="s">
        <v>3224</v>
      </c>
      <c r="X10" s="1456">
        <f>AVERAGE(W37,W109)</f>
        <v>0.57787904458149786</v>
      </c>
      <c r="AH10" s="819"/>
      <c r="AI10" s="819"/>
      <c r="AJ10" s="819"/>
      <c r="AK10" s="819"/>
      <c r="AL10" s="819"/>
    </row>
    <row r="11" spans="2:52" x14ac:dyDescent="0.3">
      <c r="K11" s="967"/>
      <c r="AH11" s="1486"/>
      <c r="AI11" s="1486"/>
      <c r="AJ11" s="1486"/>
      <c r="AK11" s="1486"/>
      <c r="AL11" s="1486"/>
    </row>
    <row r="12" spans="2:52" x14ac:dyDescent="0.3">
      <c r="K12" s="153" t="s">
        <v>2800</v>
      </c>
      <c r="Q12" s="153">
        <f>Q17/Q16</f>
        <v>0.63179856502242149</v>
      </c>
      <c r="R12" s="153">
        <f t="shared" ref="R12:U12" si="0">R17/R16</f>
        <v>0.62925734278394541</v>
      </c>
      <c r="S12" s="153">
        <f t="shared" si="0"/>
        <v>0.62663083286699206</v>
      </c>
      <c r="T12" s="153">
        <f t="shared" si="0"/>
        <v>0.62400208742261187</v>
      </c>
      <c r="U12" s="153">
        <f t="shared" si="0"/>
        <v>0.62144170155469058</v>
      </c>
    </row>
    <row r="13" spans="2:52" x14ac:dyDescent="0.3">
      <c r="B13" s="153">
        <v>2015</v>
      </c>
      <c r="C13" s="153">
        <v>2016</v>
      </c>
      <c r="D13" s="153">
        <v>2017</v>
      </c>
      <c r="E13" s="153" t="s">
        <v>2801</v>
      </c>
      <c r="H13" s="153" t="s">
        <v>2037</v>
      </c>
      <c r="I13" s="153" t="s">
        <v>2802</v>
      </c>
      <c r="K13" s="968"/>
      <c r="L13" s="968" t="s">
        <v>2803</v>
      </c>
      <c r="M13" s="968" t="s">
        <v>2804</v>
      </c>
      <c r="N13" s="968" t="s">
        <v>2805</v>
      </c>
      <c r="O13" s="968" t="s">
        <v>2806</v>
      </c>
      <c r="P13" s="1052">
        <v>2018</v>
      </c>
      <c r="Q13" s="1053"/>
      <c r="R13" s="969">
        <f>P13+1</f>
        <v>2019</v>
      </c>
      <c r="S13" s="969">
        <f t="shared" ref="S13:U13" si="1">R13+1</f>
        <v>2020</v>
      </c>
      <c r="T13" s="969">
        <f t="shared" si="1"/>
        <v>2021</v>
      </c>
      <c r="U13" s="969">
        <f t="shared" si="1"/>
        <v>2022</v>
      </c>
      <c r="V13" s="970"/>
      <c r="AE13" s="153" t="s">
        <v>2807</v>
      </c>
      <c r="AF13" s="153" t="s">
        <v>2808</v>
      </c>
      <c r="AK13" s="153">
        <f>AK17/AJ17-1</f>
        <v>3.7862249095641065E-2</v>
      </c>
      <c r="AL13" s="153">
        <f>AL17/AK17-1</f>
        <v>4.7909422853480654E-2</v>
      </c>
      <c r="AN13" s="153" t="s">
        <v>3216</v>
      </c>
      <c r="AY13" s="153" t="s">
        <v>2061</v>
      </c>
      <c r="AZ13" s="153" t="s">
        <v>2809</v>
      </c>
    </row>
    <row r="14" spans="2:52" x14ac:dyDescent="0.3">
      <c r="B14" s="153" t="s">
        <v>2067</v>
      </c>
      <c r="C14" s="153" t="s">
        <v>2067</v>
      </c>
      <c r="D14" s="153" t="s">
        <v>2061</v>
      </c>
      <c r="E14" s="153" t="s">
        <v>2809</v>
      </c>
      <c r="G14" s="153" t="s">
        <v>2067</v>
      </c>
      <c r="H14" s="153" t="s">
        <v>2054</v>
      </c>
      <c r="I14" s="153" t="s">
        <v>2802</v>
      </c>
      <c r="K14" s="968"/>
      <c r="L14" s="968" t="s">
        <v>2810</v>
      </c>
      <c r="M14" s="968" t="s">
        <v>2067</v>
      </c>
      <c r="N14" s="968" t="s">
        <v>2811</v>
      </c>
      <c r="O14" s="969" t="s">
        <v>2812</v>
      </c>
      <c r="P14" s="968" t="s">
        <v>2813</v>
      </c>
      <c r="Q14" s="972">
        <f>SUMIFS('사업계획(매출 확정본)'!S$12:S$113,'사업계획(매출 확정본)'!$M$12:$M$113,'사업계획(원재료)'!$M14,'사업계획(매출 확정본)'!$Q$12:$Q$113,'사업계획(원재료)'!$P14)</f>
        <v>20</v>
      </c>
      <c r="R14" s="972">
        <f>SUMIFS('사업계획(매출 확정본)'!T$12:T$113,'사업계획(매출 확정본)'!$M$12:$M$113,'사업계획(원재료)'!$M14,'사업계획(매출 확정본)'!$Q$12:$Q$113,'사업계획(원재료)'!$P14)</f>
        <v>30</v>
      </c>
      <c r="S14" s="972">
        <f>SUMIFS('사업계획(매출 확정본)'!U$12:U$113,'사업계획(매출 확정본)'!$M$12:$M$113,'사업계획(원재료)'!$M14,'사업계획(매출 확정본)'!$Q$12:$Q$113,'사업계획(원재료)'!$P14)</f>
        <v>40</v>
      </c>
      <c r="T14" s="972">
        <f>SUMIFS('사업계획(매출 확정본)'!V$12:V$113,'사업계획(매출 확정본)'!$M$12:$M$113,'사업계획(원재료)'!$M14,'사업계획(매출 확정본)'!$Q$12:$Q$113,'사업계획(원재료)'!$P14)</f>
        <v>50</v>
      </c>
      <c r="U14" s="972">
        <f>SUMIFS('사업계획(매출 확정본)'!W$12:W$113,'사업계획(매출 확정본)'!$M$12:$M$113,'사업계획(원재료)'!$M14,'사업계획(매출 확정본)'!$Q$12:$Q$113,'사업계획(원재료)'!$P14)</f>
        <v>55</v>
      </c>
      <c r="AE14" s="153" t="s">
        <v>2814</v>
      </c>
      <c r="AH14" s="985">
        <v>2018</v>
      </c>
      <c r="AI14" s="985">
        <v>2019</v>
      </c>
      <c r="AJ14" s="985">
        <v>2020</v>
      </c>
      <c r="AK14" s="985">
        <v>2021</v>
      </c>
      <c r="AL14" s="985">
        <v>2022</v>
      </c>
      <c r="AY14" s="153" t="s">
        <v>2028</v>
      </c>
      <c r="AZ14" s="153" t="s">
        <v>2815</v>
      </c>
    </row>
    <row r="15" spans="2:52" x14ac:dyDescent="0.3">
      <c r="D15" s="153" t="s">
        <v>2028</v>
      </c>
      <c r="E15" s="153" t="s">
        <v>2815</v>
      </c>
      <c r="H15" s="153" t="s">
        <v>2060</v>
      </c>
      <c r="I15" s="153" t="s">
        <v>2023</v>
      </c>
      <c r="K15" s="968"/>
      <c r="L15" s="968"/>
      <c r="M15" s="968" t="s">
        <v>2067</v>
      </c>
      <c r="N15" s="968" t="s">
        <v>2811</v>
      </c>
      <c r="O15" s="969" t="s">
        <v>2812</v>
      </c>
      <c r="P15" s="968" t="s">
        <v>2816</v>
      </c>
      <c r="Q15" s="973">
        <v>111500000</v>
      </c>
      <c r="R15" s="973">
        <f>ROUND(Q15*1.05,-5)</f>
        <v>117100000</v>
      </c>
      <c r="S15" s="973">
        <f t="shared" ref="S15:U15" si="2">ROUND(R15*1.05,-5)</f>
        <v>123000000</v>
      </c>
      <c r="T15" s="973">
        <f t="shared" si="2"/>
        <v>129200000</v>
      </c>
      <c r="U15" s="973">
        <f t="shared" si="2"/>
        <v>135700000</v>
      </c>
      <c r="AE15" s="153" t="s">
        <v>2814</v>
      </c>
      <c r="AF15" s="969" t="s">
        <v>2817</v>
      </c>
      <c r="AG15" s="1051" t="s">
        <v>2818</v>
      </c>
      <c r="AH15" s="819">
        <f>SUMIFS($Q$14:$Q$148,$P$14:$P$148,AG15,$O$14:$O$148,AF15,$N$14:$N$148,AE15)</f>
        <v>23301900000</v>
      </c>
      <c r="AI15" s="819">
        <f>SUMIFS($R$14:$R$148,$P$14:$P$148,AG15,$O$14:$O$148,AF15,$N$14:$N$148,AE15)</f>
        <v>26056900000</v>
      </c>
      <c r="AJ15" s="819">
        <f>SUMIFS($S$14:$S$148,$P$14:$P$148,AG15,$O$14:$O$148,AF15,$N$14:$N$148,AE15)</f>
        <v>34826100000</v>
      </c>
      <c r="AK15" s="819">
        <f>SUMIFS($T$14:$T$148,$P$14:$P$148,AG15,$O$14:$O$148,AF15,$N$14:$N$148,AE15)</f>
        <v>36651100000</v>
      </c>
      <c r="AL15" s="819">
        <f>SUMIFS($U$14:$U$148,$P$14:$P$148,AG15,$O$14:$O$148,AF15,$N$14:$N$148,AE15)</f>
        <v>38738700000</v>
      </c>
      <c r="AN15" s="153" t="s">
        <v>2959</v>
      </c>
      <c r="AO15" s="819">
        <f>AH15+AH19+AH23+AH27+AH31+AH35</f>
        <v>49040800000</v>
      </c>
      <c r="AP15" s="819">
        <f>AI15+AI19+AI23+AI27+AI31+AI35</f>
        <v>62601700000</v>
      </c>
      <c r="AQ15" s="819">
        <f>AJ15+AJ19+AJ23+AJ27+AJ31+AJ35</f>
        <v>82093200000</v>
      </c>
      <c r="AR15" s="819">
        <f>AK15+AK19+AK23+AK27+AK31+AK35</f>
        <v>89632200000</v>
      </c>
      <c r="AY15" s="153" t="s">
        <v>2032</v>
      </c>
      <c r="AZ15" s="153" t="s">
        <v>2819</v>
      </c>
    </row>
    <row r="16" spans="2:52" x14ac:dyDescent="0.3">
      <c r="K16" s="968"/>
      <c r="L16" s="968"/>
      <c r="M16" s="968" t="s">
        <v>2067</v>
      </c>
      <c r="N16" s="968" t="s">
        <v>2811</v>
      </c>
      <c r="O16" s="969" t="s">
        <v>2812</v>
      </c>
      <c r="P16" s="968" t="s">
        <v>2818</v>
      </c>
      <c r="Q16" s="973">
        <f>SUMIFS('사업계획(매출 확정본)'!S$12:S$113,'사업계획(매출 확정본)'!$M$12:$M$113,'사업계획(원재료)'!$M16,'사업계획(매출 확정본)'!$Q$12:$Q$113,'사업계획(원재료)'!$P16)</f>
        <v>2230000000</v>
      </c>
      <c r="R16" s="973">
        <f>SUMIFS('사업계획(매출 확정본)'!T$12:T$113,'사업계획(매출 확정본)'!$M$12:$M$113,'사업계획(원재료)'!$M16,'사업계획(매출 확정본)'!$Q$12:$Q$113,'사업계획(원재료)'!$P16)</f>
        <v>3513000000</v>
      </c>
      <c r="S16" s="973">
        <f>SUMIFS('사업계획(매출 확정본)'!U$12:U$113,'사업계획(매출 확정본)'!$M$12:$M$113,'사업계획(원재료)'!$M16,'사업계획(매출 확정본)'!$Q$12:$Q$113,'사업계획(원재료)'!$P16)</f>
        <v>4920000000</v>
      </c>
      <c r="T16" s="973">
        <f>SUMIFS('사업계획(매출 확정본)'!V$12:V$113,'사업계획(매출 확정본)'!$M$12:$M$113,'사업계획(원재료)'!$M16,'사업계획(매출 확정본)'!$Q$12:$Q$113,'사업계획(원재료)'!$P16)</f>
        <v>6460000000</v>
      </c>
      <c r="U16" s="973">
        <f>SUMIFS('사업계획(매출 확정본)'!W$12:W$113,'사업계획(매출 확정본)'!$M$12:$M$113,'사업계획(원재료)'!$M16,'사업계획(매출 확정본)'!$Q$12:$Q$113,'사업계획(원재료)'!$P16)</f>
        <v>7463500000</v>
      </c>
      <c r="AE16" s="153" t="s">
        <v>2814</v>
      </c>
      <c r="AF16" s="969" t="s">
        <v>2817</v>
      </c>
      <c r="AG16" s="1051" t="s">
        <v>2813</v>
      </c>
      <c r="AH16" s="153">
        <f>SUMIFS($Q$14:$Q$148,$P$14:$P$148,AG16,$O$14:$O$148,AF16,$N$14:$N$148,AE16)</f>
        <v>476</v>
      </c>
      <c r="AI16" s="153">
        <f>SUMIFS($R$14:$R$148,$P$14:$P$148,AG16,$O$14:$O$148,AF16,$N$14:$N$148,AE16)</f>
        <v>508</v>
      </c>
      <c r="AJ16" s="153">
        <f>SUMIFS(S$14:S$148,$P$14:$P$148,$AG$16,$O$14:$O$148,$AF$16,$N$14:$N$148,$AE$16)</f>
        <v>571</v>
      </c>
      <c r="AK16" s="153">
        <f>SUMIFS(T$14:T$148,$P$14:$P$148,$AG$16,$O$14:$O$148,$AF$16,$N$14:$N$148,$AE$16)</f>
        <v>579</v>
      </c>
      <c r="AL16" s="153">
        <f>SUMIFS(U$14:U$148,$P$14:$P$148,$AG$16,$O$14:$O$148,$AF$16,$N$14:$N$148,$AE$16)</f>
        <v>584</v>
      </c>
      <c r="AN16" s="153" t="s">
        <v>2821</v>
      </c>
      <c r="AO16" s="819">
        <f>SUM(AH39,AH43,AH47,AH51,AH55,AH59)</f>
        <v>9332000000</v>
      </c>
      <c r="AP16" s="819">
        <f t="shared" ref="AP16:AR16" si="3">SUM(AI39,AI43,AI47,AI51,AI55,AI59)</f>
        <v>13558000000</v>
      </c>
      <c r="AQ16" s="819">
        <f t="shared" si="3"/>
        <v>19319500000</v>
      </c>
      <c r="AR16" s="819">
        <f t="shared" si="3"/>
        <v>22827900000</v>
      </c>
    </row>
    <row r="17" spans="2:52" x14ac:dyDescent="0.3">
      <c r="K17" s="968"/>
      <c r="L17" s="968"/>
      <c r="M17" s="968" t="s">
        <v>2067</v>
      </c>
      <c r="N17" s="968" t="s">
        <v>2811</v>
      </c>
      <c r="O17" s="969" t="s">
        <v>2812</v>
      </c>
      <c r="P17" s="968" t="s">
        <v>3075</v>
      </c>
      <c r="Q17" s="973">
        <f>VLOOKUP($M$14,'제품별 원재료비 '!$O$4:$S$48,5,FALSE)*Q14</f>
        <v>1408910800</v>
      </c>
      <c r="R17" s="973">
        <f>Q17*(1+$V$6)/Q14*R14</f>
        <v>2210581045.2000003</v>
      </c>
      <c r="S17" s="973">
        <f t="shared" ref="S17:U17" si="4">R17*(1+$V$6)/R14*S14</f>
        <v>3083023697.7056007</v>
      </c>
      <c r="T17" s="973">
        <f t="shared" si="4"/>
        <v>4031053484.7500725</v>
      </c>
      <c r="U17" s="973">
        <f t="shared" si="4"/>
        <v>4638130139.5534334</v>
      </c>
      <c r="AE17" s="153" t="s">
        <v>2814</v>
      </c>
      <c r="AF17" s="969" t="s">
        <v>2817</v>
      </c>
      <c r="AG17" s="1051" t="s">
        <v>2816</v>
      </c>
      <c r="AH17" s="819">
        <f>AH15/AH16</f>
        <v>48953571.428571425</v>
      </c>
      <c r="AI17" s="819">
        <f>AI15/AI16</f>
        <v>51293110.236220472</v>
      </c>
      <c r="AJ17" s="819">
        <f>AJ15/AJ16</f>
        <v>60991418.563922942</v>
      </c>
      <c r="AK17" s="819">
        <f>AK15/AK16</f>
        <v>63300690.846286699</v>
      </c>
      <c r="AL17" s="819">
        <f>AL15/AL16</f>
        <v>66333390.410958901</v>
      </c>
      <c r="AO17" s="819"/>
      <c r="AP17" s="819"/>
      <c r="AQ17" s="819"/>
      <c r="AR17" s="819"/>
    </row>
    <row r="18" spans="2:52" x14ac:dyDescent="0.3">
      <c r="B18" s="153" t="s">
        <v>2820</v>
      </c>
      <c r="C18" s="153" t="s">
        <v>2031</v>
      </c>
      <c r="D18" s="153" t="s">
        <v>2032</v>
      </c>
      <c r="E18" s="153" t="s">
        <v>2819</v>
      </c>
      <c r="G18" s="153" t="s">
        <v>2820</v>
      </c>
      <c r="H18" s="153" t="s">
        <v>2037</v>
      </c>
      <c r="I18" s="153" t="s">
        <v>2802</v>
      </c>
      <c r="K18" s="968"/>
      <c r="L18" s="968" t="s">
        <v>2810</v>
      </c>
      <c r="M18" s="968" t="s">
        <v>2820</v>
      </c>
      <c r="N18" s="968" t="s">
        <v>2821</v>
      </c>
      <c r="O18" s="969" t="str">
        <f>VLOOKUP(M18,$AY$13:$AZ$131,2,FALSE)</f>
        <v>관공서</v>
      </c>
      <c r="P18" s="968" t="s">
        <v>2813</v>
      </c>
      <c r="Q18" s="972">
        <f>SUMIFS('사업계획(매출 확정본)'!S$12:S$113,'사업계획(매출 확정본)'!$M$12:$M$113,'사업계획(원재료)'!$M18,'사업계획(매출 확정본)'!$Q$12:$Q$113,'사업계획(원재료)'!$P18)</f>
        <v>4</v>
      </c>
      <c r="R18" s="972">
        <f>SUMIFS('사업계획(매출 확정본)'!T$12:T$113,'사업계획(매출 확정본)'!$M$12:$M$113,'사업계획(원재료)'!$M18,'사업계획(매출 확정본)'!$Q$12:$Q$113,'사업계획(원재료)'!$P18)</f>
        <v>10</v>
      </c>
      <c r="S18" s="972">
        <f>SUMIFS('사업계획(매출 확정본)'!U$12:U$113,'사업계획(매출 확정본)'!$M$12:$M$113,'사업계획(원재료)'!$M18,'사업계획(매출 확정본)'!$Q$12:$Q$113,'사업계획(원재료)'!$P18)</f>
        <v>15</v>
      </c>
      <c r="T18" s="972">
        <f>SUMIFS('사업계획(매출 확정본)'!V$12:V$113,'사업계획(매출 확정본)'!$M$12:$M$113,'사업계획(원재료)'!$M18,'사업계획(매출 확정본)'!$Q$12:$Q$113,'사업계획(원재료)'!$P18)</f>
        <v>20</v>
      </c>
      <c r="U18" s="972">
        <f>SUMIFS('사업계획(매출 확정본)'!W$12:W$113,'사업계획(매출 확정본)'!$M$12:$M$113,'사업계획(원재료)'!$M18,'사업계획(매출 확정본)'!$Q$12:$Q$113,'사업계획(원재료)'!$P18)</f>
        <v>22</v>
      </c>
      <c r="AD18" s="819">
        <f>AH18+AH22+AH26+AH30+AH34+AH38</f>
        <v>30274869364.900608</v>
      </c>
      <c r="AE18" s="153" t="s">
        <v>2814</v>
      </c>
      <c r="AF18" s="969" t="s">
        <v>2817</v>
      </c>
      <c r="AG18" s="1051" t="s">
        <v>3075</v>
      </c>
      <c r="AH18" s="992">
        <f>SUMIFS(Q$14:Q$149,$N$14:$N$149,$AE18,$O$14:$O$149,$AF18,$P$14:$P$149,$AG18)</f>
        <v>13979055865.488216</v>
      </c>
      <c r="AI18" s="992">
        <f t="shared" ref="AI18:AL18" si="5">SUMIFS(R$14:R$149,$N$14:$N$149,$AE18,$O$14:$O$149,$AF18,$P$14:$P$149,$AG18)</f>
        <v>15562343855.216482</v>
      </c>
      <c r="AJ18" s="992">
        <f t="shared" si="5"/>
        <v>20729475861.526329</v>
      </c>
      <c r="AK18" s="992">
        <f t="shared" si="5"/>
        <v>21723503592.173565</v>
      </c>
      <c r="AL18" s="992">
        <f t="shared" si="5"/>
        <v>22875552400.9189</v>
      </c>
      <c r="AN18" s="153" t="s">
        <v>2960</v>
      </c>
      <c r="AO18" s="819">
        <f>SUM(AH63,AH67,AH71,AH75,AH79,AH83)</f>
        <v>41420000000</v>
      </c>
      <c r="AP18" s="819">
        <f t="shared" ref="AP18:AR18" si="6">SUM(AI63,AI67,AI71,AI75,AI79,AI83)</f>
        <v>50014500000</v>
      </c>
      <c r="AQ18" s="819">
        <f t="shared" si="6"/>
        <v>59321500000</v>
      </c>
      <c r="AR18" s="819">
        <f t="shared" si="6"/>
        <v>65377500000</v>
      </c>
      <c r="AY18" s="153" t="s">
        <v>2037</v>
      </c>
      <c r="AZ18" s="153" t="s">
        <v>2819</v>
      </c>
    </row>
    <row r="19" spans="2:52" x14ac:dyDescent="0.3">
      <c r="D19" s="153" t="s">
        <v>2037</v>
      </c>
      <c r="E19" s="153" t="s">
        <v>2819</v>
      </c>
      <c r="H19" s="153" t="s">
        <v>2054</v>
      </c>
      <c r="I19" s="153" t="s">
        <v>2802</v>
      </c>
      <c r="K19" s="968"/>
      <c r="L19" s="968"/>
      <c r="M19" s="968" t="s">
        <v>2820</v>
      </c>
      <c r="N19" s="968" t="s">
        <v>2821</v>
      </c>
      <c r="O19" s="969" t="str">
        <f>VLOOKUP(M19,$AY$13:$AZ$131,2,FALSE)</f>
        <v>관공서</v>
      </c>
      <c r="P19" s="968" t="s">
        <v>2816</v>
      </c>
      <c r="Q19" s="973">
        <v>74500000</v>
      </c>
      <c r="R19" s="973">
        <f>ROUND(Q19*1.05,-5)</f>
        <v>78200000</v>
      </c>
      <c r="S19" s="973">
        <f t="shared" ref="S19:U19" si="7">ROUND(R19*1.05,-5)</f>
        <v>82100000</v>
      </c>
      <c r="T19" s="973">
        <f t="shared" si="7"/>
        <v>86200000</v>
      </c>
      <c r="U19" s="973">
        <f t="shared" si="7"/>
        <v>90500000</v>
      </c>
      <c r="AE19" s="153" t="s">
        <v>2814</v>
      </c>
      <c r="AF19" s="969" t="s">
        <v>2822</v>
      </c>
      <c r="AG19" s="968" t="s">
        <v>2818</v>
      </c>
      <c r="AH19" s="819">
        <f>SUMIFS(Q$14:Q$148,$P$14:$P$148,$AG$19,$O$14:$O$148,$AF$19,$N$14:$N$148,$AE$19)</f>
        <v>21847000000</v>
      </c>
      <c r="AI19" s="819">
        <f>SUMIFS(R$14:R$148,$P$14:$P$148,$AG$19,$O$14:$O$148,$AF$19,$N$14:$N$148,$AE$19)</f>
        <v>30808300000</v>
      </c>
      <c r="AJ19" s="819">
        <f>SUMIFS(S$14:S$148,$P$14:$P$148,$AG$19,$O$14:$O$148,$AF$19,$N$14:$N$148,$AE$19)</f>
        <v>39199100000</v>
      </c>
      <c r="AK19" s="819">
        <f>SUMIFS(T$14:T$148,$P$14:$P$148,$AG$19,$O$14:$O$148,$AF$19,$N$14:$N$148,$AE$19)</f>
        <v>43024100000</v>
      </c>
      <c r="AL19" s="819">
        <f>SUMIFS(U$14:U$148,$P$14:$P$148,$AG$19,$O$14:$O$148,$AF$19,$N$14:$N$148,$AE$19)</f>
        <v>46856200000</v>
      </c>
      <c r="AN19" s="1529" t="s">
        <v>3277</v>
      </c>
      <c r="AY19" s="153" t="s">
        <v>2039</v>
      </c>
      <c r="AZ19" s="153" t="s">
        <v>2819</v>
      </c>
    </row>
    <row r="20" spans="2:52" x14ac:dyDescent="0.3">
      <c r="K20" s="968"/>
      <c r="L20" s="968"/>
      <c r="M20" s="968" t="s">
        <v>2820</v>
      </c>
      <c r="N20" s="968" t="s">
        <v>2821</v>
      </c>
      <c r="O20" s="969" t="s">
        <v>2812</v>
      </c>
      <c r="P20" s="968" t="s">
        <v>2818</v>
      </c>
      <c r="Q20" s="973">
        <f>SUMIFS('사업계획(매출 확정본)'!S$12:S$113,'사업계획(매출 확정본)'!$M$12:$M$113,'사업계획(원재료)'!$M20,'사업계획(매출 확정본)'!$Q$12:$Q$113,'사업계획(원재료)'!$P20)</f>
        <v>298000000</v>
      </c>
      <c r="R20" s="973">
        <f>SUMIFS('사업계획(매출 확정본)'!T$12:T$113,'사업계획(매출 확정본)'!$M$12:$M$113,'사업계획(원재료)'!$M20,'사업계획(매출 확정본)'!$Q$12:$Q$113,'사업계획(원재료)'!$P20)</f>
        <v>782000000</v>
      </c>
      <c r="S20" s="973">
        <f>SUMIFS('사업계획(매출 확정본)'!U$12:U$113,'사업계획(매출 확정본)'!$M$12:$M$113,'사업계획(원재료)'!$M20,'사업계획(매출 확정본)'!$Q$12:$Q$113,'사업계획(원재료)'!$P20)</f>
        <v>1231500000</v>
      </c>
      <c r="T20" s="973">
        <f>SUMIFS('사업계획(매출 확정본)'!V$12:V$113,'사업계획(매출 확정본)'!$M$12:$M$113,'사업계획(원재료)'!$M20,'사업계획(매출 확정본)'!$Q$12:$Q$113,'사업계획(원재료)'!$P20)</f>
        <v>1724000000</v>
      </c>
      <c r="U20" s="973">
        <f>SUMIFS('사업계획(매출 확정본)'!W$12:W$113,'사업계획(매출 확정본)'!$M$12:$M$113,'사업계획(원재료)'!$M20,'사업계획(매출 확정본)'!$Q$12:$Q$113,'사업계획(원재료)'!$P20)</f>
        <v>1991000000</v>
      </c>
      <c r="AE20" s="153" t="s">
        <v>2814</v>
      </c>
      <c r="AF20" s="969" t="s">
        <v>2822</v>
      </c>
      <c r="AG20" s="968" t="s">
        <v>2813</v>
      </c>
      <c r="AH20" s="153">
        <f>SUMIFS(Q$14:Q$148,$P$14:$P$148,$AG$20,$O$14:$O$148,$AF$20,$N$14:$N$148,$AE$20)</f>
        <v>606</v>
      </c>
      <c r="AI20" s="153">
        <f>SUMIFS(R$14:R$148,$P$14:$P$148,$AG$20,$O$14:$O$148,$AF$20,$N$14:$N$148,$AE$20)</f>
        <v>782</v>
      </c>
      <c r="AJ20" s="153">
        <f>SUMIFS(S$14:S$148,$P$14:$P$148,$AG$20,$O$14:$O$148,$AF$20,$N$14:$N$148,$AE$20)</f>
        <v>939</v>
      </c>
      <c r="AK20" s="153">
        <f>SUMIFS(T$14:T$148,$P$14:$P$148,$AG$20,$O$14:$O$148,$AF$20,$N$14:$N$148,$AE$20)</f>
        <v>981</v>
      </c>
      <c r="AL20" s="153">
        <f>SUMIFS(U$14:U$148,$P$14:$P$148,$AG$20,$O$14:$O$148,$AF$20,$N$14:$N$148,$AE$20)</f>
        <v>1018</v>
      </c>
    </row>
    <row r="21" spans="2:52" x14ac:dyDescent="0.3">
      <c r="K21" s="968"/>
      <c r="L21" s="968"/>
      <c r="M21" s="968" t="s">
        <v>2820</v>
      </c>
      <c r="N21" s="968" t="s">
        <v>2821</v>
      </c>
      <c r="O21" s="969" t="s">
        <v>2812</v>
      </c>
      <c r="P21" s="968" t="s">
        <v>3075</v>
      </c>
      <c r="Q21" s="1050">
        <f>VLOOKUP(M19,'제품별 원재료비 '!$O$4:$S$48,5,FALSE)*Q18</f>
        <v>213778560</v>
      </c>
      <c r="R21" s="973">
        <f>Q21*(1+$V$6)/Q18*R18</f>
        <v>559030934.4000001</v>
      </c>
      <c r="S21" s="973">
        <f t="shared" ref="S21:U21" si="8">R21*(1+$V$6)/R18*S18</f>
        <v>877119536.07360029</v>
      </c>
      <c r="T21" s="973">
        <f t="shared" si="8"/>
        <v>1223289379.6439812</v>
      </c>
      <c r="U21" s="973">
        <f t="shared" si="8"/>
        <v>1407516760.218365</v>
      </c>
      <c r="AE21" s="153" t="s">
        <v>2814</v>
      </c>
      <c r="AF21" s="969" t="s">
        <v>2822</v>
      </c>
      <c r="AG21" s="968" t="s">
        <v>2816</v>
      </c>
      <c r="AH21" s="819">
        <f>AH19/AH20</f>
        <v>36051155.115511551</v>
      </c>
      <c r="AI21" s="819">
        <f>AI19/AI20</f>
        <v>39396803.06905371</v>
      </c>
      <c r="AJ21" s="819">
        <f>AJ19/AJ20</f>
        <v>41745580.404685833</v>
      </c>
      <c r="AK21" s="819">
        <f>AK19/AK20</f>
        <v>43857390.417940877</v>
      </c>
      <c r="AL21" s="819">
        <f>AL19/AL20</f>
        <v>46027701.375245579</v>
      </c>
      <c r="AM21" s="1552">
        <f>AL21/AK21-1</f>
        <v>4.948563826125163E-2</v>
      </c>
    </row>
    <row r="22" spans="2:52" x14ac:dyDescent="0.3">
      <c r="B22" s="153" t="s">
        <v>2041</v>
      </c>
      <c r="C22" s="153" t="s">
        <v>2055</v>
      </c>
      <c r="D22" s="153" t="s">
        <v>2823</v>
      </c>
      <c r="E22" s="153" t="s">
        <v>2824</v>
      </c>
      <c r="G22" s="153" t="s">
        <v>2041</v>
      </c>
      <c r="H22" s="153" t="s">
        <v>2037</v>
      </c>
      <c r="I22" s="153" t="s">
        <v>2802</v>
      </c>
      <c r="K22" s="968"/>
      <c r="L22" s="968" t="s">
        <v>2810</v>
      </c>
      <c r="M22" s="968" t="s">
        <v>2041</v>
      </c>
      <c r="N22" s="968" t="s">
        <v>2825</v>
      </c>
      <c r="O22" s="969" t="s">
        <v>2817</v>
      </c>
      <c r="P22" s="968" t="s">
        <v>2813</v>
      </c>
      <c r="Q22" s="972">
        <f>SUMIFS('사업계획(매출 확정본)'!S$12:S$113,'사업계획(매출 확정본)'!$M$12:$M$113,'사업계획(원재료)'!$M22,'사업계획(매출 확정본)'!$Q$12:$Q$113,'사업계획(원재료)'!$P22)</f>
        <v>169</v>
      </c>
      <c r="R22" s="972">
        <f>SUMIFS('사업계획(매출 확정본)'!T$12:T$113,'사업계획(매출 확정본)'!$M$12:$M$113,'사업계획(원재료)'!$M22,'사업계획(매출 확정본)'!$Q$12:$Q$113,'사업계획(원재료)'!$P22)</f>
        <v>185</v>
      </c>
      <c r="S22" s="972">
        <f>SUMIFS('사업계획(매출 확정본)'!U$12:U$113,'사업계획(매출 확정본)'!$M$12:$M$113,'사업계획(원재료)'!$M22,'사업계획(매출 확정본)'!$Q$12:$Q$113,'사업계획(원재료)'!$P22)</f>
        <v>210</v>
      </c>
      <c r="T22" s="972">
        <f>SUMIFS('사업계획(매출 확정본)'!V$12:V$113,'사업계획(매출 확정본)'!$M$12:$M$113,'사업계획(원재료)'!$M22,'사업계획(매출 확정본)'!$Q$12:$Q$113,'사업계획(원재료)'!$P22)</f>
        <v>210</v>
      </c>
      <c r="U22" s="972">
        <f>SUMIFS('사업계획(매출 확정본)'!W$12:W$113,'사업계획(매출 확정본)'!$M$12:$M$113,'사업계획(원재료)'!$M22,'사업계획(매출 확정본)'!$Q$12:$Q$113,'사업계획(원재료)'!$P22)</f>
        <v>210</v>
      </c>
      <c r="W22" s="972">
        <v>179</v>
      </c>
      <c r="X22" s="972">
        <v>200</v>
      </c>
      <c r="Y22" s="972">
        <v>230</v>
      </c>
      <c r="Z22" s="972">
        <v>235</v>
      </c>
      <c r="AA22" s="972">
        <v>240</v>
      </c>
      <c r="AB22" s="1048"/>
      <c r="AC22" s="1048"/>
      <c r="AE22" s="153" t="s">
        <v>2814</v>
      </c>
      <c r="AF22" s="969" t="s">
        <v>2822</v>
      </c>
      <c r="AG22" s="1051" t="s">
        <v>3075</v>
      </c>
      <c r="AH22" s="992">
        <f t="shared" ref="AH22:AL22" si="9">SUMIFS(Q$14:Q$149,$N$14:$N$149,$AE22,$O$14:$O$149,$AF22,$P$14:$P$149,$AG22)</f>
        <v>14196510256.802698</v>
      </c>
      <c r="AI22" s="992">
        <f t="shared" si="9"/>
        <v>19795299994.094475</v>
      </c>
      <c r="AJ22" s="992">
        <f t="shared" si="9"/>
        <v>25016964026.278156</v>
      </c>
      <c r="AK22" s="992">
        <f t="shared" si="9"/>
        <v>27278645339.008652</v>
      </c>
      <c r="AL22" s="992">
        <f t="shared" si="9"/>
        <v>29555013521.476921</v>
      </c>
      <c r="AY22" s="153" t="s">
        <v>2041</v>
      </c>
      <c r="AZ22" s="153" t="s">
        <v>2809</v>
      </c>
    </row>
    <row r="23" spans="2:52" x14ac:dyDescent="0.3">
      <c r="D23" s="153" t="s">
        <v>2826</v>
      </c>
      <c r="E23" s="153" t="s">
        <v>2827</v>
      </c>
      <c r="H23" s="153" t="s">
        <v>2037</v>
      </c>
      <c r="I23" s="153" t="s">
        <v>2802</v>
      </c>
      <c r="K23" s="968"/>
      <c r="L23" s="968"/>
      <c r="M23" s="968" t="s">
        <v>2041</v>
      </c>
      <c r="N23" s="968" t="s">
        <v>2825</v>
      </c>
      <c r="O23" s="969" t="s">
        <v>2817</v>
      </c>
      <c r="P23" s="968" t="s">
        <v>2816</v>
      </c>
      <c r="Q23" s="973">
        <v>51500000</v>
      </c>
      <c r="R23" s="973">
        <f>ROUND(Q23*1.05,-5)</f>
        <v>54100000</v>
      </c>
      <c r="S23" s="973">
        <f t="shared" ref="S23:U23" si="10">ROUND(R23*1.05,-5)</f>
        <v>56800000</v>
      </c>
      <c r="T23" s="973">
        <f t="shared" si="10"/>
        <v>59600000</v>
      </c>
      <c r="U23" s="973">
        <f t="shared" si="10"/>
        <v>62600000</v>
      </c>
      <c r="V23" s="1553">
        <f>S23/R23-1</f>
        <v>4.9907578558225474E-2</v>
      </c>
      <c r="AE23" s="153" t="s">
        <v>2814</v>
      </c>
      <c r="AF23" s="969" t="s">
        <v>2812</v>
      </c>
      <c r="AG23" s="968" t="s">
        <v>2818</v>
      </c>
      <c r="AH23" s="819">
        <f>SUMIFS(Q$14:Q$148,$P$14:$P$148,$AG$23,$O$14:$O$148,$AF$23,$N$14:$N$148,$AE$23)</f>
        <v>554400000</v>
      </c>
      <c r="AI23" s="819">
        <f>SUMIFS(R$14:R$148,$P$14:$P$148,$AG$23,$O$14:$O$148,$AF$23,$N$14:$N$148,$AE$23)</f>
        <v>970000000</v>
      </c>
      <c r="AJ23" s="819">
        <f>SUMIFS(S$14:S$148,$P$14:$P$148,$AG$23,$O$14:$O$148,$AF$23,$N$14:$N$148,$AE$23)</f>
        <v>1528500000</v>
      </c>
      <c r="AK23" s="819">
        <f>SUMIFS(T$14:T$148,$P$14:$P$148,$AG$23,$O$14:$O$148,$AF$23,$N$14:$N$148,$AE$23)</f>
        <v>2140000000</v>
      </c>
      <c r="AL23" s="819">
        <f>SUMIFS(U$14:U$148,$P$14:$P$148,$AG$23,$O$14:$O$148,$AF$23,$N$14:$N$148,$AE$23)</f>
        <v>2810000000</v>
      </c>
      <c r="AY23" s="153" t="s">
        <v>2058</v>
      </c>
      <c r="AZ23" s="153" t="s">
        <v>2819</v>
      </c>
    </row>
    <row r="24" spans="2:52" x14ac:dyDescent="0.3">
      <c r="K24" s="968"/>
      <c r="L24" s="968"/>
      <c r="M24" s="968" t="s">
        <v>2041</v>
      </c>
      <c r="N24" s="968" t="s">
        <v>2825</v>
      </c>
      <c r="O24" s="969" t="s">
        <v>2817</v>
      </c>
      <c r="P24" s="968" t="s">
        <v>2818</v>
      </c>
      <c r="Q24" s="973">
        <f>SUMIFS('사업계획(매출 확정본)'!S$12:S$113,'사업계획(매출 확정본)'!$M$12:$M$113,'사업계획(원재료)'!$M24,'사업계획(매출 확정본)'!$Q$12:$Q$113,'사업계획(원재료)'!$P24)</f>
        <v>8703500000</v>
      </c>
      <c r="R24" s="973">
        <f>SUMIFS('사업계획(매출 확정본)'!T$12:T$113,'사업계획(매출 확정본)'!$M$12:$M$113,'사업계획(원재료)'!$M24,'사업계획(매출 확정본)'!$Q$12:$Q$113,'사업계획(원재료)'!$P24)</f>
        <v>10008500000</v>
      </c>
      <c r="S24" s="973">
        <f>SUMIFS('사업계획(매출 확정본)'!U$12:U$113,'사업계획(매출 확정본)'!$M$12:$M$113,'사업계획(원재료)'!$M24,'사업계획(매출 확정본)'!$Q$12:$Q$113,'사업계획(원재료)'!$P24)</f>
        <v>11928000000</v>
      </c>
      <c r="T24" s="973">
        <f>SUMIFS('사업계획(매출 확정본)'!V$12:V$113,'사업계획(매출 확정본)'!$M$12:$M$113,'사업계획(원재료)'!$M24,'사업계획(매출 확정본)'!$Q$12:$Q$113,'사업계획(원재료)'!$P24)</f>
        <v>12516000000</v>
      </c>
      <c r="U24" s="973">
        <f>SUMIFS('사업계획(매출 확정본)'!W$12:W$113,'사업계획(매출 확정본)'!$M$12:$M$113,'사업계획(원재료)'!$M24,'사업계획(매출 확정본)'!$Q$12:$Q$113,'사업계획(원재료)'!$P24)</f>
        <v>13146000000</v>
      </c>
      <c r="AE24" s="153" t="s">
        <v>2814</v>
      </c>
      <c r="AF24" s="969" t="s">
        <v>2812</v>
      </c>
      <c r="AG24" s="968" t="s">
        <v>2813</v>
      </c>
      <c r="AH24" s="153">
        <f>SUMIFS(Q$14:Q$148,$P$14:$P$148,$AG$24,$O$14:$O$148,$AF$24,$N$14:$N$148,$AE$24)</f>
        <v>6</v>
      </c>
      <c r="AI24" s="153">
        <f>SUMIFS(R$14:R$148,$P$14:$P$148,$AG$24,$O$14:$O$148,$AF$24,$N$14:$N$148,$AE$24)</f>
        <v>10</v>
      </c>
      <c r="AJ24" s="153">
        <f>SUMIFS(S$14:S$148,$P$14:$P$148,$AG$24,$O$14:$O$148,$AF$24,$N$14:$N$148,$AE$24)</f>
        <v>15</v>
      </c>
      <c r="AK24" s="153">
        <f>SUMIFS(T$14:T$148,$P$14:$P$148,$AG$24,$O$14:$O$148,$AF$24,$N$14:$N$148,$AE$24)</f>
        <v>20</v>
      </c>
      <c r="AL24" s="153">
        <f>SUMIFS(U$14:U$148,$P$14:$P$148,$AG$24,$O$14:$O$148,$AF$24,$N$14:$N$148,$AE$24)</f>
        <v>25</v>
      </c>
    </row>
    <row r="25" spans="2:52" x14ac:dyDescent="0.3">
      <c r="K25" s="968"/>
      <c r="L25" s="968"/>
      <c r="M25" s="968" t="s">
        <v>2041</v>
      </c>
      <c r="N25" s="1055" t="s">
        <v>2825</v>
      </c>
      <c r="O25" s="1056" t="s">
        <v>2817</v>
      </c>
      <c r="P25" s="1055" t="s">
        <v>3075</v>
      </c>
      <c r="Q25" s="1050">
        <f>VLOOKUP(M22,'제품별 원재료비 '!$O$4:$S$48,5,FALSE)*Q22</f>
        <v>5118668620</v>
      </c>
      <c r="R25" s="973">
        <f>Q25*(1+$V$6)/Q22*R22</f>
        <v>5861027009.8000002</v>
      </c>
      <c r="S25" s="973">
        <f t="shared" ref="S25:U25" si="11">R25*(1+$V$6)/R22*S22</f>
        <v>6959098340.3928003</v>
      </c>
      <c r="T25" s="973">
        <f t="shared" si="11"/>
        <v>7279216864.0508699</v>
      </c>
      <c r="U25" s="973">
        <f t="shared" si="11"/>
        <v>7614060839.7972097</v>
      </c>
      <c r="AE25" s="153" t="s">
        <v>2814</v>
      </c>
      <c r="AF25" s="969" t="s">
        <v>2812</v>
      </c>
      <c r="AG25" s="968" t="s">
        <v>2816</v>
      </c>
      <c r="AH25" s="819">
        <f>AH23/AH24</f>
        <v>92400000</v>
      </c>
      <c r="AI25" s="819">
        <f>AI23/AI24</f>
        <v>97000000</v>
      </c>
      <c r="AJ25" s="819">
        <f>AJ23/AJ24</f>
        <v>101900000</v>
      </c>
      <c r="AK25" s="819">
        <f>AK23/AK24</f>
        <v>107000000</v>
      </c>
      <c r="AL25" s="819">
        <f>AL23/AL24</f>
        <v>112400000</v>
      </c>
    </row>
    <row r="26" spans="2:52" x14ac:dyDescent="0.3">
      <c r="B26" s="153" t="s">
        <v>2043</v>
      </c>
      <c r="C26" s="153" t="s">
        <v>2056</v>
      </c>
      <c r="D26" s="153" t="s">
        <v>2031</v>
      </c>
      <c r="E26" s="153" t="s">
        <v>2819</v>
      </c>
      <c r="G26" s="153" t="s">
        <v>2043</v>
      </c>
      <c r="H26" s="153" t="s">
        <v>2041</v>
      </c>
      <c r="I26" s="153" t="s">
        <v>2802</v>
      </c>
      <c r="K26" s="968"/>
      <c r="L26" s="968" t="s">
        <v>2810</v>
      </c>
      <c r="M26" s="968" t="s">
        <v>2043</v>
      </c>
      <c r="N26" s="968" t="s">
        <v>2825</v>
      </c>
      <c r="O26" s="969" t="s">
        <v>2817</v>
      </c>
      <c r="P26" s="968" t="s">
        <v>2813</v>
      </c>
      <c r="Q26" s="972">
        <f>SUMIFS('사업계획(매출 확정본)'!S$12:S$113,'사업계획(매출 확정본)'!$M$12:$M$113,'사업계획(원재료)'!$M26,'사업계획(매출 확정본)'!$Q$12:$Q$113,'사업계획(원재료)'!$P26)</f>
        <v>39</v>
      </c>
      <c r="R26" s="972">
        <f>SUMIFS('사업계획(매출 확정본)'!T$12:T$113,'사업계획(매출 확정본)'!$M$12:$M$113,'사업계획(원재료)'!$M26,'사업계획(매출 확정본)'!$Q$12:$Q$113,'사업계획(원재료)'!$P26)</f>
        <v>40</v>
      </c>
      <c r="S26" s="972">
        <f>SUMIFS('사업계획(매출 확정본)'!U$12:U$113,'사업계획(매출 확정본)'!$M$12:$M$113,'사업계획(원재료)'!$M26,'사업계획(매출 확정본)'!$Q$12:$Q$113,'사업계획(원재료)'!$P26)</f>
        <v>50</v>
      </c>
      <c r="T26" s="972">
        <f>SUMIFS('사업계획(매출 확정본)'!V$12:V$113,'사업계획(매출 확정본)'!$M$12:$M$113,'사업계획(원재료)'!$M26,'사업계획(매출 확정본)'!$Q$12:$Q$113,'사업계획(원재료)'!$P26)</f>
        <v>55</v>
      </c>
      <c r="U26" s="972">
        <f>SUMIFS('사업계획(매출 확정본)'!W$12:W$113,'사업계획(매출 확정본)'!$M$12:$M$113,'사업계획(원재료)'!$M26,'사업계획(매출 확정본)'!$Q$12:$Q$113,'사업계획(원재료)'!$P26)</f>
        <v>55</v>
      </c>
      <c r="W26" s="972">
        <v>49</v>
      </c>
      <c r="X26" s="972">
        <v>55</v>
      </c>
      <c r="Y26" s="972">
        <v>70</v>
      </c>
      <c r="Z26" s="972">
        <v>80</v>
      </c>
      <c r="AA26" s="972">
        <v>85</v>
      </c>
      <c r="AB26" s="1048"/>
      <c r="AC26" s="1048"/>
      <c r="AE26" s="153" t="s">
        <v>2814</v>
      </c>
      <c r="AF26" s="969" t="s">
        <v>2812</v>
      </c>
      <c r="AG26" s="1051" t="s">
        <v>3075</v>
      </c>
      <c r="AH26" s="992">
        <f t="shared" ref="AH26:AL26" si="12">SUMIFS(Q$14:Q$149,$N$14:$N$149,$AE26,$O$14:$O$149,$AF26,$P$14:$P$149,$AG26)</f>
        <v>291123360</v>
      </c>
      <c r="AI26" s="992">
        <f t="shared" si="12"/>
        <v>507525057.59999996</v>
      </c>
      <c r="AJ26" s="992">
        <f t="shared" si="12"/>
        <v>796306815.3743999</v>
      </c>
      <c r="AK26" s="992">
        <f t="shared" si="12"/>
        <v>1110582571.8421631</v>
      </c>
      <c r="AL26" s="992">
        <f t="shared" si="12"/>
        <v>1452086712.6836281</v>
      </c>
      <c r="AY26" s="153" t="s">
        <v>2060</v>
      </c>
      <c r="AZ26" s="153" t="s">
        <v>2809</v>
      </c>
    </row>
    <row r="27" spans="2:52" x14ac:dyDescent="0.3">
      <c r="D27" s="153" t="s">
        <v>2051</v>
      </c>
      <c r="E27" s="153" t="s">
        <v>2809</v>
      </c>
      <c r="H27" s="153" t="s">
        <v>2032</v>
      </c>
      <c r="I27" s="153" t="s">
        <v>2802</v>
      </c>
      <c r="K27" s="968"/>
      <c r="L27" s="968"/>
      <c r="M27" s="968" t="s">
        <v>2043</v>
      </c>
      <c r="N27" s="968" t="s">
        <v>2825</v>
      </c>
      <c r="O27" s="969" t="s">
        <v>2817</v>
      </c>
      <c r="P27" s="968" t="s">
        <v>2816</v>
      </c>
      <c r="Q27" s="973">
        <v>55600000</v>
      </c>
      <c r="R27" s="973">
        <f>ROUND(Q27*1.05,-5)</f>
        <v>58400000</v>
      </c>
      <c r="S27" s="973">
        <f t="shared" ref="S27:U27" si="13">ROUND(R27*1.05,-5)</f>
        <v>61300000</v>
      </c>
      <c r="T27" s="973">
        <f t="shared" si="13"/>
        <v>64400000</v>
      </c>
      <c r="U27" s="973">
        <f t="shared" si="13"/>
        <v>67600000</v>
      </c>
      <c r="V27" s="1553">
        <f>S27/R27-1</f>
        <v>4.9657534246575263E-2</v>
      </c>
      <c r="W27" s="1057">
        <f>Q29/Q28</f>
        <v>0.56558776978417269</v>
      </c>
      <c r="AE27" s="153" t="s">
        <v>2814</v>
      </c>
      <c r="AF27" s="969" t="s">
        <v>2828</v>
      </c>
      <c r="AG27" s="968" t="s">
        <v>2818</v>
      </c>
      <c r="AH27" s="819">
        <f>SUMIFS(Q$14:Q$148,$P$14:$P$148,$AG$27,$O$14:$O$148,$AF$27,$N$14:$N$148,$AE$27)</f>
        <v>0</v>
      </c>
      <c r="AI27" s="819">
        <f>SUMIFS(R$14:R$148,$P$14:$P$148,$AG$27,$O$14:$O$148,$AF$27,$N$14:$N$148,$AE$27)</f>
        <v>0</v>
      </c>
      <c r="AJ27" s="819">
        <f>SUMIFS(S$14:S$148,$P$14:$P$148,$AG$27,$O$14:$O$148,$AF$27,$N$14:$N$148,$AE$27)</f>
        <v>0</v>
      </c>
      <c r="AK27" s="819">
        <f>SUMIFS(T$14:T$148,$P$14:$P$148,$AG$27,$O$14:$O$148,$AF$27,$N$14:$N$148,$AE$27)</f>
        <v>0</v>
      </c>
      <c r="AL27" s="819">
        <f>SUMIFS(U$14:U$148,$P$14:$P$148,$AG$27,$O$14:$O$148,$AF$27,$N$14:$N$148,$AE$27)</f>
        <v>0</v>
      </c>
      <c r="AY27" s="153" t="s">
        <v>2063</v>
      </c>
      <c r="AZ27" s="153" t="s">
        <v>2809</v>
      </c>
    </row>
    <row r="28" spans="2:52" x14ac:dyDescent="0.3">
      <c r="K28" s="968"/>
      <c r="L28" s="968"/>
      <c r="M28" s="968" t="s">
        <v>2043</v>
      </c>
      <c r="N28" s="968" t="s">
        <v>2825</v>
      </c>
      <c r="O28" s="969" t="s">
        <v>2817</v>
      </c>
      <c r="P28" s="968" t="s">
        <v>2818</v>
      </c>
      <c r="Q28" s="973">
        <f>SUMIFS('사업계획(매출 확정본)'!S$12:S$113,'사업계획(매출 확정본)'!$M$12:$M$113,'사업계획(원재료)'!$M28,'사업계획(매출 확정본)'!$Q$12:$Q$113,'사업계획(원재료)'!$P28)</f>
        <v>2168400000</v>
      </c>
      <c r="R28" s="973">
        <f>SUMIFS('사업계획(매출 확정본)'!T$12:T$113,'사업계획(매출 확정본)'!$M$12:$M$113,'사업계획(원재료)'!$M28,'사업계획(매출 확정본)'!$Q$12:$Q$113,'사업계획(원재료)'!$P28)</f>
        <v>2336000000</v>
      </c>
      <c r="S28" s="973">
        <f>SUMIFS('사업계획(매출 확정본)'!U$12:U$113,'사업계획(매출 확정본)'!$M$12:$M$113,'사업계획(원재료)'!$M28,'사업계획(매출 확정본)'!$Q$12:$Q$113,'사업계획(원재료)'!$P28)</f>
        <v>3065000000</v>
      </c>
      <c r="T28" s="973">
        <f>SUMIFS('사업계획(매출 확정본)'!V$12:V$113,'사업계획(매출 확정본)'!$M$12:$M$113,'사업계획(원재료)'!$M28,'사업계획(매출 확정본)'!$Q$12:$Q$113,'사업계획(원재료)'!$P28)</f>
        <v>3542000000</v>
      </c>
      <c r="U28" s="973">
        <f>SUMIFS('사업계획(매출 확정본)'!W$12:W$113,'사업계획(매출 확정본)'!$M$12:$M$113,'사업계획(원재료)'!$M28,'사업계획(매출 확정본)'!$Q$12:$Q$113,'사업계획(원재료)'!$P28)</f>
        <v>3718000000</v>
      </c>
      <c r="AE28" s="153" t="s">
        <v>2814</v>
      </c>
      <c r="AF28" s="969" t="s">
        <v>2828</v>
      </c>
      <c r="AG28" s="968" t="s">
        <v>2813</v>
      </c>
      <c r="AH28" s="153">
        <f>SUMIFS(Q$14:Q$148,$P$14:$P$148,$AG$28,$O$14:$O$148,$AF$27,$N$14:$N$148,$AE$27)</f>
        <v>0</v>
      </c>
      <c r="AI28" s="153">
        <f>SUMIFS(R$14:R$148,$P$14:$P$148,$AG$28,$O$14:$O$148,$AF$27,$N$14:$N$148,$AE$27)</f>
        <v>0</v>
      </c>
      <c r="AJ28" s="153">
        <f>SUMIFS(S$14:S$148,$P$14:$P$148,$AG$28,$O$14:$O$148,$AF$27,$N$14:$N$148,$AE$27)</f>
        <v>0</v>
      </c>
      <c r="AK28" s="153">
        <f>SUMIFS(T$14:T$148,$P$14:$P$148,$AG$28,$O$14:$O$148,$AF$27,$N$14:$N$148,$AE$27)</f>
        <v>0</v>
      </c>
      <c r="AL28" s="153">
        <f>SUMIFS(U$14:U$148,$P$14:$P$148,$AG$28,$O$14:$O$148,$AF$27,$N$14:$N$148,$AE$27)</f>
        <v>0</v>
      </c>
    </row>
    <row r="29" spans="2:52" x14ac:dyDescent="0.3">
      <c r="K29" s="968"/>
      <c r="L29" s="968"/>
      <c r="M29" s="968" t="s">
        <v>2043</v>
      </c>
      <c r="N29" s="1055" t="s">
        <v>2825</v>
      </c>
      <c r="O29" s="1056" t="s">
        <v>2817</v>
      </c>
      <c r="P29" s="1055" t="s">
        <v>3075</v>
      </c>
      <c r="Q29" s="1050">
        <f>VLOOKUP(M26,'제품별 원재료비 '!$O$4:$S$48,5,FALSE)*Q26</f>
        <v>1226420520</v>
      </c>
      <c r="R29" s="973">
        <f>Q29*(1+$V$6)/Q26*R26</f>
        <v>1315729091.2</v>
      </c>
      <c r="S29" s="973">
        <f t="shared" ref="S29:U29" si="14">R29*(1+$V$6)/R26*S26</f>
        <v>1720315786.744</v>
      </c>
      <c r="T29" s="973">
        <f t="shared" si="14"/>
        <v>1979395344.2276468</v>
      </c>
      <c r="U29" s="973">
        <f t="shared" si="14"/>
        <v>2070447530.062119</v>
      </c>
      <c r="AE29" s="153" t="s">
        <v>2814</v>
      </c>
      <c r="AF29" s="969" t="s">
        <v>2828</v>
      </c>
      <c r="AG29" s="968" t="s">
        <v>2816</v>
      </c>
      <c r="AH29" s="819" t="e">
        <f>AH27/AH28</f>
        <v>#DIV/0!</v>
      </c>
      <c r="AI29" s="819" t="e">
        <f>AI27/AI28</f>
        <v>#DIV/0!</v>
      </c>
      <c r="AJ29" s="819" t="e">
        <f>AJ27/AJ28</f>
        <v>#DIV/0!</v>
      </c>
      <c r="AK29" s="819" t="e">
        <f>AK27/AK28</f>
        <v>#DIV/0!</v>
      </c>
      <c r="AL29" s="819" t="e">
        <f>AL27/AL28</f>
        <v>#DIV/0!</v>
      </c>
    </row>
    <row r="30" spans="2:52" x14ac:dyDescent="0.3">
      <c r="B30" s="153" t="s">
        <v>2045</v>
      </c>
      <c r="C30" s="153" t="s">
        <v>2047</v>
      </c>
      <c r="D30" s="153" t="s">
        <v>2049</v>
      </c>
      <c r="E30" s="153" t="s">
        <v>2809</v>
      </c>
      <c r="G30" s="153" t="s">
        <v>2045</v>
      </c>
      <c r="H30" s="153" t="s">
        <v>2037</v>
      </c>
      <c r="I30" s="153" t="s">
        <v>2802</v>
      </c>
      <c r="K30" s="968"/>
      <c r="L30" s="968" t="s">
        <v>2810</v>
      </c>
      <c r="M30" s="968" t="s">
        <v>2045</v>
      </c>
      <c r="N30" s="968" t="s">
        <v>2825</v>
      </c>
      <c r="O30" s="969" t="s">
        <v>2812</v>
      </c>
      <c r="P30" s="968" t="s">
        <v>2813</v>
      </c>
      <c r="Q30" s="972">
        <f>SUMIFS('사업계획(매출 확정본)'!S$12:S$113,'사업계획(매출 확정본)'!$M$12:$M$113,'사업계획(원재료)'!$M30,'사업계획(매출 확정본)'!$Q$12:$Q$113,'사업계획(원재료)'!$P30)</f>
        <v>6</v>
      </c>
      <c r="R30" s="972">
        <f>SUMIFS('사업계획(매출 확정본)'!T$12:T$113,'사업계획(매출 확정본)'!$M$12:$M$113,'사업계획(원재료)'!$M30,'사업계획(매출 확정본)'!$Q$12:$Q$113,'사업계획(원재료)'!$P30)</f>
        <v>10</v>
      </c>
      <c r="S30" s="972">
        <f>SUMIFS('사업계획(매출 확정본)'!U$12:U$113,'사업계획(매출 확정본)'!$M$12:$M$113,'사업계획(원재료)'!$M30,'사업계획(매출 확정본)'!$Q$12:$Q$113,'사업계획(원재료)'!$P30)</f>
        <v>15</v>
      </c>
      <c r="T30" s="972">
        <f>SUMIFS('사업계획(매출 확정본)'!V$12:V$113,'사업계획(매출 확정본)'!$M$12:$M$113,'사업계획(원재료)'!$M30,'사업계획(매출 확정본)'!$Q$12:$Q$113,'사업계획(원재료)'!$P30)</f>
        <v>20</v>
      </c>
      <c r="U30" s="972">
        <f>SUMIFS('사업계획(매출 확정본)'!W$12:W$113,'사업계획(매출 확정본)'!$M$12:$M$113,'사업계획(원재료)'!$M30,'사업계획(매출 확정본)'!$Q$12:$Q$113,'사업계획(원재료)'!$P30)</f>
        <v>25</v>
      </c>
      <c r="AE30" s="153" t="s">
        <v>2814</v>
      </c>
      <c r="AF30" s="969" t="s">
        <v>2828</v>
      </c>
      <c r="AG30" s="1051" t="s">
        <v>3075</v>
      </c>
      <c r="AH30" s="992">
        <f t="shared" ref="AH30:AL30" si="15">SUMIFS(Q$14:Q$149,$N$14:$N$149,$AE30,$O$14:$O$149,$AF30,$P$14:$P$149,$AG30)</f>
        <v>0</v>
      </c>
      <c r="AI30" s="992">
        <f t="shared" si="15"/>
        <v>0</v>
      </c>
      <c r="AJ30" s="992">
        <f t="shared" si="15"/>
        <v>0</v>
      </c>
      <c r="AK30" s="992">
        <f t="shared" si="15"/>
        <v>0</v>
      </c>
      <c r="AL30" s="992">
        <f t="shared" si="15"/>
        <v>0</v>
      </c>
      <c r="AY30" s="153" t="s">
        <v>2055</v>
      </c>
      <c r="AZ30" s="153" t="s">
        <v>2824</v>
      </c>
    </row>
    <row r="31" spans="2:52" x14ac:dyDescent="0.3">
      <c r="D31" s="153" t="s">
        <v>2064</v>
      </c>
      <c r="E31" s="153" t="s">
        <v>2809</v>
      </c>
      <c r="H31" s="153" t="s">
        <v>2039</v>
      </c>
      <c r="I31" s="153" t="s">
        <v>2802</v>
      </c>
      <c r="K31" s="968"/>
      <c r="L31" s="968"/>
      <c r="M31" s="968" t="s">
        <v>2045</v>
      </c>
      <c r="N31" s="968" t="s">
        <v>2825</v>
      </c>
      <c r="O31" s="969" t="s">
        <v>2812</v>
      </c>
      <c r="P31" s="968" t="s">
        <v>2816</v>
      </c>
      <c r="Q31" s="973">
        <v>92400000</v>
      </c>
      <c r="R31" s="973">
        <f>ROUND(Q31*1.05,-5)</f>
        <v>97000000</v>
      </c>
      <c r="S31" s="973">
        <f t="shared" ref="S31:U31" si="16">ROUND(R31*1.05,-5)</f>
        <v>101900000</v>
      </c>
      <c r="T31" s="973">
        <f t="shared" si="16"/>
        <v>107000000</v>
      </c>
      <c r="U31" s="973">
        <f t="shared" si="16"/>
        <v>112400000</v>
      </c>
      <c r="AE31" s="153" t="s">
        <v>2814</v>
      </c>
      <c r="AF31" s="969" t="s">
        <v>2829</v>
      </c>
      <c r="AG31" s="968" t="s">
        <v>2818</v>
      </c>
      <c r="AH31" s="153">
        <f>SUMIFS(Q$14:Q$148,$P$14:$P$148,$AG$31,$O$14:$O$148,$AF$31,$N$14:$N$148,$AE$31)</f>
        <v>0</v>
      </c>
      <c r="AI31" s="153">
        <f>SUMIFS(R$14:R$148,$P$14:$P$148,$AG$31,$O$14:$O$148,$AF$31,$N$14:$N$148,$AE$31)</f>
        <v>0</v>
      </c>
      <c r="AJ31" s="153">
        <f>SUMIFS(S$14:S$148,$P$14:$P$148,$AG$31,$O$14:$O$148,$AF$31,$N$14:$N$148,$AE$31)</f>
        <v>0</v>
      </c>
      <c r="AK31" s="153">
        <f>SUMIFS(T$14:T$148,$P$14:$P$148,$AG$31,$O$14:$O$148,$AF$31,$N$14:$N$148,$AE$31)</f>
        <v>0</v>
      </c>
      <c r="AL31" s="153">
        <f>SUMIFS(U$14:U$148,$P$14:$P$148,$AG$31,$O$14:$O$148,$AF$31,$N$14:$N$148,$AE$31)</f>
        <v>0</v>
      </c>
      <c r="AY31" s="153" t="s">
        <v>2059</v>
      </c>
      <c r="AZ31" s="153" t="s">
        <v>2819</v>
      </c>
    </row>
    <row r="32" spans="2:52" x14ac:dyDescent="0.3">
      <c r="K32" s="968"/>
      <c r="L32" s="968"/>
      <c r="M32" s="968" t="s">
        <v>2045</v>
      </c>
      <c r="N32" s="968" t="s">
        <v>2825</v>
      </c>
      <c r="O32" s="969" t="s">
        <v>2812</v>
      </c>
      <c r="P32" s="968" t="s">
        <v>2818</v>
      </c>
      <c r="Q32" s="973">
        <f>SUMIFS('사업계획(매출 확정본)'!S$12:S$113,'사업계획(매출 확정본)'!$M$12:$M$113,'사업계획(원재료)'!$M32,'사업계획(매출 확정본)'!$Q$12:$Q$113,'사업계획(원재료)'!$P32)</f>
        <v>554400000</v>
      </c>
      <c r="R32" s="973">
        <f>SUMIFS('사업계획(매출 확정본)'!T$12:T$113,'사업계획(매출 확정본)'!$M$12:$M$113,'사업계획(원재료)'!$M32,'사업계획(매출 확정본)'!$Q$12:$Q$113,'사업계획(원재료)'!$P32)</f>
        <v>970000000</v>
      </c>
      <c r="S32" s="973">
        <f>SUMIFS('사업계획(매출 확정본)'!U$12:U$113,'사업계획(매출 확정본)'!$M$12:$M$113,'사업계획(원재료)'!$M32,'사업계획(매출 확정본)'!$Q$12:$Q$113,'사업계획(원재료)'!$P32)</f>
        <v>1528500000</v>
      </c>
      <c r="T32" s="973">
        <f>SUMIFS('사업계획(매출 확정본)'!V$12:V$113,'사업계획(매출 확정본)'!$M$12:$M$113,'사업계획(원재료)'!$M32,'사업계획(매출 확정본)'!$Q$12:$Q$113,'사업계획(원재료)'!$P32)</f>
        <v>2140000000</v>
      </c>
      <c r="U32" s="973">
        <f>SUMIFS('사업계획(매출 확정본)'!W$12:W$113,'사업계획(매출 확정본)'!$M$12:$M$113,'사업계획(원재료)'!$M32,'사업계획(매출 확정본)'!$Q$12:$Q$113,'사업계획(원재료)'!$P32)</f>
        <v>2810000000</v>
      </c>
      <c r="AE32" s="153" t="s">
        <v>2814</v>
      </c>
      <c r="AF32" s="969" t="s">
        <v>2829</v>
      </c>
      <c r="AG32" s="968" t="s">
        <v>2813</v>
      </c>
      <c r="AH32" s="153">
        <f>SUMIFS(Q$14:Q$148,$P$14:$P$148,$AG$32,$O$14:$O$148,$AF$31,$N$14:$N$148,$AE$31)</f>
        <v>0</v>
      </c>
      <c r="AI32" s="153">
        <f>SUMIFS(R$14:R$148,$P$14:$P$148,$AG$32,$O$14:$O$148,$AF$31,$N$14:$N$148,$AE$31)</f>
        <v>0</v>
      </c>
      <c r="AJ32" s="153">
        <f>SUMIFS(S$14:S$148,$P$14:$P$148,$AG$32,$O$14:$O$148,$AF$31,$N$14:$N$148,$AE$31)</f>
        <v>0</v>
      </c>
      <c r="AK32" s="153">
        <f>SUMIFS(T$14:T$148,$P$14:$P$148,$AG$32,$O$14:$O$148,$AF$31,$N$14:$N$148,$AE$31)</f>
        <v>0</v>
      </c>
      <c r="AL32" s="153">
        <f>SUMIFS(U$14:U$148,$P$14:$P$148,$AG$32,$O$14:$O$148,$AF$31,$N$14:$N$148,$AE$31)</f>
        <v>0</v>
      </c>
    </row>
    <row r="33" spans="2:52" x14ac:dyDescent="0.3">
      <c r="K33" s="968"/>
      <c r="L33" s="968"/>
      <c r="M33" s="968" t="s">
        <v>2045</v>
      </c>
      <c r="N33" s="968" t="s">
        <v>2825</v>
      </c>
      <c r="O33" s="969" t="s">
        <v>2812</v>
      </c>
      <c r="P33" s="968" t="s">
        <v>3075</v>
      </c>
      <c r="Q33" s="1050">
        <f>VLOOKUP(M30,'제품별 원재료비 '!$O$4:$S$48,5,FALSE)*Q30</f>
        <v>291123360</v>
      </c>
      <c r="R33" s="973">
        <f>Q33*(1+$V$6)/Q30*R30</f>
        <v>507525057.59999996</v>
      </c>
      <c r="S33" s="973">
        <f t="shared" ref="S33:U33" si="17">R33*(1+$V$6)/R30*S30</f>
        <v>796306815.3743999</v>
      </c>
      <c r="T33" s="973">
        <f t="shared" si="17"/>
        <v>1110582571.8421631</v>
      </c>
      <c r="U33" s="973">
        <f t="shared" si="17"/>
        <v>1452086712.6836281</v>
      </c>
      <c r="AE33" s="153" t="s">
        <v>2814</v>
      </c>
      <c r="AF33" s="969" t="s">
        <v>2829</v>
      </c>
      <c r="AG33" s="968" t="s">
        <v>2816</v>
      </c>
      <c r="AH33" s="37" t="e">
        <f>AH31/AH32</f>
        <v>#DIV/0!</v>
      </c>
      <c r="AI33" s="37" t="e">
        <f>AI31/AI32</f>
        <v>#DIV/0!</v>
      </c>
      <c r="AJ33" s="37" t="e">
        <f>AJ31/AJ32</f>
        <v>#DIV/0!</v>
      </c>
      <c r="AK33" s="37" t="e">
        <f>AK31/AK32</f>
        <v>#DIV/0!</v>
      </c>
      <c r="AL33" s="37" t="e">
        <f>AL31/AL32</f>
        <v>#DIV/0!</v>
      </c>
    </row>
    <row r="34" spans="2:52" s="37" customFormat="1" x14ac:dyDescent="0.3">
      <c r="B34" s="37" t="s">
        <v>2055</v>
      </c>
      <c r="C34" s="37" t="s">
        <v>2028</v>
      </c>
      <c r="D34" s="153" t="s">
        <v>2830</v>
      </c>
      <c r="E34" s="153" t="s">
        <v>2831</v>
      </c>
      <c r="G34" s="37" t="s">
        <v>2055</v>
      </c>
      <c r="H34" s="153" t="s">
        <v>2060</v>
      </c>
      <c r="I34" s="153" t="s">
        <v>2023</v>
      </c>
      <c r="J34" s="153"/>
      <c r="K34" s="968"/>
      <c r="L34" s="968" t="s">
        <v>2810</v>
      </c>
      <c r="M34" s="968" t="s">
        <v>2055</v>
      </c>
      <c r="N34" s="968" t="s">
        <v>2825</v>
      </c>
      <c r="O34" s="969" t="s">
        <v>2832</v>
      </c>
      <c r="P34" s="968" t="s">
        <v>2813</v>
      </c>
      <c r="Q34" s="972">
        <f>SUMIFS('사업계획(매출 확정본)'!S$12:S$113,'사업계획(매출 확정본)'!$M$12:$M$113,'사업계획(원재료)'!$M34,'사업계획(매출 확정본)'!$Q$12:$Q$113,'사업계획(원재료)'!$P34)</f>
        <v>38</v>
      </c>
      <c r="R34" s="972">
        <f>SUMIFS('사업계획(매출 확정본)'!T$12:T$113,'사업계획(매출 확정본)'!$M$12:$M$113,'사업계획(원재료)'!$M34,'사업계획(매출 확정본)'!$Q$12:$Q$113,'사업계획(원재료)'!$P34)</f>
        <v>45</v>
      </c>
      <c r="S34" s="972">
        <f>SUMIFS('사업계획(매출 확정본)'!U$12:U$113,'사업계획(매출 확정본)'!$M$12:$M$113,'사업계획(원재료)'!$M34,'사업계획(매출 확정본)'!$Q$12:$Q$113,'사업계획(원재료)'!$P34)</f>
        <v>55</v>
      </c>
      <c r="T34" s="972">
        <f>SUMIFS('사업계획(매출 확정본)'!V$12:V$113,'사업계획(매출 확정본)'!$M$12:$M$113,'사업계획(원재료)'!$M34,'사업계획(매출 확정본)'!$Q$12:$Q$113,'사업계획(원재료)'!$P34)</f>
        <v>65</v>
      </c>
      <c r="U34" s="972">
        <f>SUMIFS('사업계획(매출 확정본)'!W$12:W$113,'사업계획(매출 확정본)'!$M$12:$M$113,'사업계획(원재료)'!$M34,'사업계획(매출 확정본)'!$Q$12:$Q$113,'사업계획(원재료)'!$P34)</f>
        <v>70</v>
      </c>
      <c r="AE34" s="153" t="s">
        <v>2814</v>
      </c>
      <c r="AF34" s="969" t="s">
        <v>2829</v>
      </c>
      <c r="AG34" s="1051" t="s">
        <v>3075</v>
      </c>
      <c r="AH34" s="992">
        <f t="shared" ref="AH34:AL34" si="18">SUMIFS(Q$14:Q$149,$N$14:$N$149,$AE34,$O$14:$O$149,$AF34,$P$14:$P$149,$AG34)</f>
        <v>0</v>
      </c>
      <c r="AI34" s="992">
        <f t="shared" si="18"/>
        <v>0</v>
      </c>
      <c r="AJ34" s="992">
        <f t="shared" si="18"/>
        <v>0</v>
      </c>
      <c r="AK34" s="992">
        <f t="shared" si="18"/>
        <v>0</v>
      </c>
      <c r="AL34" s="992">
        <f t="shared" si="18"/>
        <v>0</v>
      </c>
      <c r="AY34" s="153" t="s">
        <v>2062</v>
      </c>
      <c r="AZ34" s="153" t="s">
        <v>2809</v>
      </c>
    </row>
    <row r="35" spans="2:52" s="37" customFormat="1" x14ac:dyDescent="0.3">
      <c r="D35" s="153" t="s">
        <v>2833</v>
      </c>
      <c r="E35" s="153" t="s">
        <v>2831</v>
      </c>
      <c r="H35" s="153" t="s">
        <v>2028</v>
      </c>
      <c r="I35" s="153" t="s">
        <v>2023</v>
      </c>
      <c r="J35" s="153"/>
      <c r="K35" s="968"/>
      <c r="L35" s="968"/>
      <c r="M35" s="968" t="s">
        <v>2055</v>
      </c>
      <c r="N35" s="968" t="s">
        <v>2825</v>
      </c>
      <c r="O35" s="969" t="s">
        <v>2832</v>
      </c>
      <c r="P35" s="968" t="s">
        <v>2816</v>
      </c>
      <c r="Q35" s="973">
        <v>62500000</v>
      </c>
      <c r="R35" s="973">
        <f>ROUND(Q35*1.05,-5)</f>
        <v>65600000</v>
      </c>
      <c r="S35" s="973">
        <f t="shared" ref="S35:U35" si="19">ROUND(R35*1.05,-5)</f>
        <v>68900000</v>
      </c>
      <c r="T35" s="973">
        <f t="shared" si="19"/>
        <v>72300000</v>
      </c>
      <c r="U35" s="973">
        <f t="shared" si="19"/>
        <v>75900000</v>
      </c>
      <c r="V35" s="1553">
        <f>S35/R35-1</f>
        <v>5.0304878048780477E-2</v>
      </c>
      <c r="AE35" s="153" t="s">
        <v>2814</v>
      </c>
      <c r="AF35" s="969" t="s">
        <v>2832</v>
      </c>
      <c r="AG35" s="968" t="s">
        <v>2818</v>
      </c>
      <c r="AH35" s="974">
        <f>SUMIFS(Q$14:Q$148,$P$14:$P$148,$AG$35,$O$14:$O$148,$AF$35,$N$14:$N$148,$AE$35)</f>
        <v>3337500000</v>
      </c>
      <c r="AI35" s="974">
        <f>SUMIFS(R$14:R$148,$P$14:$P$148,$AG$35,$O$14:$O$148,$AF$35,$N$14:$N$148,$AE$35)</f>
        <v>4766500000</v>
      </c>
      <c r="AJ35" s="974">
        <f>SUMIFS(S$14:S$148,$P$14:$P$148,$AG$35,$O$14:$O$148,$AF$35,$N$14:$N$148,$AE$35)</f>
        <v>6539500000</v>
      </c>
      <c r="AK35" s="974">
        <f>SUMIFS(T$14:T$148,$P$14:$P$148,$AG$35,$O$14:$O$148,$AF$35,$N$14:$N$148,$AE$35)</f>
        <v>7817000000</v>
      </c>
      <c r="AL35" s="974">
        <f>SUMIFS(U$14:U$148,$P$14:$P$148,$AG$35,$O$14:$O$148,$AF$35,$N$14:$N$148,$AE$35)</f>
        <v>8587000000</v>
      </c>
      <c r="AY35" s="153" t="s">
        <v>2834</v>
      </c>
      <c r="AZ35" s="153" t="s">
        <v>2827</v>
      </c>
    </row>
    <row r="36" spans="2:52" s="37" customFormat="1" x14ac:dyDescent="0.3">
      <c r="D36" s="153"/>
      <c r="E36" s="153"/>
      <c r="H36" s="153"/>
      <c r="I36" s="153"/>
      <c r="J36" s="153"/>
      <c r="K36" s="968"/>
      <c r="L36" s="968"/>
      <c r="M36" s="968" t="s">
        <v>2055</v>
      </c>
      <c r="N36" s="968" t="s">
        <v>2825</v>
      </c>
      <c r="O36" s="969" t="s">
        <v>2832</v>
      </c>
      <c r="P36" s="968" t="s">
        <v>2818</v>
      </c>
      <c r="Q36" s="973">
        <f>SUMIFS('사업계획(매출 확정본)'!S$12:S$113,'사업계획(매출 확정본)'!$M$12:$M$113,'사업계획(원재료)'!$M36,'사업계획(매출 확정본)'!$Q$12:$Q$113,'사업계획(원재료)'!$P36)</f>
        <v>2375000000</v>
      </c>
      <c r="R36" s="973">
        <f>SUMIFS('사업계획(매출 확정본)'!T$12:T$113,'사업계획(매출 확정본)'!$M$12:$M$113,'사업계획(원재료)'!$M36,'사업계획(매출 확정본)'!$Q$12:$Q$113,'사업계획(원재료)'!$P36)</f>
        <v>2952000000</v>
      </c>
      <c r="S36" s="973">
        <f>SUMIFS('사업계획(매출 확정본)'!U$12:U$113,'사업계획(매출 확정본)'!$M$12:$M$113,'사업계획(원재료)'!$M36,'사업계획(매출 확정본)'!$Q$12:$Q$113,'사업계획(원재료)'!$P36)</f>
        <v>3789500000</v>
      </c>
      <c r="T36" s="973">
        <f>SUMIFS('사업계획(매출 확정본)'!V$12:V$113,'사업계획(매출 확정본)'!$M$12:$M$113,'사업계획(원재료)'!$M36,'사업계획(매출 확정본)'!$Q$12:$Q$113,'사업계획(원재료)'!$P36)</f>
        <v>4699500000</v>
      </c>
      <c r="U36" s="973">
        <f>SUMIFS('사업계획(매출 확정본)'!W$12:W$113,'사업계획(매출 확정본)'!$M$12:$M$113,'사업계획(원재료)'!$M36,'사업계획(매출 확정본)'!$Q$12:$Q$113,'사업계획(원재료)'!$P36)</f>
        <v>5313000000</v>
      </c>
      <c r="AE36" s="153" t="s">
        <v>2814</v>
      </c>
      <c r="AF36" s="969" t="s">
        <v>2832</v>
      </c>
      <c r="AG36" s="968" t="s">
        <v>2813</v>
      </c>
      <c r="AH36" s="37">
        <f>SUMIFS(Q$14:Q$148,$P$14:$P$148,$AG$36,$O$14:$O$148,$AF$35,$N$14:$N$148,$AE$35)</f>
        <v>53</v>
      </c>
      <c r="AI36" s="37">
        <f>SUMIFS(R$14:R$148,$P$14:$P$148,$AG$36,$O$14:$O$148,$AF$35,$N$14:$N$148,$AE$35)</f>
        <v>70</v>
      </c>
      <c r="AJ36" s="37">
        <f>SUMIFS(S$14:S$148,$P$14:$P$148,$AG$36,$O$14:$O$148,$AF$35,$N$14:$N$148,$AE$35)</f>
        <v>90</v>
      </c>
      <c r="AK36" s="37">
        <f>SUMIFS(T$14:T$148,$P$14:$P$148,$AG$36,$O$14:$O$148,$AF$35,$N$14:$N$148,$AE$35)</f>
        <v>105</v>
      </c>
      <c r="AL36" s="37">
        <f>SUMIFS(U$14:U$148,$P$14:$P$148,$AG$36,$O$14:$O$148,$AF$35,$N$14:$N$148,$AE$35)</f>
        <v>110</v>
      </c>
      <c r="AY36" s="153"/>
      <c r="AZ36" s="153"/>
    </row>
    <row r="37" spans="2:52" s="37" customFormat="1" x14ac:dyDescent="0.3">
      <c r="D37" s="153"/>
      <c r="E37" s="153"/>
      <c r="H37" s="153"/>
      <c r="I37" s="153"/>
      <c r="J37" s="153"/>
      <c r="K37" s="968"/>
      <c r="L37" s="968"/>
      <c r="M37" s="968" t="s">
        <v>2055</v>
      </c>
      <c r="N37" s="968" t="s">
        <v>2825</v>
      </c>
      <c r="O37" s="969" t="s">
        <v>2832</v>
      </c>
      <c r="P37" s="968" t="s">
        <v>3075</v>
      </c>
      <c r="Q37" s="1050">
        <f>VLOOKUP(M34,'제품별 원재료비 '!$O$4:$S$48,5,FALSE)*Q34</f>
        <v>1214140660</v>
      </c>
      <c r="R37" s="973">
        <f>Q37*(1+$V$6)/Q34*R34</f>
        <v>1503936864.9000001</v>
      </c>
      <c r="S37" s="973">
        <f t="shared" ref="S37:U37" si="20">R37*(1+$V$6)/R34*S34</f>
        <v>1922699729.7266004</v>
      </c>
      <c r="T37" s="973">
        <f t="shared" si="20"/>
        <v>2376806447.7111192</v>
      </c>
      <c r="U37" s="973">
        <f t="shared" si="20"/>
        <v>2677381047.7139716</v>
      </c>
      <c r="W37" s="1464">
        <f>Q37/Q36</f>
        <v>0.51121711999999997</v>
      </c>
      <c r="AE37" s="153" t="s">
        <v>2814</v>
      </c>
      <c r="AF37" s="969" t="s">
        <v>2832</v>
      </c>
      <c r="AG37" s="968" t="s">
        <v>2816</v>
      </c>
      <c r="AH37" s="974">
        <f>AH35/AH36</f>
        <v>62971698.113207549</v>
      </c>
      <c r="AI37" s="974">
        <f>AI35/AI36</f>
        <v>68092857.142857149</v>
      </c>
      <c r="AJ37" s="974">
        <f>AJ35/AJ36</f>
        <v>72661111.111111104</v>
      </c>
      <c r="AK37" s="974">
        <f>AK35/AK36</f>
        <v>74447619.047619045</v>
      </c>
      <c r="AL37" s="974">
        <f>AL35/AL36</f>
        <v>78063636.36363636</v>
      </c>
      <c r="AY37" s="153"/>
      <c r="AZ37" s="153"/>
    </row>
    <row r="38" spans="2:52" x14ac:dyDescent="0.3">
      <c r="B38" s="153" t="s">
        <v>2028</v>
      </c>
      <c r="C38" s="153" t="s">
        <v>2058</v>
      </c>
      <c r="G38" s="153" t="s">
        <v>2028</v>
      </c>
      <c r="H38" s="153" t="s">
        <v>2049</v>
      </c>
      <c r="I38" s="153" t="s">
        <v>2024</v>
      </c>
      <c r="K38" s="968"/>
      <c r="L38" s="968" t="s">
        <v>2810</v>
      </c>
      <c r="M38" s="968" t="s">
        <v>2028</v>
      </c>
      <c r="N38" s="968" t="s">
        <v>2163</v>
      </c>
      <c r="O38" s="969" t="s">
        <v>2828</v>
      </c>
      <c r="P38" s="968" t="s">
        <v>2813</v>
      </c>
      <c r="Q38" s="972">
        <f>SUMIFS('사업계획(매출 확정본)'!S$12:S$113,'사업계획(매출 확정본)'!$M$12:$M$113,'사업계획(원재료)'!$M38,'사업계획(매출 확정본)'!$Q$12:$Q$113,'사업계획(원재료)'!$P38)</f>
        <v>225</v>
      </c>
      <c r="R38" s="972">
        <f>SUMIFS('사업계획(매출 확정본)'!T$12:T$113,'사업계획(매출 확정본)'!$M$12:$M$113,'사업계획(원재료)'!$M38,'사업계획(매출 확정본)'!$Q$12:$Q$113,'사업계획(원재료)'!$P38)</f>
        <v>250</v>
      </c>
      <c r="S38" s="972">
        <f>SUMIFS('사업계획(매출 확정본)'!U$12:U$113,'사업계획(매출 확정본)'!$M$12:$M$113,'사업계획(원재료)'!$M38,'사업계획(매출 확정본)'!$Q$12:$Q$113,'사업계획(원재료)'!$P38)</f>
        <v>280</v>
      </c>
      <c r="T38" s="972">
        <f>SUMIFS('사업계획(매출 확정본)'!V$12:V$113,'사업계획(매출 확정본)'!$M$12:$M$113,'사업계획(원재료)'!$M38,'사업계획(매출 확정본)'!$Q$12:$Q$113,'사업계획(원재료)'!$P38)</f>
        <v>310</v>
      </c>
      <c r="U38" s="972">
        <f>SUMIFS('사업계획(매출 확정본)'!W$12:W$113,'사업계획(매출 확정본)'!$M$12:$M$113,'사업계획(원재료)'!$M38,'사업계획(매출 확정본)'!$Q$12:$Q$113,'사업계획(원재료)'!$P38)</f>
        <v>320</v>
      </c>
      <c r="AE38" s="153" t="s">
        <v>2814</v>
      </c>
      <c r="AF38" s="969" t="s">
        <v>2832</v>
      </c>
      <c r="AG38" s="1051" t="s">
        <v>3075</v>
      </c>
      <c r="AH38" s="992">
        <f t="shared" ref="AH38:AL38" si="21">SUMIFS(Q$14:Q$149,$N$14:$N$149,$AE38,$O$14:$O$149,$AF38,$P$14:$P$149,$AG38)</f>
        <v>1808179882.6096916</v>
      </c>
      <c r="AI38" s="992">
        <f t="shared" si="21"/>
        <v>2627285776.1746063</v>
      </c>
      <c r="AJ38" s="992">
        <f t="shared" si="21"/>
        <v>3622797834.0282516</v>
      </c>
      <c r="AK38" s="992">
        <f t="shared" si="21"/>
        <v>4285725882.8359737</v>
      </c>
      <c r="AL38" s="992">
        <f t="shared" si="21"/>
        <v>4674110776.8545694</v>
      </c>
      <c r="AY38" s="153" t="s">
        <v>2835</v>
      </c>
    </row>
    <row r="39" spans="2:52" x14ac:dyDescent="0.3">
      <c r="H39" s="153" t="s">
        <v>2049</v>
      </c>
      <c r="I39" s="153" t="s">
        <v>2024</v>
      </c>
      <c r="K39" s="968"/>
      <c r="L39" s="968"/>
      <c r="M39" s="968" t="s">
        <v>2028</v>
      </c>
      <c r="N39" s="968" t="s">
        <v>2163</v>
      </c>
      <c r="O39" s="969" t="s">
        <v>2828</v>
      </c>
      <c r="P39" s="968" t="s">
        <v>2816</v>
      </c>
      <c r="Q39" s="973">
        <v>15000000</v>
      </c>
      <c r="R39" s="973">
        <f>ROUND(Q39*1.05,-5)</f>
        <v>15800000</v>
      </c>
      <c r="S39" s="973">
        <f t="shared" ref="S39:U39" si="22">ROUND(R39*1.05,-5)</f>
        <v>16600000</v>
      </c>
      <c r="T39" s="973">
        <f t="shared" si="22"/>
        <v>17400000</v>
      </c>
      <c r="U39" s="973">
        <f t="shared" si="22"/>
        <v>18300000</v>
      </c>
      <c r="AE39" s="153" t="s">
        <v>2821</v>
      </c>
      <c r="AF39" s="969" t="s">
        <v>2817</v>
      </c>
      <c r="AG39" s="968" t="s">
        <v>2818</v>
      </c>
      <c r="AH39" s="819">
        <f>SUMIFS(Q$14:Q$148,$P$14:$P$148,$AG$39,$O$14:$O$148,$AF$39,$N$14:$N$148,$AE$39)</f>
        <v>270000000</v>
      </c>
      <c r="AI39" s="819">
        <f>SUMIFS(R$14:R$148,$P$14:$P$148,$AG$39,$O$14:$O$148,$AF$39,$N$14:$N$148,$AE$39)</f>
        <v>709000000</v>
      </c>
      <c r="AJ39" s="819">
        <f>SUMIFS(S$14:S$148,$P$14:$P$148,$AG$39,$O$14:$O$148,$AF$39,$N$14:$N$148,$AE$39)</f>
        <v>1489000000</v>
      </c>
      <c r="AK39" s="819">
        <f>SUMIFS(T$14:T$148,$P$14:$P$148,$AG$39,$O$14:$O$148,$AF$39,$N$14:$N$148,$AE$39)</f>
        <v>2031900000</v>
      </c>
      <c r="AL39" s="819">
        <f>SUMIFS(U$14:U$148,$P$14:$P$148,$AG$39,$O$14:$O$148,$AF$39,$N$14:$N$148,$AE$39)</f>
        <v>2461500000</v>
      </c>
      <c r="AY39" s="153" t="s">
        <v>2044</v>
      </c>
      <c r="AZ39" s="153" t="s">
        <v>2824</v>
      </c>
    </row>
    <row r="40" spans="2:52" x14ac:dyDescent="0.3">
      <c r="K40" s="968"/>
      <c r="L40" s="968"/>
      <c r="M40" s="968" t="s">
        <v>2028</v>
      </c>
      <c r="N40" s="968" t="s">
        <v>2163</v>
      </c>
      <c r="O40" s="969" t="s">
        <v>2828</v>
      </c>
      <c r="P40" s="968" t="s">
        <v>2818</v>
      </c>
      <c r="Q40" s="973">
        <f>SUMIFS('사업계획(매출 확정본)'!S$12:S$113,'사업계획(매출 확정본)'!$M$12:$M$113,'사업계획(원재료)'!$M40,'사업계획(매출 확정본)'!$Q$12:$Q$113,'사업계획(원재료)'!$P40)</f>
        <v>3375000000</v>
      </c>
      <c r="R40" s="973">
        <f>SUMIFS('사업계획(매출 확정본)'!T$12:T$113,'사업계획(매출 확정본)'!$M$12:$M$113,'사업계획(원재료)'!$M40,'사업계획(매출 확정본)'!$Q$12:$Q$113,'사업계획(원재료)'!$P40)</f>
        <v>3950000000</v>
      </c>
      <c r="S40" s="973">
        <f>SUMIFS('사업계획(매출 확정본)'!U$12:U$113,'사업계획(매출 확정본)'!$M$12:$M$113,'사업계획(원재료)'!$M40,'사업계획(매출 확정본)'!$Q$12:$Q$113,'사업계획(원재료)'!$P40)</f>
        <v>4648000000</v>
      </c>
      <c r="T40" s="973">
        <f>SUMIFS('사업계획(매출 확정본)'!V$12:V$113,'사업계획(매출 확정본)'!$M$12:$M$113,'사업계획(원재료)'!$M40,'사업계획(매출 확정본)'!$Q$12:$Q$113,'사업계획(원재료)'!$P40)</f>
        <v>5394000000</v>
      </c>
      <c r="U40" s="973">
        <f>SUMIFS('사업계획(매출 확정본)'!W$12:W$113,'사업계획(매출 확정본)'!$M$12:$M$113,'사업계획(원재료)'!$M40,'사업계획(매출 확정본)'!$Q$12:$Q$113,'사업계획(원재료)'!$P40)</f>
        <v>5856000000</v>
      </c>
      <c r="AE40" s="153" t="s">
        <v>2821</v>
      </c>
      <c r="AF40" s="969" t="s">
        <v>2817</v>
      </c>
      <c r="AG40" s="968" t="s">
        <v>2813</v>
      </c>
      <c r="AH40" s="153">
        <f>SUMIFS(Q$14:Q$148,$P$14:$P$148,$AG$40,$O$14:$O$148,$AF$39,$N$14:$N$148,$AE$39)</f>
        <v>2</v>
      </c>
      <c r="AI40" s="153">
        <f>SUMIFS(R$14:R$148,$P$14:$P$148,$AG$40,$O$14:$O$148,$AF$39,$N$14:$N$148,$AE$39)</f>
        <v>5</v>
      </c>
      <c r="AJ40" s="153">
        <f>SUMIFS(S$14:S$148,$P$14:$P$148,$AG$40,$O$14:$O$148,$AF$39,$N$14:$N$148,$AE$39)</f>
        <v>10</v>
      </c>
      <c r="AK40" s="153">
        <f>SUMIFS(T$14:T$148,$P$14:$P$148,$AG$40,$O$14:$O$148,$AF$39,$N$14:$N$148,$AE$39)</f>
        <v>13</v>
      </c>
      <c r="AL40" s="153">
        <f>SUMIFS(U$14:U$148,$P$14:$P$148,$AG$40,$O$14:$O$148,$AF$39,$N$14:$N$148,$AE$39)</f>
        <v>15</v>
      </c>
    </row>
    <row r="41" spans="2:52" x14ac:dyDescent="0.3">
      <c r="K41" s="968"/>
      <c r="L41" s="968"/>
      <c r="M41" s="968" t="s">
        <v>2028</v>
      </c>
      <c r="N41" s="968" t="s">
        <v>2163</v>
      </c>
      <c r="O41" s="969" t="s">
        <v>2828</v>
      </c>
      <c r="P41" s="968" t="s">
        <v>3075</v>
      </c>
      <c r="Q41" s="1050">
        <f>VLOOKUP(M38,'제품별 원재료비 '!$O$4:$S$48,5,FALSE)*Q38</f>
        <v>990812250</v>
      </c>
      <c r="R41" s="973">
        <f>Q41*(1+$V$6)/Q38*R38</f>
        <v>1151544015</v>
      </c>
      <c r="S41" s="973">
        <f t="shared" ref="S41:U41" si="23">R41*(1+$V$6)/R38*S38</f>
        <v>1349056844.4528</v>
      </c>
      <c r="T41" s="973">
        <f t="shared" si="23"/>
        <v>1562304187.0795176</v>
      </c>
      <c r="U41" s="973">
        <f t="shared" si="23"/>
        <v>1686885346.7717938</v>
      </c>
      <c r="AE41" s="153" t="s">
        <v>2821</v>
      </c>
      <c r="AF41" s="969" t="s">
        <v>2817</v>
      </c>
      <c r="AG41" s="968" t="s">
        <v>2816</v>
      </c>
      <c r="AH41" s="974">
        <f>AH39/AH40</f>
        <v>135000000</v>
      </c>
      <c r="AI41" s="974">
        <f>AI39/AI40</f>
        <v>141800000</v>
      </c>
      <c r="AJ41" s="974">
        <f>AJ39/AJ40</f>
        <v>148900000</v>
      </c>
      <c r="AK41" s="974">
        <f>AK39/AK40</f>
        <v>156300000</v>
      </c>
      <c r="AL41" s="974">
        <f>AL39/AL40</f>
        <v>164100000</v>
      </c>
    </row>
    <row r="42" spans="2:52" x14ac:dyDescent="0.3">
      <c r="B42" s="153" t="s">
        <v>2054</v>
      </c>
      <c r="C42" s="153" t="s">
        <v>2059</v>
      </c>
      <c r="G42" s="153" t="s">
        <v>2054</v>
      </c>
      <c r="H42" s="153" t="s">
        <v>2049</v>
      </c>
      <c r="I42" s="153" t="s">
        <v>2024</v>
      </c>
      <c r="K42" s="968"/>
      <c r="L42" s="968" t="s">
        <v>2810</v>
      </c>
      <c r="M42" s="968" t="s">
        <v>2054</v>
      </c>
      <c r="N42" s="968" t="s">
        <v>2163</v>
      </c>
      <c r="O42" s="969" t="s">
        <v>2828</v>
      </c>
      <c r="P42" s="968" t="s">
        <v>2813</v>
      </c>
      <c r="Q42" s="972">
        <f>SUMIFS('사업계획(매출 확정본)'!S$12:S$113,'사업계획(매출 확정본)'!$M$12:$M$113,'사업계획(원재료)'!$M42,'사업계획(매출 확정본)'!$Q$12:$Q$113,'사업계획(원재료)'!$P42)</f>
        <v>49</v>
      </c>
      <c r="R42" s="972">
        <f>SUMIFS('사업계획(매출 확정본)'!T$12:T$113,'사업계획(매출 확정본)'!$M$12:$M$113,'사업계획(원재료)'!$M42,'사업계획(매출 확정본)'!$Q$12:$Q$113,'사업계획(원재료)'!$P42)</f>
        <v>60</v>
      </c>
      <c r="S42" s="972">
        <f>SUMIFS('사업계획(매출 확정본)'!U$12:U$113,'사업계획(매출 확정본)'!$M$12:$M$113,'사업계획(원재료)'!$M42,'사업계획(매출 확정본)'!$Q$12:$Q$113,'사업계획(원재료)'!$P42)</f>
        <v>85</v>
      </c>
      <c r="T42" s="972">
        <f>SUMIFS('사업계획(매출 확정본)'!V$12:V$113,'사업계획(매출 확정본)'!$M$12:$M$113,'사업계획(원재료)'!$M42,'사업계획(매출 확정본)'!$Q$12:$Q$113,'사업계획(원재료)'!$P42)</f>
        <v>110</v>
      </c>
      <c r="U42" s="972">
        <f>SUMIFS('사업계획(매출 확정본)'!W$12:W$113,'사업계획(매출 확정본)'!$M$12:$M$113,'사업계획(원재료)'!$M42,'사업계획(매출 확정본)'!$Q$12:$Q$113,'사업계획(원재료)'!$P42)</f>
        <v>115</v>
      </c>
      <c r="AE42" s="153" t="s">
        <v>2821</v>
      </c>
      <c r="AF42" s="969" t="s">
        <v>2817</v>
      </c>
      <c r="AG42" s="1051" t="s">
        <v>3075</v>
      </c>
      <c r="AH42" s="992">
        <f t="shared" ref="AH42:AL42" si="24">SUMIFS(Q$14:Q$149,$N$14:$N$149,$AE42,$O$14:$O$149,$AF42,$P$14:$P$149,$AG42)</f>
        <v>226200000</v>
      </c>
      <c r="AI42" s="992">
        <f t="shared" si="24"/>
        <v>591513000</v>
      </c>
      <c r="AJ42" s="992">
        <f t="shared" si="24"/>
        <v>1237445196</v>
      </c>
      <c r="AK42" s="992">
        <f t="shared" si="24"/>
        <v>1682677977.5207999</v>
      </c>
      <c r="AL42" s="992">
        <f t="shared" si="24"/>
        <v>2030862882.1001039</v>
      </c>
      <c r="AY42" s="153" t="s">
        <v>2043</v>
      </c>
      <c r="AZ42" s="153" t="s">
        <v>2809</v>
      </c>
    </row>
    <row r="43" spans="2:52" x14ac:dyDescent="0.3">
      <c r="H43" s="153" t="s">
        <v>2049</v>
      </c>
      <c r="I43" s="153" t="s">
        <v>2024</v>
      </c>
      <c r="K43" s="968"/>
      <c r="L43" s="968"/>
      <c r="M43" s="968" t="s">
        <v>2054</v>
      </c>
      <c r="N43" s="968" t="s">
        <v>2163</v>
      </c>
      <c r="O43" s="969" t="s">
        <v>2828</v>
      </c>
      <c r="P43" s="968" t="s">
        <v>2816</v>
      </c>
      <c r="Q43" s="973">
        <v>13500000</v>
      </c>
      <c r="R43" s="973">
        <f>ROUND(Q43*1.05,-5)</f>
        <v>14200000</v>
      </c>
      <c r="S43" s="973">
        <f t="shared" ref="S43:U43" si="25">ROUND(R43*1.05,-5)</f>
        <v>14900000</v>
      </c>
      <c r="T43" s="973">
        <f t="shared" si="25"/>
        <v>15600000</v>
      </c>
      <c r="U43" s="973">
        <f t="shared" si="25"/>
        <v>16400000</v>
      </c>
      <c r="V43" s="1553">
        <f>S43/R43-1</f>
        <v>4.9295774647887258E-2</v>
      </c>
      <c r="AE43" s="153" t="s">
        <v>2821</v>
      </c>
      <c r="AF43" s="969" t="s">
        <v>2822</v>
      </c>
      <c r="AG43" s="968" t="s">
        <v>2818</v>
      </c>
      <c r="AH43" s="819">
        <f>SUMIFS(Q$14:Q$148,$P$14:$P$148,$AG$43,$O$14:$O$148,$AF$43,$N$14:$N$148,$AE$43)</f>
        <v>1944000000</v>
      </c>
      <c r="AI43" s="819">
        <f>SUMIFS(R$14:R$148,$P$14:$P$148,$AG$43,$O$14:$O$148,$AF$43,$N$14:$N$148,$AE$39)</f>
        <v>2784500000</v>
      </c>
      <c r="AJ43" s="819">
        <f>SUMIFS(S$14:S$148,$P$14:$P$148,$AG$43,$O$14:$O$148,$AF$43,$N$14:$N$148,$AE$39)</f>
        <v>4140500000</v>
      </c>
      <c r="AK43" s="819">
        <f>SUMIFS(T$14:T$148,$P$14:$P$148,$AG$43,$O$14:$O$148,$AF$43,$N$14:$N$148,$AE$39)</f>
        <v>3585000000</v>
      </c>
      <c r="AL43" s="819">
        <f>SUMIFS(U$14:U$148,$P$14:$P$148,$AG$43,$O$14:$O$148,$AF$43,$N$14:$N$148,$AE$39)</f>
        <v>4035000000</v>
      </c>
      <c r="AY43" s="153" t="s">
        <v>2048</v>
      </c>
      <c r="AZ43" s="153" t="s">
        <v>2819</v>
      </c>
    </row>
    <row r="44" spans="2:52" x14ac:dyDescent="0.3">
      <c r="K44" s="968"/>
      <c r="L44" s="968"/>
      <c r="M44" s="968" t="s">
        <v>2054</v>
      </c>
      <c r="N44" s="968" t="s">
        <v>2163</v>
      </c>
      <c r="O44" s="969" t="s">
        <v>2828</v>
      </c>
      <c r="P44" s="968" t="s">
        <v>2818</v>
      </c>
      <c r="Q44" s="973">
        <f>SUMIFS('사업계획(매출 확정본)'!S$12:S$113,'사업계획(매출 확정본)'!$M$12:$M$113,'사업계획(원재료)'!$M44,'사업계획(매출 확정본)'!$Q$12:$Q$113,'사업계획(원재료)'!$P44)</f>
        <v>661500000</v>
      </c>
      <c r="R44" s="973">
        <f>SUMIFS('사업계획(매출 확정본)'!T$12:T$113,'사업계획(매출 확정본)'!$M$12:$M$113,'사업계획(원재료)'!$M44,'사업계획(매출 확정본)'!$Q$12:$Q$113,'사업계획(원재료)'!$P44)</f>
        <v>852000000</v>
      </c>
      <c r="S44" s="973">
        <f>SUMIFS('사업계획(매출 확정본)'!U$12:U$113,'사업계획(매출 확정본)'!$M$12:$M$113,'사업계획(원재료)'!$M44,'사업계획(매출 확정본)'!$Q$12:$Q$113,'사업계획(원재료)'!$P44)</f>
        <v>1266500000</v>
      </c>
      <c r="T44" s="973">
        <f>SUMIFS('사업계획(매출 확정본)'!V$12:V$113,'사업계획(매출 확정본)'!$M$12:$M$113,'사업계획(원재료)'!$M44,'사업계획(매출 확정본)'!$Q$12:$Q$113,'사업계획(원재료)'!$P44)</f>
        <v>1716000000</v>
      </c>
      <c r="U44" s="973">
        <f>SUMIFS('사업계획(매출 확정본)'!W$12:W$113,'사업계획(매출 확정본)'!$M$12:$M$113,'사업계획(원재료)'!$M44,'사업계획(매출 확정본)'!$Q$12:$Q$113,'사업계획(원재료)'!$P44)</f>
        <v>1886000000</v>
      </c>
      <c r="AE44" s="153" t="s">
        <v>2821</v>
      </c>
      <c r="AF44" s="969" t="s">
        <v>2822</v>
      </c>
      <c r="AG44" s="968" t="s">
        <v>2813</v>
      </c>
      <c r="AH44" s="153">
        <f>SUMIFS(Q$14:Q$148,$P$14:$P$148,$AG$44,$O$14:$O$148,$AF$43,$N$14:$N$148,$AE$39)</f>
        <v>24</v>
      </c>
      <c r="AI44" s="153">
        <f>SUMIFS(R$14:R$148,$P$14:$P$148,$AG$44,$O$14:$O$148,$AF$43,$N$14:$N$148,$AE$39)</f>
        <v>35</v>
      </c>
      <c r="AJ44" s="153">
        <f>SUMIFS(S$14:S$148,$P$14:$P$148,$AG$44,$O$14:$O$148,$AF$43,$N$14:$N$148,$AE$39)</f>
        <v>50</v>
      </c>
      <c r="AK44" s="153">
        <f>SUMIFS(T$14:T$148,$P$14:$P$148,$AG$44,$O$14:$O$148,$AF$43,$N$14:$N$148,$AE$39)</f>
        <v>45</v>
      </c>
      <c r="AL44" s="153">
        <f>SUMIFS(U$14:U$148,$P$14:$P$148,$AG$44,$O$14:$O$148,$AF$43,$N$14:$N$148,$AE$39)</f>
        <v>50</v>
      </c>
    </row>
    <row r="45" spans="2:52" x14ac:dyDescent="0.3">
      <c r="K45" s="968"/>
      <c r="L45" s="968"/>
      <c r="M45" s="968" t="s">
        <v>2054</v>
      </c>
      <c r="N45" s="968" t="s">
        <v>2163</v>
      </c>
      <c r="O45" s="969" t="s">
        <v>2828</v>
      </c>
      <c r="P45" s="968" t="s">
        <v>3075</v>
      </c>
      <c r="Q45" s="1050">
        <f>VLOOKUP(M42,'제품별 원재료비 '!$O$4:$S$48,5,FALSE)*Q42</f>
        <v>314873020</v>
      </c>
      <c r="R45" s="973">
        <f>Q45*(1+$V$6)/Q42*R42</f>
        <v>403294504.80000001</v>
      </c>
      <c r="S45" s="973">
        <f t="shared" ref="S45:U45" si="26">R45*(1+$V$6)/R42*S42</f>
        <v>597615240.36280012</v>
      </c>
      <c r="T45" s="973">
        <f t="shared" si="26"/>
        <v>808960112.42522097</v>
      </c>
      <c r="U45" s="973">
        <f t="shared" si="26"/>
        <v>884634653.85118032</v>
      </c>
      <c r="AE45" s="153" t="s">
        <v>2821</v>
      </c>
      <c r="AF45" s="969" t="s">
        <v>2822</v>
      </c>
      <c r="AG45" s="968" t="s">
        <v>2816</v>
      </c>
      <c r="AH45" s="974">
        <f>AH43/AH44</f>
        <v>81000000</v>
      </c>
      <c r="AI45" s="974">
        <f>AI43/AI44</f>
        <v>79557142.857142851</v>
      </c>
      <c r="AJ45" s="974">
        <f>AJ43/AJ44</f>
        <v>82810000</v>
      </c>
      <c r="AK45" s="974">
        <f>AK43/AK44</f>
        <v>79666666.666666672</v>
      </c>
      <c r="AL45" s="974">
        <f>AL43/AL44</f>
        <v>80700000</v>
      </c>
    </row>
    <row r="46" spans="2:52" x14ac:dyDescent="0.3">
      <c r="B46" s="153" t="s">
        <v>2034</v>
      </c>
      <c r="C46" s="153" t="s">
        <v>2062</v>
      </c>
      <c r="G46" s="153" t="s">
        <v>2034</v>
      </c>
      <c r="H46" s="153" t="s">
        <v>2061</v>
      </c>
      <c r="I46" s="153" t="s">
        <v>2802</v>
      </c>
      <c r="K46" s="968"/>
      <c r="L46" s="968" t="s">
        <v>2810</v>
      </c>
      <c r="M46" s="968" t="s">
        <v>2034</v>
      </c>
      <c r="N46" s="968" t="s">
        <v>2825</v>
      </c>
      <c r="O46" s="969" t="s">
        <v>2822</v>
      </c>
      <c r="P46" s="968" t="s">
        <v>2813</v>
      </c>
      <c r="Q46" s="972">
        <f>SUMIFS('사업계획(매출 확정본)'!S$12:S$113,'사업계획(매출 확정본)'!$M$12:$M$113,'사업계획(원재료)'!$M46,'사업계획(매출 확정본)'!$Q$12:$Q$113,'사업계획(원재료)'!$P46)</f>
        <v>16</v>
      </c>
      <c r="R46" s="972">
        <f>SUMIFS('사업계획(매출 확정본)'!T$12:T$113,'사업계획(매출 확정본)'!$M$12:$M$113,'사업계획(원재료)'!$M46,'사업계획(매출 확정본)'!$Q$12:$Q$113,'사업계획(원재료)'!$P46)</f>
        <v>20</v>
      </c>
      <c r="S46" s="972">
        <f>SUMIFS('사업계획(매출 확정본)'!U$12:U$113,'사업계획(매출 확정본)'!$M$12:$M$113,'사업계획(원재료)'!$M46,'사업계획(매출 확정본)'!$Q$12:$Q$113,'사업계획(원재료)'!$P46)</f>
        <v>30</v>
      </c>
      <c r="T46" s="972">
        <f>SUMIFS('사업계획(매출 확정본)'!V$12:V$113,'사업계획(매출 확정본)'!$M$12:$M$113,'사업계획(원재료)'!$M46,'사업계획(매출 확정본)'!$Q$12:$Q$113,'사업계획(원재료)'!$P46)</f>
        <v>40</v>
      </c>
      <c r="U46" s="972">
        <f>SUMIFS('사업계획(매출 확정본)'!W$12:W$113,'사업계획(매출 확정본)'!$M$12:$M$113,'사업계획(원재료)'!$M46,'사업계획(매출 확정본)'!$Q$12:$Q$113,'사업계획(원재료)'!$P46)</f>
        <v>45</v>
      </c>
      <c r="AE46" s="153" t="s">
        <v>2821</v>
      </c>
      <c r="AF46" s="969" t="s">
        <v>2822</v>
      </c>
      <c r="AG46" s="1051" t="s">
        <v>3075</v>
      </c>
      <c r="AH46" s="992">
        <f t="shared" ref="AH46:AL46" si="27">SUMIFS(Q$14:Q$149,$N$14:$N$149,$AE46,$O$14:$O$149,$AF46,$P$14:$P$149,$AG46)</f>
        <v>1575482195.5555556</v>
      </c>
      <c r="AI46" s="992">
        <f t="shared" si="27"/>
        <v>2185419352.4888887</v>
      </c>
      <c r="AJ46" s="992">
        <f t="shared" si="27"/>
        <v>3226577758.8572888</v>
      </c>
      <c r="AK46" s="992">
        <f t="shared" si="27"/>
        <v>2665673714.1667109</v>
      </c>
      <c r="AL46" s="992">
        <f t="shared" si="27"/>
        <v>2931895564.9475451</v>
      </c>
      <c r="AY46" s="153" t="s">
        <v>2836</v>
      </c>
      <c r="AZ46" s="153" t="s">
        <v>2819</v>
      </c>
    </row>
    <row r="47" spans="2:52" x14ac:dyDescent="0.3">
      <c r="H47" s="153" t="s">
        <v>2041</v>
      </c>
      <c r="I47" s="153" t="s">
        <v>2802</v>
      </c>
      <c r="K47" s="968"/>
      <c r="L47" s="968"/>
      <c r="M47" s="968" t="s">
        <v>2034</v>
      </c>
      <c r="N47" s="968" t="s">
        <v>2825</v>
      </c>
      <c r="O47" s="969" t="s">
        <v>2822</v>
      </c>
      <c r="P47" s="968" t="s">
        <v>2816</v>
      </c>
      <c r="Q47" s="973">
        <v>45500000</v>
      </c>
      <c r="R47" s="973">
        <f>ROUND(Q47*1.05,-5)</f>
        <v>47800000</v>
      </c>
      <c r="S47" s="973">
        <f t="shared" ref="S47:U47" si="28">ROUND(R47*1.05,-5)</f>
        <v>50200000</v>
      </c>
      <c r="T47" s="973">
        <f t="shared" si="28"/>
        <v>52700000</v>
      </c>
      <c r="U47" s="973">
        <f t="shared" si="28"/>
        <v>55300000</v>
      </c>
      <c r="V47" s="1553">
        <f>S47/R47-1</f>
        <v>5.0209205020920411E-2</v>
      </c>
      <c r="AE47" s="153" t="s">
        <v>2821</v>
      </c>
      <c r="AF47" s="969" t="s">
        <v>2812</v>
      </c>
      <c r="AG47" s="968" t="s">
        <v>2818</v>
      </c>
      <c r="AH47" s="819">
        <f>SUMIFS(Q$14:Q$148,$P$14:$P$148,$AG$47,$O$14:$O$148,$AF$47,$N$14:$N$148,$AE$47)</f>
        <v>2528000000</v>
      </c>
      <c r="AI47" s="819">
        <f>SUMIFS(R$14:R$148,$P$14:$P$148,$AG$47,$O$14:$O$148,$AF$47,$N$14:$N$148,$AE$47)</f>
        <v>4295000000</v>
      </c>
      <c r="AJ47" s="819">
        <f>SUMIFS(S$14:S$148,$P$14:$P$148,$AG$47,$O$14:$O$148,$AF$47,$N$14:$N$148,$AE$47)</f>
        <v>6151500000</v>
      </c>
      <c r="AK47" s="819">
        <f>SUMIFS(T$14:T$148,$P$14:$P$148,$AG$47,$O$14:$O$148,$AF$47,$N$14:$N$148,$AE$47)</f>
        <v>8184000000</v>
      </c>
      <c r="AL47" s="819">
        <f>SUMIFS(U$14:U$148,$P$14:$P$148,$AG$47,$O$14:$O$148,$AF$47,$N$14:$N$148,$AE$47)</f>
        <v>9454500000</v>
      </c>
      <c r="AY47" s="153" t="s">
        <v>2033</v>
      </c>
      <c r="AZ47" s="153" t="s">
        <v>2819</v>
      </c>
    </row>
    <row r="48" spans="2:52" x14ac:dyDescent="0.3">
      <c r="K48" s="968"/>
      <c r="L48" s="968"/>
      <c r="M48" s="968" t="s">
        <v>2034</v>
      </c>
      <c r="N48" s="968" t="s">
        <v>2825</v>
      </c>
      <c r="O48" s="969" t="s">
        <v>2822</v>
      </c>
      <c r="P48" s="968" t="s">
        <v>3222</v>
      </c>
      <c r="Q48" s="973">
        <f>SUMIFS('사업계획(매출 확정본)'!S$12:S$113,'사업계획(매출 확정본)'!$M$12:$M$113,'사업계획(원재료)'!$M48,'사업계획(매출 확정본)'!$Q$12:$Q$113,'사업계획(원재료)'!$P48)</f>
        <v>728000000</v>
      </c>
      <c r="R48" s="973">
        <f>SUMIFS('사업계획(매출 확정본)'!T$12:T$113,'사업계획(매출 확정본)'!$M$12:$M$113,'사업계획(원재료)'!$M48,'사업계획(매출 확정본)'!$Q$12:$Q$113,'사업계획(원재료)'!$P48)</f>
        <v>956000000</v>
      </c>
      <c r="S48" s="973">
        <f>SUMIFS('사업계획(매출 확정본)'!U$12:U$113,'사업계획(매출 확정본)'!$M$12:$M$113,'사업계획(원재료)'!$M48,'사업계획(매출 확정본)'!$Q$12:$Q$113,'사업계획(원재료)'!$P48)</f>
        <v>1506000000</v>
      </c>
      <c r="T48" s="973">
        <f>SUMIFS('사업계획(매출 확정본)'!V$12:V$113,'사업계획(매출 확정본)'!$M$12:$M$113,'사업계획(원재료)'!$M48,'사업계획(매출 확정본)'!$Q$12:$Q$113,'사업계획(원재료)'!$P48)</f>
        <v>2108000000</v>
      </c>
      <c r="U48" s="973">
        <f>SUMIFS('사업계획(매출 확정본)'!W$12:W$113,'사업계획(매출 확정본)'!$M$12:$M$113,'사업계획(원재료)'!$M48,'사업계획(매출 확정본)'!$Q$12:$Q$113,'사업계획(원재료)'!$P48)</f>
        <v>2488500000</v>
      </c>
      <c r="W48" s="1460">
        <f>Q49/Q48</f>
        <v>0.48998153846153847</v>
      </c>
      <c r="AE48" s="153" t="s">
        <v>2821</v>
      </c>
      <c r="AF48" s="969" t="s">
        <v>2812</v>
      </c>
      <c r="AG48" s="968" t="s">
        <v>2813</v>
      </c>
      <c r="AH48" s="153">
        <f>SUMIFS(Q$14:Q$148,$P$14:$P$148,$AG$48,$O$14:$O$148,$AF$47,$N$14:$N$148,$AE$47)</f>
        <v>24</v>
      </c>
      <c r="AI48" s="153">
        <f>SUMIFS(R$14:R$148,$P$14:$P$148,$AG$48,$O$14:$O$148,$AF$47,$N$14:$N$148,$AE$47)</f>
        <v>40</v>
      </c>
      <c r="AJ48" s="153">
        <f>SUMIFS(S$14:S$148,$P$14:$P$148,$AG$48,$O$14:$O$148,$AF$47,$N$14:$N$148,$AE$47)</f>
        <v>55</v>
      </c>
      <c r="AK48" s="153">
        <f>SUMIFS(T$14:T$148,$P$14:$P$148,$AG$48,$O$14:$O$148,$AF$47,$N$14:$N$148,$AE$47)</f>
        <v>70</v>
      </c>
      <c r="AL48" s="153">
        <f>SUMIFS(U$14:U$148,$P$14:$P$148,$AG$48,$O$14:$O$148,$AF$47,$N$14:$N$148,$AE$47)</f>
        <v>77</v>
      </c>
    </row>
    <row r="49" spans="2:52" x14ac:dyDescent="0.3">
      <c r="K49" s="968"/>
      <c r="L49" s="968"/>
      <c r="M49" s="968" t="s">
        <v>2034</v>
      </c>
      <c r="N49" s="968" t="s">
        <v>2825</v>
      </c>
      <c r="O49" s="969" t="s">
        <v>2822</v>
      </c>
      <c r="P49" s="968" t="s">
        <v>3075</v>
      </c>
      <c r="Q49" s="1050">
        <f>VLOOKUP(M46,'제품별 원재료비 '!$O$4:$S$48,5,FALSE)*Q46</f>
        <v>356706560</v>
      </c>
      <c r="R49" s="973">
        <f>Q49*(1+$V$6)/Q46*R46</f>
        <v>466393827.19999999</v>
      </c>
      <c r="S49" s="973">
        <f t="shared" ref="S49:U49" si="29">R49*(1+$V$6)/R46*S46</f>
        <v>731771914.87680006</v>
      </c>
      <c r="T49" s="973">
        <f t="shared" si="29"/>
        <v>1020577897.2815106</v>
      </c>
      <c r="U49" s="973">
        <f t="shared" si="29"/>
        <v>1200965040.6260178</v>
      </c>
      <c r="AE49" s="153" t="s">
        <v>2821</v>
      </c>
      <c r="AF49" s="969" t="s">
        <v>2812</v>
      </c>
      <c r="AG49" s="968" t="s">
        <v>2816</v>
      </c>
      <c r="AH49" s="974">
        <f>AH47/AH48</f>
        <v>105333333.33333333</v>
      </c>
      <c r="AI49" s="974">
        <f>AI47/AI48</f>
        <v>107375000</v>
      </c>
      <c r="AJ49" s="974">
        <f>AJ47/AJ48</f>
        <v>111845454.54545455</v>
      </c>
      <c r="AK49" s="974">
        <f>AK47/AK48</f>
        <v>116914285.71428572</v>
      </c>
      <c r="AL49" s="974">
        <f>AL47/AL48</f>
        <v>122785714.28571428</v>
      </c>
    </row>
    <row r="50" spans="2:52" x14ac:dyDescent="0.3">
      <c r="B50" s="153" t="s">
        <v>2032</v>
      </c>
      <c r="C50" s="153" t="s">
        <v>2063</v>
      </c>
      <c r="G50" s="153" t="s">
        <v>2032</v>
      </c>
      <c r="H50" s="153" t="s">
        <v>2041</v>
      </c>
      <c r="I50" s="153" t="s">
        <v>2802</v>
      </c>
      <c r="K50" s="968"/>
      <c r="L50" s="968" t="s">
        <v>2810</v>
      </c>
      <c r="M50" s="968" t="s">
        <v>2032</v>
      </c>
      <c r="N50" s="968" t="s">
        <v>2825</v>
      </c>
      <c r="O50" s="969" t="s">
        <v>2822</v>
      </c>
      <c r="P50" s="968" t="s">
        <v>2813</v>
      </c>
      <c r="Q50" s="972">
        <f>SUMIFS('사업계획(매출 확정본)'!S$12:S$113,'사업계획(매출 확정본)'!$M$12:$M$113,'사업계획(원재료)'!$M50,'사업계획(매출 확정본)'!$Q$12:$Q$113,'사업계획(원재료)'!$P50)</f>
        <v>59</v>
      </c>
      <c r="R50" s="972">
        <f>SUMIFS('사업계획(매출 확정본)'!T$12:T$113,'사업계획(매출 확정본)'!$M$12:$M$113,'사업계획(원재료)'!$M50,'사업계획(매출 확정본)'!$Q$12:$Q$113,'사업계획(원재료)'!$P50)</f>
        <v>65</v>
      </c>
      <c r="S50" s="972">
        <f>SUMIFS('사업계획(매출 확정본)'!U$12:U$113,'사업계획(매출 확정본)'!$M$12:$M$113,'사업계획(원재료)'!$M50,'사업계획(매출 확정본)'!$Q$12:$Q$113,'사업계획(원재료)'!$P50)</f>
        <v>80</v>
      </c>
      <c r="T50" s="972">
        <f>SUMIFS('사업계획(매출 확정본)'!V$12:V$113,'사업계획(매출 확정본)'!$M$12:$M$113,'사업계획(원재료)'!$M50,'사업계획(매출 확정본)'!$Q$12:$Q$113,'사업계획(원재료)'!$P50)</f>
        <v>100</v>
      </c>
      <c r="U50" s="972">
        <f>SUMIFS('사업계획(매출 확정본)'!W$12:W$113,'사업계획(매출 확정본)'!$M$12:$M$113,'사업계획(원재료)'!$M50,'사업계획(매출 확정본)'!$Q$12:$Q$113,'사업계획(원재료)'!$P50)</f>
        <v>120</v>
      </c>
      <c r="AE50" s="153" t="s">
        <v>2821</v>
      </c>
      <c r="AF50" s="969" t="s">
        <v>2812</v>
      </c>
      <c r="AG50" s="1051" t="s">
        <v>3075</v>
      </c>
      <c r="AH50" s="992">
        <f t="shared" ref="AH50:AL50" si="30">SUMIFS(Q$14:Q$149,$N$14:$N$149,$AE50,$O$14:$O$149,$AF50,$P$14:$P$149,$AG50)</f>
        <v>1622689360</v>
      </c>
      <c r="AI50" s="992">
        <f t="shared" si="30"/>
        <v>2769611979.6000004</v>
      </c>
      <c r="AJ50" s="992">
        <f t="shared" si="30"/>
        <v>3960143233.779201</v>
      </c>
      <c r="AK50" s="992">
        <f t="shared" si="30"/>
        <v>5254342864.3940535</v>
      </c>
      <c r="AL50" s="992">
        <f t="shared" si="30"/>
        <v>6045646899.7717981</v>
      </c>
      <c r="AY50" s="153" t="s">
        <v>2047</v>
      </c>
      <c r="AZ50" s="153" t="s">
        <v>2824</v>
      </c>
    </row>
    <row r="51" spans="2:52" x14ac:dyDescent="0.3">
      <c r="H51" s="153" t="s">
        <v>2037</v>
      </c>
      <c r="I51" s="153" t="s">
        <v>2802</v>
      </c>
      <c r="K51" s="968"/>
      <c r="L51" s="968"/>
      <c r="M51" s="968" t="s">
        <v>2032</v>
      </c>
      <c r="N51" s="968" t="s">
        <v>2825</v>
      </c>
      <c r="O51" s="969" t="s">
        <v>2822</v>
      </c>
      <c r="P51" s="968" t="s">
        <v>2816</v>
      </c>
      <c r="Q51" s="973">
        <v>35500000</v>
      </c>
      <c r="R51" s="973">
        <f>ROUND(Q51*1.05,-5)</f>
        <v>37300000</v>
      </c>
      <c r="S51" s="973">
        <f t="shared" ref="S51:U51" si="31">ROUND(R51*1.05,-5)</f>
        <v>39200000</v>
      </c>
      <c r="T51" s="973">
        <f t="shared" si="31"/>
        <v>41200000</v>
      </c>
      <c r="U51" s="973">
        <f t="shared" si="31"/>
        <v>43300000</v>
      </c>
      <c r="V51" s="1553">
        <f>S51/R51-1</f>
        <v>5.0938337801608613E-2</v>
      </c>
      <c r="AE51" s="153" t="s">
        <v>2821</v>
      </c>
      <c r="AF51" s="969" t="s">
        <v>2828</v>
      </c>
      <c r="AG51" s="968" t="s">
        <v>2818</v>
      </c>
      <c r="AH51" s="819">
        <f>SUMIFS(Q$14:Q$148,$P$14:$P$148,$AG$51,$O$14:$O$148,$AF$51,$N$14:$N$148,$AE$47)</f>
        <v>4590000000</v>
      </c>
      <c r="AI51" s="819">
        <f>SUMIFS(R$14:R$148,$P$14:$P$148,$AG$51,$O$14:$O$148,$AF$51,$N$14:$N$148,$AE$47)</f>
        <v>5769500000</v>
      </c>
      <c r="AJ51" s="819">
        <f>SUMIFS(S$14:S$148,$P$14:$P$148,$AG$51,$O$14:$O$148,$AF$51,$N$14:$N$148,$AE$47)</f>
        <v>7538500000</v>
      </c>
      <c r="AK51" s="819">
        <f>SUMIFS(T$14:T$148,$P$14:$P$148,$AG$51,$O$14:$O$148,$AF$51,$N$14:$N$148,$AE$47)</f>
        <v>9027000000</v>
      </c>
      <c r="AL51" s="819">
        <f>SUMIFS(U$14:U$148,$P$14:$P$148,$AG$51,$O$14:$O$148,$AF$51,$N$14:$N$148,$AE$47)</f>
        <v>9977000000</v>
      </c>
      <c r="AY51" s="153" t="s">
        <v>2837</v>
      </c>
      <c r="AZ51" s="153" t="s">
        <v>2819</v>
      </c>
    </row>
    <row r="52" spans="2:52" x14ac:dyDescent="0.3">
      <c r="K52" s="968"/>
      <c r="L52" s="968"/>
      <c r="M52" s="968" t="s">
        <v>2032</v>
      </c>
      <c r="N52" s="968" t="s">
        <v>2825</v>
      </c>
      <c r="O52" s="969" t="s">
        <v>2822</v>
      </c>
      <c r="P52" s="968" t="s">
        <v>2818</v>
      </c>
      <c r="Q52" s="973">
        <f>SUMIFS('사업계획(매출 확정본)'!S$12:S$113,'사업계획(매출 확정본)'!$M$12:$M$113,'사업계획(원재료)'!$M52,'사업계획(매출 확정본)'!$Q$12:$Q$113,'사업계획(원재료)'!$P52)</f>
        <v>2094500000</v>
      </c>
      <c r="R52" s="973">
        <f>SUMIFS('사업계획(매출 확정본)'!T$12:T$113,'사업계획(매출 확정본)'!$M$12:$M$113,'사업계획(원재료)'!$M52,'사업계획(매출 확정본)'!$Q$12:$Q$113,'사업계획(원재료)'!$P52)</f>
        <v>2424500000</v>
      </c>
      <c r="S52" s="973">
        <f>SUMIFS('사업계획(매출 확정본)'!U$12:U$113,'사업계획(매출 확정본)'!$M$12:$M$113,'사업계획(원재료)'!$M52,'사업계획(매출 확정본)'!$Q$12:$Q$113,'사업계획(원재료)'!$P52)</f>
        <v>3136000000</v>
      </c>
      <c r="T52" s="973">
        <f>SUMIFS('사업계획(매출 확정본)'!V$12:V$113,'사업계획(매출 확정본)'!$M$12:$M$113,'사업계획(원재료)'!$M52,'사업계획(매출 확정본)'!$Q$12:$Q$113,'사업계획(원재료)'!$P52)</f>
        <v>4120000000</v>
      </c>
      <c r="U52" s="973">
        <f>SUMIFS('사업계획(매출 확정본)'!W$12:W$113,'사업계획(매출 확정본)'!$M$12:$M$113,'사업계획(원재료)'!$M52,'사업계획(매출 확정본)'!$Q$12:$Q$113,'사업계획(원재료)'!$P52)</f>
        <v>5196000000</v>
      </c>
      <c r="W52" s="1462">
        <f>Q53/Q52</f>
        <v>0.63956000000000002</v>
      </c>
      <c r="AE52" s="153" t="s">
        <v>2821</v>
      </c>
      <c r="AF52" s="969" t="s">
        <v>2828</v>
      </c>
      <c r="AG52" s="968" t="s">
        <v>2813</v>
      </c>
      <c r="AH52" s="153">
        <f>SUMIFS(Q$14:Q$148,$P$14:$P$148,$AG$52,$O$14:$O$148,$AF$51,$N$14:$N$148,$AE$47)</f>
        <v>289</v>
      </c>
      <c r="AI52" s="153">
        <f>SUMIFS(R$14:R$148,$P$14:$P$148,$AG$52,$O$14:$O$148,$AF$51,$N$14:$N$148,$AE$47)</f>
        <v>335</v>
      </c>
      <c r="AJ52" s="153">
        <f>SUMIFS(S$14:S$148,$P$14:$P$148,$AG$52,$O$14:$O$148,$AF$51,$N$14:$N$148,$AE$47)</f>
        <v>405</v>
      </c>
      <c r="AK52" s="153">
        <f>SUMIFS(T$14:T$148,$P$14:$P$148,$AG$52,$O$14:$O$148,$AF$51,$N$14:$N$148,$AE$47)</f>
        <v>465</v>
      </c>
      <c r="AL52" s="153">
        <f>SUMIFS(U$14:U$148,$P$14:$P$148,$AG$52,$O$14:$O$148,$AF$51,$N$14:$N$148,$AE$47)</f>
        <v>485</v>
      </c>
    </row>
    <row r="53" spans="2:52" x14ac:dyDescent="0.3">
      <c r="K53" s="968"/>
      <c r="L53" s="968"/>
      <c r="M53" s="968" t="s">
        <v>2032</v>
      </c>
      <c r="N53" s="968" t="s">
        <v>2825</v>
      </c>
      <c r="O53" s="969" t="s">
        <v>2822</v>
      </c>
      <c r="P53" s="968" t="s">
        <v>3075</v>
      </c>
      <c r="Q53" s="1050">
        <f>VLOOKUP(M50,'제품별 원재료비 '!$O$4:$S$48,5,FALSE)*Q50</f>
        <v>1339558420</v>
      </c>
      <c r="R53" s="973">
        <f>Q53*(1+$V$6)/Q50*R50</f>
        <v>1543670796.2000003</v>
      </c>
      <c r="S53" s="973">
        <f t="shared" ref="S53:U53" si="32">R53*(1+$V$6)/R50*S50</f>
        <v>1987298034.2464004</v>
      </c>
      <c r="T53" s="973">
        <f t="shared" si="32"/>
        <v>2598392179.7771683</v>
      </c>
      <c r="U53" s="973">
        <f t="shared" si="32"/>
        <v>3261501864.0563016</v>
      </c>
      <c r="AE53" s="153" t="s">
        <v>2821</v>
      </c>
      <c r="AF53" s="969" t="s">
        <v>2828</v>
      </c>
      <c r="AG53" s="968" t="s">
        <v>2816</v>
      </c>
      <c r="AH53" s="974">
        <f>AH51/AH52</f>
        <v>15882352.94117647</v>
      </c>
      <c r="AI53" s="974">
        <f>AI51/AI52</f>
        <v>17222388.059701491</v>
      </c>
      <c r="AJ53" s="974">
        <f>AJ51/AJ52</f>
        <v>18613580.246913582</v>
      </c>
      <c r="AK53" s="974">
        <f>AK51/AK52</f>
        <v>19412903.225806452</v>
      </c>
      <c r="AL53" s="974">
        <f>AL51/AL52</f>
        <v>20571134.020618558</v>
      </c>
    </row>
    <row r="54" spans="2:52" x14ac:dyDescent="0.3">
      <c r="B54" s="153" t="s">
        <v>2037</v>
      </c>
      <c r="C54" s="153" t="s">
        <v>2064</v>
      </c>
      <c r="G54" s="153" t="s">
        <v>2037</v>
      </c>
      <c r="H54" s="153" t="s">
        <v>2037</v>
      </c>
      <c r="I54" s="153" t="s">
        <v>2802</v>
      </c>
      <c r="K54" s="968"/>
      <c r="L54" s="968" t="s">
        <v>2810</v>
      </c>
      <c r="M54" s="968" t="s">
        <v>2037</v>
      </c>
      <c r="N54" s="968" t="s">
        <v>2825</v>
      </c>
      <c r="O54" s="969" t="s">
        <v>2822</v>
      </c>
      <c r="P54" s="968" t="s">
        <v>2813</v>
      </c>
      <c r="Q54" s="972">
        <f>SUMIFS('사업계획(매출 확정본)'!S$12:S$113,'사업계획(매출 확정본)'!$M$12:$M$113,'사업계획(원재료)'!$M54,'사업계획(매출 확정본)'!$Q$12:$Q$113,'사업계획(원재료)'!$P54)</f>
        <v>315</v>
      </c>
      <c r="R54" s="972">
        <f>SUMIFS('사업계획(매출 확정본)'!T$12:T$113,'사업계획(매출 확정본)'!$M$12:$M$113,'사업계획(원재료)'!$M54,'사업계획(매출 확정본)'!$Q$12:$Q$113,'사업계획(원재료)'!$P54)</f>
        <v>350</v>
      </c>
      <c r="S54" s="972">
        <f>SUMIFS('사업계획(매출 확정본)'!U$12:U$113,'사업계획(매출 확정본)'!$M$12:$M$113,'사업계획(원재료)'!$M54,'사업계획(매출 확정본)'!$Q$12:$Q$113,'사업계획(원재료)'!$P54)</f>
        <v>380</v>
      </c>
      <c r="T54" s="972">
        <f>SUMIFS('사업계획(매출 확정본)'!V$12:V$113,'사업계획(매출 확정본)'!$M$12:$M$113,'사업계획(원재료)'!$M54,'사업계획(매출 확정본)'!$Q$12:$Q$113,'사업계획(원재료)'!$P54)</f>
        <v>385</v>
      </c>
      <c r="U54" s="972">
        <f>SUMIFS('사업계획(매출 확정본)'!W$12:W$113,'사업계획(매출 확정본)'!$M$12:$M$113,'사업계획(원재료)'!$M54,'사업계획(매출 확정본)'!$Q$12:$Q$113,'사업계획(원재료)'!$P54)</f>
        <v>390</v>
      </c>
      <c r="AE54" s="153" t="s">
        <v>2821</v>
      </c>
      <c r="AF54" s="969" t="s">
        <v>2828</v>
      </c>
      <c r="AG54" s="1051" t="s">
        <v>3075</v>
      </c>
      <c r="AH54" s="992">
        <f t="shared" ref="AH54:AL54" si="33">SUMIFS(Q$14:Q$149,$N$14:$N$149,$AE54,$O$14:$O$149,$AF54,$P$14:$P$149,$AG54)</f>
        <v>1678427770</v>
      </c>
      <c r="AI54" s="992">
        <f t="shared" si="33"/>
        <v>2204652944.8000002</v>
      </c>
      <c r="AJ54" s="992">
        <f t="shared" si="33"/>
        <v>3034201506.4956002</v>
      </c>
      <c r="AK54" s="992">
        <f t="shared" si="33"/>
        <v>3651014546.4666786</v>
      </c>
      <c r="AL54" s="992">
        <f t="shared" si="33"/>
        <v>4058874176.5365181</v>
      </c>
      <c r="AY54" s="153" t="s">
        <v>2054</v>
      </c>
      <c r="AZ54" s="153" t="s">
        <v>2815</v>
      </c>
    </row>
    <row r="55" spans="2:52" x14ac:dyDescent="0.3">
      <c r="H55" s="153" t="s">
        <v>2041</v>
      </c>
      <c r="I55" s="153" t="s">
        <v>2802</v>
      </c>
      <c r="K55" s="968"/>
      <c r="L55" s="968"/>
      <c r="M55" s="968" t="s">
        <v>2037</v>
      </c>
      <c r="N55" s="968" t="s">
        <v>2825</v>
      </c>
      <c r="O55" s="969" t="s">
        <v>2822</v>
      </c>
      <c r="P55" s="968" t="s">
        <v>2816</v>
      </c>
      <c r="Q55" s="973">
        <v>36500000</v>
      </c>
      <c r="R55" s="973">
        <f>ROUND(Q55*1.05,-5)</f>
        <v>38300000</v>
      </c>
      <c r="S55" s="973">
        <f t="shared" ref="S55:U55" si="34">ROUND(R55*1.05,-5)</f>
        <v>40200000</v>
      </c>
      <c r="T55" s="973">
        <f t="shared" si="34"/>
        <v>42200000</v>
      </c>
      <c r="U55" s="973">
        <f t="shared" si="34"/>
        <v>44300000</v>
      </c>
      <c r="V55" s="1553">
        <f>S55/R55-1</f>
        <v>4.9608355091383727E-2</v>
      </c>
      <c r="AE55" s="153" t="s">
        <v>2821</v>
      </c>
      <c r="AF55" s="969" t="s">
        <v>2829</v>
      </c>
      <c r="AG55" s="968" t="s">
        <v>2818</v>
      </c>
      <c r="AH55" s="153">
        <f>SUMIFS(Q$14:Q$148,$P$14:$P$148,$AG$55,$O$14:$O$148,$AF$55,$N$14:$N$148,$AE$47)</f>
        <v>0</v>
      </c>
      <c r="AI55" s="153">
        <f>SUMIFS(R$14:R$148,$P$14:$P$148,$AG$55,$O$14:$O$148,$AF$55,$N$14:$N$148,$AE$47)</f>
        <v>0</v>
      </c>
      <c r="AJ55" s="153">
        <f>SUMIFS(S$14:S$148,$P$14:$P$148,$AG$55,$O$14:$O$148,$AF$55,$N$14:$N$148,$AE$47)</f>
        <v>0</v>
      </c>
      <c r="AK55" s="153">
        <f>SUMIFS(T$14:T$148,$P$14:$P$148,$AG$55,$O$14:$O$148,$AF$55,$N$14:$N$148,$AE$47)</f>
        <v>0</v>
      </c>
      <c r="AL55" s="153">
        <f>SUMIFS(U$14:U$148,$P$14:$P$148,$AG$55,$O$14:$O$148,$AF$55,$N$14:$N$148,$AE$47)</f>
        <v>0</v>
      </c>
      <c r="AY55" s="153" t="s">
        <v>2838</v>
      </c>
      <c r="AZ55" s="153" t="s">
        <v>2824</v>
      </c>
    </row>
    <row r="56" spans="2:52" x14ac:dyDescent="0.3">
      <c r="K56" s="968"/>
      <c r="L56" s="968"/>
      <c r="M56" s="968" t="s">
        <v>2037</v>
      </c>
      <c r="N56" s="968" t="s">
        <v>2825</v>
      </c>
      <c r="O56" s="969" t="s">
        <v>2822</v>
      </c>
      <c r="P56" s="968" t="s">
        <v>2818</v>
      </c>
      <c r="Q56" s="973">
        <f>SUMIFS('사업계획(매출 확정본)'!S$12:S$113,'사업계획(매출 확정본)'!$M$12:$M$113,'사업계획(원재료)'!$M56,'사업계획(매출 확정본)'!$Q$12:$Q$113,'사업계획(원재료)'!$P56)</f>
        <v>11497500000</v>
      </c>
      <c r="R56" s="973">
        <f>SUMIFS('사업계획(매출 확정본)'!T$12:T$113,'사업계획(매출 확정본)'!$M$12:$M$113,'사업계획(원재료)'!$M56,'사업계획(매출 확정본)'!$Q$12:$Q$113,'사업계획(원재료)'!$P56)</f>
        <v>13405000000</v>
      </c>
      <c r="S56" s="973">
        <f>SUMIFS('사업계획(매출 확정본)'!U$12:U$113,'사업계획(매출 확정본)'!$M$12:$M$113,'사업계획(원재료)'!$M56,'사업계획(매출 확정본)'!$Q$12:$Q$113,'사업계획(원재료)'!$P56)</f>
        <v>15276000000</v>
      </c>
      <c r="T56" s="973">
        <f>SUMIFS('사업계획(매출 확정본)'!V$12:V$113,'사업계획(매출 확정본)'!$M$12:$M$113,'사업계획(원재료)'!$M56,'사업계획(매출 확정본)'!$Q$12:$Q$113,'사업계획(원재료)'!$P56)</f>
        <v>16247000000</v>
      </c>
      <c r="U56" s="973">
        <f>SUMIFS('사업계획(매출 확정본)'!W$12:W$113,'사업계획(매출 확정본)'!$M$12:$M$113,'사업계획(원재료)'!$M56,'사업계획(매출 확정본)'!$Q$12:$Q$113,'사업계획(원재료)'!$P56)</f>
        <v>17277000000</v>
      </c>
      <c r="AE56" s="153" t="s">
        <v>2821</v>
      </c>
      <c r="AF56" s="969" t="s">
        <v>2829</v>
      </c>
      <c r="AG56" s="968" t="s">
        <v>2813</v>
      </c>
      <c r="AH56" s="153">
        <f>SUMIFS(Q$14:Q$148,$P$14:$P$148,$AG$56,$O$14:$O$148,$AF$55,$N$14:$N$148,$AE$47)</f>
        <v>0</v>
      </c>
      <c r="AI56" s="153">
        <f>SUMIFS(R$14:R$148,$P$14:$P$148,$AG$56,$O$14:$O$148,$AF$55,$N$14:$N$148,$AE$47)</f>
        <v>0</v>
      </c>
      <c r="AJ56" s="153">
        <f>SUMIFS(S$14:S$148,$P$14:$P$148,$AG$56,$O$14:$O$148,$AF$55,$N$14:$N$148,$AE$47)</f>
        <v>0</v>
      </c>
      <c r="AK56" s="153">
        <f>SUMIFS(T$14:T$148,$P$14:$P$148,$AG$56,$O$14:$O$148,$AF$55,$N$14:$N$148,$AE$47)</f>
        <v>0</v>
      </c>
      <c r="AL56" s="153">
        <f>SUMIFS(U$14:U$148,$P$14:$P$148,$AG$56,$O$14:$O$148,$AF$55,$N$14:$N$148,$AE$47)</f>
        <v>0</v>
      </c>
    </row>
    <row r="57" spans="2:52" x14ac:dyDescent="0.3">
      <c r="K57" s="968"/>
      <c r="L57" s="968"/>
      <c r="M57" s="968" t="s">
        <v>2037</v>
      </c>
      <c r="N57" s="968" t="s">
        <v>2825</v>
      </c>
      <c r="O57" s="969" t="s">
        <v>2822</v>
      </c>
      <c r="P57" s="968" t="s">
        <v>3075</v>
      </c>
      <c r="Q57" s="1050">
        <f>VLOOKUP(M54,'제품별 원재료비 '!$O$4:$S$48,5,FALSE)*Q54</f>
        <v>7517112750</v>
      </c>
      <c r="R57" s="973">
        <f>Q57*(1+$V$6)/Q54*R54</f>
        <v>8736555485</v>
      </c>
      <c r="S57" s="973">
        <f t="shared" ref="S57:U57" si="35">R57*(1+$V$6)/R54*S54</f>
        <v>9921731640.5079994</v>
      </c>
      <c r="T57" s="973">
        <f t="shared" si="35"/>
        <v>10514685655.128885</v>
      </c>
      <c r="U57" s="973">
        <f t="shared" si="35"/>
        <v>11141197054.943579</v>
      </c>
      <c r="W57" s="1463">
        <f>Q57/Q56</f>
        <v>0.65380410958904112</v>
      </c>
      <c r="AE57" s="153" t="s">
        <v>2821</v>
      </c>
      <c r="AF57" s="969" t="s">
        <v>2829</v>
      </c>
      <c r="AG57" s="968" t="s">
        <v>2816</v>
      </c>
      <c r="AH57" s="974">
        <f>IFERROR(AH55/AH56,0)</f>
        <v>0</v>
      </c>
      <c r="AI57" s="974">
        <f t="shared" ref="AI57:AL57" si="36">IFERROR(AI55/AI56,0)</f>
        <v>0</v>
      </c>
      <c r="AJ57" s="974">
        <f t="shared" si="36"/>
        <v>0</v>
      </c>
      <c r="AK57" s="974">
        <f t="shared" si="36"/>
        <v>0</v>
      </c>
      <c r="AL57" s="974">
        <f t="shared" si="36"/>
        <v>0</v>
      </c>
      <c r="AM57" s="974"/>
    </row>
    <row r="58" spans="2:52" x14ac:dyDescent="0.3">
      <c r="B58" s="153" t="s">
        <v>2049</v>
      </c>
      <c r="G58" s="153" t="s">
        <v>2049</v>
      </c>
      <c r="H58" s="153" t="s">
        <v>2028</v>
      </c>
      <c r="I58" s="153" t="s">
        <v>2023</v>
      </c>
      <c r="K58" s="968"/>
      <c r="L58" s="968" t="s">
        <v>2810</v>
      </c>
      <c r="M58" s="968" t="s">
        <v>2049</v>
      </c>
      <c r="N58" s="981" t="s">
        <v>2124</v>
      </c>
      <c r="O58" s="969" t="s">
        <v>2817</v>
      </c>
      <c r="P58" s="968" t="s">
        <v>2813</v>
      </c>
      <c r="Q58" s="972">
        <f>SUMIFS('사업계획(매출 확정본)'!S$12:S$113,'사업계획(매출 확정본)'!$M$12:$M$113,'사업계획(원재료)'!$M58,'사업계획(매출 확정본)'!$Q$12:$Q$113,'사업계획(원재료)'!$P58)</f>
        <v>11</v>
      </c>
      <c r="R58" s="972">
        <f>SUMIFS('사업계획(매출 확정본)'!T$12:T$113,'사업계획(매출 확정본)'!$M$12:$M$113,'사업계획(원재료)'!$M58,'사업계획(매출 확정본)'!$Q$12:$Q$113,'사업계획(원재료)'!$P58)</f>
        <v>20</v>
      </c>
      <c r="S58" s="972">
        <f>SUMIFS('사업계획(매출 확정본)'!U$12:U$113,'사업계획(매출 확정본)'!$M$12:$M$113,'사업계획(원재료)'!$M58,'사업계획(매출 확정본)'!$Q$12:$Q$113,'사업계획(원재료)'!$P58)</f>
        <v>25</v>
      </c>
      <c r="T58" s="972">
        <f>SUMIFS('사업계획(매출 확정본)'!V$12:V$113,'사업계획(매출 확정본)'!$M$12:$M$113,'사업계획(원재료)'!$M58,'사업계획(매출 확정본)'!$Q$12:$Q$113,'사업계획(원재료)'!$P58)</f>
        <v>30</v>
      </c>
      <c r="U58" s="972">
        <f>SUMIFS('사업계획(매출 확정본)'!W$12:W$113,'사업계획(매출 확정본)'!$M$12:$M$113,'사업계획(원재료)'!$M58,'사업계획(매출 확정본)'!$Q$12:$Q$113,'사업계획(원재료)'!$P58)</f>
        <v>40</v>
      </c>
      <c r="AE58" s="153" t="s">
        <v>2821</v>
      </c>
      <c r="AF58" s="969" t="s">
        <v>2829</v>
      </c>
      <c r="AG58" s="1051" t="s">
        <v>3075</v>
      </c>
      <c r="AH58" s="992">
        <f t="shared" ref="AH58:AL58" si="37">SUMIFS(Q$14:Q$149,$N$14:$N$149,$AE58,$O$14:$O$149,$AF58,$P$14:$P$149,$AG58)</f>
        <v>0</v>
      </c>
      <c r="AI58" s="992">
        <f t="shared" si="37"/>
        <v>0</v>
      </c>
      <c r="AJ58" s="992">
        <f t="shared" si="37"/>
        <v>0</v>
      </c>
      <c r="AK58" s="992">
        <f t="shared" si="37"/>
        <v>0</v>
      </c>
      <c r="AL58" s="992">
        <f t="shared" si="37"/>
        <v>0</v>
      </c>
      <c r="AY58" s="153" t="s">
        <v>2035</v>
      </c>
      <c r="AZ58" s="153" t="s">
        <v>2819</v>
      </c>
    </row>
    <row r="59" spans="2:52" x14ac:dyDescent="0.3">
      <c r="H59" s="153" t="s">
        <v>2028</v>
      </c>
      <c r="I59" s="153" t="s">
        <v>2023</v>
      </c>
      <c r="K59" s="968"/>
      <c r="L59" s="968"/>
      <c r="M59" s="968" t="s">
        <v>2049</v>
      </c>
      <c r="N59" s="981" t="s">
        <v>2124</v>
      </c>
      <c r="O59" s="969" t="s">
        <v>2817</v>
      </c>
      <c r="P59" s="968" t="s">
        <v>2816</v>
      </c>
      <c r="Q59" s="973">
        <v>115000000</v>
      </c>
      <c r="R59" s="973">
        <f>ROUND(Q59*1.05,-5)</f>
        <v>120800000</v>
      </c>
      <c r="S59" s="973">
        <f t="shared" ref="S59:U59" si="38">ROUND(R59*1.05,-5)</f>
        <v>126800000</v>
      </c>
      <c r="T59" s="973">
        <f t="shared" si="38"/>
        <v>133100000</v>
      </c>
      <c r="U59" s="973">
        <f t="shared" si="38"/>
        <v>139800000</v>
      </c>
      <c r="AE59" s="153" t="s">
        <v>2821</v>
      </c>
      <c r="AF59" s="969" t="s">
        <v>2832</v>
      </c>
      <c r="AG59" s="968" t="s">
        <v>2818</v>
      </c>
      <c r="AH59" s="153">
        <f>SUMIFS(Q$14:Q$148,$P$14:$P$148,$AG$59,$O$14:$O$148,$AF$59,$N$14:$N$148,$AE$47)</f>
        <v>0</v>
      </c>
      <c r="AI59" s="153">
        <f>SUMIFS(R$14:R$148,$P$14:$P$148,$AG$59,$O$14:$O$148,$AF$59,$N$14:$N$148,$AE$47)</f>
        <v>0</v>
      </c>
      <c r="AJ59" s="153">
        <f>SUMIFS(S$14:S$148,$P$14:$P$148,$AG$59,$O$14:$O$148,$AF$59,$N$14:$N$148,$AE$47)</f>
        <v>0</v>
      </c>
      <c r="AK59" s="153">
        <f>SUMIFS(T$14:T$148,$P$14:$P$148,$AG$59,$O$14:$O$148,$AF$59,$N$14:$N$148,$AE$47)</f>
        <v>0</v>
      </c>
      <c r="AL59" s="153">
        <f>SUMIFS(U$14:U$148,$P$14:$P$148,$AG$59,$O$14:$O$148,$AF$59,$N$14:$N$148,$AE$47)</f>
        <v>0</v>
      </c>
      <c r="AY59" s="153" t="s">
        <v>2839</v>
      </c>
      <c r="AZ59" s="153" t="s">
        <v>2819</v>
      </c>
    </row>
    <row r="60" spans="2:52" x14ac:dyDescent="0.3">
      <c r="K60" s="968"/>
      <c r="L60" s="968"/>
      <c r="M60" s="968" t="s">
        <v>2049</v>
      </c>
      <c r="N60" s="981" t="s">
        <v>2124</v>
      </c>
      <c r="O60" s="969" t="s">
        <v>2817</v>
      </c>
      <c r="P60" s="968" t="s">
        <v>2818</v>
      </c>
      <c r="Q60" s="973">
        <f>SUMIFS('사업계획(매출 확정본)'!S$12:S$113,'사업계획(매출 확정본)'!$M$12:$M$113,'사업계획(원재료)'!$M60,'사업계획(매출 확정본)'!$Q$12:$Q$113,'사업계획(원재료)'!$P60)</f>
        <v>1265000000</v>
      </c>
      <c r="R60" s="973">
        <f>SUMIFS('사업계획(매출 확정본)'!T$12:T$113,'사업계획(매출 확정본)'!$M$12:$M$113,'사업계획(원재료)'!$M60,'사업계획(매출 확정본)'!$Q$12:$Q$113,'사업계획(원재료)'!$P60)</f>
        <v>2416000000</v>
      </c>
      <c r="S60" s="973">
        <f>SUMIFS('사업계획(매출 확정본)'!U$12:U$113,'사업계획(매출 확정본)'!$M$12:$M$113,'사업계획(원재료)'!$M60,'사업계획(매출 확정본)'!$Q$12:$Q$113,'사업계획(원재료)'!$P60)</f>
        <v>3170000000</v>
      </c>
      <c r="T60" s="973">
        <f>SUMIFS('사업계획(매출 확정본)'!V$12:V$113,'사업계획(매출 확정본)'!$M$12:$M$113,'사업계획(원재료)'!$M60,'사업계획(매출 확정본)'!$Q$12:$Q$113,'사업계획(원재료)'!$P60)</f>
        <v>3993000000</v>
      </c>
      <c r="U60" s="973">
        <f>SUMIFS('사업계획(매출 확정본)'!W$12:W$113,'사업계획(매출 확정본)'!$M$12:$M$113,'사업계획(원재료)'!$M60,'사업계획(매출 확정본)'!$Q$12:$Q$113,'사업계획(원재료)'!$P60)</f>
        <v>5592000000</v>
      </c>
      <c r="AE60" s="153" t="s">
        <v>2821</v>
      </c>
      <c r="AF60" s="969" t="s">
        <v>2832</v>
      </c>
      <c r="AG60" s="968" t="s">
        <v>2813</v>
      </c>
      <c r="AH60" s="153">
        <f>SUMIFS(Q$14:Q$148,$P$14:$P$148,$AG$60,$O$14:$O$148,$AF$59,$N$14:$N$148,$AE$47)</f>
        <v>0</v>
      </c>
      <c r="AI60" s="153">
        <f>SUMIFS(R$14:R$148,$P$14:$P$148,$AG$60,$O$14:$O$148,$AF$59,$N$14:$N$148,$AE$47)</f>
        <v>0</v>
      </c>
      <c r="AJ60" s="153">
        <f>SUMIFS(S$14:S$148,$P$14:$P$148,$AG$60,$O$14:$O$148,$AF$59,$N$14:$N$148,$AE$47)</f>
        <v>0</v>
      </c>
      <c r="AK60" s="153">
        <f>SUMIFS(T$14:T$148,$P$14:$P$148,$AG$60,$O$14:$O$148,$AF$59,$N$14:$N$148,$AE$47)</f>
        <v>0</v>
      </c>
      <c r="AL60" s="153">
        <f>SUMIFS(U$14:U$148,$P$14:$P$148,$AG$60,$O$14:$O$148,$AF$59,$N$14:$N$148,$AE$47)</f>
        <v>0</v>
      </c>
    </row>
    <row r="61" spans="2:52" x14ac:dyDescent="0.3">
      <c r="K61" s="968"/>
      <c r="L61" s="968"/>
      <c r="M61" s="968" t="s">
        <v>2049</v>
      </c>
      <c r="N61" s="981" t="s">
        <v>2124</v>
      </c>
      <c r="O61" s="969" t="s">
        <v>2817</v>
      </c>
      <c r="P61" s="968" t="s">
        <v>3075</v>
      </c>
      <c r="Q61" s="1050">
        <f>VLOOKUP(M58,'제품별 원재료비 '!$O$4:$S$48,5,FALSE)*Q58</f>
        <v>815301080</v>
      </c>
      <c r="R61" s="973">
        <f>Q61*(1+$V$6)/Q58*R58</f>
        <v>1550554417.6000001</v>
      </c>
      <c r="S61" s="973">
        <f t="shared" ref="S61:U61" si="39">R61*(1+$V$6)/R58*S58</f>
        <v>2027349901.0120001</v>
      </c>
      <c r="T61" s="973">
        <f t="shared" si="39"/>
        <v>2544729595.7502623</v>
      </c>
      <c r="U61" s="973">
        <f t="shared" si="39"/>
        <v>3549049542.8730326</v>
      </c>
      <c r="AE61" s="153" t="s">
        <v>2821</v>
      </c>
      <c r="AF61" s="969" t="s">
        <v>2832</v>
      </c>
      <c r="AG61" s="968" t="s">
        <v>2816</v>
      </c>
      <c r="AH61" s="974" t="e">
        <f>AH59/AH60</f>
        <v>#DIV/0!</v>
      </c>
      <c r="AI61" s="974" t="e">
        <f>AI59/AI60</f>
        <v>#DIV/0!</v>
      </c>
      <c r="AJ61" s="974" t="e">
        <f>AJ59/AJ60</f>
        <v>#DIV/0!</v>
      </c>
      <c r="AK61" s="974" t="e">
        <f>AK59/AK60</f>
        <v>#DIV/0!</v>
      </c>
      <c r="AL61" s="974" t="e">
        <f>AL59/AL60</f>
        <v>#DIV/0!</v>
      </c>
    </row>
    <row r="62" spans="2:52" x14ac:dyDescent="0.3">
      <c r="B62" s="153" t="s">
        <v>2060</v>
      </c>
      <c r="G62" s="153" t="s">
        <v>2060</v>
      </c>
      <c r="H62" s="153" t="s">
        <v>2037</v>
      </c>
      <c r="I62" s="153" t="s">
        <v>2802</v>
      </c>
      <c r="K62" s="968"/>
      <c r="L62" s="968" t="s">
        <v>2810</v>
      </c>
      <c r="M62" s="968" t="s">
        <v>2060</v>
      </c>
      <c r="N62" s="981" t="s">
        <v>2124</v>
      </c>
      <c r="O62" s="969" t="s">
        <v>2817</v>
      </c>
      <c r="P62" s="968" t="s">
        <v>2813</v>
      </c>
      <c r="Q62" s="972">
        <f>SUMIFS('사업계획(매출 확정본)'!S$12:S$113,'사업계획(매출 확정본)'!$M$12:$M$113,'사업계획(원재료)'!$M62,'사업계획(매출 확정본)'!$Q$12:$Q$113,'사업계획(원재료)'!$P62)</f>
        <v>38</v>
      </c>
      <c r="R62" s="972">
        <f>SUMIFS('사업계획(매출 확정본)'!T$12:T$113,'사업계획(매출 확정본)'!$M$12:$M$113,'사업계획(원재료)'!$M62,'사업계획(매출 확정본)'!$Q$12:$Q$113,'사업계획(원재료)'!$P62)</f>
        <v>45</v>
      </c>
      <c r="S62" s="972">
        <f>SUMIFS('사업계획(매출 확정본)'!U$12:U$113,'사업계획(매출 확정본)'!$M$12:$M$113,'사업계획(원재료)'!$M62,'사업계획(매출 확정본)'!$Q$12:$Q$113,'사업계획(원재료)'!$P62)</f>
        <v>55</v>
      </c>
      <c r="T62" s="972">
        <f>SUMIFS('사업계획(매출 확정본)'!V$12:V$113,'사업계획(매출 확정본)'!$M$12:$M$113,'사업계획(원재료)'!$M62,'사업계획(매출 확정본)'!$Q$12:$Q$113,'사업계획(원재료)'!$P62)</f>
        <v>60</v>
      </c>
      <c r="U62" s="972">
        <f>SUMIFS('사업계획(매출 확정본)'!W$12:W$113,'사업계획(매출 확정본)'!$M$12:$M$113,'사업계획(원재료)'!$M62,'사업계획(매출 확정본)'!$Q$12:$Q$113,'사업계획(원재료)'!$P62)</f>
        <v>60</v>
      </c>
      <c r="AE62" s="153" t="s">
        <v>2821</v>
      </c>
      <c r="AF62" s="969" t="s">
        <v>2832</v>
      </c>
      <c r="AG62" s="1051" t="s">
        <v>3075</v>
      </c>
      <c r="AH62" s="992">
        <f t="shared" ref="AH62:AL62" si="40">SUMIFS(Q$14:Q$149,$N$14:$N$149,$AE62,$O$14:$O$149,$AF62,$P$14:$P$149,$AG62)</f>
        <v>0</v>
      </c>
      <c r="AI62" s="992">
        <f t="shared" si="40"/>
        <v>0</v>
      </c>
      <c r="AJ62" s="992">
        <f t="shared" si="40"/>
        <v>0</v>
      </c>
      <c r="AK62" s="992">
        <f t="shared" si="40"/>
        <v>0</v>
      </c>
      <c r="AL62" s="992">
        <f t="shared" si="40"/>
        <v>0</v>
      </c>
      <c r="AY62" s="153" t="s">
        <v>2840</v>
      </c>
      <c r="AZ62" s="153" t="s">
        <v>2809</v>
      </c>
    </row>
    <row r="63" spans="2:52" x14ac:dyDescent="0.3">
      <c r="H63" s="153" t="s">
        <v>2037</v>
      </c>
      <c r="I63" s="153" t="s">
        <v>2802</v>
      </c>
      <c r="K63" s="968"/>
      <c r="L63" s="968"/>
      <c r="M63" s="968" t="s">
        <v>2060</v>
      </c>
      <c r="N63" s="981" t="s">
        <v>2124</v>
      </c>
      <c r="O63" s="969" t="s">
        <v>2817</v>
      </c>
      <c r="P63" s="968" t="s">
        <v>2816</v>
      </c>
      <c r="Q63" s="973">
        <v>165000000</v>
      </c>
      <c r="R63" s="973">
        <f>ROUND(Q63*1.05,-5)</f>
        <v>173300000</v>
      </c>
      <c r="S63" s="973">
        <f t="shared" ref="S63:U63" si="41">ROUND(R63*1.05,-5)</f>
        <v>182000000</v>
      </c>
      <c r="T63" s="973">
        <f t="shared" si="41"/>
        <v>191100000</v>
      </c>
      <c r="U63" s="973">
        <f t="shared" si="41"/>
        <v>200700000</v>
      </c>
      <c r="AE63" s="153" t="s">
        <v>2841</v>
      </c>
      <c r="AF63" s="969" t="s">
        <v>2817</v>
      </c>
      <c r="AG63" s="968" t="s">
        <v>2818</v>
      </c>
      <c r="AH63" s="819">
        <f>SUMIFS(Q$14:Q$148,$P$14:$P$148,$AG$63,$O$14:$O$148,$AF$63,$N$14:$N$148,$AE$63)</f>
        <v>41420000000</v>
      </c>
      <c r="AI63" s="819">
        <f>SUMIFS(R$14:R$148,$P$14:$P$148,$AG$63,$O$14:$O$148,$AF$63,$N$14:$N$148,$AE$63)</f>
        <v>50014500000</v>
      </c>
      <c r="AJ63" s="819">
        <f>SUMIFS(S$14:S$148,$P$14:$P$148,$AG$63,$O$14:$O$148,$AF$63,$N$14:$N$148,$AE$63)</f>
        <v>59321500000</v>
      </c>
      <c r="AK63" s="819">
        <f>SUMIFS(T$14:T$148,$P$14:$P$148,$AG$63,$O$14:$O$148,$AF$63,$N$14:$N$148,$AE$63)</f>
        <v>65377500000</v>
      </c>
      <c r="AL63" s="819">
        <f>SUMIFS(U$14:U$148,$P$14:$P$148,$AG$63,$O$14:$O$148,$AF$63,$N$14:$N$148,$AE$63)</f>
        <v>68774000000</v>
      </c>
      <c r="AY63" s="153" t="s">
        <v>2045</v>
      </c>
      <c r="AZ63" s="153" t="s">
        <v>2831</v>
      </c>
    </row>
    <row r="64" spans="2:52" x14ac:dyDescent="0.3">
      <c r="K64" s="968"/>
      <c r="L64" s="968"/>
      <c r="M64" s="968" t="s">
        <v>2060</v>
      </c>
      <c r="N64" s="981" t="s">
        <v>2124</v>
      </c>
      <c r="O64" s="969" t="s">
        <v>2817</v>
      </c>
      <c r="P64" s="968" t="s">
        <v>2818</v>
      </c>
      <c r="Q64" s="973">
        <f>SUMIFS('사업계획(매출 확정본)'!S$12:S$113,'사업계획(매출 확정본)'!$M$12:$M$113,'사업계획(원재료)'!$M64,'사업계획(매출 확정본)'!$Q$12:$Q$113,'사업계획(원재료)'!$P64)</f>
        <v>6270000000</v>
      </c>
      <c r="R64" s="973">
        <f>SUMIFS('사업계획(매출 확정본)'!T$12:T$113,'사업계획(매출 확정본)'!$M$12:$M$113,'사업계획(원재료)'!$M64,'사업계획(매출 확정본)'!$Q$12:$Q$113,'사업계획(원재료)'!$P64)</f>
        <v>7798500000</v>
      </c>
      <c r="S64" s="973">
        <f>SUMIFS('사업계획(매출 확정본)'!U$12:U$113,'사업계획(매출 확정본)'!$M$12:$M$113,'사업계획(원재료)'!$M64,'사업계획(매출 확정본)'!$Q$12:$Q$113,'사업계획(원재료)'!$P64)</f>
        <v>10010000000</v>
      </c>
      <c r="T64" s="973">
        <f>SUMIFS('사업계획(매출 확정본)'!V$12:V$113,'사업계획(매출 확정본)'!$M$12:$M$113,'사업계획(원재료)'!$M64,'사업계획(매출 확정본)'!$Q$12:$Q$113,'사업계획(원재료)'!$P64)</f>
        <v>11466000000</v>
      </c>
      <c r="U64" s="973">
        <f>SUMIFS('사업계획(매출 확정본)'!W$12:W$113,'사업계획(매출 확정본)'!$M$12:$M$113,'사업계획(원재료)'!$M64,'사업계획(매출 확정본)'!$Q$12:$Q$113,'사업계획(원재료)'!$P64)</f>
        <v>12042000000</v>
      </c>
      <c r="AE64" s="153" t="s">
        <v>2841</v>
      </c>
      <c r="AF64" s="969" t="s">
        <v>2817</v>
      </c>
      <c r="AG64" s="968" t="s">
        <v>2813</v>
      </c>
      <c r="AH64" s="153">
        <f>SUMIFS(Q$14:Q$148,$P$14:$P$148,$AG$64,$O$14:$O$148,$AF$63,$N$14:$N$148,$AE$63)</f>
        <v>260</v>
      </c>
      <c r="AI64" s="153">
        <f>SUMIFS(R$14:R$148,$P$14:$P$148,$AG$64,$O$14:$O$148,$AF$63,$N$14:$N$148,$AE$63)</f>
        <v>305</v>
      </c>
      <c r="AJ64" s="153">
        <f>SUMIFS(S$14:S$148,$P$14:$P$148,$AG$64,$O$14:$O$148,$AF$63,$N$14:$N$148,$AE$63)</f>
        <v>345</v>
      </c>
      <c r="AK64" s="153">
        <f>SUMIFS(T$14:T$148,$P$14:$P$148,$AG$64,$O$14:$O$148,$AF$63,$N$14:$N$148,$AE$63)</f>
        <v>365</v>
      </c>
      <c r="AL64" s="153">
        <f>SUMIFS(U$14:U$148,$P$14:$P$148,$AG$64,$O$14:$O$148,$AF$63,$N$14:$N$148,$AE$63)</f>
        <v>370</v>
      </c>
    </row>
    <row r="65" spans="2:52" x14ac:dyDescent="0.3">
      <c r="K65" s="968"/>
      <c r="L65" s="968"/>
      <c r="M65" s="968" t="s">
        <v>2060</v>
      </c>
      <c r="N65" s="981" t="s">
        <v>2124</v>
      </c>
      <c r="O65" s="969" t="s">
        <v>2817</v>
      </c>
      <c r="P65" s="968" t="s">
        <v>3075</v>
      </c>
      <c r="Q65" s="1050">
        <f>VLOOKUP(M62,'제품별 원재료비 '!$O$4:$S$48,5,FALSE)*Q62</f>
        <v>3692906500</v>
      </c>
      <c r="R65" s="973">
        <f>Q65*(1+$V$6)/Q62*R62</f>
        <v>4574344972.5</v>
      </c>
      <c r="S65" s="973">
        <f t="shared" ref="S65:U65" si="42">R65*(1+$V$6)/R62*S62</f>
        <v>5848045917.0650015</v>
      </c>
      <c r="T65" s="973">
        <f t="shared" si="42"/>
        <v>6673152031.9090824</v>
      </c>
      <c r="U65" s="973">
        <f t="shared" si="42"/>
        <v>6980117025.3769007</v>
      </c>
      <c r="AE65" s="153" t="s">
        <v>2841</v>
      </c>
      <c r="AF65" s="969" t="s">
        <v>2817</v>
      </c>
      <c r="AG65" s="968" t="s">
        <v>2816</v>
      </c>
      <c r="AH65" s="974">
        <f>AH63/AH64</f>
        <v>159307692.30769232</v>
      </c>
      <c r="AI65" s="974">
        <f>AI63/AI64</f>
        <v>163981967.21311477</v>
      </c>
      <c r="AJ65" s="974">
        <f>AJ63/AJ64</f>
        <v>171946376.81159419</v>
      </c>
      <c r="AK65" s="974">
        <f>AK63/AK64</f>
        <v>179116438.3561644</v>
      </c>
      <c r="AL65" s="974">
        <f>AL63/AL64</f>
        <v>185875675.67567569</v>
      </c>
    </row>
    <row r="66" spans="2:52" x14ac:dyDescent="0.3">
      <c r="B66" s="153" t="s">
        <v>2061</v>
      </c>
      <c r="G66" s="153" t="s">
        <v>2061</v>
      </c>
      <c r="H66" s="153" t="s">
        <v>2037</v>
      </c>
      <c r="I66" s="153" t="s">
        <v>2802</v>
      </c>
      <c r="K66" s="968"/>
      <c r="L66" s="968" t="s">
        <v>2810</v>
      </c>
      <c r="M66" s="968" t="s">
        <v>2061</v>
      </c>
      <c r="N66" s="981" t="s">
        <v>2124</v>
      </c>
      <c r="O66" s="969" t="s">
        <v>2817</v>
      </c>
      <c r="P66" s="968" t="s">
        <v>2813</v>
      </c>
      <c r="Q66" s="972">
        <f>SUMIFS('사업계획(매출 확정본)'!S$12:S$113,'사업계획(매출 확정본)'!$M$12:$M$113,'사업계획(원재료)'!$M66,'사업계획(매출 확정본)'!$Q$12:$Q$113,'사업계획(원재료)'!$P66)</f>
        <v>35</v>
      </c>
      <c r="R66" s="972">
        <f>SUMIFS('사업계획(매출 확정본)'!T$12:T$113,'사업계획(매출 확정본)'!$M$12:$M$113,'사업계획(원재료)'!$M66,'사업계획(매출 확정본)'!$Q$12:$Q$113,'사업계획(원재료)'!$P66)</f>
        <v>45</v>
      </c>
      <c r="S66" s="972">
        <f>SUMIFS('사업계획(매출 확정본)'!U$12:U$113,'사업계획(매출 확정본)'!$M$12:$M$113,'사업계획(원재료)'!$M66,'사업계획(매출 확정본)'!$Q$12:$Q$113,'사업계획(원재료)'!$P66)</f>
        <v>45</v>
      </c>
      <c r="T66" s="972">
        <f>SUMIFS('사업계획(매출 확정본)'!V$12:V$113,'사업계획(매출 확정본)'!$M$12:$M$113,'사업계획(원재료)'!$M66,'사업계획(매출 확정본)'!$Q$12:$Q$113,'사업계획(원재료)'!$P66)</f>
        <v>60</v>
      </c>
      <c r="U66" s="972">
        <f>SUMIFS('사업계획(매출 확정본)'!W$12:W$113,'사업계획(매출 확정본)'!$M$12:$M$113,'사업계획(원재료)'!$M66,'사업계획(매출 확정본)'!$Q$12:$Q$113,'사업계획(원재료)'!$P66)</f>
        <v>60</v>
      </c>
      <c r="AE66" s="153" t="s">
        <v>2841</v>
      </c>
      <c r="AF66" s="969" t="s">
        <v>2817</v>
      </c>
      <c r="AG66" s="1051" t="s">
        <v>3075</v>
      </c>
      <c r="AH66" s="992">
        <f t="shared" ref="AH66:AL66" si="43">SUMIFS(Q$14:Q$149,$N$14:$N$149,$AE66,$O$14:$O$149,$AF66,$P$14:$P$149,$AG66)</f>
        <v>25005782935</v>
      </c>
      <c r="AI66" s="992">
        <f t="shared" si="43"/>
        <v>30243842828.049999</v>
      </c>
      <c r="AJ66" s="992">
        <f t="shared" si="43"/>
        <v>35756592846.907608</v>
      </c>
      <c r="AK66" s="992">
        <f t="shared" si="43"/>
        <v>39296022081.333015</v>
      </c>
      <c r="AL66" s="992">
        <f t="shared" si="43"/>
        <v>41275936833.621407</v>
      </c>
      <c r="AY66" s="153" t="s">
        <v>2034</v>
      </c>
      <c r="AZ66" s="153" t="s">
        <v>2819</v>
      </c>
    </row>
    <row r="67" spans="2:52" x14ac:dyDescent="0.3">
      <c r="H67" s="153" t="s">
        <v>2037</v>
      </c>
      <c r="I67" s="153" t="s">
        <v>2802</v>
      </c>
      <c r="K67" s="968"/>
      <c r="L67" s="968"/>
      <c r="M67" s="968" t="s">
        <v>2061</v>
      </c>
      <c r="N67" s="981" t="s">
        <v>2124</v>
      </c>
      <c r="O67" s="969" t="s">
        <v>2817</v>
      </c>
      <c r="P67" s="968" t="s">
        <v>2816</v>
      </c>
      <c r="Q67" s="973">
        <v>148500000</v>
      </c>
      <c r="R67" s="973">
        <f>ROUND(Q67*1.05,-5)</f>
        <v>155900000</v>
      </c>
      <c r="S67" s="973">
        <f t="shared" ref="S67:U67" si="44">ROUND(R67*1.05,-5)</f>
        <v>163700000</v>
      </c>
      <c r="T67" s="973">
        <f t="shared" si="44"/>
        <v>171900000</v>
      </c>
      <c r="U67" s="973">
        <f t="shared" si="44"/>
        <v>180500000</v>
      </c>
      <c r="V67" s="1553">
        <f>S67/R67-1</f>
        <v>5.0032071840923731E-2</v>
      </c>
      <c r="W67" s="1057">
        <f>Q69/Q68</f>
        <v>0.6194023569023569</v>
      </c>
      <c r="AE67" s="153" t="s">
        <v>2841</v>
      </c>
      <c r="AF67" s="969" t="s">
        <v>2822</v>
      </c>
      <c r="AG67" s="968" t="s">
        <v>2818</v>
      </c>
      <c r="AH67" s="819">
        <f>SUMIFS(Q$14:Q$148,$P$14:$P$148,$AG$67,$O$14:$O$148,$AF$67,$N$14:$N$148,$AE$63)</f>
        <v>0</v>
      </c>
      <c r="AI67" s="819">
        <f>SUMIFS(R$14:R$148,$P$14:$P$148,$AG$67,$O$14:$O$148,$AF$67,$N$14:$N$148,$AE$63)</f>
        <v>0</v>
      </c>
      <c r="AJ67" s="819">
        <f>SUMIFS(S$14:S$148,$P$14:$P$148,$AG$67,$O$14:$O$148,$AF$67,$N$14:$N$148,$AE$63)</f>
        <v>0</v>
      </c>
      <c r="AK67" s="819">
        <f>SUMIFS(T$14:T$148,$P$14:$P$148,$AG$67,$O$14:$O$148,$AF$67,$N$14:$N$148,$AE$63)</f>
        <v>0</v>
      </c>
      <c r="AL67" s="819">
        <f>SUMIFS(U$14:U$148,$P$14:$P$148,$AG$67,$O$14:$O$148,$AF$67,$N$14:$N$148,$AE$63)</f>
        <v>0</v>
      </c>
      <c r="AY67" s="153" t="s">
        <v>2842</v>
      </c>
      <c r="AZ67" s="153" t="s">
        <v>2819</v>
      </c>
    </row>
    <row r="68" spans="2:52" x14ac:dyDescent="0.3">
      <c r="K68" s="968"/>
      <c r="L68" s="968"/>
      <c r="M68" s="968" t="s">
        <v>2061</v>
      </c>
      <c r="N68" s="981" t="s">
        <v>2124</v>
      </c>
      <c r="O68" s="969" t="s">
        <v>2817</v>
      </c>
      <c r="P68" s="968" t="s">
        <v>2818</v>
      </c>
      <c r="Q68" s="973">
        <f>SUMIFS('사업계획(매출 확정본)'!S$12:S$113,'사업계획(매출 확정본)'!$M$12:$M$113,'사업계획(원재료)'!$M68,'사업계획(매출 확정본)'!$Q$12:$Q$113,'사업계획(원재료)'!$P68)</f>
        <v>5197500000</v>
      </c>
      <c r="R68" s="973">
        <f>SUMIFS('사업계획(매출 확정본)'!T$12:T$113,'사업계획(매출 확정본)'!$M$12:$M$113,'사업계획(원재료)'!$M68,'사업계획(매출 확정본)'!$Q$12:$Q$113,'사업계획(원재료)'!$P68)</f>
        <v>7015500000</v>
      </c>
      <c r="S68" s="973">
        <f>SUMIFS('사업계획(매출 확정본)'!U$12:U$113,'사업계획(매출 확정본)'!$M$12:$M$113,'사업계획(원재료)'!$M68,'사업계획(매출 확정본)'!$Q$12:$Q$113,'사업계획(원재료)'!$P68)</f>
        <v>7366500000</v>
      </c>
      <c r="T68" s="973">
        <f>SUMIFS('사업계획(매출 확정본)'!V$12:V$113,'사업계획(매출 확정본)'!$M$12:$M$113,'사업계획(원재료)'!$M68,'사업계획(매출 확정본)'!$Q$12:$Q$113,'사업계획(원재료)'!$P68)</f>
        <v>10314000000</v>
      </c>
      <c r="U68" s="973">
        <f>SUMIFS('사업계획(매출 확정본)'!W$12:W$113,'사업계획(매출 확정본)'!$M$12:$M$113,'사업계획(원재료)'!$M68,'사업계획(매출 확정본)'!$Q$12:$Q$113,'사업계획(원재료)'!$P68)</f>
        <v>10830000000</v>
      </c>
      <c r="AE68" s="153" t="s">
        <v>2841</v>
      </c>
      <c r="AF68" s="969" t="s">
        <v>2822</v>
      </c>
      <c r="AG68" s="968" t="s">
        <v>2813</v>
      </c>
      <c r="AH68" s="153">
        <f>SUMIFS(Q$14:Q$148,$P$14:$P$148,$AG$68,$O$14:$O$148,$AF$67,$N$14:$N$148,$AE$63)</f>
        <v>0</v>
      </c>
      <c r="AI68" s="153">
        <f>SUMIFS(R$14:R$148,$P$14:$P$148,$AG$68,$O$14:$O$148,$AF$67,$N$14:$N$148,$AE$63)</f>
        <v>0</v>
      </c>
      <c r="AJ68" s="153">
        <f>SUMIFS(S$14:S$148,$P$14:$P$148,$AG$68,$O$14:$O$148,$AF$67,$N$14:$N$148,$AE$63)</f>
        <v>0</v>
      </c>
      <c r="AK68" s="153">
        <f>SUMIFS(T$14:T$148,$P$14:$P$148,$AG$68,$O$14:$O$148,$AF$67,$N$14:$N$148,$AE$63)</f>
        <v>0</v>
      </c>
      <c r="AL68" s="153">
        <f>SUMIFS(U$14:U$148,$P$14:$P$148,$AG$68,$O$14:$O$148,$AF$67,$N$14:$N$148,$AE$63)</f>
        <v>0</v>
      </c>
    </row>
    <row r="69" spans="2:52" x14ac:dyDescent="0.3">
      <c r="K69" s="968"/>
      <c r="L69" s="968"/>
      <c r="M69" s="968" t="s">
        <v>2061</v>
      </c>
      <c r="N69" s="981" t="s">
        <v>2124</v>
      </c>
      <c r="O69" s="1056" t="s">
        <v>2817</v>
      </c>
      <c r="P69" s="1055" t="s">
        <v>3075</v>
      </c>
      <c r="Q69" s="1050">
        <f>VLOOKUP(M66,'제품별 원재료비 '!$O$4:$S$48,5,FALSE)*Q66</f>
        <v>3219343750</v>
      </c>
      <c r="R69" s="973">
        <f>Q69*(1+$V$6)/Q66*R66</f>
        <v>4329557437.5</v>
      </c>
      <c r="S69" s="973">
        <f t="shared" ref="S69:U69" si="45">R69*(1+$V$6)/R66*S66</f>
        <v>4528717079.625</v>
      </c>
      <c r="T69" s="973">
        <f t="shared" si="45"/>
        <v>6316050753.717</v>
      </c>
      <c r="U69" s="973">
        <f t="shared" si="45"/>
        <v>6606589088.3879824</v>
      </c>
      <c r="AE69" s="153" t="s">
        <v>2841</v>
      </c>
      <c r="AF69" s="969" t="s">
        <v>2822</v>
      </c>
      <c r="AG69" s="968" t="s">
        <v>2816</v>
      </c>
      <c r="AH69" s="974" t="e">
        <f>AH67/AH68</f>
        <v>#DIV/0!</v>
      </c>
      <c r="AI69" s="974" t="e">
        <f>AI67/AI68</f>
        <v>#DIV/0!</v>
      </c>
      <c r="AJ69" s="974" t="e">
        <f>AJ67/AJ68</f>
        <v>#DIV/0!</v>
      </c>
      <c r="AK69" s="974" t="e">
        <f>AK67/AK68</f>
        <v>#DIV/0!</v>
      </c>
      <c r="AL69" s="974" t="e">
        <f>AL67/AL68</f>
        <v>#DIV/0!</v>
      </c>
    </row>
    <row r="70" spans="2:52" x14ac:dyDescent="0.3">
      <c r="B70" s="153" t="s">
        <v>2062</v>
      </c>
      <c r="G70" s="153" t="s">
        <v>2062</v>
      </c>
      <c r="H70" s="153" t="s">
        <v>2037</v>
      </c>
      <c r="I70" s="153" t="s">
        <v>2802</v>
      </c>
      <c r="K70" s="968"/>
      <c r="L70" s="968" t="s">
        <v>2810</v>
      </c>
      <c r="M70" s="968" t="s">
        <v>2062</v>
      </c>
      <c r="N70" s="981" t="s">
        <v>2124</v>
      </c>
      <c r="O70" s="969" t="s">
        <v>2817</v>
      </c>
      <c r="P70" s="968" t="s">
        <v>2813</v>
      </c>
      <c r="Q70" s="972">
        <f>SUMIFS('사업계획(매출 확정본)'!S$12:S$113,'사업계획(매출 확정본)'!$M$12:$M$113,'사업계획(원재료)'!$M70,'사업계획(매출 확정본)'!$Q$12:$Q$113,'사업계획(원재료)'!$P70)</f>
        <v>65</v>
      </c>
      <c r="R70" s="972">
        <f>SUMIFS('사업계획(매출 확정본)'!T$12:T$113,'사업계획(매출 확정본)'!$M$12:$M$113,'사업계획(원재료)'!$M70,'사업계획(매출 확정본)'!$Q$12:$Q$113,'사업계획(원재료)'!$P70)</f>
        <v>75</v>
      </c>
      <c r="S70" s="972">
        <f>SUMIFS('사업계획(매출 확정본)'!U$12:U$113,'사업계획(매출 확정본)'!$M$12:$M$113,'사업계획(원재료)'!$M70,'사업계획(매출 확정본)'!$Q$12:$Q$113,'사업계획(원재료)'!$P70)</f>
        <v>80</v>
      </c>
      <c r="T70" s="972">
        <f>SUMIFS('사업계획(매출 확정본)'!V$12:V$113,'사업계획(매출 확정본)'!$M$12:$M$113,'사업계획(원재료)'!$M70,'사업계획(매출 확정본)'!$Q$12:$Q$113,'사업계획(원재료)'!$P70)</f>
        <v>85</v>
      </c>
      <c r="U70" s="972">
        <f>SUMIFS('사업계획(매출 확정본)'!W$12:W$113,'사업계획(매출 확정본)'!$M$12:$M$113,'사업계획(원재료)'!$M70,'사업계획(매출 확정본)'!$Q$12:$Q$113,'사업계획(원재료)'!$P70)</f>
        <v>85</v>
      </c>
      <c r="W70" s="972">
        <v>75</v>
      </c>
      <c r="X70" s="972">
        <v>85</v>
      </c>
      <c r="Y70" s="972">
        <v>90</v>
      </c>
      <c r="Z70" s="972">
        <v>95</v>
      </c>
      <c r="AA70" s="972">
        <v>85</v>
      </c>
      <c r="AB70" s="1048"/>
      <c r="AC70" s="1048"/>
      <c r="AE70" s="153" t="s">
        <v>2841</v>
      </c>
      <c r="AF70" s="969" t="s">
        <v>2822</v>
      </c>
      <c r="AG70" s="1051" t="s">
        <v>3075</v>
      </c>
      <c r="AH70" s="992">
        <f t="shared" ref="AH70:AL70" si="46">SUMIFS(Q$14:Q$149,$N$14:$N$149,$AE70,$O$14:$O$149,$AF70,$P$14:$P$149,$AG70)</f>
        <v>0</v>
      </c>
      <c r="AI70" s="992">
        <f t="shared" si="46"/>
        <v>0</v>
      </c>
      <c r="AJ70" s="992">
        <f t="shared" si="46"/>
        <v>0</v>
      </c>
      <c r="AK70" s="992">
        <f t="shared" si="46"/>
        <v>0</v>
      </c>
      <c r="AL70" s="992">
        <f t="shared" si="46"/>
        <v>0</v>
      </c>
      <c r="AY70" s="153" t="s">
        <v>2042</v>
      </c>
      <c r="AZ70" s="153" t="s">
        <v>2824</v>
      </c>
    </row>
    <row r="71" spans="2:52" x14ac:dyDescent="0.3">
      <c r="H71" s="153" t="s">
        <v>2037</v>
      </c>
      <c r="I71" s="153" t="s">
        <v>2802</v>
      </c>
      <c r="K71" s="968"/>
      <c r="L71" s="968"/>
      <c r="M71" s="968" t="s">
        <v>2062</v>
      </c>
      <c r="N71" s="981" t="s">
        <v>2124</v>
      </c>
      <c r="O71" s="969" t="s">
        <v>2817</v>
      </c>
      <c r="P71" s="968" t="s">
        <v>2816</v>
      </c>
      <c r="Q71" s="973">
        <v>175000000</v>
      </c>
      <c r="R71" s="973">
        <f>ROUND(Q71*1.05,-5)</f>
        <v>183800000</v>
      </c>
      <c r="S71" s="973">
        <f t="shared" ref="S71:U71" si="47">ROUND(R71*1.05,-5)</f>
        <v>193000000</v>
      </c>
      <c r="T71" s="973">
        <f t="shared" si="47"/>
        <v>202700000</v>
      </c>
      <c r="U71" s="973">
        <f t="shared" si="47"/>
        <v>212800000</v>
      </c>
      <c r="V71" s="1553">
        <f>S71/R71-1</f>
        <v>5.0054406964091358E-2</v>
      </c>
      <c r="AE71" s="153" t="s">
        <v>2841</v>
      </c>
      <c r="AF71" s="969" t="s">
        <v>2812</v>
      </c>
      <c r="AG71" s="968" t="s">
        <v>2818</v>
      </c>
      <c r="AH71" s="819">
        <f>SUMIFS(Q$14:Q$148,$P$14:$P$148,$AG$71,$O$14:$O$148,$AF$71,$N$14:$N$148,$AE$63)</f>
        <v>0</v>
      </c>
      <c r="AI71" s="819">
        <f>SUMIFS(R$14:R$148,$P$14:$P$148,$AG$71,$O$14:$O$148,$AF$71,$N$14:$N$148,$AE$63)</f>
        <v>0</v>
      </c>
      <c r="AJ71" s="819">
        <f>SUMIFS(S$14:S$148,$P$14:$P$148,$AG$71,$O$14:$O$148,$AF$71,$N$14:$N$148,$AE$63)</f>
        <v>0</v>
      </c>
      <c r="AK71" s="819">
        <f>SUMIFS(T$14:T$148,$P$14:$P$148,$AG$71,$O$14:$O$148,$AF$71,$N$14:$N$148,$AE$63)</f>
        <v>0</v>
      </c>
      <c r="AL71" s="819">
        <f>SUMIFS(U$14:U$148,$P$14:$P$148,$AG$71,$O$14:$O$148,$AF$71,$N$14:$N$148,$AE$63)</f>
        <v>0</v>
      </c>
      <c r="AY71" s="153" t="s">
        <v>2065</v>
      </c>
      <c r="AZ71" s="153" t="s">
        <v>2824</v>
      </c>
    </row>
    <row r="72" spans="2:52" x14ac:dyDescent="0.3">
      <c r="K72" s="968"/>
      <c r="L72" s="968"/>
      <c r="M72" s="968" t="s">
        <v>2062</v>
      </c>
      <c r="N72" s="981" t="s">
        <v>2124</v>
      </c>
      <c r="O72" s="969" t="s">
        <v>2817</v>
      </c>
      <c r="P72" s="968" t="s">
        <v>2818</v>
      </c>
      <c r="Q72" s="973">
        <f>SUMIFS('사업계획(매출 확정본)'!S$12:S$113,'사업계획(매출 확정본)'!$M$12:$M$113,'사업계획(원재료)'!$M72,'사업계획(매출 확정본)'!$Q$12:$Q$113,'사업계획(원재료)'!$P72)</f>
        <v>11375000000</v>
      </c>
      <c r="R72" s="973">
        <f>SUMIFS('사업계획(매출 확정본)'!T$12:T$113,'사업계획(매출 확정본)'!$M$12:$M$113,'사업계획(원재료)'!$M72,'사업계획(매출 확정본)'!$Q$12:$Q$113,'사업계획(원재료)'!$P72)</f>
        <v>13785000000</v>
      </c>
      <c r="S72" s="973">
        <f>SUMIFS('사업계획(매출 확정본)'!U$12:U$113,'사업계획(매출 확정본)'!$M$12:$M$113,'사업계획(원재료)'!$M72,'사업계획(매출 확정본)'!$Q$12:$Q$113,'사업계획(원재료)'!$P72)</f>
        <v>15440000000</v>
      </c>
      <c r="T72" s="973">
        <f>SUMIFS('사업계획(매출 확정본)'!V$12:V$113,'사업계획(매출 확정본)'!$M$12:$M$113,'사업계획(원재료)'!$M72,'사업계획(매출 확정본)'!$Q$12:$Q$113,'사업계획(원재료)'!$P72)</f>
        <v>17229500000</v>
      </c>
      <c r="U72" s="973">
        <f>SUMIFS('사업계획(매출 확정본)'!W$12:W$113,'사업계획(매출 확정본)'!$M$12:$M$113,'사업계획(원재료)'!$M72,'사업계획(매출 확정본)'!$Q$12:$Q$113,'사업계획(원재료)'!$P72)</f>
        <v>18088000000</v>
      </c>
      <c r="AE72" s="153" t="s">
        <v>2841</v>
      </c>
      <c r="AF72" s="969" t="s">
        <v>2812</v>
      </c>
      <c r="AG72" s="968" t="s">
        <v>2813</v>
      </c>
      <c r="AH72" s="153">
        <f>SUMIFS(Q$14:Q$148,$P$14:$P$148,$AG$72,$O$14:$O$148,$AF$71,$N$14:$N$148,$AE$63)</f>
        <v>0</v>
      </c>
      <c r="AI72" s="153">
        <f>SUMIFS(R$14:R$148,$P$14:$P$148,$AG$72,$O$14:$O$148,$AF$71,$N$14:$N$148,$AE$63)</f>
        <v>0</v>
      </c>
      <c r="AJ72" s="153">
        <f>SUMIFS(S$14:S$148,$P$14:$P$148,$AG$72,$O$14:$O$148,$AF$71,$N$14:$N$148,$AE$63)</f>
        <v>0</v>
      </c>
      <c r="AK72" s="153">
        <f>SUMIFS(T$14:T$148,$P$14:$P$148,$AG$72,$O$14:$O$148,$AF$71,$N$14:$N$148,$AE$63)</f>
        <v>0</v>
      </c>
      <c r="AL72" s="153">
        <f>SUMIFS(U$14:U$148,$P$14:$P$148,$AG$72,$O$14:$O$148,$AF$71,$N$14:$N$148,$AE$63)</f>
        <v>0</v>
      </c>
    </row>
    <row r="73" spans="2:52" x14ac:dyDescent="0.3">
      <c r="K73" s="968"/>
      <c r="L73" s="968"/>
      <c r="M73" s="968" t="s">
        <v>2062</v>
      </c>
      <c r="N73" s="981" t="s">
        <v>2124</v>
      </c>
      <c r="O73" s="969" t="s">
        <v>2817</v>
      </c>
      <c r="P73" s="968" t="s">
        <v>3075</v>
      </c>
      <c r="Q73" s="1050">
        <f>VLOOKUP(M70,'제품별 원재료비 '!$O$4:$S$48,5,FALSE)*Q70</f>
        <v>6486066925</v>
      </c>
      <c r="R73" s="973">
        <f>Q73*(1+$V$6)/Q70*R70</f>
        <v>7828183850.25</v>
      </c>
      <c r="S73" s="973">
        <f t="shared" ref="S73:U73" si="48">R73*(1+$V$6)/R70*S70</f>
        <v>8734165661.1856003</v>
      </c>
      <c r="T73" s="973">
        <f t="shared" si="48"/>
        <v>9706933361.7001457</v>
      </c>
      <c r="U73" s="973">
        <f t="shared" si="48"/>
        <v>10153452296.338352</v>
      </c>
      <c r="AE73" s="153" t="s">
        <v>2841</v>
      </c>
      <c r="AF73" s="969" t="s">
        <v>2812</v>
      </c>
      <c r="AG73" s="968" t="s">
        <v>2816</v>
      </c>
      <c r="AH73" s="974" t="e">
        <f>AH71/AH72</f>
        <v>#DIV/0!</v>
      </c>
      <c r="AI73" s="974" t="e">
        <f>AI71/AI72</f>
        <v>#DIV/0!</v>
      </c>
      <c r="AJ73" s="974" t="e">
        <f>AJ71/AJ72</f>
        <v>#DIV/0!</v>
      </c>
      <c r="AK73" s="974" t="e">
        <f>AK71/AK72</f>
        <v>#DIV/0!</v>
      </c>
      <c r="AL73" s="974" t="e">
        <f>AL71/AL72</f>
        <v>#DIV/0!</v>
      </c>
    </row>
    <row r="74" spans="2:52" x14ac:dyDescent="0.3">
      <c r="B74" s="153" t="s">
        <v>2063</v>
      </c>
      <c r="G74" s="153" t="s">
        <v>2063</v>
      </c>
      <c r="H74" s="153" t="s">
        <v>2037</v>
      </c>
      <c r="I74" s="153" t="s">
        <v>2802</v>
      </c>
      <c r="K74" s="968"/>
      <c r="L74" s="968" t="s">
        <v>2810</v>
      </c>
      <c r="M74" s="968" t="s">
        <v>2063</v>
      </c>
      <c r="N74" s="981" t="s">
        <v>2124</v>
      </c>
      <c r="O74" s="969" t="s">
        <v>2817</v>
      </c>
      <c r="P74" s="968" t="s">
        <v>2813</v>
      </c>
      <c r="Q74" s="972">
        <f>SUMIFS('사업계획(매출 확정본)'!S$12:S$113,'사업계획(매출 확정본)'!$M$12:$M$113,'사업계획(원재료)'!$M74,'사업계획(매출 확정본)'!$Q$12:$Q$113,'사업계획(원재료)'!$P74)</f>
        <v>50</v>
      </c>
      <c r="R74" s="972">
        <f>SUMIFS('사업계획(매출 확정본)'!T$12:T$113,'사업계획(매출 확정본)'!$M$12:$M$113,'사업계획(원재료)'!$M74,'사업계획(매출 확정본)'!$Q$12:$Q$113,'사업계획(원재료)'!$P74)</f>
        <v>60</v>
      </c>
      <c r="S74" s="972">
        <f>SUMIFS('사업계획(매출 확정본)'!U$12:U$113,'사업계획(매출 확정본)'!$M$12:$M$113,'사업계획(원재료)'!$M74,'사업계획(매출 확정본)'!$Q$12:$Q$113,'사업계획(원재료)'!$P74)</f>
        <v>70</v>
      </c>
      <c r="T74" s="972">
        <f>SUMIFS('사업계획(매출 확정본)'!V$12:V$113,'사업계획(매출 확정본)'!$M$12:$M$113,'사업계획(원재료)'!$M74,'사업계획(매출 확정본)'!$Q$12:$Q$113,'사업계획(원재료)'!$P74)</f>
        <v>70</v>
      </c>
      <c r="U74" s="972">
        <f>SUMIFS('사업계획(매출 확정본)'!W$12:W$113,'사업계획(매출 확정본)'!$M$12:$M$113,'사업계획(원재료)'!$M74,'사업계획(매출 확정본)'!$Q$12:$Q$113,'사업계획(원재료)'!$P74)</f>
        <v>75</v>
      </c>
      <c r="W74" s="1057">
        <f>Q77/Q76</f>
        <v>0.61063000000000001</v>
      </c>
      <c r="AE74" s="153" t="s">
        <v>2841</v>
      </c>
      <c r="AF74" s="969" t="s">
        <v>2812</v>
      </c>
      <c r="AG74" s="1051" t="s">
        <v>3075</v>
      </c>
      <c r="AH74" s="992">
        <f t="shared" ref="AH74:AL74" si="49">SUMIFS(Q$14:Q$149,$N$14:$N$149,$AE74,$O$14:$O$149,$AF74,$P$14:$P$149,$AG74)</f>
        <v>0</v>
      </c>
      <c r="AI74" s="992">
        <f t="shared" si="49"/>
        <v>0</v>
      </c>
      <c r="AJ74" s="992">
        <f t="shared" si="49"/>
        <v>0</v>
      </c>
      <c r="AK74" s="992">
        <f t="shared" si="49"/>
        <v>0</v>
      </c>
      <c r="AL74" s="992">
        <f t="shared" si="49"/>
        <v>0</v>
      </c>
      <c r="AY74" s="153" t="s">
        <v>2843</v>
      </c>
      <c r="AZ74" s="153" t="s">
        <v>2819</v>
      </c>
    </row>
    <row r="75" spans="2:52" x14ac:dyDescent="0.3">
      <c r="H75" s="153" t="s">
        <v>2037</v>
      </c>
      <c r="I75" s="153" t="s">
        <v>2802</v>
      </c>
      <c r="K75" s="968"/>
      <c r="L75" s="968"/>
      <c r="M75" s="968" t="s">
        <v>2063</v>
      </c>
      <c r="N75" s="981" t="s">
        <v>2124</v>
      </c>
      <c r="O75" s="969" t="s">
        <v>2817</v>
      </c>
      <c r="P75" s="968" t="s">
        <v>2816</v>
      </c>
      <c r="Q75" s="973">
        <v>158000000</v>
      </c>
      <c r="R75" s="973">
        <f>ROUND(Q75*1.05,-5)</f>
        <v>165900000</v>
      </c>
      <c r="S75" s="973">
        <f t="shared" ref="S75:U75" si="50">ROUND(R75*1.05,-5)</f>
        <v>174200000</v>
      </c>
      <c r="T75" s="973">
        <f t="shared" si="50"/>
        <v>182900000</v>
      </c>
      <c r="U75" s="973">
        <f t="shared" si="50"/>
        <v>192000000</v>
      </c>
      <c r="V75" s="1553">
        <f>S75/R75-1</f>
        <v>5.0030138637733534E-2</v>
      </c>
      <c r="AE75" s="153" t="s">
        <v>2841</v>
      </c>
      <c r="AF75" s="969" t="s">
        <v>2828</v>
      </c>
      <c r="AG75" s="968" t="s">
        <v>2818</v>
      </c>
      <c r="AH75" s="819">
        <f>SUMIFS(Q$14:Q$148,$P$14:$P$148,$AG$75,$O$14:$O$148,$AF$75,$N$14:$N$148,$AE$63)</f>
        <v>0</v>
      </c>
      <c r="AI75" s="819">
        <f>SUMIFS(R$14:R$148,$P$14:$P$148,$AG$75,$O$14:$O$148,$AF$75,$N$14:$N$148,$AE$63)</f>
        <v>0</v>
      </c>
      <c r="AJ75" s="819">
        <f>SUMIFS(S$14:S$148,$P$14:$P$148,$AG$75,$O$14:$O$148,$AF$75,$N$14:$N$148,$AE$63)</f>
        <v>0</v>
      </c>
      <c r="AK75" s="819">
        <f>SUMIFS(T$14:T$148,$P$14:$P$148,$AG$75,$O$14:$O$148,$AF$75,$N$14:$N$148,$AE$63)</f>
        <v>0</v>
      </c>
      <c r="AL75" s="819">
        <f>SUMIFS(U$14:U$148,$P$14:$P$148,$AG$75,$O$14:$O$148,$AF$75,$N$14:$N$148,$AE$63)</f>
        <v>0</v>
      </c>
      <c r="AY75" s="153" t="s">
        <v>2823</v>
      </c>
      <c r="AZ75" s="153" t="s">
        <v>2824</v>
      </c>
    </row>
    <row r="76" spans="2:52" x14ac:dyDescent="0.3">
      <c r="K76" s="968"/>
      <c r="L76" s="968"/>
      <c r="M76" s="968" t="s">
        <v>2063</v>
      </c>
      <c r="N76" s="981" t="s">
        <v>2124</v>
      </c>
      <c r="O76" s="969" t="s">
        <v>2817</v>
      </c>
      <c r="P76" s="968" t="s">
        <v>2818</v>
      </c>
      <c r="Q76" s="973">
        <f>SUMIFS('사업계획(매출 확정본)'!S$12:S$113,'사업계획(매출 확정본)'!$M$12:$M$113,'사업계획(원재료)'!$M76,'사업계획(매출 확정본)'!$Q$12:$Q$113,'사업계획(원재료)'!$P76)</f>
        <v>7900000000</v>
      </c>
      <c r="R76" s="973">
        <f>SUMIFS('사업계획(매출 확정본)'!T$12:T$113,'사업계획(매출 확정본)'!$M$12:$M$113,'사업계획(원재료)'!$M76,'사업계획(매출 확정본)'!$Q$12:$Q$113,'사업계획(원재료)'!$P76)</f>
        <v>9954000000</v>
      </c>
      <c r="S76" s="973">
        <f>SUMIFS('사업계획(매출 확정본)'!U$12:U$113,'사업계획(매출 확정본)'!$M$12:$M$113,'사업계획(원재료)'!$M76,'사업계획(매출 확정본)'!$Q$12:$Q$113,'사업계획(원재료)'!$P76)</f>
        <v>12194000000</v>
      </c>
      <c r="T76" s="973">
        <f>SUMIFS('사업계획(매출 확정본)'!V$12:V$113,'사업계획(매출 확정본)'!$M$12:$M$113,'사업계획(원재료)'!$M76,'사업계획(매출 확정본)'!$Q$12:$Q$113,'사업계획(원재료)'!$P76)</f>
        <v>12803000000</v>
      </c>
      <c r="U76" s="973">
        <f>SUMIFS('사업계획(매출 확정본)'!W$12:W$113,'사업계획(매출 확정본)'!$M$12:$M$113,'사업계획(원재료)'!$M76,'사업계획(매출 확정본)'!$Q$12:$Q$113,'사업계획(원재료)'!$P76)</f>
        <v>14400000000</v>
      </c>
      <c r="AE76" s="153" t="s">
        <v>2841</v>
      </c>
      <c r="AF76" s="969" t="s">
        <v>2828</v>
      </c>
      <c r="AG76" s="968" t="s">
        <v>2813</v>
      </c>
      <c r="AH76" s="153">
        <f>SUMIFS(Q$14:Q$148,$P$14:$P$148,$AG$76,$O$14:$O$148,$AF$75,$N$14:$N$148,$AE$63)</f>
        <v>0</v>
      </c>
      <c r="AI76" s="153">
        <f>SUMIFS(R$14:R$148,$P$14:$P$148,$AG$76,$O$14:$O$148,$AF$75,$N$14:$N$148,$AE$63)</f>
        <v>0</v>
      </c>
      <c r="AJ76" s="153">
        <f>SUMIFS(S$14:S$148,$P$14:$P$148,$AG$76,$O$14:$O$148,$AF$75,$N$14:$N$148,$AE$63)</f>
        <v>0</v>
      </c>
      <c r="AK76" s="153">
        <f>SUMIFS(T$14:T$148,$P$14:$P$148,$AG$76,$O$14:$O$148,$AF$75,$N$14:$N$148,$AE$63)</f>
        <v>0</v>
      </c>
      <c r="AL76" s="153">
        <f>SUMIFS(U$14:U$148,$P$14:$P$148,$AG$76,$O$14:$O$148,$AF$75,$N$14:$N$148,$AE$63)</f>
        <v>0</v>
      </c>
    </row>
    <row r="77" spans="2:52" x14ac:dyDescent="0.3">
      <c r="K77" s="968"/>
      <c r="L77" s="968"/>
      <c r="M77" s="968" t="s">
        <v>2063</v>
      </c>
      <c r="N77" s="981" t="s">
        <v>2124</v>
      </c>
      <c r="O77" s="1056" t="s">
        <v>2817</v>
      </c>
      <c r="P77" s="1055" t="s">
        <v>3075</v>
      </c>
      <c r="Q77" s="1050">
        <f>VLOOKUP(M74,'제품별 원재료비 '!$O$4:$S$48,5,FALSE)*Q74</f>
        <v>4823977000</v>
      </c>
      <c r="R77" s="973">
        <f>Q77*(1+$V$6)/Q74*R74</f>
        <v>6055055930.4000006</v>
      </c>
      <c r="S77" s="973">
        <f t="shared" ref="S77:U77" si="51">R77*(1+$V$6)/R74*S74</f>
        <v>7389186587.0648012</v>
      </c>
      <c r="T77" s="973">
        <f t="shared" si="51"/>
        <v>7729089170.0697823</v>
      </c>
      <c r="U77" s="973">
        <f t="shared" si="51"/>
        <v>8662100648.4567776</v>
      </c>
      <c r="AE77" s="153" t="s">
        <v>2841</v>
      </c>
      <c r="AF77" s="969" t="s">
        <v>2828</v>
      </c>
      <c r="AG77" s="968" t="s">
        <v>2816</v>
      </c>
      <c r="AH77" s="974" t="e">
        <f>AH75/AH76</f>
        <v>#DIV/0!</v>
      </c>
      <c r="AI77" s="974" t="e">
        <f>AI75/AI76</f>
        <v>#DIV/0!</v>
      </c>
      <c r="AJ77" s="974" t="e">
        <f>AJ75/AJ76</f>
        <v>#DIV/0!</v>
      </c>
      <c r="AK77" s="974" t="e">
        <f>AK75/AK76</f>
        <v>#DIV/0!</v>
      </c>
      <c r="AL77" s="974" t="e">
        <f>AL75/AL76</f>
        <v>#DIV/0!</v>
      </c>
    </row>
    <row r="78" spans="2:52" x14ac:dyDescent="0.3">
      <c r="B78" s="153" t="s">
        <v>2844</v>
      </c>
      <c r="G78" s="153" t="s">
        <v>2844</v>
      </c>
      <c r="H78" s="153" t="s">
        <v>2037</v>
      </c>
      <c r="I78" s="153" t="s">
        <v>2802</v>
      </c>
      <c r="K78" s="968"/>
      <c r="L78" s="968" t="s">
        <v>2810</v>
      </c>
      <c r="M78" s="968" t="s">
        <v>3553</v>
      </c>
      <c r="N78" s="968" t="s">
        <v>2814</v>
      </c>
      <c r="O78" s="969" t="s">
        <v>2809</v>
      </c>
      <c r="P78" s="968" t="s">
        <v>2813</v>
      </c>
      <c r="Q78" s="972">
        <f>SUMIFS('사업계획(매출 확정본)'!S$12:S$113,'사업계획(매출 확정본)'!$M$12:$M$113,'사업계획(원재료)'!$M78,'사업계획(매출 확정본)'!$Q$12:$Q$113,'사업계획(원재료)'!$P78)</f>
        <v>260</v>
      </c>
      <c r="R78" s="972">
        <f>SUMIFS('사업계획(매출 확정본)'!T$12:T$113,'사업계획(매출 확정본)'!$M$12:$M$113,'사업계획(원재료)'!$M78,'사업계획(매출 확정본)'!$Q$12:$Q$113,'사업계획(원재료)'!$P78)</f>
        <v>275</v>
      </c>
      <c r="S78" s="972">
        <f>SUMIFS('사업계획(매출 확정본)'!U$12:U$113,'사업계획(매출 확정본)'!$M$12:$M$113,'사업계획(원재료)'!$M78,'사업계획(매출 확정본)'!$Q$12:$Q$113,'사업계획(원재료)'!$P78)</f>
        <v>280</v>
      </c>
      <c r="T78" s="972">
        <f>SUMIFS('사업계획(매출 확정본)'!V$12:V$113,'사업계획(매출 확정본)'!$M$12:$M$113,'사업계획(원재료)'!$M78,'사업계획(매출 확정본)'!$Q$12:$Q$113,'사업계획(원재료)'!$P78)</f>
        <v>285</v>
      </c>
      <c r="U78" s="972">
        <f>SUMIFS('사업계획(매출 확정본)'!W$12:W$113,'사업계획(매출 확정본)'!$M$12:$M$113,'사업계획(원재료)'!$M78,'사업계획(매출 확정본)'!$Q$12:$Q$113,'사업계획(원재료)'!$P78)</f>
        <v>290</v>
      </c>
      <c r="W78" s="972">
        <v>270</v>
      </c>
      <c r="X78" s="972">
        <v>290</v>
      </c>
      <c r="Y78" s="972">
        <v>300</v>
      </c>
      <c r="Z78" s="972">
        <v>310</v>
      </c>
      <c r="AA78" s="972">
        <v>320</v>
      </c>
      <c r="AB78" s="1048"/>
      <c r="AC78" s="1048"/>
      <c r="AE78" s="153" t="s">
        <v>2841</v>
      </c>
      <c r="AF78" s="969" t="s">
        <v>2828</v>
      </c>
      <c r="AG78" s="1051" t="s">
        <v>3075</v>
      </c>
      <c r="AH78" s="992">
        <f t="shared" ref="AH78:AL78" si="52">SUMIFS(Q$14:Q$149,$N$14:$N$149,$AE78,$O$14:$O$149,$AF78,$P$14:$P$149,$AG78)</f>
        <v>0</v>
      </c>
      <c r="AI78" s="992">
        <f t="shared" si="52"/>
        <v>0</v>
      </c>
      <c r="AJ78" s="992">
        <f t="shared" si="52"/>
        <v>0</v>
      </c>
      <c r="AK78" s="992">
        <f t="shared" si="52"/>
        <v>0</v>
      </c>
      <c r="AL78" s="992">
        <f t="shared" si="52"/>
        <v>0</v>
      </c>
      <c r="AY78" s="153" t="s">
        <v>2826</v>
      </c>
      <c r="AZ78" s="153" t="s">
        <v>2827</v>
      </c>
    </row>
    <row r="79" spans="2:52" x14ac:dyDescent="0.3">
      <c r="H79" s="153" t="s">
        <v>2037</v>
      </c>
      <c r="I79" s="153" t="s">
        <v>2802</v>
      </c>
      <c r="K79" s="968"/>
      <c r="L79" s="968"/>
      <c r="M79" s="968" t="s">
        <v>3553</v>
      </c>
      <c r="N79" s="968" t="s">
        <v>2814</v>
      </c>
      <c r="O79" s="969" t="s">
        <v>2809</v>
      </c>
      <c r="P79" s="968" t="s">
        <v>2816</v>
      </c>
      <c r="Q79" s="973">
        <v>41500000</v>
      </c>
      <c r="R79" s="973">
        <f>ROUND(Q79*1.05,-5)</f>
        <v>43600000</v>
      </c>
      <c r="S79" s="973">
        <f t="shared" ref="S79:U79" si="53">ROUND(R79*1.05,-5)</f>
        <v>45800000</v>
      </c>
      <c r="T79" s="973">
        <f t="shared" si="53"/>
        <v>48100000</v>
      </c>
      <c r="U79" s="973">
        <f t="shared" si="53"/>
        <v>50500000</v>
      </c>
      <c r="V79" s="1553">
        <f>S79/R79-1</f>
        <v>5.0458715596330306E-2</v>
      </c>
      <c r="AE79" s="153" t="s">
        <v>2841</v>
      </c>
      <c r="AF79" s="969" t="s">
        <v>2829</v>
      </c>
      <c r="AG79" s="968" t="s">
        <v>2818</v>
      </c>
      <c r="AH79" s="153">
        <f>SUMIFS(Q$14:Q$148,$P$14:$P$148,$AG$79,$O$14:$O$148,$AF$79,$N$14:$N$148,$AE$63)</f>
        <v>0</v>
      </c>
      <c r="AI79" s="153">
        <f>SUMIFS(R$14:R$148,$P$14:$P$148,$AG$79,$O$14:$O$148,$AF$79,$N$14:$N$148,$AE$63)</f>
        <v>0</v>
      </c>
      <c r="AJ79" s="153">
        <f>SUMIFS(S$14:S$148,$P$14:$P$148,$AG$79,$O$14:$O$148,$AF$79,$N$14:$N$148,$AE$63)</f>
        <v>0</v>
      </c>
      <c r="AK79" s="153">
        <f>SUMIFS(T$14:T$148,$P$14:$P$148,$AG$79,$O$14:$O$148,$AF$79,$N$14:$N$148,$AE$63)</f>
        <v>0</v>
      </c>
      <c r="AL79" s="153">
        <f>SUMIFS(U$14:U$148,$P$14:$P$148,$AG$79,$O$14:$O$148,$AF$79,$N$14:$N$148,$AE$63)</f>
        <v>0</v>
      </c>
      <c r="AY79" s="153" t="s">
        <v>2031</v>
      </c>
      <c r="AZ79" s="153" t="s">
        <v>2819</v>
      </c>
    </row>
    <row r="80" spans="2:52" x14ac:dyDescent="0.3">
      <c r="K80" s="968"/>
      <c r="L80" s="968"/>
      <c r="M80" s="968" t="s">
        <v>3553</v>
      </c>
      <c r="N80" s="968" t="s">
        <v>2814</v>
      </c>
      <c r="O80" s="969" t="s">
        <v>2809</v>
      </c>
      <c r="P80" s="968" t="s">
        <v>2818</v>
      </c>
      <c r="Q80" s="973">
        <f>SUMIFS('사업계획(매출 확정본)'!S$12:S$113,'사업계획(매출 확정본)'!$M$12:$M$113,'사업계획(원재료)'!$M80,'사업계획(매출 확정본)'!$Q$12:$Q$113,'사업계획(원재료)'!$P80)</f>
        <v>10790000000</v>
      </c>
      <c r="R80" s="973">
        <f>SUMIFS('사업계획(매출 확정본)'!T$12:T$113,'사업계획(매출 확정본)'!$M$12:$M$113,'사업계획(원재료)'!$M80,'사업계획(매출 확정본)'!$Q$12:$Q$113,'사업계획(원재료)'!$P80)</f>
        <v>11990000000</v>
      </c>
      <c r="S80" s="973">
        <f>SUMIFS('사업계획(매출 확정본)'!U$12:U$113,'사업계획(매출 확정본)'!$M$12:$M$113,'사업계획(원재료)'!$M80,'사업계획(매출 확정본)'!$Q$12:$Q$113,'사업계획(원재료)'!$P80)</f>
        <v>12824000000</v>
      </c>
      <c r="T80" s="973">
        <f>SUMIFS('사업계획(매출 확정본)'!V$12:V$113,'사업계획(매출 확정본)'!$M$12:$M$113,'사업계획(원재료)'!$M80,'사업계획(매출 확정본)'!$Q$12:$Q$113,'사업계획(원재료)'!$P80)</f>
        <v>13708500000</v>
      </c>
      <c r="U80" s="973">
        <f>SUMIFS('사업계획(매출 확정본)'!W$12:W$113,'사업계획(매출 확정본)'!$M$12:$M$113,'사업계획(원재료)'!$M80,'사업계획(매출 확정본)'!$Q$12:$Q$113,'사업계획(원재료)'!$P80)</f>
        <v>14645000000</v>
      </c>
      <c r="AE80" s="153" t="s">
        <v>2841</v>
      </c>
      <c r="AF80" s="969" t="s">
        <v>2829</v>
      </c>
      <c r="AG80" s="968" t="s">
        <v>2813</v>
      </c>
      <c r="AH80" s="153">
        <f>SUMIFS(Q$14:Q$148,$P$14:$P$148,$AG$80,$O$14:$O$148,$AF$79,$N$14:$N$148,$AE$63)</f>
        <v>0</v>
      </c>
      <c r="AI80" s="153">
        <f>SUMIFS(R$14:R$148,$P$14:$P$148,$AG$80,$O$14:$O$148,$AF$79,$N$14:$N$148,$AE$63)</f>
        <v>0</v>
      </c>
      <c r="AJ80" s="153">
        <f>SUMIFS(S$14:S$148,$P$14:$P$148,$AG$80,$O$14:$O$148,$AF$79,$N$14:$N$148,$AE$63)</f>
        <v>0</v>
      </c>
      <c r="AK80" s="153">
        <f>SUMIFS(T$14:T$148,$P$14:$P$148,$AG$80,$O$14:$O$148,$AF$79,$N$14:$N$148,$AE$63)</f>
        <v>0</v>
      </c>
      <c r="AL80" s="153">
        <f>SUMIFS(U$14:U$148,$P$14:$P$148,$AG$80,$O$14:$O$148,$AF$79,$N$14:$N$148,$AE$63)</f>
        <v>0</v>
      </c>
    </row>
    <row r="81" spans="7:52" x14ac:dyDescent="0.3">
      <c r="K81" s="968"/>
      <c r="L81" s="968"/>
      <c r="M81" s="968" t="s">
        <v>2844</v>
      </c>
      <c r="N81" s="1055" t="s">
        <v>2814</v>
      </c>
      <c r="O81" s="1056" t="s">
        <v>2809</v>
      </c>
      <c r="P81" s="1055" t="s">
        <v>3075</v>
      </c>
      <c r="Q81" s="1054">
        <f>Q79*X7*Q78</f>
        <v>6636024565.4882154</v>
      </c>
      <c r="R81" s="973">
        <f>Q81*(1+$V$6)/Q78*R78</f>
        <v>7341740254.8564816</v>
      </c>
      <c r="S81" s="973">
        <f t="shared" ref="S81:U81" si="54">R81*(1+$V$6)/R78*S78</f>
        <v>7819086857.6086054</v>
      </c>
      <c r="T81" s="973">
        <f t="shared" si="54"/>
        <v>8324814225.4346485</v>
      </c>
      <c r="U81" s="973">
        <f t="shared" si="54"/>
        <v>8860523323.309988</v>
      </c>
      <c r="W81" s="967" t="s">
        <v>3219</v>
      </c>
      <c r="AE81" s="153" t="s">
        <v>2841</v>
      </c>
      <c r="AF81" s="969" t="s">
        <v>2829</v>
      </c>
      <c r="AG81" s="968" t="s">
        <v>2816</v>
      </c>
      <c r="AH81" s="974" t="e">
        <f>AH79/AH80</f>
        <v>#DIV/0!</v>
      </c>
      <c r="AI81" s="974" t="e">
        <f>AI79/AI80</f>
        <v>#DIV/0!</v>
      </c>
      <c r="AJ81" s="974" t="e">
        <f>AJ79/AJ80</f>
        <v>#DIV/0!</v>
      </c>
      <c r="AK81" s="974" t="e">
        <f>AK79/AK80</f>
        <v>#DIV/0!</v>
      </c>
      <c r="AL81" s="974" t="e">
        <f>AL79/AL80</f>
        <v>#DIV/0!</v>
      </c>
    </row>
    <row r="82" spans="7:52" x14ac:dyDescent="0.3">
      <c r="G82" s="153" t="s">
        <v>2067</v>
      </c>
      <c r="H82" s="153" t="s">
        <v>2037</v>
      </c>
      <c r="I82" s="153" t="s">
        <v>2802</v>
      </c>
      <c r="K82" s="968"/>
      <c r="L82" s="968" t="s">
        <v>2845</v>
      </c>
      <c r="M82" s="968" t="s">
        <v>2031</v>
      </c>
      <c r="N82" s="968" t="s">
        <v>2811</v>
      </c>
      <c r="O82" s="982" t="s">
        <v>2809</v>
      </c>
      <c r="P82" s="968" t="s">
        <v>2813</v>
      </c>
      <c r="Q82" s="972">
        <f>SUMIFS('사업계획(매출 확정본)'!S$12:S$113,'사업계획(매출 확정본)'!$M$12:$M$113,'사업계획(원재료)'!$M82,'사업계획(매출 확정본)'!$Q$12:$Q$113,'사업계획(원재료)'!$P82)</f>
        <v>2</v>
      </c>
      <c r="R82" s="972">
        <f>SUMIFS('사업계획(매출 확정본)'!T$12:T$113,'사업계획(매출 확정본)'!$M$12:$M$113,'사업계획(원재료)'!$M82,'사업계획(매출 확정본)'!$Q$12:$Q$113,'사업계획(원재료)'!$P82)</f>
        <v>5</v>
      </c>
      <c r="S82" s="972">
        <f>SUMIFS('사업계획(매출 확정본)'!U$12:U$113,'사업계획(매출 확정본)'!$M$12:$M$113,'사업계획(원재료)'!$M82,'사업계획(매출 확정본)'!$Q$12:$Q$113,'사업계획(원재료)'!$P82)</f>
        <v>10</v>
      </c>
      <c r="T82" s="972">
        <f>SUMIFS('사업계획(매출 확정본)'!V$12:V$113,'사업계획(매출 확정본)'!$M$12:$M$113,'사업계획(원재료)'!$M82,'사업계획(매출 확정본)'!$Q$12:$Q$113,'사업계획(원재료)'!$P82)</f>
        <v>13</v>
      </c>
      <c r="U82" s="972">
        <f>SUMIFS('사업계획(매출 확정본)'!W$12:W$113,'사업계획(매출 확정본)'!$M$12:$M$113,'사업계획(원재료)'!$M82,'사업계획(매출 확정본)'!$Q$12:$Q$113,'사업계획(원재료)'!$P82)</f>
        <v>15</v>
      </c>
      <c r="AE82" s="153" t="s">
        <v>2841</v>
      </c>
      <c r="AF82" s="969" t="s">
        <v>2829</v>
      </c>
      <c r="AG82" s="1051" t="s">
        <v>3075</v>
      </c>
      <c r="AH82" s="992">
        <f t="shared" ref="AH82:AL82" si="55">SUMIFS(Q$14:Q$149,$N$14:$N$149,$AE82,$O$14:$O$149,$AF82,$P$14:$P$149,$AG82)</f>
        <v>0</v>
      </c>
      <c r="AI82" s="992">
        <f t="shared" si="55"/>
        <v>0</v>
      </c>
      <c r="AJ82" s="992">
        <f t="shared" si="55"/>
        <v>0</v>
      </c>
      <c r="AK82" s="992">
        <f t="shared" si="55"/>
        <v>0</v>
      </c>
      <c r="AL82" s="992">
        <f t="shared" si="55"/>
        <v>0</v>
      </c>
      <c r="AY82" s="153" t="s">
        <v>2051</v>
      </c>
      <c r="AZ82" s="153" t="s">
        <v>2809</v>
      </c>
    </row>
    <row r="83" spans="7:52" x14ac:dyDescent="0.3">
      <c r="H83" s="153" t="s">
        <v>2037</v>
      </c>
      <c r="I83" s="153" t="s">
        <v>2802</v>
      </c>
      <c r="K83" s="968"/>
      <c r="L83" s="968"/>
      <c r="M83" s="968" t="s">
        <v>2031</v>
      </c>
      <c r="N83" s="968" t="s">
        <v>2811</v>
      </c>
      <c r="O83" s="982" t="s">
        <v>2809</v>
      </c>
      <c r="P83" s="968" t="s">
        <v>2816</v>
      </c>
      <c r="Q83" s="973">
        <v>135000000</v>
      </c>
      <c r="R83" s="973">
        <f>ROUND(Q83*1.05,-5)</f>
        <v>141800000</v>
      </c>
      <c r="S83" s="973">
        <f t="shared" ref="S83:U83" si="56">ROUND(R83*1.05,-5)</f>
        <v>148900000</v>
      </c>
      <c r="T83" s="973">
        <f t="shared" si="56"/>
        <v>156300000</v>
      </c>
      <c r="U83" s="973">
        <f t="shared" si="56"/>
        <v>164100000</v>
      </c>
      <c r="V83" s="1553">
        <f>S83/R83-1</f>
        <v>5.0070521861777184E-2</v>
      </c>
      <c r="AE83" s="153" t="s">
        <v>2841</v>
      </c>
      <c r="AF83" s="969" t="s">
        <v>2832</v>
      </c>
      <c r="AG83" s="968" t="s">
        <v>2818</v>
      </c>
      <c r="AH83" s="153">
        <f>SUMIFS(Q$14:Q$148,$P$14:$P$148,$AG$83,$O$14:$O$148,$AF$83,$N$14:$N$148,$AE$63)</f>
        <v>0</v>
      </c>
      <c r="AI83" s="153">
        <f>SUMIFS(R$14:R$148,$P$14:$P$148,$AG$83,$O$14:$O$148,$AF$83,$N$14:$N$148,$AE$63)</f>
        <v>0</v>
      </c>
      <c r="AJ83" s="153">
        <f>SUMIFS(S$14:S$148,$P$14:$P$148,$AG$83,$O$14:$O$148,$AF$83,$N$14:$N$148,$AE$63)</f>
        <v>0</v>
      </c>
      <c r="AK83" s="153">
        <f>SUMIFS(T$14:T$148,$P$14:$P$148,$AG$83,$O$14:$O$148,$AF$83,$N$14:$N$148,$AE$63)</f>
        <v>0</v>
      </c>
      <c r="AL83" s="153">
        <f>SUMIFS(U$14:U$148,$P$14:$P$148,$AG$83,$O$14:$O$148,$AF$83,$N$14:$N$148,$AE$63)</f>
        <v>0</v>
      </c>
      <c r="AY83" s="153" t="s">
        <v>2846</v>
      </c>
      <c r="AZ83" s="153" t="s">
        <v>2815</v>
      </c>
    </row>
    <row r="84" spans="7:52" x14ac:dyDescent="0.3">
      <c r="K84" s="968"/>
      <c r="L84" s="968"/>
      <c r="M84" s="968" t="s">
        <v>2031</v>
      </c>
      <c r="N84" s="968" t="s">
        <v>2811</v>
      </c>
      <c r="O84" s="982" t="s">
        <v>3583</v>
      </c>
      <c r="P84" s="968" t="s">
        <v>2818</v>
      </c>
      <c r="Q84" s="973">
        <f>SUMIFS('사업계획(매출 확정본)'!S$12:S$113,'사업계획(매출 확정본)'!$M$12:$M$113,'사업계획(원재료)'!$M84,'사업계획(매출 확정본)'!$Q$12:$Q$113,'사업계획(원재료)'!$P84)</f>
        <v>270000000</v>
      </c>
      <c r="R84" s="973">
        <f>SUMIFS('사업계획(매출 확정본)'!T$12:T$113,'사업계획(매출 확정본)'!$M$12:$M$113,'사업계획(원재료)'!$M84,'사업계획(매출 확정본)'!$Q$12:$Q$113,'사업계획(원재료)'!$P84)</f>
        <v>709000000</v>
      </c>
      <c r="S84" s="973">
        <f>SUMIFS('사업계획(매출 확정본)'!U$12:U$113,'사업계획(매출 확정본)'!$M$12:$M$113,'사업계획(원재료)'!$M84,'사업계획(매출 확정본)'!$Q$12:$Q$113,'사업계획(원재료)'!$P84)</f>
        <v>1489000000</v>
      </c>
      <c r="T84" s="973">
        <f>SUMIFS('사업계획(매출 확정본)'!V$12:V$113,'사업계획(매출 확정본)'!$M$12:$M$113,'사업계획(원재료)'!$M84,'사업계획(매출 확정본)'!$Q$12:$Q$113,'사업계획(원재료)'!$P84)</f>
        <v>2031900000</v>
      </c>
      <c r="U84" s="973">
        <f>SUMIFS('사업계획(매출 확정본)'!W$12:W$113,'사업계획(매출 확정본)'!$M$12:$M$113,'사업계획(원재료)'!$M84,'사업계획(매출 확정본)'!$Q$12:$Q$113,'사업계획(원재료)'!$P84)</f>
        <v>2461500000</v>
      </c>
      <c r="AE84" s="153" t="s">
        <v>2841</v>
      </c>
      <c r="AF84" s="969" t="s">
        <v>2832</v>
      </c>
      <c r="AG84" s="968" t="s">
        <v>2813</v>
      </c>
      <c r="AH84" s="153">
        <f>SUMIFS(Q$14:Q$148,$P$14:$P$148,$AG$84,$O$14:$O$148,$AF$83,$N$14:$N$148,$AE$63)</f>
        <v>0</v>
      </c>
      <c r="AI84" s="153">
        <f>SUMIFS(R$14:R$148,$P$14:$P$148,$AG$84,$O$14:$O$148,$AF$83,$N$14:$N$148,$AE$63)</f>
        <v>0</v>
      </c>
      <c r="AJ84" s="153">
        <f>SUMIFS(S$14:S$148,$P$14:$P$148,$AG$84,$O$14:$O$148,$AF$83,$N$14:$N$148,$AE$63)</f>
        <v>0</v>
      </c>
      <c r="AK84" s="153">
        <f>SUMIFS(T$14:T$148,$P$14:$P$148,$AG$84,$O$14:$O$148,$AF$83,$N$14:$N$148,$AE$63)</f>
        <v>0</v>
      </c>
      <c r="AL84" s="153">
        <f>SUMIFS(U$14:U$148,$P$14:$P$148,$AG$84,$O$14:$O$148,$AF$83,$N$14:$N$148,$AE$63)</f>
        <v>0</v>
      </c>
    </row>
    <row r="85" spans="7:52" x14ac:dyDescent="0.3">
      <c r="K85" s="968"/>
      <c r="L85" s="968"/>
      <c r="M85" s="968" t="s">
        <v>2031</v>
      </c>
      <c r="N85" s="968" t="s">
        <v>2811</v>
      </c>
      <c r="O85" s="982" t="s">
        <v>3583</v>
      </c>
      <c r="P85" s="968" t="s">
        <v>3075</v>
      </c>
      <c r="Q85" s="1050">
        <f>VLOOKUP(M82,'제품별 원재료비 '!$O$4:$S$48,5,FALSE)*Q82</f>
        <v>226200000</v>
      </c>
      <c r="R85" s="973">
        <f>Q85*(1+$V$6)/Q82*R82</f>
        <v>591513000</v>
      </c>
      <c r="S85" s="973">
        <f t="shared" ref="S85:U85" si="57">R85*(1+$V$6)/R82*S82</f>
        <v>1237445196</v>
      </c>
      <c r="T85" s="973">
        <f t="shared" si="57"/>
        <v>1682677977.5207999</v>
      </c>
      <c r="U85" s="973">
        <f t="shared" si="57"/>
        <v>2030862882.1001039</v>
      </c>
      <c r="W85" s="1458">
        <f>Q85/Q84</f>
        <v>0.83777777777777773</v>
      </c>
      <c r="AE85" s="153" t="s">
        <v>2841</v>
      </c>
      <c r="AF85" s="969" t="s">
        <v>2832</v>
      </c>
      <c r="AG85" s="968" t="s">
        <v>2816</v>
      </c>
      <c r="AH85" s="974" t="e">
        <f>AH83/AH84</f>
        <v>#DIV/0!</v>
      </c>
      <c r="AI85" s="974" t="e">
        <f>AI83/AI84</f>
        <v>#DIV/0!</v>
      </c>
      <c r="AJ85" s="974" t="e">
        <f>AJ83/AJ84</f>
        <v>#DIV/0!</v>
      </c>
      <c r="AK85" s="974" t="e">
        <f>AK83/AK84</f>
        <v>#DIV/0!</v>
      </c>
      <c r="AL85" s="974" t="e">
        <f>AL83/AL84</f>
        <v>#DIV/0!</v>
      </c>
    </row>
    <row r="86" spans="7:52" x14ac:dyDescent="0.3">
      <c r="G86" s="153" t="s">
        <v>2031</v>
      </c>
      <c r="H86" s="153" t="s">
        <v>2040</v>
      </c>
      <c r="I86" s="153" t="s">
        <v>2802</v>
      </c>
      <c r="K86" s="968"/>
      <c r="L86" s="968" t="s">
        <v>2810</v>
      </c>
      <c r="M86" s="1051" t="s">
        <v>2068</v>
      </c>
      <c r="N86" s="968" t="s">
        <v>2811</v>
      </c>
      <c r="O86" s="969" t="s">
        <v>2822</v>
      </c>
      <c r="P86" s="968" t="s">
        <v>2813</v>
      </c>
      <c r="Q86" s="972">
        <f>SUMIFS('사업계획(매출 확정본)'!S$12:S$113,'사업계획(매출 확정본)'!$M$12:$M$113,'사업계획(원재료)'!$M86,'사업계획(매출 확정본)'!$Q$12:$Q$113,'사업계획(원재료)'!$P86)</f>
        <v>20</v>
      </c>
      <c r="R86" s="972">
        <f>SUMIFS('사업계획(매출 확정본)'!T$12:T$113,'사업계획(매출 확정본)'!$M$12:$M$113,'사업계획(원재료)'!$M86,'사업계획(매출 확정본)'!$Q$12:$Q$113,'사업계획(원재료)'!$P86)</f>
        <v>25</v>
      </c>
      <c r="S86" s="972">
        <f>SUMIFS('사업계획(매출 확정본)'!U$12:U$113,'사업계획(매출 확정본)'!$M$12:$M$113,'사업계획(원재료)'!$M86,'사업계획(매출 확정본)'!$Q$12:$Q$113,'사업계획(원재료)'!$P86)</f>
        <v>35</v>
      </c>
      <c r="T86" s="972">
        <f>SUMIFS('사업계획(매출 확정본)'!V$12:V$113,'사업계획(매출 확정본)'!$M$12:$M$113,'사업계획(원재료)'!$M86,'사업계획(매출 확정본)'!$Q$12:$Q$113,'사업계획(원재료)'!$P86)</f>
        <v>25</v>
      </c>
      <c r="U86" s="972">
        <f>SUMIFS('사업계획(매출 확정본)'!W$12:W$113,'사업계획(매출 확정본)'!$M$12:$M$113,'사업계획(원재료)'!$M86,'사업계획(매출 확정본)'!$Q$12:$Q$113,'사업계획(원재료)'!$P86)</f>
        <v>25</v>
      </c>
      <c r="W86" s="1459"/>
      <c r="AE86" s="153" t="s">
        <v>2841</v>
      </c>
      <c r="AF86" s="969" t="s">
        <v>2832</v>
      </c>
      <c r="AG86" s="1051" t="s">
        <v>3075</v>
      </c>
      <c r="AH86" s="992">
        <f t="shared" ref="AH86:AL86" si="58">SUMIFS(Q$14:Q$149,$N$14:$N$149,$AE86,$O$14:$O$149,$AF86,$P$14:$P$149,$AG86)</f>
        <v>0</v>
      </c>
      <c r="AI86" s="992">
        <f t="shared" si="58"/>
        <v>0</v>
      </c>
      <c r="AJ86" s="992">
        <f t="shared" si="58"/>
        <v>0</v>
      </c>
      <c r="AK86" s="992">
        <f t="shared" si="58"/>
        <v>0</v>
      </c>
      <c r="AL86" s="992">
        <f t="shared" si="58"/>
        <v>0</v>
      </c>
      <c r="AY86" s="153" t="s">
        <v>2030</v>
      </c>
      <c r="AZ86" s="153" t="s">
        <v>2819</v>
      </c>
    </row>
    <row r="87" spans="7:52" x14ac:dyDescent="0.3">
      <c r="H87" s="153" t="s">
        <v>2038</v>
      </c>
      <c r="I87" s="153" t="s">
        <v>2802</v>
      </c>
      <c r="K87" s="968"/>
      <c r="L87" s="968"/>
      <c r="M87" s="968" t="s">
        <v>2068</v>
      </c>
      <c r="N87" s="968" t="s">
        <v>2811</v>
      </c>
      <c r="O87" s="969" t="s">
        <v>2822</v>
      </c>
      <c r="P87" s="968" t="s">
        <v>2816</v>
      </c>
      <c r="Q87" s="973">
        <v>88300000</v>
      </c>
      <c r="R87" s="973">
        <f>ROUND(Q87*1.05,-5)</f>
        <v>92700000</v>
      </c>
      <c r="S87" s="973">
        <f t="shared" ref="S87:U87" si="59">ROUND(R87*1.05,-5)</f>
        <v>97300000</v>
      </c>
      <c r="T87" s="973">
        <f t="shared" si="59"/>
        <v>102200000</v>
      </c>
      <c r="U87" s="973">
        <f t="shared" si="59"/>
        <v>107300000</v>
      </c>
      <c r="V87" s="1553">
        <f>S87/R87-1</f>
        <v>4.9622437971952538E-2</v>
      </c>
      <c r="AE87" s="153" t="s">
        <v>2847</v>
      </c>
      <c r="AF87" s="975" t="s">
        <v>2825</v>
      </c>
      <c r="AG87" s="968" t="s">
        <v>2818</v>
      </c>
      <c r="AH87" s="823">
        <f>Q140</f>
        <v>11000000000</v>
      </c>
      <c r="AI87" s="823">
        <f>R140</f>
        <v>12705000000</v>
      </c>
      <c r="AJ87" s="823">
        <f>S140</f>
        <v>16982000000</v>
      </c>
      <c r="AK87" s="823">
        <f>T140</f>
        <v>17836000000</v>
      </c>
      <c r="AL87" s="823">
        <f>U140</f>
        <v>20070000000</v>
      </c>
      <c r="AM87" s="823"/>
      <c r="AY87" s="153" t="s">
        <v>2049</v>
      </c>
      <c r="AZ87" s="153" t="s">
        <v>2809</v>
      </c>
    </row>
    <row r="88" spans="7:52" x14ac:dyDescent="0.3">
      <c r="K88" s="968"/>
      <c r="L88" s="968"/>
      <c r="M88" s="968" t="s">
        <v>2068</v>
      </c>
      <c r="N88" s="968" t="s">
        <v>2811</v>
      </c>
      <c r="O88" s="969" t="s">
        <v>2822</v>
      </c>
      <c r="P88" s="968" t="s">
        <v>2818</v>
      </c>
      <c r="Q88" s="973">
        <f>SUMIFS('사업계획(매출 확정본)'!S$12:S$113,'사업계획(매출 확정본)'!$M$12:$M$113,'사업계획(원재료)'!$M88,'사업계획(매출 확정본)'!$Q$12:$Q$113,'사업계획(원재료)'!$P88)</f>
        <v>1766000000</v>
      </c>
      <c r="R88" s="973">
        <f>SUMIFS('사업계획(매출 확정본)'!T$12:T$113,'사업계획(매출 확정본)'!$M$12:$M$113,'사업계획(원재료)'!$M88,'사업계획(매출 확정본)'!$Q$12:$Q$113,'사업계획(원재료)'!$P88)</f>
        <v>2317500000</v>
      </c>
      <c r="S88" s="973">
        <f>SUMIFS('사업계획(매출 확정본)'!U$12:U$113,'사업계획(매출 확정본)'!$M$12:$M$113,'사업계획(원재료)'!$M88,'사업계획(매출 확정본)'!$Q$12:$Q$113,'사업계획(원재료)'!$P88)</f>
        <v>3405500000</v>
      </c>
      <c r="T88" s="973">
        <f>SUMIFS('사업계획(매출 확정본)'!V$12:V$113,'사업계획(매출 확정본)'!$M$12:$M$113,'사업계획(원재료)'!$M88,'사업계획(매출 확정본)'!$Q$12:$Q$113,'사업계획(원재료)'!$P88)</f>
        <v>2555000000</v>
      </c>
      <c r="U88" s="973">
        <f>SUMIFS('사업계획(매출 확정본)'!W$12:W$113,'사업계획(매출 확정본)'!$M$12:$M$113,'사업계획(원재료)'!$M88,'사업계획(매출 확정본)'!$Q$12:$Q$113,'사업계획(원재료)'!$P88)</f>
        <v>2682500000</v>
      </c>
      <c r="AE88" s="153" t="s">
        <v>2847</v>
      </c>
      <c r="AF88" s="975" t="s">
        <v>2825</v>
      </c>
      <c r="AG88" s="968" t="s">
        <v>2813</v>
      </c>
      <c r="AH88" s="153">
        <f>Q138</f>
        <v>100</v>
      </c>
      <c r="AI88" s="819">
        <f>R138</f>
        <v>110</v>
      </c>
      <c r="AJ88" s="819">
        <f>S138</f>
        <v>140</v>
      </c>
      <c r="AK88" s="819">
        <f>T138</f>
        <v>140</v>
      </c>
      <c r="AL88" s="819">
        <f>U138</f>
        <v>150</v>
      </c>
    </row>
    <row r="89" spans="7:52" x14ac:dyDescent="0.3">
      <c r="K89" s="968"/>
      <c r="L89" s="968"/>
      <c r="M89" s="968" t="s">
        <v>2068</v>
      </c>
      <c r="N89" s="968" t="s">
        <v>2811</v>
      </c>
      <c r="O89" s="969" t="s">
        <v>2822</v>
      </c>
      <c r="P89" s="968" t="s">
        <v>3075</v>
      </c>
      <c r="Q89" s="1054">
        <f>Q87*W85*Q86</f>
        <v>1479515555.5555556</v>
      </c>
      <c r="R89" s="973">
        <f>Q89*(1+$V$6)/Q86*R86</f>
        <v>1934466588.8888888</v>
      </c>
      <c r="S89" s="973">
        <f t="shared" ref="S89:U89" si="60">R89*(1+$V$6)/R86*S86</f>
        <v>2832832872.768889</v>
      </c>
      <c r="T89" s="973">
        <f t="shared" si="60"/>
        <v>2116530846.3687558</v>
      </c>
      <c r="U89" s="973">
        <f t="shared" si="60"/>
        <v>2213891265.3017187</v>
      </c>
      <c r="AE89" s="153" t="s">
        <v>2847</v>
      </c>
      <c r="AF89" s="975" t="s">
        <v>2825</v>
      </c>
      <c r="AG89" s="968" t="s">
        <v>2816</v>
      </c>
      <c r="AH89" s="823">
        <f>AH87/AH88</f>
        <v>110000000</v>
      </c>
      <c r="AI89" s="819">
        <f>AI87/AI88</f>
        <v>115500000</v>
      </c>
      <c r="AJ89" s="819">
        <f>AJ87/AJ88</f>
        <v>121300000</v>
      </c>
      <c r="AK89" s="819">
        <f>AK87/AK88</f>
        <v>127400000</v>
      </c>
      <c r="AL89" s="819">
        <f>AL87/AL88</f>
        <v>133800000</v>
      </c>
    </row>
    <row r="90" spans="7:52" x14ac:dyDescent="0.3">
      <c r="G90" s="153" t="s">
        <v>2036</v>
      </c>
      <c r="H90" s="153" t="s">
        <v>2037</v>
      </c>
      <c r="I90" s="153" t="s">
        <v>2802</v>
      </c>
      <c r="K90" s="968"/>
      <c r="L90" s="968" t="s">
        <v>2810</v>
      </c>
      <c r="M90" s="1051" t="s">
        <v>2035</v>
      </c>
      <c r="N90" s="968" t="s">
        <v>2825</v>
      </c>
      <c r="O90" s="969" t="s">
        <v>2822</v>
      </c>
      <c r="P90" s="968" t="s">
        <v>2813</v>
      </c>
      <c r="Q90" s="972">
        <f>SUMIFS('사업계획(매출 확정본)'!S$12:S$113,'사업계획(매출 확정본)'!$M$12:$M$113,'사업계획(원재료)'!$M90,'사업계획(매출 확정본)'!$Q$12:$Q$113,'사업계획(원재료)'!$P90)</f>
        <v>16</v>
      </c>
      <c r="R90" s="972">
        <f>SUMIFS('사업계획(매출 확정본)'!T$12:T$113,'사업계획(매출 확정본)'!$M$12:$M$113,'사업계획(원재료)'!$M90,'사업계획(매출 확정본)'!$Q$12:$Q$113,'사업계획(원재료)'!$P90)</f>
        <v>107</v>
      </c>
      <c r="S90" s="972">
        <f>SUMIFS('사업계획(매출 확정본)'!U$12:U$113,'사업계획(매출 확정본)'!$M$12:$M$113,'사업계획(원재료)'!$M90,'사업계획(매출 확정본)'!$Q$12:$Q$113,'사업계획(원재료)'!$P90)</f>
        <v>144</v>
      </c>
      <c r="T90" s="972">
        <f>SUMIFS('사업계획(매출 확정본)'!V$12:V$113,'사업계획(매출 확정본)'!$M$12:$M$113,'사업계획(원재료)'!$M90,'사업계획(매출 확정본)'!$Q$12:$Q$113,'사업계획(원재료)'!$P90)</f>
        <v>146</v>
      </c>
      <c r="U90" s="972">
        <f>SUMIFS('사업계획(매출 확정본)'!W$12:W$113,'사업계획(매출 확정본)'!$M$12:$M$113,'사업계획(원재료)'!$M90,'사업계획(매출 확정본)'!$Q$12:$Q$113,'사업계획(원재료)'!$P90)</f>
        <v>148</v>
      </c>
      <c r="V90" s="967" t="s">
        <v>2848</v>
      </c>
      <c r="W90" s="972">
        <v>26</v>
      </c>
      <c r="X90" s="972">
        <v>120</v>
      </c>
      <c r="Y90" s="972">
        <v>160</v>
      </c>
      <c r="Z90" s="972">
        <v>165</v>
      </c>
      <c r="AA90" s="972">
        <v>170</v>
      </c>
      <c r="AB90" s="1048"/>
      <c r="AC90" s="1048"/>
      <c r="AE90" s="153" t="s">
        <v>2847</v>
      </c>
      <c r="AF90" s="975" t="s">
        <v>2825</v>
      </c>
      <c r="AG90" s="1051" t="s">
        <v>3075</v>
      </c>
      <c r="AH90" s="992">
        <f t="shared" ref="AH90:AL90" si="61">SUMIFS(Q$14:Q$149,$N$14:$N$149,$AE90,$O$14:$O$149,$AF90,$P$14:$P$149,$AG90)</f>
        <v>5550000000</v>
      </c>
      <c r="AI90" s="992">
        <f t="shared" si="61"/>
        <v>6903600000</v>
      </c>
      <c r="AJ90" s="992">
        <f t="shared" si="61"/>
        <v>8862339600</v>
      </c>
      <c r="AK90" s="992">
        <f t="shared" si="61"/>
        <v>9270007221.6000004</v>
      </c>
      <c r="AL90" s="992">
        <f t="shared" si="61"/>
        <v>10294972464.521601</v>
      </c>
      <c r="AY90" s="153" t="s">
        <v>2064</v>
      </c>
      <c r="AZ90" s="153" t="s">
        <v>2809</v>
      </c>
    </row>
    <row r="91" spans="7:52" x14ac:dyDescent="0.3">
      <c r="H91" s="153" t="s">
        <v>2040</v>
      </c>
      <c r="I91" s="153" t="s">
        <v>2802</v>
      </c>
      <c r="K91" s="968"/>
      <c r="L91" s="968"/>
      <c r="M91" s="968" t="s">
        <v>2035</v>
      </c>
      <c r="N91" s="968" t="s">
        <v>2825</v>
      </c>
      <c r="O91" s="969" t="s">
        <v>2822</v>
      </c>
      <c r="P91" s="968" t="s">
        <v>2816</v>
      </c>
      <c r="Q91" s="973">
        <v>48500000</v>
      </c>
      <c r="R91" s="973">
        <f>ROUND(Q91*1.05,-5)</f>
        <v>50900000</v>
      </c>
      <c r="S91" s="973">
        <f t="shared" ref="S91:U91" si="62">ROUND(R91*1.05,-5)</f>
        <v>53400000</v>
      </c>
      <c r="T91" s="973">
        <f t="shared" si="62"/>
        <v>56100000</v>
      </c>
      <c r="U91" s="973">
        <f t="shared" si="62"/>
        <v>58900000</v>
      </c>
      <c r="V91" s="1553">
        <f>S91/R91-1</f>
        <v>4.9115913555992208E-2</v>
      </c>
      <c r="AE91" s="153" t="s">
        <v>2847</v>
      </c>
      <c r="AF91" s="975" t="s">
        <v>2849</v>
      </c>
      <c r="AG91" s="968" t="s">
        <v>2818</v>
      </c>
      <c r="AH91" s="823">
        <f>Q148</f>
        <v>0</v>
      </c>
      <c r="AI91" s="819">
        <f>R148</f>
        <v>1425000000</v>
      </c>
      <c r="AJ91" s="819">
        <f>S148</f>
        <v>7482500000</v>
      </c>
      <c r="AK91" s="819">
        <f>T148</f>
        <v>9429000000</v>
      </c>
      <c r="AL91" s="819">
        <f>U148</f>
        <v>11550000000</v>
      </c>
      <c r="AY91" s="153" t="s">
        <v>2850</v>
      </c>
      <c r="AZ91" s="153" t="s">
        <v>2851</v>
      </c>
    </row>
    <row r="92" spans="7:52" x14ac:dyDescent="0.3">
      <c r="K92" s="968"/>
      <c r="L92" s="968"/>
      <c r="M92" s="968" t="s">
        <v>2035</v>
      </c>
      <c r="N92" s="968" t="s">
        <v>2852</v>
      </c>
      <c r="O92" s="969" t="s">
        <v>2822</v>
      </c>
      <c r="P92" s="968" t="s">
        <v>2854</v>
      </c>
      <c r="Q92" s="973">
        <f>SUMIFS('사업계획(매출 확정본)'!S$12:S$113,'사업계획(매출 확정본)'!$M$12:$M$113,'사업계획(원재료)'!$M92,'사업계획(매출 확정본)'!$Q$12:$Q$113,'사업계획(원재료)'!$P92)</f>
        <v>776000000</v>
      </c>
      <c r="R92" s="973">
        <f>SUMIFS('사업계획(매출 확정본)'!T$12:T$113,'사업계획(매출 확정본)'!$M$12:$M$113,'사업계획(원재료)'!$M92,'사업계획(매출 확정본)'!$Q$12:$Q$113,'사업계획(원재료)'!$P92)</f>
        <v>5446300000</v>
      </c>
      <c r="S92" s="973">
        <f>SUMIFS('사업계획(매출 확정본)'!U$12:U$113,'사업계획(매출 확정본)'!$M$12:$M$113,'사업계획(원재료)'!$M92,'사업계획(매출 확정본)'!$Q$12:$Q$113,'사업계획(원재료)'!$P92)</f>
        <v>7689600000</v>
      </c>
      <c r="T92" s="973">
        <f>SUMIFS('사업계획(매출 확정본)'!V$12:V$113,'사업계획(매출 확정본)'!$M$12:$M$113,'사업계획(원재료)'!$M92,'사업계획(매출 확정본)'!$Q$12:$Q$113,'사업계획(원재료)'!$P92)</f>
        <v>8190600000</v>
      </c>
      <c r="U92" s="973">
        <f>SUMIFS('사업계획(매출 확정본)'!W$12:W$113,'사업계획(매출 확정본)'!$M$12:$M$113,'사업계획(원재료)'!$M92,'사업계획(매출 확정본)'!$Q$12:$Q$113,'사업계획(원재료)'!$P92)</f>
        <v>8717200000</v>
      </c>
      <c r="AE92" s="153" t="s">
        <v>2855</v>
      </c>
      <c r="AF92" s="975" t="s">
        <v>2856</v>
      </c>
      <c r="AG92" s="968" t="s">
        <v>2857</v>
      </c>
      <c r="AH92" s="153">
        <f>Q146</f>
        <v>0</v>
      </c>
      <c r="AI92" s="819">
        <f>R146</f>
        <v>5</v>
      </c>
      <c r="AJ92" s="819">
        <f>S146</f>
        <v>25</v>
      </c>
      <c r="AK92" s="819">
        <f>T146</f>
        <v>30</v>
      </c>
      <c r="AL92" s="819">
        <f>U146</f>
        <v>35</v>
      </c>
    </row>
    <row r="93" spans="7:52" x14ac:dyDescent="0.3">
      <c r="K93" s="968"/>
      <c r="L93" s="968"/>
      <c r="M93" s="968" t="s">
        <v>2035</v>
      </c>
      <c r="N93" s="968" t="s">
        <v>2852</v>
      </c>
      <c r="O93" s="969" t="s">
        <v>2822</v>
      </c>
      <c r="P93" s="968" t="s">
        <v>3075</v>
      </c>
      <c r="Q93" s="1054">
        <f>Q91*$X$9*Q90</f>
        <v>478851676.80269867</v>
      </c>
      <c r="R93" s="973">
        <f>Q93*(1+$V$6)/Q90*R90</f>
        <v>3349627335.6944776</v>
      </c>
      <c r="S93" s="973">
        <f t="shared" ref="S93:U93" si="63">R93*(1+$V$6)/R90*S90</f>
        <v>4715273530.9499531</v>
      </c>
      <c r="T93" s="973">
        <f t="shared" si="63"/>
        <v>5000678559.3927298</v>
      </c>
      <c r="U93" s="973">
        <f t="shared" si="63"/>
        <v>5302363331.6607523</v>
      </c>
      <c r="W93" s="967" t="s">
        <v>3223</v>
      </c>
      <c r="AE93" s="153" t="s">
        <v>2863</v>
      </c>
      <c r="AF93" s="975" t="s">
        <v>2864</v>
      </c>
      <c r="AG93" s="968" t="s">
        <v>2865</v>
      </c>
      <c r="AH93" s="976" t="e">
        <f>AH91/AH92</f>
        <v>#DIV/0!</v>
      </c>
      <c r="AI93" s="819">
        <f>AI91/AI92</f>
        <v>285000000</v>
      </c>
      <c r="AJ93" s="819">
        <f>AJ91/AJ92</f>
        <v>299300000</v>
      </c>
      <c r="AK93" s="819">
        <f>AK91/AK92</f>
        <v>314300000</v>
      </c>
      <c r="AL93" s="819">
        <f>AL91/AL92</f>
        <v>330000000</v>
      </c>
    </row>
    <row r="94" spans="7:52" x14ac:dyDescent="0.3">
      <c r="G94" s="153" t="s">
        <v>2035</v>
      </c>
      <c r="H94" s="153" t="s">
        <v>2858</v>
      </c>
      <c r="I94" s="153" t="s">
        <v>2859</v>
      </c>
      <c r="K94" s="968"/>
      <c r="L94" s="968" t="s">
        <v>2800</v>
      </c>
      <c r="M94" s="1051" t="s">
        <v>2044</v>
      </c>
      <c r="N94" s="968" t="s">
        <v>2860</v>
      </c>
      <c r="O94" s="969" t="s">
        <v>2861</v>
      </c>
      <c r="P94" s="968" t="s">
        <v>2862</v>
      </c>
      <c r="Q94" s="972">
        <f>SUMIFS('사업계획(매출 확정본)'!S$12:S$113,'사업계획(매출 확정본)'!$M$12:$M$113,'사업계획(원재료)'!$M94,'사업계획(매출 확정본)'!$Q$12:$Q$113,'사업계획(원재료)'!$P94)</f>
        <v>10</v>
      </c>
      <c r="R94" s="972">
        <f>SUMIFS('사업계획(매출 확정본)'!T$12:T$113,'사업계획(매출 확정본)'!$M$12:$M$113,'사업계획(원재료)'!$M94,'사업계획(매출 확정본)'!$Q$12:$Q$113,'사업계획(원재료)'!$P94)</f>
        <v>15</v>
      </c>
      <c r="S94" s="972">
        <f>SUMIFS('사업계획(매출 확정본)'!U$12:U$113,'사업계획(매출 확정본)'!$M$12:$M$113,'사업계획(원재료)'!$M94,'사업계획(매출 확정본)'!$Q$12:$Q$113,'사업계획(원재료)'!$P94)</f>
        <v>20</v>
      </c>
      <c r="T94" s="972">
        <f>SUMIFS('사업계획(매출 확정본)'!V$12:V$113,'사업계획(매출 확정본)'!$M$12:$M$113,'사업계획(원재료)'!$M94,'사업계획(매출 확정본)'!$Q$12:$Q$113,'사업계획(원재료)'!$P94)</f>
        <v>25</v>
      </c>
      <c r="U94" s="972">
        <f>SUMIFS('사업계획(매출 확정본)'!W$12:W$113,'사업계획(매출 확정본)'!$M$12:$M$113,'사업계획(원재료)'!$M94,'사업계획(매출 확정본)'!$Q$12:$Q$113,'사업계획(원재료)'!$P94)</f>
        <v>25</v>
      </c>
      <c r="AE94" s="153" t="s">
        <v>2863</v>
      </c>
      <c r="AF94" s="975" t="s">
        <v>2864</v>
      </c>
      <c r="AG94" s="1051" t="s">
        <v>3075</v>
      </c>
      <c r="AH94" s="992">
        <f t="shared" ref="AH94:AL94" si="64">SUMIFS(Q$14:Q$149,$N$14:$N$149,$AE94,$O$14:$O$149,$AF94,$P$14:$P$149,$AG94)</f>
        <v>0</v>
      </c>
      <c r="AI94" s="992">
        <f t="shared" si="64"/>
        <v>104600000</v>
      </c>
      <c r="AJ94" s="992">
        <f t="shared" si="64"/>
        <v>547058000</v>
      </c>
      <c r="AK94" s="992">
        <f t="shared" si="64"/>
        <v>686667201.5999999</v>
      </c>
      <c r="AL94" s="992">
        <f t="shared" si="64"/>
        <v>837962875.01919985</v>
      </c>
      <c r="AM94" s="976"/>
      <c r="AY94" s="153" t="s">
        <v>2067</v>
      </c>
      <c r="AZ94" s="153" t="s">
        <v>2866</v>
      </c>
    </row>
    <row r="95" spans="7:52" x14ac:dyDescent="0.3">
      <c r="H95" s="153" t="s">
        <v>2039</v>
      </c>
      <c r="I95" s="153" t="s">
        <v>2802</v>
      </c>
      <c r="K95" s="968"/>
      <c r="L95" s="968"/>
      <c r="M95" s="968" t="s">
        <v>2044</v>
      </c>
      <c r="N95" s="968" t="s">
        <v>2860</v>
      </c>
      <c r="O95" s="969" t="s">
        <v>2861</v>
      </c>
      <c r="P95" s="968" t="s">
        <v>2865</v>
      </c>
      <c r="Q95" s="973">
        <v>39500000</v>
      </c>
      <c r="R95" s="973">
        <f>ROUND(Q95*1.05,-5)</f>
        <v>41500000</v>
      </c>
      <c r="S95" s="973">
        <f t="shared" ref="S95:U95" si="65">ROUND(R95*1.05,-5)</f>
        <v>43600000</v>
      </c>
      <c r="T95" s="973">
        <f t="shared" si="65"/>
        <v>45800000</v>
      </c>
      <c r="U95" s="973">
        <f t="shared" si="65"/>
        <v>48100000</v>
      </c>
      <c r="V95" s="1553">
        <f>S95/R95-1</f>
        <v>5.0602409638554224E-2</v>
      </c>
      <c r="AY95" s="153" t="s">
        <v>2820</v>
      </c>
      <c r="AZ95" s="153" t="s">
        <v>2866</v>
      </c>
    </row>
    <row r="96" spans="7:52" x14ac:dyDescent="0.3">
      <c r="K96" s="968"/>
      <c r="L96" s="968"/>
      <c r="M96" s="968" t="s">
        <v>2044</v>
      </c>
      <c r="N96" s="968" t="s">
        <v>2860</v>
      </c>
      <c r="O96" s="969" t="s">
        <v>2861</v>
      </c>
      <c r="P96" s="968" t="s">
        <v>2867</v>
      </c>
      <c r="Q96" s="973">
        <f>SUMIFS('사업계획(매출 확정본)'!S$12:S$113,'사업계획(매출 확정본)'!$M$12:$M$113,'사업계획(원재료)'!$M96,'사업계획(매출 확정본)'!$Q$12:$Q$113,'사업계획(원재료)'!$P96)</f>
        <v>395000000</v>
      </c>
      <c r="R96" s="973">
        <f>SUMIFS('사업계획(매출 확정본)'!T$12:T$113,'사업계획(매출 확정본)'!$M$12:$M$113,'사업계획(원재료)'!$M96,'사업계획(매출 확정본)'!$Q$12:$Q$113,'사업계획(원재료)'!$P96)</f>
        <v>622500000</v>
      </c>
      <c r="S96" s="973">
        <f>SUMIFS('사업계획(매출 확정본)'!U$12:U$113,'사업계획(매출 확정본)'!$M$12:$M$113,'사업계획(원재료)'!$M96,'사업계획(매출 확정본)'!$Q$12:$Q$113,'사업계획(원재료)'!$P96)</f>
        <v>872000000</v>
      </c>
      <c r="T96" s="973">
        <f>SUMIFS('사업계획(매출 확정본)'!V$12:V$113,'사업계획(매출 확정본)'!$M$12:$M$113,'사업계획(원재료)'!$M96,'사업계획(매출 확정본)'!$Q$12:$Q$113,'사업계획(원재료)'!$P96)</f>
        <v>1145000000</v>
      </c>
      <c r="U96" s="973">
        <f>SUMIFS('사업계획(매출 확정본)'!W$12:W$113,'사업계획(매출 확정본)'!$M$12:$M$113,'사업계획(원재료)'!$M96,'사업계획(매출 확정본)'!$Q$12:$Q$113,'사업계획(원재료)'!$P96)</f>
        <v>1202500000</v>
      </c>
    </row>
    <row r="97" spans="7:52" x14ac:dyDescent="0.3">
      <c r="K97" s="968"/>
      <c r="L97" s="968"/>
      <c r="M97" s="968" t="s">
        <v>2044</v>
      </c>
      <c r="N97" s="968" t="s">
        <v>2860</v>
      </c>
      <c r="O97" s="969" t="s">
        <v>2861</v>
      </c>
      <c r="P97" s="968" t="s">
        <v>3075</v>
      </c>
      <c r="Q97" s="1050">
        <f>Q95*X10*Q94</f>
        <v>228262222.60969165</v>
      </c>
      <c r="R97" s="973">
        <f>Q97*(1+$V$6)/Q94*R94</f>
        <v>358143427.27460623</v>
      </c>
      <c r="S97" s="973">
        <f t="shared" ref="S97:U97" si="66">R97*(1+$V$6)/R94*S94</f>
        <v>499490699.90565085</v>
      </c>
      <c r="T97" s="973">
        <f t="shared" si="66"/>
        <v>653084090.12663853</v>
      </c>
      <c r="U97" s="973">
        <f t="shared" si="66"/>
        <v>683125958.27246392</v>
      </c>
      <c r="AH97" s="1042">
        <f>SUMIF($AG$15:$AG$94,$AG$94,AH$15:AH$94)</f>
        <v>65933451625.456161</v>
      </c>
      <c r="AI97" s="1042">
        <f t="shared" ref="AI97:AL97" si="67">SUMIF($AG$15:$AG$94,$AG$94,AI$15:AI$94)</f>
        <v>83495694788.02446</v>
      </c>
      <c r="AJ97" s="1042">
        <f t="shared" si="67"/>
        <v>106789902679.24683</v>
      </c>
      <c r="AK97" s="1042">
        <f t="shared" si="67"/>
        <v>116904862992.94162</v>
      </c>
      <c r="AL97" s="1042">
        <f t="shared" si="67"/>
        <v>126032915108.45221</v>
      </c>
    </row>
    <row r="98" spans="7:52" x14ac:dyDescent="0.3">
      <c r="G98" s="153" t="s">
        <v>2042</v>
      </c>
      <c r="H98" s="153" t="s">
        <v>2039</v>
      </c>
      <c r="I98" s="153" t="s">
        <v>2802</v>
      </c>
      <c r="K98" s="968"/>
      <c r="L98" s="968" t="s">
        <v>2800</v>
      </c>
      <c r="M98" s="968" t="s">
        <v>2048</v>
      </c>
      <c r="N98" s="968" t="s">
        <v>2860</v>
      </c>
      <c r="O98" s="969" t="s">
        <v>2868</v>
      </c>
      <c r="P98" s="968" t="s">
        <v>2862</v>
      </c>
      <c r="Q98" s="972">
        <f>SUMIFS('사업계획(매출 확정본)'!S$12:S$113,'사업계획(매출 확정본)'!$M$12:$M$113,'사업계획(원재료)'!$M98,'사업계획(매출 확정본)'!$Q$12:$Q$113,'사업계획(원재료)'!$P98)</f>
        <v>11</v>
      </c>
      <c r="R98" s="972">
        <f>SUMIFS('사업계획(매출 확정본)'!T$12:T$113,'사업계획(매출 확정본)'!$M$12:$M$113,'사업계획(원재료)'!$M98,'사업계획(매출 확정본)'!$Q$12:$Q$113,'사업계획(원재료)'!$P98)</f>
        <v>15</v>
      </c>
      <c r="S98" s="972">
        <f>SUMIFS('사업계획(매출 확정본)'!U$12:U$113,'사업계획(매출 확정본)'!$M$12:$M$113,'사업계획(원재료)'!$M98,'사업계획(매출 확정본)'!$Q$12:$Q$113,'사업계획(원재료)'!$P98)</f>
        <v>20</v>
      </c>
      <c r="T98" s="972">
        <f>SUMIFS('사업계획(매출 확정본)'!V$12:V$113,'사업계획(매출 확정본)'!$M$12:$M$113,'사업계획(원재료)'!$M98,'사업계획(매출 확정본)'!$Q$12:$Q$113,'사업계획(원재료)'!$P98)</f>
        <v>25</v>
      </c>
      <c r="U98" s="972">
        <f>SUMIFS('사업계획(매출 확정본)'!W$12:W$113,'사업계획(매출 확정본)'!$M$12:$M$113,'사업계획(원재료)'!$M98,'사업계획(매출 확정본)'!$Q$12:$Q$113,'사업계획(원재료)'!$P98)</f>
        <v>25</v>
      </c>
      <c r="AY98" s="153" t="s">
        <v>2068</v>
      </c>
      <c r="AZ98" s="153" t="s">
        <v>2822</v>
      </c>
    </row>
    <row r="99" spans="7:52" x14ac:dyDescent="0.3">
      <c r="H99" s="153" t="s">
        <v>2041</v>
      </c>
      <c r="I99" s="153" t="s">
        <v>2802</v>
      </c>
      <c r="K99" s="968"/>
      <c r="L99" s="968"/>
      <c r="M99" s="968" t="s">
        <v>2048</v>
      </c>
      <c r="N99" s="968" t="s">
        <v>2860</v>
      </c>
      <c r="O99" s="969" t="s">
        <v>2868</v>
      </c>
      <c r="P99" s="968" t="s">
        <v>2865</v>
      </c>
      <c r="Q99" s="973">
        <v>41500000</v>
      </c>
      <c r="R99" s="973">
        <f>ROUND(Q99*1.05,-5)</f>
        <v>43600000</v>
      </c>
      <c r="S99" s="973">
        <f t="shared" ref="S99:U99" si="68">ROUND(R99*1.05,-5)</f>
        <v>45800000</v>
      </c>
      <c r="T99" s="973">
        <f t="shared" si="68"/>
        <v>48100000</v>
      </c>
      <c r="U99" s="973">
        <f t="shared" si="68"/>
        <v>50500000</v>
      </c>
      <c r="V99" s="1553">
        <f>S99/R99-1</f>
        <v>5.0458715596330306E-2</v>
      </c>
      <c r="AE99" s="153" t="s">
        <v>2870</v>
      </c>
      <c r="AY99" s="153" t="s">
        <v>2830</v>
      </c>
      <c r="AZ99" s="153" t="s">
        <v>2866</v>
      </c>
    </row>
    <row r="100" spans="7:52" x14ac:dyDescent="0.3">
      <c r="K100" s="968"/>
      <c r="L100" s="968"/>
      <c r="M100" s="968" t="s">
        <v>2048</v>
      </c>
      <c r="N100" s="968" t="s">
        <v>2860</v>
      </c>
      <c r="O100" s="969" t="s">
        <v>2868</v>
      </c>
      <c r="P100" s="968" t="s">
        <v>2867</v>
      </c>
      <c r="Q100" s="973">
        <f>SUMIFS('사업계획(매출 확정본)'!S$12:S$113,'사업계획(매출 확정본)'!$M$12:$M$113,'사업계획(원재료)'!$M100,'사업계획(매출 확정본)'!$Q$12:$Q$113,'사업계획(원재료)'!$P100)</f>
        <v>456500000</v>
      </c>
      <c r="R100" s="973">
        <f>SUMIFS('사업계획(매출 확정본)'!T$12:T$113,'사업계획(매출 확정본)'!$M$12:$M$113,'사업계획(원재료)'!$M100,'사업계획(매출 확정본)'!$Q$12:$Q$113,'사업계획(원재료)'!$P100)</f>
        <v>654000000</v>
      </c>
      <c r="S100" s="973">
        <f>SUMIFS('사업계획(매출 확정본)'!U$12:U$113,'사업계획(매출 확정본)'!$M$12:$M$113,'사업계획(원재료)'!$M100,'사업계획(매출 확정본)'!$Q$12:$Q$113,'사업계획(원재료)'!$P100)</f>
        <v>916000000</v>
      </c>
      <c r="T100" s="973">
        <f>SUMIFS('사업계획(매출 확정본)'!V$12:V$113,'사업계획(매출 확정본)'!$M$12:$M$113,'사업계획(원재료)'!$M100,'사업계획(매출 확정본)'!$Q$12:$Q$113,'사업계획(원재료)'!$P100)</f>
        <v>1202500000</v>
      </c>
      <c r="U100" s="973">
        <f>SUMIFS('사업계획(매출 확정본)'!W$12:W$113,'사업계획(매출 확정본)'!$M$12:$M$113,'사업계획(원재료)'!$M100,'사업계획(매출 확정본)'!$Q$12:$Q$113,'사업계획(원재료)'!$P100)</f>
        <v>1262500000</v>
      </c>
      <c r="AH100" s="985">
        <v>2018</v>
      </c>
      <c r="AI100" s="985">
        <f>AH100+1</f>
        <v>2019</v>
      </c>
      <c r="AJ100" s="985">
        <f t="shared" ref="AJ100:AL100" si="69">AI100+1</f>
        <v>2020</v>
      </c>
      <c r="AK100" s="985">
        <f t="shared" si="69"/>
        <v>2021</v>
      </c>
      <c r="AL100" s="985">
        <f t="shared" si="69"/>
        <v>2022</v>
      </c>
    </row>
    <row r="101" spans="7:52" x14ac:dyDescent="0.3">
      <c r="K101" s="968"/>
      <c r="L101" s="968"/>
      <c r="M101" s="968" t="s">
        <v>2048</v>
      </c>
      <c r="N101" s="968" t="s">
        <v>2860</v>
      </c>
      <c r="O101" s="969" t="s">
        <v>2868</v>
      </c>
      <c r="P101" s="968" t="s">
        <v>3075</v>
      </c>
      <c r="Q101" s="1050">
        <f>VLOOKUP(M98,'제품별 원재료비 '!$O$4:$S$48,5,FALSE)*Q98</f>
        <v>311467750</v>
      </c>
      <c r="R101" s="973">
        <f>Q101*(1+$V$6)/Q98*R98</f>
        <v>444266272.5</v>
      </c>
      <c r="S101" s="973">
        <f t="shared" ref="S101:U101" si="70">R101*(1+$V$6)/R98*S98</f>
        <v>619603361.38</v>
      </c>
      <c r="T101" s="973">
        <f t="shared" si="70"/>
        <v>810131395.00435019</v>
      </c>
      <c r="U101" s="973">
        <f t="shared" si="70"/>
        <v>847397439.17455018</v>
      </c>
      <c r="W101" s="1463">
        <f>Q101/Q100</f>
        <v>0.68229518072289153</v>
      </c>
      <c r="AH101" s="985"/>
      <c r="AI101" s="985"/>
      <c r="AJ101" s="985"/>
      <c r="AK101" s="985"/>
      <c r="AL101" s="985"/>
    </row>
    <row r="102" spans="7:52" x14ac:dyDescent="0.3">
      <c r="G102" s="153" t="s">
        <v>2038</v>
      </c>
      <c r="H102" s="153" t="s">
        <v>2028</v>
      </c>
      <c r="I102" s="153" t="s">
        <v>2023</v>
      </c>
      <c r="K102" s="968"/>
      <c r="L102" s="968" t="s">
        <v>2871</v>
      </c>
      <c r="M102" s="968" t="s">
        <v>2050</v>
      </c>
      <c r="N102" s="968" t="s">
        <v>2860</v>
      </c>
      <c r="O102" s="969" t="s">
        <v>2872</v>
      </c>
      <c r="P102" s="968" t="s">
        <v>2862</v>
      </c>
      <c r="Q102" s="972">
        <f>SUMIFS('사업계획(매출 확정본)'!S$12:S$113,'사업계획(매출 확정본)'!$M$12:$M$113,'사업계획(원재료)'!$M102,'사업계획(매출 확정본)'!$Q$12:$Q$113,'사업계획(원재료)'!$P102)</f>
        <v>0</v>
      </c>
      <c r="R102" s="972">
        <f>SUMIFS('사업계획(매출 확정본)'!T$12:T$113,'사업계획(매출 확정본)'!$M$12:$M$113,'사업계획(원재료)'!$M102,'사업계획(매출 확정본)'!$Q$12:$Q$113,'사업계획(원재료)'!$P102)</f>
        <v>0</v>
      </c>
      <c r="S102" s="972">
        <f>SUMIFS('사업계획(매출 확정본)'!U$12:U$113,'사업계획(매출 확정본)'!$M$12:$M$113,'사업계획(원재료)'!$M102,'사업계획(매출 확정본)'!$Q$12:$Q$113,'사업계획(원재료)'!$P102)</f>
        <v>0</v>
      </c>
      <c r="T102" s="972">
        <f>SUMIFS('사업계획(매출 확정본)'!V$12:V$113,'사업계획(매출 확정본)'!$M$12:$M$113,'사업계획(원재료)'!$M102,'사업계획(매출 확정본)'!$Q$12:$Q$113,'사업계획(원재료)'!$P102)</f>
        <v>0</v>
      </c>
      <c r="U102" s="972">
        <f>SUMIFS('사업계획(매출 확정본)'!W$12:W$113,'사업계획(매출 확정본)'!$M$12:$M$113,'사업계획(원재료)'!$M102,'사업계획(매출 확정본)'!$Q$12:$Q$113,'사업계획(원재료)'!$P102)</f>
        <v>0</v>
      </c>
      <c r="AG102" s="968"/>
      <c r="AH102" s="823"/>
      <c r="AI102" s="823"/>
      <c r="AJ102" s="823"/>
      <c r="AK102" s="823"/>
      <c r="AL102" s="823"/>
      <c r="AQ102" s="968"/>
      <c r="AY102" s="153" t="s">
        <v>2833</v>
      </c>
      <c r="AZ102" s="153" t="s">
        <v>2866</v>
      </c>
    </row>
    <row r="103" spans="7:52" x14ac:dyDescent="0.3">
      <c r="H103" s="153" t="s">
        <v>2037</v>
      </c>
      <c r="I103" s="153" t="s">
        <v>2802</v>
      </c>
      <c r="K103" s="968"/>
      <c r="L103" s="968"/>
      <c r="M103" s="968" t="s">
        <v>2050</v>
      </c>
      <c r="N103" s="968" t="s">
        <v>2860</v>
      </c>
      <c r="O103" s="969" t="s">
        <v>2872</v>
      </c>
      <c r="P103" s="968" t="s">
        <v>2865</v>
      </c>
      <c r="Q103" s="973">
        <v>65000000</v>
      </c>
      <c r="R103" s="973">
        <f>ROUND(Q103*1.05,-5)</f>
        <v>68300000</v>
      </c>
      <c r="S103" s="973">
        <f t="shared" ref="S103:U103" si="71">ROUND(R103*1.05,-5)</f>
        <v>71700000</v>
      </c>
      <c r="T103" s="973">
        <f t="shared" si="71"/>
        <v>75300000</v>
      </c>
      <c r="U103" s="973">
        <f t="shared" si="71"/>
        <v>79100000</v>
      </c>
      <c r="V103" s="1553">
        <f>S103/R103-1</f>
        <v>4.9780380673499325E-2</v>
      </c>
      <c r="W103" s="1057"/>
      <c r="AG103" s="968"/>
      <c r="AH103" s="977"/>
      <c r="AI103" s="977"/>
      <c r="AJ103" s="977"/>
      <c r="AK103" s="977"/>
      <c r="AL103" s="977"/>
      <c r="AM103" s="977"/>
      <c r="AQ103" s="968"/>
      <c r="AY103" s="153" t="s">
        <v>2875</v>
      </c>
      <c r="AZ103" s="153" t="s">
        <v>2876</v>
      </c>
    </row>
    <row r="104" spans="7:52" x14ac:dyDescent="0.3">
      <c r="K104" s="968"/>
      <c r="L104" s="968"/>
      <c r="M104" s="968" t="s">
        <v>2050</v>
      </c>
      <c r="N104" s="968" t="s">
        <v>2860</v>
      </c>
      <c r="O104" s="969" t="s">
        <v>2872</v>
      </c>
      <c r="P104" s="968" t="s">
        <v>2867</v>
      </c>
      <c r="Q104" s="973">
        <f>SUMIFS('사업계획(매출 확정본)'!S$12:S$113,'사업계획(매출 확정본)'!$M$12:$M$113,'사업계획(원재료)'!$M104,'사업계획(매출 확정본)'!$Q$12:$Q$113,'사업계획(원재료)'!$P104)</f>
        <v>0</v>
      </c>
      <c r="R104" s="973">
        <f>SUMIFS('사업계획(매출 확정본)'!T$12:T$113,'사업계획(매출 확정본)'!$M$12:$M$113,'사업계획(원재료)'!$M104,'사업계획(매출 확정본)'!$Q$12:$Q$113,'사업계획(원재료)'!$P104)</f>
        <v>0</v>
      </c>
      <c r="S104" s="973">
        <f>SUMIFS('사업계획(매출 확정본)'!U$12:U$113,'사업계획(매출 확정본)'!$M$12:$M$113,'사업계획(원재료)'!$M104,'사업계획(매출 확정본)'!$Q$12:$Q$113,'사업계획(원재료)'!$P104)</f>
        <v>0</v>
      </c>
      <c r="T104" s="973">
        <f>SUMIFS('사업계획(매출 확정본)'!V$12:V$113,'사업계획(매출 확정본)'!$M$12:$M$113,'사업계획(원재료)'!$M104,'사업계획(매출 확정본)'!$Q$12:$Q$113,'사업계획(원재료)'!$P104)</f>
        <v>0</v>
      </c>
      <c r="U104" s="973">
        <f>SUMIFS('사업계획(매출 확정본)'!W$12:W$113,'사업계획(매출 확정본)'!$M$12:$M$113,'사업계획(원재료)'!$M104,'사업계획(매출 확정본)'!$Q$12:$Q$113,'사업계획(원재료)'!$P104)</f>
        <v>0</v>
      </c>
      <c r="AG104" s="968"/>
      <c r="AH104" s="823"/>
      <c r="AI104" s="823"/>
      <c r="AJ104" s="823"/>
      <c r="AK104" s="823"/>
      <c r="AL104" s="823"/>
      <c r="AN104" s="1057"/>
      <c r="AQ104" s="972"/>
    </row>
    <row r="105" spans="7:52" x14ac:dyDescent="0.3">
      <c r="K105" s="968"/>
      <c r="L105" s="968"/>
      <c r="M105" s="968" t="s">
        <v>2050</v>
      </c>
      <c r="N105" s="1055" t="s">
        <v>2860</v>
      </c>
      <c r="O105" s="1056" t="s">
        <v>2872</v>
      </c>
      <c r="P105" s="1055" t="s">
        <v>3075</v>
      </c>
      <c r="Q105" s="1050"/>
      <c r="R105" s="973"/>
      <c r="S105" s="973"/>
      <c r="T105" s="973"/>
      <c r="U105" s="973"/>
      <c r="AG105" s="1051"/>
      <c r="AH105" s="823"/>
      <c r="AI105" s="823"/>
      <c r="AJ105" s="823"/>
      <c r="AK105" s="823"/>
      <c r="AL105" s="823"/>
      <c r="AQ105" s="968"/>
    </row>
    <row r="106" spans="7:52" x14ac:dyDescent="0.3">
      <c r="G106" s="153" t="s">
        <v>2039</v>
      </c>
      <c r="H106" s="153" t="s">
        <v>2039</v>
      </c>
      <c r="I106" s="153" t="s">
        <v>2802</v>
      </c>
      <c r="K106" s="968"/>
      <c r="L106" s="968" t="s">
        <v>2800</v>
      </c>
      <c r="M106" s="968" t="s">
        <v>2047</v>
      </c>
      <c r="N106" s="968" t="s">
        <v>2860</v>
      </c>
      <c r="O106" s="969" t="s">
        <v>2861</v>
      </c>
      <c r="P106" s="968" t="s">
        <v>2862</v>
      </c>
      <c r="Q106" s="972">
        <f>SUMIFS('사업계획(매출 확정본)'!S$12:S$113,'사업계획(매출 확정본)'!$M$12:$M$113,'사업계획(원재료)'!$M106,'사업계획(매출 확정본)'!$Q$12:$Q$113,'사업계획(원재료)'!$P106)</f>
        <v>5</v>
      </c>
      <c r="R106" s="972">
        <f>SUMIFS('사업계획(매출 확정본)'!T$12:T$113,'사업계획(매출 확정본)'!$M$12:$M$113,'사업계획(원재료)'!$M106,'사업계획(매출 확정본)'!$Q$12:$Q$113,'사업계획(원재료)'!$P106)</f>
        <v>10</v>
      </c>
      <c r="S106" s="972">
        <f>SUMIFS('사업계획(매출 확정본)'!U$12:U$113,'사업계획(매출 확정본)'!$M$12:$M$113,'사업계획(원재료)'!$M106,'사업계획(매출 확정본)'!$Q$12:$Q$113,'사업계획(원재료)'!$P106)</f>
        <v>15</v>
      </c>
      <c r="T106" s="972">
        <f>SUMIFS('사업계획(매출 확정본)'!V$12:V$113,'사업계획(매출 확정본)'!$M$12:$M$113,'사업계획(원재료)'!$M106,'사업계획(매출 확정본)'!$Q$12:$Q$113,'사업계획(원재료)'!$P106)</f>
        <v>15</v>
      </c>
      <c r="U106" s="972">
        <f>SUMIFS('사업계획(매출 확정본)'!W$12:W$113,'사업계획(매출 확정본)'!$M$12:$M$113,'사업계획(원재료)'!$M106,'사업계획(매출 확정본)'!$Q$12:$Q$113,'사업계획(원재료)'!$P106)</f>
        <v>15</v>
      </c>
      <c r="AG106" s="968"/>
      <c r="AH106" s="823"/>
      <c r="AI106" s="823"/>
      <c r="AJ106" s="823"/>
      <c r="AK106" s="823"/>
      <c r="AL106" s="823"/>
      <c r="AM106" s="823"/>
      <c r="AQ106" s="968"/>
      <c r="AY106" s="153" t="s">
        <v>2878</v>
      </c>
      <c r="AZ106" s="153" t="s">
        <v>2822</v>
      </c>
    </row>
    <row r="107" spans="7:52" x14ac:dyDescent="0.3">
      <c r="H107" s="153" t="s">
        <v>2041</v>
      </c>
      <c r="I107" s="153" t="s">
        <v>2802</v>
      </c>
      <c r="K107" s="968"/>
      <c r="L107" s="968"/>
      <c r="M107" s="968" t="s">
        <v>2047</v>
      </c>
      <c r="N107" s="968" t="s">
        <v>2860</v>
      </c>
      <c r="O107" s="969" t="s">
        <v>2861</v>
      </c>
      <c r="P107" s="968" t="s">
        <v>2865</v>
      </c>
      <c r="Q107" s="973">
        <v>113500000</v>
      </c>
      <c r="R107" s="973">
        <f>ROUND(Q107*1.05,-5)</f>
        <v>119200000</v>
      </c>
      <c r="S107" s="973">
        <f t="shared" ref="S107:U107" si="72">ROUND(R107*1.05,-5)</f>
        <v>125200000</v>
      </c>
      <c r="T107" s="973">
        <f t="shared" si="72"/>
        <v>131500000</v>
      </c>
      <c r="U107" s="973">
        <f t="shared" si="72"/>
        <v>138100000</v>
      </c>
      <c r="V107" s="1553">
        <f>S107/R107-1</f>
        <v>5.0335570469798752E-2</v>
      </c>
      <c r="AG107" s="968"/>
      <c r="AQ107" s="968"/>
      <c r="AY107" s="153" t="s">
        <v>2038</v>
      </c>
      <c r="AZ107" s="153" t="s">
        <v>2822</v>
      </c>
    </row>
    <row r="108" spans="7:52" x14ac:dyDescent="0.3">
      <c r="K108" s="968"/>
      <c r="L108" s="968"/>
      <c r="M108" s="968" t="s">
        <v>2047</v>
      </c>
      <c r="N108" s="968" t="s">
        <v>2860</v>
      </c>
      <c r="O108" s="969" t="s">
        <v>2861</v>
      </c>
      <c r="P108" s="968" t="s">
        <v>2867</v>
      </c>
      <c r="Q108" s="973">
        <f>SUMIFS('사업계획(매출 확정본)'!S$12:S$113,'사업계획(매출 확정본)'!$M$12:$M$113,'사업계획(원재료)'!$M108,'사업계획(매출 확정본)'!$Q$12:$Q$113,'사업계획(원재료)'!$P108)</f>
        <v>567500000</v>
      </c>
      <c r="R108" s="973">
        <f>SUMIFS('사업계획(매출 확정본)'!T$12:T$113,'사업계획(매출 확정본)'!$M$12:$M$113,'사업계획(원재료)'!$M108,'사업계획(매출 확정본)'!$Q$12:$Q$113,'사업계획(원재료)'!$P108)</f>
        <v>1192000000</v>
      </c>
      <c r="S108" s="973">
        <f>SUMIFS('사업계획(매출 확정본)'!U$12:U$113,'사업계획(매출 확정본)'!$M$12:$M$113,'사업계획(원재료)'!$M108,'사업계획(매출 확정본)'!$Q$12:$Q$113,'사업계획(원재료)'!$P108)</f>
        <v>1878000000</v>
      </c>
      <c r="T108" s="973">
        <f>SUMIFS('사업계획(매출 확정본)'!V$12:V$113,'사업계획(매출 확정본)'!$M$12:$M$113,'사업계획(원재료)'!$M108,'사업계획(매출 확정본)'!$Q$12:$Q$113,'사업계획(원재료)'!$P108)</f>
        <v>1972500000</v>
      </c>
      <c r="U108" s="973">
        <f>SUMIFS('사업계획(매출 확정본)'!W$12:W$113,'사업계획(매출 확정본)'!$M$12:$M$113,'사업계획(원재료)'!$M108,'사업계획(매출 확정본)'!$Q$12:$Q$113,'사업계획(원재료)'!$P108)</f>
        <v>2071500000</v>
      </c>
      <c r="AG108" s="968"/>
      <c r="AH108" s="823"/>
      <c r="AI108" s="823"/>
      <c r="AJ108" s="823"/>
      <c r="AK108" s="823"/>
      <c r="AL108" s="823"/>
      <c r="AQ108" s="972"/>
    </row>
    <row r="109" spans="7:52" x14ac:dyDescent="0.3">
      <c r="K109" s="968"/>
      <c r="L109" s="968"/>
      <c r="M109" s="968" t="s">
        <v>2047</v>
      </c>
      <c r="N109" s="968" t="s">
        <v>2860</v>
      </c>
      <c r="O109" s="969" t="s">
        <v>2861</v>
      </c>
      <c r="P109" s="968" t="s">
        <v>3075</v>
      </c>
      <c r="Q109" s="1050">
        <f>VLOOKUP(M106,'제품별 원재료비 '!$O$4:$S$48,5,FALSE)*Q106</f>
        <v>365777000</v>
      </c>
      <c r="R109" s="973">
        <f>Q109*(1+$V$6)/Q106*R106</f>
        <v>765205484</v>
      </c>
      <c r="S109" s="973">
        <f t="shared" ref="S109:U109" si="73">R109*(1+$V$6)/R106*S106</f>
        <v>1200607404.3960001</v>
      </c>
      <c r="T109" s="973">
        <f t="shared" si="73"/>
        <v>1255835344.9982162</v>
      </c>
      <c r="U109" s="973">
        <f t="shared" si="73"/>
        <v>1313603770.8681343</v>
      </c>
      <c r="W109" s="1465">
        <f>Q109/Q108</f>
        <v>0.64454096916299564</v>
      </c>
      <c r="AG109" s="1051"/>
      <c r="AH109" s="823"/>
      <c r="AI109" s="823"/>
      <c r="AJ109" s="823"/>
      <c r="AK109" s="823"/>
      <c r="AL109" s="823"/>
      <c r="AN109" s="1057"/>
      <c r="AQ109" s="968"/>
    </row>
    <row r="110" spans="7:52" x14ac:dyDescent="0.3">
      <c r="G110" s="153" t="s">
        <v>2048</v>
      </c>
      <c r="H110" s="153" t="s">
        <v>2037</v>
      </c>
      <c r="I110" s="153" t="s">
        <v>2802</v>
      </c>
      <c r="K110" s="968"/>
      <c r="L110" s="968" t="s">
        <v>2800</v>
      </c>
      <c r="M110" s="968" t="s">
        <v>2836</v>
      </c>
      <c r="N110" s="968" t="s">
        <v>2860</v>
      </c>
      <c r="O110" s="969" t="s">
        <v>2868</v>
      </c>
      <c r="P110" s="968" t="s">
        <v>2862</v>
      </c>
      <c r="Q110" s="972">
        <f>SUMIFS('사업계획(매출 확정본)'!S$12:S$113,'사업계획(매출 확정본)'!$M$12:$M$113,'사업계획(원재료)'!$M110,'사업계획(매출 확정본)'!$Q$12:$Q$113,'사업계획(원재료)'!$P110)</f>
        <v>173</v>
      </c>
      <c r="R110" s="972">
        <f>SUMIFS('사업계획(매출 확정본)'!T$12:T$113,'사업계획(매출 확정본)'!$M$12:$M$113,'사업계획(원재료)'!$M110,'사업계획(매출 확정본)'!$Q$12:$Q$113,'사업계획(원재료)'!$P110)</f>
        <v>200</v>
      </c>
      <c r="S110" s="972">
        <f>SUMIFS('사업계획(매출 확정본)'!U$12:U$113,'사업계획(매출 확정본)'!$M$12:$M$113,'사업계획(원재료)'!$M110,'사업계획(매출 확정본)'!$Q$12:$Q$113,'사업계획(원재료)'!$P110)</f>
        <v>240</v>
      </c>
      <c r="T110" s="972">
        <f>SUMIFS('사업계획(매출 확정본)'!V$12:V$113,'사업계획(매출 확정본)'!$M$12:$M$113,'사업계획(원재료)'!$M110,'사업계획(매출 확정본)'!$Q$12:$Q$113,'사업계획(원재료)'!$P110)</f>
        <v>245</v>
      </c>
      <c r="U110" s="972">
        <f>SUMIFS('사업계획(매출 확정본)'!W$12:W$113,'사업계획(매출 확정본)'!$M$12:$M$113,'사업계획(원재료)'!$M110,'사업계획(매출 확정본)'!$Q$12:$Q$113,'사업계획(원재료)'!$P110)</f>
        <v>250</v>
      </c>
      <c r="AG110" s="968"/>
      <c r="AH110" s="823"/>
      <c r="AI110" s="823"/>
      <c r="AJ110" s="823"/>
      <c r="AK110" s="823"/>
      <c r="AL110" s="823"/>
      <c r="AY110" s="153" t="s">
        <v>2040</v>
      </c>
      <c r="AZ110" s="153" t="s">
        <v>2822</v>
      </c>
    </row>
    <row r="111" spans="7:52" x14ac:dyDescent="0.3">
      <c r="H111" s="153" t="s">
        <v>2037</v>
      </c>
      <c r="I111" s="153" t="s">
        <v>2802</v>
      </c>
      <c r="K111" s="968"/>
      <c r="L111" s="968"/>
      <c r="M111" s="968" t="s">
        <v>2836</v>
      </c>
      <c r="N111" s="968" t="s">
        <v>2860</v>
      </c>
      <c r="O111" s="969" t="s">
        <v>2868</v>
      </c>
      <c r="P111" s="968" t="s">
        <v>2865</v>
      </c>
      <c r="Q111" s="973">
        <v>32500000</v>
      </c>
      <c r="R111" s="973">
        <f>ROUND(Q111*1.05,-5)</f>
        <v>34100000</v>
      </c>
      <c r="S111" s="973">
        <f t="shared" ref="S111:U111" si="74">ROUND(R111*1.05,-5)</f>
        <v>35800000</v>
      </c>
      <c r="T111" s="973">
        <f t="shared" si="74"/>
        <v>37600000</v>
      </c>
      <c r="U111" s="973">
        <f t="shared" si="74"/>
        <v>39500000</v>
      </c>
      <c r="V111" s="1553">
        <f>S111/R111-1</f>
        <v>4.9853372434017551E-2</v>
      </c>
      <c r="AG111" s="968"/>
      <c r="AH111" s="977"/>
      <c r="AI111" s="977"/>
      <c r="AJ111" s="977"/>
      <c r="AK111" s="977"/>
      <c r="AL111" s="977"/>
      <c r="AY111" s="153" t="s">
        <v>2880</v>
      </c>
      <c r="AZ111" s="153" t="s">
        <v>2876</v>
      </c>
    </row>
    <row r="112" spans="7:52" x14ac:dyDescent="0.3">
      <c r="K112" s="968"/>
      <c r="L112" s="968"/>
      <c r="M112" s="968" t="s">
        <v>2836</v>
      </c>
      <c r="N112" s="968" t="s">
        <v>2860</v>
      </c>
      <c r="O112" s="969" t="s">
        <v>2868</v>
      </c>
      <c r="P112" s="968" t="s">
        <v>2867</v>
      </c>
      <c r="Q112" s="973">
        <f>SUMIFS('사업계획(매출 확정본)'!S$12:S$113,'사업계획(매출 확정본)'!$M$12:$M$113,'사업계획(원재료)'!$M112,'사업계획(매출 확정본)'!$Q$12:$Q$113,'사업계획(원재료)'!$P112)</f>
        <v>5622500000</v>
      </c>
      <c r="R112" s="973">
        <f>SUMIFS('사업계획(매출 확정본)'!T$12:T$113,'사업계획(매출 확정본)'!$M$12:$M$113,'사업계획(원재료)'!$M112,'사업계획(매출 확정본)'!$Q$12:$Q$113,'사업계획(원재료)'!$P112)</f>
        <v>6820000000</v>
      </c>
      <c r="S112" s="973">
        <f>SUMIFS('사업계획(매출 확정본)'!U$12:U$113,'사업계획(매출 확정본)'!$M$12:$M$113,'사업계획(원재료)'!$M112,'사업계획(매출 확정본)'!$Q$12:$Q$113,'사업계획(원재료)'!$P112)</f>
        <v>8592000000</v>
      </c>
      <c r="T112" s="973">
        <f>SUMIFS('사업계획(매출 확정본)'!V$12:V$113,'사업계획(매출 확정본)'!$M$12:$M$113,'사업계획(원재료)'!$M112,'사업계획(매출 확정본)'!$Q$12:$Q$113,'사업계획(원재료)'!$P112)</f>
        <v>9212000000</v>
      </c>
      <c r="U112" s="973">
        <f>SUMIFS('사업계획(매출 확정본)'!W$12:W$113,'사업계획(매출 확정본)'!$M$12:$M$113,'사업계획(원재료)'!$M112,'사업계획(매출 확정본)'!$Q$12:$Q$113,'사업계획(원재료)'!$P112)</f>
        <v>9875000000</v>
      </c>
      <c r="AG112" s="968"/>
      <c r="AH112" s="823"/>
      <c r="AI112" s="823"/>
      <c r="AJ112" s="823"/>
      <c r="AK112" s="823"/>
      <c r="AL112" s="823"/>
      <c r="AN112" s="1057"/>
      <c r="AQ112" s="972"/>
    </row>
    <row r="113" spans="7:52" x14ac:dyDescent="0.3">
      <c r="K113" s="968"/>
      <c r="L113" s="968"/>
      <c r="M113" s="968" t="s">
        <v>2836</v>
      </c>
      <c r="N113" s="968" t="s">
        <v>2860</v>
      </c>
      <c r="O113" s="969" t="s">
        <v>2868</v>
      </c>
      <c r="P113" s="968" t="s">
        <v>3075</v>
      </c>
      <c r="Q113" s="1050">
        <f>VLOOKUP(M110,'제품별 원재료비 '!$O$4:$S$48,5,FALSE)*Q110</f>
        <v>3758511500</v>
      </c>
      <c r="R113" s="973">
        <f>Q113*(1+$V$6)/Q110*R110</f>
        <v>4544974600</v>
      </c>
      <c r="S113" s="973">
        <f t="shared" ref="S113:U113" si="75">R113*(1+$V$6)/R110*S110</f>
        <v>5704852117.920001</v>
      </c>
      <c r="T113" s="973">
        <f t="shared" si="75"/>
        <v>6091593551.0806608</v>
      </c>
      <c r="U113" s="973">
        <f t="shared" si="75"/>
        <v>6501843729.0105829</v>
      </c>
      <c r="W113" s="1463">
        <f>Q113/Q112</f>
        <v>0.66847692307692308</v>
      </c>
      <c r="AG113" s="1051"/>
      <c r="AH113" s="823"/>
      <c r="AI113" s="823"/>
      <c r="AJ113" s="823"/>
      <c r="AK113" s="823"/>
      <c r="AL113" s="823"/>
      <c r="AQ113" s="968"/>
    </row>
    <row r="114" spans="7:52" x14ac:dyDescent="0.3">
      <c r="G114" s="153" t="s">
        <v>2045</v>
      </c>
      <c r="H114" s="153" t="s">
        <v>2049</v>
      </c>
      <c r="I114" s="153" t="s">
        <v>2024</v>
      </c>
      <c r="K114" s="968"/>
      <c r="L114" s="968" t="s">
        <v>2800</v>
      </c>
      <c r="M114" s="968" t="s">
        <v>2840</v>
      </c>
      <c r="N114" s="968" t="s">
        <v>2860</v>
      </c>
      <c r="O114" s="969" t="s">
        <v>2872</v>
      </c>
      <c r="P114" s="968" t="s">
        <v>2862</v>
      </c>
      <c r="Q114" s="972">
        <f>SUMIFS('사업계획(매출 확정본)'!S$12:S$113,'사업계획(매출 확정본)'!$M$12:$M$113,'사업계획(원재료)'!$M114,'사업계획(매출 확정본)'!$Q$12:$Q$113,'사업계획(원재료)'!$P114)</f>
        <v>8</v>
      </c>
      <c r="R114" s="972">
        <f>SUMIFS('사업계획(매출 확정본)'!T$12:T$113,'사업계획(매출 확정본)'!$M$12:$M$113,'사업계획(원재료)'!$M114,'사업계획(매출 확정본)'!$Q$12:$Q$113,'사업계획(원재료)'!$P114)</f>
        <v>8</v>
      </c>
      <c r="S114" s="972">
        <f>SUMIFS('사업계획(매출 확정본)'!U$12:U$113,'사업계획(매출 확정본)'!$M$12:$M$113,'사업계획(원재료)'!$M114,'사업계획(매출 확정본)'!$Q$12:$Q$113,'사업계획(원재료)'!$P114)</f>
        <v>31</v>
      </c>
      <c r="T114" s="972">
        <f>SUMIFS('사업계획(매출 확정본)'!V$12:V$113,'사업계획(매출 확정본)'!$M$12:$M$113,'사업계획(원재료)'!$M114,'사업계획(매출 확정본)'!$Q$12:$Q$113,'사업계획(원재료)'!$P114)</f>
        <v>29</v>
      </c>
      <c r="U114" s="972">
        <f>SUMIFS('사업계획(매출 확정본)'!W$12:W$113,'사업계획(매출 확정본)'!$M$12:$M$113,'사업계획(원재료)'!$M114,'사업계획(매출 확정본)'!$Q$12:$Q$113,'사업계획(원재료)'!$P114)</f>
        <v>29</v>
      </c>
      <c r="W114" s="972">
        <v>18</v>
      </c>
      <c r="X114" s="972">
        <v>20</v>
      </c>
      <c r="Y114" s="972">
        <v>45</v>
      </c>
      <c r="Z114" s="972">
        <v>45</v>
      </c>
      <c r="AA114" s="972">
        <v>40</v>
      </c>
      <c r="AB114" s="1048"/>
      <c r="AC114" s="1048"/>
      <c r="AG114" s="968"/>
      <c r="AH114" s="1466"/>
      <c r="AI114" s="1466"/>
      <c r="AJ114" s="1466"/>
      <c r="AK114" s="1466"/>
      <c r="AL114" s="1466"/>
      <c r="AY114" s="153" t="s">
        <v>2882</v>
      </c>
      <c r="AZ114" s="153" t="s">
        <v>2876</v>
      </c>
    </row>
    <row r="115" spans="7:52" x14ac:dyDescent="0.3">
      <c r="H115" s="153" t="s">
        <v>2049</v>
      </c>
      <c r="I115" s="153" t="s">
        <v>2024</v>
      </c>
      <c r="K115" s="968"/>
      <c r="L115" s="968"/>
      <c r="M115" s="968" t="s">
        <v>2840</v>
      </c>
      <c r="N115" s="968" t="s">
        <v>2860</v>
      </c>
      <c r="O115" s="969" t="s">
        <v>2872</v>
      </c>
      <c r="P115" s="968" t="s">
        <v>2865</v>
      </c>
      <c r="Q115" s="973">
        <v>205000000</v>
      </c>
      <c r="R115" s="973">
        <f>ROUND(Q115*1.05,-5)</f>
        <v>215300000</v>
      </c>
      <c r="S115" s="973">
        <f t="shared" ref="S115:U115" si="76">ROUND(R115*1.05,-5)</f>
        <v>226100000</v>
      </c>
      <c r="T115" s="973">
        <f t="shared" si="76"/>
        <v>237400000</v>
      </c>
      <c r="U115" s="973">
        <f t="shared" si="76"/>
        <v>249300000</v>
      </c>
      <c r="V115" s="1553">
        <f>S115/R115-1</f>
        <v>5.0162563864375231E-2</v>
      </c>
      <c r="AG115" s="968"/>
      <c r="AH115" s="1046"/>
      <c r="AY115" s="153" t="s">
        <v>2883</v>
      </c>
      <c r="AZ115" s="153" t="s">
        <v>2884</v>
      </c>
    </row>
    <row r="116" spans="7:52" x14ac:dyDescent="0.3">
      <c r="K116" s="968"/>
      <c r="L116" s="968"/>
      <c r="M116" s="968" t="s">
        <v>2840</v>
      </c>
      <c r="N116" s="968" t="s">
        <v>2860</v>
      </c>
      <c r="O116" s="969" t="s">
        <v>2872</v>
      </c>
      <c r="P116" s="968" t="s">
        <v>2867</v>
      </c>
      <c r="Q116" s="973">
        <f>SUMIFS('사업계획(매출 확정본)'!S$12:S$113,'사업계획(매출 확정본)'!$M$12:$M$113,'사업계획(원재료)'!$M116,'사업계획(매출 확정본)'!$Q$12:$Q$113,'사업계획(원재료)'!$P116)</f>
        <v>1640000000</v>
      </c>
      <c r="R116" s="973">
        <f>SUMIFS('사업계획(매출 확정본)'!T$12:T$113,'사업계획(매출 확정본)'!$M$12:$M$113,'사업계획(원재료)'!$M116,'사업계획(매출 확정본)'!$Q$12:$Q$113,'사업계획(원재료)'!$P116)</f>
        <v>1722400000</v>
      </c>
      <c r="S116" s="973">
        <f>SUMIFS('사업계획(매출 확정본)'!U$12:U$113,'사업계획(매출 확정본)'!$M$12:$M$113,'사업계획(원재료)'!$M116,'사업계획(매출 확정본)'!$Q$12:$Q$113,'사업계획(원재료)'!$P116)</f>
        <v>7009100000</v>
      </c>
      <c r="T116" s="973">
        <f>SUMIFS('사업계획(매출 확정본)'!V$12:V$113,'사업계획(매출 확정본)'!$M$12:$M$113,'사업계획(원재료)'!$M116,'사업계획(매출 확정본)'!$Q$12:$Q$113,'사업계획(원재료)'!$P116)</f>
        <v>6884600000</v>
      </c>
      <c r="U116" s="973">
        <f>SUMIFS('사업계획(매출 확정본)'!W$12:W$113,'사업계획(매출 확정본)'!$M$12:$M$113,'사업계획(원재료)'!$M116,'사업계획(매출 확정본)'!$Q$12:$Q$113,'사업계획(원재료)'!$P116)</f>
        <v>7229700000</v>
      </c>
      <c r="W116" s="1457">
        <f>Q117/Q116</f>
        <v>0.60850131707317068</v>
      </c>
      <c r="AG116" s="968"/>
      <c r="AH116" s="819"/>
      <c r="AN116" s="1467"/>
      <c r="AQ116" s="972"/>
    </row>
    <row r="117" spans="7:52" x14ac:dyDescent="0.3">
      <c r="K117" s="968"/>
      <c r="L117" s="968"/>
      <c r="M117" s="968" t="s">
        <v>2840</v>
      </c>
      <c r="N117" s="1055" t="s">
        <v>2860</v>
      </c>
      <c r="O117" s="1056" t="s">
        <v>2872</v>
      </c>
      <c r="P117" s="1055" t="s">
        <v>3075</v>
      </c>
      <c r="Q117" s="1050">
        <f>VLOOKUP(M114,'제품별 원재료비 '!$O$4:$S$48,5,FALSE)*Q114</f>
        <v>997942160</v>
      </c>
      <c r="R117" s="973">
        <f>Q117*(1+$V$6)/Q114*R114</f>
        <v>1043847499.36</v>
      </c>
      <c r="S117" s="973">
        <f t="shared" ref="S117:U117" si="77">R117*(1+$V$6)/R114*S114</f>
        <v>4230974876.78092</v>
      </c>
      <c r="T117" s="973">
        <f t="shared" si="77"/>
        <v>4140077158.4604011</v>
      </c>
      <c r="U117" s="973">
        <f t="shared" si="77"/>
        <v>4330520707.7495794</v>
      </c>
      <c r="AG117" s="1051"/>
      <c r="AH117" s="1466"/>
      <c r="AI117" s="1466"/>
      <c r="AJ117" s="1466"/>
      <c r="AK117" s="1466"/>
      <c r="AL117" s="1466"/>
      <c r="AQ117" s="968"/>
    </row>
    <row r="118" spans="7:52" x14ac:dyDescent="0.3">
      <c r="G118" s="153" t="s">
        <v>2055</v>
      </c>
      <c r="H118" s="153" t="s">
        <v>2049</v>
      </c>
      <c r="I118" s="153" t="s">
        <v>2024</v>
      </c>
      <c r="K118" s="968"/>
      <c r="L118" s="968" t="s">
        <v>2800</v>
      </c>
      <c r="M118" s="968" t="s">
        <v>2064</v>
      </c>
      <c r="N118" s="968" t="s">
        <v>648</v>
      </c>
      <c r="O118" s="969" t="s">
        <v>2872</v>
      </c>
      <c r="P118" s="968" t="s">
        <v>2862</v>
      </c>
      <c r="Q118" s="972">
        <f>SUMIFS('사업계획(매출 확정본)'!S$12:S$113,'사업계획(매출 확정본)'!$M$12:$M$113,'사업계획(원재료)'!$M118,'사업계획(매출 확정본)'!$Q$12:$Q$113,'사업계획(원재료)'!$P118)</f>
        <v>35</v>
      </c>
      <c r="R118" s="972">
        <f>SUMIFS('사업계획(매출 확정본)'!T$12:T$113,'사업계획(매출 확정본)'!$M$12:$M$113,'사업계획(원재료)'!$M118,'사업계획(매출 확정본)'!$Q$12:$Q$113,'사업계획(원재료)'!$P118)</f>
        <v>25</v>
      </c>
      <c r="S118" s="972">
        <f>SUMIFS('사업계획(매출 확정본)'!U$12:U$113,'사업계획(매출 확정본)'!$M$12:$M$113,'사업계획(원재료)'!$M118,'사업계획(매출 확정본)'!$Q$12:$Q$113,'사업계획(원재료)'!$P118)</f>
        <v>30</v>
      </c>
      <c r="T118" s="972">
        <f>SUMIFS('사업계획(매출 확정본)'!V$12:V$113,'사업계획(매출 확정본)'!$M$12:$M$113,'사업계획(원재료)'!$M118,'사업계획(매출 확정본)'!$Q$12:$Q$113,'사업계획(원재료)'!$P118)</f>
        <v>20</v>
      </c>
      <c r="U118" s="972">
        <f>SUMIFS('사업계획(매출 확정본)'!W$12:W$113,'사업계획(매출 확정본)'!$M$12:$M$113,'사업계획(원재료)'!$M118,'사업계획(매출 확정본)'!$Q$12:$Q$113,'사업계획(원재료)'!$P118)</f>
        <v>10</v>
      </c>
      <c r="W118" s="972">
        <v>46</v>
      </c>
      <c r="X118" s="972">
        <v>65</v>
      </c>
      <c r="Y118" s="972">
        <v>60</v>
      </c>
      <c r="Z118" s="972">
        <v>65</v>
      </c>
      <c r="AA118" s="972">
        <v>65</v>
      </c>
      <c r="AB118" s="1048"/>
      <c r="AC118" s="1048"/>
      <c r="AG118" s="968"/>
      <c r="AH118" s="823"/>
      <c r="AI118" s="823"/>
      <c r="AJ118" s="823"/>
      <c r="AK118" s="823"/>
      <c r="AL118" s="823"/>
      <c r="AY118" s="153" t="s">
        <v>2886</v>
      </c>
      <c r="AZ118" s="153" t="s">
        <v>2866</v>
      </c>
    </row>
    <row r="119" spans="7:52" x14ac:dyDescent="0.3">
      <c r="H119" s="153" t="s">
        <v>2049</v>
      </c>
      <c r="I119" s="153" t="s">
        <v>2024</v>
      </c>
      <c r="K119" s="968"/>
      <c r="L119" s="968"/>
      <c r="M119" s="968" t="s">
        <v>2064</v>
      </c>
      <c r="N119" s="968" t="s">
        <v>648</v>
      </c>
      <c r="O119" s="969" t="s">
        <v>2872</v>
      </c>
      <c r="P119" s="968" t="s">
        <v>2865</v>
      </c>
      <c r="Q119" s="973">
        <v>183500000</v>
      </c>
      <c r="R119" s="973">
        <f>ROUND(Q119*1.05,-5)</f>
        <v>192700000</v>
      </c>
      <c r="S119" s="973">
        <f t="shared" ref="S119:U119" si="78">ROUND(R119*1.05,-5)</f>
        <v>202300000</v>
      </c>
      <c r="T119" s="973">
        <f t="shared" si="78"/>
        <v>212400000</v>
      </c>
      <c r="U119" s="973">
        <f t="shared" si="78"/>
        <v>223000000</v>
      </c>
      <c r="W119" s="973">
        <v>183500000</v>
      </c>
      <c r="X119" s="973">
        <f>ROUND(W119*1.05,-5)</f>
        <v>192700000</v>
      </c>
      <c r="Y119" s="973">
        <f t="shared" ref="Y119:AA119" si="79">ROUND(X119*1.05,-5)</f>
        <v>202300000</v>
      </c>
      <c r="Z119" s="973">
        <f t="shared" si="79"/>
        <v>212400000</v>
      </c>
      <c r="AA119" s="973">
        <f t="shared" si="79"/>
        <v>223000000</v>
      </c>
      <c r="AB119" s="979"/>
      <c r="AC119" s="979"/>
      <c r="AG119" s="968"/>
      <c r="AH119" s="1046"/>
      <c r="AY119" s="153" t="s">
        <v>2052</v>
      </c>
      <c r="AZ119" s="153" t="s">
        <v>2887</v>
      </c>
    </row>
    <row r="120" spans="7:52" x14ac:dyDescent="0.3">
      <c r="K120" s="968"/>
      <c r="L120" s="968"/>
      <c r="M120" s="968" t="s">
        <v>2064</v>
      </c>
      <c r="N120" s="968" t="s">
        <v>648</v>
      </c>
      <c r="O120" s="969" t="s">
        <v>2872</v>
      </c>
      <c r="P120" s="968" t="s">
        <v>2867</v>
      </c>
      <c r="Q120" s="973">
        <f>SUMIFS('사업계획(매출 확정본)'!S$12:S$113,'사업계획(매출 확정본)'!$M$12:$M$113,'사업계획(원재료)'!$M120,'사업계획(매출 확정본)'!$Q$12:$Q$113,'사업계획(원재료)'!$P120)</f>
        <v>6422500000</v>
      </c>
      <c r="R120" s="973">
        <f>SUMIFS('사업계획(매출 확정본)'!T$12:T$113,'사업계획(매출 확정본)'!$M$12:$M$113,'사업계획(원재료)'!$M120,'사업계획(매출 확정본)'!$Q$12:$Q$113,'사업계획(원재료)'!$P120)</f>
        <v>4817500000</v>
      </c>
      <c r="S120" s="973">
        <f>SUMIFS('사업계획(매출 확정본)'!U$12:U$113,'사업계획(매출 확정본)'!$M$12:$M$113,'사업계획(원재료)'!$M120,'사업계획(매출 확정본)'!$Q$12:$Q$113,'사업계획(원재료)'!$P120)</f>
        <v>6069000000</v>
      </c>
      <c r="T120" s="973">
        <f>SUMIFS('사업계획(매출 확정본)'!V$12:V$113,'사업계획(매출 확정본)'!$M$12:$M$113,'사업계획(원재료)'!$M120,'사업계획(매출 확정본)'!$Q$12:$Q$113,'사업계획(원재료)'!$P120)</f>
        <v>4248000000</v>
      </c>
      <c r="U120" s="973">
        <f>SUMIFS('사업계획(매출 확정본)'!W$12:W$113,'사업계획(매출 확정본)'!$M$12:$M$113,'사업계획(원재료)'!$M120,'사업계획(매출 확정본)'!$Q$12:$Q$113,'사업계획(원재료)'!$P120)</f>
        <v>2230000000</v>
      </c>
      <c r="W120" s="979"/>
      <c r="X120" s="979"/>
      <c r="Y120" s="979"/>
      <c r="Z120" s="979"/>
      <c r="AA120" s="979"/>
      <c r="AB120" s="979"/>
      <c r="AC120" s="979"/>
      <c r="AG120" s="968"/>
      <c r="AH120" s="823"/>
      <c r="AI120" s="823"/>
      <c r="AJ120" s="823"/>
      <c r="AK120" s="823"/>
      <c r="AL120" s="823"/>
      <c r="AQ120" s="972"/>
    </row>
    <row r="121" spans="7:52" x14ac:dyDescent="0.3">
      <c r="K121" s="968"/>
      <c r="L121" s="968"/>
      <c r="M121" s="968" t="s">
        <v>2064</v>
      </c>
      <c r="N121" s="968" t="s">
        <v>648</v>
      </c>
      <c r="O121" s="969" t="s">
        <v>2872</v>
      </c>
      <c r="P121" s="968" t="s">
        <v>3075</v>
      </c>
      <c r="Q121" s="1050">
        <f>VLOOKUP(M118,'제품별 원재료비 '!$O$4:$S$48,5,FALSE)*Q118</f>
        <v>3778775000</v>
      </c>
      <c r="R121" s="973">
        <f>Q121*(1+$V$6)/Q118*R118</f>
        <v>2823284750</v>
      </c>
      <c r="S121" s="973">
        <f t="shared" ref="S121:U121" si="80">R121*(1+$V$6)/R118*S118</f>
        <v>3543787018.1999998</v>
      </c>
      <c r="T121" s="973">
        <f t="shared" si="80"/>
        <v>2471200814.0248003</v>
      </c>
      <c r="U121" s="973">
        <f t="shared" si="80"/>
        <v>1292438025.7349706</v>
      </c>
      <c r="W121" s="979"/>
      <c r="X121" s="979"/>
      <c r="Y121" s="979"/>
      <c r="Z121" s="979"/>
      <c r="AA121" s="979"/>
      <c r="AB121" s="979"/>
      <c r="AC121" s="979"/>
      <c r="AG121" s="1051"/>
      <c r="AH121" s="823"/>
      <c r="AI121" s="823"/>
      <c r="AJ121" s="823"/>
      <c r="AK121" s="823"/>
      <c r="AL121" s="823"/>
      <c r="AQ121" s="968"/>
    </row>
    <row r="122" spans="7:52" x14ac:dyDescent="0.3">
      <c r="H122" s="153" t="s">
        <v>2049</v>
      </c>
      <c r="I122" s="153" t="s">
        <v>2024</v>
      </c>
      <c r="K122" s="968"/>
      <c r="L122" s="968" t="s">
        <v>2800</v>
      </c>
      <c r="M122" s="968" t="s">
        <v>2842</v>
      </c>
      <c r="N122" s="968" t="s">
        <v>3230</v>
      </c>
      <c r="O122" s="969" t="s">
        <v>2868</v>
      </c>
      <c r="P122" s="968" t="s">
        <v>2862</v>
      </c>
      <c r="Q122" s="972">
        <f>SUMIFS('사업계획(매출 확정본)'!S$12:S$113,'사업계획(매출 확정본)'!$M$12:$M$113,'사업계획(원재료)'!$M122,'사업계획(매출 확정본)'!$Q$12:$Q$113,'사업계획(원재료)'!$P122)</f>
        <v>4</v>
      </c>
      <c r="R122" s="972">
        <f>SUMIFS('사업계획(매출 확정본)'!T$12:T$113,'사업계획(매출 확정본)'!$M$12:$M$113,'사업계획(원재료)'!$M122,'사업계획(매출 확정본)'!$Q$12:$Q$113,'사업계획(원재료)'!$P122)</f>
        <v>10</v>
      </c>
      <c r="S122" s="972">
        <f>SUMIFS('사업계획(매출 확정본)'!U$12:U$113,'사업계획(매출 확정본)'!$M$12:$M$113,'사업계획(원재료)'!$M122,'사업계획(매출 확정본)'!$Q$12:$Q$113,'사업계획(원재료)'!$P122)</f>
        <v>15</v>
      </c>
      <c r="T122" s="972">
        <f>SUMIFS('사업계획(매출 확정본)'!V$12:V$113,'사업계획(매출 확정본)'!$M$12:$M$113,'사업계획(원재료)'!$M122,'사업계획(매출 확정본)'!$Q$12:$Q$113,'사업계획(원재료)'!$P122)</f>
        <v>20</v>
      </c>
      <c r="U122" s="972">
        <f>SUMIFS('사업계획(매출 확정본)'!W$12:W$113,'사업계획(매출 확정본)'!$M$12:$M$113,'사업계획(원재료)'!$M122,'사업계획(매출 확정본)'!$Q$12:$Q$113,'사업계획(원재료)'!$P122)</f>
        <v>25</v>
      </c>
      <c r="AG122" s="968"/>
      <c r="AH122" s="819"/>
      <c r="AI122" s="819"/>
      <c r="AJ122" s="819"/>
      <c r="AK122" s="819"/>
      <c r="AL122" s="819"/>
      <c r="AP122" s="987"/>
      <c r="AY122" s="153" t="s">
        <v>2050</v>
      </c>
      <c r="AZ122" s="153" t="s">
        <v>2884</v>
      </c>
    </row>
    <row r="123" spans="7:52" x14ac:dyDescent="0.3">
      <c r="G123" s="153" t="s">
        <v>2028</v>
      </c>
      <c r="H123" s="153" t="s">
        <v>2049</v>
      </c>
      <c r="I123" s="153" t="s">
        <v>2024</v>
      </c>
      <c r="K123" s="968"/>
      <c r="L123" s="968"/>
      <c r="M123" s="968" t="s">
        <v>2842</v>
      </c>
      <c r="N123" s="968" t="s">
        <v>3230</v>
      </c>
      <c r="O123" s="969" t="s">
        <v>2868</v>
      </c>
      <c r="P123" s="968" t="s">
        <v>2865</v>
      </c>
      <c r="Q123" s="973">
        <v>44500000</v>
      </c>
      <c r="R123" s="973">
        <f>ROUND(Q123*1.05,-5)</f>
        <v>46700000</v>
      </c>
      <c r="S123" s="973">
        <f t="shared" ref="S123:U123" si="81">ROUND(R123*1.05,-5)</f>
        <v>49000000</v>
      </c>
      <c r="T123" s="973">
        <f t="shared" si="81"/>
        <v>51500000</v>
      </c>
      <c r="U123" s="973">
        <f t="shared" si="81"/>
        <v>54100000</v>
      </c>
      <c r="AG123" s="968"/>
      <c r="AH123" s="1046"/>
      <c r="AP123" s="987"/>
      <c r="AY123" s="153" t="s">
        <v>2026</v>
      </c>
      <c r="AZ123" s="153" t="s">
        <v>2887</v>
      </c>
    </row>
    <row r="124" spans="7:52" x14ac:dyDescent="0.3">
      <c r="K124" s="968"/>
      <c r="L124" s="968"/>
      <c r="M124" s="968" t="s">
        <v>2842</v>
      </c>
      <c r="N124" s="968" t="s">
        <v>3230</v>
      </c>
      <c r="O124" s="969" t="s">
        <v>2868</v>
      </c>
      <c r="P124" s="968" t="s">
        <v>2867</v>
      </c>
      <c r="Q124" s="973">
        <f>SUMIFS('사업계획(매출 확정본)'!S$12:S$113,'사업계획(매출 확정본)'!$M$12:$M$113,'사업계획(원재료)'!$M124,'사업계획(매출 확정본)'!$Q$12:$Q$113,'사업계획(원재료)'!$P124)</f>
        <v>178000000</v>
      </c>
      <c r="R124" s="973">
        <f>SUMIFS('사업계획(매출 확정본)'!T$12:T$113,'사업계획(매출 확정본)'!$M$12:$M$113,'사업계획(원재료)'!$M124,'사업계획(매출 확정본)'!$Q$12:$Q$113,'사업계획(원재료)'!$P124)</f>
        <v>467000000</v>
      </c>
      <c r="S124" s="973">
        <f>SUMIFS('사업계획(매출 확정본)'!U$12:U$113,'사업계획(매출 확정본)'!$M$12:$M$113,'사업계획(원재료)'!$M124,'사업계획(매출 확정본)'!$Q$12:$Q$113,'사업계획(원재료)'!$P124)</f>
        <v>735000000</v>
      </c>
      <c r="T124" s="973">
        <f>SUMIFS('사업계획(매출 확정본)'!V$12:V$113,'사업계획(매출 확정본)'!$M$12:$M$113,'사업계획(원재료)'!$M124,'사업계획(매출 확정본)'!$Q$12:$Q$113,'사업계획(원재료)'!$P124)</f>
        <v>1030000000</v>
      </c>
      <c r="U124" s="973">
        <f>SUMIFS('사업계획(매출 확정본)'!W$12:W$113,'사업계획(매출 확정본)'!$M$12:$M$113,'사업계획(원재료)'!$M124,'사업계획(매출 확정본)'!$Q$12:$Q$113,'사업계획(원재료)'!$P124)</f>
        <v>1352500000</v>
      </c>
      <c r="W124" s="1463">
        <f>Q125/Q124</f>
        <v>0.53913842696629211</v>
      </c>
      <c r="AG124" s="968"/>
      <c r="AH124" s="823"/>
      <c r="AI124" s="823"/>
      <c r="AJ124" s="823"/>
      <c r="AK124" s="823"/>
      <c r="AL124" s="823"/>
      <c r="AP124" s="987"/>
      <c r="AQ124" s="972"/>
    </row>
    <row r="125" spans="7:52" x14ac:dyDescent="0.3">
      <c r="K125" s="968"/>
      <c r="L125" s="968"/>
      <c r="M125" s="968" t="s">
        <v>2842</v>
      </c>
      <c r="N125" s="968" t="s">
        <v>3230</v>
      </c>
      <c r="O125" s="969" t="s">
        <v>2868</v>
      </c>
      <c r="P125" s="968" t="s">
        <v>3075</v>
      </c>
      <c r="Q125" s="1050">
        <f>VLOOKUP(M122,'제품별 원재료비 '!$O$4:$S$48,5,FALSE)*Q122</f>
        <v>95966640</v>
      </c>
      <c r="R125" s="973">
        <f>Q125*(1+$V$6)/Q122*R122</f>
        <v>250952763.59999999</v>
      </c>
      <c r="S125" s="973">
        <f t="shared" ref="S125:U125" si="82">R125*(1+$V$6)/R122*S122</f>
        <v>393744886.08840001</v>
      </c>
      <c r="T125" s="973">
        <f t="shared" si="82"/>
        <v>549142867.79795516</v>
      </c>
      <c r="U125" s="973">
        <f t="shared" si="82"/>
        <v>718004299.64582646</v>
      </c>
      <c r="AG125" s="1051"/>
      <c r="AH125" s="823"/>
      <c r="AI125" s="823"/>
      <c r="AJ125" s="823"/>
      <c r="AK125" s="823"/>
      <c r="AL125" s="823"/>
      <c r="AP125" s="987"/>
      <c r="AQ125" s="968"/>
    </row>
    <row r="126" spans="7:52" x14ac:dyDescent="0.3">
      <c r="H126" s="153" t="s">
        <v>2058</v>
      </c>
      <c r="I126" s="153" t="s">
        <v>2802</v>
      </c>
      <c r="K126" s="968"/>
      <c r="L126" s="968" t="s">
        <v>2889</v>
      </c>
      <c r="M126" s="968" t="s">
        <v>2051</v>
      </c>
      <c r="N126" s="968" t="s">
        <v>648</v>
      </c>
      <c r="O126" s="969" t="s">
        <v>2872</v>
      </c>
      <c r="P126" s="968" t="s">
        <v>2862</v>
      </c>
      <c r="Q126" s="972">
        <f>SUMIFS('사업계획(매출 확정본)'!S$12:S$113,'사업계획(매출 확정본)'!$M$12:$M$113,'사업계획(원재료)'!$M126,'사업계획(매출 확정본)'!$Q$12:$Q$113,'사업계획(원재료)'!$P126)</f>
        <v>26</v>
      </c>
      <c r="R126" s="972">
        <f>SUMIFS('사업계획(매출 확정본)'!T$12:T$113,'사업계획(매출 확정본)'!$M$12:$M$113,'사업계획(원재료)'!$M126,'사업계획(매출 확정본)'!$Q$12:$Q$113,'사업계획(원재료)'!$P126)</f>
        <v>35</v>
      </c>
      <c r="S126" s="972">
        <f>SUMIFS('사업계획(매출 확정본)'!U$12:U$113,'사업계획(매출 확정본)'!$M$12:$M$113,'사업계획(원재료)'!$M126,'사업계획(매출 확정본)'!$Q$12:$Q$113,'사업계획(원재료)'!$P126)</f>
        <v>40</v>
      </c>
      <c r="T126" s="972">
        <f>SUMIFS('사업계획(매출 확정본)'!V$12:V$113,'사업계획(매출 확정본)'!$M$12:$M$113,'사업계획(원재료)'!$M126,'사업계획(매출 확정본)'!$Q$12:$Q$113,'사업계획(원재료)'!$P126)</f>
        <v>40</v>
      </c>
      <c r="U126" s="972">
        <f>SUMIFS('사업계획(매출 확정본)'!W$12:W$113,'사업계획(매출 확정본)'!$M$12:$M$113,'사업계획(원재료)'!$M126,'사업계획(매출 확정본)'!$Q$12:$Q$113,'사업계획(원재료)'!$P126)</f>
        <v>40</v>
      </c>
      <c r="AG126" s="968"/>
      <c r="AH126" s="823"/>
      <c r="AI126" s="823"/>
      <c r="AJ126" s="823"/>
      <c r="AK126" s="823"/>
      <c r="AL126" s="823"/>
      <c r="AP126" s="987"/>
      <c r="AY126" s="153" t="s">
        <v>2890</v>
      </c>
      <c r="AZ126" s="153" t="s">
        <v>2876</v>
      </c>
    </row>
    <row r="127" spans="7:52" x14ac:dyDescent="0.3">
      <c r="G127" s="153" t="s">
        <v>2057</v>
      </c>
      <c r="H127" s="153" t="s">
        <v>2028</v>
      </c>
      <c r="I127" s="153" t="s">
        <v>2023</v>
      </c>
      <c r="K127" s="968"/>
      <c r="L127" s="968"/>
      <c r="M127" s="968" t="s">
        <v>2051</v>
      </c>
      <c r="N127" s="968" t="s">
        <v>648</v>
      </c>
      <c r="O127" s="969" t="s">
        <v>2872</v>
      </c>
      <c r="P127" s="968" t="s">
        <v>2865</v>
      </c>
      <c r="Q127" s="973">
        <v>115000000</v>
      </c>
      <c r="R127" s="973">
        <f>ROUND(Q127*1.05,-5)</f>
        <v>120800000</v>
      </c>
      <c r="S127" s="973">
        <f t="shared" ref="S127:U127" si="83">ROUND(R127*1.05,-5)</f>
        <v>126800000</v>
      </c>
      <c r="T127" s="973">
        <f t="shared" si="83"/>
        <v>133100000</v>
      </c>
      <c r="U127" s="973">
        <f t="shared" si="83"/>
        <v>139800000</v>
      </c>
      <c r="AG127" s="968"/>
      <c r="AH127" s="1046"/>
      <c r="AP127" s="987"/>
      <c r="AY127" s="153" t="s">
        <v>2891</v>
      </c>
      <c r="AZ127" s="153" t="s">
        <v>2887</v>
      </c>
    </row>
    <row r="128" spans="7:52" x14ac:dyDescent="0.3">
      <c r="K128" s="968"/>
      <c r="L128" s="968"/>
      <c r="M128" s="968" t="s">
        <v>2051</v>
      </c>
      <c r="N128" s="968" t="s">
        <v>648</v>
      </c>
      <c r="O128" s="969" t="s">
        <v>2872</v>
      </c>
      <c r="P128" s="968" t="s">
        <v>2867</v>
      </c>
      <c r="Q128" s="973">
        <f>SUMIFS('사업계획(매출 확정본)'!S$12:S$113,'사업계획(매출 확정본)'!$M$12:$M$113,'사업계획(원재료)'!$M128,'사업계획(매출 확정본)'!$Q$12:$Q$113,'사업계획(원재료)'!$P128)</f>
        <v>2990000000</v>
      </c>
      <c r="R128" s="973">
        <f>SUMIFS('사업계획(매출 확정본)'!T$12:T$113,'사업계획(매출 확정본)'!$M$12:$M$113,'사업계획(원재료)'!$M128,'사업계획(매출 확정본)'!$Q$12:$Q$113,'사업계획(원재료)'!$P128)</f>
        <v>4228000000</v>
      </c>
      <c r="S128" s="973">
        <f>SUMIFS('사업계획(매출 확정본)'!U$12:U$113,'사업계획(매출 확정본)'!$M$12:$M$113,'사업계획(원재료)'!$M128,'사업계획(매출 확정본)'!$Q$12:$Q$113,'사업계획(원재료)'!$P128)</f>
        <v>5072000000</v>
      </c>
      <c r="T128" s="973">
        <f>SUMIFS('사업계획(매출 확정본)'!V$12:V$113,'사업계획(매출 확정본)'!$M$12:$M$113,'사업계획(원재료)'!$M128,'사업계획(매출 확정본)'!$Q$12:$Q$113,'사업계획(원재료)'!$P128)</f>
        <v>5324000000</v>
      </c>
      <c r="U128" s="973">
        <f>SUMIFS('사업계획(매출 확정본)'!W$12:W$113,'사업계획(매출 확정본)'!$M$12:$M$113,'사업계획(원재료)'!$M128,'사업계획(매출 확정본)'!$Q$12:$Q$113,'사업계획(원재료)'!$P128)</f>
        <v>5592000000</v>
      </c>
      <c r="AG128" s="968"/>
      <c r="AH128" s="823"/>
      <c r="AI128" s="823"/>
      <c r="AJ128" s="823"/>
      <c r="AK128" s="823"/>
      <c r="AL128" s="823"/>
      <c r="AP128" s="987"/>
      <c r="AQ128" s="988"/>
    </row>
    <row r="129" spans="7:51" x14ac:dyDescent="0.3">
      <c r="K129" s="968"/>
      <c r="L129" s="968"/>
      <c r="M129" s="968" t="s">
        <v>2051</v>
      </c>
      <c r="N129" s="968" t="s">
        <v>648</v>
      </c>
      <c r="O129" s="969" t="s">
        <v>2872</v>
      </c>
      <c r="P129" s="968" t="s">
        <v>3075</v>
      </c>
      <c r="Q129" s="1050">
        <f>VLOOKUP(M126,'제품별 원재료비 '!$O$4:$S$48,5,FALSE)*Q126</f>
        <v>2189412680</v>
      </c>
      <c r="R129" s="973">
        <f>Q129*(1+$V$6)/Q126*R126</f>
        <v>3082861469.8000002</v>
      </c>
      <c r="S129" s="973">
        <f t="shared" ref="S129:U129" si="84">R129*(1+$V$6)/R126*S126</f>
        <v>3685340682.7552004</v>
      </c>
      <c r="T129" s="973">
        <f t="shared" si="84"/>
        <v>3854866354.1619396</v>
      </c>
      <c r="U129" s="973">
        <f t="shared" si="84"/>
        <v>4032190206.4533892</v>
      </c>
      <c r="AG129" s="1051"/>
      <c r="AH129" s="823"/>
      <c r="AI129" s="823"/>
      <c r="AJ129" s="823"/>
      <c r="AK129" s="823"/>
      <c r="AL129" s="823"/>
      <c r="AP129" s="987"/>
      <c r="AQ129" s="968"/>
    </row>
    <row r="130" spans="7:51" x14ac:dyDescent="0.3">
      <c r="H130" s="153" t="s">
        <v>2037</v>
      </c>
      <c r="I130" s="153" t="s">
        <v>2802</v>
      </c>
      <c r="K130" s="968"/>
      <c r="L130" s="968" t="s">
        <v>2800</v>
      </c>
      <c r="M130" s="968" t="s">
        <v>2846</v>
      </c>
      <c r="N130" s="968" t="s">
        <v>649</v>
      </c>
      <c r="O130" s="969" t="s">
        <v>2887</v>
      </c>
      <c r="P130" s="968" t="s">
        <v>2862</v>
      </c>
      <c r="Q130" s="972">
        <f>SUMIFS('사업계획(매출 확정본)'!S$12:S$113,'사업계획(매출 확정본)'!$M$12:$M$113,'사업계획(원재료)'!$M130,'사업계획(매출 확정본)'!$Q$12:$Q$113,'사업계획(원재료)'!$P130)</f>
        <v>15</v>
      </c>
      <c r="R130" s="972">
        <f>SUMIFS('사업계획(매출 확정본)'!T$12:T$113,'사업계획(매출 확정본)'!$M$12:$M$113,'사업계획(원재료)'!$M130,'사업계획(매출 확정본)'!$Q$12:$Q$113,'사업계획(원재료)'!$P130)</f>
        <v>25</v>
      </c>
      <c r="S130" s="972">
        <f>SUMIFS('사업계획(매출 확정본)'!U$12:U$113,'사업계획(매출 확정본)'!$M$12:$M$113,'사업계획(원재료)'!$M130,'사업계획(매출 확정본)'!$Q$12:$Q$113,'사업계획(원재료)'!$P130)</f>
        <v>40</v>
      </c>
      <c r="T130" s="972">
        <f>SUMIFS('사업계획(매출 확정본)'!V$12:V$113,'사업계획(매출 확정본)'!$M$12:$M$113,'사업계획(원재료)'!$M130,'사업계획(매출 확정본)'!$Q$12:$Q$113,'사업계획(원재료)'!$P130)</f>
        <v>45</v>
      </c>
      <c r="U130" s="972">
        <f>SUMIFS('사업계획(매출 확정본)'!W$12:W$113,'사업계획(매출 확정본)'!$M$12:$M$113,'사업계획(원재료)'!$M130,'사업계획(매출 확정본)'!$Q$12:$Q$113,'사업계획(원재료)'!$P130)</f>
        <v>50</v>
      </c>
      <c r="AG130" s="968"/>
      <c r="AH130" s="823"/>
      <c r="AI130" s="823"/>
      <c r="AJ130" s="823"/>
      <c r="AK130" s="823"/>
      <c r="AL130" s="823"/>
      <c r="AP130" s="987"/>
      <c r="AY130" s="153" t="s">
        <v>2894</v>
      </c>
    </row>
    <row r="131" spans="7:51" x14ac:dyDescent="0.3">
      <c r="G131" s="153" t="s">
        <v>2053</v>
      </c>
      <c r="H131" s="153" t="s">
        <v>2038</v>
      </c>
      <c r="I131" s="153" t="s">
        <v>2802</v>
      </c>
      <c r="K131" s="968"/>
      <c r="L131" s="968"/>
      <c r="M131" s="968" t="s">
        <v>2846</v>
      </c>
      <c r="N131" s="968" t="s">
        <v>649</v>
      </c>
      <c r="O131" s="969" t="s">
        <v>2887</v>
      </c>
      <c r="P131" s="968" t="s">
        <v>2865</v>
      </c>
      <c r="Q131" s="973">
        <v>36900000</v>
      </c>
      <c r="R131" s="973">
        <f>ROUND(Q131*1.05,-5)</f>
        <v>38700000</v>
      </c>
      <c r="S131" s="973">
        <f t="shared" ref="S131:U131" si="85">ROUND(R131*1.05,-5)</f>
        <v>40600000</v>
      </c>
      <c r="T131" s="973">
        <f t="shared" si="85"/>
        <v>42600000</v>
      </c>
      <c r="U131" s="973">
        <f t="shared" si="85"/>
        <v>44700000</v>
      </c>
      <c r="AG131" s="968"/>
      <c r="AH131" s="1046"/>
      <c r="AP131" s="987"/>
      <c r="AY131" s="153" t="s">
        <v>2895</v>
      </c>
    </row>
    <row r="132" spans="7:51" x14ac:dyDescent="0.3">
      <c r="K132" s="968"/>
      <c r="L132" s="968"/>
      <c r="M132" s="968" t="s">
        <v>2846</v>
      </c>
      <c r="N132" s="968" t="s">
        <v>649</v>
      </c>
      <c r="O132" s="969" t="s">
        <v>2887</v>
      </c>
      <c r="P132" s="968" t="s">
        <v>2867</v>
      </c>
      <c r="Q132" s="973">
        <f>SUMIFS('사업계획(매출 확정본)'!S$12:S$113,'사업계획(매출 확정본)'!$M$12:$M$113,'사업계획(원재료)'!$M132,'사업계획(매출 확정본)'!$Q$12:$Q$113,'사업계획(원재료)'!$P132)</f>
        <v>553500000</v>
      </c>
      <c r="R132" s="973">
        <f>SUMIFS('사업계획(매출 확정본)'!T$12:T$113,'사업계획(매출 확정본)'!$M$12:$M$113,'사업계획(원재료)'!$M132,'사업계획(매출 확정본)'!$Q$12:$Q$113,'사업계획(원재료)'!$P132)</f>
        <v>967500000</v>
      </c>
      <c r="S132" s="973">
        <f>SUMIFS('사업계획(매출 확정본)'!U$12:U$113,'사업계획(매출 확정본)'!$M$12:$M$113,'사업계획(원재료)'!$M132,'사업계획(매출 확정본)'!$Q$12:$Q$113,'사업계획(원재료)'!$P132)</f>
        <v>1624000000</v>
      </c>
      <c r="T132" s="973">
        <f>SUMIFS('사업계획(매출 확정본)'!V$12:V$113,'사업계획(매출 확정본)'!$M$12:$M$113,'사업계획(원재료)'!$M132,'사업계획(매출 확정본)'!$Q$12:$Q$113,'사업계획(원재료)'!$P132)</f>
        <v>1917000000</v>
      </c>
      <c r="U132" s="973">
        <f>SUMIFS('사업계획(매출 확정본)'!W$12:W$113,'사업계획(매출 확정본)'!$M$12:$M$113,'사업계획(원재료)'!$M132,'사업계획(매출 확정본)'!$Q$12:$Q$113,'사업계획(원재료)'!$P132)</f>
        <v>2235000000</v>
      </c>
      <c r="AG132" s="968"/>
      <c r="AP132" s="987"/>
      <c r="AQ132" s="988"/>
    </row>
    <row r="133" spans="7:51" x14ac:dyDescent="0.3">
      <c r="K133" s="968"/>
      <c r="L133" s="968"/>
      <c r="M133" s="968" t="s">
        <v>2846</v>
      </c>
      <c r="N133" s="968" t="s">
        <v>649</v>
      </c>
      <c r="O133" s="969" t="s">
        <v>2887</v>
      </c>
      <c r="P133" s="968" t="s">
        <v>3075</v>
      </c>
      <c r="Q133" s="1050">
        <f>VLOOKUP(M130,'제품별 원재료비 '!$O$4:$S$48,5,FALSE)*Q130</f>
        <v>372742500</v>
      </c>
      <c r="R133" s="973">
        <f>Q133*(1+$V$6)/Q130*R130</f>
        <v>649814425</v>
      </c>
      <c r="S133" s="973">
        <f t="shared" ref="S133:U133" si="86">R133*(1+$V$6)/R130*S130</f>
        <v>1087529421.6800001</v>
      </c>
      <c r="T133" s="973">
        <f t="shared" si="86"/>
        <v>1279750246.9619401</v>
      </c>
      <c r="U133" s="973">
        <f t="shared" si="86"/>
        <v>1487354175.9135437</v>
      </c>
      <c r="AG133" s="1051"/>
      <c r="AP133" s="987"/>
      <c r="AQ133" s="968"/>
    </row>
    <row r="134" spans="7:51" x14ac:dyDescent="0.3">
      <c r="H134" s="153" t="s">
        <v>2037</v>
      </c>
      <c r="I134" s="153" t="s">
        <v>2802</v>
      </c>
      <c r="K134" s="968"/>
      <c r="L134" s="968" t="s">
        <v>2896</v>
      </c>
      <c r="M134" s="968" t="s">
        <v>2878</v>
      </c>
      <c r="N134" s="968" t="s">
        <v>2139</v>
      </c>
      <c r="O134" s="969" t="s">
        <v>2868</v>
      </c>
      <c r="P134" s="968" t="s">
        <v>2862</v>
      </c>
      <c r="Q134" s="972">
        <f>SUMIFS('사업계획(매출 확정본)'!S$12:S$113,'사업계획(매출 확정본)'!$M$12:$M$113,'사업계획(원재료)'!$M134,'사업계획(매출 확정본)'!$Q$12:$Q$113,'사업계획(원재료)'!$P134)</f>
        <v>16</v>
      </c>
      <c r="R134" s="972">
        <f>SUMIFS('사업계획(매출 확정본)'!T$12:T$113,'사업계획(매출 확정본)'!$M$12:$M$113,'사업계획(원재료)'!$M134,'사업계획(매출 확정본)'!$Q$12:$Q$113,'사업계획(원재료)'!$P134)</f>
        <v>25</v>
      </c>
      <c r="S134" s="972">
        <f>SUMIFS('사업계획(매출 확정본)'!U$12:U$113,'사업계획(매출 확정본)'!$M$12:$M$113,'사업계획(원재료)'!$M134,'사업계획(매출 확정본)'!$Q$12:$Q$113,'사업계획(원재료)'!$P134)</f>
        <v>45</v>
      </c>
      <c r="T134" s="972">
        <f>SUMIFS('사업계획(매출 확정본)'!V$12:V$113,'사업계획(매출 확정본)'!$M$12:$M$113,'사업계획(원재료)'!$M134,'사업계획(매출 확정본)'!$Q$12:$Q$113,'사업계획(원재료)'!$P134)</f>
        <v>40</v>
      </c>
      <c r="U134" s="972">
        <f>SUMIFS('사업계획(매출 확정본)'!W$12:W$113,'사업계획(매출 확정본)'!$M$12:$M$113,'사업계획(원재료)'!$M134,'사업계획(매출 확정본)'!$Q$12:$Q$113,'사업계획(원재료)'!$P134)</f>
        <v>40</v>
      </c>
      <c r="AE134" s="153" t="s">
        <v>3228</v>
      </c>
      <c r="AH134" s="980">
        <f>SUM(AH102,AH106,AH110,AH114,AH118,AH122,AH126,AH130)</f>
        <v>0</v>
      </c>
      <c r="AI134" s="980">
        <f t="shared" ref="AI134:AL134" si="87">SUM(AI102,AI106,AI110,AI114,AI118,AI122,AI126,AI130)</f>
        <v>0</v>
      </c>
      <c r="AJ134" s="980">
        <f t="shared" si="87"/>
        <v>0</v>
      </c>
      <c r="AK134" s="980">
        <f t="shared" si="87"/>
        <v>0</v>
      </c>
      <c r="AL134" s="980">
        <f t="shared" si="87"/>
        <v>0</v>
      </c>
      <c r="AP134" s="987" t="s">
        <v>2158</v>
      </c>
      <c r="AQ134" s="153" t="s">
        <v>2932</v>
      </c>
    </row>
    <row r="135" spans="7:51" x14ac:dyDescent="0.3">
      <c r="G135" s="153" t="s">
        <v>2030</v>
      </c>
      <c r="H135" s="153" t="s">
        <v>2028</v>
      </c>
      <c r="I135" s="153" t="s">
        <v>2023</v>
      </c>
      <c r="K135" s="968"/>
      <c r="L135" s="968"/>
      <c r="M135" s="968" t="s">
        <v>2878</v>
      </c>
      <c r="N135" s="968" t="s">
        <v>2139</v>
      </c>
      <c r="O135" s="969" t="s">
        <v>2868</v>
      </c>
      <c r="P135" s="968" t="s">
        <v>2865</v>
      </c>
      <c r="Q135" s="973">
        <v>42000000</v>
      </c>
      <c r="R135" s="973">
        <f>ROUND(Q135*1.05,-5)</f>
        <v>44100000</v>
      </c>
      <c r="S135" s="973">
        <f t="shared" ref="S135:U135" si="88">ROUND(R135*1.05,-5)</f>
        <v>46300000</v>
      </c>
      <c r="T135" s="973">
        <f t="shared" si="88"/>
        <v>48600000</v>
      </c>
      <c r="U135" s="973">
        <f t="shared" si="88"/>
        <v>51000000</v>
      </c>
      <c r="V135" s="1553">
        <f>S135/R135-1</f>
        <v>4.9886621315192725E-2</v>
      </c>
      <c r="W135" s="1463">
        <f>Q137/Q136</f>
        <v>0.64628214285714281</v>
      </c>
      <c r="AP135" s="987" t="s">
        <v>2158</v>
      </c>
      <c r="AQ135" s="153" t="s">
        <v>183</v>
      </c>
    </row>
    <row r="136" spans="7:51" x14ac:dyDescent="0.3">
      <c r="K136" s="968"/>
      <c r="L136" s="968"/>
      <c r="M136" s="968" t="s">
        <v>2878</v>
      </c>
      <c r="N136" s="968" t="s">
        <v>2139</v>
      </c>
      <c r="O136" s="969" t="s">
        <v>2868</v>
      </c>
      <c r="P136" s="968" t="s">
        <v>2867</v>
      </c>
      <c r="Q136" s="973">
        <f>SUMIFS('사업계획(매출 확정본)'!S$12:S$113,'사업계획(매출 확정본)'!$M$12:$M$113,'사업계획(원재료)'!$M136,'사업계획(매출 확정본)'!$Q$12:$Q$113,'사업계획(원재료)'!$P136)</f>
        <v>672000000</v>
      </c>
      <c r="R136" s="973">
        <f>SUMIFS('사업계획(매출 확정본)'!T$12:T$113,'사업계획(매출 확정본)'!$M$12:$M$113,'사업계획(원재료)'!$M136,'사업계획(매출 확정본)'!$Q$12:$Q$113,'사업계획(원재료)'!$P136)</f>
        <v>1102500000</v>
      </c>
      <c r="S136" s="973">
        <f>SUMIFS('사업계획(매출 확정본)'!U$12:U$113,'사업계획(매출 확정본)'!$M$12:$M$113,'사업계획(원재료)'!$M136,'사업계획(매출 확정본)'!$Q$12:$Q$113,'사업계획(원재료)'!$P136)</f>
        <v>2083500000</v>
      </c>
      <c r="T136" s="973">
        <f>SUMIFS('사업계획(매출 확정본)'!V$12:V$113,'사업계획(매출 확정본)'!$M$12:$M$113,'사업계획(원재료)'!$M136,'사업계획(매출 확정본)'!$Q$12:$Q$113,'사업계획(원재료)'!$P136)</f>
        <v>1944000000</v>
      </c>
      <c r="U136" s="973">
        <f>SUMIFS('사업계획(매출 확정본)'!W$12:W$113,'사업계획(매출 확정본)'!$M$12:$M$113,'사업계획(원재료)'!$M136,'사업계획(매출 확정본)'!$Q$12:$Q$113,'사업계획(원재료)'!$P136)</f>
        <v>2040000000</v>
      </c>
      <c r="AE136" s="153" t="s">
        <v>2897</v>
      </c>
      <c r="AH136" s="991">
        <f>AH134+AH11</f>
        <v>0</v>
      </c>
      <c r="AI136" s="991">
        <f>AI134+AI11</f>
        <v>0</v>
      </c>
      <c r="AJ136" s="991">
        <f>AJ134+AJ11</f>
        <v>0</v>
      </c>
      <c r="AK136" s="991">
        <f>AK134+AK11</f>
        <v>0</v>
      </c>
      <c r="AL136" s="991">
        <f>AL134+AL11</f>
        <v>0</v>
      </c>
      <c r="AP136" s="987" t="s">
        <v>2158</v>
      </c>
      <c r="AQ136" s="988" t="s">
        <v>57</v>
      </c>
    </row>
    <row r="137" spans="7:51" x14ac:dyDescent="0.3">
      <c r="K137" s="968"/>
      <c r="L137" s="968"/>
      <c r="M137" s="968" t="s">
        <v>2878</v>
      </c>
      <c r="N137" s="968" t="s">
        <v>2139</v>
      </c>
      <c r="O137" s="969" t="s">
        <v>2868</v>
      </c>
      <c r="P137" s="968" t="s">
        <v>3075</v>
      </c>
      <c r="Q137" s="1050">
        <f>VLOOKUP(M134,'제품별 원재료비 '!$O$4:$S$48,5,FALSE)*Q134</f>
        <v>434301600</v>
      </c>
      <c r="R137" s="973">
        <f>Q137*(1+$V$6)/Q134*R134</f>
        <v>709811677.5</v>
      </c>
      <c r="S137" s="973">
        <f t="shared" ref="S137:U137" si="89">R137*(1+$V$6)/R134*S134</f>
        <v>1336433426.3970001</v>
      </c>
      <c r="T137" s="973">
        <f t="shared" si="89"/>
        <v>1242586101.3433442</v>
      </c>
      <c r="U137" s="973">
        <f t="shared" si="89"/>
        <v>1299745062.0051382</v>
      </c>
      <c r="AH137" s="991"/>
      <c r="AI137" s="991"/>
      <c r="AJ137" s="991"/>
      <c r="AK137" s="991"/>
      <c r="AL137" s="991"/>
      <c r="AP137" s="987" t="s">
        <v>2158</v>
      </c>
      <c r="AQ137" s="968" t="s">
        <v>3075</v>
      </c>
    </row>
    <row r="138" spans="7:51" x14ac:dyDescent="0.3">
      <c r="G138" s="153" t="s">
        <v>2037</v>
      </c>
      <c r="H138" s="153" t="s">
        <v>2059</v>
      </c>
      <c r="I138" s="153" t="s">
        <v>2024</v>
      </c>
      <c r="K138" s="968"/>
      <c r="L138" s="981" t="s">
        <v>3226</v>
      </c>
      <c r="M138" s="981" t="s">
        <v>2899</v>
      </c>
      <c r="N138" s="981" t="s">
        <v>3225</v>
      </c>
      <c r="O138" s="981" t="str">
        <f>'사업계획(매출 확정본)'!$O$110</f>
        <v>고소작업차</v>
      </c>
      <c r="P138" s="981" t="s">
        <v>2862</v>
      </c>
      <c r="Q138" s="972">
        <f>SUMIFS('사업계획(매출 확정본)'!S$12:S$113,'사업계획(매출 확정본)'!$M$12:$M$113,'사업계획(원재료)'!$M138,'사업계획(매출 확정본)'!$Q$12:$Q$113,'사업계획(원재료)'!$P138)</f>
        <v>100</v>
      </c>
      <c r="R138" s="972">
        <f>SUMIFS('사업계획(매출 확정본)'!T$12:T$113,'사업계획(매출 확정본)'!$M$12:$M$113,'사업계획(원재료)'!$M138,'사업계획(매출 확정본)'!$Q$12:$Q$113,'사업계획(원재료)'!$P138)</f>
        <v>110</v>
      </c>
      <c r="S138" s="972">
        <f>SUMIFS('사업계획(매출 확정본)'!U$12:U$113,'사업계획(매출 확정본)'!$M$12:$M$113,'사업계획(원재료)'!$M138,'사업계획(매출 확정본)'!$Q$12:$Q$113,'사업계획(원재료)'!$P138)</f>
        <v>140</v>
      </c>
      <c r="T138" s="972">
        <f>SUMIFS('사업계획(매출 확정본)'!V$12:V$113,'사업계획(매출 확정본)'!$M$12:$M$113,'사업계획(원재료)'!$M138,'사업계획(매출 확정본)'!$Q$12:$Q$113,'사업계획(원재료)'!$P138)</f>
        <v>140</v>
      </c>
      <c r="U138" s="972">
        <f>SUMIFS('사업계획(매출 확정본)'!W$12:W$113,'사업계획(매출 확정본)'!$M$12:$M$113,'사업계획(원재료)'!$M138,'사업계획(매출 확정본)'!$Q$12:$Q$113,'사업계획(원재료)'!$P138)</f>
        <v>150</v>
      </c>
      <c r="AP138" s="987" t="s">
        <v>2156</v>
      </c>
      <c r="AQ138" s="153" t="s">
        <v>2932</v>
      </c>
    </row>
    <row r="139" spans="7:51" x14ac:dyDescent="0.3">
      <c r="G139" s="153" t="s">
        <v>2059</v>
      </c>
      <c r="H139" s="153" t="s">
        <v>2059</v>
      </c>
      <c r="I139" s="153" t="s">
        <v>2024</v>
      </c>
      <c r="K139" s="968"/>
      <c r="L139" s="981"/>
      <c r="M139" s="981" t="s">
        <v>2899</v>
      </c>
      <c r="N139" s="981" t="s">
        <v>3225</v>
      </c>
      <c r="O139" s="981" t="str">
        <f>'사업계획(매출 확정본)'!$O$110</f>
        <v>고소작업차</v>
      </c>
      <c r="P139" s="981" t="s">
        <v>2865</v>
      </c>
      <c r="Q139" s="983">
        <v>110000000</v>
      </c>
      <c r="R139" s="983">
        <f>ROUND(Q139*1.05,-5)</f>
        <v>115500000</v>
      </c>
      <c r="S139" s="983">
        <f t="shared" ref="S139:U139" si="90">ROUND(R139*1.05,-5)</f>
        <v>121300000</v>
      </c>
      <c r="T139" s="983">
        <f t="shared" si="90"/>
        <v>127400000</v>
      </c>
      <c r="U139" s="983">
        <f t="shared" si="90"/>
        <v>133800000</v>
      </c>
      <c r="V139" s="1553">
        <f>S139/R139-1</f>
        <v>5.0216450216450159E-2</v>
      </c>
      <c r="AE139" s="153" t="s">
        <v>2171</v>
      </c>
      <c r="AH139" s="992">
        <v>5000000000</v>
      </c>
      <c r="AI139" s="992">
        <v>7000000000</v>
      </c>
      <c r="AJ139" s="992">
        <v>7000000000</v>
      </c>
      <c r="AK139" s="992">
        <v>7000000000</v>
      </c>
      <c r="AL139" s="992">
        <v>10000000000</v>
      </c>
      <c r="AP139" s="987" t="s">
        <v>2156</v>
      </c>
      <c r="AQ139" s="153" t="s">
        <v>183</v>
      </c>
    </row>
    <row r="140" spans="7:51" x14ac:dyDescent="0.3">
      <c r="K140" s="968"/>
      <c r="L140" s="981"/>
      <c r="M140" s="981" t="s">
        <v>2899</v>
      </c>
      <c r="N140" s="981" t="s">
        <v>3225</v>
      </c>
      <c r="O140" s="981" t="str">
        <f>'사업계획(매출 확정본)'!$O$110</f>
        <v>고소작업차</v>
      </c>
      <c r="P140" s="968" t="s">
        <v>2867</v>
      </c>
      <c r="Q140" s="973">
        <f>SUMIFS('사업계획(매출 확정본)'!S$12:S$113,'사업계획(매출 확정본)'!$M$12:$M$113,'사업계획(원재료)'!$M140,'사업계획(매출 확정본)'!$Q$12:$Q$113,'사업계획(원재료)'!$P140)</f>
        <v>11000000000</v>
      </c>
      <c r="R140" s="973">
        <f>SUMIFS('사업계획(매출 확정본)'!T$12:T$113,'사업계획(매출 확정본)'!$M$12:$M$113,'사업계획(원재료)'!$M140,'사업계획(매출 확정본)'!$Q$12:$Q$113,'사업계획(원재료)'!$P140)</f>
        <v>12705000000</v>
      </c>
      <c r="S140" s="973">
        <f>SUMIFS('사업계획(매출 확정본)'!U$12:U$113,'사업계획(매출 확정본)'!$M$12:$M$113,'사업계획(원재료)'!$M140,'사업계획(매출 확정본)'!$Q$12:$Q$113,'사업계획(원재료)'!$P140)</f>
        <v>16982000000</v>
      </c>
      <c r="T140" s="973">
        <f>SUMIFS('사업계획(매출 확정본)'!V$12:V$113,'사업계획(매출 확정본)'!$M$12:$M$113,'사업계획(원재료)'!$M140,'사업계획(매출 확정본)'!$Q$12:$Q$113,'사업계획(원재료)'!$P140)</f>
        <v>17836000000</v>
      </c>
      <c r="U140" s="973">
        <f>SUMIFS('사업계획(매출 확정본)'!W$12:W$113,'사업계획(매출 확정본)'!$M$12:$M$113,'사업계획(원재료)'!$M140,'사업계획(매출 확정본)'!$Q$12:$Q$113,'사업계획(원재료)'!$P140)</f>
        <v>20070000000</v>
      </c>
      <c r="AP140" s="987" t="s">
        <v>2156</v>
      </c>
      <c r="AQ140" s="988" t="s">
        <v>57</v>
      </c>
    </row>
    <row r="141" spans="7:51" x14ac:dyDescent="0.3">
      <c r="K141" s="968"/>
      <c r="L141" s="981"/>
      <c r="M141" s="981" t="s">
        <v>2899</v>
      </c>
      <c r="N141" s="981" t="s">
        <v>3225</v>
      </c>
      <c r="O141" s="981" t="str">
        <f>'사업계획(매출 확정본)'!$O$110</f>
        <v>고소작업차</v>
      </c>
      <c r="P141" s="968" t="s">
        <v>3075</v>
      </c>
      <c r="Q141" s="1050">
        <f>50000000*Q138</f>
        <v>5000000000</v>
      </c>
      <c r="R141" s="973">
        <f>Q141*(1+$V$6)/Q138*R138</f>
        <v>5753000000</v>
      </c>
      <c r="S141" s="973">
        <f t="shared" ref="S141:U141" si="91">R141*(1+$V$6)/R138*S138</f>
        <v>7658812000</v>
      </c>
      <c r="T141" s="973">
        <f t="shared" si="91"/>
        <v>8011117352</v>
      </c>
      <c r="U141" s="973">
        <f t="shared" si="91"/>
        <v>8978173660.9200001</v>
      </c>
      <c r="AP141" s="987" t="s">
        <v>2156</v>
      </c>
      <c r="AQ141" s="968" t="s">
        <v>3075</v>
      </c>
    </row>
    <row r="142" spans="7:51" x14ac:dyDescent="0.3">
      <c r="K142" s="968"/>
      <c r="L142" s="981"/>
      <c r="M142" s="981" t="str">
        <f>'사업계획(매출 확정본)'!$M$108</f>
        <v>DHS 320SKY</v>
      </c>
      <c r="N142" s="981" t="str">
        <f>'사업계획(매출 확정본)'!N108</f>
        <v>신제품</v>
      </c>
      <c r="O142" s="981" t="str">
        <f>'사업계획(매출 확정본)'!$O$110</f>
        <v>고소작업차</v>
      </c>
      <c r="P142" s="981" t="s">
        <v>2813</v>
      </c>
      <c r="Q142" s="972">
        <f>SUMIFS('사업계획(매출 확정본)'!S$12:S$113,'사업계획(매출 확정본)'!$M$12:$M$113,'사업계획(원재료)'!$M142,'사업계획(매출 확정본)'!$Q$12:$Q$113,'사업계획(원재료)'!$P142)</f>
        <v>10</v>
      </c>
      <c r="R142" s="972">
        <f>SUMIFS('사업계획(매출 확정본)'!T$12:T$113,'사업계획(매출 확정본)'!$M$12:$M$113,'사업계획(원재료)'!$M142,'사업계획(매출 확정본)'!$Q$12:$Q$113,'사업계획(원재료)'!$P142)</f>
        <v>20</v>
      </c>
      <c r="S142" s="972">
        <f>SUMIFS('사업계획(매출 확정본)'!U$12:U$113,'사업계획(매출 확정본)'!$M$12:$M$113,'사업계획(원재료)'!$M142,'사업계획(매출 확정본)'!$Q$12:$Q$113,'사업계획(원재료)'!$P142)</f>
        <v>20</v>
      </c>
      <c r="T142" s="972">
        <f>SUMIFS('사업계획(매출 확정본)'!V$12:V$113,'사업계획(매출 확정본)'!$M$12:$M$113,'사업계획(원재료)'!$M142,'사업계획(매출 확정본)'!$Q$12:$Q$113,'사업계획(원재료)'!$P142)</f>
        <v>20</v>
      </c>
      <c r="U142" s="972">
        <f>SUMIFS('사업계획(매출 확정본)'!W$12:W$113,'사업계획(매출 확정본)'!$M$12:$M$113,'사업계획(원재료)'!$M142,'사업계획(매출 확정본)'!$Q$12:$Q$113,'사업계획(원재료)'!$P142)</f>
        <v>20</v>
      </c>
    </row>
    <row r="143" spans="7:51" x14ac:dyDescent="0.3">
      <c r="K143" s="968"/>
      <c r="L143" s="981"/>
      <c r="M143" s="981" t="str">
        <f>'사업계획(매출 확정본)'!$M$108</f>
        <v>DHS 320SKY</v>
      </c>
      <c r="N143" s="981" t="str">
        <f>'사업계획(매출 확정본)'!N109</f>
        <v>신제품</v>
      </c>
      <c r="O143" s="981" t="str">
        <f>'사업계획(매출 확정본)'!$O$110</f>
        <v>고소작업차</v>
      </c>
      <c r="P143" s="981" t="s">
        <v>2865</v>
      </c>
      <c r="Q143" s="1590">
        <f>'사업계획(매출 확정본)'!S109</f>
        <v>125000000</v>
      </c>
      <c r="R143" s="1589">
        <f>'사업계획(매출 확정본)'!T109</f>
        <v>131300000</v>
      </c>
      <c r="S143" s="1589">
        <f>'사업계획(매출 확정본)'!U109</f>
        <v>137900000</v>
      </c>
      <c r="T143" s="1589">
        <f>'사업계획(매출 확정본)'!V109</f>
        <v>144800000</v>
      </c>
      <c r="U143" s="1589">
        <f>'사업계획(매출 확정본)'!W109</f>
        <v>152000000</v>
      </c>
    </row>
    <row r="144" spans="7:51" x14ac:dyDescent="0.3">
      <c r="K144" s="968"/>
      <c r="L144" s="981"/>
      <c r="M144" s="981" t="str">
        <f>'사업계획(매출 확정본)'!$M$108</f>
        <v>DHS 320SKY</v>
      </c>
      <c r="N144" s="981" t="str">
        <f>'사업계획(매출 확정본)'!N110</f>
        <v>신제품</v>
      </c>
      <c r="O144" s="981" t="str">
        <f>'사업계획(매출 확정본)'!$O$110</f>
        <v>고소작업차</v>
      </c>
      <c r="P144" s="968" t="s">
        <v>2818</v>
      </c>
      <c r="Q144" s="973">
        <f>SUMIFS('사업계획(매출 확정본)'!S$12:S$113,'사업계획(매출 확정본)'!$M$12:$M$113,'사업계획(원재료)'!$M144,'사업계획(매출 확정본)'!$Q$12:$Q$113,'사업계획(원재료)'!$P144)</f>
        <v>1250000000</v>
      </c>
      <c r="R144" s="973">
        <f>SUMIFS('사업계획(매출 확정본)'!T$12:T$113,'사업계획(매출 확정본)'!$M$12:$M$113,'사업계획(원재료)'!$M144,'사업계획(매출 확정본)'!$Q$12:$Q$113,'사업계획(원재료)'!$P144)</f>
        <v>2626000000</v>
      </c>
      <c r="S144" s="973">
        <f>SUMIFS('사업계획(매출 확정본)'!U$12:U$113,'사업계획(매출 확정본)'!$M$12:$M$113,'사업계획(원재료)'!$M144,'사업계획(매출 확정본)'!$Q$12:$Q$113,'사업계획(원재료)'!$P144)</f>
        <v>2758000000</v>
      </c>
      <c r="T144" s="973">
        <f>SUMIFS('사업계획(매출 확정본)'!V$12:V$113,'사업계획(매출 확정본)'!$M$12:$M$113,'사업계획(원재료)'!$M144,'사업계획(매출 확정본)'!$Q$12:$Q$113,'사업계획(원재료)'!$P144)</f>
        <v>2896000000</v>
      </c>
      <c r="U144" s="973">
        <f>SUMIFS('사업계획(매출 확정본)'!W$12:W$113,'사업계획(매출 확정본)'!$M$12:$M$113,'사업계획(원재료)'!$M144,'사업계획(매출 확정본)'!$Q$12:$Q$113,'사업계획(원재료)'!$P144)</f>
        <v>3040000000</v>
      </c>
    </row>
    <row r="145" spans="7:39" x14ac:dyDescent="0.3">
      <c r="K145" s="968"/>
      <c r="L145" s="981"/>
      <c r="M145" s="981" t="str">
        <f>'사업계획(매출 확정본)'!$M$108</f>
        <v>DHS 320SKY</v>
      </c>
      <c r="N145" s="981" t="str">
        <f>'사업계획(매출 확정본)'!N111</f>
        <v>신제품</v>
      </c>
      <c r="O145" s="981" t="str">
        <f>'사업계획(매출 확정본)'!$O$110</f>
        <v>고소작업차</v>
      </c>
      <c r="P145" s="968" t="s">
        <v>3075</v>
      </c>
      <c r="Q145" s="1050">
        <f>50000000*1.1*Q142</f>
        <v>550000000.00000012</v>
      </c>
      <c r="R145" s="973">
        <f>Q145*(1+$V$6)/Q142*R142</f>
        <v>1150600000.0000002</v>
      </c>
      <c r="S145" s="973">
        <f t="shared" ref="S145:U145" si="92">R145*(1+$V$6)/R142*S142</f>
        <v>1203527600.0000002</v>
      </c>
      <c r="T145" s="973">
        <f t="shared" si="92"/>
        <v>1258889869.6000004</v>
      </c>
      <c r="U145" s="973">
        <f t="shared" si="92"/>
        <v>1316798803.6016004</v>
      </c>
    </row>
    <row r="146" spans="7:39" x14ac:dyDescent="0.3">
      <c r="H146" s="153" t="s">
        <v>2059</v>
      </c>
      <c r="I146" s="153" t="s">
        <v>2024</v>
      </c>
      <c r="K146" s="968"/>
      <c r="L146" s="981" t="s">
        <v>2898</v>
      </c>
      <c r="M146" s="981" t="s">
        <v>2901</v>
      </c>
      <c r="N146" s="981" t="str">
        <f>'사업계획(매출 확정본)'!$N$112</f>
        <v>신제품</v>
      </c>
      <c r="O146" s="975" t="s">
        <v>2856</v>
      </c>
      <c r="P146" s="981" t="s">
        <v>2862</v>
      </c>
      <c r="Q146" s="972">
        <f>SUMIFS('사업계획(매출 확정본)'!S$12:S$113,'사업계획(매출 확정본)'!$M$12:$M$113,'사업계획(원재료)'!$M146,'사업계획(매출 확정본)'!$Q$12:$Q$113,'사업계획(원재료)'!$P146)</f>
        <v>0</v>
      </c>
      <c r="R146" s="972">
        <f>SUMIFS('사업계획(매출 확정본)'!T$12:T$113,'사업계획(매출 확정본)'!$M$12:$M$113,'사업계획(원재료)'!$M146,'사업계획(매출 확정본)'!$Q$12:$Q$113,'사업계획(원재료)'!$P146)</f>
        <v>5</v>
      </c>
      <c r="S146" s="972">
        <f>SUMIFS('사업계획(매출 확정본)'!U$12:U$113,'사업계획(매출 확정본)'!$M$12:$M$113,'사업계획(원재료)'!$M146,'사업계획(매출 확정본)'!$Q$12:$Q$113,'사업계획(원재료)'!$P146)</f>
        <v>25</v>
      </c>
      <c r="T146" s="972">
        <f>SUMIFS('사업계획(매출 확정본)'!V$12:V$113,'사업계획(매출 확정본)'!$M$12:$M$113,'사업계획(원재료)'!$M146,'사업계획(매출 확정본)'!$Q$12:$Q$113,'사업계획(원재료)'!$P146)</f>
        <v>30</v>
      </c>
      <c r="U146" s="972">
        <f>SUMIFS('사업계획(매출 확정본)'!W$12:W$113,'사업계획(매출 확정본)'!$M$12:$M$113,'사업계획(원재료)'!$M146,'사업계획(매출 확정본)'!$Q$12:$Q$113,'사업계획(원재료)'!$P146)</f>
        <v>35</v>
      </c>
    </row>
    <row r="147" spans="7:39" x14ac:dyDescent="0.3">
      <c r="H147" s="153" t="s">
        <v>2059</v>
      </c>
      <c r="I147" s="153" t="s">
        <v>2024</v>
      </c>
      <c r="K147" s="968"/>
      <c r="L147" s="981"/>
      <c r="M147" s="981" t="s">
        <v>2901</v>
      </c>
      <c r="N147" s="981" t="str">
        <f>'사업계획(매출 확정본)'!$N$112</f>
        <v>신제품</v>
      </c>
      <c r="O147" s="975" t="s">
        <v>2856</v>
      </c>
      <c r="P147" s="981" t="s">
        <v>2865</v>
      </c>
      <c r="Q147" s="983">
        <v>0</v>
      </c>
      <c r="R147" s="983">
        <v>285000000</v>
      </c>
      <c r="S147" s="983">
        <f t="shared" ref="S147:U147" si="93">ROUND(R147*1.05,-5)</f>
        <v>299300000</v>
      </c>
      <c r="T147" s="983">
        <f t="shared" si="93"/>
        <v>314300000</v>
      </c>
      <c r="U147" s="983">
        <f t="shared" si="93"/>
        <v>330000000</v>
      </c>
      <c r="AE147" s="153" t="s">
        <v>2155</v>
      </c>
      <c r="AH147" s="992">
        <f>(O162+O163)*1000000</f>
        <v>2734000000</v>
      </c>
      <c r="AI147" s="992">
        <f>(P162+P163)*1000000</f>
        <v>1300000000</v>
      </c>
      <c r="AJ147" s="992">
        <f>(Q162+Q163)*1000000</f>
        <v>1400000000</v>
      </c>
      <c r="AK147" s="992">
        <f>(R162+R163)*1000000</f>
        <v>2300000000</v>
      </c>
      <c r="AL147" s="992">
        <f>AVERAGE(AH147:AK147)</f>
        <v>1933500000</v>
      </c>
      <c r="AM147" s="967" t="s">
        <v>3229</v>
      </c>
    </row>
    <row r="148" spans="7:39" x14ac:dyDescent="0.3">
      <c r="K148" s="37"/>
      <c r="L148" s="984"/>
      <c r="M148" s="981" t="s">
        <v>2901</v>
      </c>
      <c r="N148" s="981" t="str">
        <f>'사업계획(매출 확정본)'!$N$112</f>
        <v>신제품</v>
      </c>
      <c r="O148" s="975" t="s">
        <v>2856</v>
      </c>
      <c r="P148" s="968" t="s">
        <v>2867</v>
      </c>
      <c r="Q148" s="973">
        <f>SUMIFS('사업계획(매출 확정본)'!S$12:S$113,'사업계획(매출 확정본)'!$M$12:$M$113,'사업계획(원재료)'!$M148,'사업계획(매출 확정본)'!$Q$12:$Q$113,'사업계획(원재료)'!$P148)</f>
        <v>0</v>
      </c>
      <c r="R148" s="973">
        <f>SUMIFS('사업계획(매출 확정본)'!T$12:T$113,'사업계획(매출 확정본)'!$M$12:$M$113,'사업계획(원재료)'!$M148,'사업계획(매출 확정본)'!$Q$12:$Q$113,'사업계획(원재료)'!$P148)</f>
        <v>1425000000</v>
      </c>
      <c r="S148" s="973">
        <f>SUMIFS('사업계획(매출 확정본)'!U$12:U$113,'사업계획(매출 확정본)'!$M$12:$M$113,'사업계획(원재료)'!$M148,'사업계획(매출 확정본)'!$Q$12:$Q$113,'사업계획(원재료)'!$P148)</f>
        <v>7482500000</v>
      </c>
      <c r="T148" s="973">
        <f>SUMIFS('사업계획(매출 확정본)'!V$12:V$113,'사업계획(매출 확정본)'!$M$12:$M$113,'사업계획(원재료)'!$M148,'사업계획(매출 확정본)'!$Q$12:$Q$113,'사업계획(원재료)'!$P148)</f>
        <v>9429000000</v>
      </c>
      <c r="U148" s="973">
        <f>SUMIFS('사업계획(매출 확정본)'!W$12:W$113,'사업계획(매출 확정본)'!$M$12:$M$113,'사업계획(원재료)'!$M148,'사업계획(매출 확정본)'!$Q$12:$Q$113,'사업계획(원재료)'!$P148)</f>
        <v>11550000000</v>
      </c>
    </row>
    <row r="149" spans="7:39" x14ac:dyDescent="0.3">
      <c r="K149" s="37"/>
      <c r="L149" s="984"/>
      <c r="M149" s="981" t="s">
        <v>2901</v>
      </c>
      <c r="N149" s="981" t="str">
        <f>'사업계획(매출 확정본)'!$N$112</f>
        <v>신제품</v>
      </c>
      <c r="O149" s="975" t="s">
        <v>2856</v>
      </c>
      <c r="P149" s="968" t="s">
        <v>3075</v>
      </c>
      <c r="Q149" s="1050">
        <f>100000000*Q146</f>
        <v>0</v>
      </c>
      <c r="R149" s="973">
        <f>100000000*(1+$V$6)</f>
        <v>104600000</v>
      </c>
      <c r="S149" s="973">
        <f>R149*(1+$V$6)/R146*S146</f>
        <v>547058000</v>
      </c>
      <c r="T149" s="973">
        <f t="shared" ref="T149:U149" si="94">S149*(1+$V$6)/S146*T146</f>
        <v>686667201.5999999</v>
      </c>
      <c r="U149" s="973">
        <f t="shared" si="94"/>
        <v>837962875.01919985</v>
      </c>
    </row>
    <row r="150" spans="7:39" x14ac:dyDescent="0.3">
      <c r="G150" s="153" t="s">
        <v>2049</v>
      </c>
      <c r="H150" s="153" t="s">
        <v>2059</v>
      </c>
      <c r="I150" s="153" t="s">
        <v>2024</v>
      </c>
      <c r="Q150" s="153">
        <f>Q14+Q18+Q22+Q26+Q30+Q34+Q38+Q42+Q46+Q50+Q54+Q58+Q62+Q66+Q70+Q74+Q78+Q82+Q86+Q90+Q94+Q98+Q102+Q106+Q110+Q114+Q118+Q122+Q126+Q130+Q134+Q138+Q146</f>
        <v>1840</v>
      </c>
      <c r="R150" s="153">
        <f>R14+R18+R22+R26+R30+R34+R38+R42+R46+R50+R54+R58+R62+R66+R70+R74+R78+R82+R86+R90+R94+R98+R102+R106+R110+R114+R118+R122+R126+R130+R134+R138+R146</f>
        <v>2205</v>
      </c>
      <c r="S150" s="153">
        <f>S14+S18+S22+S26+S30+S34+S38+S42+S46+S50+S54+S58+S62+S66+S70+S74+S78+S82+S86+S90+S94+S98+S102+S106+S110+S114+S118+S122+S126+S130+S134+S138+S146</f>
        <v>2645</v>
      </c>
      <c r="T150" s="153">
        <f>T14+T18+T22+T26+T30+T34+T38+T42+T46+T50+T54+T58+T62+T66+T70+T74+T78+T82+T86+T90+T94+T98+T102+T106+T110+T114+T118+T122+T126+T130+T134+T138+T146</f>
        <v>2813</v>
      </c>
      <c r="U150" s="153">
        <f>U14+U18+U22+U26+U30+U34+U38+U42+U46+U50+U54+U58+U62+U66+U70+U74+U78+U82+U86+U90+U94+U98+U102+U106+U110+U114+U118+U122+U126+U130+U134+U138+U146</f>
        <v>2919</v>
      </c>
      <c r="AE150" s="993" t="s">
        <v>2903</v>
      </c>
      <c r="AF150" s="994"/>
      <c r="AG150" s="994"/>
      <c r="AH150" s="995">
        <f>AH136+AH139+AH147</f>
        <v>7734000000</v>
      </c>
      <c r="AI150" s="995">
        <f t="shared" ref="AI150:AL150" si="95">AI136+AI139+AI147</f>
        <v>8300000000</v>
      </c>
      <c r="AJ150" s="995">
        <f t="shared" si="95"/>
        <v>8400000000</v>
      </c>
      <c r="AK150" s="995">
        <f t="shared" si="95"/>
        <v>9300000000</v>
      </c>
      <c r="AL150" s="995">
        <f t="shared" si="95"/>
        <v>11933500000</v>
      </c>
    </row>
    <row r="151" spans="7:39" x14ac:dyDescent="0.3">
      <c r="G151" s="153" t="s">
        <v>2060</v>
      </c>
      <c r="H151" s="153" t="s">
        <v>2058</v>
      </c>
      <c r="I151" s="153" t="s">
        <v>2802</v>
      </c>
      <c r="Q151" s="823"/>
      <c r="R151" s="823"/>
      <c r="S151" s="823"/>
      <c r="T151" s="823"/>
      <c r="U151" s="823"/>
    </row>
    <row r="152" spans="7:39" x14ac:dyDescent="0.3">
      <c r="G152" s="153" t="s">
        <v>2061</v>
      </c>
      <c r="H152" s="153" t="s">
        <v>2039</v>
      </c>
      <c r="I152" s="153" t="s">
        <v>2802</v>
      </c>
      <c r="P152" s="987" t="s">
        <v>2021</v>
      </c>
      <c r="Q152" s="1042">
        <f>SUMIF($P$14:$P$149,$P$149,Q$14:Q$149)</f>
        <v>65933451625.456161</v>
      </c>
      <c r="R152" s="1042">
        <f t="shared" ref="R152:U152" si="96">SUMIF($P$14:$P$149,$P$149,R$14:R$149)</f>
        <v>83495694788.02446</v>
      </c>
      <c r="S152" s="1042">
        <f t="shared" si="96"/>
        <v>106789902679.24681</v>
      </c>
      <c r="T152" s="1042">
        <f t="shared" si="96"/>
        <v>116904862992.9416</v>
      </c>
      <c r="U152" s="1042">
        <f t="shared" si="96"/>
        <v>126032915108.45213</v>
      </c>
      <c r="V152" s="823"/>
    </row>
    <row r="153" spans="7:39" x14ac:dyDescent="0.3">
      <c r="G153" s="153" t="s">
        <v>2062</v>
      </c>
      <c r="H153" s="153" t="s">
        <v>2041</v>
      </c>
      <c r="I153" s="153" t="s">
        <v>2802</v>
      </c>
      <c r="P153" s="987" t="s">
        <v>57</v>
      </c>
      <c r="Q153" s="1042">
        <f>SUMIF($P$14:$P$149,$P$148,Q$14:Q$149)</f>
        <v>112042800000</v>
      </c>
      <c r="R153" s="1042">
        <f t="shared" ref="R153:U153" si="97">SUMIF($P$14:$P$149,$P$148,R$14:R$149)</f>
        <v>142930200000</v>
      </c>
      <c r="S153" s="1042">
        <f t="shared" si="97"/>
        <v>187956700000</v>
      </c>
      <c r="T153" s="1042">
        <f t="shared" si="97"/>
        <v>207998600000</v>
      </c>
      <c r="U153" s="1042">
        <f t="shared" si="97"/>
        <v>226353900000</v>
      </c>
    </row>
    <row r="154" spans="7:39" ht="17.25" thickBot="1" x14ac:dyDescent="0.35">
      <c r="P154" s="987"/>
      <c r="Q154" s="1042">
        <f>'사업계획(매출 확정본)'!S116-Q153</f>
        <v>0</v>
      </c>
      <c r="R154" s="1042">
        <f>'사업계획(매출 확정본)'!T116-R153</f>
        <v>0</v>
      </c>
      <c r="S154" s="1042">
        <f>'사업계획(매출 확정본)'!U116-S153</f>
        <v>0</v>
      </c>
      <c r="T154" s="1042">
        <f>'사업계획(매출 확정본)'!V116-T153</f>
        <v>0</v>
      </c>
      <c r="U154" s="1042">
        <f>'사업계획(매출 확정본)'!W116-U153</f>
        <v>0</v>
      </c>
    </row>
    <row r="155" spans="7:39" ht="17.25" thickBot="1" x14ac:dyDescent="0.35">
      <c r="P155" s="987" t="s">
        <v>7535</v>
      </c>
      <c r="Q155" s="1689">
        <f>Q152/Q153</f>
        <v>0.58846665404163556</v>
      </c>
      <c r="R155" s="1690">
        <f t="shared" ref="R155:U155" si="98">R152/R153</f>
        <v>0.58417111840621827</v>
      </c>
      <c r="S155" s="1690">
        <f t="shared" si="98"/>
        <v>0.56816225587726754</v>
      </c>
      <c r="T155" s="1690">
        <f t="shared" si="98"/>
        <v>0.56204639354756047</v>
      </c>
      <c r="U155" s="1691">
        <f t="shared" si="98"/>
        <v>0.55679586306421991</v>
      </c>
    </row>
    <row r="156" spans="7:39" ht="17.25" thickBot="1" x14ac:dyDescent="0.35">
      <c r="P156" s="987" t="s">
        <v>7534</v>
      </c>
      <c r="Q156" s="1689">
        <f>P214</f>
        <v>0.52243070223982613</v>
      </c>
      <c r="R156" s="1690">
        <f t="shared" ref="R156:U156" si="99">Q214</f>
        <v>0.50612102346923804</v>
      </c>
      <c r="S156" s="1690">
        <f t="shared" si="99"/>
        <v>0.50028697223571816</v>
      </c>
      <c r="T156" s="1690">
        <f t="shared" si="99"/>
        <v>0.49523649237554057</v>
      </c>
      <c r="U156" s="1691">
        <f t="shared" si="99"/>
        <v>0.49036755843798352</v>
      </c>
    </row>
    <row r="157" spans="7:39" x14ac:dyDescent="0.3">
      <c r="G157" s="153" t="s">
        <v>2063</v>
      </c>
      <c r="H157" s="153" t="s">
        <v>2037</v>
      </c>
      <c r="I157" s="153" t="s">
        <v>2802</v>
      </c>
      <c r="M157" s="153" t="s">
        <v>2904</v>
      </c>
    </row>
    <row r="158" spans="7:39" x14ac:dyDescent="0.3">
      <c r="G158" s="153" t="s">
        <v>2840</v>
      </c>
      <c r="H158" s="153" t="s">
        <v>2037</v>
      </c>
      <c r="I158" s="153" t="s">
        <v>2802</v>
      </c>
    </row>
    <row r="159" spans="7:39" x14ac:dyDescent="0.3">
      <c r="G159" s="153" t="s">
        <v>2064</v>
      </c>
      <c r="H159" s="153" t="s">
        <v>2037</v>
      </c>
      <c r="I159" s="153" t="s">
        <v>2802</v>
      </c>
      <c r="M159" s="153" t="s">
        <v>2905</v>
      </c>
    </row>
    <row r="160" spans="7:39" x14ac:dyDescent="0.3">
      <c r="G160" s="153" t="s">
        <v>2906</v>
      </c>
      <c r="H160" s="153" t="s">
        <v>2058</v>
      </c>
      <c r="I160" s="153" t="s">
        <v>2802</v>
      </c>
      <c r="O160" s="153" t="s">
        <v>2907</v>
      </c>
      <c r="P160" s="153" t="s">
        <v>2908</v>
      </c>
      <c r="Q160" s="153" t="s">
        <v>2909</v>
      </c>
      <c r="R160" s="153" t="s">
        <v>2910</v>
      </c>
      <c r="S160" s="153" t="s">
        <v>2911</v>
      </c>
    </row>
    <row r="161" spans="7:50" x14ac:dyDescent="0.3">
      <c r="G161" s="153" t="s">
        <v>2061</v>
      </c>
      <c r="H161" s="153" t="s">
        <v>2037</v>
      </c>
      <c r="I161" s="153" t="s">
        <v>2802</v>
      </c>
      <c r="O161" s="153" t="s">
        <v>2912</v>
      </c>
      <c r="P161" s="153" t="s">
        <v>2913</v>
      </c>
      <c r="Q161" s="153" t="s">
        <v>2914</v>
      </c>
      <c r="R161" s="153" t="s">
        <v>2915</v>
      </c>
    </row>
    <row r="162" spans="7:50" x14ac:dyDescent="0.3">
      <c r="G162" s="153" t="s">
        <v>2028</v>
      </c>
      <c r="H162" s="153" t="s">
        <v>2032</v>
      </c>
      <c r="I162" s="153" t="s">
        <v>2802</v>
      </c>
      <c r="M162" s="153" t="s">
        <v>2916</v>
      </c>
      <c r="O162" s="153">
        <v>2200</v>
      </c>
      <c r="P162" s="153">
        <v>950</v>
      </c>
      <c r="Q162" s="153">
        <v>950</v>
      </c>
      <c r="R162" s="153">
        <v>1900</v>
      </c>
    </row>
    <row r="163" spans="7:50" x14ac:dyDescent="0.3">
      <c r="G163" s="153" t="s">
        <v>2032</v>
      </c>
      <c r="H163" s="153" t="s">
        <v>2041</v>
      </c>
      <c r="I163" s="153" t="s">
        <v>2802</v>
      </c>
      <c r="M163" s="153" t="s">
        <v>2917</v>
      </c>
      <c r="O163" s="153">
        <v>534</v>
      </c>
      <c r="P163" s="153">
        <v>350</v>
      </c>
      <c r="Q163" s="153">
        <v>450</v>
      </c>
      <c r="R163" s="153">
        <v>400</v>
      </c>
    </row>
    <row r="164" spans="7:50" x14ac:dyDescent="0.3">
      <c r="O164" s="153">
        <f>SUM(O162:O163)</f>
        <v>2734</v>
      </c>
      <c r="P164" s="153">
        <f t="shared" ref="P164:R164" si="100">SUM(P162:P163)</f>
        <v>1300</v>
      </c>
      <c r="Q164" s="153">
        <f t="shared" si="100"/>
        <v>1400</v>
      </c>
      <c r="R164" s="153">
        <f t="shared" si="100"/>
        <v>2300</v>
      </c>
    </row>
    <row r="165" spans="7:50" x14ac:dyDescent="0.3">
      <c r="G165" s="153" t="s">
        <v>2037</v>
      </c>
      <c r="H165" s="153" t="s">
        <v>2032</v>
      </c>
      <c r="I165" s="153" t="s">
        <v>2802</v>
      </c>
      <c r="O165" s="1888" t="s">
        <v>2918</v>
      </c>
      <c r="P165" s="1888"/>
      <c r="Q165" s="1888"/>
      <c r="R165" s="985" t="s">
        <v>2919</v>
      </c>
    </row>
    <row r="166" spans="7:50" x14ac:dyDescent="0.3">
      <c r="G166" s="153" t="s">
        <v>2039</v>
      </c>
      <c r="H166" s="153" t="s">
        <v>2061</v>
      </c>
      <c r="I166" s="153" t="s">
        <v>2802</v>
      </c>
      <c r="Y166" s="153">
        <v>0.6</v>
      </c>
      <c r="Z166" s="153">
        <v>0.5</v>
      </c>
      <c r="AA166" s="153">
        <f>Y166*Z166</f>
        <v>0.3</v>
      </c>
    </row>
    <row r="167" spans="7:50" x14ac:dyDescent="0.3">
      <c r="M167" s="153" t="s">
        <v>2920</v>
      </c>
    </row>
    <row r="168" spans="7:50" x14ac:dyDescent="0.3">
      <c r="P168" s="153">
        <f>W118*0.3</f>
        <v>13.799999999999999</v>
      </c>
    </row>
    <row r="169" spans="7:50" x14ac:dyDescent="0.3">
      <c r="G169" s="153" t="s">
        <v>2041</v>
      </c>
      <c r="H169" s="153" t="s">
        <v>2037</v>
      </c>
      <c r="I169" s="153" t="s">
        <v>2802</v>
      </c>
    </row>
    <row r="170" spans="7:50" x14ac:dyDescent="0.3">
      <c r="G170" s="153" t="s">
        <v>2058</v>
      </c>
      <c r="H170" s="153" t="s">
        <v>2037</v>
      </c>
      <c r="I170" s="153" t="s">
        <v>2802</v>
      </c>
      <c r="K170" s="153" t="s">
        <v>2921</v>
      </c>
      <c r="L170" s="153" t="s">
        <v>2922</v>
      </c>
      <c r="M170" s="153" t="s">
        <v>2804</v>
      </c>
      <c r="N170" s="153" t="s">
        <v>2923</v>
      </c>
      <c r="P170" s="153">
        <v>2018</v>
      </c>
      <c r="Q170" s="153">
        <v>2019</v>
      </c>
      <c r="R170" s="153">
        <v>2020</v>
      </c>
      <c r="S170" s="153">
        <v>2021</v>
      </c>
      <c r="T170" s="153">
        <v>2022</v>
      </c>
    </row>
    <row r="171" spans="7:50" x14ac:dyDescent="0.3">
      <c r="G171" s="153" t="s">
        <v>2060</v>
      </c>
      <c r="H171" s="153" t="s">
        <v>2037</v>
      </c>
      <c r="I171" s="153" t="s">
        <v>2802</v>
      </c>
      <c r="L171" s="153" t="s">
        <v>648</v>
      </c>
      <c r="M171" s="968" t="s">
        <v>3577</v>
      </c>
      <c r="N171" s="153" t="s">
        <v>2140</v>
      </c>
      <c r="O171" s="968" t="s">
        <v>2862</v>
      </c>
      <c r="P171" s="1042">
        <f>SUMIFS('사업계획(매출 확정본)'!S$131:S$160,'사업계획(매출 확정본)'!$M$131:$M$160,'사업계획(원재료)'!$M171,'사업계획(매출 확정본)'!$N$131:$N$160,'사업계획(원재료)'!$N171,'사업계획(매출 확정본)'!$O$131:$O$160,'사업계획(원재료)'!$O171)</f>
        <v>30</v>
      </c>
      <c r="Q171" s="1042">
        <f>SUMIFS('사업계획(매출 확정본)'!T$131:T$160,'사업계획(매출 확정본)'!$M$131:$M$160,'사업계획(원재료)'!$M171,'사업계획(매출 확정본)'!$N$131:$N$160,'사업계획(원재료)'!$N171,'사업계획(매출 확정본)'!$O$131:$O$160,'사업계획(원재료)'!$O171)</f>
        <v>40</v>
      </c>
      <c r="R171" s="1042">
        <f>SUMIFS('사업계획(매출 확정본)'!U$131:U$160,'사업계획(매출 확정본)'!$M$131:$M$160,'사업계획(원재료)'!$M171,'사업계획(매출 확정본)'!$N$131:$N$160,'사업계획(원재료)'!$N171,'사업계획(매출 확정본)'!$O$131:$O$160,'사업계획(원재료)'!$O171)</f>
        <v>45</v>
      </c>
      <c r="S171" s="1042">
        <f>SUMIFS('사업계획(매출 확정본)'!V$131:V$160,'사업계획(매출 확정본)'!$M$131:$M$160,'사업계획(원재료)'!$M171,'사업계획(매출 확정본)'!$N$131:$N$160,'사업계획(원재료)'!$N171,'사업계획(매출 확정본)'!$O$131:$O$160,'사업계획(원재료)'!$O171)</f>
        <v>50</v>
      </c>
      <c r="T171" s="1042">
        <f>SUMIFS('사업계획(매출 확정본)'!W$131:W$160,'사업계획(매출 확정본)'!$M$131:$M$160,'사업계획(원재료)'!$M171,'사업계획(매출 확정본)'!$N$131:$N$160,'사업계획(원재료)'!$N171,'사업계획(매출 확정본)'!$O$131:$O$160,'사업계획(원재료)'!$O171)</f>
        <v>60</v>
      </c>
    </row>
    <row r="172" spans="7:50" x14ac:dyDescent="0.3">
      <c r="G172" s="153" t="s">
        <v>2063</v>
      </c>
      <c r="H172" s="153" t="s">
        <v>2037</v>
      </c>
      <c r="I172" s="153" t="s">
        <v>2802</v>
      </c>
      <c r="L172" s="153" t="s">
        <v>648</v>
      </c>
      <c r="M172" s="968" t="s">
        <v>3577</v>
      </c>
      <c r="N172" s="153" t="s">
        <v>2140</v>
      </c>
      <c r="O172" s="968" t="s">
        <v>2865</v>
      </c>
      <c r="P172" s="1042">
        <f>SUMIFS('사업계획(매출 확정본)'!S$131:S$160,'사업계획(매출 확정본)'!$M$131:$M$160,'사업계획(원재료)'!$M172,'사업계획(매출 확정본)'!$N$131:$N$160,'사업계획(원재료)'!$N172,'사업계획(매출 확정본)'!$O$131:$O$160,'사업계획(원재료)'!$O172)</f>
        <v>223500000</v>
      </c>
      <c r="Q172" s="1042">
        <f>SUMIFS('사업계획(매출 확정본)'!T$131:T$160,'사업계획(매출 확정본)'!$M$131:$M$160,'사업계획(원재료)'!$M172,'사업계획(매출 확정본)'!$N$131:$N$160,'사업계획(원재료)'!$N172,'사업계획(매출 확정본)'!$O$131:$O$160,'사업계획(원재료)'!$O172)</f>
        <v>234700000</v>
      </c>
      <c r="R172" s="1042">
        <f>SUMIFS('사업계획(매출 확정본)'!U$131:U$160,'사업계획(매출 확정본)'!$M$131:$M$160,'사업계획(원재료)'!$M172,'사업계획(매출 확정본)'!$N$131:$N$160,'사업계획(원재료)'!$N172,'사업계획(매출 확정본)'!$O$131:$O$160,'사업계획(원재료)'!$O172)</f>
        <v>246400000</v>
      </c>
      <c r="S172" s="1042">
        <f>SUMIFS('사업계획(매출 확정본)'!V$131:V$160,'사업계획(매출 확정본)'!$M$131:$M$160,'사업계획(원재료)'!$M172,'사업계획(매출 확정본)'!$N$131:$N$160,'사업계획(원재료)'!$N172,'사업계획(매출 확정본)'!$O$131:$O$160,'사업계획(원재료)'!$O172)</f>
        <v>258700000</v>
      </c>
      <c r="T172" s="1042">
        <f>SUMIFS('사업계획(매출 확정본)'!W$131:W$160,'사업계획(매출 확정본)'!$M$131:$M$160,'사업계획(원재료)'!$M172,'사업계획(매출 확정본)'!$N$131:$N$160,'사업계획(원재료)'!$N172,'사업계획(매출 확정본)'!$O$131:$O$160,'사업계획(원재료)'!$O172)</f>
        <v>271600000</v>
      </c>
      <c r="W172" s="153" t="s">
        <v>648</v>
      </c>
      <c r="AE172" s="153" t="s">
        <v>2925</v>
      </c>
    </row>
    <row r="173" spans="7:50" x14ac:dyDescent="0.3">
      <c r="L173" s="153" t="s">
        <v>648</v>
      </c>
      <c r="M173" s="968" t="s">
        <v>3577</v>
      </c>
      <c r="N173" s="153" t="s">
        <v>2140</v>
      </c>
      <c r="O173" s="972" t="s">
        <v>2867</v>
      </c>
      <c r="P173" s="1042">
        <f>SUMIFS('사업계획(매출 확정본)'!S$131:S$160,'사업계획(매출 확정본)'!$M$131:$M$160,'사업계획(원재료)'!$M173,'사업계획(매출 확정본)'!$N$131:$N$160,'사업계획(원재료)'!$N173,'사업계획(매출 확정본)'!$O$131:$O$160,'사업계획(원재료)'!$O173)</f>
        <v>6705000000</v>
      </c>
      <c r="Q173" s="1042">
        <f>SUMIFS('사업계획(매출 확정본)'!T$131:T$160,'사업계획(매출 확정본)'!$M$131:$M$160,'사업계획(원재료)'!$M173,'사업계획(매출 확정본)'!$N$131:$N$160,'사업계획(원재료)'!$N173,'사업계획(매출 확정본)'!$O$131:$O$160,'사업계획(원재료)'!$O173)</f>
        <v>9388000000</v>
      </c>
      <c r="R173" s="1042">
        <f>SUMIFS('사업계획(매출 확정본)'!U$131:U$160,'사업계획(매출 확정본)'!$M$131:$M$160,'사업계획(원재료)'!$M173,'사업계획(매출 확정본)'!$N$131:$N$160,'사업계획(원재료)'!$N173,'사업계획(매출 확정본)'!$O$131:$O$160,'사업계획(원재료)'!$O173)</f>
        <v>11088000000</v>
      </c>
      <c r="S173" s="1042">
        <f>SUMIFS('사업계획(매출 확정본)'!V$131:V$160,'사업계획(매출 확정본)'!$M$131:$M$160,'사업계획(원재료)'!$M173,'사업계획(매출 확정본)'!$N$131:$N$160,'사업계획(원재료)'!$N173,'사업계획(매출 확정본)'!$O$131:$O$160,'사업계획(원재료)'!$O173)</f>
        <v>12935000000</v>
      </c>
      <c r="T173" s="1042">
        <f>SUMIFS('사업계획(매출 확정본)'!W$131:W$160,'사업계획(매출 확정본)'!$M$131:$M$160,'사업계획(원재료)'!$M173,'사업계획(매출 확정본)'!$N$131:$N$160,'사업계획(원재료)'!$N173,'사업계획(매출 확정본)'!$O$131:$O$160,'사업계획(원재료)'!$O173)</f>
        <v>16296000000</v>
      </c>
    </row>
    <row r="174" spans="7:50" x14ac:dyDescent="0.3">
      <c r="L174" s="153" t="s">
        <v>648</v>
      </c>
      <c r="M174" s="968" t="s">
        <v>3577</v>
      </c>
      <c r="N174" s="153" t="s">
        <v>2140</v>
      </c>
      <c r="O174" s="968" t="s">
        <v>3075</v>
      </c>
      <c r="P174" s="986">
        <f>VLOOKUP(M174,'제품별 원재료비 '!$O$4:$S$48,5,FALSE)*P171</f>
        <v>3238950000</v>
      </c>
      <c r="Q174" s="979">
        <f>P174*(1+$V$6)/P171*Q171</f>
        <v>4517255600</v>
      </c>
      <c r="R174" s="979">
        <f t="shared" ref="R174:T174" si="101">Q174*(1+$V$6)/Q171*R171</f>
        <v>5315680527.3000002</v>
      </c>
      <c r="S174" s="979">
        <f t="shared" si="101"/>
        <v>6178002035.0620003</v>
      </c>
      <c r="T174" s="979">
        <f t="shared" si="101"/>
        <v>7754628154.4098225</v>
      </c>
      <c r="U174" s="1621">
        <f>P174/P173</f>
        <v>0.48306487695749439</v>
      </c>
    </row>
    <row r="175" spans="7:50" x14ac:dyDescent="0.3">
      <c r="G175" s="153" t="s">
        <v>2055</v>
      </c>
      <c r="H175" s="153" t="s">
        <v>2059</v>
      </c>
      <c r="I175" s="153" t="s">
        <v>2024</v>
      </c>
      <c r="L175" s="153" t="s">
        <v>648</v>
      </c>
      <c r="M175" s="968" t="s">
        <v>2064</v>
      </c>
      <c r="N175" s="153" t="s">
        <v>2158</v>
      </c>
      <c r="O175" s="968" t="s">
        <v>2862</v>
      </c>
      <c r="P175" s="1042">
        <f>SUMIFS('사업계획(매출 확정본)'!S$131:S$160,'사업계획(매출 확정본)'!$M$131:$M$160,'사업계획(원재료)'!$M175,'사업계획(매출 확정본)'!$N$131:$N$160,'사업계획(원재료)'!$N175,'사업계획(매출 확정본)'!$O$131:$O$160,'사업계획(원재료)'!$O175)</f>
        <v>100</v>
      </c>
      <c r="Q175" s="1042">
        <f>SUMIFS('사업계획(매출 확정본)'!T$131:T$160,'사업계획(매출 확정본)'!$M$131:$M$160,'사업계획(원재료)'!$M175,'사업계획(매출 확정본)'!$N$131:$N$160,'사업계획(원재료)'!$N175,'사업계획(매출 확정본)'!$O$131:$O$160,'사업계획(원재료)'!$O175)</f>
        <v>110</v>
      </c>
      <c r="R175" s="1042">
        <f>SUMIFS('사업계획(매출 확정본)'!U$131:U$160,'사업계획(매출 확정본)'!$M$131:$M$160,'사업계획(원재료)'!$M175,'사업계획(매출 확정본)'!$N$131:$N$160,'사업계획(원재료)'!$N175,'사업계획(매출 확정본)'!$O$131:$O$160,'사업계획(원재료)'!$O175)</f>
        <v>120</v>
      </c>
      <c r="S175" s="1042">
        <f>SUMIFS('사업계획(매출 확정본)'!V$131:V$160,'사업계획(매출 확정본)'!$M$131:$M$160,'사업계획(원재료)'!$M175,'사업계획(매출 확정본)'!$N$131:$N$160,'사업계획(원재료)'!$N175,'사업계획(매출 확정본)'!$O$131:$O$160,'사업계획(원재료)'!$O175)</f>
        <v>130</v>
      </c>
      <c r="T175" s="1042">
        <f>SUMIFS('사업계획(매출 확정본)'!W$131:W$160,'사업계획(매출 확정본)'!$M$131:$M$160,'사업계획(원재료)'!$M175,'사업계획(매출 확정본)'!$N$131:$N$160,'사업계획(원재료)'!$N175,'사업계획(매출 확정본)'!$O$131:$O$160,'사업계획(원재료)'!$O175)</f>
        <v>140</v>
      </c>
      <c r="W175" s="153" t="s">
        <v>2927</v>
      </c>
      <c r="X175" s="153">
        <v>2018</v>
      </c>
      <c r="Y175" s="153">
        <v>2019</v>
      </c>
      <c r="Z175" s="153">
        <v>2020</v>
      </c>
      <c r="AA175" s="153">
        <v>2021</v>
      </c>
      <c r="AD175" s="153">
        <v>2022</v>
      </c>
      <c r="AE175" s="967" t="s">
        <v>2928</v>
      </c>
      <c r="AF175" s="967"/>
      <c r="AG175" s="967"/>
      <c r="AH175" s="967"/>
      <c r="AI175" s="967"/>
      <c r="AJ175" s="967"/>
      <c r="AK175" s="967"/>
      <c r="AL175" s="967"/>
      <c r="AM175" s="967"/>
      <c r="AN175" s="967"/>
      <c r="AO175" s="967"/>
      <c r="AP175" s="967"/>
      <c r="AQ175" s="967"/>
      <c r="AR175" s="967"/>
      <c r="AS175" s="967"/>
      <c r="AT175" s="967"/>
      <c r="AU175" s="967"/>
      <c r="AV175" s="967"/>
      <c r="AW175" s="967"/>
      <c r="AX175" s="967"/>
    </row>
    <row r="176" spans="7:50" x14ac:dyDescent="0.3">
      <c r="G176" s="153" t="s">
        <v>2059</v>
      </c>
      <c r="H176" s="153" t="s">
        <v>2059</v>
      </c>
      <c r="I176" s="153" t="s">
        <v>2024</v>
      </c>
      <c r="L176" s="153" t="s">
        <v>648</v>
      </c>
      <c r="M176" s="968" t="s">
        <v>2064</v>
      </c>
      <c r="N176" s="153" t="s">
        <v>2158</v>
      </c>
      <c r="O176" s="968" t="s">
        <v>2865</v>
      </c>
      <c r="P176" s="1042">
        <f>SUMIFS('사업계획(매출 확정본)'!S$131:S$160,'사업계획(매출 확정본)'!$M$131:$M$160,'사업계획(원재료)'!$M176,'사업계획(매출 확정본)'!$N$131:$N$160,'사업계획(원재료)'!$N176,'사업계획(매출 확정본)'!$O$131:$O$160,'사업계획(원재료)'!$O176)</f>
        <v>116666666.66666667</v>
      </c>
      <c r="Q176" s="1042">
        <f>SUMIFS('사업계획(매출 확정본)'!T$131:T$160,'사업계획(매출 확정본)'!$M$131:$M$160,'사업계획(원재료)'!$M176,'사업계획(매출 확정본)'!$N$131:$N$160,'사업계획(원재료)'!$N176,'사업계획(매출 확정본)'!$O$131:$O$160,'사업계획(원재료)'!$O176)</f>
        <v>122500000</v>
      </c>
      <c r="R176" s="1042">
        <f>SUMIFS('사업계획(매출 확정본)'!U$131:U$160,'사업계획(매출 확정본)'!$M$131:$M$160,'사업계획(원재료)'!$M176,'사업계획(매출 확정본)'!$N$131:$N$160,'사업계획(원재료)'!$N176,'사업계획(매출 확정본)'!$O$131:$O$160,'사업계획(원재료)'!$O176)</f>
        <v>128600000</v>
      </c>
      <c r="S176" s="1042">
        <f>SUMIFS('사업계획(매출 확정본)'!V$131:V$160,'사업계획(매출 확정본)'!$M$131:$M$160,'사업계획(원재료)'!$M176,'사업계획(매출 확정본)'!$N$131:$N$160,'사업계획(원재료)'!$N176,'사업계획(매출 확정본)'!$O$131:$O$160,'사업계획(원재료)'!$O176)</f>
        <v>135000000</v>
      </c>
      <c r="T176" s="1042">
        <f>SUMIFS('사업계획(매출 확정본)'!W$131:W$160,'사업계획(매출 확정본)'!$M$131:$M$160,'사업계획(원재료)'!$M176,'사업계획(매출 확정본)'!$N$131:$N$160,'사업계획(원재료)'!$N176,'사업계획(매출 확정본)'!$O$131:$O$160,'사업계획(원재료)'!$O176)</f>
        <v>141800000</v>
      </c>
      <c r="U176" s="153">
        <f>P178/P177</f>
        <v>0.55714285714285705</v>
      </c>
      <c r="W176" s="153" t="s">
        <v>2929</v>
      </c>
      <c r="X176" s="153">
        <v>30</v>
      </c>
      <c r="Y176" s="153">
        <v>40</v>
      </c>
      <c r="Z176" s="153">
        <v>30</v>
      </c>
      <c r="AA176" s="153">
        <v>40</v>
      </c>
      <c r="AD176" s="153">
        <v>45</v>
      </c>
    </row>
    <row r="177" spans="7:31" x14ac:dyDescent="0.3">
      <c r="L177" s="153" t="s">
        <v>648</v>
      </c>
      <c r="M177" s="968" t="s">
        <v>2064</v>
      </c>
      <c r="N177" s="153" t="s">
        <v>2158</v>
      </c>
      <c r="O177" s="972" t="s">
        <v>2867</v>
      </c>
      <c r="P177" s="1042">
        <f>SUMIFS('사업계획(매출 확정본)'!S$131:S$160,'사업계획(매출 확정본)'!$M$131:$M$160,'사업계획(원재료)'!$M177,'사업계획(매출 확정본)'!$N$131:$N$160,'사업계획(원재료)'!$N177,'사업계획(매출 확정본)'!$O$131:$O$160,'사업계획(원재료)'!$O177)</f>
        <v>11666666666.666668</v>
      </c>
      <c r="Q177" s="1042">
        <f>SUMIFS('사업계획(매출 확정본)'!T$131:T$160,'사업계획(매출 확정본)'!$M$131:$M$160,'사업계획(원재료)'!$M177,'사업계획(매출 확정본)'!$N$131:$N$160,'사업계획(원재료)'!$N177,'사업계획(매출 확정본)'!$O$131:$O$160,'사업계획(원재료)'!$O177)</f>
        <v>13475000000</v>
      </c>
      <c r="R177" s="1042">
        <f>SUMIFS('사업계획(매출 확정본)'!U$131:U$160,'사업계획(매출 확정본)'!$M$131:$M$160,'사업계획(원재료)'!$M177,'사업계획(매출 확정본)'!$N$131:$N$160,'사업계획(원재료)'!$N177,'사업계획(매출 확정본)'!$O$131:$O$160,'사업계획(원재료)'!$O177)</f>
        <v>15432000000</v>
      </c>
      <c r="S177" s="1042">
        <f>SUMIFS('사업계획(매출 확정본)'!V$131:V$160,'사업계획(매출 확정본)'!$M$131:$M$160,'사업계획(원재료)'!$M177,'사업계획(매출 확정본)'!$N$131:$N$160,'사업계획(원재료)'!$N177,'사업계획(매출 확정본)'!$O$131:$O$160,'사업계획(원재료)'!$O177)</f>
        <v>17550000000</v>
      </c>
      <c r="T177" s="1042">
        <f>SUMIFS('사업계획(매출 확정본)'!W$131:W$160,'사업계획(매출 확정본)'!$M$131:$M$160,'사업계획(원재료)'!$M177,'사업계획(매출 확정본)'!$N$131:$N$160,'사업계획(원재료)'!$N177,'사업계획(매출 확정본)'!$O$131:$O$160,'사업계획(원재료)'!$O177)</f>
        <v>19852000000</v>
      </c>
    </row>
    <row r="178" spans="7:31" x14ac:dyDescent="0.3">
      <c r="L178" s="153" t="s">
        <v>648</v>
      </c>
      <c r="M178" s="968" t="s">
        <v>2064</v>
      </c>
      <c r="N178" s="153" t="s">
        <v>2158</v>
      </c>
      <c r="O178" s="968" t="s">
        <v>3075</v>
      </c>
      <c r="P178" s="991">
        <f>65000000*P175</f>
        <v>6500000000</v>
      </c>
      <c r="Q178" s="979">
        <f t="shared" ref="Q178:T178" si="102">P178*(1+$V$6)/P175*Q175</f>
        <v>7478900000</v>
      </c>
      <c r="R178" s="979">
        <f t="shared" si="102"/>
        <v>8534104800</v>
      </c>
      <c r="S178" s="979">
        <f t="shared" si="102"/>
        <v>9670563089.2000008</v>
      </c>
      <c r="T178" s="979">
        <f t="shared" si="102"/>
        <v>10893517375.249601</v>
      </c>
      <c r="U178" s="1620">
        <f>T178/T177</f>
        <v>0.54873651900310305</v>
      </c>
    </row>
    <row r="179" spans="7:31" x14ac:dyDescent="0.3">
      <c r="G179" s="153" t="s">
        <v>2062</v>
      </c>
      <c r="H179" s="153" t="s">
        <v>2059</v>
      </c>
      <c r="I179" s="153" t="s">
        <v>2024</v>
      </c>
      <c r="L179" s="153" t="s">
        <v>648</v>
      </c>
      <c r="M179" s="968" t="s">
        <v>2930</v>
      </c>
      <c r="N179" s="153" t="s">
        <v>2156</v>
      </c>
      <c r="O179" s="153" t="s">
        <v>2932</v>
      </c>
      <c r="P179" s="1042">
        <f>SUMIFS('사업계획(매출 확정본)'!S$131:S$160,'사업계획(매출 확정본)'!$M$131:$M$160,'사업계획(원재료)'!$M179,'사업계획(매출 확정본)'!$N$131:$N$160,'사업계획(원재료)'!$N179,'사업계획(매출 확정본)'!$O$131:$O$160,'사업계획(원재료)'!$O179)</f>
        <v>10</v>
      </c>
      <c r="Q179" s="1042">
        <f>SUMIFS('사업계획(매출 확정본)'!T$131:T$160,'사업계획(매출 확정본)'!$M$131:$M$160,'사업계획(원재료)'!$M179,'사업계획(매출 확정본)'!$N$131:$N$160,'사업계획(원재료)'!$N179,'사업계획(매출 확정본)'!$O$131:$O$160,'사업계획(원재료)'!$O179)</f>
        <v>12</v>
      </c>
      <c r="R179" s="1042">
        <f>SUMIFS('사업계획(매출 확정본)'!U$131:U$160,'사업계획(매출 확정본)'!$M$131:$M$160,'사업계획(원재료)'!$M179,'사업계획(매출 확정본)'!$N$131:$N$160,'사업계획(원재료)'!$N179,'사업계획(매출 확정본)'!$O$131:$O$160,'사업계획(원재료)'!$O179)</f>
        <v>14</v>
      </c>
      <c r="S179" s="1042">
        <f>SUMIFS('사업계획(매출 확정본)'!V$131:V$160,'사업계획(매출 확정본)'!$M$131:$M$160,'사업계획(원재료)'!$M179,'사업계획(매출 확정본)'!$N$131:$N$160,'사업계획(원재료)'!$N179,'사업계획(매출 확정본)'!$O$131:$O$160,'사업계획(원재료)'!$O179)</f>
        <v>16</v>
      </c>
      <c r="T179" s="1042">
        <f>SUMIFS('사업계획(매출 확정본)'!W$131:W$160,'사업계획(매출 확정본)'!$M$131:$M$160,'사업계획(원재료)'!$M179,'사업계획(매출 확정본)'!$N$131:$N$160,'사업계획(원재료)'!$N179,'사업계획(매출 확정본)'!$O$131:$O$160,'사업계획(원재료)'!$O179)</f>
        <v>18</v>
      </c>
      <c r="W179" s="153" t="s">
        <v>2158</v>
      </c>
      <c r="X179" s="153">
        <v>30</v>
      </c>
      <c r="Y179" s="153">
        <v>90</v>
      </c>
    </row>
    <row r="180" spans="7:31" x14ac:dyDescent="0.3">
      <c r="G180" s="153" t="s">
        <v>2834</v>
      </c>
      <c r="H180" s="153" t="s">
        <v>2059</v>
      </c>
      <c r="I180" s="153" t="s">
        <v>2024</v>
      </c>
      <c r="L180" s="153" t="s">
        <v>648</v>
      </c>
      <c r="M180" s="968" t="s">
        <v>2930</v>
      </c>
      <c r="N180" s="153" t="s">
        <v>2156</v>
      </c>
      <c r="O180" s="153" t="s">
        <v>183</v>
      </c>
      <c r="P180" s="1042">
        <f>SUMIFS('사업계획(매출 확정본)'!S$131:S$160,'사업계획(매출 확정본)'!$M$131:$M$160,'사업계획(원재료)'!$M180,'사업계획(매출 확정본)'!$N$131:$N$160,'사업계획(원재료)'!$N180,'사업계획(매출 확정본)'!$O$131:$O$160,'사업계획(원재료)'!$O180)</f>
        <v>205000000</v>
      </c>
      <c r="Q180" s="1042">
        <f>SUMIFS('사업계획(매출 확정본)'!T$131:T$160,'사업계획(매출 확정본)'!$M$131:$M$160,'사업계획(원재료)'!$M180,'사업계획(매출 확정본)'!$N$131:$N$160,'사업계획(원재료)'!$N180,'사업계획(매출 확정본)'!$O$131:$O$160,'사업계획(원재료)'!$O180)</f>
        <v>215300000</v>
      </c>
      <c r="R180" s="1042">
        <f>SUMIFS('사업계획(매출 확정본)'!U$131:U$160,'사업계획(매출 확정본)'!$M$131:$M$160,'사업계획(원재료)'!$M180,'사업계획(매출 확정본)'!$N$131:$N$160,'사업계획(원재료)'!$N180,'사업계획(매출 확정본)'!$O$131:$O$160,'사업계획(원재료)'!$O180)</f>
        <v>226100000</v>
      </c>
      <c r="S180" s="1042">
        <f>SUMIFS('사업계획(매출 확정본)'!V$131:V$160,'사업계획(매출 확정본)'!$M$131:$M$160,'사업계획(원재료)'!$M180,'사업계획(매출 확정본)'!$N$131:$N$160,'사업계획(원재료)'!$N180,'사업계획(매출 확정본)'!$O$131:$O$160,'사업계획(원재료)'!$O180)</f>
        <v>237400000</v>
      </c>
      <c r="T180" s="1042">
        <f>SUMIFS('사업계획(매출 확정본)'!W$131:W$160,'사업계획(매출 확정본)'!$M$131:$M$160,'사업계획(원재료)'!$M180,'사업계획(매출 확정본)'!$N$131:$N$160,'사업계획(원재료)'!$N180,'사업계획(매출 확정본)'!$O$131:$O$160,'사업계획(원재료)'!$O180)</f>
        <v>249300000</v>
      </c>
      <c r="W180" s="153" t="s">
        <v>2934</v>
      </c>
      <c r="X180" s="153">
        <v>10</v>
      </c>
      <c r="Y180" s="153">
        <v>10</v>
      </c>
      <c r="AE180" s="153" t="s">
        <v>2935</v>
      </c>
    </row>
    <row r="181" spans="7:31" x14ac:dyDescent="0.3">
      <c r="L181" s="153" t="s">
        <v>648</v>
      </c>
      <c r="M181" s="968" t="s">
        <v>2930</v>
      </c>
      <c r="N181" s="153" t="s">
        <v>2156</v>
      </c>
      <c r="O181" s="972" t="s">
        <v>2867</v>
      </c>
      <c r="P181" s="1042">
        <f>SUMIFS('사업계획(매출 확정본)'!S$131:S$160,'사업계획(매출 확정본)'!$M$131:$M$160,'사업계획(원재료)'!$M181,'사업계획(매출 확정본)'!$N$131:$N$160,'사업계획(원재료)'!$N181,'사업계획(매출 확정본)'!$O$131:$O$160,'사업계획(원재료)'!$O181)</f>
        <v>2050000000</v>
      </c>
      <c r="Q181" s="1042">
        <f>SUMIFS('사업계획(매출 확정본)'!T$131:T$160,'사업계획(매출 확정본)'!$M$131:$M$160,'사업계획(원재료)'!$M181,'사업계획(매출 확정본)'!$N$131:$N$160,'사업계획(원재료)'!$N181,'사업계획(매출 확정본)'!$O$131:$O$160,'사업계획(원재료)'!$O181)</f>
        <v>2583600000</v>
      </c>
      <c r="R181" s="1042">
        <f>SUMIFS('사업계획(매출 확정본)'!U$131:U$160,'사업계획(매출 확정본)'!$M$131:$M$160,'사업계획(원재료)'!$M181,'사업계획(매출 확정본)'!$N$131:$N$160,'사업계획(원재료)'!$N181,'사업계획(매출 확정본)'!$O$131:$O$160,'사업계획(원재료)'!$O181)</f>
        <v>3165400000</v>
      </c>
      <c r="S181" s="1042">
        <f>SUMIFS('사업계획(매출 확정본)'!V$131:V$160,'사업계획(매출 확정본)'!$M$131:$M$160,'사업계획(원재료)'!$M181,'사업계획(매출 확정본)'!$N$131:$N$160,'사업계획(원재료)'!$N181,'사업계획(매출 확정본)'!$O$131:$O$160,'사업계획(원재료)'!$O181)</f>
        <v>3798400000</v>
      </c>
      <c r="T181" s="1042">
        <f>SUMIFS('사업계획(매출 확정본)'!W$131:W$160,'사업계획(매출 확정본)'!$M$131:$M$160,'사업계획(원재료)'!$M181,'사업계획(매출 확정본)'!$N$131:$N$160,'사업계획(원재료)'!$N181,'사업계획(매출 확정본)'!$O$131:$O$160,'사업계획(원재료)'!$O181)</f>
        <v>4487400000</v>
      </c>
    </row>
    <row r="182" spans="7:31" x14ac:dyDescent="0.3">
      <c r="L182" s="153" t="s">
        <v>648</v>
      </c>
      <c r="M182" s="968" t="s">
        <v>3227</v>
      </c>
      <c r="N182" s="153" t="s">
        <v>2156</v>
      </c>
      <c r="O182" s="968" t="s">
        <v>3075</v>
      </c>
      <c r="P182" s="986">
        <f>VLOOKUP(M182,'제품별 원재료비 '!$O$4:$S$48,5,FALSE)*P179</f>
        <v>1247427700</v>
      </c>
      <c r="Q182" s="979">
        <f t="shared" ref="Q182:T182" si="103">P182*(1+$V$6)/P179*Q179</f>
        <v>1565771249.04</v>
      </c>
      <c r="R182" s="979">
        <f t="shared" si="103"/>
        <v>1910762847.57848</v>
      </c>
      <c r="S182" s="979">
        <f t="shared" si="103"/>
        <v>2284180501.2195315</v>
      </c>
      <c r="T182" s="979">
        <f t="shared" si="103"/>
        <v>2687909404.8100839</v>
      </c>
      <c r="U182" s="1621">
        <f>P182/P181</f>
        <v>0.60850131707317068</v>
      </c>
    </row>
    <row r="183" spans="7:31" x14ac:dyDescent="0.3">
      <c r="G183" s="153" t="s">
        <v>2835</v>
      </c>
      <c r="H183" s="153" t="s">
        <v>2059</v>
      </c>
      <c r="I183" s="153" t="s">
        <v>2024</v>
      </c>
      <c r="L183" s="153" t="s">
        <v>648</v>
      </c>
      <c r="M183" s="968" t="s">
        <v>2936</v>
      </c>
      <c r="N183" s="153" t="s">
        <v>2156</v>
      </c>
      <c r="O183" s="153" t="s">
        <v>2932</v>
      </c>
      <c r="P183" s="1042">
        <f>SUMIFS('사업계획(매출 확정본)'!S$131:S$160,'사업계획(매출 확정본)'!$M$131:$M$160,'사업계획(원재료)'!$M183,'사업계획(매출 확정본)'!$N$131:$N$160,'사업계획(원재료)'!$N183,'사업계획(매출 확정본)'!$O$131:$O$160,'사업계획(원재료)'!$O183)</f>
        <v>10</v>
      </c>
      <c r="Q183" s="1042">
        <f>SUMIFS('사업계획(매출 확정본)'!T$131:T$160,'사업계획(매출 확정본)'!$M$131:$M$160,'사업계획(원재료)'!$M183,'사업계획(매출 확정본)'!$N$131:$N$160,'사업계획(원재료)'!$N183,'사업계획(매출 확정본)'!$O$131:$O$160,'사업계획(원재료)'!$O183)</f>
        <v>10</v>
      </c>
      <c r="R183" s="1042">
        <f>SUMIFS('사업계획(매출 확정본)'!U$131:U$160,'사업계획(매출 확정본)'!$M$131:$M$160,'사업계획(원재료)'!$M183,'사업계획(매출 확정본)'!$N$131:$N$160,'사업계획(원재료)'!$N183,'사업계획(매출 확정본)'!$O$131:$O$160,'사업계획(원재료)'!$O183)</f>
        <v>10</v>
      </c>
      <c r="S183" s="1042">
        <f>SUMIFS('사업계획(매출 확정본)'!V$131:V$160,'사업계획(매출 확정본)'!$M$131:$M$160,'사업계획(원재료)'!$M183,'사업계획(매출 확정본)'!$N$131:$N$160,'사업계획(원재료)'!$N183,'사업계획(매출 확정본)'!$O$131:$O$160,'사업계획(원재료)'!$O183)</f>
        <v>10</v>
      </c>
      <c r="T183" s="1042">
        <f>SUMIFS('사업계획(매출 확정본)'!W$131:W$160,'사업계획(매출 확정본)'!$M$131:$M$160,'사업계획(원재료)'!$M183,'사업계획(매출 확정본)'!$N$131:$N$160,'사업계획(원재료)'!$N183,'사업계획(매출 확정본)'!$O$131:$O$160,'사업계획(원재료)'!$O183)</f>
        <v>10</v>
      </c>
    </row>
    <row r="184" spans="7:31" x14ac:dyDescent="0.3">
      <c r="G184" s="153" t="s">
        <v>2044</v>
      </c>
      <c r="H184" s="153" t="s">
        <v>2037</v>
      </c>
      <c r="I184" s="153" t="s">
        <v>2802</v>
      </c>
      <c r="L184" s="153" t="s">
        <v>648</v>
      </c>
      <c r="M184" s="968" t="s">
        <v>2936</v>
      </c>
      <c r="N184" s="153" t="s">
        <v>2156</v>
      </c>
      <c r="O184" s="153" t="s">
        <v>183</v>
      </c>
      <c r="P184" s="1042">
        <f>SUMIFS('사업계획(매출 확정본)'!S$131:S$160,'사업계획(매출 확정본)'!$M$131:$M$160,'사업계획(원재료)'!$M184,'사업계획(매출 확정본)'!$N$131:$N$160,'사업계획(원재료)'!$N184,'사업계획(매출 확정본)'!$O$131:$O$160,'사업계획(원재료)'!$O184)</f>
        <v>175000000</v>
      </c>
      <c r="Q184" s="1042">
        <f>SUMIFS('사업계획(매출 확정본)'!T$131:T$160,'사업계획(매출 확정본)'!$M$131:$M$160,'사업계획(원재료)'!$M184,'사업계획(매출 확정본)'!$N$131:$N$160,'사업계획(원재료)'!$N184,'사업계획(매출 확정본)'!$O$131:$O$160,'사업계획(원재료)'!$O184)</f>
        <v>183800000</v>
      </c>
      <c r="R184" s="1042">
        <f>SUMIFS('사업계획(매출 확정본)'!U$131:U$160,'사업계획(매출 확정본)'!$M$131:$M$160,'사업계획(원재료)'!$M184,'사업계획(매출 확정본)'!$N$131:$N$160,'사업계획(원재료)'!$N184,'사업계획(매출 확정본)'!$O$131:$O$160,'사업계획(원재료)'!$O184)</f>
        <v>193000000</v>
      </c>
      <c r="S184" s="1042">
        <f>SUMIFS('사업계획(매출 확정본)'!V$131:V$160,'사업계획(매출 확정본)'!$M$131:$M$160,'사업계획(원재료)'!$M184,'사업계획(매출 확정본)'!$N$131:$N$160,'사업계획(원재료)'!$N184,'사업계획(매출 확정본)'!$O$131:$O$160,'사업계획(원재료)'!$O184)</f>
        <v>202700000</v>
      </c>
      <c r="T184" s="1042">
        <f>SUMIFS('사업계획(매출 확정본)'!W$131:W$160,'사업계획(매출 확정본)'!$M$131:$M$160,'사업계획(원재료)'!$M184,'사업계획(매출 확정본)'!$N$131:$N$160,'사업계획(원재료)'!$N184,'사업계획(매출 확정본)'!$O$131:$O$160,'사업계획(원재료)'!$O184)</f>
        <v>212800000</v>
      </c>
      <c r="W184" s="153" t="s">
        <v>2139</v>
      </c>
      <c r="X184" s="153">
        <v>2018</v>
      </c>
      <c r="Y184" s="153">
        <v>2019</v>
      </c>
      <c r="Z184" s="153">
        <v>2020</v>
      </c>
      <c r="AA184" s="153">
        <v>2021</v>
      </c>
      <c r="AD184" s="153">
        <v>2022</v>
      </c>
    </row>
    <row r="185" spans="7:31" x14ac:dyDescent="0.3">
      <c r="L185" s="153" t="s">
        <v>648</v>
      </c>
      <c r="M185" s="968" t="s">
        <v>2936</v>
      </c>
      <c r="N185" s="153" t="s">
        <v>2156</v>
      </c>
      <c r="O185" s="972" t="s">
        <v>2867</v>
      </c>
      <c r="P185" s="1042">
        <f>SUMIFS('사업계획(매출 확정본)'!S$131:S$160,'사업계획(매출 확정본)'!$M$131:$M$160,'사업계획(원재료)'!$M185,'사업계획(매출 확정본)'!$N$131:$N$160,'사업계획(원재료)'!$N185,'사업계획(매출 확정본)'!$O$131:$O$160,'사업계획(원재료)'!$O185)</f>
        <v>1750000000</v>
      </c>
      <c r="Q185" s="1042">
        <f>SUMIFS('사업계획(매출 확정본)'!T$131:T$160,'사업계획(매출 확정본)'!$M$131:$M$160,'사업계획(원재료)'!$M185,'사업계획(매출 확정본)'!$N$131:$N$160,'사업계획(원재료)'!$N185,'사업계획(매출 확정본)'!$O$131:$O$160,'사업계획(원재료)'!$O185)</f>
        <v>1838000000</v>
      </c>
      <c r="R185" s="1042">
        <f>SUMIFS('사업계획(매출 확정본)'!U$131:U$160,'사업계획(매출 확정본)'!$M$131:$M$160,'사업계획(원재료)'!$M185,'사업계획(매출 확정본)'!$N$131:$N$160,'사업계획(원재료)'!$N185,'사업계획(매출 확정본)'!$O$131:$O$160,'사업계획(원재료)'!$O185)</f>
        <v>1930000000</v>
      </c>
      <c r="S185" s="1042">
        <f>SUMIFS('사업계획(매출 확정본)'!V$131:V$160,'사업계획(매출 확정본)'!$M$131:$M$160,'사업계획(원재료)'!$M185,'사업계획(매출 확정본)'!$N$131:$N$160,'사업계획(원재료)'!$N185,'사업계획(매출 확정본)'!$O$131:$O$160,'사업계획(원재료)'!$O185)</f>
        <v>2027000000</v>
      </c>
      <c r="T185" s="1042">
        <f>SUMIFS('사업계획(매출 확정본)'!W$131:W$160,'사업계획(매출 확정본)'!$M$131:$M$160,'사업계획(원재료)'!$M185,'사업계획(매출 확정본)'!$N$131:$N$160,'사업계획(원재료)'!$N185,'사업계획(매출 확정본)'!$O$131:$O$160,'사업계획(원재료)'!$O185)</f>
        <v>2128000000</v>
      </c>
    </row>
    <row r="186" spans="7:31" x14ac:dyDescent="0.3">
      <c r="L186" s="153" t="s">
        <v>648</v>
      </c>
      <c r="M186" s="968" t="s">
        <v>2936</v>
      </c>
      <c r="N186" s="153" t="s">
        <v>2156</v>
      </c>
      <c r="O186" s="968" t="s">
        <v>3075</v>
      </c>
      <c r="P186" s="986">
        <f>VLOOKUP(M186,'제품별 원재료비 '!$O$4:$S$48,5,FALSE)*P183</f>
        <v>997856450</v>
      </c>
      <c r="Q186" s="979">
        <f t="shared" ref="Q186:T186" si="104">P186*(1+$V$6)/P183*Q183</f>
        <v>1043757846.7</v>
      </c>
      <c r="R186" s="979">
        <f t="shared" si="104"/>
        <v>1091770707.6482</v>
      </c>
      <c r="S186" s="979">
        <f t="shared" si="104"/>
        <v>1141992160.2000172</v>
      </c>
      <c r="T186" s="979">
        <f t="shared" si="104"/>
        <v>1194523799.5692182</v>
      </c>
      <c r="U186" s="1621">
        <f>P186/P185</f>
        <v>0.5702036857142857</v>
      </c>
    </row>
    <row r="187" spans="7:31" x14ac:dyDescent="0.3">
      <c r="L187" s="153" t="s">
        <v>648</v>
      </c>
      <c r="M187" s="968" t="str">
        <f>'사업계획(매출 확정본)'!$M$143</f>
        <v>DHT 180S</v>
      </c>
      <c r="N187" s="153" t="s">
        <v>2881</v>
      </c>
      <c r="O187" s="153" t="s">
        <v>2932</v>
      </c>
      <c r="P187" s="1042">
        <f>SUMIFS('사업계획(매출 확정본)'!S$131:S$160,'사업계획(매출 확정본)'!$M$131:$M$160,'사업계획(원재료)'!$M187,'사업계획(매출 확정본)'!$N$131:$N$160,'사업계획(원재료)'!$N187,'사업계획(매출 확정본)'!$O$131:$O$160,'사업계획(원재료)'!$O187)</f>
        <v>30</v>
      </c>
      <c r="Q187" s="1042">
        <f>SUMIFS('사업계획(매출 확정본)'!T$131:T$160,'사업계획(매출 확정본)'!$M$131:$M$160,'사업계획(원재료)'!$M187,'사업계획(매출 확정본)'!$N$131:$N$160,'사업계획(원재료)'!$N187,'사업계획(매출 확정본)'!$O$131:$O$160,'사업계획(원재료)'!$O187)</f>
        <v>30</v>
      </c>
      <c r="R187" s="1042">
        <f>SUMIFS('사업계획(매출 확정본)'!U$131:U$160,'사업계획(매출 확정본)'!$M$131:$M$160,'사업계획(원재료)'!$M187,'사업계획(매출 확정본)'!$N$131:$N$160,'사업계획(원재료)'!$N187,'사업계획(매출 확정본)'!$O$131:$O$160,'사업계획(원재료)'!$O187)</f>
        <v>30</v>
      </c>
      <c r="S187" s="1042">
        <f>SUMIFS('사업계획(매출 확정본)'!V$131:V$160,'사업계획(매출 확정본)'!$M$131:$M$160,'사업계획(원재료)'!$M187,'사업계획(매출 확정본)'!$N$131:$N$160,'사업계획(원재료)'!$N187,'사업계획(매출 확정본)'!$O$131:$O$160,'사업계획(원재료)'!$O187)</f>
        <v>30</v>
      </c>
      <c r="T187" s="1042">
        <f>SUMIFS('사업계획(매출 확정본)'!W$131:W$160,'사업계획(매출 확정본)'!$M$131:$M$160,'사업계획(원재료)'!$M187,'사업계획(매출 확정본)'!$N$131:$N$160,'사업계획(원재료)'!$N187,'사업계획(매출 확정본)'!$O$131:$O$160,'사업계획(원재료)'!$O187)</f>
        <v>30</v>
      </c>
      <c r="U187" s="153">
        <f t="shared" ref="U187" si="105">AL129</f>
        <v>0</v>
      </c>
    </row>
    <row r="188" spans="7:31" x14ac:dyDescent="0.3">
      <c r="L188" s="153" t="s">
        <v>648</v>
      </c>
      <c r="M188" s="968" t="str">
        <f>'사업계획(매출 확정본)'!$M$143</f>
        <v>DHT 180S</v>
      </c>
      <c r="N188" s="153" t="s">
        <v>2881</v>
      </c>
      <c r="O188" s="153" t="s">
        <v>183</v>
      </c>
      <c r="P188" s="1042">
        <f>SUMIFS('사업계획(매출 확정본)'!S$131:S$160,'사업계획(매출 확정본)'!$M$131:$M$160,'사업계획(원재료)'!$M188,'사업계획(매출 확정본)'!$N$131:$N$160,'사업계획(원재료)'!$N188,'사업계획(매출 확정본)'!$O$131:$O$160,'사업계획(원재료)'!$O188)</f>
        <v>116666666.66666667</v>
      </c>
      <c r="Q188" s="1042">
        <f>SUMIFS('사업계획(매출 확정본)'!T$131:T$160,'사업계획(매출 확정본)'!$M$131:$M$160,'사업계획(원재료)'!$M188,'사업계획(매출 확정본)'!$N$131:$N$160,'사업계획(원재료)'!$N188,'사업계획(매출 확정본)'!$O$131:$O$160,'사업계획(원재료)'!$O188)</f>
        <v>122500000</v>
      </c>
      <c r="R188" s="1042">
        <f>SUMIFS('사업계획(매출 확정본)'!U$131:U$160,'사업계획(매출 확정본)'!$M$131:$M$160,'사업계획(원재료)'!$M188,'사업계획(매출 확정본)'!$N$131:$N$160,'사업계획(원재료)'!$N188,'사업계획(매출 확정본)'!$O$131:$O$160,'사업계획(원재료)'!$O188)</f>
        <v>128600000</v>
      </c>
      <c r="S188" s="1042">
        <f>SUMIFS('사업계획(매출 확정본)'!V$131:V$160,'사업계획(매출 확정본)'!$M$131:$M$160,'사업계획(원재료)'!$M188,'사업계획(매출 확정본)'!$N$131:$N$160,'사업계획(원재료)'!$N188,'사업계획(매출 확정본)'!$O$131:$O$160,'사업계획(원재료)'!$O188)</f>
        <v>135000000</v>
      </c>
      <c r="T188" s="1042">
        <f>SUMIFS('사업계획(매출 확정본)'!W$131:W$160,'사업계획(매출 확정본)'!$M$131:$M$160,'사업계획(원재료)'!$M188,'사업계획(매출 확정본)'!$N$131:$N$160,'사업계획(원재료)'!$N188,'사업계획(매출 확정본)'!$O$131:$O$160,'사업계획(원재료)'!$O188)</f>
        <v>141800000</v>
      </c>
      <c r="U188" s="1587" t="e">
        <f t="shared" ref="U188" si="106">U189/U187</f>
        <v>#DIV/0!</v>
      </c>
    </row>
    <row r="189" spans="7:31" x14ac:dyDescent="0.3">
      <c r="L189" s="153" t="s">
        <v>648</v>
      </c>
      <c r="M189" s="968" t="str">
        <f>'사업계획(매출 확정본)'!$M$143</f>
        <v>DHT 180S</v>
      </c>
      <c r="N189" s="153" t="s">
        <v>2881</v>
      </c>
      <c r="O189" s="972" t="s">
        <v>3578</v>
      </c>
      <c r="P189" s="1042">
        <f>SUMIFS('사업계획(매출 확정본)'!S$131:S$160,'사업계획(매출 확정본)'!$M$131:$M$160,'사업계획(원재료)'!$M189,'사업계획(매출 확정본)'!$N$131:$N$160,'사업계획(원재료)'!$N189,'사업계획(매출 확정본)'!$O$131:$O$160,'사업계획(원재료)'!$O189)</f>
        <v>3500000000</v>
      </c>
      <c r="Q189" s="1042">
        <f>SUMIFS('사업계획(매출 확정본)'!T$131:T$160,'사업계획(매출 확정본)'!$M$131:$M$160,'사업계획(원재료)'!$M189,'사업계획(매출 확정본)'!$N$131:$N$160,'사업계획(원재료)'!$N189,'사업계획(매출 확정본)'!$O$131:$O$160,'사업계획(원재료)'!$O189)</f>
        <v>3675000000</v>
      </c>
      <c r="R189" s="1042">
        <f>SUMIFS('사업계획(매출 확정본)'!U$131:U$160,'사업계획(매출 확정본)'!$M$131:$M$160,'사업계획(원재료)'!$M189,'사업계획(매출 확정본)'!$N$131:$N$160,'사업계획(원재료)'!$N189,'사업계획(매출 확정본)'!$O$131:$O$160,'사업계획(원재료)'!$O189)</f>
        <v>3858000000</v>
      </c>
      <c r="S189" s="1042">
        <f>SUMIFS('사업계획(매출 확정본)'!V$131:V$160,'사업계획(매출 확정본)'!$M$131:$M$160,'사업계획(원재료)'!$M189,'사업계획(매출 확정본)'!$N$131:$N$160,'사업계획(원재료)'!$N189,'사업계획(매출 확정본)'!$O$131:$O$160,'사업계획(원재료)'!$O189)</f>
        <v>4050000000</v>
      </c>
      <c r="T189" s="1042">
        <f>SUMIFS('사업계획(매출 확정본)'!W$131:W$160,'사업계획(매출 확정본)'!$M$131:$M$160,'사업계획(원재료)'!$M189,'사업계획(매출 확정본)'!$N$131:$N$160,'사업계획(원재료)'!$N189,'사업계획(매출 확정본)'!$O$131:$O$160,'사업계획(원재료)'!$O189)</f>
        <v>4254000000</v>
      </c>
      <c r="U189" s="986">
        <f t="shared" ref="U189" si="107">AL128</f>
        <v>0</v>
      </c>
    </row>
    <row r="190" spans="7:31" x14ac:dyDescent="0.3">
      <c r="L190" s="153" t="s">
        <v>648</v>
      </c>
      <c r="M190" s="968" t="str">
        <f>'사업계획(매출 확정본)'!$M$143</f>
        <v>DHT 180S</v>
      </c>
      <c r="N190" s="153" t="s">
        <v>2881</v>
      </c>
      <c r="O190" s="968" t="s">
        <v>3075</v>
      </c>
      <c r="P190" s="991">
        <f>65000000*P187</f>
        <v>1950000000</v>
      </c>
      <c r="Q190" s="979">
        <f t="shared" ref="Q190:T190" si="108">P190*(1+$V$6)/P187*Q187</f>
        <v>2039700000</v>
      </c>
      <c r="R190" s="979">
        <f t="shared" si="108"/>
        <v>2133526200</v>
      </c>
      <c r="S190" s="979">
        <f t="shared" si="108"/>
        <v>2231668405.2000003</v>
      </c>
      <c r="T190" s="979">
        <f t="shared" si="108"/>
        <v>2334325151.8392005</v>
      </c>
      <c r="U190" s="1621">
        <f>P190/P189</f>
        <v>0.55714285714285716</v>
      </c>
    </row>
    <row r="191" spans="7:31" x14ac:dyDescent="0.3">
      <c r="G191" s="153" t="s">
        <v>2043</v>
      </c>
      <c r="H191" s="153" t="s">
        <v>2037</v>
      </c>
      <c r="I191" s="153" t="s">
        <v>2802</v>
      </c>
      <c r="L191" s="153" t="s">
        <v>2139</v>
      </c>
      <c r="M191" s="968" t="s">
        <v>3553</v>
      </c>
      <c r="N191" s="987" t="s">
        <v>2140</v>
      </c>
      <c r="O191" s="153" t="s">
        <v>2932</v>
      </c>
      <c r="P191" s="1042">
        <f>SUMIFS('사업계획(매출 확정본)'!S$131:S$160,'사업계획(매출 확정본)'!$M$131:$M$160,'사업계획(원재료)'!$M191,'사업계획(매출 확정본)'!$N$131:$N$160,'사업계획(원재료)'!$N191,'사업계획(매출 확정본)'!$O$131:$O$160,'사업계획(원재료)'!$O191)</f>
        <v>10</v>
      </c>
      <c r="Q191" s="1042">
        <f>SUMIFS('사업계획(매출 확정본)'!T$131:T$160,'사업계획(매출 확정본)'!$M$131:$M$160,'사업계획(원재료)'!$M191,'사업계획(매출 확정본)'!$N$131:$N$160,'사업계획(원재료)'!$N191,'사업계획(매출 확정본)'!$O$131:$O$160,'사업계획(원재료)'!$O191)</f>
        <v>20</v>
      </c>
      <c r="R191" s="1042">
        <f>SUMIFS('사업계획(매출 확정본)'!U$131:U$160,'사업계획(매출 확정본)'!$M$131:$M$160,'사업계획(원재료)'!$M191,'사업계획(매출 확정본)'!$N$131:$N$160,'사업계획(원재료)'!$N191,'사업계획(매출 확정본)'!$O$131:$O$160,'사업계획(원재료)'!$O191)</f>
        <v>25</v>
      </c>
      <c r="S191" s="1042">
        <f>SUMIFS('사업계획(매출 확정본)'!V$131:V$160,'사업계획(매출 확정본)'!$M$131:$M$160,'사업계획(원재료)'!$M191,'사업계획(매출 확정본)'!$N$131:$N$160,'사업계획(원재료)'!$N191,'사업계획(매출 확정본)'!$O$131:$O$160,'사업계획(원재료)'!$O191)</f>
        <v>30</v>
      </c>
      <c r="T191" s="1042">
        <f>SUMIFS('사업계획(매출 확정본)'!W$131:W$160,'사업계획(매출 확정본)'!$M$131:$M$160,'사업계획(원재료)'!$M191,'사업계획(매출 확정본)'!$N$131:$N$160,'사업계획(원재료)'!$N191,'사업계획(매출 확정본)'!$O$131:$O$160,'사업계획(원재료)'!$O191)</f>
        <v>35</v>
      </c>
      <c r="W191" s="153" t="s">
        <v>2937</v>
      </c>
      <c r="X191" s="153">
        <v>10</v>
      </c>
      <c r="Y191" s="153">
        <v>10</v>
      </c>
      <c r="Z191" s="153">
        <v>10</v>
      </c>
      <c r="AA191" s="153">
        <v>10</v>
      </c>
      <c r="AD191" s="153">
        <v>10</v>
      </c>
      <c r="AE191" s="153" t="s">
        <v>2938</v>
      </c>
    </row>
    <row r="192" spans="7:31" x14ac:dyDescent="0.3">
      <c r="G192" s="153" t="s">
        <v>2048</v>
      </c>
      <c r="H192" s="153" t="s">
        <v>2041</v>
      </c>
      <c r="I192" s="153" t="s">
        <v>2802</v>
      </c>
      <c r="L192" s="153" t="s">
        <v>2139</v>
      </c>
      <c r="M192" s="968" t="s">
        <v>3553</v>
      </c>
      <c r="N192" s="987" t="s">
        <v>2140</v>
      </c>
      <c r="O192" s="153" t="s">
        <v>183</v>
      </c>
      <c r="P192" s="1042">
        <f>SUMIFS('사업계획(매출 확정본)'!S$131:S$160,'사업계획(매출 확정본)'!$M$131:$M$160,'사업계획(원재료)'!$M192,'사업계획(매출 확정본)'!$N$131:$N$160,'사업계획(원재료)'!$N192,'사업계획(매출 확정본)'!$O$131:$O$160,'사업계획(원재료)'!$O192)</f>
        <v>81500000</v>
      </c>
      <c r="Q192" s="1042">
        <f>SUMIFS('사업계획(매출 확정본)'!T$131:T$160,'사업계획(매출 확정본)'!$M$131:$M$160,'사업계획(원재료)'!$M192,'사업계획(매출 확정본)'!$N$131:$N$160,'사업계획(원재료)'!$N192,'사업계획(매출 확정본)'!$O$131:$O$160,'사업계획(원재료)'!$O192)</f>
        <v>85600000</v>
      </c>
      <c r="R192" s="1042">
        <f>SUMIFS('사업계획(매출 확정본)'!U$131:U$160,'사업계획(매출 확정본)'!$M$131:$M$160,'사업계획(원재료)'!$M192,'사업계획(매출 확정본)'!$N$131:$N$160,'사업계획(원재료)'!$N192,'사업계획(매출 확정본)'!$O$131:$O$160,'사업계획(원재료)'!$O192)</f>
        <v>89900000</v>
      </c>
      <c r="S192" s="1042">
        <f>SUMIFS('사업계획(매출 확정본)'!V$131:V$160,'사업계획(매출 확정본)'!$M$131:$M$160,'사업계획(원재료)'!$M192,'사업계획(매출 확정본)'!$N$131:$N$160,'사업계획(원재료)'!$N192,'사업계획(매출 확정본)'!$O$131:$O$160,'사업계획(원재료)'!$O192)</f>
        <v>94400000</v>
      </c>
      <c r="T192" s="1042">
        <f>SUMIFS('사업계획(매출 확정본)'!W$131:W$160,'사업계획(매출 확정본)'!$M$131:$M$160,'사업계획(원재료)'!$M192,'사업계획(매출 확정본)'!$N$131:$N$160,'사업계획(원재료)'!$N192,'사업계획(매출 확정본)'!$O$131:$O$160,'사업계획(원재료)'!$O192)</f>
        <v>99100000</v>
      </c>
      <c r="W192" s="153" t="s">
        <v>2158</v>
      </c>
      <c r="Y192" s="153">
        <v>5</v>
      </c>
      <c r="Z192" s="153">
        <v>10</v>
      </c>
      <c r="AA192" s="153">
        <v>10</v>
      </c>
      <c r="AD192" s="153">
        <v>10</v>
      </c>
      <c r="AE192" s="153" t="s">
        <v>2939</v>
      </c>
    </row>
    <row r="193" spans="7:31" x14ac:dyDescent="0.3">
      <c r="L193" s="153" t="s">
        <v>2139</v>
      </c>
      <c r="M193" s="968" t="s">
        <v>3553</v>
      </c>
      <c r="N193" s="987" t="s">
        <v>2140</v>
      </c>
      <c r="O193" s="972" t="s">
        <v>2867</v>
      </c>
      <c r="P193" s="1042">
        <f>SUMIFS('사업계획(매출 확정본)'!S$131:S$160,'사업계획(매출 확정본)'!$M$131:$M$160,'사업계획(원재료)'!$M193,'사업계획(매출 확정본)'!$N$131:$N$160,'사업계획(원재료)'!$N193,'사업계획(매출 확정본)'!$O$131:$O$160,'사업계획(원재료)'!$O193)</f>
        <v>815000000</v>
      </c>
      <c r="Q193" s="1042">
        <f>SUMIFS('사업계획(매출 확정본)'!T$131:T$160,'사업계획(매출 확정본)'!$M$131:$M$160,'사업계획(원재료)'!$M193,'사업계획(매출 확정본)'!$N$131:$N$160,'사업계획(원재료)'!$N193,'사업계획(매출 확정본)'!$O$131:$O$160,'사업계획(원재료)'!$O193)</f>
        <v>1712000000</v>
      </c>
      <c r="R193" s="1042">
        <f>SUMIFS('사업계획(매출 확정본)'!U$131:U$160,'사업계획(매출 확정본)'!$M$131:$M$160,'사업계획(원재료)'!$M193,'사업계획(매출 확정본)'!$N$131:$N$160,'사업계획(원재료)'!$N193,'사업계획(매출 확정본)'!$O$131:$O$160,'사업계획(원재료)'!$O193)</f>
        <v>2247500000</v>
      </c>
      <c r="S193" s="1042">
        <f>SUMIFS('사업계획(매출 확정본)'!V$131:V$160,'사업계획(매출 확정본)'!$M$131:$M$160,'사업계획(원재료)'!$M193,'사업계획(매출 확정본)'!$N$131:$N$160,'사업계획(원재료)'!$N193,'사업계획(매출 확정본)'!$O$131:$O$160,'사업계획(원재료)'!$O193)</f>
        <v>2832000000</v>
      </c>
      <c r="T193" s="1042">
        <f>SUMIFS('사업계획(매출 확정본)'!W$131:W$160,'사업계획(매출 확정본)'!$M$131:$M$160,'사업계획(원재료)'!$M193,'사업계획(매출 확정본)'!$N$131:$N$160,'사업계획(원재료)'!$N193,'사업계획(매출 확정본)'!$O$131:$O$160,'사업계획(원재료)'!$O193)</f>
        <v>3468500000</v>
      </c>
    </row>
    <row r="194" spans="7:31" x14ac:dyDescent="0.3">
      <c r="L194" s="153" t="s">
        <v>2139</v>
      </c>
      <c r="M194" s="968" t="s">
        <v>3553</v>
      </c>
      <c r="N194" s="987" t="s">
        <v>2140</v>
      </c>
      <c r="O194" s="968" t="s">
        <v>3075</v>
      </c>
      <c r="P194" s="1591">
        <f>Q81/Q78*P191</f>
        <v>255231714.05723906</v>
      </c>
      <c r="Q194" s="979">
        <f t="shared" ref="Q194:T194" si="109">P194*(1+$V$6)/P191*Q191</f>
        <v>533944745.80774415</v>
      </c>
      <c r="R194" s="979">
        <f t="shared" si="109"/>
        <v>698132755.1436255</v>
      </c>
      <c r="S194" s="979">
        <f t="shared" si="109"/>
        <v>876296234.25627875</v>
      </c>
      <c r="T194" s="979">
        <f t="shared" si="109"/>
        <v>1069373504.5374123</v>
      </c>
      <c r="U194" s="1621">
        <f>P194/P193</f>
        <v>0.31316774730949576</v>
      </c>
    </row>
    <row r="195" spans="7:31" x14ac:dyDescent="0.3">
      <c r="G195" s="153" t="s">
        <v>2836</v>
      </c>
      <c r="H195" s="153" t="s">
        <v>2041</v>
      </c>
      <c r="I195" s="153" t="s">
        <v>2802</v>
      </c>
      <c r="L195" s="153" t="s">
        <v>2139</v>
      </c>
      <c r="M195" s="968" t="s">
        <v>2041</v>
      </c>
      <c r="N195" s="987" t="s">
        <v>2140</v>
      </c>
      <c r="O195" s="153" t="s">
        <v>2932</v>
      </c>
      <c r="P195" s="1042">
        <f>SUMIFS('사업계획(매출 확정본)'!S$131:S$160,'사업계획(매출 확정본)'!$M$131:$M$160,'사업계획(원재료)'!$M195,'사업계획(매출 확정본)'!$N$131:$N$160,'사업계획(원재료)'!$N195,'사업계획(매출 확정본)'!$O$131:$O$160,'사업계획(원재료)'!$O195)</f>
        <v>10</v>
      </c>
      <c r="Q195" s="1042">
        <f>SUMIFS('사업계획(매출 확정본)'!T$131:T$160,'사업계획(매출 확정본)'!$M$131:$M$160,'사업계획(원재료)'!$M195,'사업계획(매출 확정본)'!$N$131:$N$160,'사업계획(원재료)'!$N195,'사업계획(매출 확정본)'!$O$131:$O$160,'사업계획(원재료)'!$O195)</f>
        <v>20</v>
      </c>
      <c r="R195" s="1042">
        <f>SUMIFS('사업계획(매출 확정본)'!U$131:U$160,'사업계획(매출 확정본)'!$M$131:$M$160,'사업계획(원재료)'!$M195,'사업계획(매출 확정본)'!$N$131:$N$160,'사업계획(원재료)'!$N195,'사업계획(매출 확정본)'!$O$131:$O$160,'사업계획(원재료)'!$O195)</f>
        <v>25</v>
      </c>
      <c r="S195" s="1042">
        <f>SUMIFS('사업계획(매출 확정본)'!V$131:V$160,'사업계획(매출 확정본)'!$M$131:$M$160,'사업계획(원재료)'!$M195,'사업계획(매출 확정본)'!$N$131:$N$160,'사업계획(원재료)'!$N195,'사업계획(매출 확정본)'!$O$131:$O$160,'사업계획(원재료)'!$O195)</f>
        <v>30</v>
      </c>
      <c r="T195" s="1042">
        <f>SUMIFS('사업계획(매출 확정본)'!W$131:W$160,'사업계획(매출 확정본)'!$M$131:$M$160,'사업계획(원재료)'!$M195,'사업계획(매출 확정본)'!$N$131:$N$160,'사업계획(원재료)'!$N195,'사업계획(매출 확정본)'!$O$131:$O$160,'사업계획(원재료)'!$O195)</f>
        <v>35</v>
      </c>
      <c r="W195" s="153" t="s">
        <v>2940</v>
      </c>
      <c r="X195" s="153">
        <v>10</v>
      </c>
      <c r="Y195" s="153">
        <v>10</v>
      </c>
      <c r="Z195" s="153">
        <v>10</v>
      </c>
      <c r="AA195" s="153">
        <v>10</v>
      </c>
      <c r="AD195" s="153">
        <v>10</v>
      </c>
      <c r="AE195" s="153" t="s">
        <v>2941</v>
      </c>
    </row>
    <row r="196" spans="7:31" x14ac:dyDescent="0.3">
      <c r="G196" s="153" t="s">
        <v>2033</v>
      </c>
      <c r="H196" s="153" t="s">
        <v>2049</v>
      </c>
      <c r="I196" s="153" t="s">
        <v>2024</v>
      </c>
      <c r="L196" s="153" t="s">
        <v>2139</v>
      </c>
      <c r="M196" s="968" t="s">
        <v>2041</v>
      </c>
      <c r="N196" s="987" t="s">
        <v>2140</v>
      </c>
      <c r="O196" s="153" t="s">
        <v>183</v>
      </c>
      <c r="P196" s="1042">
        <f>SUMIFS('사업계획(매출 확정본)'!S$131:S$160,'사업계획(매출 확정본)'!$M$131:$M$160,'사업계획(원재료)'!$M196,'사업계획(매출 확정본)'!$N$131:$N$160,'사업계획(원재료)'!$N196,'사업계획(매출 확정본)'!$O$131:$O$160,'사업계획(원재료)'!$O196)</f>
        <v>91500000</v>
      </c>
      <c r="Q196" s="1042">
        <f>SUMIFS('사업계획(매출 확정본)'!T$131:T$160,'사업계획(매출 확정본)'!$M$131:$M$160,'사업계획(원재료)'!$M196,'사업계획(매출 확정본)'!$N$131:$N$160,'사업계획(원재료)'!$N196,'사업계획(매출 확정본)'!$O$131:$O$160,'사업계획(원재료)'!$O196)</f>
        <v>96100000</v>
      </c>
      <c r="R196" s="1042">
        <f>SUMIFS('사업계획(매출 확정본)'!U$131:U$160,'사업계획(매출 확정본)'!$M$131:$M$160,'사업계획(원재료)'!$M196,'사업계획(매출 확정본)'!$N$131:$N$160,'사업계획(원재료)'!$N196,'사업계획(매출 확정본)'!$O$131:$O$160,'사업계획(원재료)'!$O196)</f>
        <v>100900000</v>
      </c>
      <c r="S196" s="1042">
        <f>SUMIFS('사업계획(매출 확정본)'!V$131:V$160,'사업계획(매출 확정본)'!$M$131:$M$160,'사업계획(원재료)'!$M196,'사업계획(매출 확정본)'!$N$131:$N$160,'사업계획(원재료)'!$N196,'사업계획(매출 확정본)'!$O$131:$O$160,'사업계획(원재료)'!$O196)</f>
        <v>105900000</v>
      </c>
      <c r="T196" s="1042">
        <f>SUMIFS('사업계획(매출 확정본)'!W$131:W$160,'사업계획(매출 확정본)'!$M$131:$M$160,'사업계획(원재료)'!$M196,'사업계획(매출 확정본)'!$N$131:$N$160,'사업계획(원재료)'!$N196,'사업계획(매출 확정본)'!$O$131:$O$160,'사업계획(원재료)'!$O196)</f>
        <v>111200000</v>
      </c>
    </row>
    <row r="197" spans="7:31" x14ac:dyDescent="0.3">
      <c r="L197" s="153" t="s">
        <v>2139</v>
      </c>
      <c r="M197" s="968" t="s">
        <v>2041</v>
      </c>
      <c r="N197" s="987" t="s">
        <v>2140</v>
      </c>
      <c r="O197" s="988" t="s">
        <v>182</v>
      </c>
      <c r="P197" s="1042">
        <f>SUMIFS('사업계획(매출 확정본)'!S$131:S$160,'사업계획(매출 확정본)'!$M$131:$M$160,'사업계획(원재료)'!$M197,'사업계획(매출 확정본)'!$N$131:$N$160,'사업계획(원재료)'!$N197,'사업계획(매출 확정본)'!$O$131:$O$160,'사업계획(원재료)'!$O197)</f>
        <v>915000000</v>
      </c>
      <c r="Q197" s="1042">
        <f>SUMIFS('사업계획(매출 확정본)'!T$131:T$160,'사업계획(매출 확정본)'!$M$131:$M$160,'사업계획(원재료)'!$M197,'사업계획(매출 확정본)'!$N$131:$N$160,'사업계획(원재료)'!$N197,'사업계획(매출 확정본)'!$O$131:$O$160,'사업계획(원재료)'!$O197)</f>
        <v>1922000000</v>
      </c>
      <c r="R197" s="1042">
        <f>SUMIFS('사업계획(매출 확정본)'!U$131:U$160,'사업계획(매출 확정본)'!$M$131:$M$160,'사업계획(원재료)'!$M197,'사업계획(매출 확정본)'!$N$131:$N$160,'사업계획(원재료)'!$N197,'사업계획(매출 확정본)'!$O$131:$O$160,'사업계획(원재료)'!$O197)</f>
        <v>2522500000</v>
      </c>
      <c r="S197" s="1042">
        <f>SUMIFS('사업계획(매출 확정본)'!V$131:V$160,'사업계획(매출 확정본)'!$M$131:$M$160,'사업계획(원재료)'!$M197,'사업계획(매출 확정본)'!$N$131:$N$160,'사업계획(원재료)'!$N197,'사업계획(매출 확정본)'!$O$131:$O$160,'사업계획(원재료)'!$O197)</f>
        <v>3177000000</v>
      </c>
      <c r="T197" s="1042">
        <f>SUMIFS('사업계획(매출 확정본)'!W$131:W$160,'사업계획(매출 확정본)'!$M$131:$M$160,'사업계획(원재료)'!$M197,'사업계획(매출 확정본)'!$N$131:$N$160,'사업계획(원재료)'!$N197,'사업계획(매출 확정본)'!$O$131:$O$160,'사업계획(원재료)'!$O197)</f>
        <v>3892000000</v>
      </c>
    </row>
    <row r="198" spans="7:31" x14ac:dyDescent="0.3">
      <c r="L198" s="153" t="s">
        <v>2139</v>
      </c>
      <c r="M198" s="968" t="s">
        <v>2041</v>
      </c>
      <c r="N198" s="987" t="s">
        <v>2140</v>
      </c>
      <c r="O198" s="968" t="s">
        <v>3075</v>
      </c>
      <c r="P198" s="986">
        <f>VLOOKUP(M198,'제품별 원재료비 '!$O$4:$S$48,5,FALSE)*P195</f>
        <v>302879800</v>
      </c>
      <c r="Q198" s="979">
        <f t="shared" ref="Q198:T198" si="110">P198*(1+$V$6)/P195*Q195</f>
        <v>633624541.60000002</v>
      </c>
      <c r="R198" s="979">
        <f t="shared" si="110"/>
        <v>828464088.14199996</v>
      </c>
      <c r="S198" s="979">
        <f t="shared" si="110"/>
        <v>1039888123.4358385</v>
      </c>
      <c r="T198" s="979">
        <f t="shared" si="110"/>
        <v>1269010139.9662018</v>
      </c>
      <c r="U198" s="1621">
        <f>P198/P197</f>
        <v>0.33101617486338797</v>
      </c>
    </row>
    <row r="199" spans="7:31" x14ac:dyDescent="0.3">
      <c r="G199" s="153" t="s">
        <v>2047</v>
      </c>
      <c r="H199" s="153" t="s">
        <v>2049</v>
      </c>
      <c r="I199" s="153" t="s">
        <v>2024</v>
      </c>
      <c r="L199" s="153" t="s">
        <v>2139</v>
      </c>
      <c r="M199" s="968" t="s">
        <v>2043</v>
      </c>
      <c r="N199" s="987" t="s">
        <v>2140</v>
      </c>
      <c r="O199" s="153" t="s">
        <v>2932</v>
      </c>
      <c r="P199" s="1042">
        <f>SUMIFS('사업계획(매출 확정본)'!S$131:S$160,'사업계획(매출 확정본)'!$M$131:$M$160,'사업계획(원재료)'!$M199,'사업계획(매출 확정본)'!$N$131:$N$160,'사업계획(원재료)'!$N199,'사업계획(매출 확정본)'!$O$131:$O$160,'사업계획(원재료)'!$O199)</f>
        <v>10</v>
      </c>
      <c r="Q199" s="1042">
        <f>SUMIFS('사업계획(매출 확정본)'!T$131:T$160,'사업계획(매출 확정본)'!$M$131:$M$160,'사업계획(원재료)'!$M199,'사업계획(매출 확정본)'!$N$131:$N$160,'사업계획(원재료)'!$N199,'사업계획(매출 확정본)'!$O$131:$O$160,'사업계획(원재료)'!$O199)</f>
        <v>20</v>
      </c>
      <c r="R199" s="1042">
        <f>SUMIFS('사업계획(매출 확정본)'!U$131:U$160,'사업계획(매출 확정본)'!$M$131:$M$160,'사업계획(원재료)'!$M199,'사업계획(매출 확정본)'!$N$131:$N$160,'사업계획(원재료)'!$N199,'사업계획(매출 확정본)'!$O$131:$O$160,'사업계획(원재료)'!$O199)</f>
        <v>25</v>
      </c>
      <c r="S199" s="1042">
        <f>SUMIFS('사업계획(매출 확정본)'!V$131:V$160,'사업계획(매출 확정본)'!$M$131:$M$160,'사업계획(원재료)'!$M199,'사업계획(매출 확정본)'!$N$131:$N$160,'사업계획(원재료)'!$N199,'사업계획(매출 확정본)'!$O$131:$O$160,'사업계획(원재료)'!$O199)</f>
        <v>30</v>
      </c>
      <c r="T199" s="1042">
        <f>SUMIFS('사업계획(매출 확정본)'!W$131:W$160,'사업계획(매출 확정본)'!$M$131:$M$160,'사업계획(원재료)'!$M199,'사업계획(매출 확정본)'!$N$131:$N$160,'사업계획(원재료)'!$N199,'사업계획(매출 확정본)'!$O$131:$O$160,'사업계획(원재료)'!$O199)</f>
        <v>35</v>
      </c>
      <c r="W199" s="153" t="s">
        <v>649</v>
      </c>
    </row>
    <row r="200" spans="7:31" x14ac:dyDescent="0.3">
      <c r="G200" s="153" t="s">
        <v>2837</v>
      </c>
      <c r="H200" s="153" t="s">
        <v>2049</v>
      </c>
      <c r="I200" s="153" t="s">
        <v>2024</v>
      </c>
      <c r="L200" s="153" t="s">
        <v>2139</v>
      </c>
      <c r="M200" s="968" t="s">
        <v>2043</v>
      </c>
      <c r="N200" s="987" t="s">
        <v>2140</v>
      </c>
      <c r="O200" s="153" t="s">
        <v>183</v>
      </c>
      <c r="P200" s="1042">
        <f>SUMIFS('사업계획(매출 확정본)'!S$131:S$160,'사업계획(매출 확정본)'!$M$131:$M$160,'사업계획(원재료)'!$M200,'사업계획(매출 확정본)'!$N$131:$N$160,'사업계획(원재료)'!$N200,'사업계획(매출 확정본)'!$O$131:$O$160,'사업계획(원재료)'!$O200)</f>
        <v>95600000</v>
      </c>
      <c r="Q200" s="1042">
        <f>SUMIFS('사업계획(매출 확정본)'!T$131:T$160,'사업계획(매출 확정본)'!$M$131:$M$160,'사업계획(원재료)'!$M200,'사업계획(매출 확정본)'!$N$131:$N$160,'사업계획(원재료)'!$N200,'사업계획(매출 확정본)'!$O$131:$O$160,'사업계획(원재료)'!$O200)</f>
        <v>100400000</v>
      </c>
      <c r="R200" s="1042">
        <f>SUMIFS('사업계획(매출 확정본)'!U$131:U$160,'사업계획(매출 확정본)'!$M$131:$M$160,'사업계획(원재료)'!$M200,'사업계획(매출 확정본)'!$N$131:$N$160,'사업계획(원재료)'!$N200,'사업계획(매출 확정본)'!$O$131:$O$160,'사업계획(원재료)'!$O200)</f>
        <v>105400000</v>
      </c>
      <c r="S200" s="1042">
        <f>SUMIFS('사업계획(매출 확정본)'!V$131:V$160,'사업계획(매출 확정본)'!$M$131:$M$160,'사업계획(원재료)'!$M200,'사업계획(매출 확정본)'!$N$131:$N$160,'사업계획(원재료)'!$N200,'사업계획(매출 확정본)'!$O$131:$O$160,'사업계획(원재료)'!$O200)</f>
        <v>110700000</v>
      </c>
      <c r="T200" s="1042">
        <f>SUMIFS('사업계획(매출 확정본)'!W$131:W$160,'사업계획(매출 확정본)'!$M$131:$M$160,'사업계획(원재료)'!$M200,'사업계획(매출 확정본)'!$N$131:$N$160,'사업계획(원재료)'!$N200,'사업계획(매출 확정본)'!$O$131:$O$160,'사업계획(원재료)'!$O200)</f>
        <v>116200000</v>
      </c>
    </row>
    <row r="201" spans="7:31" x14ac:dyDescent="0.3">
      <c r="L201" s="153" t="s">
        <v>2139</v>
      </c>
      <c r="M201" s="968" t="s">
        <v>2043</v>
      </c>
      <c r="N201" s="987" t="s">
        <v>2140</v>
      </c>
      <c r="O201" s="988" t="s">
        <v>182</v>
      </c>
      <c r="P201" s="1042">
        <f>SUMIFS('사업계획(매출 확정본)'!S$131:S$160,'사업계획(매출 확정본)'!$M$131:$M$160,'사업계획(원재료)'!$M201,'사업계획(매출 확정본)'!$N$131:$N$160,'사업계획(원재료)'!$N201,'사업계획(매출 확정본)'!$O$131:$O$160,'사업계획(원재료)'!$O201)</f>
        <v>956000000</v>
      </c>
      <c r="Q201" s="1042">
        <f>SUMIFS('사업계획(매출 확정본)'!T$131:T$160,'사업계획(매출 확정본)'!$M$131:$M$160,'사업계획(원재료)'!$M201,'사업계획(매출 확정본)'!$N$131:$N$160,'사업계획(원재료)'!$N201,'사업계획(매출 확정본)'!$O$131:$O$160,'사업계획(원재료)'!$O201)</f>
        <v>2008000000</v>
      </c>
      <c r="R201" s="1042">
        <f>SUMIFS('사업계획(매출 확정본)'!U$131:U$160,'사업계획(매출 확정본)'!$M$131:$M$160,'사업계획(원재료)'!$M201,'사업계획(매출 확정본)'!$N$131:$N$160,'사업계획(원재료)'!$N201,'사업계획(매출 확정본)'!$O$131:$O$160,'사업계획(원재료)'!$O201)</f>
        <v>2635000000</v>
      </c>
      <c r="S201" s="1042">
        <f>SUMIFS('사업계획(매출 확정본)'!V$131:V$160,'사업계획(매출 확정본)'!$M$131:$M$160,'사업계획(원재료)'!$M201,'사업계획(매출 확정본)'!$N$131:$N$160,'사업계획(원재료)'!$N201,'사업계획(매출 확정본)'!$O$131:$O$160,'사업계획(원재료)'!$O201)</f>
        <v>3321000000</v>
      </c>
      <c r="T201" s="1042">
        <f>SUMIFS('사업계획(매출 확정본)'!W$131:W$160,'사업계획(매출 확정본)'!$M$131:$M$160,'사업계획(원재료)'!$M201,'사업계획(매출 확정본)'!$N$131:$N$160,'사업계획(원재료)'!$N201,'사업계획(매출 확정본)'!$O$131:$O$160,'사업계획(원재료)'!$O201)</f>
        <v>4067000000</v>
      </c>
    </row>
    <row r="202" spans="7:31" x14ac:dyDescent="0.3">
      <c r="L202" s="153" t="s">
        <v>2139</v>
      </c>
      <c r="M202" s="968" t="s">
        <v>2043</v>
      </c>
      <c r="N202" s="987" t="s">
        <v>2140</v>
      </c>
      <c r="O202" s="968" t="s">
        <v>3075</v>
      </c>
      <c r="P202" s="986">
        <f>VLOOKUP(M202,'제품별 원재료비 '!$O$4:$S$48,5,FALSE)*P199</f>
        <v>314466800</v>
      </c>
      <c r="Q202" s="979">
        <f t="shared" ref="Q202:T202" si="111">P202*(1+$V$6)/P199*Q199</f>
        <v>657864545.60000002</v>
      </c>
      <c r="R202" s="979">
        <f t="shared" si="111"/>
        <v>860157893.37199998</v>
      </c>
      <c r="S202" s="979">
        <f t="shared" si="111"/>
        <v>1079670187.7605345</v>
      </c>
      <c r="T202" s="979">
        <f t="shared" si="111"/>
        <v>1317557519.130439</v>
      </c>
    </row>
    <row r="203" spans="7:31" x14ac:dyDescent="0.3">
      <c r="G203" s="153" t="s">
        <v>2054</v>
      </c>
      <c r="H203" s="153" t="s">
        <v>2049</v>
      </c>
      <c r="I203" s="153" t="s">
        <v>2024</v>
      </c>
      <c r="L203" s="153" t="s">
        <v>2139</v>
      </c>
      <c r="M203" s="968" t="s">
        <v>2043</v>
      </c>
      <c r="N203" s="987" t="s">
        <v>2158</v>
      </c>
      <c r="O203" s="153" t="s">
        <v>2932</v>
      </c>
      <c r="P203" s="1042">
        <f>SUMIFS('사업계획(매출 확정본)'!S$131:S$160,'사업계획(매출 확정본)'!$M$131:$M$160,'사업계획(원재료)'!$M203,'사업계획(매출 확정본)'!$N$131:$N$160,'사업계획(원재료)'!$N203,'사업계획(매출 확정본)'!$O$131:$O$160,'사업계획(원재료)'!$O203)</f>
        <v>0</v>
      </c>
      <c r="Q203" s="1042">
        <f>SUMIFS('사업계획(매출 확정본)'!T$131:T$160,'사업계획(매출 확정본)'!$M$131:$M$160,'사업계획(원재료)'!$M203,'사업계획(매출 확정본)'!$N$131:$N$160,'사업계획(원재료)'!$N203,'사업계획(매출 확정본)'!$O$131:$O$160,'사업계획(원재료)'!$O203)</f>
        <v>10</v>
      </c>
      <c r="R203" s="1042">
        <f>SUMIFS('사업계획(매출 확정본)'!U$131:U$160,'사업계획(매출 확정본)'!$M$131:$M$160,'사업계획(원재료)'!$M203,'사업계획(매출 확정본)'!$N$131:$N$160,'사업계획(원재료)'!$N203,'사업계획(매출 확정본)'!$O$131:$O$160,'사업계획(원재료)'!$O203)</f>
        <v>13</v>
      </c>
      <c r="S203" s="1042">
        <f>SUMIFS('사업계획(매출 확정본)'!V$131:V$160,'사업계획(매출 확정본)'!$M$131:$M$160,'사업계획(원재료)'!$M203,'사업계획(매출 확정본)'!$N$131:$N$160,'사업계획(원재료)'!$N203,'사업계획(매출 확정본)'!$O$131:$O$160,'사업계획(원재료)'!$O203)</f>
        <v>16</v>
      </c>
      <c r="T203" s="1042">
        <f>SUMIFS('사업계획(매출 확정본)'!W$131:W$160,'사업계획(매출 확정본)'!$M$131:$M$160,'사업계획(원재료)'!$M203,'사업계획(매출 확정본)'!$N$131:$N$160,'사업계획(원재료)'!$N203,'사업계획(매출 확정본)'!$O$131:$O$160,'사업계획(원재료)'!$O203)</f>
        <v>19</v>
      </c>
    </row>
    <row r="204" spans="7:31" x14ac:dyDescent="0.3">
      <c r="G204" s="153" t="s">
        <v>2838</v>
      </c>
      <c r="H204" s="153" t="s">
        <v>2049</v>
      </c>
      <c r="I204" s="153" t="s">
        <v>2024</v>
      </c>
      <c r="L204" s="153" t="s">
        <v>2139</v>
      </c>
      <c r="M204" s="968" t="s">
        <v>2043</v>
      </c>
      <c r="N204" s="987" t="s">
        <v>2158</v>
      </c>
      <c r="O204" s="153" t="s">
        <v>183</v>
      </c>
      <c r="P204" s="1042">
        <f>SUMIFS('사업계획(매출 확정본)'!S$131:S$160,'사업계획(매출 확정본)'!$M$131:$M$160,'사업계획(원재료)'!$M204,'사업계획(매출 확정본)'!$N$131:$N$160,'사업계획(원재료)'!$N204,'사업계획(매출 확정본)'!$O$131:$O$160,'사업계획(원재료)'!$O204)</f>
        <v>95600000</v>
      </c>
      <c r="Q204" s="1042">
        <f>SUMIFS('사업계획(매출 확정본)'!T$131:T$160,'사업계획(매출 확정본)'!$M$131:$M$160,'사업계획(원재료)'!$M204,'사업계획(매출 확정본)'!$N$131:$N$160,'사업계획(원재료)'!$N204,'사업계획(매출 확정본)'!$O$131:$O$160,'사업계획(원재료)'!$O204)</f>
        <v>58400000</v>
      </c>
      <c r="R204" s="1042">
        <f>SUMIFS('사업계획(매출 확정본)'!U$131:U$160,'사업계획(매출 확정본)'!$M$131:$M$160,'사업계획(원재료)'!$M204,'사업계획(매출 확정본)'!$N$131:$N$160,'사업계획(원재료)'!$N204,'사업계획(매출 확정본)'!$O$131:$O$160,'사업계획(원재료)'!$O204)</f>
        <v>61300000</v>
      </c>
      <c r="S204" s="1042">
        <f>SUMIFS('사업계획(매출 확정본)'!V$131:V$160,'사업계획(매출 확정본)'!$M$131:$M$160,'사업계획(원재료)'!$M204,'사업계획(매출 확정본)'!$N$131:$N$160,'사업계획(원재료)'!$N204,'사업계획(매출 확정본)'!$O$131:$O$160,'사업계획(원재료)'!$O204)</f>
        <v>64400000</v>
      </c>
      <c r="T204" s="1042">
        <f>SUMIFS('사업계획(매출 확정본)'!W$131:W$160,'사업계획(매출 확정본)'!$M$131:$M$160,'사업계획(원재료)'!$M204,'사업계획(매출 확정본)'!$N$131:$N$160,'사업계획(원재료)'!$N204,'사업계획(매출 확정본)'!$O$131:$O$160,'사업계획(원재료)'!$O204)</f>
        <v>67600000</v>
      </c>
    </row>
    <row r="205" spans="7:31" x14ac:dyDescent="0.3">
      <c r="L205" s="153" t="s">
        <v>2139</v>
      </c>
      <c r="M205" s="968" t="s">
        <v>2043</v>
      </c>
      <c r="N205" s="987" t="s">
        <v>2158</v>
      </c>
      <c r="O205" s="988" t="s">
        <v>182</v>
      </c>
      <c r="P205" s="1042">
        <f>SUMIFS('사업계획(매출 확정본)'!S$131:S$160,'사업계획(매출 확정본)'!$M$131:$M$160,'사업계획(원재료)'!$M205,'사업계획(매출 확정본)'!$N$131:$N$160,'사업계획(원재료)'!$N205,'사업계획(매출 확정본)'!$O$131:$O$160,'사업계획(원재료)'!$O205)</f>
        <v>0</v>
      </c>
      <c r="Q205" s="1042">
        <f>SUMIFS('사업계획(매출 확정본)'!T$131:T$160,'사업계획(매출 확정본)'!$M$131:$M$160,'사업계획(원재료)'!$M205,'사업계획(매출 확정본)'!$N$131:$N$160,'사업계획(원재료)'!$N205,'사업계획(매출 확정본)'!$O$131:$O$160,'사업계획(원재료)'!$O205)</f>
        <v>584000000</v>
      </c>
      <c r="R205" s="1042">
        <f>SUMIFS('사업계획(매출 확정본)'!U$131:U$160,'사업계획(매출 확정본)'!$M$131:$M$160,'사업계획(원재료)'!$M205,'사업계획(매출 확정본)'!$N$131:$N$160,'사업계획(원재료)'!$N205,'사업계획(매출 확정본)'!$O$131:$O$160,'사업계획(원재료)'!$O205)</f>
        <v>796900000</v>
      </c>
      <c r="S205" s="1042">
        <f>SUMIFS('사업계획(매출 확정본)'!V$131:V$160,'사업계획(매출 확정본)'!$M$131:$M$160,'사업계획(원재료)'!$M205,'사업계획(매출 확정본)'!$N$131:$N$160,'사업계획(원재료)'!$N205,'사업계획(매출 확정본)'!$O$131:$O$160,'사업계획(원재료)'!$O205)</f>
        <v>1030400000</v>
      </c>
      <c r="T205" s="1042">
        <f>SUMIFS('사업계획(매출 확정본)'!W$131:W$160,'사업계획(매출 확정본)'!$M$131:$M$160,'사업계획(원재료)'!$M205,'사업계획(매출 확정본)'!$N$131:$N$160,'사업계획(원재료)'!$N205,'사업계획(매출 확정본)'!$O$131:$O$160,'사업계획(원재료)'!$O205)</f>
        <v>1284400000</v>
      </c>
    </row>
    <row r="206" spans="7:31" x14ac:dyDescent="0.3">
      <c r="L206" s="153" t="s">
        <v>2139</v>
      </c>
      <c r="M206" s="968" t="s">
        <v>2043</v>
      </c>
      <c r="N206" s="987" t="s">
        <v>2158</v>
      </c>
      <c r="O206" s="968" t="s">
        <v>3075</v>
      </c>
      <c r="P206" s="986">
        <f>VLOOKUP(M206,'제품별 원재료비 '!$O$4:$S$48,5,FALSE)*P203</f>
        <v>0</v>
      </c>
      <c r="Q206" s="986">
        <f>VLOOKUP(M206,'제품별 원재료비 '!$O$4:$S$48,5,FALSE)*Q203*(1+$V$6)</f>
        <v>328932272.80000001</v>
      </c>
      <c r="R206" s="979">
        <f>Q206*(1+$V$6)/Q203*R203</f>
        <v>447282104.55343997</v>
      </c>
      <c r="S206" s="979">
        <f t="shared" ref="S206:T206" si="112">R206*(1+$V$6)/R203*S203</f>
        <v>575824100.13895166</v>
      </c>
      <c r="T206" s="979">
        <f t="shared" si="112"/>
        <v>715245510.38509536</v>
      </c>
    </row>
    <row r="207" spans="7:31" x14ac:dyDescent="0.3">
      <c r="G207" s="153" t="s">
        <v>2035</v>
      </c>
      <c r="H207" s="153" t="s">
        <v>2049</v>
      </c>
      <c r="I207" s="153" t="s">
        <v>2024</v>
      </c>
      <c r="L207" s="153" t="s">
        <v>2139</v>
      </c>
      <c r="M207" s="968" t="s">
        <v>2943</v>
      </c>
      <c r="N207" s="987" t="s">
        <v>2156</v>
      </c>
      <c r="O207" s="153" t="s">
        <v>2932</v>
      </c>
      <c r="P207" s="1042">
        <f>SUMIFS('사업계획(매출 확정본)'!S$131:S$160,'사업계획(매출 확정본)'!$M$131:$M$160,'사업계획(원재료)'!$M207,'사업계획(매출 확정본)'!$N$131:$N$160,'사업계획(원재료)'!$N207,'사업계획(매출 확정본)'!$O$131:$O$160,'사업계획(원재료)'!$O207)</f>
        <v>10</v>
      </c>
      <c r="Q207" s="1042">
        <f>SUMIFS('사업계획(매출 확정본)'!T$131:T$160,'사업계획(매출 확정본)'!$M$131:$M$160,'사업계획(원재료)'!$M207,'사업계획(매출 확정본)'!$N$131:$N$160,'사업계획(원재료)'!$N207,'사업계획(매출 확정본)'!$O$131:$O$160,'사업계획(원재료)'!$O207)</f>
        <v>13</v>
      </c>
      <c r="R207" s="1042">
        <f>SUMIFS('사업계획(매출 확정본)'!U$131:U$160,'사업계획(매출 확정본)'!$M$131:$M$160,'사업계획(원재료)'!$M207,'사업계획(매출 확정본)'!$N$131:$N$160,'사업계획(원재료)'!$N207,'사업계획(매출 확정본)'!$O$131:$O$160,'사업계획(원재료)'!$O207)</f>
        <v>16</v>
      </c>
      <c r="S207" s="1042">
        <f>SUMIFS('사업계획(매출 확정본)'!V$131:V$160,'사업계획(매출 확정본)'!$M$131:$M$160,'사업계획(원재료)'!$M207,'사업계획(매출 확정본)'!$N$131:$N$160,'사업계획(원재료)'!$N207,'사업계획(매출 확정본)'!$O$131:$O$160,'사업계획(원재료)'!$O207)</f>
        <v>19</v>
      </c>
      <c r="T207" s="1042">
        <f>SUMIFS('사업계획(매출 확정본)'!W$131:W$160,'사업계획(매출 확정본)'!$M$131:$M$160,'사업계획(원재료)'!$M207,'사업계획(매출 확정본)'!$N$131:$N$160,'사업계획(원재료)'!$N207,'사업계획(매출 확정본)'!$O$131:$O$160,'사업계획(원재료)'!$O207)</f>
        <v>22</v>
      </c>
    </row>
    <row r="208" spans="7:31" x14ac:dyDescent="0.3">
      <c r="G208" s="153" t="s">
        <v>2839</v>
      </c>
      <c r="H208" s="153" t="s">
        <v>2049</v>
      </c>
      <c r="I208" s="153" t="s">
        <v>2024</v>
      </c>
      <c r="L208" s="153" t="s">
        <v>2139</v>
      </c>
      <c r="M208" s="968" t="s">
        <v>2943</v>
      </c>
      <c r="N208" s="987" t="s">
        <v>2156</v>
      </c>
      <c r="O208" s="153" t="s">
        <v>183</v>
      </c>
      <c r="P208" s="1042">
        <f>SUMIFS('사업계획(매출 확정본)'!S$131:S$160,'사업계획(매출 확정본)'!$M$131:$M$160,'사업계획(원재료)'!$M208,'사업계획(매출 확정본)'!$N$131:$N$160,'사업계획(원재료)'!$N208,'사업계획(매출 확정본)'!$O$131:$O$160,'사업계획(원재료)'!$O208)</f>
        <v>48500000</v>
      </c>
      <c r="Q208" s="1042">
        <f>SUMIFS('사업계획(매출 확정본)'!T$131:T$160,'사업계획(매출 확정본)'!$M$131:$M$160,'사업계획(원재료)'!$M208,'사업계획(매출 확정본)'!$N$131:$N$160,'사업계획(원재료)'!$N208,'사업계획(매출 확정본)'!$O$131:$O$160,'사업계획(원재료)'!$O208)</f>
        <v>50900000</v>
      </c>
      <c r="R208" s="1042">
        <f>SUMIFS('사업계획(매출 확정본)'!U$131:U$160,'사업계획(매출 확정본)'!$M$131:$M$160,'사업계획(원재료)'!$M208,'사업계획(매출 확정본)'!$N$131:$N$160,'사업계획(원재료)'!$N208,'사업계획(매출 확정본)'!$O$131:$O$160,'사업계획(원재료)'!$O208)</f>
        <v>53400000</v>
      </c>
      <c r="S208" s="1042">
        <f>SUMIFS('사업계획(매출 확정본)'!V$131:V$160,'사업계획(매출 확정본)'!$M$131:$M$160,'사업계획(원재료)'!$M208,'사업계획(매출 확정본)'!$N$131:$N$160,'사업계획(원재료)'!$N208,'사업계획(매출 확정본)'!$O$131:$O$160,'사업계획(원재료)'!$O208)</f>
        <v>56100000</v>
      </c>
      <c r="T208" s="1042">
        <f>SUMIFS('사업계획(매출 확정본)'!W$131:W$160,'사업계획(매출 확정본)'!$M$131:$M$160,'사업계획(원재료)'!$M208,'사업계획(매출 확정본)'!$N$131:$N$160,'사업계획(원재료)'!$N208,'사업계획(매출 확정본)'!$O$131:$O$160,'사업계획(원재료)'!$O208)</f>
        <v>58900000</v>
      </c>
    </row>
    <row r="209" spans="7:20" x14ac:dyDescent="0.3">
      <c r="L209" s="153" t="s">
        <v>2139</v>
      </c>
      <c r="M209" s="968" t="s">
        <v>2943</v>
      </c>
      <c r="N209" s="987" t="s">
        <v>2156</v>
      </c>
      <c r="O209" s="988" t="s">
        <v>182</v>
      </c>
      <c r="P209" s="1042">
        <f>SUMIFS('사업계획(매출 확정본)'!S$131:S$160,'사업계획(매출 확정본)'!$M$131:$M$160,'사업계획(원재료)'!$M209,'사업계획(매출 확정본)'!$N$131:$N$160,'사업계획(원재료)'!$N209,'사업계획(매출 확정본)'!$O$131:$O$160,'사업계획(원재료)'!$O209)</f>
        <v>485000000</v>
      </c>
      <c r="Q209" s="1042">
        <f>SUMIFS('사업계획(매출 확정본)'!T$131:T$160,'사업계획(매출 확정본)'!$M$131:$M$160,'사업계획(원재료)'!$M209,'사업계획(매출 확정본)'!$N$131:$N$160,'사업계획(원재료)'!$N209,'사업계획(매출 확정본)'!$O$131:$O$160,'사업계획(원재료)'!$O209)</f>
        <v>661700000</v>
      </c>
      <c r="R209" s="1042">
        <f>SUMIFS('사업계획(매출 확정본)'!U$131:U$160,'사업계획(매출 확정본)'!$M$131:$M$160,'사업계획(원재료)'!$M209,'사업계획(매출 확정본)'!$N$131:$N$160,'사업계획(원재료)'!$N209,'사업계획(매출 확정본)'!$O$131:$O$160,'사업계획(원재료)'!$O209)</f>
        <v>854400000</v>
      </c>
      <c r="S209" s="1042">
        <f>SUMIFS('사업계획(매출 확정본)'!V$131:V$160,'사업계획(매출 확정본)'!$M$131:$M$160,'사업계획(원재료)'!$M209,'사업계획(매출 확정본)'!$N$131:$N$160,'사업계획(원재료)'!$N209,'사업계획(매출 확정본)'!$O$131:$O$160,'사업계획(원재료)'!$O209)</f>
        <v>1065900000</v>
      </c>
      <c r="T209" s="1042">
        <f>SUMIFS('사업계획(매출 확정본)'!W$131:W$160,'사업계획(매출 확정본)'!$M$131:$M$160,'사업계획(원재료)'!$M209,'사업계획(매출 확정본)'!$N$131:$N$160,'사업계획(원재료)'!$N209,'사업계획(매출 확정본)'!$O$131:$O$160,'사업계획(원재료)'!$O209)</f>
        <v>1295800000</v>
      </c>
    </row>
    <row r="210" spans="7:20" x14ac:dyDescent="0.3">
      <c r="G210" s="153" t="s">
        <v>2840</v>
      </c>
      <c r="H210" s="153" t="s">
        <v>2049</v>
      </c>
      <c r="I210" s="153" t="s">
        <v>2024</v>
      </c>
      <c r="L210" s="153" t="s">
        <v>2139</v>
      </c>
      <c r="M210" s="968" t="s">
        <v>2943</v>
      </c>
      <c r="N210" s="987" t="s">
        <v>2156</v>
      </c>
      <c r="O210" s="968" t="s">
        <v>3075</v>
      </c>
      <c r="P210" s="1713">
        <f>W124*P208*P207</f>
        <v>261482137.07865167</v>
      </c>
      <c r="Q210" s="1595">
        <f t="shared" ref="Q210:T210" si="113">P210*(1+$V$6)/P207*Q207</f>
        <v>355563409.99955058</v>
      </c>
      <c r="R210" s="1595">
        <f t="shared" si="113"/>
        <v>457746863.82711375</v>
      </c>
      <c r="S210" s="1595">
        <f t="shared" si="113"/>
        <v>568578823.23125374</v>
      </c>
      <c r="T210" s="1595">
        <f t="shared" si="113"/>
        <v>688638730.53671634</v>
      </c>
    </row>
    <row r="211" spans="7:20" x14ac:dyDescent="0.3">
      <c r="G211" s="153" t="s">
        <v>2045</v>
      </c>
      <c r="H211" s="153" t="s">
        <v>2049</v>
      </c>
      <c r="I211" s="153" t="s">
        <v>2024</v>
      </c>
      <c r="P211" s="989">
        <f>P171*P172+P175*P176+P179*P180+P183*P184+P191*P192+P195*P196+P199*P200+P203*P204+P207*P208+P188*P187</f>
        <v>28842666666.666668</v>
      </c>
      <c r="Q211" s="989">
        <f t="shared" ref="Q211:T211" si="114">Q171*Q172+Q175*Q176+Q179*Q180+Q183*Q184+Q191*Q192+Q195*Q196+Q199*Q200+Q203*Q204+Q207*Q208+Q188*Q187</f>
        <v>37847300000</v>
      </c>
      <c r="R211" s="989">
        <f t="shared" si="114"/>
        <v>44529700000</v>
      </c>
      <c r="S211" s="989">
        <f t="shared" si="114"/>
        <v>51786700000</v>
      </c>
      <c r="T211" s="989">
        <f t="shared" si="114"/>
        <v>61025100000</v>
      </c>
    </row>
    <row r="212" spans="7:20" x14ac:dyDescent="0.3">
      <c r="G212" s="153" t="s">
        <v>2034</v>
      </c>
      <c r="H212" s="153" t="s">
        <v>2049</v>
      </c>
      <c r="I212" s="153" t="s">
        <v>2024</v>
      </c>
      <c r="P212" s="990">
        <f>SUM(P173,P177,P181,P185,P193,P197,P201,P205,P209)+P189</f>
        <v>28842666666.666668</v>
      </c>
      <c r="Q212" s="990">
        <f t="shared" ref="Q212:T212" si="115">SUM(Q173,Q177,Q181,Q185,Q193,Q197,Q201,Q205,Q209)+Q189</f>
        <v>37847300000</v>
      </c>
      <c r="R212" s="990">
        <f t="shared" si="115"/>
        <v>44529700000</v>
      </c>
      <c r="S212" s="990">
        <f t="shared" si="115"/>
        <v>51786700000</v>
      </c>
      <c r="T212" s="990">
        <f t="shared" si="115"/>
        <v>61025100000</v>
      </c>
    </row>
    <row r="213" spans="7:20" x14ac:dyDescent="0.3">
      <c r="G213" s="153" t="s">
        <v>2842</v>
      </c>
      <c r="H213" s="153" t="s">
        <v>2049</v>
      </c>
      <c r="I213" s="153" t="s">
        <v>2024</v>
      </c>
      <c r="L213" s="153" t="s">
        <v>2944</v>
      </c>
      <c r="P213" s="990">
        <f>SUM(P174,P178,P182,P186,P194,P198,P202,P206,P210)+P190</f>
        <v>15068294601.135891</v>
      </c>
      <c r="Q213" s="990">
        <f t="shared" ref="Q213:T213" si="116">SUM(Q174,Q178,Q182,Q186,Q194,Q198,Q202,Q206,Q210)+Q190</f>
        <v>19155314211.547295</v>
      </c>
      <c r="R213" s="990">
        <f t="shared" si="116"/>
        <v>22277628787.564861</v>
      </c>
      <c r="S213" s="990">
        <f t="shared" si="116"/>
        <v>25646663659.704407</v>
      </c>
      <c r="T213" s="990">
        <f t="shared" si="116"/>
        <v>29924729290.433788</v>
      </c>
    </row>
    <row r="214" spans="7:20" x14ac:dyDescent="0.3">
      <c r="G214" s="153" t="s">
        <v>2042</v>
      </c>
      <c r="H214" s="153" t="s">
        <v>2049</v>
      </c>
      <c r="I214" s="153" t="s">
        <v>2024</v>
      </c>
      <c r="P214" s="1057">
        <f>P213/P212</f>
        <v>0.52243070223982613</v>
      </c>
      <c r="Q214" s="1057">
        <f t="shared" ref="Q214:T214" si="117">Q213/Q212</f>
        <v>0.50612102346923804</v>
      </c>
      <c r="R214" s="1057">
        <f t="shared" si="117"/>
        <v>0.50028697223571816</v>
      </c>
      <c r="S214" s="1057">
        <f t="shared" si="117"/>
        <v>0.49523649237554057</v>
      </c>
      <c r="T214" s="1057">
        <f t="shared" si="117"/>
        <v>0.49036755843798352</v>
      </c>
    </row>
    <row r="215" spans="7:20" x14ac:dyDescent="0.3">
      <c r="G215" s="153" t="s">
        <v>2065</v>
      </c>
      <c r="H215" s="153" t="s">
        <v>2049</v>
      </c>
      <c r="I215" s="153" t="s">
        <v>2024</v>
      </c>
      <c r="P215" s="819"/>
    </row>
    <row r="216" spans="7:20" x14ac:dyDescent="0.3">
      <c r="G216" s="153" t="s">
        <v>2843</v>
      </c>
      <c r="H216" s="153" t="s">
        <v>2049</v>
      </c>
      <c r="I216" s="153" t="s">
        <v>2024</v>
      </c>
    </row>
    <row r="217" spans="7:20" x14ac:dyDescent="0.3">
      <c r="G217" s="153" t="s">
        <v>2823</v>
      </c>
      <c r="H217" s="153" t="s">
        <v>2049</v>
      </c>
      <c r="I217" s="153" t="s">
        <v>2024</v>
      </c>
      <c r="P217" s="1042"/>
      <c r="Q217" s="1042"/>
      <c r="R217" s="1042"/>
      <c r="S217" s="1042"/>
      <c r="T217" s="1042"/>
    </row>
    <row r="218" spans="7:20" x14ac:dyDescent="0.3">
      <c r="G218" s="153" t="s">
        <v>2826</v>
      </c>
      <c r="H218" s="153" t="s">
        <v>2049</v>
      </c>
      <c r="I218" s="153" t="s">
        <v>2024</v>
      </c>
      <c r="P218" s="819"/>
    </row>
    <row r="219" spans="7:20" x14ac:dyDescent="0.3">
      <c r="G219" s="153" t="s">
        <v>2031</v>
      </c>
      <c r="H219" s="153" t="s">
        <v>2049</v>
      </c>
      <c r="I219" s="153" t="s">
        <v>2024</v>
      </c>
      <c r="P219" s="819"/>
    </row>
    <row r="220" spans="7:20" x14ac:dyDescent="0.3">
      <c r="G220" s="153" t="s">
        <v>2051</v>
      </c>
      <c r="H220" s="153" t="s">
        <v>2049</v>
      </c>
      <c r="I220" s="153" t="s">
        <v>2024</v>
      </c>
    </row>
    <row r="221" spans="7:20" x14ac:dyDescent="0.3">
      <c r="G221" s="153" t="s">
        <v>2846</v>
      </c>
      <c r="H221" s="153" t="s">
        <v>2049</v>
      </c>
      <c r="I221" s="153" t="s">
        <v>2024</v>
      </c>
    </row>
    <row r="222" spans="7:20" x14ac:dyDescent="0.3">
      <c r="G222" s="153" t="s">
        <v>2030</v>
      </c>
      <c r="H222" s="153" t="s">
        <v>2049</v>
      </c>
      <c r="I222" s="153" t="s">
        <v>2024</v>
      </c>
    </row>
    <row r="223" spans="7:20" x14ac:dyDescent="0.3">
      <c r="G223" s="153" t="s">
        <v>2049</v>
      </c>
      <c r="H223" s="153" t="s">
        <v>2049</v>
      </c>
      <c r="I223" s="153" t="s">
        <v>2024</v>
      </c>
    </row>
    <row r="224" spans="7:20" x14ac:dyDescent="0.3">
      <c r="G224" s="153" t="s">
        <v>2064</v>
      </c>
      <c r="H224" s="153" t="s">
        <v>2049</v>
      </c>
      <c r="I224" s="153" t="s">
        <v>2024</v>
      </c>
    </row>
    <row r="225" spans="7:9" x14ac:dyDescent="0.3">
      <c r="G225" s="153" t="s">
        <v>2850</v>
      </c>
      <c r="H225" s="153" t="s">
        <v>2049</v>
      </c>
      <c r="I225" s="153" t="s">
        <v>2024</v>
      </c>
    </row>
    <row r="226" spans="7:9" x14ac:dyDescent="0.3">
      <c r="G226" s="153" t="s">
        <v>2067</v>
      </c>
      <c r="H226" s="153" t="s">
        <v>2049</v>
      </c>
      <c r="I226" s="153" t="s">
        <v>2024</v>
      </c>
    </row>
    <row r="227" spans="7:9" x14ac:dyDescent="0.3">
      <c r="G227" s="153" t="s">
        <v>2820</v>
      </c>
      <c r="H227" s="153" t="s">
        <v>2049</v>
      </c>
      <c r="I227" s="153" t="s">
        <v>2024</v>
      </c>
    </row>
    <row r="228" spans="7:9" x14ac:dyDescent="0.3">
      <c r="G228" s="153" t="s">
        <v>2068</v>
      </c>
      <c r="H228" s="153" t="s">
        <v>2049</v>
      </c>
      <c r="I228" s="153" t="s">
        <v>2024</v>
      </c>
    </row>
    <row r="229" spans="7:9" x14ac:dyDescent="0.3">
      <c r="G229" s="153" t="s">
        <v>2830</v>
      </c>
      <c r="H229" s="153" t="s">
        <v>2049</v>
      </c>
      <c r="I229" s="153" t="s">
        <v>2024</v>
      </c>
    </row>
    <row r="230" spans="7:9" x14ac:dyDescent="0.3">
      <c r="G230" s="153" t="s">
        <v>2833</v>
      </c>
      <c r="H230" s="153" t="s">
        <v>2049</v>
      </c>
      <c r="I230" s="153" t="s">
        <v>2024</v>
      </c>
    </row>
    <row r="231" spans="7:9" x14ac:dyDescent="0.3">
      <c r="G231" s="153" t="s">
        <v>2875</v>
      </c>
      <c r="H231" s="153" t="s">
        <v>2049</v>
      </c>
      <c r="I231" s="153" t="s">
        <v>2024</v>
      </c>
    </row>
    <row r="232" spans="7:9" x14ac:dyDescent="0.3">
      <c r="G232" s="153" t="s">
        <v>2878</v>
      </c>
      <c r="H232" s="153" t="s">
        <v>2058</v>
      </c>
      <c r="I232" s="153" t="s">
        <v>2802</v>
      </c>
    </row>
    <row r="233" spans="7:9" x14ac:dyDescent="0.3">
      <c r="G233" s="153" t="s">
        <v>2038</v>
      </c>
      <c r="H233" s="153" t="s">
        <v>2058</v>
      </c>
      <c r="I233" s="153" t="s">
        <v>2802</v>
      </c>
    </row>
    <row r="234" spans="7:9" x14ac:dyDescent="0.3">
      <c r="G234" s="153" t="s">
        <v>2040</v>
      </c>
      <c r="H234" s="153" t="s">
        <v>2058</v>
      </c>
      <c r="I234" s="153" t="s">
        <v>2802</v>
      </c>
    </row>
    <row r="235" spans="7:9" x14ac:dyDescent="0.3">
      <c r="G235" s="153" t="s">
        <v>2880</v>
      </c>
      <c r="H235" s="153" t="s">
        <v>2058</v>
      </c>
      <c r="I235" s="153" t="s">
        <v>2802</v>
      </c>
    </row>
    <row r="236" spans="7:9" x14ac:dyDescent="0.3">
      <c r="G236" s="153" t="s">
        <v>2882</v>
      </c>
      <c r="H236" s="153" t="s">
        <v>2037</v>
      </c>
      <c r="I236" s="153" t="s">
        <v>2802</v>
      </c>
    </row>
    <row r="237" spans="7:9" x14ac:dyDescent="0.3">
      <c r="G237" s="153" t="s">
        <v>2883</v>
      </c>
      <c r="H237" s="153" t="s">
        <v>2039</v>
      </c>
      <c r="I237" s="153" t="s">
        <v>2802</v>
      </c>
    </row>
    <row r="238" spans="7:9" x14ac:dyDescent="0.3">
      <c r="G238" s="153" t="s">
        <v>2886</v>
      </c>
      <c r="H238" s="153" t="s">
        <v>2039</v>
      </c>
      <c r="I238" s="153" t="s">
        <v>2802</v>
      </c>
    </row>
    <row r="239" spans="7:9" x14ac:dyDescent="0.3">
      <c r="G239" s="153" t="s">
        <v>2052</v>
      </c>
      <c r="H239" s="153" t="s">
        <v>2060</v>
      </c>
      <c r="I239" s="153" t="s">
        <v>2023</v>
      </c>
    </row>
    <row r="240" spans="7:9" x14ac:dyDescent="0.3">
      <c r="G240" s="153" t="s">
        <v>2050</v>
      </c>
      <c r="H240" s="153" t="s">
        <v>2037</v>
      </c>
      <c r="I240" s="153" t="s">
        <v>2802</v>
      </c>
    </row>
    <row r="241" spans="7:9" x14ac:dyDescent="0.3">
      <c r="G241" s="153" t="s">
        <v>2026</v>
      </c>
      <c r="H241" s="153" t="s">
        <v>2058</v>
      </c>
      <c r="I241" s="153" t="s">
        <v>2802</v>
      </c>
    </row>
    <row r="242" spans="7:9" x14ac:dyDescent="0.3">
      <c r="G242" s="153" t="s">
        <v>2890</v>
      </c>
      <c r="H242" s="153" t="s">
        <v>2058</v>
      </c>
      <c r="I242" s="153" t="s">
        <v>2802</v>
      </c>
    </row>
    <row r="243" spans="7:9" x14ac:dyDescent="0.3">
      <c r="G243" s="153" t="s">
        <v>2891</v>
      </c>
      <c r="H243" s="153" t="s">
        <v>2058</v>
      </c>
      <c r="I243" s="153" t="s">
        <v>2802</v>
      </c>
    </row>
    <row r="244" spans="7:9" x14ac:dyDescent="0.3">
      <c r="G244" s="153" t="s">
        <v>2894</v>
      </c>
      <c r="H244" s="153" t="s">
        <v>2039</v>
      </c>
      <c r="I244" s="153" t="s">
        <v>2802</v>
      </c>
    </row>
    <row r="245" spans="7:9" x14ac:dyDescent="0.3">
      <c r="G245" s="153" t="s">
        <v>2895</v>
      </c>
      <c r="H245" s="153" t="s">
        <v>2039</v>
      </c>
      <c r="I245" s="153" t="s">
        <v>2802</v>
      </c>
    </row>
    <row r="246" spans="7:9" x14ac:dyDescent="0.3">
      <c r="H246" s="153" t="s">
        <v>2039</v>
      </c>
      <c r="I246" s="153" t="s">
        <v>2802</v>
      </c>
    </row>
    <row r="247" spans="7:9" x14ac:dyDescent="0.3">
      <c r="H247" s="153" t="s">
        <v>2059</v>
      </c>
      <c r="I247" s="153" t="s">
        <v>2024</v>
      </c>
    </row>
    <row r="248" spans="7:9" x14ac:dyDescent="0.3">
      <c r="H248" s="153" t="s">
        <v>2059</v>
      </c>
      <c r="I248" s="153" t="s">
        <v>2024</v>
      </c>
    </row>
    <row r="249" spans="7:9" x14ac:dyDescent="0.3">
      <c r="H249" s="153" t="s">
        <v>2059</v>
      </c>
      <c r="I249" s="153" t="s">
        <v>2024</v>
      </c>
    </row>
    <row r="250" spans="7:9" x14ac:dyDescent="0.3">
      <c r="H250" s="153" t="s">
        <v>2059</v>
      </c>
      <c r="I250" s="153" t="s">
        <v>2024</v>
      </c>
    </row>
    <row r="251" spans="7:9" x14ac:dyDescent="0.3">
      <c r="H251" s="153" t="s">
        <v>2059</v>
      </c>
      <c r="I251" s="153" t="s">
        <v>2024</v>
      </c>
    </row>
    <row r="252" spans="7:9" x14ac:dyDescent="0.3">
      <c r="H252" s="153" t="s">
        <v>2059</v>
      </c>
      <c r="I252" s="153" t="s">
        <v>2024</v>
      </c>
    </row>
    <row r="253" spans="7:9" x14ac:dyDescent="0.3">
      <c r="H253" s="153" t="s">
        <v>2059</v>
      </c>
      <c r="I253" s="153" t="s">
        <v>2024</v>
      </c>
    </row>
    <row r="254" spans="7:9" x14ac:dyDescent="0.3">
      <c r="H254" s="153" t="s">
        <v>2059</v>
      </c>
      <c r="I254" s="153" t="s">
        <v>2024</v>
      </c>
    </row>
    <row r="255" spans="7:9" x14ac:dyDescent="0.3">
      <c r="H255" s="153" t="s">
        <v>2059</v>
      </c>
      <c r="I255" s="153" t="s">
        <v>2024</v>
      </c>
    </row>
    <row r="256" spans="7:9" x14ac:dyDescent="0.3">
      <c r="H256" s="153" t="s">
        <v>2059</v>
      </c>
      <c r="I256" s="153" t="s">
        <v>2024</v>
      </c>
    </row>
    <row r="257" spans="8:9" x14ac:dyDescent="0.3">
      <c r="H257" s="153" t="s">
        <v>2037</v>
      </c>
      <c r="I257" s="153" t="s">
        <v>2802</v>
      </c>
    </row>
    <row r="258" spans="8:9" x14ac:dyDescent="0.3">
      <c r="H258" s="153" t="s">
        <v>2028</v>
      </c>
      <c r="I258" s="153" t="s">
        <v>2023</v>
      </c>
    </row>
    <row r="259" spans="8:9" x14ac:dyDescent="0.3">
      <c r="H259" s="153" t="s">
        <v>2037</v>
      </c>
      <c r="I259" s="153" t="s">
        <v>2802</v>
      </c>
    </row>
    <row r="260" spans="8:9" x14ac:dyDescent="0.3">
      <c r="H260" s="153" t="s">
        <v>2037</v>
      </c>
      <c r="I260" s="153" t="s">
        <v>2802</v>
      </c>
    </row>
    <row r="261" spans="8:9" x14ac:dyDescent="0.3">
      <c r="H261" s="153" t="s">
        <v>2037</v>
      </c>
      <c r="I261" s="153" t="s">
        <v>2802</v>
      </c>
    </row>
    <row r="262" spans="8:9" x14ac:dyDescent="0.3">
      <c r="H262" s="153" t="s">
        <v>2041</v>
      </c>
      <c r="I262" s="153" t="s">
        <v>2802</v>
      </c>
    </row>
    <row r="263" spans="8:9" x14ac:dyDescent="0.3">
      <c r="H263" s="153" t="s">
        <v>2028</v>
      </c>
      <c r="I263" s="153" t="s">
        <v>2023</v>
      </c>
    </row>
    <row r="264" spans="8:9" x14ac:dyDescent="0.3">
      <c r="H264" s="153" t="s">
        <v>2037</v>
      </c>
      <c r="I264" s="153" t="s">
        <v>2802</v>
      </c>
    </row>
    <row r="265" spans="8:9" x14ac:dyDescent="0.3">
      <c r="H265" s="153" t="s">
        <v>2037</v>
      </c>
      <c r="I265" s="153" t="s">
        <v>2802</v>
      </c>
    </row>
    <row r="266" spans="8:9" x14ac:dyDescent="0.3">
      <c r="H266" s="153" t="s">
        <v>2037</v>
      </c>
      <c r="I266" s="153" t="s">
        <v>2802</v>
      </c>
    </row>
    <row r="267" spans="8:9" x14ac:dyDescent="0.3">
      <c r="H267" s="153" t="s">
        <v>2037</v>
      </c>
      <c r="I267" s="153" t="s">
        <v>2802</v>
      </c>
    </row>
    <row r="268" spans="8:9" x14ac:dyDescent="0.3">
      <c r="H268" s="153" t="s">
        <v>2028</v>
      </c>
      <c r="I268" s="153" t="s">
        <v>2023</v>
      </c>
    </row>
    <row r="269" spans="8:9" x14ac:dyDescent="0.3">
      <c r="H269" s="153" t="s">
        <v>2037</v>
      </c>
      <c r="I269" s="153" t="s">
        <v>2802</v>
      </c>
    </row>
    <row r="270" spans="8:9" x14ac:dyDescent="0.3">
      <c r="H270" s="153" t="s">
        <v>2037</v>
      </c>
      <c r="I270" s="153" t="s">
        <v>2802</v>
      </c>
    </row>
    <row r="271" spans="8:9" x14ac:dyDescent="0.3">
      <c r="H271" s="153" t="s">
        <v>2037</v>
      </c>
      <c r="I271" s="153" t="s">
        <v>2802</v>
      </c>
    </row>
    <row r="272" spans="8:9" x14ac:dyDescent="0.3">
      <c r="H272" s="153" t="s">
        <v>2037</v>
      </c>
      <c r="I272" s="153" t="s">
        <v>2802</v>
      </c>
    </row>
    <row r="273" spans="8:9" x14ac:dyDescent="0.3">
      <c r="H273" s="153" t="s">
        <v>2037</v>
      </c>
      <c r="I273" s="153" t="s">
        <v>2802</v>
      </c>
    </row>
    <row r="274" spans="8:9" x14ac:dyDescent="0.3">
      <c r="H274" s="153" t="s">
        <v>2039</v>
      </c>
      <c r="I274" s="153" t="s">
        <v>2802</v>
      </c>
    </row>
    <row r="275" spans="8:9" x14ac:dyDescent="0.3">
      <c r="H275" s="153" t="s">
        <v>2041</v>
      </c>
      <c r="I275" s="153" t="s">
        <v>2802</v>
      </c>
    </row>
    <row r="276" spans="8:9" x14ac:dyDescent="0.3">
      <c r="H276" s="153" t="s">
        <v>2037</v>
      </c>
      <c r="I276" s="153" t="s">
        <v>2802</v>
      </c>
    </row>
    <row r="277" spans="8:9" x14ac:dyDescent="0.3">
      <c r="H277" s="153" t="s">
        <v>2037</v>
      </c>
      <c r="I277" s="153" t="s">
        <v>2802</v>
      </c>
    </row>
    <row r="278" spans="8:9" x14ac:dyDescent="0.3">
      <c r="H278" s="153" t="s">
        <v>2059</v>
      </c>
      <c r="I278" s="153" t="s">
        <v>2024</v>
      </c>
    </row>
    <row r="279" spans="8:9" x14ac:dyDescent="0.3">
      <c r="H279" s="153" t="s">
        <v>2059</v>
      </c>
      <c r="I279" s="153" t="s">
        <v>2024</v>
      </c>
    </row>
    <row r="280" spans="8:9" x14ac:dyDescent="0.3">
      <c r="H280" s="153" t="s">
        <v>2059</v>
      </c>
      <c r="I280" s="153" t="s">
        <v>2024</v>
      </c>
    </row>
    <row r="281" spans="8:9" x14ac:dyDescent="0.3">
      <c r="H281" s="153" t="s">
        <v>2059</v>
      </c>
      <c r="I281" s="153" t="s">
        <v>2024</v>
      </c>
    </row>
    <row r="282" spans="8:9" x14ac:dyDescent="0.3">
      <c r="H282" s="153" t="s">
        <v>2059</v>
      </c>
      <c r="I282" s="153" t="s">
        <v>2024</v>
      </c>
    </row>
    <row r="283" spans="8:9" x14ac:dyDescent="0.3">
      <c r="H283" s="153" t="s">
        <v>2059</v>
      </c>
      <c r="I283" s="153" t="s">
        <v>2024</v>
      </c>
    </row>
    <row r="284" spans="8:9" x14ac:dyDescent="0.3">
      <c r="H284" s="153" t="s">
        <v>2059</v>
      </c>
      <c r="I284" s="153" t="s">
        <v>2024</v>
      </c>
    </row>
    <row r="285" spans="8:9" x14ac:dyDescent="0.3">
      <c r="H285" s="153" t="s">
        <v>2059</v>
      </c>
      <c r="I285" s="153" t="s">
        <v>2024</v>
      </c>
    </row>
    <row r="286" spans="8:9" x14ac:dyDescent="0.3">
      <c r="H286" s="153" t="s">
        <v>2059</v>
      </c>
      <c r="I286" s="153" t="s">
        <v>2024</v>
      </c>
    </row>
    <row r="287" spans="8:9" x14ac:dyDescent="0.3">
      <c r="H287" s="153" t="s">
        <v>2059</v>
      </c>
      <c r="I287" s="153" t="s">
        <v>2024</v>
      </c>
    </row>
    <row r="288" spans="8:9" x14ac:dyDescent="0.3">
      <c r="H288" s="153" t="s">
        <v>2041</v>
      </c>
      <c r="I288" s="153" t="s">
        <v>2802</v>
      </c>
    </row>
    <row r="289" spans="8:9" x14ac:dyDescent="0.3">
      <c r="H289" s="153" t="s">
        <v>2037</v>
      </c>
      <c r="I289" s="153" t="s">
        <v>2802</v>
      </c>
    </row>
    <row r="290" spans="8:9" x14ac:dyDescent="0.3">
      <c r="H290" s="153" t="s">
        <v>2032</v>
      </c>
      <c r="I290" s="153" t="s">
        <v>2802</v>
      </c>
    </row>
    <row r="291" spans="8:9" x14ac:dyDescent="0.3">
      <c r="H291" s="153" t="s">
        <v>2032</v>
      </c>
      <c r="I291" s="153" t="s">
        <v>2802</v>
      </c>
    </row>
    <row r="292" spans="8:9" x14ac:dyDescent="0.3">
      <c r="H292" s="153" t="s">
        <v>2032</v>
      </c>
      <c r="I292" s="153" t="s">
        <v>2802</v>
      </c>
    </row>
    <row r="293" spans="8:9" x14ac:dyDescent="0.3">
      <c r="H293" s="153" t="s">
        <v>2037</v>
      </c>
      <c r="I293" s="153" t="s">
        <v>2802</v>
      </c>
    </row>
    <row r="294" spans="8:9" x14ac:dyDescent="0.3">
      <c r="H294" s="153" t="s">
        <v>2037</v>
      </c>
      <c r="I294" s="153" t="s">
        <v>2802</v>
      </c>
    </row>
    <row r="295" spans="8:9" x14ac:dyDescent="0.3">
      <c r="H295" s="153" t="s">
        <v>2037</v>
      </c>
      <c r="I295" s="153" t="s">
        <v>2802</v>
      </c>
    </row>
    <row r="296" spans="8:9" x14ac:dyDescent="0.3">
      <c r="H296" s="153" t="s">
        <v>2032</v>
      </c>
      <c r="I296" s="153" t="s">
        <v>2802</v>
      </c>
    </row>
    <row r="297" spans="8:9" x14ac:dyDescent="0.3">
      <c r="H297" s="153" t="s">
        <v>2037</v>
      </c>
      <c r="I297" s="153" t="s">
        <v>2802</v>
      </c>
    </row>
    <row r="298" spans="8:9" x14ac:dyDescent="0.3">
      <c r="H298" s="153" t="s">
        <v>2062</v>
      </c>
      <c r="I298" s="153" t="s">
        <v>2023</v>
      </c>
    </row>
    <row r="299" spans="8:9" x14ac:dyDescent="0.3">
      <c r="H299" s="153" t="s">
        <v>2041</v>
      </c>
      <c r="I299" s="153" t="s">
        <v>2802</v>
      </c>
    </row>
    <row r="300" spans="8:9" x14ac:dyDescent="0.3">
      <c r="H300" s="153" t="s">
        <v>2041</v>
      </c>
      <c r="I300" s="153" t="s">
        <v>2802</v>
      </c>
    </row>
    <row r="301" spans="8:9" x14ac:dyDescent="0.3">
      <c r="H301" s="153" t="s">
        <v>2059</v>
      </c>
      <c r="I301" s="153" t="s">
        <v>2024</v>
      </c>
    </row>
    <row r="302" spans="8:9" x14ac:dyDescent="0.3">
      <c r="H302" s="153" t="s">
        <v>2059</v>
      </c>
      <c r="I302" s="153" t="s">
        <v>2024</v>
      </c>
    </row>
    <row r="303" spans="8:9" x14ac:dyDescent="0.3">
      <c r="H303" s="153" t="s">
        <v>2059</v>
      </c>
      <c r="I303" s="153" t="s">
        <v>2024</v>
      </c>
    </row>
    <row r="304" spans="8:9" x14ac:dyDescent="0.3">
      <c r="H304" s="153" t="s">
        <v>2059</v>
      </c>
      <c r="I304" s="153" t="s">
        <v>2024</v>
      </c>
    </row>
    <row r="305" spans="8:9" x14ac:dyDescent="0.3">
      <c r="H305" s="153" t="s">
        <v>2059</v>
      </c>
      <c r="I305" s="153" t="s">
        <v>2024</v>
      </c>
    </row>
    <row r="306" spans="8:9" x14ac:dyDescent="0.3">
      <c r="H306" s="153" t="s">
        <v>2059</v>
      </c>
      <c r="I306" s="153" t="s">
        <v>2024</v>
      </c>
    </row>
    <row r="307" spans="8:9" x14ac:dyDescent="0.3">
      <c r="H307" s="153" t="s">
        <v>2059</v>
      </c>
      <c r="I307" s="153" t="s">
        <v>2024</v>
      </c>
    </row>
    <row r="308" spans="8:9" x14ac:dyDescent="0.3">
      <c r="H308" s="153" t="s">
        <v>2059</v>
      </c>
      <c r="I308" s="153" t="s">
        <v>2024</v>
      </c>
    </row>
    <row r="309" spans="8:9" x14ac:dyDescent="0.3">
      <c r="H309" s="153" t="s">
        <v>2059</v>
      </c>
      <c r="I309" s="153" t="s">
        <v>2024</v>
      </c>
    </row>
    <row r="310" spans="8:9" x14ac:dyDescent="0.3">
      <c r="H310" s="153" t="s">
        <v>2059</v>
      </c>
      <c r="I310" s="153" t="s">
        <v>2024</v>
      </c>
    </row>
    <row r="311" spans="8:9" x14ac:dyDescent="0.3">
      <c r="H311" s="153" t="s">
        <v>2037</v>
      </c>
      <c r="I311" s="153" t="s">
        <v>2802</v>
      </c>
    </row>
    <row r="312" spans="8:9" x14ac:dyDescent="0.3">
      <c r="H312" s="153" t="s">
        <v>2045</v>
      </c>
      <c r="I312" s="153" t="s">
        <v>2802</v>
      </c>
    </row>
    <row r="313" spans="8:9" x14ac:dyDescent="0.3">
      <c r="H313" s="153" t="s">
        <v>2063</v>
      </c>
      <c r="I313" s="153" t="s">
        <v>2802</v>
      </c>
    </row>
    <row r="314" spans="8:9" x14ac:dyDescent="0.3">
      <c r="H314" s="153" t="s">
        <v>2041</v>
      </c>
      <c r="I314" s="153" t="s">
        <v>2802</v>
      </c>
    </row>
    <row r="315" spans="8:9" x14ac:dyDescent="0.3">
      <c r="H315" s="153" t="s">
        <v>2041</v>
      </c>
      <c r="I315" s="153" t="s">
        <v>2802</v>
      </c>
    </row>
    <row r="316" spans="8:9" x14ac:dyDescent="0.3">
      <c r="H316" s="153" t="s">
        <v>2041</v>
      </c>
      <c r="I316" s="153" t="s">
        <v>2802</v>
      </c>
    </row>
    <row r="317" spans="8:9" x14ac:dyDescent="0.3">
      <c r="H317" s="153" t="s">
        <v>2039</v>
      </c>
      <c r="I317" s="153" t="s">
        <v>2802</v>
      </c>
    </row>
    <row r="318" spans="8:9" x14ac:dyDescent="0.3">
      <c r="H318" s="153" t="s">
        <v>2037</v>
      </c>
      <c r="I318" s="153" t="s">
        <v>2802</v>
      </c>
    </row>
    <row r="319" spans="8:9" x14ac:dyDescent="0.3">
      <c r="H319" s="153" t="s">
        <v>2037</v>
      </c>
      <c r="I319" s="153" t="s">
        <v>2802</v>
      </c>
    </row>
    <row r="320" spans="8:9" x14ac:dyDescent="0.3">
      <c r="H320" s="153" t="s">
        <v>2945</v>
      </c>
      <c r="I320" s="153" t="s">
        <v>2859</v>
      </c>
    </row>
    <row r="321" spans="8:9" x14ac:dyDescent="0.3">
      <c r="H321" s="153" t="s">
        <v>2037</v>
      </c>
      <c r="I321" s="153" t="s">
        <v>2802</v>
      </c>
    </row>
    <row r="322" spans="8:9" x14ac:dyDescent="0.3">
      <c r="H322" s="153" t="s">
        <v>2039</v>
      </c>
      <c r="I322" s="153" t="s">
        <v>2802</v>
      </c>
    </row>
    <row r="323" spans="8:9" x14ac:dyDescent="0.3">
      <c r="H323" s="153" t="s">
        <v>2039</v>
      </c>
      <c r="I323" s="153" t="s">
        <v>2802</v>
      </c>
    </row>
    <row r="324" spans="8:9" x14ac:dyDescent="0.3">
      <c r="H324" s="153" t="s">
        <v>2039</v>
      </c>
      <c r="I324" s="153" t="s">
        <v>2802</v>
      </c>
    </row>
    <row r="325" spans="8:9" x14ac:dyDescent="0.3">
      <c r="H325" s="153" t="s">
        <v>2039</v>
      </c>
      <c r="I325" s="153" t="s">
        <v>2802</v>
      </c>
    </row>
    <row r="326" spans="8:9" x14ac:dyDescent="0.3">
      <c r="H326" s="153" t="s">
        <v>2037</v>
      </c>
      <c r="I326" s="153" t="s">
        <v>2802</v>
      </c>
    </row>
    <row r="327" spans="8:9" x14ac:dyDescent="0.3">
      <c r="H327" s="153" t="s">
        <v>2037</v>
      </c>
      <c r="I327" s="153" t="s">
        <v>2802</v>
      </c>
    </row>
    <row r="328" spans="8:9" x14ac:dyDescent="0.3">
      <c r="H328" s="153" t="s">
        <v>2037</v>
      </c>
      <c r="I328" s="153" t="s">
        <v>2802</v>
      </c>
    </row>
    <row r="329" spans="8:9" x14ac:dyDescent="0.3">
      <c r="H329" s="153" t="s">
        <v>2037</v>
      </c>
      <c r="I329" s="153" t="s">
        <v>2802</v>
      </c>
    </row>
    <row r="330" spans="8:9" x14ac:dyDescent="0.3">
      <c r="H330" s="153" t="s">
        <v>2037</v>
      </c>
      <c r="I330" s="153" t="s">
        <v>2802</v>
      </c>
    </row>
    <row r="331" spans="8:9" x14ac:dyDescent="0.3">
      <c r="H331" s="153" t="s">
        <v>2037</v>
      </c>
      <c r="I331" s="153" t="s">
        <v>2802</v>
      </c>
    </row>
    <row r="332" spans="8:9" x14ac:dyDescent="0.3">
      <c r="H332" s="153" t="s">
        <v>2037</v>
      </c>
      <c r="I332" s="153" t="s">
        <v>2802</v>
      </c>
    </row>
    <row r="333" spans="8:9" x14ac:dyDescent="0.3">
      <c r="H333" s="153" t="s">
        <v>2037</v>
      </c>
      <c r="I333" s="153" t="s">
        <v>2802</v>
      </c>
    </row>
    <row r="334" spans="8:9" x14ac:dyDescent="0.3">
      <c r="H334" s="153" t="s">
        <v>2037</v>
      </c>
      <c r="I334" s="153" t="s">
        <v>2802</v>
      </c>
    </row>
    <row r="335" spans="8:9" x14ac:dyDescent="0.3">
      <c r="H335" s="153" t="s">
        <v>2037</v>
      </c>
      <c r="I335" s="153" t="s">
        <v>2802</v>
      </c>
    </row>
    <row r="336" spans="8:9" x14ac:dyDescent="0.3">
      <c r="H336" s="153" t="s">
        <v>2037</v>
      </c>
      <c r="I336" s="153" t="s">
        <v>2802</v>
      </c>
    </row>
    <row r="337" spans="8:9" x14ac:dyDescent="0.3">
      <c r="H337" s="153" t="s">
        <v>2037</v>
      </c>
      <c r="I337" s="153" t="s">
        <v>2802</v>
      </c>
    </row>
    <row r="338" spans="8:9" x14ac:dyDescent="0.3">
      <c r="H338" s="153" t="s">
        <v>2028</v>
      </c>
      <c r="I338" s="153" t="s">
        <v>2023</v>
      </c>
    </row>
    <row r="339" spans="8:9" x14ac:dyDescent="0.3">
      <c r="H339" s="153" t="s">
        <v>2028</v>
      </c>
      <c r="I339" s="153" t="s">
        <v>2023</v>
      </c>
    </row>
    <row r="340" spans="8:9" x14ac:dyDescent="0.3">
      <c r="H340" s="153" t="s">
        <v>2041</v>
      </c>
      <c r="I340" s="153" t="s">
        <v>2802</v>
      </c>
    </row>
    <row r="341" spans="8:9" x14ac:dyDescent="0.3">
      <c r="H341" s="153" t="s">
        <v>2041</v>
      </c>
      <c r="I341" s="153" t="s">
        <v>2802</v>
      </c>
    </row>
    <row r="342" spans="8:9" x14ac:dyDescent="0.3">
      <c r="H342" s="153" t="s">
        <v>2037</v>
      </c>
      <c r="I342" s="153" t="s">
        <v>2802</v>
      </c>
    </row>
    <row r="343" spans="8:9" x14ac:dyDescent="0.3">
      <c r="H343" s="153" t="s">
        <v>2037</v>
      </c>
      <c r="I343" s="153" t="s">
        <v>2802</v>
      </c>
    </row>
    <row r="344" spans="8:9" x14ac:dyDescent="0.3">
      <c r="H344" s="153" t="s">
        <v>2037</v>
      </c>
      <c r="I344" s="153" t="s">
        <v>2802</v>
      </c>
    </row>
    <row r="345" spans="8:9" x14ac:dyDescent="0.3">
      <c r="H345" s="153" t="s">
        <v>2039</v>
      </c>
      <c r="I345" s="153" t="s">
        <v>2802</v>
      </c>
    </row>
    <row r="346" spans="8:9" x14ac:dyDescent="0.3">
      <c r="H346" s="153" t="s">
        <v>2039</v>
      </c>
      <c r="I346" s="153" t="s">
        <v>2802</v>
      </c>
    </row>
    <row r="347" spans="8:9" x14ac:dyDescent="0.3">
      <c r="H347" s="153" t="s">
        <v>2037</v>
      </c>
      <c r="I347" s="153" t="s">
        <v>2802</v>
      </c>
    </row>
    <row r="348" spans="8:9" x14ac:dyDescent="0.3">
      <c r="H348" s="153" t="s">
        <v>2041</v>
      </c>
      <c r="I348" s="153" t="s">
        <v>2802</v>
      </c>
    </row>
    <row r="349" spans="8:9" x14ac:dyDescent="0.3">
      <c r="H349" s="153" t="s">
        <v>2039</v>
      </c>
      <c r="I349" s="153" t="s">
        <v>2802</v>
      </c>
    </row>
    <row r="350" spans="8:9" x14ac:dyDescent="0.3">
      <c r="H350" s="153" t="s">
        <v>2061</v>
      </c>
      <c r="I350" s="153" t="s">
        <v>2802</v>
      </c>
    </row>
    <row r="351" spans="8:9" x14ac:dyDescent="0.3">
      <c r="H351" s="153" t="s">
        <v>2061</v>
      </c>
      <c r="I351" s="153" t="s">
        <v>2802</v>
      </c>
    </row>
    <row r="352" spans="8:9" x14ac:dyDescent="0.3">
      <c r="H352" s="153" t="s">
        <v>2061</v>
      </c>
      <c r="I352" s="153" t="s">
        <v>2802</v>
      </c>
    </row>
    <row r="353" spans="8:9" x14ac:dyDescent="0.3">
      <c r="H353" s="153" t="s">
        <v>2028</v>
      </c>
      <c r="I353" s="153" t="s">
        <v>2023</v>
      </c>
    </row>
    <row r="354" spans="8:9" x14ac:dyDescent="0.3">
      <c r="H354" s="153" t="s">
        <v>2037</v>
      </c>
      <c r="I354" s="153" t="s">
        <v>2802</v>
      </c>
    </row>
    <row r="355" spans="8:9" x14ac:dyDescent="0.3">
      <c r="H355" s="153" t="s">
        <v>2061</v>
      </c>
      <c r="I355" s="153" t="s">
        <v>2802</v>
      </c>
    </row>
    <row r="356" spans="8:9" x14ac:dyDescent="0.3">
      <c r="H356" s="153" t="s">
        <v>2060</v>
      </c>
      <c r="I356" s="153" t="s">
        <v>2023</v>
      </c>
    </row>
    <row r="357" spans="8:9" x14ac:dyDescent="0.3">
      <c r="H357" s="153" t="s">
        <v>2060</v>
      </c>
      <c r="I357" s="153" t="s">
        <v>2023</v>
      </c>
    </row>
    <row r="358" spans="8:9" x14ac:dyDescent="0.3">
      <c r="H358" s="153" t="s">
        <v>2037</v>
      </c>
      <c r="I358" s="153" t="s">
        <v>2802</v>
      </c>
    </row>
    <row r="359" spans="8:9" x14ac:dyDescent="0.3">
      <c r="H359" s="153" t="s">
        <v>2037</v>
      </c>
      <c r="I359" s="153" t="s">
        <v>2802</v>
      </c>
    </row>
    <row r="360" spans="8:9" x14ac:dyDescent="0.3">
      <c r="H360" s="153" t="s">
        <v>2037</v>
      </c>
      <c r="I360" s="153" t="s">
        <v>2802</v>
      </c>
    </row>
    <row r="361" spans="8:9" x14ac:dyDescent="0.3">
      <c r="H361" s="153" t="s">
        <v>2068</v>
      </c>
      <c r="I361" s="153" t="s">
        <v>2024</v>
      </c>
    </row>
    <row r="362" spans="8:9" x14ac:dyDescent="0.3">
      <c r="H362" s="153" t="s">
        <v>2068</v>
      </c>
      <c r="I362" s="153" t="s">
        <v>2024</v>
      </c>
    </row>
    <row r="363" spans="8:9" x14ac:dyDescent="0.3">
      <c r="H363" s="153" t="s">
        <v>2068</v>
      </c>
      <c r="I363" s="153" t="s">
        <v>2024</v>
      </c>
    </row>
    <row r="364" spans="8:9" x14ac:dyDescent="0.3">
      <c r="H364" s="153" t="s">
        <v>2068</v>
      </c>
      <c r="I364" s="153" t="s">
        <v>2024</v>
      </c>
    </row>
    <row r="365" spans="8:9" x14ac:dyDescent="0.3">
      <c r="H365" s="153" t="s">
        <v>2068</v>
      </c>
      <c r="I365" s="153" t="s">
        <v>2024</v>
      </c>
    </row>
    <row r="366" spans="8:9" x14ac:dyDescent="0.3">
      <c r="H366" s="153" t="s">
        <v>2068</v>
      </c>
      <c r="I366" s="153" t="s">
        <v>2024</v>
      </c>
    </row>
    <row r="367" spans="8:9" x14ac:dyDescent="0.3">
      <c r="H367" s="153" t="s">
        <v>2068</v>
      </c>
      <c r="I367" s="153" t="s">
        <v>2024</v>
      </c>
    </row>
    <row r="368" spans="8:9" x14ac:dyDescent="0.3">
      <c r="H368" s="153" t="s">
        <v>2068</v>
      </c>
      <c r="I368" s="153" t="s">
        <v>2024</v>
      </c>
    </row>
    <row r="369" spans="8:9" x14ac:dyDescent="0.3">
      <c r="H369" s="153" t="s">
        <v>2068</v>
      </c>
      <c r="I369" s="153" t="s">
        <v>2024</v>
      </c>
    </row>
    <row r="370" spans="8:9" x14ac:dyDescent="0.3">
      <c r="H370" s="153" t="s">
        <v>2068</v>
      </c>
      <c r="I370" s="153" t="s">
        <v>2024</v>
      </c>
    </row>
    <row r="371" spans="8:9" x14ac:dyDescent="0.3">
      <c r="H371" s="153" t="s">
        <v>2037</v>
      </c>
      <c r="I371" s="153" t="s">
        <v>2802</v>
      </c>
    </row>
    <row r="372" spans="8:9" x14ac:dyDescent="0.3">
      <c r="H372" s="153" t="s">
        <v>2061</v>
      </c>
      <c r="I372" s="153" t="s">
        <v>2802</v>
      </c>
    </row>
    <row r="373" spans="8:9" x14ac:dyDescent="0.3">
      <c r="H373" s="153" t="s">
        <v>2062</v>
      </c>
      <c r="I373" s="153" t="s">
        <v>2023</v>
      </c>
    </row>
    <row r="374" spans="8:9" x14ac:dyDescent="0.3">
      <c r="H374" s="153" t="s">
        <v>2062</v>
      </c>
      <c r="I374" s="153" t="s">
        <v>2023</v>
      </c>
    </row>
    <row r="375" spans="8:9" x14ac:dyDescent="0.3">
      <c r="H375" s="153" t="s">
        <v>2945</v>
      </c>
      <c r="I375" s="153" t="s">
        <v>2859</v>
      </c>
    </row>
    <row r="376" spans="8:9" x14ac:dyDescent="0.3">
      <c r="H376" s="153" t="s">
        <v>2037</v>
      </c>
      <c r="I376" s="153" t="s">
        <v>2802</v>
      </c>
    </row>
    <row r="377" spans="8:9" x14ac:dyDescent="0.3">
      <c r="H377" s="153" t="s">
        <v>2037</v>
      </c>
      <c r="I377" s="153" t="s">
        <v>2802</v>
      </c>
    </row>
    <row r="378" spans="8:9" x14ac:dyDescent="0.3">
      <c r="H378" s="153" t="s">
        <v>2037</v>
      </c>
      <c r="I378" s="153" t="s">
        <v>2802</v>
      </c>
    </row>
    <row r="379" spans="8:9" x14ac:dyDescent="0.3">
      <c r="H379" s="153" t="s">
        <v>2037</v>
      </c>
      <c r="I379" s="153" t="s">
        <v>2802</v>
      </c>
    </row>
    <row r="380" spans="8:9" x14ac:dyDescent="0.3">
      <c r="H380" s="153" t="s">
        <v>2039</v>
      </c>
      <c r="I380" s="153" t="s">
        <v>2802</v>
      </c>
    </row>
    <row r="381" spans="8:9" x14ac:dyDescent="0.3">
      <c r="H381" s="153" t="s">
        <v>2037</v>
      </c>
      <c r="I381" s="153" t="s">
        <v>2802</v>
      </c>
    </row>
    <row r="382" spans="8:9" x14ac:dyDescent="0.3">
      <c r="H382" s="153" t="s">
        <v>2037</v>
      </c>
      <c r="I382" s="153" t="s">
        <v>2802</v>
      </c>
    </row>
    <row r="383" spans="8:9" x14ac:dyDescent="0.3">
      <c r="H383" s="153" t="s">
        <v>2060</v>
      </c>
      <c r="I383" s="153" t="s">
        <v>2023</v>
      </c>
    </row>
    <row r="384" spans="8:9" x14ac:dyDescent="0.3">
      <c r="H384" s="153" t="s">
        <v>2062</v>
      </c>
      <c r="I384" s="153" t="s">
        <v>2023</v>
      </c>
    </row>
    <row r="385" spans="8:9" x14ac:dyDescent="0.3">
      <c r="H385" s="153" t="s">
        <v>2028</v>
      </c>
      <c r="I385" s="153" t="s">
        <v>2023</v>
      </c>
    </row>
    <row r="386" spans="8:9" x14ac:dyDescent="0.3">
      <c r="H386" s="153" t="s">
        <v>2032</v>
      </c>
      <c r="I386" s="153" t="s">
        <v>2802</v>
      </c>
    </row>
    <row r="387" spans="8:9" x14ac:dyDescent="0.3">
      <c r="H387" s="153" t="s">
        <v>2039</v>
      </c>
      <c r="I387" s="153" t="s">
        <v>2802</v>
      </c>
    </row>
    <row r="388" spans="8:9" x14ac:dyDescent="0.3">
      <c r="H388" s="153" t="s">
        <v>2028</v>
      </c>
      <c r="I388" s="153" t="s">
        <v>2023</v>
      </c>
    </row>
    <row r="389" spans="8:9" x14ac:dyDescent="0.3">
      <c r="H389" s="153" t="s">
        <v>2037</v>
      </c>
      <c r="I389" s="153" t="s">
        <v>2802</v>
      </c>
    </row>
    <row r="390" spans="8:9" x14ac:dyDescent="0.3">
      <c r="H390" s="153" t="s">
        <v>2032</v>
      </c>
      <c r="I390" s="153" t="s">
        <v>2802</v>
      </c>
    </row>
    <row r="391" spans="8:9" x14ac:dyDescent="0.3">
      <c r="H391" s="153" t="s">
        <v>2032</v>
      </c>
      <c r="I391" s="153" t="s">
        <v>2802</v>
      </c>
    </row>
    <row r="392" spans="8:9" x14ac:dyDescent="0.3">
      <c r="H392" s="153" t="s">
        <v>2041</v>
      </c>
      <c r="I392" s="153" t="s">
        <v>2802</v>
      </c>
    </row>
    <row r="393" spans="8:9" x14ac:dyDescent="0.3">
      <c r="H393" s="153" t="s">
        <v>2068</v>
      </c>
      <c r="I393" s="153" t="s">
        <v>2024</v>
      </c>
    </row>
    <row r="394" spans="8:9" x14ac:dyDescent="0.3">
      <c r="H394" s="153" t="s">
        <v>2068</v>
      </c>
      <c r="I394" s="153" t="s">
        <v>2024</v>
      </c>
    </row>
    <row r="395" spans="8:9" x14ac:dyDescent="0.3">
      <c r="H395" s="153" t="s">
        <v>2068</v>
      </c>
      <c r="I395" s="153" t="s">
        <v>2024</v>
      </c>
    </row>
    <row r="396" spans="8:9" x14ac:dyDescent="0.3">
      <c r="H396" s="153" t="s">
        <v>2068</v>
      </c>
      <c r="I396" s="153" t="s">
        <v>2024</v>
      </c>
    </row>
    <row r="397" spans="8:9" x14ac:dyDescent="0.3">
      <c r="H397" s="153" t="s">
        <v>2068</v>
      </c>
      <c r="I397" s="153" t="s">
        <v>2024</v>
      </c>
    </row>
    <row r="398" spans="8:9" x14ac:dyDescent="0.3">
      <c r="H398" s="153" t="s">
        <v>2068</v>
      </c>
      <c r="I398" s="153" t="s">
        <v>2024</v>
      </c>
    </row>
    <row r="399" spans="8:9" x14ac:dyDescent="0.3">
      <c r="H399" s="153" t="s">
        <v>2068</v>
      </c>
      <c r="I399" s="153" t="s">
        <v>2024</v>
      </c>
    </row>
    <row r="400" spans="8:9" x14ac:dyDescent="0.3">
      <c r="H400" s="153" t="s">
        <v>2068</v>
      </c>
      <c r="I400" s="153" t="s">
        <v>2024</v>
      </c>
    </row>
    <row r="401" spans="8:9" x14ac:dyDescent="0.3">
      <c r="H401" s="153" t="s">
        <v>2068</v>
      </c>
      <c r="I401" s="153" t="s">
        <v>2024</v>
      </c>
    </row>
    <row r="402" spans="8:9" x14ac:dyDescent="0.3">
      <c r="H402" s="153" t="s">
        <v>2068</v>
      </c>
      <c r="I402" s="153" t="s">
        <v>2024</v>
      </c>
    </row>
    <row r="403" spans="8:9" x14ac:dyDescent="0.3">
      <c r="H403" s="153" t="s">
        <v>2028</v>
      </c>
      <c r="I403" s="153" t="s">
        <v>2023</v>
      </c>
    </row>
    <row r="404" spans="8:9" x14ac:dyDescent="0.3">
      <c r="H404" s="153" t="s">
        <v>2041</v>
      </c>
      <c r="I404" s="153" t="s">
        <v>2802</v>
      </c>
    </row>
    <row r="405" spans="8:9" x14ac:dyDescent="0.3">
      <c r="H405" s="153" t="s">
        <v>2061</v>
      </c>
      <c r="I405" s="153" t="s">
        <v>2802</v>
      </c>
    </row>
    <row r="406" spans="8:9" x14ac:dyDescent="0.3">
      <c r="H406" s="153" t="s">
        <v>2028</v>
      </c>
      <c r="I406" s="153" t="s">
        <v>2023</v>
      </c>
    </row>
    <row r="407" spans="8:9" x14ac:dyDescent="0.3">
      <c r="H407" s="153" t="s">
        <v>2945</v>
      </c>
      <c r="I407" s="153" t="s">
        <v>2859</v>
      </c>
    </row>
    <row r="408" spans="8:9" x14ac:dyDescent="0.3">
      <c r="H408" s="153" t="s">
        <v>2037</v>
      </c>
      <c r="I408" s="153" t="s">
        <v>2802</v>
      </c>
    </row>
    <row r="409" spans="8:9" x14ac:dyDescent="0.3">
      <c r="H409" s="153" t="s">
        <v>2037</v>
      </c>
      <c r="I409" s="153" t="s">
        <v>2802</v>
      </c>
    </row>
    <row r="410" spans="8:9" x14ac:dyDescent="0.3">
      <c r="H410" s="153" t="s">
        <v>2059</v>
      </c>
      <c r="I410" s="153" t="s">
        <v>2024</v>
      </c>
    </row>
    <row r="411" spans="8:9" x14ac:dyDescent="0.3">
      <c r="H411" s="153" t="s">
        <v>2058</v>
      </c>
      <c r="I411" s="153" t="s">
        <v>2802</v>
      </c>
    </row>
    <row r="412" spans="8:9" x14ac:dyDescent="0.3">
      <c r="H412" s="153" t="s">
        <v>2062</v>
      </c>
      <c r="I412" s="153" t="s">
        <v>2023</v>
      </c>
    </row>
    <row r="413" spans="8:9" x14ac:dyDescent="0.3">
      <c r="H413" s="153" t="s">
        <v>2040</v>
      </c>
      <c r="I413" s="153" t="s">
        <v>2802</v>
      </c>
    </row>
    <row r="414" spans="8:9" x14ac:dyDescent="0.3">
      <c r="H414" s="153" t="s">
        <v>2037</v>
      </c>
      <c r="I414" s="153" t="s">
        <v>2802</v>
      </c>
    </row>
    <row r="415" spans="8:9" x14ac:dyDescent="0.3">
      <c r="H415" s="153" t="s">
        <v>2037</v>
      </c>
      <c r="I415" s="153" t="s">
        <v>2802</v>
      </c>
    </row>
    <row r="416" spans="8:9" x14ac:dyDescent="0.3">
      <c r="H416" s="153" t="s">
        <v>2037</v>
      </c>
      <c r="I416" s="153" t="s">
        <v>2802</v>
      </c>
    </row>
    <row r="417" spans="8:9" x14ac:dyDescent="0.3">
      <c r="H417" s="153" t="s">
        <v>2061</v>
      </c>
      <c r="I417" s="153" t="s">
        <v>2802</v>
      </c>
    </row>
    <row r="418" spans="8:9" x14ac:dyDescent="0.3">
      <c r="H418" s="153" t="s">
        <v>2063</v>
      </c>
      <c r="I418" s="153" t="s">
        <v>2802</v>
      </c>
    </row>
    <row r="419" spans="8:9" x14ac:dyDescent="0.3">
      <c r="H419" s="153" t="s">
        <v>2062</v>
      </c>
      <c r="I419" s="153" t="s">
        <v>2023</v>
      </c>
    </row>
    <row r="420" spans="8:9" x14ac:dyDescent="0.3">
      <c r="H420" s="153" t="s">
        <v>2037</v>
      </c>
      <c r="I420" s="153" t="s">
        <v>2802</v>
      </c>
    </row>
    <row r="421" spans="8:9" x14ac:dyDescent="0.3">
      <c r="H421" s="153" t="s">
        <v>2054</v>
      </c>
      <c r="I421" s="153" t="s">
        <v>2802</v>
      </c>
    </row>
    <row r="422" spans="8:9" x14ac:dyDescent="0.3">
      <c r="H422" s="153" t="s">
        <v>2040</v>
      </c>
      <c r="I422" s="153" t="s">
        <v>2802</v>
      </c>
    </row>
    <row r="423" spans="8:9" x14ac:dyDescent="0.3">
      <c r="H423" s="153" t="s">
        <v>2037</v>
      </c>
      <c r="I423" s="153" t="s">
        <v>2802</v>
      </c>
    </row>
    <row r="424" spans="8:9" x14ac:dyDescent="0.3">
      <c r="H424" s="153" t="s">
        <v>2037</v>
      </c>
      <c r="I424" s="153" t="s">
        <v>2802</v>
      </c>
    </row>
    <row r="425" spans="8:9" x14ac:dyDescent="0.3">
      <c r="H425" s="153" t="s">
        <v>2037</v>
      </c>
      <c r="I425" s="153" t="s">
        <v>2802</v>
      </c>
    </row>
    <row r="426" spans="8:9" x14ac:dyDescent="0.3">
      <c r="H426" s="153" t="s">
        <v>2037</v>
      </c>
      <c r="I426" s="153" t="s">
        <v>2802</v>
      </c>
    </row>
    <row r="427" spans="8:9" x14ac:dyDescent="0.3">
      <c r="H427" s="153" t="s">
        <v>2041</v>
      </c>
      <c r="I427" s="153" t="s">
        <v>2802</v>
      </c>
    </row>
    <row r="428" spans="8:9" x14ac:dyDescent="0.3">
      <c r="H428" s="153" t="s">
        <v>2039</v>
      </c>
      <c r="I428" s="153" t="s">
        <v>2802</v>
      </c>
    </row>
    <row r="429" spans="8:9" x14ac:dyDescent="0.3">
      <c r="H429" s="153" t="s">
        <v>2037</v>
      </c>
      <c r="I429" s="153" t="s">
        <v>2802</v>
      </c>
    </row>
    <row r="430" spans="8:9" x14ac:dyDescent="0.3">
      <c r="H430" s="153" t="s">
        <v>2037</v>
      </c>
      <c r="I430" s="153" t="s">
        <v>2802</v>
      </c>
    </row>
    <row r="431" spans="8:9" x14ac:dyDescent="0.3">
      <c r="H431" s="153" t="s">
        <v>2037</v>
      </c>
      <c r="I431" s="153" t="s">
        <v>2802</v>
      </c>
    </row>
    <row r="432" spans="8:9" x14ac:dyDescent="0.3">
      <c r="H432" s="153" t="s">
        <v>2028</v>
      </c>
      <c r="I432" s="153" t="s">
        <v>2023</v>
      </c>
    </row>
    <row r="433" spans="8:9" x14ac:dyDescent="0.3">
      <c r="H433" s="153" t="s">
        <v>2058</v>
      </c>
      <c r="I433" s="153" t="s">
        <v>2802</v>
      </c>
    </row>
    <row r="434" spans="8:9" x14ac:dyDescent="0.3">
      <c r="H434" s="153" t="s">
        <v>2032</v>
      </c>
      <c r="I434" s="153" t="s">
        <v>2802</v>
      </c>
    </row>
    <row r="435" spans="8:9" x14ac:dyDescent="0.3">
      <c r="H435" s="153" t="s">
        <v>2039</v>
      </c>
      <c r="I435" s="153" t="s">
        <v>2802</v>
      </c>
    </row>
    <row r="436" spans="8:9" x14ac:dyDescent="0.3">
      <c r="H436" s="153" t="s">
        <v>2037</v>
      </c>
      <c r="I436" s="153" t="s">
        <v>2802</v>
      </c>
    </row>
    <row r="437" spans="8:9" x14ac:dyDescent="0.3">
      <c r="H437" s="153" t="s">
        <v>2059</v>
      </c>
      <c r="I437" s="153" t="s">
        <v>2024</v>
      </c>
    </row>
    <row r="438" spans="8:9" x14ac:dyDescent="0.3">
      <c r="H438" s="153" t="s">
        <v>2039</v>
      </c>
      <c r="I438" s="153" t="s">
        <v>2802</v>
      </c>
    </row>
    <row r="439" spans="8:9" x14ac:dyDescent="0.3">
      <c r="H439" s="153" t="s">
        <v>2039</v>
      </c>
      <c r="I439" s="153" t="s">
        <v>2802</v>
      </c>
    </row>
    <row r="440" spans="8:9" x14ac:dyDescent="0.3">
      <c r="H440" s="153" t="s">
        <v>2045</v>
      </c>
      <c r="I440" s="153" t="s">
        <v>2802</v>
      </c>
    </row>
    <row r="441" spans="8:9" x14ac:dyDescent="0.3">
      <c r="H441" s="153" t="s">
        <v>2045</v>
      </c>
      <c r="I441" s="153" t="s">
        <v>2802</v>
      </c>
    </row>
    <row r="442" spans="8:9" x14ac:dyDescent="0.3">
      <c r="H442" s="153" t="s">
        <v>2058</v>
      </c>
      <c r="I442" s="153" t="s">
        <v>2802</v>
      </c>
    </row>
    <row r="443" spans="8:9" x14ac:dyDescent="0.3">
      <c r="H443" s="153" t="s">
        <v>2037</v>
      </c>
      <c r="I443" s="153" t="s">
        <v>2802</v>
      </c>
    </row>
    <row r="444" spans="8:9" x14ac:dyDescent="0.3">
      <c r="H444" s="153" t="s">
        <v>2037</v>
      </c>
      <c r="I444" s="153" t="s">
        <v>2802</v>
      </c>
    </row>
    <row r="445" spans="8:9" x14ac:dyDescent="0.3">
      <c r="H445" s="153" t="s">
        <v>2058</v>
      </c>
      <c r="I445" s="153" t="s">
        <v>2802</v>
      </c>
    </row>
    <row r="446" spans="8:9" x14ac:dyDescent="0.3">
      <c r="H446" s="153" t="s">
        <v>2059</v>
      </c>
      <c r="I446" s="153" t="s">
        <v>2024</v>
      </c>
    </row>
    <row r="447" spans="8:9" x14ac:dyDescent="0.3">
      <c r="H447" s="153" t="s">
        <v>2058</v>
      </c>
      <c r="I447" s="153" t="s">
        <v>2802</v>
      </c>
    </row>
    <row r="448" spans="8:9" x14ac:dyDescent="0.3">
      <c r="H448" s="153" t="s">
        <v>2028</v>
      </c>
      <c r="I448" s="153" t="s">
        <v>2023</v>
      </c>
    </row>
    <row r="449" spans="8:9" x14ac:dyDescent="0.3">
      <c r="H449" s="153" t="s">
        <v>2058</v>
      </c>
      <c r="I449" s="153" t="s">
        <v>2802</v>
      </c>
    </row>
    <row r="450" spans="8:9" x14ac:dyDescent="0.3">
      <c r="H450" s="153" t="s">
        <v>2058</v>
      </c>
      <c r="I450" s="153" t="s">
        <v>2802</v>
      </c>
    </row>
    <row r="451" spans="8:9" x14ac:dyDescent="0.3">
      <c r="H451" s="153" t="s">
        <v>2058</v>
      </c>
      <c r="I451" s="153" t="s">
        <v>2802</v>
      </c>
    </row>
    <row r="452" spans="8:9" x14ac:dyDescent="0.3">
      <c r="H452" s="153" t="s">
        <v>2062</v>
      </c>
      <c r="I452" s="153" t="s">
        <v>2023</v>
      </c>
    </row>
    <row r="453" spans="8:9" x14ac:dyDescent="0.3">
      <c r="H453" s="153" t="s">
        <v>2060</v>
      </c>
      <c r="I453" s="153" t="s">
        <v>2023</v>
      </c>
    </row>
    <row r="454" spans="8:9" x14ac:dyDescent="0.3">
      <c r="H454" s="153" t="s">
        <v>2028</v>
      </c>
      <c r="I454" s="153" t="s">
        <v>2023</v>
      </c>
    </row>
    <row r="455" spans="8:9" x14ac:dyDescent="0.3">
      <c r="H455" s="153" t="s">
        <v>2068</v>
      </c>
      <c r="I455" s="153" t="s">
        <v>2024</v>
      </c>
    </row>
    <row r="456" spans="8:9" x14ac:dyDescent="0.3">
      <c r="H456" s="153" t="s">
        <v>2068</v>
      </c>
      <c r="I456" s="153" t="s">
        <v>2024</v>
      </c>
    </row>
    <row r="457" spans="8:9" x14ac:dyDescent="0.3">
      <c r="H457" s="153" t="s">
        <v>2068</v>
      </c>
      <c r="I457" s="153" t="s">
        <v>2024</v>
      </c>
    </row>
    <row r="458" spans="8:9" x14ac:dyDescent="0.3">
      <c r="H458" s="153" t="s">
        <v>2068</v>
      </c>
      <c r="I458" s="153" t="s">
        <v>2024</v>
      </c>
    </row>
    <row r="459" spans="8:9" x14ac:dyDescent="0.3">
      <c r="H459" s="153" t="s">
        <v>2068</v>
      </c>
      <c r="I459" s="153" t="s">
        <v>2024</v>
      </c>
    </row>
    <row r="460" spans="8:9" x14ac:dyDescent="0.3">
      <c r="H460" s="153" t="s">
        <v>2068</v>
      </c>
      <c r="I460" s="153" t="s">
        <v>2024</v>
      </c>
    </row>
    <row r="461" spans="8:9" x14ac:dyDescent="0.3">
      <c r="H461" s="153" t="s">
        <v>2068</v>
      </c>
      <c r="I461" s="153" t="s">
        <v>2024</v>
      </c>
    </row>
    <row r="462" spans="8:9" x14ac:dyDescent="0.3">
      <c r="H462" s="153" t="s">
        <v>2068</v>
      </c>
      <c r="I462" s="153" t="s">
        <v>2024</v>
      </c>
    </row>
    <row r="463" spans="8:9" x14ac:dyDescent="0.3">
      <c r="H463" s="153" t="s">
        <v>2068</v>
      </c>
      <c r="I463" s="153" t="s">
        <v>2024</v>
      </c>
    </row>
    <row r="464" spans="8:9" x14ac:dyDescent="0.3">
      <c r="H464" s="153" t="s">
        <v>2068</v>
      </c>
      <c r="I464" s="153" t="s">
        <v>2024</v>
      </c>
    </row>
    <row r="465" spans="8:9" x14ac:dyDescent="0.3">
      <c r="H465" s="153" t="s">
        <v>2062</v>
      </c>
      <c r="I465" s="153" t="s">
        <v>2023</v>
      </c>
    </row>
    <row r="466" spans="8:9" x14ac:dyDescent="0.3">
      <c r="H466" s="153" t="s">
        <v>2060</v>
      </c>
      <c r="I466" s="153" t="s">
        <v>2023</v>
      </c>
    </row>
    <row r="467" spans="8:9" x14ac:dyDescent="0.3">
      <c r="H467" s="153" t="s">
        <v>2028</v>
      </c>
      <c r="I467" s="153" t="s">
        <v>2023</v>
      </c>
    </row>
    <row r="468" spans="8:9" x14ac:dyDescent="0.3">
      <c r="H468" s="153" t="s">
        <v>2037</v>
      </c>
      <c r="I468" s="153" t="s">
        <v>2802</v>
      </c>
    </row>
    <row r="469" spans="8:9" x14ac:dyDescent="0.3">
      <c r="H469" s="153" t="s">
        <v>2041</v>
      </c>
      <c r="I469" s="153" t="s">
        <v>2802</v>
      </c>
    </row>
    <row r="470" spans="8:9" x14ac:dyDescent="0.3">
      <c r="H470" s="153" t="s">
        <v>2041</v>
      </c>
      <c r="I470" s="153" t="s">
        <v>2802</v>
      </c>
    </row>
    <row r="471" spans="8:9" x14ac:dyDescent="0.3">
      <c r="H471" s="153" t="s">
        <v>2041</v>
      </c>
      <c r="I471" s="153" t="s">
        <v>2802</v>
      </c>
    </row>
    <row r="472" spans="8:9" x14ac:dyDescent="0.3">
      <c r="H472" s="153" t="s">
        <v>2041</v>
      </c>
      <c r="I472" s="153" t="s">
        <v>2802</v>
      </c>
    </row>
    <row r="473" spans="8:9" x14ac:dyDescent="0.3">
      <c r="H473" s="153" t="s">
        <v>2028</v>
      </c>
      <c r="I473" s="153" t="s">
        <v>2023</v>
      </c>
    </row>
    <row r="474" spans="8:9" x14ac:dyDescent="0.3">
      <c r="H474" s="153" t="s">
        <v>2037</v>
      </c>
      <c r="I474" s="153" t="s">
        <v>2802</v>
      </c>
    </row>
    <row r="475" spans="8:9" x14ac:dyDescent="0.3">
      <c r="H475" s="153" t="s">
        <v>2028</v>
      </c>
      <c r="I475" s="153" t="s">
        <v>2023</v>
      </c>
    </row>
    <row r="476" spans="8:9" x14ac:dyDescent="0.3">
      <c r="H476" s="153" t="s">
        <v>2041</v>
      </c>
      <c r="I476" s="153" t="s">
        <v>2802</v>
      </c>
    </row>
    <row r="477" spans="8:9" x14ac:dyDescent="0.3">
      <c r="H477" s="153" t="s">
        <v>2063</v>
      </c>
      <c r="I477" s="153" t="s">
        <v>2802</v>
      </c>
    </row>
    <row r="478" spans="8:9" x14ac:dyDescent="0.3">
      <c r="H478" s="153" t="s">
        <v>2063</v>
      </c>
      <c r="I478" s="153" t="s">
        <v>2802</v>
      </c>
    </row>
    <row r="479" spans="8:9" x14ac:dyDescent="0.3">
      <c r="H479" s="153" t="s">
        <v>2062</v>
      </c>
      <c r="I479" s="153" t="s">
        <v>2023</v>
      </c>
    </row>
    <row r="480" spans="8:9" x14ac:dyDescent="0.3">
      <c r="H480" s="153" t="s">
        <v>2028</v>
      </c>
      <c r="I480" s="153" t="s">
        <v>2023</v>
      </c>
    </row>
    <row r="481" spans="8:9" x14ac:dyDescent="0.3">
      <c r="H481" s="153" t="s">
        <v>2047</v>
      </c>
      <c r="I481" s="153" t="s">
        <v>2802</v>
      </c>
    </row>
    <row r="482" spans="8:9" x14ac:dyDescent="0.3">
      <c r="H482" s="153" t="s">
        <v>2058</v>
      </c>
      <c r="I482" s="153" t="s">
        <v>2802</v>
      </c>
    </row>
    <row r="483" spans="8:9" x14ac:dyDescent="0.3">
      <c r="H483" s="153" t="s">
        <v>2037</v>
      </c>
      <c r="I483" s="153" t="s">
        <v>2802</v>
      </c>
    </row>
    <row r="484" spans="8:9" x14ac:dyDescent="0.3">
      <c r="H484" s="153" t="s">
        <v>2032</v>
      </c>
      <c r="I484" s="153" t="s">
        <v>2802</v>
      </c>
    </row>
    <row r="485" spans="8:9" x14ac:dyDescent="0.3">
      <c r="H485" s="153" t="s">
        <v>2032</v>
      </c>
      <c r="I485" s="153" t="s">
        <v>2802</v>
      </c>
    </row>
    <row r="486" spans="8:9" x14ac:dyDescent="0.3">
      <c r="H486" s="153" t="s">
        <v>2041</v>
      </c>
      <c r="I486" s="153" t="s">
        <v>2802</v>
      </c>
    </row>
    <row r="487" spans="8:9" x14ac:dyDescent="0.3">
      <c r="H487" s="153" t="s">
        <v>2037</v>
      </c>
      <c r="I487" s="153" t="s">
        <v>2802</v>
      </c>
    </row>
    <row r="488" spans="8:9" x14ac:dyDescent="0.3">
      <c r="H488" s="153" t="s">
        <v>2068</v>
      </c>
      <c r="I488" s="153" t="s">
        <v>2024</v>
      </c>
    </row>
    <row r="489" spans="8:9" x14ac:dyDescent="0.3">
      <c r="H489" s="153" t="s">
        <v>2068</v>
      </c>
      <c r="I489" s="153" t="s">
        <v>2024</v>
      </c>
    </row>
    <row r="490" spans="8:9" x14ac:dyDescent="0.3">
      <c r="H490" s="153" t="s">
        <v>2068</v>
      </c>
      <c r="I490" s="153" t="s">
        <v>2024</v>
      </c>
    </row>
    <row r="491" spans="8:9" x14ac:dyDescent="0.3">
      <c r="H491" s="153" t="s">
        <v>2068</v>
      </c>
      <c r="I491" s="153" t="s">
        <v>2024</v>
      </c>
    </row>
    <row r="492" spans="8:9" x14ac:dyDescent="0.3">
      <c r="H492" s="153" t="s">
        <v>2068</v>
      </c>
      <c r="I492" s="153" t="s">
        <v>2024</v>
      </c>
    </row>
    <row r="493" spans="8:9" x14ac:dyDescent="0.3">
      <c r="H493" s="153" t="s">
        <v>2068</v>
      </c>
      <c r="I493" s="153" t="s">
        <v>2024</v>
      </c>
    </row>
    <row r="494" spans="8:9" x14ac:dyDescent="0.3">
      <c r="H494" s="153" t="s">
        <v>2068</v>
      </c>
      <c r="I494" s="153" t="s">
        <v>2024</v>
      </c>
    </row>
    <row r="495" spans="8:9" x14ac:dyDescent="0.3">
      <c r="H495" s="153" t="s">
        <v>2068</v>
      </c>
      <c r="I495" s="153" t="s">
        <v>2024</v>
      </c>
    </row>
    <row r="496" spans="8:9" x14ac:dyDescent="0.3">
      <c r="H496" s="153" t="s">
        <v>2068</v>
      </c>
      <c r="I496" s="153" t="s">
        <v>2024</v>
      </c>
    </row>
    <row r="497" spans="8:9" x14ac:dyDescent="0.3">
      <c r="H497" s="153" t="s">
        <v>2068</v>
      </c>
      <c r="I497" s="153" t="s">
        <v>2024</v>
      </c>
    </row>
    <row r="498" spans="8:9" x14ac:dyDescent="0.3">
      <c r="H498" s="153" t="s">
        <v>2068</v>
      </c>
      <c r="I498" s="153" t="s">
        <v>2024</v>
      </c>
    </row>
    <row r="499" spans="8:9" x14ac:dyDescent="0.3">
      <c r="H499" s="153" t="s">
        <v>2068</v>
      </c>
      <c r="I499" s="153" t="s">
        <v>2024</v>
      </c>
    </row>
    <row r="500" spans="8:9" x14ac:dyDescent="0.3">
      <c r="H500" s="153" t="s">
        <v>2060</v>
      </c>
      <c r="I500" s="153" t="s">
        <v>2023</v>
      </c>
    </row>
    <row r="501" spans="8:9" x14ac:dyDescent="0.3">
      <c r="H501" s="153" t="s">
        <v>2055</v>
      </c>
      <c r="I501" s="153" t="s">
        <v>2802</v>
      </c>
    </row>
    <row r="502" spans="8:9" x14ac:dyDescent="0.3">
      <c r="H502" s="153" t="s">
        <v>2037</v>
      </c>
      <c r="I502" s="153" t="s">
        <v>2802</v>
      </c>
    </row>
    <row r="503" spans="8:9" x14ac:dyDescent="0.3">
      <c r="H503" s="153" t="s">
        <v>2037</v>
      </c>
      <c r="I503" s="153" t="s">
        <v>2802</v>
      </c>
    </row>
    <row r="504" spans="8:9" x14ac:dyDescent="0.3">
      <c r="H504" s="153" t="s">
        <v>2037</v>
      </c>
      <c r="I504" s="153" t="s">
        <v>2802</v>
      </c>
    </row>
    <row r="505" spans="8:9" x14ac:dyDescent="0.3">
      <c r="H505" s="153" t="s">
        <v>2037</v>
      </c>
      <c r="I505" s="153" t="s">
        <v>2802</v>
      </c>
    </row>
    <row r="506" spans="8:9" x14ac:dyDescent="0.3">
      <c r="H506" s="153" t="s">
        <v>2037</v>
      </c>
      <c r="I506" s="153" t="s">
        <v>2802</v>
      </c>
    </row>
    <row r="507" spans="8:9" x14ac:dyDescent="0.3">
      <c r="H507" s="153" t="s">
        <v>2037</v>
      </c>
      <c r="I507" s="153" t="s">
        <v>2802</v>
      </c>
    </row>
    <row r="508" spans="8:9" x14ac:dyDescent="0.3">
      <c r="H508" s="153" t="s">
        <v>2037</v>
      </c>
      <c r="I508" s="153" t="s">
        <v>2802</v>
      </c>
    </row>
    <row r="509" spans="8:9" x14ac:dyDescent="0.3">
      <c r="H509" s="153" t="s">
        <v>2037</v>
      </c>
      <c r="I509" s="153" t="s">
        <v>2802</v>
      </c>
    </row>
    <row r="510" spans="8:9" x14ac:dyDescent="0.3">
      <c r="H510" s="153" t="s">
        <v>2041</v>
      </c>
      <c r="I510" s="153" t="s">
        <v>2802</v>
      </c>
    </row>
    <row r="511" spans="8:9" x14ac:dyDescent="0.3">
      <c r="H511" s="153" t="s">
        <v>2041</v>
      </c>
      <c r="I511" s="153" t="s">
        <v>2802</v>
      </c>
    </row>
    <row r="512" spans="8:9" x14ac:dyDescent="0.3">
      <c r="H512" s="153" t="s">
        <v>2058</v>
      </c>
      <c r="I512" s="153" t="s">
        <v>2802</v>
      </c>
    </row>
    <row r="513" spans="8:9" x14ac:dyDescent="0.3">
      <c r="H513" s="153" t="s">
        <v>2058</v>
      </c>
      <c r="I513" s="153" t="s">
        <v>2802</v>
      </c>
    </row>
    <row r="514" spans="8:9" x14ac:dyDescent="0.3">
      <c r="H514" s="153" t="s">
        <v>2037</v>
      </c>
      <c r="I514" s="153" t="s">
        <v>2802</v>
      </c>
    </row>
    <row r="515" spans="8:9" x14ac:dyDescent="0.3">
      <c r="H515" s="153" t="s">
        <v>2039</v>
      </c>
      <c r="I515" s="153" t="s">
        <v>2802</v>
      </c>
    </row>
    <row r="516" spans="8:9" x14ac:dyDescent="0.3">
      <c r="H516" s="153" t="s">
        <v>2054</v>
      </c>
      <c r="I516" s="153" t="s">
        <v>2802</v>
      </c>
    </row>
    <row r="517" spans="8:9" x14ac:dyDescent="0.3">
      <c r="H517" s="153" t="s">
        <v>2037</v>
      </c>
      <c r="I517" s="153" t="s">
        <v>2802</v>
      </c>
    </row>
    <row r="518" spans="8:9" x14ac:dyDescent="0.3">
      <c r="H518" s="153" t="s">
        <v>2041</v>
      </c>
      <c r="I518" s="153" t="s">
        <v>2802</v>
      </c>
    </row>
    <row r="519" spans="8:9" x14ac:dyDescent="0.3">
      <c r="H519" s="153" t="s">
        <v>2043</v>
      </c>
      <c r="I519" s="153" t="s">
        <v>2802</v>
      </c>
    </row>
    <row r="520" spans="8:9" x14ac:dyDescent="0.3">
      <c r="H520" s="153" t="s">
        <v>2060</v>
      </c>
      <c r="I520" s="153" t="s">
        <v>2023</v>
      </c>
    </row>
    <row r="521" spans="8:9" x14ac:dyDescent="0.3">
      <c r="H521" s="153" t="s">
        <v>2039</v>
      </c>
      <c r="I521" s="153" t="s">
        <v>2802</v>
      </c>
    </row>
    <row r="522" spans="8:9" x14ac:dyDescent="0.3">
      <c r="H522" s="153" t="s">
        <v>2037</v>
      </c>
      <c r="I522" s="153" t="s">
        <v>2802</v>
      </c>
    </row>
    <row r="523" spans="8:9" x14ac:dyDescent="0.3">
      <c r="H523" s="153" t="s">
        <v>2028</v>
      </c>
      <c r="I523" s="153" t="s">
        <v>2023</v>
      </c>
    </row>
    <row r="524" spans="8:9" x14ac:dyDescent="0.3">
      <c r="H524" s="153" t="s">
        <v>2037</v>
      </c>
      <c r="I524" s="153" t="s">
        <v>2802</v>
      </c>
    </row>
    <row r="525" spans="8:9" x14ac:dyDescent="0.3">
      <c r="H525" s="153" t="s">
        <v>2032</v>
      </c>
      <c r="I525" s="153" t="s">
        <v>2802</v>
      </c>
    </row>
    <row r="526" spans="8:9" x14ac:dyDescent="0.3">
      <c r="H526" s="153" t="s">
        <v>2032</v>
      </c>
      <c r="I526" s="153" t="s">
        <v>2802</v>
      </c>
    </row>
    <row r="527" spans="8:9" x14ac:dyDescent="0.3">
      <c r="H527" s="153" t="s">
        <v>2032</v>
      </c>
      <c r="I527" s="153" t="s">
        <v>2802</v>
      </c>
    </row>
    <row r="528" spans="8:9" x14ac:dyDescent="0.3">
      <c r="H528" s="153" t="s">
        <v>2032</v>
      </c>
      <c r="I528" s="153" t="s">
        <v>2802</v>
      </c>
    </row>
    <row r="529" spans="8:9" x14ac:dyDescent="0.3">
      <c r="H529" s="153" t="s">
        <v>2032</v>
      </c>
      <c r="I529" s="153" t="s">
        <v>2802</v>
      </c>
    </row>
    <row r="530" spans="8:9" x14ac:dyDescent="0.3">
      <c r="H530" s="153" t="s">
        <v>2032</v>
      </c>
      <c r="I530" s="153" t="s">
        <v>2802</v>
      </c>
    </row>
    <row r="531" spans="8:9" x14ac:dyDescent="0.3">
      <c r="H531" s="153" t="s">
        <v>2032</v>
      </c>
      <c r="I531" s="153" t="s">
        <v>2802</v>
      </c>
    </row>
    <row r="532" spans="8:9" x14ac:dyDescent="0.3">
      <c r="H532" s="153" t="s">
        <v>2032</v>
      </c>
      <c r="I532" s="153" t="s">
        <v>2802</v>
      </c>
    </row>
    <row r="533" spans="8:9" x14ac:dyDescent="0.3">
      <c r="H533" s="153" t="s">
        <v>2032</v>
      </c>
      <c r="I533" s="153" t="s">
        <v>2802</v>
      </c>
    </row>
    <row r="534" spans="8:9" x14ac:dyDescent="0.3">
      <c r="H534" s="153" t="s">
        <v>2032</v>
      </c>
      <c r="I534" s="153" t="s">
        <v>2802</v>
      </c>
    </row>
    <row r="535" spans="8:9" x14ac:dyDescent="0.3">
      <c r="H535" s="153" t="s">
        <v>2032</v>
      </c>
      <c r="I535" s="153" t="s">
        <v>2802</v>
      </c>
    </row>
    <row r="536" spans="8:9" x14ac:dyDescent="0.3">
      <c r="H536" s="153" t="s">
        <v>2032</v>
      </c>
      <c r="I536" s="153" t="s">
        <v>2802</v>
      </c>
    </row>
    <row r="537" spans="8:9" x14ac:dyDescent="0.3">
      <c r="H537" s="153" t="s">
        <v>2032</v>
      </c>
      <c r="I537" s="153" t="s">
        <v>2802</v>
      </c>
    </row>
    <row r="538" spans="8:9" x14ac:dyDescent="0.3">
      <c r="H538" s="153" t="s">
        <v>2032</v>
      </c>
      <c r="I538" s="153" t="s">
        <v>2802</v>
      </c>
    </row>
    <row r="539" spans="8:9" x14ac:dyDescent="0.3">
      <c r="H539" s="153" t="s">
        <v>2032</v>
      </c>
      <c r="I539" s="153" t="s">
        <v>2802</v>
      </c>
    </row>
    <row r="540" spans="8:9" x14ac:dyDescent="0.3">
      <c r="H540" s="153" t="s">
        <v>2032</v>
      </c>
      <c r="I540" s="153" t="s">
        <v>2802</v>
      </c>
    </row>
    <row r="541" spans="8:9" x14ac:dyDescent="0.3">
      <c r="H541" s="153" t="s">
        <v>2032</v>
      </c>
      <c r="I541" s="153" t="s">
        <v>2802</v>
      </c>
    </row>
    <row r="542" spans="8:9" x14ac:dyDescent="0.3">
      <c r="H542" s="153" t="s">
        <v>2032</v>
      </c>
      <c r="I542" s="153" t="s">
        <v>2802</v>
      </c>
    </row>
    <row r="543" spans="8:9" x14ac:dyDescent="0.3">
      <c r="H543" s="153" t="s">
        <v>2032</v>
      </c>
      <c r="I543" s="153" t="s">
        <v>2802</v>
      </c>
    </row>
    <row r="544" spans="8:9" x14ac:dyDescent="0.3">
      <c r="H544" s="153" t="s">
        <v>2032</v>
      </c>
      <c r="I544" s="153" t="s">
        <v>2802</v>
      </c>
    </row>
    <row r="545" spans="8:9" x14ac:dyDescent="0.3">
      <c r="H545" s="153" t="s">
        <v>2032</v>
      </c>
      <c r="I545" s="153" t="s">
        <v>2802</v>
      </c>
    </row>
    <row r="546" spans="8:9" x14ac:dyDescent="0.3">
      <c r="H546" s="153" t="s">
        <v>2032</v>
      </c>
      <c r="I546" s="153" t="s">
        <v>2802</v>
      </c>
    </row>
    <row r="547" spans="8:9" x14ac:dyDescent="0.3">
      <c r="H547" s="153" t="s">
        <v>2032</v>
      </c>
      <c r="I547" s="153" t="s">
        <v>2802</v>
      </c>
    </row>
    <row r="548" spans="8:9" x14ac:dyDescent="0.3">
      <c r="H548" s="153" t="s">
        <v>2032</v>
      </c>
      <c r="I548" s="153" t="s">
        <v>2802</v>
      </c>
    </row>
    <row r="549" spans="8:9" x14ac:dyDescent="0.3">
      <c r="H549" s="153" t="s">
        <v>2032</v>
      </c>
      <c r="I549" s="153" t="s">
        <v>2802</v>
      </c>
    </row>
    <row r="550" spans="8:9" x14ac:dyDescent="0.3">
      <c r="H550" s="153" t="s">
        <v>2032</v>
      </c>
      <c r="I550" s="153" t="s">
        <v>2802</v>
      </c>
    </row>
    <row r="551" spans="8:9" x14ac:dyDescent="0.3">
      <c r="H551" s="153" t="s">
        <v>2032</v>
      </c>
      <c r="I551" s="153" t="s">
        <v>2802</v>
      </c>
    </row>
    <row r="552" spans="8:9" x14ac:dyDescent="0.3">
      <c r="H552" s="153" t="s">
        <v>2032</v>
      </c>
      <c r="I552" s="153" t="s">
        <v>2802</v>
      </c>
    </row>
    <row r="553" spans="8:9" x14ac:dyDescent="0.3">
      <c r="H553" s="153" t="s">
        <v>2032</v>
      </c>
      <c r="I553" s="153" t="s">
        <v>2802</v>
      </c>
    </row>
    <row r="554" spans="8:9" x14ac:dyDescent="0.3">
      <c r="H554" s="153" t="s">
        <v>2032</v>
      </c>
      <c r="I554" s="153" t="s">
        <v>2802</v>
      </c>
    </row>
    <row r="555" spans="8:9" x14ac:dyDescent="0.3">
      <c r="H555" s="153" t="s">
        <v>2032</v>
      </c>
      <c r="I555" s="153" t="s">
        <v>2802</v>
      </c>
    </row>
    <row r="556" spans="8:9" x14ac:dyDescent="0.3">
      <c r="H556" s="153" t="s">
        <v>2032</v>
      </c>
      <c r="I556" s="153" t="s">
        <v>2802</v>
      </c>
    </row>
    <row r="557" spans="8:9" x14ac:dyDescent="0.3">
      <c r="H557" s="153" t="s">
        <v>2032</v>
      </c>
      <c r="I557" s="153" t="s">
        <v>2802</v>
      </c>
    </row>
    <row r="558" spans="8:9" x14ac:dyDescent="0.3">
      <c r="H558" s="153" t="s">
        <v>2032</v>
      </c>
      <c r="I558" s="153" t="s">
        <v>2802</v>
      </c>
    </row>
    <row r="559" spans="8:9" x14ac:dyDescent="0.3">
      <c r="H559" s="153" t="s">
        <v>2032</v>
      </c>
      <c r="I559" s="153" t="s">
        <v>2802</v>
      </c>
    </row>
    <row r="560" spans="8:9" x14ac:dyDescent="0.3">
      <c r="H560" s="153" t="s">
        <v>2032</v>
      </c>
      <c r="I560" s="153" t="s">
        <v>2802</v>
      </c>
    </row>
    <row r="561" spans="8:9" x14ac:dyDescent="0.3">
      <c r="H561" s="153" t="s">
        <v>2032</v>
      </c>
      <c r="I561" s="153" t="s">
        <v>2802</v>
      </c>
    </row>
    <row r="562" spans="8:9" x14ac:dyDescent="0.3">
      <c r="H562" s="153" t="s">
        <v>2032</v>
      </c>
      <c r="I562" s="153" t="s">
        <v>2802</v>
      </c>
    </row>
    <row r="563" spans="8:9" x14ac:dyDescent="0.3">
      <c r="H563" s="153" t="s">
        <v>2032</v>
      </c>
      <c r="I563" s="153" t="s">
        <v>2802</v>
      </c>
    </row>
    <row r="564" spans="8:9" x14ac:dyDescent="0.3">
      <c r="H564" s="153" t="s">
        <v>2032</v>
      </c>
      <c r="I564" s="153" t="s">
        <v>2802</v>
      </c>
    </row>
    <row r="565" spans="8:9" x14ac:dyDescent="0.3">
      <c r="H565" s="153" t="s">
        <v>2043</v>
      </c>
      <c r="I565" s="153" t="s">
        <v>2802</v>
      </c>
    </row>
    <row r="566" spans="8:9" x14ac:dyDescent="0.3">
      <c r="H566" s="153" t="s">
        <v>2060</v>
      </c>
      <c r="I566" s="153" t="s">
        <v>2023</v>
      </c>
    </row>
    <row r="567" spans="8:9" x14ac:dyDescent="0.3">
      <c r="H567" s="153" t="s">
        <v>2063</v>
      </c>
      <c r="I567" s="153" t="s">
        <v>2802</v>
      </c>
    </row>
    <row r="568" spans="8:9" x14ac:dyDescent="0.3">
      <c r="H568" s="153" t="s">
        <v>2039</v>
      </c>
      <c r="I568" s="153" t="s">
        <v>2802</v>
      </c>
    </row>
    <row r="569" spans="8:9" x14ac:dyDescent="0.3">
      <c r="H569" s="153" t="s">
        <v>2039</v>
      </c>
      <c r="I569" s="153" t="s">
        <v>2802</v>
      </c>
    </row>
    <row r="570" spans="8:9" x14ac:dyDescent="0.3">
      <c r="H570" s="153" t="s">
        <v>2039</v>
      </c>
      <c r="I570" s="153" t="s">
        <v>2802</v>
      </c>
    </row>
    <row r="571" spans="8:9" x14ac:dyDescent="0.3">
      <c r="H571" s="153" t="s">
        <v>2036</v>
      </c>
      <c r="I571" s="153" t="s">
        <v>2024</v>
      </c>
    </row>
    <row r="572" spans="8:9" x14ac:dyDescent="0.3">
      <c r="H572" s="153" t="s">
        <v>2036</v>
      </c>
      <c r="I572" s="153" t="s">
        <v>2024</v>
      </c>
    </row>
    <row r="573" spans="8:9" x14ac:dyDescent="0.3">
      <c r="H573" s="153" t="s">
        <v>2036</v>
      </c>
      <c r="I573" s="153" t="s">
        <v>2024</v>
      </c>
    </row>
    <row r="574" spans="8:9" x14ac:dyDescent="0.3">
      <c r="H574" s="153" t="s">
        <v>2036</v>
      </c>
      <c r="I574" s="153" t="s">
        <v>2024</v>
      </c>
    </row>
    <row r="575" spans="8:9" x14ac:dyDescent="0.3">
      <c r="H575" s="153" t="s">
        <v>2036</v>
      </c>
      <c r="I575" s="153" t="s">
        <v>2024</v>
      </c>
    </row>
    <row r="576" spans="8:9" x14ac:dyDescent="0.3">
      <c r="H576" s="153" t="s">
        <v>2036</v>
      </c>
      <c r="I576" s="153" t="s">
        <v>2024</v>
      </c>
    </row>
    <row r="577" spans="8:9" x14ac:dyDescent="0.3">
      <c r="H577" s="153" t="s">
        <v>2036</v>
      </c>
      <c r="I577" s="153" t="s">
        <v>2024</v>
      </c>
    </row>
    <row r="578" spans="8:9" x14ac:dyDescent="0.3">
      <c r="H578" s="153" t="s">
        <v>2036</v>
      </c>
      <c r="I578" s="153" t="s">
        <v>2024</v>
      </c>
    </row>
    <row r="579" spans="8:9" x14ac:dyDescent="0.3">
      <c r="H579" s="153" t="s">
        <v>2036</v>
      </c>
      <c r="I579" s="153" t="s">
        <v>2024</v>
      </c>
    </row>
    <row r="580" spans="8:9" x14ac:dyDescent="0.3">
      <c r="H580" s="153" t="s">
        <v>2036</v>
      </c>
      <c r="I580" s="153" t="s">
        <v>2024</v>
      </c>
    </row>
    <row r="581" spans="8:9" x14ac:dyDescent="0.3">
      <c r="H581" s="153" t="s">
        <v>2055</v>
      </c>
      <c r="I581" s="153" t="s">
        <v>2802</v>
      </c>
    </row>
    <row r="582" spans="8:9" x14ac:dyDescent="0.3">
      <c r="H582" s="153" t="s">
        <v>2032</v>
      </c>
      <c r="I582" s="153" t="s">
        <v>2802</v>
      </c>
    </row>
    <row r="583" spans="8:9" x14ac:dyDescent="0.3">
      <c r="H583" s="153" t="s">
        <v>2032</v>
      </c>
      <c r="I583" s="153" t="s">
        <v>2802</v>
      </c>
    </row>
    <row r="584" spans="8:9" x14ac:dyDescent="0.3">
      <c r="H584" s="153" t="s">
        <v>2039</v>
      </c>
      <c r="I584" s="153" t="s">
        <v>2802</v>
      </c>
    </row>
    <row r="585" spans="8:9" x14ac:dyDescent="0.3">
      <c r="H585" s="153" t="s">
        <v>2039</v>
      </c>
      <c r="I585" s="153" t="s">
        <v>2802</v>
      </c>
    </row>
    <row r="586" spans="8:9" x14ac:dyDescent="0.3">
      <c r="H586" s="153" t="s">
        <v>2039</v>
      </c>
      <c r="I586" s="153" t="s">
        <v>2802</v>
      </c>
    </row>
    <row r="587" spans="8:9" x14ac:dyDescent="0.3">
      <c r="H587" s="153" t="s">
        <v>2035</v>
      </c>
      <c r="I587" s="153" t="s">
        <v>2802</v>
      </c>
    </row>
    <row r="588" spans="8:9" x14ac:dyDescent="0.3">
      <c r="H588" s="153" t="s">
        <v>2035</v>
      </c>
      <c r="I588" s="153" t="s">
        <v>2802</v>
      </c>
    </row>
    <row r="589" spans="8:9" x14ac:dyDescent="0.3">
      <c r="H589" s="153" t="s">
        <v>2028</v>
      </c>
      <c r="I589" s="153" t="s">
        <v>2023</v>
      </c>
    </row>
    <row r="590" spans="8:9" x14ac:dyDescent="0.3">
      <c r="H590" s="153" t="s">
        <v>2036</v>
      </c>
      <c r="I590" s="153" t="s">
        <v>2024</v>
      </c>
    </row>
    <row r="591" spans="8:9" x14ac:dyDescent="0.3">
      <c r="H591" s="153" t="s">
        <v>2036</v>
      </c>
      <c r="I591" s="153" t="s">
        <v>2024</v>
      </c>
    </row>
    <row r="592" spans="8:9" x14ac:dyDescent="0.3">
      <c r="H592" s="153" t="s">
        <v>2036</v>
      </c>
      <c r="I592" s="153" t="s">
        <v>2024</v>
      </c>
    </row>
    <row r="593" spans="8:9" x14ac:dyDescent="0.3">
      <c r="H593" s="153" t="s">
        <v>2036</v>
      </c>
      <c r="I593" s="153" t="s">
        <v>2024</v>
      </c>
    </row>
    <row r="594" spans="8:9" x14ac:dyDescent="0.3">
      <c r="H594" s="153" t="s">
        <v>2036</v>
      </c>
      <c r="I594" s="153" t="s">
        <v>2024</v>
      </c>
    </row>
    <row r="595" spans="8:9" x14ac:dyDescent="0.3">
      <c r="H595" s="153" t="s">
        <v>2036</v>
      </c>
      <c r="I595" s="153" t="s">
        <v>2024</v>
      </c>
    </row>
    <row r="596" spans="8:9" x14ac:dyDescent="0.3">
      <c r="H596" s="153" t="s">
        <v>2036</v>
      </c>
      <c r="I596" s="153" t="s">
        <v>2024</v>
      </c>
    </row>
    <row r="597" spans="8:9" x14ac:dyDescent="0.3">
      <c r="H597" s="153" t="s">
        <v>2036</v>
      </c>
      <c r="I597" s="153" t="s">
        <v>2024</v>
      </c>
    </row>
    <row r="598" spans="8:9" x14ac:dyDescent="0.3">
      <c r="H598" s="153" t="s">
        <v>2036</v>
      </c>
      <c r="I598" s="153" t="s">
        <v>2024</v>
      </c>
    </row>
    <row r="599" spans="8:9" x14ac:dyDescent="0.3">
      <c r="H599" s="153" t="s">
        <v>2036</v>
      </c>
      <c r="I599" s="153" t="s">
        <v>2024</v>
      </c>
    </row>
    <row r="600" spans="8:9" x14ac:dyDescent="0.3">
      <c r="H600" s="153" t="s">
        <v>2060</v>
      </c>
      <c r="I600" s="153" t="s">
        <v>2023</v>
      </c>
    </row>
    <row r="601" spans="8:9" x14ac:dyDescent="0.3">
      <c r="H601" s="153" t="s">
        <v>2059</v>
      </c>
      <c r="I601" s="153" t="s">
        <v>2024</v>
      </c>
    </row>
    <row r="602" spans="8:9" x14ac:dyDescent="0.3">
      <c r="H602" s="153" t="s">
        <v>2055</v>
      </c>
      <c r="I602" s="153" t="s">
        <v>2802</v>
      </c>
    </row>
    <row r="603" spans="8:9" x14ac:dyDescent="0.3">
      <c r="H603" s="153" t="s">
        <v>2037</v>
      </c>
      <c r="I603" s="153" t="s">
        <v>2802</v>
      </c>
    </row>
    <row r="604" spans="8:9" x14ac:dyDescent="0.3">
      <c r="H604" s="153" t="s">
        <v>2050</v>
      </c>
      <c r="I604" s="153" t="s">
        <v>2802</v>
      </c>
    </row>
    <row r="605" spans="8:9" x14ac:dyDescent="0.3">
      <c r="H605" s="153" t="s">
        <v>2037</v>
      </c>
      <c r="I605" s="153" t="s">
        <v>2802</v>
      </c>
    </row>
    <row r="606" spans="8:9" x14ac:dyDescent="0.3">
      <c r="H606" s="153" t="s">
        <v>2062</v>
      </c>
      <c r="I606" s="153" t="s">
        <v>2023</v>
      </c>
    </row>
    <row r="607" spans="8:9" x14ac:dyDescent="0.3">
      <c r="H607" s="153" t="s">
        <v>2038</v>
      </c>
      <c r="I607" s="153" t="s">
        <v>2802</v>
      </c>
    </row>
    <row r="608" spans="8:9" x14ac:dyDescent="0.3">
      <c r="H608" s="153" t="s">
        <v>2062</v>
      </c>
      <c r="I608" s="153" t="s">
        <v>2023</v>
      </c>
    </row>
    <row r="609" spans="8:9" x14ac:dyDescent="0.3">
      <c r="H609" s="153" t="s">
        <v>2037</v>
      </c>
      <c r="I609" s="153" t="s">
        <v>2802</v>
      </c>
    </row>
    <row r="610" spans="8:9" x14ac:dyDescent="0.3">
      <c r="H610" s="153" t="s">
        <v>2037</v>
      </c>
      <c r="I610" s="153" t="s">
        <v>2802</v>
      </c>
    </row>
    <row r="611" spans="8:9" x14ac:dyDescent="0.3">
      <c r="H611" s="153" t="s">
        <v>2039</v>
      </c>
      <c r="I611" s="153" t="s">
        <v>2802</v>
      </c>
    </row>
    <row r="612" spans="8:9" x14ac:dyDescent="0.3">
      <c r="H612" s="153" t="s">
        <v>2039</v>
      </c>
      <c r="I612" s="153" t="s">
        <v>2802</v>
      </c>
    </row>
    <row r="613" spans="8:9" x14ac:dyDescent="0.3">
      <c r="H613" s="153" t="s">
        <v>2039</v>
      </c>
      <c r="I613" s="153" t="s">
        <v>2802</v>
      </c>
    </row>
    <row r="614" spans="8:9" x14ac:dyDescent="0.3">
      <c r="H614" s="153" t="s">
        <v>2041</v>
      </c>
      <c r="I614" s="153" t="s">
        <v>2802</v>
      </c>
    </row>
    <row r="615" spans="8:9" x14ac:dyDescent="0.3">
      <c r="H615" s="153" t="s">
        <v>2063</v>
      </c>
      <c r="I615" s="153" t="s">
        <v>2802</v>
      </c>
    </row>
    <row r="616" spans="8:9" x14ac:dyDescent="0.3">
      <c r="H616" s="153" t="s">
        <v>2039</v>
      </c>
      <c r="I616" s="153" t="s">
        <v>2802</v>
      </c>
    </row>
    <row r="617" spans="8:9" x14ac:dyDescent="0.3">
      <c r="H617" s="153" t="s">
        <v>2039</v>
      </c>
      <c r="I617" s="153" t="s">
        <v>2802</v>
      </c>
    </row>
    <row r="618" spans="8:9" x14ac:dyDescent="0.3">
      <c r="H618" s="153" t="s">
        <v>2039</v>
      </c>
      <c r="I618" s="153" t="s">
        <v>2802</v>
      </c>
    </row>
    <row r="619" spans="8:9" x14ac:dyDescent="0.3">
      <c r="H619" s="153" t="s">
        <v>2039</v>
      </c>
      <c r="I619" s="153" t="s">
        <v>2802</v>
      </c>
    </row>
    <row r="620" spans="8:9" x14ac:dyDescent="0.3">
      <c r="H620" s="153" t="s">
        <v>2039</v>
      </c>
      <c r="I620" s="153" t="s">
        <v>2802</v>
      </c>
    </row>
    <row r="621" spans="8:9" x14ac:dyDescent="0.3">
      <c r="H621" s="153" t="s">
        <v>2043</v>
      </c>
      <c r="I621" s="153" t="s">
        <v>2802</v>
      </c>
    </row>
    <row r="622" spans="8:9" x14ac:dyDescent="0.3">
      <c r="H622" s="153" t="s">
        <v>2043</v>
      </c>
      <c r="I622" s="153" t="s">
        <v>2802</v>
      </c>
    </row>
    <row r="623" spans="8:9" x14ac:dyDescent="0.3">
      <c r="H623" s="153" t="s">
        <v>2036</v>
      </c>
      <c r="I623" s="153" t="s">
        <v>2024</v>
      </c>
    </row>
    <row r="624" spans="8:9" x14ac:dyDescent="0.3">
      <c r="H624" s="153" t="s">
        <v>2036</v>
      </c>
      <c r="I624" s="153" t="s">
        <v>2024</v>
      </c>
    </row>
    <row r="625" spans="8:9" x14ac:dyDescent="0.3">
      <c r="H625" s="153" t="s">
        <v>2036</v>
      </c>
      <c r="I625" s="153" t="s">
        <v>2024</v>
      </c>
    </row>
    <row r="626" spans="8:9" x14ac:dyDescent="0.3">
      <c r="H626" s="153" t="s">
        <v>2036</v>
      </c>
      <c r="I626" s="153" t="s">
        <v>2024</v>
      </c>
    </row>
    <row r="627" spans="8:9" x14ac:dyDescent="0.3">
      <c r="H627" s="153" t="s">
        <v>2036</v>
      </c>
      <c r="I627" s="153" t="s">
        <v>2024</v>
      </c>
    </row>
    <row r="628" spans="8:9" x14ac:dyDescent="0.3">
      <c r="H628" s="153" t="s">
        <v>2036</v>
      </c>
      <c r="I628" s="153" t="s">
        <v>2024</v>
      </c>
    </row>
    <row r="629" spans="8:9" x14ac:dyDescent="0.3">
      <c r="H629" s="153" t="s">
        <v>2036</v>
      </c>
      <c r="I629" s="153" t="s">
        <v>2024</v>
      </c>
    </row>
    <row r="630" spans="8:9" x14ac:dyDescent="0.3">
      <c r="H630" s="153" t="s">
        <v>2036</v>
      </c>
      <c r="I630" s="153" t="s">
        <v>2024</v>
      </c>
    </row>
    <row r="631" spans="8:9" x14ac:dyDescent="0.3">
      <c r="H631" s="153" t="s">
        <v>2036</v>
      </c>
      <c r="I631" s="153" t="s">
        <v>2024</v>
      </c>
    </row>
    <row r="632" spans="8:9" x14ac:dyDescent="0.3">
      <c r="H632" s="153" t="s">
        <v>2036</v>
      </c>
      <c r="I632" s="153" t="s">
        <v>2024</v>
      </c>
    </row>
    <row r="633" spans="8:9" x14ac:dyDescent="0.3">
      <c r="H633" s="153" t="s">
        <v>2060</v>
      </c>
      <c r="I633" s="153" t="s">
        <v>2023</v>
      </c>
    </row>
    <row r="634" spans="8:9" x14ac:dyDescent="0.3">
      <c r="H634" s="153" t="s">
        <v>2037</v>
      </c>
      <c r="I634" s="153" t="s">
        <v>2802</v>
      </c>
    </row>
    <row r="635" spans="8:9" x14ac:dyDescent="0.3">
      <c r="H635" s="153" t="s">
        <v>2032</v>
      </c>
      <c r="I635" s="153" t="s">
        <v>2802</v>
      </c>
    </row>
    <row r="636" spans="8:9" x14ac:dyDescent="0.3">
      <c r="H636" s="153" t="s">
        <v>2945</v>
      </c>
      <c r="I636" s="153" t="s">
        <v>2859</v>
      </c>
    </row>
    <row r="637" spans="8:9" x14ac:dyDescent="0.3">
      <c r="H637" s="153" t="s">
        <v>2037</v>
      </c>
      <c r="I637" s="153" t="s">
        <v>2802</v>
      </c>
    </row>
    <row r="638" spans="8:9" x14ac:dyDescent="0.3">
      <c r="H638" s="153" t="s">
        <v>2037</v>
      </c>
      <c r="I638" s="153" t="s">
        <v>2802</v>
      </c>
    </row>
    <row r="639" spans="8:9" x14ac:dyDescent="0.3">
      <c r="H639" s="153" t="s">
        <v>2037</v>
      </c>
      <c r="I639" s="153" t="s">
        <v>2802</v>
      </c>
    </row>
    <row r="640" spans="8:9" x14ac:dyDescent="0.3">
      <c r="H640" s="153" t="s">
        <v>2041</v>
      </c>
      <c r="I640" s="153" t="s">
        <v>2802</v>
      </c>
    </row>
    <row r="641" spans="8:9" x14ac:dyDescent="0.3">
      <c r="H641" s="153" t="s">
        <v>2032</v>
      </c>
      <c r="I641" s="153" t="s">
        <v>2802</v>
      </c>
    </row>
    <row r="642" spans="8:9" x14ac:dyDescent="0.3">
      <c r="H642" s="153" t="s">
        <v>2032</v>
      </c>
      <c r="I642" s="153" t="s">
        <v>2802</v>
      </c>
    </row>
    <row r="643" spans="8:9" x14ac:dyDescent="0.3">
      <c r="H643" s="153" t="s">
        <v>2032</v>
      </c>
      <c r="I643" s="153" t="s">
        <v>2802</v>
      </c>
    </row>
    <row r="644" spans="8:9" x14ac:dyDescent="0.3">
      <c r="H644" s="153" t="s">
        <v>2032</v>
      </c>
      <c r="I644" s="153" t="s">
        <v>2802</v>
      </c>
    </row>
    <row r="645" spans="8:9" x14ac:dyDescent="0.3">
      <c r="H645" s="153" t="s">
        <v>2032</v>
      </c>
      <c r="I645" s="153" t="s">
        <v>2802</v>
      </c>
    </row>
    <row r="646" spans="8:9" x14ac:dyDescent="0.3">
      <c r="H646" s="153" t="s">
        <v>2032</v>
      </c>
      <c r="I646" s="153" t="s">
        <v>2802</v>
      </c>
    </row>
    <row r="647" spans="8:9" x14ac:dyDescent="0.3">
      <c r="H647" s="153" t="s">
        <v>2032</v>
      </c>
      <c r="I647" s="153" t="s">
        <v>2802</v>
      </c>
    </row>
    <row r="648" spans="8:9" x14ac:dyDescent="0.3">
      <c r="H648" s="153" t="s">
        <v>2032</v>
      </c>
      <c r="I648" s="153" t="s">
        <v>2802</v>
      </c>
    </row>
    <row r="649" spans="8:9" x14ac:dyDescent="0.3">
      <c r="H649" s="153" t="s">
        <v>2032</v>
      </c>
      <c r="I649" s="153" t="s">
        <v>2802</v>
      </c>
    </row>
    <row r="650" spans="8:9" x14ac:dyDescent="0.3">
      <c r="H650" s="153" t="s">
        <v>2032</v>
      </c>
      <c r="I650" s="153" t="s">
        <v>2802</v>
      </c>
    </row>
    <row r="651" spans="8:9" x14ac:dyDescent="0.3">
      <c r="H651" s="153" t="s">
        <v>2032</v>
      </c>
      <c r="I651" s="153" t="s">
        <v>2802</v>
      </c>
    </row>
    <row r="652" spans="8:9" x14ac:dyDescent="0.3">
      <c r="H652" s="153" t="s">
        <v>2032</v>
      </c>
      <c r="I652" s="153" t="s">
        <v>2802</v>
      </c>
    </row>
    <row r="653" spans="8:9" x14ac:dyDescent="0.3">
      <c r="H653" s="153" t="s">
        <v>2032</v>
      </c>
      <c r="I653" s="153" t="s">
        <v>2802</v>
      </c>
    </row>
    <row r="654" spans="8:9" x14ac:dyDescent="0.3">
      <c r="H654" s="153" t="s">
        <v>2032</v>
      </c>
      <c r="I654" s="153" t="s">
        <v>2802</v>
      </c>
    </row>
    <row r="655" spans="8:9" x14ac:dyDescent="0.3">
      <c r="H655" s="153" t="s">
        <v>2032</v>
      </c>
      <c r="I655" s="153" t="s">
        <v>2802</v>
      </c>
    </row>
    <row r="656" spans="8:9" x14ac:dyDescent="0.3">
      <c r="H656" s="153" t="s">
        <v>2032</v>
      </c>
      <c r="I656" s="153" t="s">
        <v>2802</v>
      </c>
    </row>
    <row r="657" spans="8:9" x14ac:dyDescent="0.3">
      <c r="H657" s="153" t="s">
        <v>2032</v>
      </c>
      <c r="I657" s="153" t="s">
        <v>2802</v>
      </c>
    </row>
    <row r="658" spans="8:9" x14ac:dyDescent="0.3">
      <c r="H658" s="153" t="s">
        <v>2039</v>
      </c>
      <c r="I658" s="153" t="s">
        <v>2802</v>
      </c>
    </row>
    <row r="659" spans="8:9" x14ac:dyDescent="0.3">
      <c r="H659" s="153" t="s">
        <v>2039</v>
      </c>
      <c r="I659" s="153" t="s">
        <v>2802</v>
      </c>
    </row>
    <row r="660" spans="8:9" x14ac:dyDescent="0.3">
      <c r="H660" s="153" t="s">
        <v>2039</v>
      </c>
      <c r="I660" s="153" t="s">
        <v>2802</v>
      </c>
    </row>
    <row r="661" spans="8:9" x14ac:dyDescent="0.3">
      <c r="H661" s="153" t="s">
        <v>2032</v>
      </c>
      <c r="I661" s="153" t="s">
        <v>2802</v>
      </c>
    </row>
    <row r="662" spans="8:9" x14ac:dyDescent="0.3">
      <c r="H662" s="153" t="s">
        <v>2032</v>
      </c>
      <c r="I662" s="153" t="s">
        <v>2802</v>
      </c>
    </row>
    <row r="663" spans="8:9" x14ac:dyDescent="0.3">
      <c r="H663" s="153" t="s">
        <v>2032</v>
      </c>
      <c r="I663" s="153" t="s">
        <v>2802</v>
      </c>
    </row>
    <row r="664" spans="8:9" x14ac:dyDescent="0.3">
      <c r="H664" s="153" t="s">
        <v>2032</v>
      </c>
      <c r="I664" s="153" t="s">
        <v>2802</v>
      </c>
    </row>
    <row r="665" spans="8:9" x14ac:dyDescent="0.3">
      <c r="H665" s="153" t="s">
        <v>2032</v>
      </c>
      <c r="I665" s="153" t="s">
        <v>2802</v>
      </c>
    </row>
    <row r="666" spans="8:9" x14ac:dyDescent="0.3">
      <c r="H666" s="153" t="s">
        <v>2032</v>
      </c>
      <c r="I666" s="153" t="s">
        <v>2802</v>
      </c>
    </row>
    <row r="667" spans="8:9" x14ac:dyDescent="0.3">
      <c r="H667" s="153" t="s">
        <v>2032</v>
      </c>
      <c r="I667" s="153" t="s">
        <v>2802</v>
      </c>
    </row>
    <row r="668" spans="8:9" x14ac:dyDescent="0.3">
      <c r="H668" s="153" t="s">
        <v>2032</v>
      </c>
      <c r="I668" s="153" t="s">
        <v>2802</v>
      </c>
    </row>
    <row r="669" spans="8:9" x14ac:dyDescent="0.3">
      <c r="H669" s="153" t="s">
        <v>2032</v>
      </c>
      <c r="I669" s="153" t="s">
        <v>2802</v>
      </c>
    </row>
    <row r="670" spans="8:9" x14ac:dyDescent="0.3">
      <c r="H670" s="153" t="s">
        <v>2032</v>
      </c>
      <c r="I670" s="153" t="s">
        <v>2802</v>
      </c>
    </row>
    <row r="671" spans="8:9" x14ac:dyDescent="0.3">
      <c r="H671" s="153" t="s">
        <v>2032</v>
      </c>
      <c r="I671" s="153" t="s">
        <v>2802</v>
      </c>
    </row>
    <row r="672" spans="8:9" x14ac:dyDescent="0.3">
      <c r="H672" s="153" t="s">
        <v>2032</v>
      </c>
      <c r="I672" s="153" t="s">
        <v>2802</v>
      </c>
    </row>
    <row r="673" spans="8:9" x14ac:dyDescent="0.3">
      <c r="H673" s="153" t="s">
        <v>2036</v>
      </c>
      <c r="I673" s="153" t="s">
        <v>2024</v>
      </c>
    </row>
    <row r="674" spans="8:9" x14ac:dyDescent="0.3">
      <c r="H674" s="153" t="s">
        <v>2036</v>
      </c>
      <c r="I674" s="153" t="s">
        <v>2024</v>
      </c>
    </row>
    <row r="675" spans="8:9" x14ac:dyDescent="0.3">
      <c r="H675" s="153" t="s">
        <v>2036</v>
      </c>
      <c r="I675" s="153" t="s">
        <v>2024</v>
      </c>
    </row>
    <row r="676" spans="8:9" x14ac:dyDescent="0.3">
      <c r="H676" s="153" t="s">
        <v>2036</v>
      </c>
      <c r="I676" s="153" t="s">
        <v>2024</v>
      </c>
    </row>
    <row r="677" spans="8:9" x14ac:dyDescent="0.3">
      <c r="H677" s="153" t="s">
        <v>2036</v>
      </c>
      <c r="I677" s="153" t="s">
        <v>2024</v>
      </c>
    </row>
    <row r="678" spans="8:9" x14ac:dyDescent="0.3">
      <c r="H678" s="153" t="s">
        <v>2036</v>
      </c>
      <c r="I678" s="153" t="s">
        <v>2024</v>
      </c>
    </row>
    <row r="679" spans="8:9" x14ac:dyDescent="0.3">
      <c r="H679" s="153" t="s">
        <v>2036</v>
      </c>
      <c r="I679" s="153" t="s">
        <v>2024</v>
      </c>
    </row>
    <row r="680" spans="8:9" x14ac:dyDescent="0.3">
      <c r="H680" s="153" t="s">
        <v>2036</v>
      </c>
      <c r="I680" s="153" t="s">
        <v>2024</v>
      </c>
    </row>
    <row r="681" spans="8:9" x14ac:dyDescent="0.3">
      <c r="H681" s="153" t="s">
        <v>2036</v>
      </c>
      <c r="I681" s="153" t="s">
        <v>2024</v>
      </c>
    </row>
    <row r="682" spans="8:9" x14ac:dyDescent="0.3">
      <c r="H682" s="153" t="s">
        <v>2036</v>
      </c>
      <c r="I682" s="153" t="s">
        <v>2024</v>
      </c>
    </row>
    <row r="683" spans="8:9" x14ac:dyDescent="0.3">
      <c r="H683" s="153" t="s">
        <v>2037</v>
      </c>
      <c r="I683" s="153" t="s">
        <v>2802</v>
      </c>
    </row>
    <row r="684" spans="8:9" x14ac:dyDescent="0.3">
      <c r="H684" s="153" t="s">
        <v>2037</v>
      </c>
      <c r="I684" s="153" t="s">
        <v>2802</v>
      </c>
    </row>
    <row r="685" spans="8:9" x14ac:dyDescent="0.3">
      <c r="H685" s="153" t="s">
        <v>2037</v>
      </c>
      <c r="I685" s="153" t="s">
        <v>2802</v>
      </c>
    </row>
    <row r="686" spans="8:9" x14ac:dyDescent="0.3">
      <c r="H686" s="153" t="s">
        <v>2037</v>
      </c>
      <c r="I686" s="153" t="s">
        <v>2802</v>
      </c>
    </row>
    <row r="687" spans="8:9" x14ac:dyDescent="0.3">
      <c r="H687" s="153" t="s">
        <v>2038</v>
      </c>
      <c r="I687" s="153" t="s">
        <v>2802</v>
      </c>
    </row>
    <row r="688" spans="8:9" x14ac:dyDescent="0.3">
      <c r="H688" s="153" t="s">
        <v>2037</v>
      </c>
      <c r="I688" s="153" t="s">
        <v>2802</v>
      </c>
    </row>
    <row r="689" spans="8:9" x14ac:dyDescent="0.3">
      <c r="H689" s="153" t="s">
        <v>2032</v>
      </c>
      <c r="I689" s="153" t="s">
        <v>2802</v>
      </c>
    </row>
    <row r="690" spans="8:9" x14ac:dyDescent="0.3">
      <c r="H690" s="153" t="s">
        <v>2040</v>
      </c>
      <c r="I690" s="153" t="s">
        <v>2802</v>
      </c>
    </row>
    <row r="691" spans="8:9" x14ac:dyDescent="0.3">
      <c r="H691" s="153" t="s">
        <v>2037</v>
      </c>
      <c r="I691" s="153" t="s">
        <v>2802</v>
      </c>
    </row>
    <row r="692" spans="8:9" x14ac:dyDescent="0.3">
      <c r="H692" s="153" t="s">
        <v>2063</v>
      </c>
      <c r="I692" s="153" t="s">
        <v>2802</v>
      </c>
    </row>
    <row r="693" spans="8:9" x14ac:dyDescent="0.3">
      <c r="H693" s="153" t="s">
        <v>2028</v>
      </c>
      <c r="I693" s="153" t="s">
        <v>2023</v>
      </c>
    </row>
    <row r="694" spans="8:9" x14ac:dyDescent="0.3">
      <c r="H694" s="153" t="s">
        <v>2041</v>
      </c>
      <c r="I694" s="153" t="s">
        <v>2802</v>
      </c>
    </row>
    <row r="695" spans="8:9" x14ac:dyDescent="0.3">
      <c r="H695" s="153" t="s">
        <v>2036</v>
      </c>
      <c r="I695" s="153" t="s">
        <v>2024</v>
      </c>
    </row>
    <row r="696" spans="8:9" x14ac:dyDescent="0.3">
      <c r="H696" s="153" t="s">
        <v>2036</v>
      </c>
      <c r="I696" s="153" t="s">
        <v>2024</v>
      </c>
    </row>
    <row r="697" spans="8:9" x14ac:dyDescent="0.3">
      <c r="H697" s="153" t="s">
        <v>2036</v>
      </c>
      <c r="I697" s="153" t="s">
        <v>2024</v>
      </c>
    </row>
    <row r="698" spans="8:9" x14ac:dyDescent="0.3">
      <c r="H698" s="153" t="s">
        <v>2036</v>
      </c>
      <c r="I698" s="153" t="s">
        <v>2024</v>
      </c>
    </row>
    <row r="699" spans="8:9" x14ac:dyDescent="0.3">
      <c r="H699" s="153" t="s">
        <v>2036</v>
      </c>
      <c r="I699" s="153" t="s">
        <v>2024</v>
      </c>
    </row>
    <row r="700" spans="8:9" x14ac:dyDescent="0.3">
      <c r="H700" s="153" t="s">
        <v>2036</v>
      </c>
      <c r="I700" s="153" t="s">
        <v>2024</v>
      </c>
    </row>
    <row r="701" spans="8:9" x14ac:dyDescent="0.3">
      <c r="H701" s="153" t="s">
        <v>2036</v>
      </c>
      <c r="I701" s="153" t="s">
        <v>2024</v>
      </c>
    </row>
    <row r="702" spans="8:9" x14ac:dyDescent="0.3">
      <c r="H702" s="153" t="s">
        <v>2036</v>
      </c>
      <c r="I702" s="153" t="s">
        <v>2024</v>
      </c>
    </row>
    <row r="703" spans="8:9" x14ac:dyDescent="0.3">
      <c r="H703" s="153" t="s">
        <v>2036</v>
      </c>
      <c r="I703" s="153" t="s">
        <v>2024</v>
      </c>
    </row>
    <row r="704" spans="8:9" x14ac:dyDescent="0.3">
      <c r="H704" s="153" t="s">
        <v>2036</v>
      </c>
      <c r="I704" s="153" t="s">
        <v>2024</v>
      </c>
    </row>
    <row r="705" spans="8:9" x14ac:dyDescent="0.3">
      <c r="H705" s="153" t="s">
        <v>2041</v>
      </c>
      <c r="I705" s="153" t="s">
        <v>2802</v>
      </c>
    </row>
    <row r="706" spans="8:9" x14ac:dyDescent="0.3">
      <c r="H706" s="153" t="s">
        <v>2030</v>
      </c>
      <c r="I706" s="153" t="s">
        <v>2802</v>
      </c>
    </row>
    <row r="707" spans="8:9" x14ac:dyDescent="0.3">
      <c r="H707" s="153" t="s">
        <v>2032</v>
      </c>
      <c r="I707" s="153" t="s">
        <v>2802</v>
      </c>
    </row>
    <row r="708" spans="8:9" x14ac:dyDescent="0.3">
      <c r="H708" s="153" t="s">
        <v>2032</v>
      </c>
      <c r="I708" s="153" t="s">
        <v>2802</v>
      </c>
    </row>
    <row r="709" spans="8:9" x14ac:dyDescent="0.3">
      <c r="H709" s="153" t="s">
        <v>2032</v>
      </c>
      <c r="I709" s="153" t="s">
        <v>2802</v>
      </c>
    </row>
    <row r="710" spans="8:9" x14ac:dyDescent="0.3">
      <c r="H710" s="153" t="s">
        <v>2032</v>
      </c>
      <c r="I710" s="153" t="s">
        <v>2802</v>
      </c>
    </row>
    <row r="711" spans="8:9" x14ac:dyDescent="0.3">
      <c r="H711" s="153" t="s">
        <v>2032</v>
      </c>
      <c r="I711" s="153" t="s">
        <v>2802</v>
      </c>
    </row>
    <row r="712" spans="8:9" x14ac:dyDescent="0.3">
      <c r="H712" s="153" t="s">
        <v>2041</v>
      </c>
      <c r="I712" s="153" t="s">
        <v>2802</v>
      </c>
    </row>
    <row r="713" spans="8:9" x14ac:dyDescent="0.3">
      <c r="H713" s="153" t="s">
        <v>2041</v>
      </c>
      <c r="I713" s="153" t="s">
        <v>2802</v>
      </c>
    </row>
    <row r="714" spans="8:9" x14ac:dyDescent="0.3">
      <c r="H714" s="153" t="s">
        <v>2041</v>
      </c>
      <c r="I714" s="153" t="s">
        <v>2802</v>
      </c>
    </row>
    <row r="715" spans="8:9" x14ac:dyDescent="0.3">
      <c r="H715" s="153" t="s">
        <v>2061</v>
      </c>
      <c r="I715" s="153" t="s">
        <v>2802</v>
      </c>
    </row>
    <row r="716" spans="8:9" x14ac:dyDescent="0.3">
      <c r="H716" s="153" t="s">
        <v>2028</v>
      </c>
      <c r="I716" s="153" t="s">
        <v>2023</v>
      </c>
    </row>
    <row r="717" spans="8:9" x14ac:dyDescent="0.3">
      <c r="H717" s="153" t="s">
        <v>2061</v>
      </c>
      <c r="I717" s="153" t="s">
        <v>2802</v>
      </c>
    </row>
    <row r="718" spans="8:9" x14ac:dyDescent="0.3">
      <c r="H718" s="153" t="s">
        <v>2034</v>
      </c>
      <c r="I718" s="153" t="s">
        <v>2802</v>
      </c>
    </row>
    <row r="719" spans="8:9" x14ac:dyDescent="0.3">
      <c r="H719" s="153" t="s">
        <v>2037</v>
      </c>
      <c r="I719" s="153" t="s">
        <v>2802</v>
      </c>
    </row>
    <row r="720" spans="8:9" x14ac:dyDescent="0.3">
      <c r="H720" s="153" t="s">
        <v>2039</v>
      </c>
      <c r="I720" s="153" t="s">
        <v>2802</v>
      </c>
    </row>
    <row r="721" spans="8:9" x14ac:dyDescent="0.3">
      <c r="H721" s="153" t="s">
        <v>2038</v>
      </c>
      <c r="I721" s="153" t="s">
        <v>2802</v>
      </c>
    </row>
    <row r="722" spans="8:9" x14ac:dyDescent="0.3">
      <c r="H722" s="153" t="s">
        <v>2028</v>
      </c>
      <c r="I722" s="153" t="s">
        <v>2023</v>
      </c>
    </row>
    <row r="723" spans="8:9" x14ac:dyDescent="0.3">
      <c r="H723" s="153" t="s">
        <v>2041</v>
      </c>
      <c r="I723" s="153" t="s">
        <v>2802</v>
      </c>
    </row>
    <row r="724" spans="8:9" x14ac:dyDescent="0.3">
      <c r="H724" s="153" t="s">
        <v>2032</v>
      </c>
      <c r="I724" s="153" t="s">
        <v>2802</v>
      </c>
    </row>
    <row r="725" spans="8:9" x14ac:dyDescent="0.3">
      <c r="H725" s="153" t="s">
        <v>2035</v>
      </c>
      <c r="I725" s="153" t="s">
        <v>2802</v>
      </c>
    </row>
    <row r="726" spans="8:9" x14ac:dyDescent="0.3">
      <c r="H726" s="153" t="s">
        <v>2035</v>
      </c>
      <c r="I726" s="153" t="s">
        <v>2802</v>
      </c>
    </row>
    <row r="727" spans="8:9" x14ac:dyDescent="0.3">
      <c r="H727" s="153" t="s">
        <v>2028</v>
      </c>
      <c r="I727" s="153" t="s">
        <v>2023</v>
      </c>
    </row>
    <row r="728" spans="8:9" x14ac:dyDescent="0.3">
      <c r="H728" s="153" t="s">
        <v>2065</v>
      </c>
      <c r="I728" s="153" t="s">
        <v>2859</v>
      </c>
    </row>
    <row r="729" spans="8:9" x14ac:dyDescent="0.3">
      <c r="H729" s="153" t="s">
        <v>2065</v>
      </c>
      <c r="I729" s="153" t="s">
        <v>2859</v>
      </c>
    </row>
    <row r="730" spans="8:9" x14ac:dyDescent="0.3">
      <c r="H730" s="153" t="s">
        <v>2065</v>
      </c>
      <c r="I730" s="153" t="s">
        <v>2859</v>
      </c>
    </row>
    <row r="731" spans="8:9" x14ac:dyDescent="0.3">
      <c r="H731" s="153" t="s">
        <v>2065</v>
      </c>
      <c r="I731" s="153" t="s">
        <v>2859</v>
      </c>
    </row>
    <row r="732" spans="8:9" x14ac:dyDescent="0.3">
      <c r="H732" s="153" t="s">
        <v>2065</v>
      </c>
      <c r="I732" s="153" t="s">
        <v>2859</v>
      </c>
    </row>
    <row r="733" spans="8:9" x14ac:dyDescent="0.3">
      <c r="H733" s="153" t="s">
        <v>2065</v>
      </c>
      <c r="I733" s="153" t="s">
        <v>2859</v>
      </c>
    </row>
    <row r="734" spans="8:9" x14ac:dyDescent="0.3">
      <c r="H734" s="153" t="s">
        <v>2065</v>
      </c>
      <c r="I734" s="153" t="s">
        <v>2859</v>
      </c>
    </row>
    <row r="735" spans="8:9" x14ac:dyDescent="0.3">
      <c r="H735" s="153" t="s">
        <v>2065</v>
      </c>
      <c r="I735" s="153" t="s">
        <v>2859</v>
      </c>
    </row>
    <row r="736" spans="8:9" x14ac:dyDescent="0.3">
      <c r="H736" s="153" t="s">
        <v>2065</v>
      </c>
      <c r="I736" s="153" t="s">
        <v>2859</v>
      </c>
    </row>
    <row r="737" spans="8:9" x14ac:dyDescent="0.3">
      <c r="H737" s="153" t="s">
        <v>2065</v>
      </c>
      <c r="I737" s="153" t="s">
        <v>2859</v>
      </c>
    </row>
    <row r="738" spans="8:9" x14ac:dyDescent="0.3">
      <c r="H738" s="153" t="s">
        <v>2065</v>
      </c>
      <c r="I738" s="153" t="s">
        <v>2859</v>
      </c>
    </row>
    <row r="739" spans="8:9" x14ac:dyDescent="0.3">
      <c r="H739" s="153" t="s">
        <v>2065</v>
      </c>
      <c r="I739" s="153" t="s">
        <v>2859</v>
      </c>
    </row>
    <row r="740" spans="8:9" x14ac:dyDescent="0.3">
      <c r="H740" s="153" t="s">
        <v>2049</v>
      </c>
      <c r="I740" s="153" t="s">
        <v>2024</v>
      </c>
    </row>
    <row r="741" spans="8:9" x14ac:dyDescent="0.3">
      <c r="H741" s="153" t="s">
        <v>2036</v>
      </c>
      <c r="I741" s="153" t="s">
        <v>2024</v>
      </c>
    </row>
    <row r="742" spans="8:9" x14ac:dyDescent="0.3">
      <c r="H742" s="153" t="s">
        <v>2036</v>
      </c>
      <c r="I742" s="153" t="s">
        <v>2024</v>
      </c>
    </row>
    <row r="743" spans="8:9" x14ac:dyDescent="0.3">
      <c r="H743" s="153" t="s">
        <v>2036</v>
      </c>
      <c r="I743" s="153" t="s">
        <v>2024</v>
      </c>
    </row>
    <row r="744" spans="8:9" x14ac:dyDescent="0.3">
      <c r="H744" s="153" t="s">
        <v>2036</v>
      </c>
      <c r="I744" s="153" t="s">
        <v>2024</v>
      </c>
    </row>
    <row r="745" spans="8:9" x14ac:dyDescent="0.3">
      <c r="H745" s="153" t="s">
        <v>2036</v>
      </c>
      <c r="I745" s="153" t="s">
        <v>2024</v>
      </c>
    </row>
    <row r="746" spans="8:9" x14ac:dyDescent="0.3">
      <c r="H746" s="153" t="s">
        <v>2036</v>
      </c>
      <c r="I746" s="153" t="s">
        <v>2024</v>
      </c>
    </row>
    <row r="747" spans="8:9" x14ac:dyDescent="0.3">
      <c r="H747" s="153" t="s">
        <v>2036</v>
      </c>
      <c r="I747" s="153" t="s">
        <v>2024</v>
      </c>
    </row>
    <row r="748" spans="8:9" x14ac:dyDescent="0.3">
      <c r="H748" s="153" t="s">
        <v>2036</v>
      </c>
      <c r="I748" s="153" t="s">
        <v>2024</v>
      </c>
    </row>
    <row r="749" spans="8:9" x14ac:dyDescent="0.3">
      <c r="H749" s="153" t="s">
        <v>2036</v>
      </c>
      <c r="I749" s="153" t="s">
        <v>2024</v>
      </c>
    </row>
    <row r="750" spans="8:9" x14ac:dyDescent="0.3">
      <c r="H750" s="153" t="s">
        <v>2036</v>
      </c>
      <c r="I750" s="153" t="s">
        <v>2024</v>
      </c>
    </row>
    <row r="751" spans="8:9" x14ac:dyDescent="0.3">
      <c r="H751" s="153" t="s">
        <v>2041</v>
      </c>
      <c r="I751" s="153" t="s">
        <v>2802</v>
      </c>
    </row>
    <row r="752" spans="8:9" x14ac:dyDescent="0.3">
      <c r="H752" s="153" t="s">
        <v>2028</v>
      </c>
      <c r="I752" s="153" t="s">
        <v>2023</v>
      </c>
    </row>
    <row r="753" spans="8:9" x14ac:dyDescent="0.3">
      <c r="H753" s="153" t="s">
        <v>2028</v>
      </c>
      <c r="I753" s="153" t="s">
        <v>2023</v>
      </c>
    </row>
    <row r="754" spans="8:9" x14ac:dyDescent="0.3">
      <c r="H754" s="153" t="s">
        <v>2028</v>
      </c>
      <c r="I754" s="153" t="s">
        <v>2023</v>
      </c>
    </row>
    <row r="755" spans="8:9" x14ac:dyDescent="0.3">
      <c r="H755" s="153" t="s">
        <v>2028</v>
      </c>
      <c r="I755" s="153" t="s">
        <v>2023</v>
      </c>
    </row>
    <row r="756" spans="8:9" x14ac:dyDescent="0.3">
      <c r="H756" s="153" t="s">
        <v>2028</v>
      </c>
      <c r="I756" s="153" t="s">
        <v>2023</v>
      </c>
    </row>
    <row r="757" spans="8:9" x14ac:dyDescent="0.3">
      <c r="H757" s="153" t="s">
        <v>2032</v>
      </c>
      <c r="I757" s="153" t="s">
        <v>2802</v>
      </c>
    </row>
    <row r="758" spans="8:9" x14ac:dyDescent="0.3">
      <c r="H758" s="153" t="s">
        <v>2032</v>
      </c>
      <c r="I758" s="153" t="s">
        <v>2802</v>
      </c>
    </row>
    <row r="759" spans="8:9" x14ac:dyDescent="0.3">
      <c r="H759" s="153" t="s">
        <v>2032</v>
      </c>
      <c r="I759" s="153" t="s">
        <v>2802</v>
      </c>
    </row>
    <row r="760" spans="8:9" x14ac:dyDescent="0.3">
      <c r="H760" s="153" t="s">
        <v>2032</v>
      </c>
      <c r="I760" s="153" t="s">
        <v>2802</v>
      </c>
    </row>
    <row r="761" spans="8:9" x14ac:dyDescent="0.3">
      <c r="H761" s="153" t="s">
        <v>2032</v>
      </c>
      <c r="I761" s="153" t="s">
        <v>2802</v>
      </c>
    </row>
    <row r="762" spans="8:9" x14ac:dyDescent="0.3">
      <c r="H762" s="153" t="s">
        <v>2034</v>
      </c>
      <c r="I762" s="153" t="s">
        <v>2802</v>
      </c>
    </row>
    <row r="763" spans="8:9" x14ac:dyDescent="0.3">
      <c r="H763" s="153" t="s">
        <v>2037</v>
      </c>
      <c r="I763" s="153" t="s">
        <v>2802</v>
      </c>
    </row>
    <row r="764" spans="8:9" x14ac:dyDescent="0.3">
      <c r="H764" s="153" t="s">
        <v>2061</v>
      </c>
      <c r="I764" s="153" t="s">
        <v>2802</v>
      </c>
    </row>
    <row r="765" spans="8:9" x14ac:dyDescent="0.3">
      <c r="H765" s="153" t="s">
        <v>2061</v>
      </c>
      <c r="I765" s="153" t="s">
        <v>2802</v>
      </c>
    </row>
    <row r="766" spans="8:9" x14ac:dyDescent="0.3">
      <c r="H766" s="153" t="s">
        <v>2028</v>
      </c>
      <c r="I766" s="153" t="s">
        <v>2023</v>
      </c>
    </row>
    <row r="767" spans="8:9" x14ac:dyDescent="0.3">
      <c r="H767" s="153" t="s">
        <v>2037</v>
      </c>
      <c r="I767" s="153" t="s">
        <v>2802</v>
      </c>
    </row>
    <row r="768" spans="8:9" x14ac:dyDescent="0.3">
      <c r="H768" s="153" t="s">
        <v>2037</v>
      </c>
      <c r="I768" s="153" t="s">
        <v>2802</v>
      </c>
    </row>
    <row r="769" spans="8:9" x14ac:dyDescent="0.3">
      <c r="H769" s="153" t="s">
        <v>2037</v>
      </c>
      <c r="I769" s="153" t="s">
        <v>2802</v>
      </c>
    </row>
    <row r="770" spans="8:9" x14ac:dyDescent="0.3">
      <c r="H770" s="153" t="s">
        <v>2037</v>
      </c>
      <c r="I770" s="153" t="s">
        <v>2802</v>
      </c>
    </row>
    <row r="771" spans="8:9" x14ac:dyDescent="0.3">
      <c r="H771" s="153" t="s">
        <v>2037</v>
      </c>
      <c r="I771" s="153" t="s">
        <v>2802</v>
      </c>
    </row>
    <row r="772" spans="8:9" x14ac:dyDescent="0.3">
      <c r="H772" s="153" t="s">
        <v>2037</v>
      </c>
      <c r="I772" s="153" t="s">
        <v>2802</v>
      </c>
    </row>
    <row r="773" spans="8:9" x14ac:dyDescent="0.3">
      <c r="H773" s="153" t="s">
        <v>2037</v>
      </c>
      <c r="I773" s="153" t="s">
        <v>2802</v>
      </c>
    </row>
    <row r="774" spans="8:9" x14ac:dyDescent="0.3">
      <c r="H774" s="153" t="s">
        <v>2037</v>
      </c>
      <c r="I774" s="153" t="s">
        <v>2802</v>
      </c>
    </row>
    <row r="775" spans="8:9" x14ac:dyDescent="0.3">
      <c r="H775" s="153" t="s">
        <v>2037</v>
      </c>
      <c r="I775" s="153" t="s">
        <v>2802</v>
      </c>
    </row>
    <row r="776" spans="8:9" x14ac:dyDescent="0.3">
      <c r="H776" s="153" t="s">
        <v>2037</v>
      </c>
      <c r="I776" s="153" t="s">
        <v>2802</v>
      </c>
    </row>
    <row r="777" spans="8:9" x14ac:dyDescent="0.3">
      <c r="H777" s="153" t="s">
        <v>2037</v>
      </c>
      <c r="I777" s="153" t="s">
        <v>2802</v>
      </c>
    </row>
    <row r="778" spans="8:9" x14ac:dyDescent="0.3">
      <c r="H778" s="153" t="s">
        <v>2037</v>
      </c>
      <c r="I778" s="153" t="s">
        <v>2802</v>
      </c>
    </row>
    <row r="779" spans="8:9" x14ac:dyDescent="0.3">
      <c r="H779" s="153" t="s">
        <v>2037</v>
      </c>
      <c r="I779" s="153" t="s">
        <v>2802</v>
      </c>
    </row>
    <row r="780" spans="8:9" x14ac:dyDescent="0.3">
      <c r="H780" s="153" t="s">
        <v>2037</v>
      </c>
      <c r="I780" s="153" t="s">
        <v>2802</v>
      </c>
    </row>
    <row r="781" spans="8:9" x14ac:dyDescent="0.3">
      <c r="H781" s="153" t="s">
        <v>2037</v>
      </c>
      <c r="I781" s="153" t="s">
        <v>2802</v>
      </c>
    </row>
    <row r="782" spans="8:9" x14ac:dyDescent="0.3">
      <c r="H782" s="153" t="s">
        <v>2037</v>
      </c>
      <c r="I782" s="153" t="s">
        <v>2802</v>
      </c>
    </row>
    <row r="783" spans="8:9" x14ac:dyDescent="0.3">
      <c r="H783" s="153" t="s">
        <v>2037</v>
      </c>
      <c r="I783" s="153" t="s">
        <v>2802</v>
      </c>
    </row>
    <row r="784" spans="8:9" x14ac:dyDescent="0.3">
      <c r="H784" s="153" t="s">
        <v>2037</v>
      </c>
      <c r="I784" s="153" t="s">
        <v>2802</v>
      </c>
    </row>
    <row r="785" spans="8:9" x14ac:dyDescent="0.3">
      <c r="H785" s="153" t="s">
        <v>2037</v>
      </c>
      <c r="I785" s="153" t="s">
        <v>2802</v>
      </c>
    </row>
    <row r="786" spans="8:9" x14ac:dyDescent="0.3">
      <c r="H786" s="153" t="s">
        <v>2037</v>
      </c>
      <c r="I786" s="153" t="s">
        <v>2802</v>
      </c>
    </row>
    <row r="787" spans="8:9" x14ac:dyDescent="0.3">
      <c r="H787" s="153" t="s">
        <v>2039</v>
      </c>
      <c r="I787" s="153" t="s">
        <v>2802</v>
      </c>
    </row>
    <row r="788" spans="8:9" x14ac:dyDescent="0.3">
      <c r="H788" s="153" t="s">
        <v>2028</v>
      </c>
      <c r="I788" s="153" t="s">
        <v>2023</v>
      </c>
    </row>
    <row r="789" spans="8:9" x14ac:dyDescent="0.3">
      <c r="H789" s="153" t="s">
        <v>2036</v>
      </c>
      <c r="I789" s="153" t="s">
        <v>2024</v>
      </c>
    </row>
    <row r="790" spans="8:9" x14ac:dyDescent="0.3">
      <c r="H790" s="153" t="s">
        <v>2036</v>
      </c>
      <c r="I790" s="153" t="s">
        <v>2024</v>
      </c>
    </row>
    <row r="791" spans="8:9" x14ac:dyDescent="0.3">
      <c r="H791" s="153" t="s">
        <v>2036</v>
      </c>
      <c r="I791" s="153" t="s">
        <v>2024</v>
      </c>
    </row>
    <row r="792" spans="8:9" x14ac:dyDescent="0.3">
      <c r="H792" s="153" t="s">
        <v>2036</v>
      </c>
      <c r="I792" s="153" t="s">
        <v>2024</v>
      </c>
    </row>
    <row r="793" spans="8:9" x14ac:dyDescent="0.3">
      <c r="H793" s="153" t="s">
        <v>2036</v>
      </c>
      <c r="I793" s="153" t="s">
        <v>2024</v>
      </c>
    </row>
    <row r="794" spans="8:9" x14ac:dyDescent="0.3">
      <c r="H794" s="153" t="s">
        <v>2036</v>
      </c>
      <c r="I794" s="153" t="s">
        <v>2024</v>
      </c>
    </row>
    <row r="795" spans="8:9" x14ac:dyDescent="0.3">
      <c r="H795" s="153" t="s">
        <v>2036</v>
      </c>
      <c r="I795" s="153" t="s">
        <v>2024</v>
      </c>
    </row>
    <row r="796" spans="8:9" x14ac:dyDescent="0.3">
      <c r="H796" s="153" t="s">
        <v>2036</v>
      </c>
      <c r="I796" s="153" t="s">
        <v>2024</v>
      </c>
    </row>
    <row r="797" spans="8:9" x14ac:dyDescent="0.3">
      <c r="H797" s="153" t="s">
        <v>2036</v>
      </c>
      <c r="I797" s="153" t="s">
        <v>2024</v>
      </c>
    </row>
    <row r="798" spans="8:9" x14ac:dyDescent="0.3">
      <c r="H798" s="153" t="s">
        <v>2036</v>
      </c>
      <c r="I798" s="153" t="s">
        <v>2024</v>
      </c>
    </row>
    <row r="799" spans="8:9" x14ac:dyDescent="0.3">
      <c r="H799" s="153" t="s">
        <v>2036</v>
      </c>
      <c r="I799" s="153" t="s">
        <v>2024</v>
      </c>
    </row>
    <row r="800" spans="8:9" x14ac:dyDescent="0.3">
      <c r="H800" s="153" t="s">
        <v>2036</v>
      </c>
      <c r="I800" s="153" t="s">
        <v>2024</v>
      </c>
    </row>
    <row r="801" spans="8:9" x14ac:dyDescent="0.3">
      <c r="H801" s="153" t="s">
        <v>2038</v>
      </c>
      <c r="I801" s="153" t="s">
        <v>2802</v>
      </c>
    </row>
    <row r="802" spans="8:9" x14ac:dyDescent="0.3">
      <c r="H802" s="153" t="s">
        <v>2037</v>
      </c>
      <c r="I802" s="153" t="s">
        <v>2802</v>
      </c>
    </row>
    <row r="803" spans="8:9" x14ac:dyDescent="0.3">
      <c r="H803" s="153" t="s">
        <v>2037</v>
      </c>
      <c r="I803" s="153" t="s">
        <v>2802</v>
      </c>
    </row>
    <row r="804" spans="8:9" x14ac:dyDescent="0.3">
      <c r="H804" s="153" t="s">
        <v>2041</v>
      </c>
      <c r="I804" s="153" t="s">
        <v>2802</v>
      </c>
    </row>
    <row r="805" spans="8:9" x14ac:dyDescent="0.3">
      <c r="H805" s="153" t="s">
        <v>2032</v>
      </c>
      <c r="I805" s="153" t="s">
        <v>2802</v>
      </c>
    </row>
    <row r="806" spans="8:9" x14ac:dyDescent="0.3">
      <c r="H806" s="153" t="s">
        <v>2032</v>
      </c>
      <c r="I806" s="153" t="s">
        <v>2802</v>
      </c>
    </row>
    <row r="807" spans="8:9" x14ac:dyDescent="0.3">
      <c r="H807" s="153" t="s">
        <v>2032</v>
      </c>
      <c r="I807" s="153" t="s">
        <v>2802</v>
      </c>
    </row>
    <row r="808" spans="8:9" x14ac:dyDescent="0.3">
      <c r="H808" s="153" t="s">
        <v>2039</v>
      </c>
      <c r="I808" s="153" t="s">
        <v>2802</v>
      </c>
    </row>
    <row r="809" spans="8:9" x14ac:dyDescent="0.3">
      <c r="H809" s="153" t="s">
        <v>2039</v>
      </c>
      <c r="I809" s="153" t="s">
        <v>2802</v>
      </c>
    </row>
    <row r="810" spans="8:9" x14ac:dyDescent="0.3">
      <c r="H810" s="153" t="s">
        <v>2038</v>
      </c>
      <c r="I810" s="153" t="s">
        <v>2802</v>
      </c>
    </row>
    <row r="811" spans="8:9" x14ac:dyDescent="0.3">
      <c r="H811" s="153" t="s">
        <v>2041</v>
      </c>
      <c r="I811" s="153" t="s">
        <v>2802</v>
      </c>
    </row>
    <row r="812" spans="8:9" x14ac:dyDescent="0.3">
      <c r="H812" s="153" t="s">
        <v>2041</v>
      </c>
      <c r="I812" s="153" t="s">
        <v>2802</v>
      </c>
    </row>
    <row r="813" spans="8:9" x14ac:dyDescent="0.3">
      <c r="H813" s="153" t="s">
        <v>2041</v>
      </c>
      <c r="I813" s="153" t="s">
        <v>2802</v>
      </c>
    </row>
    <row r="814" spans="8:9" x14ac:dyDescent="0.3">
      <c r="H814" s="153" t="s">
        <v>2028</v>
      </c>
      <c r="I814" s="153" t="s">
        <v>2023</v>
      </c>
    </row>
    <row r="815" spans="8:9" x14ac:dyDescent="0.3">
      <c r="H815" s="153" t="s">
        <v>2037</v>
      </c>
      <c r="I815" s="153" t="s">
        <v>2802</v>
      </c>
    </row>
    <row r="816" spans="8:9" x14ac:dyDescent="0.3">
      <c r="H816" s="153" t="s">
        <v>2039</v>
      </c>
      <c r="I816" s="153" t="s">
        <v>2802</v>
      </c>
    </row>
    <row r="817" spans="8:9" x14ac:dyDescent="0.3">
      <c r="H817" s="153" t="s">
        <v>2035</v>
      </c>
      <c r="I817" s="153" t="s">
        <v>2802</v>
      </c>
    </row>
    <row r="818" spans="8:9" x14ac:dyDescent="0.3">
      <c r="H818" s="153" t="s">
        <v>2039</v>
      </c>
      <c r="I818" s="153" t="s">
        <v>2802</v>
      </c>
    </row>
    <row r="819" spans="8:9" x14ac:dyDescent="0.3">
      <c r="H819" s="153" t="s">
        <v>2039</v>
      </c>
      <c r="I819" s="153" t="s">
        <v>2802</v>
      </c>
    </row>
    <row r="820" spans="8:9" x14ac:dyDescent="0.3">
      <c r="H820" s="153" t="s">
        <v>2041</v>
      </c>
      <c r="I820" s="153" t="s">
        <v>2802</v>
      </c>
    </row>
    <row r="821" spans="8:9" x14ac:dyDescent="0.3">
      <c r="H821" s="153" t="s">
        <v>2946</v>
      </c>
      <c r="I821" s="153" t="s">
        <v>2802</v>
      </c>
    </row>
    <row r="822" spans="8:9" x14ac:dyDescent="0.3">
      <c r="H822" s="153" t="s">
        <v>2041</v>
      </c>
      <c r="I822" s="153" t="s">
        <v>2802</v>
      </c>
    </row>
    <row r="823" spans="8:9" x14ac:dyDescent="0.3">
      <c r="H823" s="153" t="s">
        <v>2037</v>
      </c>
      <c r="I823" s="153" t="s">
        <v>2802</v>
      </c>
    </row>
    <row r="824" spans="8:9" x14ac:dyDescent="0.3">
      <c r="H824" s="153" t="s">
        <v>2039</v>
      </c>
      <c r="I824" s="153" t="s">
        <v>2802</v>
      </c>
    </row>
    <row r="825" spans="8:9" x14ac:dyDescent="0.3">
      <c r="H825" s="153" t="s">
        <v>2028</v>
      </c>
      <c r="I825" s="153" t="s">
        <v>2023</v>
      </c>
    </row>
    <row r="826" spans="8:9" x14ac:dyDescent="0.3">
      <c r="H826" s="153" t="s">
        <v>2037</v>
      </c>
      <c r="I826" s="153" t="s">
        <v>2802</v>
      </c>
    </row>
    <row r="827" spans="8:9" x14ac:dyDescent="0.3">
      <c r="H827" s="153" t="s">
        <v>2037</v>
      </c>
      <c r="I827" s="153" t="s">
        <v>2802</v>
      </c>
    </row>
    <row r="828" spans="8:9" x14ac:dyDescent="0.3">
      <c r="H828" s="153" t="s">
        <v>2037</v>
      </c>
      <c r="I828" s="153" t="s">
        <v>2802</v>
      </c>
    </row>
    <row r="829" spans="8:9" x14ac:dyDescent="0.3">
      <c r="H829" s="153" t="s">
        <v>2037</v>
      </c>
      <c r="I829" s="153" t="s">
        <v>2802</v>
      </c>
    </row>
    <row r="830" spans="8:9" x14ac:dyDescent="0.3">
      <c r="H830" s="153" t="s">
        <v>2037</v>
      </c>
      <c r="I830" s="153" t="s">
        <v>2802</v>
      </c>
    </row>
    <row r="831" spans="8:9" x14ac:dyDescent="0.3">
      <c r="H831" s="153" t="s">
        <v>2037</v>
      </c>
      <c r="I831" s="153" t="s">
        <v>2802</v>
      </c>
    </row>
    <row r="832" spans="8:9" x14ac:dyDescent="0.3">
      <c r="H832" s="153" t="s">
        <v>2037</v>
      </c>
      <c r="I832" s="153" t="s">
        <v>2802</v>
      </c>
    </row>
    <row r="833" spans="8:9" x14ac:dyDescent="0.3">
      <c r="H833" s="153" t="s">
        <v>2037</v>
      </c>
      <c r="I833" s="153" t="s">
        <v>2802</v>
      </c>
    </row>
    <row r="834" spans="8:9" x14ac:dyDescent="0.3">
      <c r="H834" s="153" t="s">
        <v>2037</v>
      </c>
      <c r="I834" s="153" t="s">
        <v>2802</v>
      </c>
    </row>
    <row r="835" spans="8:9" x14ac:dyDescent="0.3">
      <c r="H835" s="153" t="s">
        <v>2037</v>
      </c>
      <c r="I835" s="153" t="s">
        <v>2802</v>
      </c>
    </row>
    <row r="836" spans="8:9" x14ac:dyDescent="0.3">
      <c r="H836" s="153" t="s">
        <v>2037</v>
      </c>
      <c r="I836" s="153" t="s">
        <v>2802</v>
      </c>
    </row>
    <row r="837" spans="8:9" x14ac:dyDescent="0.3">
      <c r="H837" s="153" t="s">
        <v>2037</v>
      </c>
      <c r="I837" s="153" t="s">
        <v>2802</v>
      </c>
    </row>
    <row r="838" spans="8:9" x14ac:dyDescent="0.3">
      <c r="H838" s="153" t="s">
        <v>2037</v>
      </c>
      <c r="I838" s="153" t="s">
        <v>2802</v>
      </c>
    </row>
    <row r="839" spans="8:9" x14ac:dyDescent="0.3">
      <c r="H839" s="153" t="s">
        <v>2037</v>
      </c>
      <c r="I839" s="153" t="s">
        <v>2802</v>
      </c>
    </row>
    <row r="840" spans="8:9" x14ac:dyDescent="0.3">
      <c r="H840" s="153" t="s">
        <v>2037</v>
      </c>
      <c r="I840" s="153" t="s">
        <v>2802</v>
      </c>
    </row>
    <row r="841" spans="8:9" x14ac:dyDescent="0.3">
      <c r="H841" s="153" t="s">
        <v>2037</v>
      </c>
      <c r="I841" s="153" t="s">
        <v>2802</v>
      </c>
    </row>
    <row r="842" spans="8:9" x14ac:dyDescent="0.3">
      <c r="H842" s="153" t="s">
        <v>2037</v>
      </c>
      <c r="I842" s="153" t="s">
        <v>2802</v>
      </c>
    </row>
    <row r="843" spans="8:9" x14ac:dyDescent="0.3">
      <c r="H843" s="153" t="s">
        <v>2037</v>
      </c>
      <c r="I843" s="153" t="s">
        <v>2802</v>
      </c>
    </row>
    <row r="844" spans="8:9" x14ac:dyDescent="0.3">
      <c r="H844" s="153" t="s">
        <v>2037</v>
      </c>
      <c r="I844" s="153" t="s">
        <v>2802</v>
      </c>
    </row>
    <row r="845" spans="8:9" x14ac:dyDescent="0.3">
      <c r="H845" s="153" t="s">
        <v>2037</v>
      </c>
      <c r="I845" s="153" t="s">
        <v>2802</v>
      </c>
    </row>
    <row r="846" spans="8:9" x14ac:dyDescent="0.3">
      <c r="H846" s="153" t="s">
        <v>2039</v>
      </c>
      <c r="I846" s="153" t="s">
        <v>2802</v>
      </c>
    </row>
    <row r="847" spans="8:9" x14ac:dyDescent="0.3">
      <c r="H847" s="153" t="s">
        <v>2032</v>
      </c>
      <c r="I847" s="153" t="s">
        <v>2802</v>
      </c>
    </row>
    <row r="848" spans="8:9" x14ac:dyDescent="0.3">
      <c r="H848" s="153" t="s">
        <v>2032</v>
      </c>
      <c r="I848" s="153" t="s">
        <v>2802</v>
      </c>
    </row>
    <row r="849" spans="8:9" x14ac:dyDescent="0.3">
      <c r="H849" s="153" t="s">
        <v>2039</v>
      </c>
      <c r="I849" s="153" t="s">
        <v>2802</v>
      </c>
    </row>
    <row r="850" spans="8:9" x14ac:dyDescent="0.3">
      <c r="H850" s="153" t="s">
        <v>2906</v>
      </c>
      <c r="I850" s="153" t="s">
        <v>2802</v>
      </c>
    </row>
    <row r="851" spans="8:9" x14ac:dyDescent="0.3">
      <c r="H851" s="153" t="s">
        <v>2037</v>
      </c>
      <c r="I851" s="153" t="s">
        <v>2802</v>
      </c>
    </row>
    <row r="852" spans="8:9" x14ac:dyDescent="0.3">
      <c r="H852" s="153" t="s">
        <v>2037</v>
      </c>
      <c r="I852" s="153" t="s">
        <v>2802</v>
      </c>
    </row>
    <row r="853" spans="8:9" x14ac:dyDescent="0.3">
      <c r="H853" s="153" t="s">
        <v>2037</v>
      </c>
      <c r="I853" s="153" t="s">
        <v>2802</v>
      </c>
    </row>
    <row r="854" spans="8:9" x14ac:dyDescent="0.3">
      <c r="H854" s="153" t="s">
        <v>2054</v>
      </c>
      <c r="I854" s="153" t="s">
        <v>2802</v>
      </c>
    </row>
    <row r="855" spans="8:9" x14ac:dyDescent="0.3">
      <c r="H855" s="153" t="s">
        <v>2038</v>
      </c>
      <c r="I855" s="153" t="s">
        <v>2802</v>
      </c>
    </row>
    <row r="856" spans="8:9" x14ac:dyDescent="0.3">
      <c r="H856" s="153" t="s">
        <v>2037</v>
      </c>
      <c r="I856" s="153" t="s">
        <v>2802</v>
      </c>
    </row>
    <row r="857" spans="8:9" x14ac:dyDescent="0.3">
      <c r="H857" s="153" t="s">
        <v>2063</v>
      </c>
      <c r="I857" s="153" t="s">
        <v>2802</v>
      </c>
    </row>
    <row r="858" spans="8:9" x14ac:dyDescent="0.3">
      <c r="H858" s="153" t="s">
        <v>2037</v>
      </c>
      <c r="I858" s="153" t="s">
        <v>2802</v>
      </c>
    </row>
    <row r="859" spans="8:9" x14ac:dyDescent="0.3">
      <c r="H859" s="153" t="s">
        <v>2041</v>
      </c>
      <c r="I859" s="153" t="s">
        <v>2802</v>
      </c>
    </row>
    <row r="860" spans="8:9" x14ac:dyDescent="0.3">
      <c r="H860" s="153" t="s">
        <v>2028</v>
      </c>
      <c r="I860" s="153" t="s">
        <v>2023</v>
      </c>
    </row>
    <row r="861" spans="8:9" x14ac:dyDescent="0.3">
      <c r="H861" s="153" t="s">
        <v>2037</v>
      </c>
      <c r="I861" s="153" t="s">
        <v>2802</v>
      </c>
    </row>
    <row r="862" spans="8:9" x14ac:dyDescent="0.3">
      <c r="H862" s="153" t="s">
        <v>2037</v>
      </c>
      <c r="I862" s="153" t="s">
        <v>2802</v>
      </c>
    </row>
    <row r="863" spans="8:9" x14ac:dyDescent="0.3">
      <c r="H863" s="153" t="s">
        <v>2037</v>
      </c>
      <c r="I863" s="153" t="s">
        <v>2802</v>
      </c>
    </row>
    <row r="864" spans="8:9" x14ac:dyDescent="0.3">
      <c r="H864" s="153" t="s">
        <v>2028</v>
      </c>
      <c r="I864" s="153" t="s">
        <v>2023</v>
      </c>
    </row>
    <row r="865" spans="8:9" x14ac:dyDescent="0.3">
      <c r="H865" s="153" t="s">
        <v>2041</v>
      </c>
      <c r="I865" s="153" t="s">
        <v>2802</v>
      </c>
    </row>
    <row r="866" spans="8:9" x14ac:dyDescent="0.3">
      <c r="H866" s="153" t="s">
        <v>2057</v>
      </c>
      <c r="I866" s="153" t="s">
        <v>2024</v>
      </c>
    </row>
    <row r="867" spans="8:9" x14ac:dyDescent="0.3">
      <c r="H867" s="153" t="s">
        <v>2062</v>
      </c>
      <c r="I867" s="153" t="s">
        <v>2023</v>
      </c>
    </row>
    <row r="868" spans="8:9" x14ac:dyDescent="0.3">
      <c r="H868" s="153" t="s">
        <v>2039</v>
      </c>
      <c r="I868" s="153" t="s">
        <v>2802</v>
      </c>
    </row>
    <row r="869" spans="8:9" x14ac:dyDescent="0.3">
      <c r="H869" s="153" t="s">
        <v>2062</v>
      </c>
      <c r="I869" s="153" t="s">
        <v>2023</v>
      </c>
    </row>
    <row r="870" spans="8:9" x14ac:dyDescent="0.3">
      <c r="H870" s="153" t="s">
        <v>2037</v>
      </c>
      <c r="I870" s="153" t="s">
        <v>2802</v>
      </c>
    </row>
    <row r="871" spans="8:9" x14ac:dyDescent="0.3">
      <c r="H871" s="153" t="s">
        <v>2037</v>
      </c>
      <c r="I871" s="153" t="s">
        <v>2802</v>
      </c>
    </row>
    <row r="872" spans="8:9" x14ac:dyDescent="0.3">
      <c r="H872" s="153" t="s">
        <v>2067</v>
      </c>
      <c r="I872" s="153" t="s">
        <v>2024</v>
      </c>
    </row>
    <row r="873" spans="8:9" x14ac:dyDescent="0.3">
      <c r="H873" s="153" t="s">
        <v>2034</v>
      </c>
      <c r="I873" s="153" t="s">
        <v>2802</v>
      </c>
    </row>
    <row r="874" spans="8:9" x14ac:dyDescent="0.3">
      <c r="H874" s="153" t="s">
        <v>2046</v>
      </c>
      <c r="I874" s="153" t="s">
        <v>2802</v>
      </c>
    </row>
    <row r="875" spans="8:9" x14ac:dyDescent="0.3">
      <c r="H875" s="153" t="s">
        <v>2046</v>
      </c>
      <c r="I875" s="153" t="s">
        <v>2802</v>
      </c>
    </row>
    <row r="876" spans="8:9" x14ac:dyDescent="0.3">
      <c r="H876" s="153" t="s">
        <v>2037</v>
      </c>
      <c r="I876" s="153" t="s">
        <v>2802</v>
      </c>
    </row>
    <row r="877" spans="8:9" x14ac:dyDescent="0.3">
      <c r="H877" s="153" t="s">
        <v>2037</v>
      </c>
      <c r="I877" s="153" t="s">
        <v>2802</v>
      </c>
    </row>
    <row r="878" spans="8:9" x14ac:dyDescent="0.3">
      <c r="H878" s="153" t="s">
        <v>2061</v>
      </c>
      <c r="I878" s="153" t="s">
        <v>2802</v>
      </c>
    </row>
    <row r="879" spans="8:9" x14ac:dyDescent="0.3">
      <c r="H879" s="153" t="s">
        <v>2028</v>
      </c>
      <c r="I879" s="153" t="s">
        <v>2023</v>
      </c>
    </row>
    <row r="880" spans="8:9" x14ac:dyDescent="0.3">
      <c r="H880" s="153" t="s">
        <v>2037</v>
      </c>
      <c r="I880" s="153" t="s">
        <v>2802</v>
      </c>
    </row>
    <row r="881" spans="8:9" x14ac:dyDescent="0.3">
      <c r="H881" s="153" t="s">
        <v>2061</v>
      </c>
      <c r="I881" s="153" t="s">
        <v>2802</v>
      </c>
    </row>
    <row r="882" spans="8:9" x14ac:dyDescent="0.3">
      <c r="H882" s="153" t="s">
        <v>2041</v>
      </c>
      <c r="I882" s="153" t="s">
        <v>2802</v>
      </c>
    </row>
    <row r="883" spans="8:9" x14ac:dyDescent="0.3">
      <c r="H883" s="153" t="s">
        <v>2037</v>
      </c>
      <c r="I883" s="153" t="s">
        <v>2802</v>
      </c>
    </row>
    <row r="884" spans="8:9" x14ac:dyDescent="0.3">
      <c r="H884" s="153" t="s">
        <v>2059</v>
      </c>
      <c r="I884" s="153" t="s">
        <v>2024</v>
      </c>
    </row>
    <row r="885" spans="8:9" x14ac:dyDescent="0.3">
      <c r="H885" s="153" t="s">
        <v>2028</v>
      </c>
      <c r="I885" s="153" t="s">
        <v>2023</v>
      </c>
    </row>
    <row r="886" spans="8:9" x14ac:dyDescent="0.3">
      <c r="H886" s="153" t="s">
        <v>2037</v>
      </c>
      <c r="I886" s="153" t="s">
        <v>2802</v>
      </c>
    </row>
    <row r="887" spans="8:9" x14ac:dyDescent="0.3">
      <c r="H887" s="153" t="s">
        <v>2037</v>
      </c>
      <c r="I887" s="153" t="s">
        <v>2802</v>
      </c>
    </row>
    <row r="888" spans="8:9" x14ac:dyDescent="0.3">
      <c r="H888" s="153" t="s">
        <v>2037</v>
      </c>
      <c r="I888" s="153" t="s">
        <v>2802</v>
      </c>
    </row>
    <row r="889" spans="8:9" x14ac:dyDescent="0.3">
      <c r="H889" s="153" t="s">
        <v>2061</v>
      </c>
      <c r="I889" s="153" t="s">
        <v>2802</v>
      </c>
    </row>
    <row r="890" spans="8:9" x14ac:dyDescent="0.3">
      <c r="H890" s="153" t="s">
        <v>2037</v>
      </c>
      <c r="I890" s="153" t="s">
        <v>2802</v>
      </c>
    </row>
    <row r="891" spans="8:9" x14ac:dyDescent="0.3">
      <c r="H891" s="153" t="s">
        <v>2037</v>
      </c>
      <c r="I891" s="153" t="s">
        <v>2802</v>
      </c>
    </row>
    <row r="892" spans="8:9" x14ac:dyDescent="0.3">
      <c r="H892" s="153" t="s">
        <v>2037</v>
      </c>
      <c r="I892" s="153" t="s">
        <v>2802</v>
      </c>
    </row>
    <row r="893" spans="8:9" x14ac:dyDescent="0.3">
      <c r="H893" s="153" t="s">
        <v>2037</v>
      </c>
      <c r="I893" s="153" t="s">
        <v>2802</v>
      </c>
    </row>
    <row r="894" spans="8:9" x14ac:dyDescent="0.3">
      <c r="H894" s="153" t="s">
        <v>2037</v>
      </c>
      <c r="I894" s="153" t="s">
        <v>2802</v>
      </c>
    </row>
    <row r="895" spans="8:9" x14ac:dyDescent="0.3">
      <c r="H895" s="153" t="s">
        <v>2037</v>
      </c>
      <c r="I895" s="153" t="s">
        <v>2802</v>
      </c>
    </row>
    <row r="896" spans="8:9" x14ac:dyDescent="0.3">
      <c r="H896" s="153" t="s">
        <v>2037</v>
      </c>
      <c r="I896" s="153" t="s">
        <v>2802</v>
      </c>
    </row>
    <row r="897" spans="8:9" x14ac:dyDescent="0.3">
      <c r="H897" s="153" t="s">
        <v>2037</v>
      </c>
      <c r="I897" s="153" t="s">
        <v>2802</v>
      </c>
    </row>
    <row r="898" spans="8:9" x14ac:dyDescent="0.3">
      <c r="H898" s="153" t="s">
        <v>2037</v>
      </c>
      <c r="I898" s="153" t="s">
        <v>2802</v>
      </c>
    </row>
    <row r="899" spans="8:9" x14ac:dyDescent="0.3">
      <c r="H899" s="153" t="s">
        <v>2037</v>
      </c>
      <c r="I899" s="153" t="s">
        <v>2802</v>
      </c>
    </row>
    <row r="900" spans="8:9" x14ac:dyDescent="0.3">
      <c r="H900" s="153" t="s">
        <v>2037</v>
      </c>
      <c r="I900" s="153" t="s">
        <v>2802</v>
      </c>
    </row>
    <row r="901" spans="8:9" x14ac:dyDescent="0.3">
      <c r="H901" s="153" t="s">
        <v>2037</v>
      </c>
      <c r="I901" s="153" t="s">
        <v>2802</v>
      </c>
    </row>
    <row r="902" spans="8:9" x14ac:dyDescent="0.3">
      <c r="H902" s="153" t="s">
        <v>2037</v>
      </c>
      <c r="I902" s="153" t="s">
        <v>2802</v>
      </c>
    </row>
    <row r="903" spans="8:9" x14ac:dyDescent="0.3">
      <c r="H903" s="153" t="s">
        <v>2037</v>
      </c>
      <c r="I903" s="153" t="s">
        <v>2802</v>
      </c>
    </row>
    <row r="904" spans="8:9" x14ac:dyDescent="0.3">
      <c r="H904" s="153" t="s">
        <v>2037</v>
      </c>
      <c r="I904" s="153" t="s">
        <v>2802</v>
      </c>
    </row>
    <row r="905" spans="8:9" x14ac:dyDescent="0.3">
      <c r="H905" s="153" t="s">
        <v>2037</v>
      </c>
      <c r="I905" s="153" t="s">
        <v>2802</v>
      </c>
    </row>
    <row r="906" spans="8:9" x14ac:dyDescent="0.3">
      <c r="H906" s="153" t="s">
        <v>2037</v>
      </c>
      <c r="I906" s="153" t="s">
        <v>2802</v>
      </c>
    </row>
    <row r="907" spans="8:9" x14ac:dyDescent="0.3">
      <c r="H907" s="153" t="s">
        <v>2037</v>
      </c>
      <c r="I907" s="153" t="s">
        <v>2802</v>
      </c>
    </row>
    <row r="908" spans="8:9" x14ac:dyDescent="0.3">
      <c r="H908" s="153" t="s">
        <v>2037</v>
      </c>
      <c r="I908" s="153" t="s">
        <v>2802</v>
      </c>
    </row>
    <row r="909" spans="8:9" x14ac:dyDescent="0.3">
      <c r="H909" s="153" t="s">
        <v>2037</v>
      </c>
      <c r="I909" s="153" t="s">
        <v>2802</v>
      </c>
    </row>
    <row r="910" spans="8:9" x14ac:dyDescent="0.3">
      <c r="H910" s="153" t="s">
        <v>2040</v>
      </c>
      <c r="I910" s="153" t="s">
        <v>2802</v>
      </c>
    </row>
    <row r="911" spans="8:9" x14ac:dyDescent="0.3">
      <c r="H911" s="153" t="s">
        <v>2059</v>
      </c>
      <c r="I911" s="153" t="s">
        <v>2024</v>
      </c>
    </row>
    <row r="912" spans="8:9" x14ac:dyDescent="0.3">
      <c r="H912" s="153" t="s">
        <v>2028</v>
      </c>
      <c r="I912" s="153" t="s">
        <v>2023</v>
      </c>
    </row>
    <row r="913" spans="8:9" x14ac:dyDescent="0.3">
      <c r="H913" s="153" t="s">
        <v>2028</v>
      </c>
      <c r="I913" s="153" t="s">
        <v>2023</v>
      </c>
    </row>
    <row r="914" spans="8:9" x14ac:dyDescent="0.3">
      <c r="H914" s="153" t="s">
        <v>2028</v>
      </c>
      <c r="I914" s="153" t="s">
        <v>2023</v>
      </c>
    </row>
    <row r="915" spans="8:9" x14ac:dyDescent="0.3">
      <c r="H915" s="153" t="s">
        <v>2028</v>
      </c>
      <c r="I915" s="153" t="s">
        <v>2023</v>
      </c>
    </row>
    <row r="916" spans="8:9" x14ac:dyDescent="0.3">
      <c r="H916" s="153" t="s">
        <v>2028</v>
      </c>
      <c r="I916" s="153" t="s">
        <v>2023</v>
      </c>
    </row>
    <row r="917" spans="8:9" x14ac:dyDescent="0.3">
      <c r="H917" s="153" t="s">
        <v>2028</v>
      </c>
      <c r="I917" s="153" t="s">
        <v>2023</v>
      </c>
    </row>
    <row r="918" spans="8:9" x14ac:dyDescent="0.3">
      <c r="H918" s="153" t="s">
        <v>2028</v>
      </c>
      <c r="I918" s="153" t="s">
        <v>2023</v>
      </c>
    </row>
    <row r="919" spans="8:9" x14ac:dyDescent="0.3">
      <c r="H919" s="153" t="s">
        <v>2028</v>
      </c>
      <c r="I919" s="153" t="s">
        <v>2023</v>
      </c>
    </row>
    <row r="920" spans="8:9" x14ac:dyDescent="0.3">
      <c r="H920" s="153" t="s">
        <v>2028</v>
      </c>
      <c r="I920" s="153" t="s">
        <v>2023</v>
      </c>
    </row>
    <row r="921" spans="8:9" x14ac:dyDescent="0.3">
      <c r="H921" s="153" t="s">
        <v>2028</v>
      </c>
      <c r="I921" s="153" t="s">
        <v>2023</v>
      </c>
    </row>
    <row r="922" spans="8:9" x14ac:dyDescent="0.3">
      <c r="H922" s="153" t="s">
        <v>2065</v>
      </c>
      <c r="I922" s="153" t="s">
        <v>2859</v>
      </c>
    </row>
    <row r="923" spans="8:9" x14ac:dyDescent="0.3">
      <c r="H923" s="153" t="s">
        <v>2065</v>
      </c>
      <c r="I923" s="153" t="s">
        <v>2859</v>
      </c>
    </row>
    <row r="924" spans="8:9" x14ac:dyDescent="0.3">
      <c r="H924" s="153" t="s">
        <v>2065</v>
      </c>
      <c r="I924" s="153" t="s">
        <v>2859</v>
      </c>
    </row>
    <row r="925" spans="8:9" x14ac:dyDescent="0.3">
      <c r="H925" s="153" t="s">
        <v>2065</v>
      </c>
      <c r="I925" s="153" t="s">
        <v>2859</v>
      </c>
    </row>
    <row r="926" spans="8:9" x14ac:dyDescent="0.3">
      <c r="H926" s="153" t="s">
        <v>2065</v>
      </c>
      <c r="I926" s="153" t="s">
        <v>2859</v>
      </c>
    </row>
    <row r="927" spans="8:9" x14ac:dyDescent="0.3">
      <c r="H927" s="153" t="s">
        <v>2065</v>
      </c>
      <c r="I927" s="153" t="s">
        <v>2859</v>
      </c>
    </row>
    <row r="928" spans="8:9" x14ac:dyDescent="0.3">
      <c r="H928" s="153" t="s">
        <v>2065</v>
      </c>
      <c r="I928" s="153" t="s">
        <v>2859</v>
      </c>
    </row>
    <row r="929" spans="8:9" x14ac:dyDescent="0.3">
      <c r="H929" s="153" t="s">
        <v>2066</v>
      </c>
      <c r="I929" s="153" t="s">
        <v>2859</v>
      </c>
    </row>
    <row r="930" spans="8:9" x14ac:dyDescent="0.3">
      <c r="H930" s="153" t="s">
        <v>2066</v>
      </c>
      <c r="I930" s="153" t="s">
        <v>2859</v>
      </c>
    </row>
    <row r="931" spans="8:9" x14ac:dyDescent="0.3">
      <c r="H931" s="153" t="s">
        <v>2066</v>
      </c>
      <c r="I931" s="153" t="s">
        <v>2859</v>
      </c>
    </row>
    <row r="932" spans="8:9" x14ac:dyDescent="0.3">
      <c r="H932" s="153" t="s">
        <v>2067</v>
      </c>
      <c r="I932" s="153" t="s">
        <v>2024</v>
      </c>
    </row>
    <row r="933" spans="8:9" x14ac:dyDescent="0.3">
      <c r="H933" s="153" t="s">
        <v>2037</v>
      </c>
      <c r="I933" s="153" t="s">
        <v>2802</v>
      </c>
    </row>
    <row r="934" spans="8:9" x14ac:dyDescent="0.3">
      <c r="H934" s="153" t="s">
        <v>2028</v>
      </c>
      <c r="I934" s="153" t="s">
        <v>2023</v>
      </c>
    </row>
    <row r="935" spans="8:9" x14ac:dyDescent="0.3">
      <c r="H935" s="153" t="s">
        <v>2028</v>
      </c>
      <c r="I935" s="153" t="s">
        <v>2023</v>
      </c>
    </row>
    <row r="936" spans="8:9" x14ac:dyDescent="0.3">
      <c r="H936" s="153" t="s">
        <v>2039</v>
      </c>
      <c r="I936" s="153" t="s">
        <v>2802</v>
      </c>
    </row>
    <row r="937" spans="8:9" x14ac:dyDescent="0.3">
      <c r="H937" s="153" t="s">
        <v>2041</v>
      </c>
      <c r="I937" s="153" t="s">
        <v>2802</v>
      </c>
    </row>
    <row r="938" spans="8:9" x14ac:dyDescent="0.3">
      <c r="H938" s="153" t="s">
        <v>2059</v>
      </c>
      <c r="I938" s="153" t="s">
        <v>2024</v>
      </c>
    </row>
    <row r="939" spans="8:9" x14ac:dyDescent="0.3">
      <c r="H939" s="153" t="s">
        <v>2063</v>
      </c>
      <c r="I939" s="153" t="s">
        <v>2802</v>
      </c>
    </row>
    <row r="940" spans="8:9" x14ac:dyDescent="0.3">
      <c r="H940" s="153" t="s">
        <v>2028</v>
      </c>
      <c r="I940" s="153" t="s">
        <v>2023</v>
      </c>
    </row>
    <row r="941" spans="8:9" x14ac:dyDescent="0.3">
      <c r="H941" s="153" t="s">
        <v>2039</v>
      </c>
      <c r="I941" s="153" t="s">
        <v>2802</v>
      </c>
    </row>
    <row r="942" spans="8:9" x14ac:dyDescent="0.3">
      <c r="H942" s="153" t="s">
        <v>2041</v>
      </c>
      <c r="I942" s="153" t="s">
        <v>2802</v>
      </c>
    </row>
    <row r="943" spans="8:9" x14ac:dyDescent="0.3">
      <c r="H943" s="153" t="s">
        <v>2039</v>
      </c>
      <c r="I943" s="153" t="s">
        <v>2802</v>
      </c>
    </row>
    <row r="944" spans="8:9" x14ac:dyDescent="0.3">
      <c r="H944" s="153" t="s">
        <v>2028</v>
      </c>
      <c r="I944" s="153" t="s">
        <v>2023</v>
      </c>
    </row>
    <row r="945" spans="8:9" x14ac:dyDescent="0.3">
      <c r="H945" s="153" t="s">
        <v>2039</v>
      </c>
      <c r="I945" s="153" t="s">
        <v>2802</v>
      </c>
    </row>
    <row r="946" spans="8:9" x14ac:dyDescent="0.3">
      <c r="H946" s="153" t="s">
        <v>2041</v>
      </c>
      <c r="I946" s="153" t="s">
        <v>2802</v>
      </c>
    </row>
    <row r="947" spans="8:9" x14ac:dyDescent="0.3">
      <c r="H947" s="153" t="s">
        <v>2041</v>
      </c>
      <c r="I947" s="153" t="s">
        <v>2802</v>
      </c>
    </row>
    <row r="948" spans="8:9" x14ac:dyDescent="0.3">
      <c r="H948" s="153" t="s">
        <v>2041</v>
      </c>
      <c r="I948" s="153" t="s">
        <v>2802</v>
      </c>
    </row>
    <row r="949" spans="8:9" x14ac:dyDescent="0.3">
      <c r="H949" s="153" t="s">
        <v>2041</v>
      </c>
      <c r="I949" s="153" t="s">
        <v>2802</v>
      </c>
    </row>
    <row r="950" spans="8:9" x14ac:dyDescent="0.3">
      <c r="H950" s="153" t="s">
        <v>2028</v>
      </c>
      <c r="I950" s="153" t="s">
        <v>2023</v>
      </c>
    </row>
    <row r="951" spans="8:9" x14ac:dyDescent="0.3">
      <c r="H951" s="153" t="s">
        <v>2054</v>
      </c>
      <c r="I951" s="153" t="s">
        <v>2802</v>
      </c>
    </row>
    <row r="952" spans="8:9" x14ac:dyDescent="0.3">
      <c r="H952" s="153" t="s">
        <v>2028</v>
      </c>
      <c r="I952" s="153" t="s">
        <v>2023</v>
      </c>
    </row>
    <row r="953" spans="8:9" x14ac:dyDescent="0.3">
      <c r="H953" s="153" t="s">
        <v>2034</v>
      </c>
      <c r="I953" s="153" t="s">
        <v>2802</v>
      </c>
    </row>
    <row r="954" spans="8:9" x14ac:dyDescent="0.3">
      <c r="H954" s="153" t="s">
        <v>2037</v>
      </c>
      <c r="I954" s="153" t="s">
        <v>2802</v>
      </c>
    </row>
    <row r="955" spans="8:9" x14ac:dyDescent="0.3">
      <c r="H955" s="153" t="s">
        <v>2037</v>
      </c>
      <c r="I955" s="153" t="s">
        <v>2802</v>
      </c>
    </row>
    <row r="956" spans="8:9" x14ac:dyDescent="0.3">
      <c r="H956" s="153" t="s">
        <v>2039</v>
      </c>
      <c r="I956" s="153" t="s">
        <v>2802</v>
      </c>
    </row>
    <row r="957" spans="8:9" x14ac:dyDescent="0.3">
      <c r="H957" s="153" t="s">
        <v>2039</v>
      </c>
      <c r="I957" s="153" t="s">
        <v>2802</v>
      </c>
    </row>
    <row r="958" spans="8:9" x14ac:dyDescent="0.3">
      <c r="H958" s="153" t="s">
        <v>2059</v>
      </c>
      <c r="I958" s="153" t="s">
        <v>2024</v>
      </c>
    </row>
    <row r="959" spans="8:9" x14ac:dyDescent="0.3">
      <c r="H959" s="153" t="s">
        <v>2039</v>
      </c>
      <c r="I959" s="153" t="s">
        <v>2802</v>
      </c>
    </row>
    <row r="960" spans="8:9" x14ac:dyDescent="0.3">
      <c r="H960" s="153" t="s">
        <v>2039</v>
      </c>
      <c r="I960" s="153" t="s">
        <v>2802</v>
      </c>
    </row>
    <row r="961" spans="8:9" x14ac:dyDescent="0.3">
      <c r="H961" s="153" t="s">
        <v>2039</v>
      </c>
      <c r="I961" s="153" t="s">
        <v>2802</v>
      </c>
    </row>
    <row r="962" spans="8:9" x14ac:dyDescent="0.3">
      <c r="H962" s="153" t="s">
        <v>2041</v>
      </c>
      <c r="I962" s="153" t="s">
        <v>2802</v>
      </c>
    </row>
    <row r="963" spans="8:9" x14ac:dyDescent="0.3">
      <c r="H963" s="153" t="s">
        <v>2037</v>
      </c>
      <c r="I963" s="153" t="s">
        <v>2802</v>
      </c>
    </row>
    <row r="964" spans="8:9" x14ac:dyDescent="0.3">
      <c r="H964" s="153" t="s">
        <v>2037</v>
      </c>
      <c r="I964" s="153" t="s">
        <v>2802</v>
      </c>
    </row>
    <row r="965" spans="8:9" x14ac:dyDescent="0.3">
      <c r="H965" s="153" t="s">
        <v>2040</v>
      </c>
      <c r="I965" s="153" t="s">
        <v>2802</v>
      </c>
    </row>
    <row r="966" spans="8:9" x14ac:dyDescent="0.3">
      <c r="H966" s="153" t="s">
        <v>2040</v>
      </c>
      <c r="I966" s="153" t="s">
        <v>2802</v>
      </c>
    </row>
    <row r="967" spans="8:9" x14ac:dyDescent="0.3">
      <c r="H967" s="153" t="s">
        <v>2032</v>
      </c>
      <c r="I967" s="153" t="s">
        <v>2802</v>
      </c>
    </row>
    <row r="968" spans="8:9" x14ac:dyDescent="0.3">
      <c r="H968" s="153" t="s">
        <v>2037</v>
      </c>
      <c r="I968" s="153" t="s">
        <v>2802</v>
      </c>
    </row>
    <row r="969" spans="8:9" x14ac:dyDescent="0.3">
      <c r="H969" s="153" t="s">
        <v>2037</v>
      </c>
      <c r="I969" s="153" t="s">
        <v>2802</v>
      </c>
    </row>
    <row r="970" spans="8:9" x14ac:dyDescent="0.3">
      <c r="H970" s="153" t="s">
        <v>2061</v>
      </c>
      <c r="I970" s="153" t="s">
        <v>2802</v>
      </c>
    </row>
    <row r="971" spans="8:9" x14ac:dyDescent="0.3">
      <c r="H971" s="153" t="s">
        <v>2028</v>
      </c>
      <c r="I971" s="153" t="s">
        <v>2023</v>
      </c>
    </row>
    <row r="972" spans="8:9" x14ac:dyDescent="0.3">
      <c r="H972" s="153" t="s">
        <v>2037</v>
      </c>
      <c r="I972" s="153" t="s">
        <v>2802</v>
      </c>
    </row>
    <row r="973" spans="8:9" x14ac:dyDescent="0.3">
      <c r="H973" s="153" t="s">
        <v>2056</v>
      </c>
      <c r="I973" s="153" t="s">
        <v>2802</v>
      </c>
    </row>
    <row r="974" spans="8:9" x14ac:dyDescent="0.3">
      <c r="H974" s="153" t="s">
        <v>2047</v>
      </c>
      <c r="I974" s="153" t="s">
        <v>2802</v>
      </c>
    </row>
    <row r="975" spans="8:9" x14ac:dyDescent="0.3">
      <c r="H975" s="153" t="s">
        <v>2047</v>
      </c>
      <c r="I975" s="153" t="s">
        <v>2802</v>
      </c>
    </row>
    <row r="976" spans="8:9" x14ac:dyDescent="0.3">
      <c r="H976" s="153" t="s">
        <v>2041</v>
      </c>
      <c r="I976" s="153" t="s">
        <v>2802</v>
      </c>
    </row>
    <row r="977" spans="8:9" x14ac:dyDescent="0.3">
      <c r="H977" s="153" t="s">
        <v>2041</v>
      </c>
      <c r="I977" s="153" t="s">
        <v>2802</v>
      </c>
    </row>
    <row r="978" spans="8:9" x14ac:dyDescent="0.3">
      <c r="H978" s="153" t="s">
        <v>2041</v>
      </c>
      <c r="I978" s="153" t="s">
        <v>2802</v>
      </c>
    </row>
    <row r="979" spans="8:9" x14ac:dyDescent="0.3">
      <c r="H979" s="153" t="s">
        <v>2039</v>
      </c>
      <c r="I979" s="153" t="s">
        <v>2802</v>
      </c>
    </row>
    <row r="980" spans="8:9" x14ac:dyDescent="0.3">
      <c r="H980" s="153" t="s">
        <v>2041</v>
      </c>
      <c r="I980" s="153" t="s">
        <v>2802</v>
      </c>
    </row>
    <row r="981" spans="8:9" x14ac:dyDescent="0.3">
      <c r="H981" s="153" t="s">
        <v>2041</v>
      </c>
      <c r="I981" s="153" t="s">
        <v>2802</v>
      </c>
    </row>
    <row r="982" spans="8:9" x14ac:dyDescent="0.3">
      <c r="H982" s="153" t="s">
        <v>2037</v>
      </c>
      <c r="I982" s="153" t="s">
        <v>2802</v>
      </c>
    </row>
    <row r="983" spans="8:9" x14ac:dyDescent="0.3">
      <c r="H983" s="153" t="s">
        <v>2037</v>
      </c>
      <c r="I983" s="153" t="s">
        <v>2802</v>
      </c>
    </row>
    <row r="984" spans="8:9" x14ac:dyDescent="0.3">
      <c r="H984" s="153" t="s">
        <v>2037</v>
      </c>
      <c r="I984" s="153" t="s">
        <v>2802</v>
      </c>
    </row>
    <row r="985" spans="8:9" x14ac:dyDescent="0.3">
      <c r="H985" s="153" t="s">
        <v>2041</v>
      </c>
      <c r="I985" s="153" t="s">
        <v>2802</v>
      </c>
    </row>
    <row r="986" spans="8:9" x14ac:dyDescent="0.3">
      <c r="H986" s="153" t="s">
        <v>2028</v>
      </c>
      <c r="I986" s="153" t="s">
        <v>2023</v>
      </c>
    </row>
    <row r="987" spans="8:9" x14ac:dyDescent="0.3">
      <c r="H987" s="153" t="s">
        <v>2059</v>
      </c>
      <c r="I987" s="153" t="s">
        <v>2024</v>
      </c>
    </row>
    <row r="988" spans="8:9" x14ac:dyDescent="0.3">
      <c r="H988" s="153" t="s">
        <v>2055</v>
      </c>
      <c r="I988" s="153" t="s">
        <v>2802</v>
      </c>
    </row>
    <row r="989" spans="8:9" x14ac:dyDescent="0.3">
      <c r="H989" s="153" t="s">
        <v>2947</v>
      </c>
      <c r="I989" s="153" t="s">
        <v>2802</v>
      </c>
    </row>
    <row r="990" spans="8:9" x14ac:dyDescent="0.3">
      <c r="H990" s="153" t="s">
        <v>2059</v>
      </c>
      <c r="I990" s="153" t="s">
        <v>2024</v>
      </c>
    </row>
    <row r="991" spans="8:9" x14ac:dyDescent="0.3">
      <c r="H991" s="153" t="s">
        <v>2947</v>
      </c>
      <c r="I991" s="153" t="s">
        <v>2802</v>
      </c>
    </row>
    <row r="992" spans="8:9" x14ac:dyDescent="0.3">
      <c r="H992" s="153" t="s">
        <v>2039</v>
      </c>
      <c r="I992" s="153" t="s">
        <v>2802</v>
      </c>
    </row>
    <row r="993" spans="8:9" x14ac:dyDescent="0.3">
      <c r="H993" s="153" t="s">
        <v>2028</v>
      </c>
      <c r="I993" s="153" t="s">
        <v>2023</v>
      </c>
    </row>
    <row r="994" spans="8:9" x14ac:dyDescent="0.3">
      <c r="H994" s="153" t="s">
        <v>2039</v>
      </c>
      <c r="I994" s="153" t="s">
        <v>2802</v>
      </c>
    </row>
    <row r="995" spans="8:9" x14ac:dyDescent="0.3">
      <c r="H995" s="153" t="s">
        <v>2043</v>
      </c>
      <c r="I995" s="153" t="s">
        <v>2802</v>
      </c>
    </row>
    <row r="996" spans="8:9" x14ac:dyDescent="0.3">
      <c r="H996" s="153" t="s">
        <v>2039</v>
      </c>
      <c r="I996" s="153" t="s">
        <v>2802</v>
      </c>
    </row>
    <row r="997" spans="8:9" x14ac:dyDescent="0.3">
      <c r="H997" s="153" t="s">
        <v>2028</v>
      </c>
      <c r="I997" s="153" t="s">
        <v>2023</v>
      </c>
    </row>
    <row r="998" spans="8:9" x14ac:dyDescent="0.3">
      <c r="H998" s="153" t="s">
        <v>2039</v>
      </c>
      <c r="I998" s="153" t="s">
        <v>2802</v>
      </c>
    </row>
    <row r="999" spans="8:9" x14ac:dyDescent="0.3">
      <c r="H999" s="153" t="s">
        <v>2062</v>
      </c>
      <c r="I999" s="153" t="s">
        <v>2023</v>
      </c>
    </row>
    <row r="1000" spans="8:9" x14ac:dyDescent="0.3">
      <c r="H1000" s="153" t="s">
        <v>2062</v>
      </c>
      <c r="I1000" s="153" t="s">
        <v>2023</v>
      </c>
    </row>
    <row r="1001" spans="8:9" x14ac:dyDescent="0.3">
      <c r="H1001" s="153" t="s">
        <v>2035</v>
      </c>
      <c r="I1001" s="153" t="s">
        <v>2802</v>
      </c>
    </row>
    <row r="1002" spans="8:9" x14ac:dyDescent="0.3">
      <c r="H1002" s="153" t="s">
        <v>2028</v>
      </c>
      <c r="I1002" s="153" t="s">
        <v>2023</v>
      </c>
    </row>
    <row r="1003" spans="8:9" x14ac:dyDescent="0.3">
      <c r="H1003" s="153" t="s">
        <v>2039</v>
      </c>
      <c r="I1003" s="153" t="s">
        <v>2802</v>
      </c>
    </row>
    <row r="1004" spans="8:9" x14ac:dyDescent="0.3">
      <c r="H1004" s="153" t="s">
        <v>2039</v>
      </c>
      <c r="I1004" s="153" t="s">
        <v>2802</v>
      </c>
    </row>
    <row r="1005" spans="8:9" x14ac:dyDescent="0.3">
      <c r="H1005" s="153" t="s">
        <v>2028</v>
      </c>
      <c r="I1005" s="153" t="s">
        <v>2023</v>
      </c>
    </row>
    <row r="1006" spans="8:9" x14ac:dyDescent="0.3">
      <c r="H1006" s="153" t="s">
        <v>2028</v>
      </c>
      <c r="I1006" s="153" t="s">
        <v>2023</v>
      </c>
    </row>
    <row r="1007" spans="8:9" x14ac:dyDescent="0.3">
      <c r="H1007" s="153" t="s">
        <v>2039</v>
      </c>
      <c r="I1007" s="153" t="s">
        <v>2802</v>
      </c>
    </row>
    <row r="1008" spans="8:9" x14ac:dyDescent="0.3">
      <c r="H1008" s="153" t="s">
        <v>2028</v>
      </c>
      <c r="I1008" s="153" t="s">
        <v>2023</v>
      </c>
    </row>
    <row r="1009" spans="8:9" x14ac:dyDescent="0.3">
      <c r="H1009" s="153" t="s">
        <v>2062</v>
      </c>
      <c r="I1009" s="153" t="s">
        <v>2023</v>
      </c>
    </row>
    <row r="1010" spans="8:9" x14ac:dyDescent="0.3">
      <c r="H1010" s="153" t="s">
        <v>2041</v>
      </c>
      <c r="I1010" s="153" t="s">
        <v>2802</v>
      </c>
    </row>
    <row r="1011" spans="8:9" x14ac:dyDescent="0.3">
      <c r="H1011" s="153" t="s">
        <v>2039</v>
      </c>
      <c r="I1011" s="153" t="s">
        <v>2802</v>
      </c>
    </row>
    <row r="1012" spans="8:9" x14ac:dyDescent="0.3">
      <c r="H1012" s="153" t="s">
        <v>2041</v>
      </c>
      <c r="I1012" s="153" t="s">
        <v>2802</v>
      </c>
    </row>
    <row r="1013" spans="8:9" x14ac:dyDescent="0.3">
      <c r="H1013" s="153" t="s">
        <v>2067</v>
      </c>
      <c r="I1013" s="153" t="s">
        <v>2024</v>
      </c>
    </row>
    <row r="1014" spans="8:9" x14ac:dyDescent="0.3">
      <c r="H1014" s="153" t="s">
        <v>2028</v>
      </c>
      <c r="I1014" s="153" t="s">
        <v>2023</v>
      </c>
    </row>
    <row r="1015" spans="8:9" x14ac:dyDescent="0.3">
      <c r="H1015" s="153" t="s">
        <v>2039</v>
      </c>
      <c r="I1015" s="153" t="s">
        <v>2802</v>
      </c>
    </row>
    <row r="1016" spans="8:9" x14ac:dyDescent="0.3">
      <c r="H1016" s="153" t="s">
        <v>2037</v>
      </c>
      <c r="I1016" s="153" t="s">
        <v>2802</v>
      </c>
    </row>
    <row r="1017" spans="8:9" x14ac:dyDescent="0.3">
      <c r="H1017" s="153" t="s">
        <v>2063</v>
      </c>
      <c r="I1017" s="153" t="s">
        <v>2802</v>
      </c>
    </row>
    <row r="1018" spans="8:9" x14ac:dyDescent="0.3">
      <c r="H1018" s="153" t="s">
        <v>2035</v>
      </c>
      <c r="I1018" s="153" t="s">
        <v>2802</v>
      </c>
    </row>
    <row r="1019" spans="8:9" x14ac:dyDescent="0.3">
      <c r="H1019" s="153" t="s">
        <v>2037</v>
      </c>
      <c r="I1019" s="153" t="s">
        <v>2802</v>
      </c>
    </row>
    <row r="1020" spans="8:9" x14ac:dyDescent="0.3">
      <c r="H1020" s="153" t="s">
        <v>2037</v>
      </c>
      <c r="I1020" s="153" t="s">
        <v>2802</v>
      </c>
    </row>
    <row r="1021" spans="8:9" x14ac:dyDescent="0.3">
      <c r="H1021" s="153" t="s">
        <v>2059</v>
      </c>
      <c r="I1021" s="153" t="s">
        <v>2024</v>
      </c>
    </row>
    <row r="1022" spans="8:9" x14ac:dyDescent="0.3">
      <c r="H1022" s="153" t="s">
        <v>2059</v>
      </c>
      <c r="I1022" s="153" t="s">
        <v>2024</v>
      </c>
    </row>
    <row r="1023" spans="8:9" x14ac:dyDescent="0.3">
      <c r="H1023" s="153" t="s">
        <v>2041</v>
      </c>
      <c r="I1023" s="153" t="s">
        <v>2802</v>
      </c>
    </row>
    <row r="1024" spans="8:9" x14ac:dyDescent="0.3">
      <c r="H1024" s="153" t="s">
        <v>2033</v>
      </c>
      <c r="I1024" s="153" t="s">
        <v>2802</v>
      </c>
    </row>
    <row r="1025" spans="8:9" x14ac:dyDescent="0.3">
      <c r="H1025" s="153" t="s">
        <v>2045</v>
      </c>
      <c r="I1025" s="153" t="s">
        <v>2802</v>
      </c>
    </row>
    <row r="1026" spans="8:9" x14ac:dyDescent="0.3">
      <c r="H1026" s="153" t="s">
        <v>2047</v>
      </c>
      <c r="I1026" s="153" t="s">
        <v>2802</v>
      </c>
    </row>
    <row r="1027" spans="8:9" x14ac:dyDescent="0.3">
      <c r="H1027" s="153" t="s">
        <v>2041</v>
      </c>
      <c r="I1027" s="153" t="s">
        <v>2802</v>
      </c>
    </row>
    <row r="1028" spans="8:9" x14ac:dyDescent="0.3">
      <c r="H1028" s="153" t="s">
        <v>2037</v>
      </c>
      <c r="I1028" s="153" t="s">
        <v>2802</v>
      </c>
    </row>
    <row r="1029" spans="8:9" x14ac:dyDescent="0.3">
      <c r="H1029" s="153" t="s">
        <v>2037</v>
      </c>
      <c r="I1029" s="153" t="s">
        <v>2802</v>
      </c>
    </row>
    <row r="1030" spans="8:9" x14ac:dyDescent="0.3">
      <c r="H1030" s="153" t="s">
        <v>2032</v>
      </c>
      <c r="I1030" s="153" t="s">
        <v>2802</v>
      </c>
    </row>
    <row r="1031" spans="8:9" x14ac:dyDescent="0.3">
      <c r="H1031" s="153" t="s">
        <v>2039</v>
      </c>
      <c r="I1031" s="153" t="s">
        <v>2802</v>
      </c>
    </row>
    <row r="1032" spans="8:9" x14ac:dyDescent="0.3">
      <c r="H1032" s="153" t="s">
        <v>2038</v>
      </c>
      <c r="I1032" s="153" t="s">
        <v>2802</v>
      </c>
    </row>
    <row r="1033" spans="8:9" x14ac:dyDescent="0.3">
      <c r="H1033" s="153" t="s">
        <v>2039</v>
      </c>
      <c r="I1033" s="153" t="s">
        <v>2802</v>
      </c>
    </row>
    <row r="1034" spans="8:9" x14ac:dyDescent="0.3">
      <c r="H1034" s="153" t="s">
        <v>2039</v>
      </c>
      <c r="I1034" s="153" t="s">
        <v>2802</v>
      </c>
    </row>
    <row r="1035" spans="8:9" x14ac:dyDescent="0.3">
      <c r="H1035" s="153" t="s">
        <v>2037</v>
      </c>
      <c r="I1035" s="153" t="s">
        <v>2802</v>
      </c>
    </row>
    <row r="1036" spans="8:9" x14ac:dyDescent="0.3">
      <c r="H1036" s="153" t="s">
        <v>2037</v>
      </c>
      <c r="I1036" s="153" t="s">
        <v>2802</v>
      </c>
    </row>
    <row r="1037" spans="8:9" x14ac:dyDescent="0.3">
      <c r="H1037" s="153" t="s">
        <v>2037</v>
      </c>
      <c r="I1037" s="153" t="s">
        <v>2802</v>
      </c>
    </row>
    <row r="1038" spans="8:9" x14ac:dyDescent="0.3">
      <c r="H1038" s="153" t="s">
        <v>2037</v>
      </c>
      <c r="I1038" s="153" t="s">
        <v>2802</v>
      </c>
    </row>
    <row r="1039" spans="8:9" x14ac:dyDescent="0.3">
      <c r="H1039" s="153" t="s">
        <v>2037</v>
      </c>
      <c r="I1039" s="153" t="s">
        <v>2802</v>
      </c>
    </row>
    <row r="1040" spans="8:9" x14ac:dyDescent="0.3">
      <c r="H1040" s="153" t="s">
        <v>2037</v>
      </c>
      <c r="I1040" s="153" t="s">
        <v>2802</v>
      </c>
    </row>
    <row r="1041" spans="8:9" x14ac:dyDescent="0.3">
      <c r="H1041" s="153" t="s">
        <v>2058</v>
      </c>
      <c r="I1041" s="153" t="s">
        <v>2802</v>
      </c>
    </row>
    <row r="1042" spans="8:9" x14ac:dyDescent="0.3">
      <c r="H1042" s="153" t="s">
        <v>2058</v>
      </c>
      <c r="I1042" s="153" t="s">
        <v>2802</v>
      </c>
    </row>
    <row r="1043" spans="8:9" x14ac:dyDescent="0.3">
      <c r="H1043" s="153" t="s">
        <v>2058</v>
      </c>
      <c r="I1043" s="153" t="s">
        <v>2802</v>
      </c>
    </row>
    <row r="1044" spans="8:9" x14ac:dyDescent="0.3">
      <c r="H1044" s="153" t="s">
        <v>2948</v>
      </c>
      <c r="I1044" s="153" t="s">
        <v>2859</v>
      </c>
    </row>
    <row r="1045" spans="8:9" x14ac:dyDescent="0.3">
      <c r="H1045" s="153" t="s">
        <v>2948</v>
      </c>
      <c r="I1045" s="153" t="s">
        <v>2859</v>
      </c>
    </row>
    <row r="1046" spans="8:9" x14ac:dyDescent="0.3">
      <c r="H1046" s="153" t="s">
        <v>2039</v>
      </c>
      <c r="I1046" s="153" t="s">
        <v>2802</v>
      </c>
    </row>
    <row r="1047" spans="8:9" x14ac:dyDescent="0.3">
      <c r="H1047" s="153" t="s">
        <v>2039</v>
      </c>
      <c r="I1047" s="153" t="s">
        <v>2802</v>
      </c>
    </row>
    <row r="1048" spans="8:9" x14ac:dyDescent="0.3">
      <c r="H1048" s="153" t="s">
        <v>2039</v>
      </c>
      <c r="I1048" s="153" t="s">
        <v>2802</v>
      </c>
    </row>
    <row r="1049" spans="8:9" x14ac:dyDescent="0.3">
      <c r="H1049" s="153" t="s">
        <v>2037</v>
      </c>
      <c r="I1049" s="153" t="s">
        <v>2802</v>
      </c>
    </row>
    <row r="1050" spans="8:9" x14ac:dyDescent="0.3">
      <c r="H1050" s="153" t="s">
        <v>2037</v>
      </c>
      <c r="I1050" s="153" t="s">
        <v>2802</v>
      </c>
    </row>
    <row r="1051" spans="8:9" x14ac:dyDescent="0.3">
      <c r="H1051" s="153" t="s">
        <v>2037</v>
      </c>
      <c r="I1051" s="153" t="s">
        <v>2802</v>
      </c>
    </row>
    <row r="1052" spans="8:9" x14ac:dyDescent="0.3">
      <c r="H1052" s="153" t="s">
        <v>2041</v>
      </c>
      <c r="I1052" s="153" t="s">
        <v>2802</v>
      </c>
    </row>
    <row r="1053" spans="8:9" x14ac:dyDescent="0.3">
      <c r="H1053" s="153" t="s">
        <v>2041</v>
      </c>
      <c r="I1053" s="153" t="s">
        <v>2802</v>
      </c>
    </row>
    <row r="1054" spans="8:9" x14ac:dyDescent="0.3">
      <c r="H1054" s="153" t="s">
        <v>2041</v>
      </c>
      <c r="I1054" s="153" t="s">
        <v>2802</v>
      </c>
    </row>
    <row r="1055" spans="8:9" x14ac:dyDescent="0.3">
      <c r="H1055" s="153" t="s">
        <v>2037</v>
      </c>
      <c r="I1055" s="153" t="s">
        <v>2802</v>
      </c>
    </row>
    <row r="1056" spans="8:9" x14ac:dyDescent="0.3">
      <c r="H1056" s="153" t="s">
        <v>2037</v>
      </c>
      <c r="I1056" s="153" t="s">
        <v>2802</v>
      </c>
    </row>
    <row r="1057" spans="8:9" x14ac:dyDescent="0.3">
      <c r="H1057" s="153" t="s">
        <v>2037</v>
      </c>
      <c r="I1057" s="153" t="s">
        <v>2802</v>
      </c>
    </row>
    <row r="1058" spans="8:9" x14ac:dyDescent="0.3">
      <c r="H1058" s="153" t="s">
        <v>2033</v>
      </c>
      <c r="I1058" s="153" t="s">
        <v>2802</v>
      </c>
    </row>
    <row r="1059" spans="8:9" x14ac:dyDescent="0.3">
      <c r="H1059" s="153" t="s">
        <v>2037</v>
      </c>
      <c r="I1059" s="153" t="s">
        <v>2802</v>
      </c>
    </row>
    <row r="1060" spans="8:9" x14ac:dyDescent="0.3">
      <c r="H1060" s="153" t="s">
        <v>2037</v>
      </c>
      <c r="I1060" s="153" t="s">
        <v>2802</v>
      </c>
    </row>
    <row r="1061" spans="8:9" x14ac:dyDescent="0.3">
      <c r="H1061" s="153" t="s">
        <v>2032</v>
      </c>
      <c r="I1061" s="153" t="s">
        <v>2802</v>
      </c>
    </row>
    <row r="1062" spans="8:9" x14ac:dyDescent="0.3">
      <c r="H1062" s="153" t="s">
        <v>2028</v>
      </c>
      <c r="I1062" s="153" t="s">
        <v>2023</v>
      </c>
    </row>
    <row r="1063" spans="8:9" x14ac:dyDescent="0.3">
      <c r="H1063" s="153" t="s">
        <v>2063</v>
      </c>
      <c r="I1063" s="153" t="s">
        <v>2802</v>
      </c>
    </row>
    <row r="1064" spans="8:9" x14ac:dyDescent="0.3">
      <c r="H1064" s="153" t="s">
        <v>2028</v>
      </c>
      <c r="I1064" s="153" t="s">
        <v>2023</v>
      </c>
    </row>
    <row r="1065" spans="8:9" x14ac:dyDescent="0.3">
      <c r="H1065" s="153" t="s">
        <v>2037</v>
      </c>
      <c r="I1065" s="153" t="s">
        <v>2802</v>
      </c>
    </row>
    <row r="1066" spans="8:9" x14ac:dyDescent="0.3">
      <c r="H1066" s="153" t="s">
        <v>2037</v>
      </c>
      <c r="I1066" s="153" t="s">
        <v>2802</v>
      </c>
    </row>
    <row r="1067" spans="8:9" x14ac:dyDescent="0.3">
      <c r="H1067" s="153" t="s">
        <v>2028</v>
      </c>
      <c r="I1067" s="153" t="s">
        <v>2023</v>
      </c>
    </row>
    <row r="1068" spans="8:9" x14ac:dyDescent="0.3">
      <c r="H1068" s="153" t="s">
        <v>2041</v>
      </c>
      <c r="I1068" s="153" t="s">
        <v>2802</v>
      </c>
    </row>
    <row r="1069" spans="8:9" x14ac:dyDescent="0.3">
      <c r="H1069" s="153" t="s">
        <v>2041</v>
      </c>
      <c r="I1069" s="153" t="s">
        <v>2802</v>
      </c>
    </row>
    <row r="1070" spans="8:9" x14ac:dyDescent="0.3">
      <c r="H1070" s="153" t="s">
        <v>2055</v>
      </c>
      <c r="I1070" s="153" t="s">
        <v>2802</v>
      </c>
    </row>
    <row r="1071" spans="8:9" x14ac:dyDescent="0.3">
      <c r="H1071" s="153" t="s">
        <v>2037</v>
      </c>
      <c r="I1071" s="153" t="s">
        <v>2802</v>
      </c>
    </row>
    <row r="1072" spans="8:9" x14ac:dyDescent="0.3">
      <c r="H1072" s="153" t="s">
        <v>2041</v>
      </c>
      <c r="I1072" s="153" t="s">
        <v>2802</v>
      </c>
    </row>
    <row r="1073" spans="8:9" x14ac:dyDescent="0.3">
      <c r="H1073" s="153" t="s">
        <v>2039</v>
      </c>
      <c r="I1073" s="153" t="s">
        <v>2802</v>
      </c>
    </row>
    <row r="1074" spans="8:9" x14ac:dyDescent="0.3">
      <c r="H1074" s="153" t="s">
        <v>2037</v>
      </c>
      <c r="I1074" s="153" t="s">
        <v>2802</v>
      </c>
    </row>
    <row r="1075" spans="8:9" x14ac:dyDescent="0.3">
      <c r="H1075" s="153" t="s">
        <v>2041</v>
      </c>
      <c r="I1075" s="153" t="s">
        <v>2802</v>
      </c>
    </row>
    <row r="1076" spans="8:9" x14ac:dyDescent="0.3">
      <c r="H1076" s="153" t="s">
        <v>2043</v>
      </c>
      <c r="I1076" s="153" t="s">
        <v>2802</v>
      </c>
    </row>
    <row r="1077" spans="8:9" x14ac:dyDescent="0.3">
      <c r="H1077" s="153" t="s">
        <v>2055</v>
      </c>
      <c r="I1077" s="153" t="s">
        <v>2802</v>
      </c>
    </row>
    <row r="1078" spans="8:9" x14ac:dyDescent="0.3">
      <c r="H1078" s="153" t="s">
        <v>2039</v>
      </c>
      <c r="I1078" s="153" t="s">
        <v>2802</v>
      </c>
    </row>
    <row r="1079" spans="8:9" x14ac:dyDescent="0.3">
      <c r="H1079" s="153" t="s">
        <v>2041</v>
      </c>
      <c r="I1079" s="153" t="s">
        <v>2802</v>
      </c>
    </row>
    <row r="1080" spans="8:9" x14ac:dyDescent="0.3">
      <c r="H1080" s="153" t="s">
        <v>2043</v>
      </c>
      <c r="I1080" s="153" t="s">
        <v>2802</v>
      </c>
    </row>
    <row r="1081" spans="8:9" x14ac:dyDescent="0.3">
      <c r="H1081" s="153" t="s">
        <v>2032</v>
      </c>
      <c r="I1081" s="153" t="s">
        <v>2802</v>
      </c>
    </row>
    <row r="1082" spans="8:9" x14ac:dyDescent="0.3">
      <c r="H1082" s="153" t="s">
        <v>2037</v>
      </c>
      <c r="I1082" s="153" t="s">
        <v>2802</v>
      </c>
    </row>
    <row r="1083" spans="8:9" x14ac:dyDescent="0.3">
      <c r="H1083" s="153" t="s">
        <v>2039</v>
      </c>
      <c r="I1083" s="153" t="s">
        <v>2802</v>
      </c>
    </row>
    <row r="1084" spans="8:9" x14ac:dyDescent="0.3">
      <c r="H1084" s="153" t="s">
        <v>2039</v>
      </c>
      <c r="I1084" s="153" t="s">
        <v>2802</v>
      </c>
    </row>
    <row r="1085" spans="8:9" x14ac:dyDescent="0.3">
      <c r="H1085" s="153" t="s">
        <v>2039</v>
      </c>
      <c r="I1085" s="153" t="s">
        <v>2802</v>
      </c>
    </row>
    <row r="1086" spans="8:9" x14ac:dyDescent="0.3">
      <c r="H1086" s="153" t="s">
        <v>2039</v>
      </c>
      <c r="I1086" s="153" t="s">
        <v>2802</v>
      </c>
    </row>
    <row r="1087" spans="8:9" x14ac:dyDescent="0.3">
      <c r="H1087" s="153" t="s">
        <v>2049</v>
      </c>
      <c r="I1087" s="153" t="s">
        <v>2024</v>
      </c>
    </row>
    <row r="1088" spans="8:9" x14ac:dyDescent="0.3">
      <c r="H1088" s="153" t="s">
        <v>2039</v>
      </c>
      <c r="I1088" s="153" t="s">
        <v>2802</v>
      </c>
    </row>
    <row r="1089" spans="8:9" x14ac:dyDescent="0.3">
      <c r="H1089" s="153" t="s">
        <v>2037</v>
      </c>
      <c r="I1089" s="153" t="s">
        <v>2802</v>
      </c>
    </row>
    <row r="1090" spans="8:9" x14ac:dyDescent="0.3">
      <c r="H1090" s="153" t="s">
        <v>2038</v>
      </c>
      <c r="I1090" s="153" t="s">
        <v>2802</v>
      </c>
    </row>
    <row r="1091" spans="8:9" x14ac:dyDescent="0.3">
      <c r="H1091" s="153" t="s">
        <v>2037</v>
      </c>
      <c r="I1091" s="153" t="s">
        <v>2802</v>
      </c>
    </row>
    <row r="1092" spans="8:9" x14ac:dyDescent="0.3">
      <c r="H1092" s="153" t="s">
        <v>2049</v>
      </c>
      <c r="I1092" s="153" t="s">
        <v>2024</v>
      </c>
    </row>
    <row r="1093" spans="8:9" x14ac:dyDescent="0.3">
      <c r="H1093" s="153" t="s">
        <v>2037</v>
      </c>
      <c r="I1093" s="153" t="s">
        <v>2802</v>
      </c>
    </row>
    <row r="1094" spans="8:9" x14ac:dyDescent="0.3">
      <c r="H1094" s="153" t="s">
        <v>2028</v>
      </c>
      <c r="I1094" s="153" t="s">
        <v>2023</v>
      </c>
    </row>
    <row r="1095" spans="8:9" x14ac:dyDescent="0.3">
      <c r="H1095" s="153" t="s">
        <v>2037</v>
      </c>
      <c r="I1095" s="153" t="s">
        <v>2802</v>
      </c>
    </row>
    <row r="1096" spans="8:9" x14ac:dyDescent="0.3">
      <c r="H1096" s="153" t="s">
        <v>2028</v>
      </c>
      <c r="I1096" s="153" t="s">
        <v>2023</v>
      </c>
    </row>
    <row r="1097" spans="8:9" x14ac:dyDescent="0.3">
      <c r="H1097" s="153" t="s">
        <v>2049</v>
      </c>
      <c r="I1097" s="153" t="s">
        <v>2024</v>
      </c>
    </row>
    <row r="1098" spans="8:9" x14ac:dyDescent="0.3">
      <c r="H1098" s="153" t="s">
        <v>2049</v>
      </c>
      <c r="I1098" s="153" t="s">
        <v>2024</v>
      </c>
    </row>
    <row r="1099" spans="8:9" x14ac:dyDescent="0.3">
      <c r="H1099" s="153" t="s">
        <v>2049</v>
      </c>
      <c r="I1099" s="153" t="s">
        <v>2024</v>
      </c>
    </row>
    <row r="1100" spans="8:9" x14ac:dyDescent="0.3">
      <c r="H1100" s="153" t="s">
        <v>2049</v>
      </c>
      <c r="I1100" s="153" t="s">
        <v>2024</v>
      </c>
    </row>
    <row r="1101" spans="8:9" x14ac:dyDescent="0.3">
      <c r="H1101" s="153" t="s">
        <v>2049</v>
      </c>
      <c r="I1101" s="153" t="s">
        <v>2024</v>
      </c>
    </row>
    <row r="1102" spans="8:9" x14ac:dyDescent="0.3">
      <c r="H1102" s="153" t="s">
        <v>2053</v>
      </c>
      <c r="I1102" s="153" t="s">
        <v>2024</v>
      </c>
    </row>
    <row r="1103" spans="8:9" x14ac:dyDescent="0.3">
      <c r="H1103" s="153" t="s">
        <v>2053</v>
      </c>
      <c r="I1103" s="153" t="s">
        <v>2024</v>
      </c>
    </row>
    <row r="1104" spans="8:9" x14ac:dyDescent="0.3">
      <c r="H1104" s="153" t="s">
        <v>2053</v>
      </c>
      <c r="I1104" s="153" t="s">
        <v>2024</v>
      </c>
    </row>
    <row r="1105" spans="8:9" x14ac:dyDescent="0.3">
      <c r="H1105" s="153" t="s">
        <v>2053</v>
      </c>
      <c r="I1105" s="153" t="s">
        <v>2024</v>
      </c>
    </row>
    <row r="1106" spans="8:9" x14ac:dyDescent="0.3">
      <c r="H1106" s="153" t="s">
        <v>2030</v>
      </c>
      <c r="I1106" s="153" t="s">
        <v>2802</v>
      </c>
    </row>
    <row r="1107" spans="8:9" x14ac:dyDescent="0.3">
      <c r="H1107" s="153" t="s">
        <v>2062</v>
      </c>
      <c r="I1107" s="153" t="s">
        <v>2023</v>
      </c>
    </row>
    <row r="1108" spans="8:9" x14ac:dyDescent="0.3">
      <c r="H1108" s="153" t="s">
        <v>2067</v>
      </c>
      <c r="I1108" s="153" t="s">
        <v>2024</v>
      </c>
    </row>
    <row r="1109" spans="8:9" x14ac:dyDescent="0.3">
      <c r="H1109" s="153" t="s">
        <v>2035</v>
      </c>
      <c r="I1109" s="153" t="s">
        <v>2802</v>
      </c>
    </row>
    <row r="1110" spans="8:9" x14ac:dyDescent="0.3">
      <c r="H1110" s="153" t="s">
        <v>2049</v>
      </c>
      <c r="I1110" s="153" t="s">
        <v>2024</v>
      </c>
    </row>
    <row r="1111" spans="8:9" x14ac:dyDescent="0.3">
      <c r="H1111" s="153" t="s">
        <v>2037</v>
      </c>
      <c r="I1111" s="153" t="s">
        <v>2802</v>
      </c>
    </row>
    <row r="1112" spans="8:9" x14ac:dyDescent="0.3">
      <c r="H1112" s="153" t="s">
        <v>2039</v>
      </c>
      <c r="I1112" s="153" t="s">
        <v>2802</v>
      </c>
    </row>
    <row r="1113" spans="8:9" x14ac:dyDescent="0.3">
      <c r="H1113" s="153" t="s">
        <v>2037</v>
      </c>
      <c r="I1113" s="153" t="s">
        <v>2802</v>
      </c>
    </row>
    <row r="1114" spans="8:9" x14ac:dyDescent="0.3">
      <c r="H1114" s="153" t="s">
        <v>2039</v>
      </c>
      <c r="I1114" s="153" t="s">
        <v>2802</v>
      </c>
    </row>
    <row r="1115" spans="8:9" x14ac:dyDescent="0.3">
      <c r="H1115" s="153" t="s">
        <v>2028</v>
      </c>
      <c r="I1115" s="153" t="s">
        <v>2023</v>
      </c>
    </row>
    <row r="1116" spans="8:9" x14ac:dyDescent="0.3">
      <c r="H1116" s="153" t="s">
        <v>2032</v>
      </c>
      <c r="I1116" s="153" t="s">
        <v>2802</v>
      </c>
    </row>
    <row r="1117" spans="8:9" x14ac:dyDescent="0.3">
      <c r="H1117" s="153" t="s">
        <v>2037</v>
      </c>
      <c r="I1117" s="153" t="s">
        <v>2802</v>
      </c>
    </row>
    <row r="1118" spans="8:9" x14ac:dyDescent="0.3">
      <c r="H1118" s="153" t="s">
        <v>2028</v>
      </c>
      <c r="I1118" s="153" t="s">
        <v>2023</v>
      </c>
    </row>
    <row r="1119" spans="8:9" x14ac:dyDescent="0.3">
      <c r="H1119" s="153" t="s">
        <v>2037</v>
      </c>
      <c r="I1119" s="153" t="s">
        <v>2802</v>
      </c>
    </row>
    <row r="1120" spans="8:9" x14ac:dyDescent="0.3">
      <c r="H1120" s="153" t="s">
        <v>2032</v>
      </c>
      <c r="I1120" s="153" t="s">
        <v>2802</v>
      </c>
    </row>
    <row r="1121" spans="8:9" x14ac:dyDescent="0.3">
      <c r="H1121" s="153" t="s">
        <v>2055</v>
      </c>
      <c r="I1121" s="153" t="s">
        <v>2802</v>
      </c>
    </row>
    <row r="1122" spans="8:9" x14ac:dyDescent="0.3">
      <c r="H1122" s="153" t="s">
        <v>2037</v>
      </c>
      <c r="I1122" s="153" t="s">
        <v>2802</v>
      </c>
    </row>
    <row r="1123" spans="8:9" x14ac:dyDescent="0.3">
      <c r="H1123" s="153" t="s">
        <v>2026</v>
      </c>
      <c r="I1123" s="153" t="s">
        <v>2802</v>
      </c>
    </row>
    <row r="1124" spans="8:9" x14ac:dyDescent="0.3">
      <c r="H1124" s="153" t="s">
        <v>2059</v>
      </c>
      <c r="I1124" s="153" t="s">
        <v>2024</v>
      </c>
    </row>
    <row r="1125" spans="8:9" x14ac:dyDescent="0.3">
      <c r="H1125" s="153" t="s">
        <v>2037</v>
      </c>
      <c r="I1125" s="153" t="s">
        <v>2802</v>
      </c>
    </row>
    <row r="1126" spans="8:9" x14ac:dyDescent="0.3">
      <c r="H1126" s="153" t="s">
        <v>2028</v>
      </c>
      <c r="I1126" s="153" t="s">
        <v>2023</v>
      </c>
    </row>
    <row r="1127" spans="8:9" x14ac:dyDescent="0.3">
      <c r="H1127" s="153" t="s">
        <v>2949</v>
      </c>
      <c r="I1127" s="153" t="s">
        <v>2859</v>
      </c>
    </row>
    <row r="1128" spans="8:9" x14ac:dyDescent="0.3">
      <c r="H1128" s="153" t="s">
        <v>2028</v>
      </c>
      <c r="I1128" s="153" t="s">
        <v>2023</v>
      </c>
    </row>
    <row r="1129" spans="8:9" x14ac:dyDescent="0.3">
      <c r="H1129" s="153" t="s">
        <v>2041</v>
      </c>
      <c r="I1129" s="153" t="s">
        <v>2802</v>
      </c>
    </row>
    <row r="1130" spans="8:9" x14ac:dyDescent="0.3">
      <c r="H1130" s="153" t="s">
        <v>2028</v>
      </c>
      <c r="I1130" s="153" t="s">
        <v>2023</v>
      </c>
    </row>
    <row r="1131" spans="8:9" x14ac:dyDescent="0.3">
      <c r="H1131" s="153" t="s">
        <v>2950</v>
      </c>
      <c r="I1131" s="153" t="s">
        <v>2859</v>
      </c>
    </row>
    <row r="1132" spans="8:9" x14ac:dyDescent="0.3">
      <c r="H1132" s="153" t="s">
        <v>2951</v>
      </c>
      <c r="I1132" s="153" t="s">
        <v>2859</v>
      </c>
    </row>
    <row r="1133" spans="8:9" x14ac:dyDescent="0.3">
      <c r="H1133" s="153" t="s">
        <v>2041</v>
      </c>
      <c r="I1133" s="153" t="s">
        <v>2802</v>
      </c>
    </row>
    <row r="1134" spans="8:9" x14ac:dyDescent="0.3">
      <c r="H1134" s="153" t="s">
        <v>2028</v>
      </c>
      <c r="I1134" s="153" t="s">
        <v>2023</v>
      </c>
    </row>
    <row r="1135" spans="8:9" x14ac:dyDescent="0.3">
      <c r="H1135" s="153" t="s">
        <v>2028</v>
      </c>
      <c r="I1135" s="153" t="s">
        <v>2023</v>
      </c>
    </row>
    <row r="1136" spans="8:9" x14ac:dyDescent="0.3">
      <c r="H1136" s="153" t="s">
        <v>2039</v>
      </c>
      <c r="I1136" s="153" t="s">
        <v>2802</v>
      </c>
    </row>
    <row r="1137" spans="8:9" x14ac:dyDescent="0.3">
      <c r="H1137" s="153" t="s">
        <v>2037</v>
      </c>
      <c r="I1137" s="153" t="s">
        <v>2802</v>
      </c>
    </row>
    <row r="1138" spans="8:9" x14ac:dyDescent="0.3">
      <c r="H1138" s="153" t="s">
        <v>2037</v>
      </c>
      <c r="I1138" s="153" t="s">
        <v>2802</v>
      </c>
    </row>
    <row r="1139" spans="8:9" x14ac:dyDescent="0.3">
      <c r="H1139" s="153" t="s">
        <v>2058</v>
      </c>
      <c r="I1139" s="153" t="s">
        <v>2802</v>
      </c>
    </row>
    <row r="1140" spans="8:9" x14ac:dyDescent="0.3">
      <c r="H1140" s="153" t="s">
        <v>2058</v>
      </c>
      <c r="I1140" s="153" t="s">
        <v>2802</v>
      </c>
    </row>
    <row r="1141" spans="8:9" x14ac:dyDescent="0.3">
      <c r="H1141" s="153" t="s">
        <v>2058</v>
      </c>
      <c r="I1141" s="153" t="s">
        <v>2802</v>
      </c>
    </row>
    <row r="1142" spans="8:9" x14ac:dyDescent="0.3">
      <c r="H1142" s="153" t="s">
        <v>2028</v>
      </c>
      <c r="I1142" s="153" t="s">
        <v>2023</v>
      </c>
    </row>
    <row r="1143" spans="8:9" x14ac:dyDescent="0.3">
      <c r="H1143" s="153" t="s">
        <v>2039</v>
      </c>
      <c r="I1143" s="153" t="s">
        <v>2802</v>
      </c>
    </row>
    <row r="1144" spans="8:9" x14ac:dyDescent="0.3">
      <c r="H1144" s="153" t="s">
        <v>2039</v>
      </c>
      <c r="I1144" s="153" t="s">
        <v>2802</v>
      </c>
    </row>
    <row r="1145" spans="8:9" x14ac:dyDescent="0.3">
      <c r="H1145" s="153" t="s">
        <v>2039</v>
      </c>
      <c r="I1145" s="153" t="s">
        <v>2802</v>
      </c>
    </row>
    <row r="1146" spans="8:9" x14ac:dyDescent="0.3">
      <c r="H1146" s="153" t="s">
        <v>2039</v>
      </c>
      <c r="I1146" s="153" t="s">
        <v>2802</v>
      </c>
    </row>
    <row r="1147" spans="8:9" x14ac:dyDescent="0.3">
      <c r="H1147" s="153" t="s">
        <v>2039</v>
      </c>
      <c r="I1147" s="153" t="s">
        <v>2802</v>
      </c>
    </row>
    <row r="1148" spans="8:9" x14ac:dyDescent="0.3">
      <c r="H1148" s="153" t="s">
        <v>2039</v>
      </c>
      <c r="I1148" s="153" t="s">
        <v>2802</v>
      </c>
    </row>
    <row r="1149" spans="8:9" x14ac:dyDescent="0.3">
      <c r="H1149" s="153" t="s">
        <v>2039</v>
      </c>
      <c r="I1149" s="153" t="s">
        <v>2802</v>
      </c>
    </row>
    <row r="1150" spans="8:9" x14ac:dyDescent="0.3">
      <c r="H1150" s="153" t="s">
        <v>2039</v>
      </c>
      <c r="I1150" s="153" t="s">
        <v>2802</v>
      </c>
    </row>
    <row r="1151" spans="8:9" x14ac:dyDescent="0.3">
      <c r="H1151" s="153" t="s">
        <v>2039</v>
      </c>
      <c r="I1151" s="153" t="s">
        <v>2802</v>
      </c>
    </row>
    <row r="1152" spans="8:9" x14ac:dyDescent="0.3">
      <c r="H1152" s="153" t="s">
        <v>2039</v>
      </c>
      <c r="I1152" s="153" t="s">
        <v>2802</v>
      </c>
    </row>
    <row r="1153" spans="8:9" x14ac:dyDescent="0.3">
      <c r="H1153" s="153" t="s">
        <v>2039</v>
      </c>
      <c r="I1153" s="153" t="s">
        <v>2802</v>
      </c>
    </row>
    <row r="1154" spans="8:9" x14ac:dyDescent="0.3">
      <c r="H1154" s="153" t="s">
        <v>2039</v>
      </c>
      <c r="I1154" s="153" t="s">
        <v>2802</v>
      </c>
    </row>
    <row r="1155" spans="8:9" x14ac:dyDescent="0.3">
      <c r="H1155" s="153" t="s">
        <v>2039</v>
      </c>
      <c r="I1155" s="153" t="s">
        <v>2802</v>
      </c>
    </row>
    <row r="1156" spans="8:9" x14ac:dyDescent="0.3">
      <c r="H1156" s="153" t="s">
        <v>2039</v>
      </c>
      <c r="I1156" s="153" t="s">
        <v>2802</v>
      </c>
    </row>
    <row r="1157" spans="8:9" x14ac:dyDescent="0.3">
      <c r="H1157" s="153" t="s">
        <v>2039</v>
      </c>
      <c r="I1157" s="153" t="s">
        <v>2802</v>
      </c>
    </row>
    <row r="1158" spans="8:9" x14ac:dyDescent="0.3">
      <c r="H1158" s="153" t="s">
        <v>2039</v>
      </c>
      <c r="I1158" s="153" t="s">
        <v>2802</v>
      </c>
    </row>
    <row r="1159" spans="8:9" x14ac:dyDescent="0.3">
      <c r="H1159" s="153" t="s">
        <v>2039</v>
      </c>
      <c r="I1159" s="153" t="s">
        <v>2802</v>
      </c>
    </row>
    <row r="1160" spans="8:9" x14ac:dyDescent="0.3">
      <c r="H1160" s="153" t="s">
        <v>2039</v>
      </c>
      <c r="I1160" s="153" t="s">
        <v>2802</v>
      </c>
    </row>
    <row r="1161" spans="8:9" x14ac:dyDescent="0.3">
      <c r="H1161" s="153" t="s">
        <v>2039</v>
      </c>
      <c r="I1161" s="153" t="s">
        <v>2802</v>
      </c>
    </row>
    <row r="1162" spans="8:9" x14ac:dyDescent="0.3">
      <c r="H1162" s="153" t="s">
        <v>2039</v>
      </c>
      <c r="I1162" s="153" t="s">
        <v>2802</v>
      </c>
    </row>
    <row r="1163" spans="8:9" x14ac:dyDescent="0.3">
      <c r="H1163" s="153" t="s">
        <v>2039</v>
      </c>
      <c r="I1163" s="153" t="s">
        <v>2802</v>
      </c>
    </row>
    <row r="1164" spans="8:9" x14ac:dyDescent="0.3">
      <c r="H1164" s="153" t="s">
        <v>2039</v>
      </c>
      <c r="I1164" s="153" t="s">
        <v>2802</v>
      </c>
    </row>
    <row r="1165" spans="8:9" x14ac:dyDescent="0.3">
      <c r="H1165" s="153" t="s">
        <v>2039</v>
      </c>
      <c r="I1165" s="153" t="s">
        <v>2802</v>
      </c>
    </row>
    <row r="1166" spans="8:9" x14ac:dyDescent="0.3">
      <c r="H1166" s="153" t="s">
        <v>2039</v>
      </c>
      <c r="I1166" s="153" t="s">
        <v>2802</v>
      </c>
    </row>
    <row r="1167" spans="8:9" x14ac:dyDescent="0.3">
      <c r="H1167" s="153" t="s">
        <v>2039</v>
      </c>
      <c r="I1167" s="153" t="s">
        <v>2802</v>
      </c>
    </row>
    <row r="1168" spans="8:9" x14ac:dyDescent="0.3">
      <c r="H1168" s="153" t="s">
        <v>2039</v>
      </c>
      <c r="I1168" s="153" t="s">
        <v>2802</v>
      </c>
    </row>
    <row r="1169" spans="8:9" x14ac:dyDescent="0.3">
      <c r="H1169" s="153" t="s">
        <v>2028</v>
      </c>
      <c r="I1169" s="153" t="s">
        <v>2023</v>
      </c>
    </row>
    <row r="1170" spans="8:9" x14ac:dyDescent="0.3">
      <c r="H1170" s="153" t="s">
        <v>2028</v>
      </c>
      <c r="I1170" s="153" t="s">
        <v>2023</v>
      </c>
    </row>
    <row r="1171" spans="8:9" x14ac:dyDescent="0.3">
      <c r="H1171" s="153" t="s">
        <v>2028</v>
      </c>
      <c r="I1171" s="153" t="s">
        <v>2023</v>
      </c>
    </row>
    <row r="1172" spans="8:9" x14ac:dyDescent="0.3">
      <c r="H1172" s="153" t="s">
        <v>2061</v>
      </c>
      <c r="I1172" s="153" t="s">
        <v>2802</v>
      </c>
    </row>
    <row r="1173" spans="8:9" x14ac:dyDescent="0.3">
      <c r="H1173" s="153" t="s">
        <v>2037</v>
      </c>
      <c r="I1173" s="153" t="s">
        <v>2802</v>
      </c>
    </row>
    <row r="1174" spans="8:9" x14ac:dyDescent="0.3">
      <c r="H1174" s="153" t="s">
        <v>2032</v>
      </c>
      <c r="I1174" s="153" t="s">
        <v>2802</v>
      </c>
    </row>
    <row r="1175" spans="8:9" x14ac:dyDescent="0.3">
      <c r="H1175" s="153" t="s">
        <v>2032</v>
      </c>
      <c r="I1175" s="153" t="s">
        <v>2802</v>
      </c>
    </row>
    <row r="1176" spans="8:9" x14ac:dyDescent="0.3">
      <c r="H1176" s="153" t="s">
        <v>2032</v>
      </c>
      <c r="I1176" s="153" t="s">
        <v>2802</v>
      </c>
    </row>
    <row r="1177" spans="8:9" x14ac:dyDescent="0.3">
      <c r="H1177" s="153" t="s">
        <v>2039</v>
      </c>
      <c r="I1177" s="153" t="s">
        <v>2802</v>
      </c>
    </row>
    <row r="1178" spans="8:9" x14ac:dyDescent="0.3">
      <c r="H1178" s="153" t="s">
        <v>2039</v>
      </c>
      <c r="I1178" s="153" t="s">
        <v>2802</v>
      </c>
    </row>
    <row r="1179" spans="8:9" x14ac:dyDescent="0.3">
      <c r="H1179" s="153" t="s">
        <v>2041</v>
      </c>
      <c r="I1179" s="153" t="s">
        <v>2802</v>
      </c>
    </row>
    <row r="1180" spans="8:9" x14ac:dyDescent="0.3">
      <c r="H1180" s="153" t="s">
        <v>2039</v>
      </c>
      <c r="I1180" s="153" t="s">
        <v>2802</v>
      </c>
    </row>
    <row r="1181" spans="8:9" x14ac:dyDescent="0.3">
      <c r="H1181" s="153" t="s">
        <v>2028</v>
      </c>
      <c r="I1181" s="153" t="s">
        <v>2023</v>
      </c>
    </row>
    <row r="1182" spans="8:9" x14ac:dyDescent="0.3">
      <c r="H1182" s="153" t="s">
        <v>2028</v>
      </c>
      <c r="I1182" s="153" t="s">
        <v>2023</v>
      </c>
    </row>
    <row r="1183" spans="8:9" x14ac:dyDescent="0.3">
      <c r="H1183" s="153" t="s">
        <v>2028</v>
      </c>
      <c r="I1183" s="153" t="s">
        <v>2023</v>
      </c>
    </row>
    <row r="1184" spans="8:9" x14ac:dyDescent="0.3">
      <c r="H1184" s="153" t="s">
        <v>2028</v>
      </c>
      <c r="I1184" s="153" t="s">
        <v>2023</v>
      </c>
    </row>
    <row r="1185" spans="8:9" x14ac:dyDescent="0.3">
      <c r="H1185" s="153" t="s">
        <v>2028</v>
      </c>
      <c r="I1185" s="153" t="s">
        <v>2023</v>
      </c>
    </row>
    <row r="1186" spans="8:9" x14ac:dyDescent="0.3">
      <c r="H1186" s="153" t="s">
        <v>2028</v>
      </c>
      <c r="I1186" s="153" t="s">
        <v>2023</v>
      </c>
    </row>
    <row r="1187" spans="8:9" x14ac:dyDescent="0.3">
      <c r="H1187" s="153" t="s">
        <v>2028</v>
      </c>
      <c r="I1187" s="153" t="s">
        <v>2023</v>
      </c>
    </row>
    <row r="1188" spans="8:9" x14ac:dyDescent="0.3">
      <c r="H1188" s="153" t="s">
        <v>2065</v>
      </c>
      <c r="I1188" s="153" t="s">
        <v>2859</v>
      </c>
    </row>
    <row r="1189" spans="8:9" x14ac:dyDescent="0.3">
      <c r="H1189" s="153" t="s">
        <v>2065</v>
      </c>
      <c r="I1189" s="153" t="s">
        <v>2859</v>
      </c>
    </row>
    <row r="1190" spans="8:9" x14ac:dyDescent="0.3">
      <c r="H1190" s="153" t="s">
        <v>2065</v>
      </c>
      <c r="I1190" s="153" t="s">
        <v>2859</v>
      </c>
    </row>
    <row r="1191" spans="8:9" x14ac:dyDescent="0.3">
      <c r="H1191" s="153" t="s">
        <v>2065</v>
      </c>
      <c r="I1191" s="153" t="s">
        <v>2859</v>
      </c>
    </row>
    <row r="1192" spans="8:9" x14ac:dyDescent="0.3">
      <c r="H1192" s="153" t="s">
        <v>2065</v>
      </c>
      <c r="I1192" s="153" t="s">
        <v>2859</v>
      </c>
    </row>
    <row r="1193" spans="8:9" x14ac:dyDescent="0.3">
      <c r="H1193" s="153" t="s">
        <v>2065</v>
      </c>
      <c r="I1193" s="153" t="s">
        <v>2859</v>
      </c>
    </row>
    <row r="1194" spans="8:9" x14ac:dyDescent="0.3">
      <c r="H1194" s="153" t="s">
        <v>2028</v>
      </c>
      <c r="I1194" s="153" t="s">
        <v>2023</v>
      </c>
    </row>
    <row r="1195" spans="8:9" x14ac:dyDescent="0.3">
      <c r="H1195" s="153" t="s">
        <v>2044</v>
      </c>
      <c r="I1195" s="153" t="s">
        <v>2802</v>
      </c>
    </row>
    <row r="1196" spans="8:9" x14ac:dyDescent="0.3">
      <c r="H1196" s="153" t="s">
        <v>2066</v>
      </c>
      <c r="I1196" s="153" t="s">
        <v>2859</v>
      </c>
    </row>
    <row r="1197" spans="8:9" x14ac:dyDescent="0.3">
      <c r="H1197" s="153" t="s">
        <v>2066</v>
      </c>
      <c r="I1197" s="153" t="s">
        <v>2859</v>
      </c>
    </row>
    <row r="1198" spans="8:9" x14ac:dyDescent="0.3">
      <c r="H1198" s="153" t="s">
        <v>2066</v>
      </c>
      <c r="I1198" s="153" t="s">
        <v>2859</v>
      </c>
    </row>
    <row r="1199" spans="8:9" x14ac:dyDescent="0.3">
      <c r="H1199" s="153" t="s">
        <v>2946</v>
      </c>
      <c r="I1199" s="153" t="s">
        <v>2802</v>
      </c>
    </row>
    <row r="1200" spans="8:9" x14ac:dyDescent="0.3">
      <c r="H1200" s="153" t="s">
        <v>2058</v>
      </c>
      <c r="I1200" s="153" t="s">
        <v>2802</v>
      </c>
    </row>
    <row r="1201" spans="8:9" x14ac:dyDescent="0.3">
      <c r="H1201" s="153" t="s">
        <v>2039</v>
      </c>
      <c r="I1201" s="153" t="s">
        <v>2802</v>
      </c>
    </row>
    <row r="1202" spans="8:9" x14ac:dyDescent="0.3">
      <c r="H1202" s="153" t="s">
        <v>2039</v>
      </c>
      <c r="I1202" s="153" t="s">
        <v>2802</v>
      </c>
    </row>
    <row r="1203" spans="8:9" x14ac:dyDescent="0.3">
      <c r="H1203" s="153" t="s">
        <v>2028</v>
      </c>
      <c r="I1203" s="153" t="s">
        <v>2023</v>
      </c>
    </row>
    <row r="1204" spans="8:9" x14ac:dyDescent="0.3">
      <c r="H1204" s="153" t="s">
        <v>2043</v>
      </c>
      <c r="I1204" s="153" t="s">
        <v>2802</v>
      </c>
    </row>
    <row r="1205" spans="8:9" x14ac:dyDescent="0.3">
      <c r="H1205" s="153" t="s">
        <v>2946</v>
      </c>
      <c r="I1205" s="153" t="s">
        <v>2802</v>
      </c>
    </row>
    <row r="1206" spans="8:9" x14ac:dyDescent="0.3">
      <c r="H1206" s="153" t="s">
        <v>2037</v>
      </c>
      <c r="I1206" s="153" t="s">
        <v>2802</v>
      </c>
    </row>
    <row r="1207" spans="8:9" x14ac:dyDescent="0.3">
      <c r="H1207" s="153" t="s">
        <v>2041</v>
      </c>
      <c r="I1207" s="153" t="s">
        <v>2802</v>
      </c>
    </row>
    <row r="1208" spans="8:9" x14ac:dyDescent="0.3">
      <c r="H1208" s="153" t="s">
        <v>2043</v>
      </c>
      <c r="I1208" s="153" t="s">
        <v>2802</v>
      </c>
    </row>
    <row r="1209" spans="8:9" x14ac:dyDescent="0.3">
      <c r="H1209" s="153" t="s">
        <v>2048</v>
      </c>
      <c r="I1209" s="153" t="s">
        <v>2802</v>
      </c>
    </row>
    <row r="1210" spans="8:9" x14ac:dyDescent="0.3">
      <c r="H1210" s="153" t="s">
        <v>2039</v>
      </c>
      <c r="I1210" s="153" t="s">
        <v>2802</v>
      </c>
    </row>
    <row r="1211" spans="8:9" x14ac:dyDescent="0.3">
      <c r="H1211" s="153" t="s">
        <v>2041</v>
      </c>
      <c r="I1211" s="153" t="s">
        <v>2802</v>
      </c>
    </row>
    <row r="1212" spans="8:9" x14ac:dyDescent="0.3">
      <c r="H1212" s="153" t="s">
        <v>2041</v>
      </c>
      <c r="I1212" s="153" t="s">
        <v>2802</v>
      </c>
    </row>
    <row r="1213" spans="8:9" x14ac:dyDescent="0.3">
      <c r="H1213" s="153" t="s">
        <v>2062</v>
      </c>
      <c r="I1213" s="153" t="s">
        <v>2023</v>
      </c>
    </row>
    <row r="1214" spans="8:9" x14ac:dyDescent="0.3">
      <c r="H1214" s="153" t="s">
        <v>2028</v>
      </c>
      <c r="I1214" s="153" t="s">
        <v>2023</v>
      </c>
    </row>
    <row r="1215" spans="8:9" x14ac:dyDescent="0.3">
      <c r="H1215" s="153" t="s">
        <v>2028</v>
      </c>
      <c r="I1215" s="153" t="s">
        <v>2023</v>
      </c>
    </row>
    <row r="1216" spans="8:9" x14ac:dyDescent="0.3">
      <c r="H1216" s="153" t="s">
        <v>2028</v>
      </c>
      <c r="I1216" s="153" t="s">
        <v>2023</v>
      </c>
    </row>
    <row r="1217" spans="8:9" x14ac:dyDescent="0.3">
      <c r="H1217" s="153" t="s">
        <v>2028</v>
      </c>
      <c r="I1217" s="153" t="s">
        <v>2023</v>
      </c>
    </row>
    <row r="1218" spans="8:9" x14ac:dyDescent="0.3">
      <c r="H1218" s="153" t="s">
        <v>2037</v>
      </c>
      <c r="I1218" s="153" t="s">
        <v>2802</v>
      </c>
    </row>
    <row r="1219" spans="8:9" x14ac:dyDescent="0.3">
      <c r="H1219" s="153" t="s">
        <v>2039</v>
      </c>
      <c r="I1219" s="153" t="s">
        <v>2802</v>
      </c>
    </row>
    <row r="1220" spans="8:9" x14ac:dyDescent="0.3">
      <c r="H1220" s="153" t="s">
        <v>2039</v>
      </c>
      <c r="I1220" s="153" t="s">
        <v>2802</v>
      </c>
    </row>
    <row r="1221" spans="8:9" x14ac:dyDescent="0.3">
      <c r="H1221" s="153" t="s">
        <v>2039</v>
      </c>
      <c r="I1221" s="153" t="s">
        <v>2802</v>
      </c>
    </row>
    <row r="1222" spans="8:9" x14ac:dyDescent="0.3">
      <c r="H1222" s="153" t="s">
        <v>2945</v>
      </c>
      <c r="I1222" s="153" t="s">
        <v>2859</v>
      </c>
    </row>
    <row r="1223" spans="8:9" x14ac:dyDescent="0.3">
      <c r="H1223" s="153" t="s">
        <v>2039</v>
      </c>
      <c r="I1223" s="153" t="s">
        <v>2802</v>
      </c>
    </row>
    <row r="1224" spans="8:9" x14ac:dyDescent="0.3">
      <c r="H1224" s="153" t="s">
        <v>2037</v>
      </c>
      <c r="I1224" s="153" t="s">
        <v>2802</v>
      </c>
    </row>
    <row r="1225" spans="8:9" x14ac:dyDescent="0.3">
      <c r="H1225" s="153" t="s">
        <v>2037</v>
      </c>
      <c r="I1225" s="153" t="s">
        <v>2802</v>
      </c>
    </row>
    <row r="1226" spans="8:9" x14ac:dyDescent="0.3">
      <c r="H1226" s="153" t="s">
        <v>2039</v>
      </c>
      <c r="I1226" s="153" t="s">
        <v>2802</v>
      </c>
    </row>
    <row r="1227" spans="8:9" x14ac:dyDescent="0.3">
      <c r="H1227" s="153" t="s">
        <v>2039</v>
      </c>
      <c r="I1227" s="153" t="s">
        <v>2802</v>
      </c>
    </row>
    <row r="1228" spans="8:9" x14ac:dyDescent="0.3">
      <c r="H1228" s="153" t="s">
        <v>2041</v>
      </c>
      <c r="I1228" s="153" t="s">
        <v>2802</v>
      </c>
    </row>
    <row r="1229" spans="8:9" x14ac:dyDescent="0.3">
      <c r="H1229" s="153" t="s">
        <v>2032</v>
      </c>
      <c r="I1229" s="153" t="s">
        <v>2802</v>
      </c>
    </row>
    <row r="1230" spans="8:9" x14ac:dyDescent="0.3">
      <c r="H1230" s="153" t="s">
        <v>2041</v>
      </c>
      <c r="I1230" s="153" t="s">
        <v>2802</v>
      </c>
    </row>
    <row r="1231" spans="8:9" x14ac:dyDescent="0.3">
      <c r="H1231" s="153" t="s">
        <v>2039</v>
      </c>
      <c r="I1231" s="153" t="s">
        <v>2802</v>
      </c>
    </row>
    <row r="1232" spans="8:9" x14ac:dyDescent="0.3">
      <c r="H1232" s="153" t="s">
        <v>2039</v>
      </c>
      <c r="I1232" s="153" t="s">
        <v>2802</v>
      </c>
    </row>
    <row r="1233" spans="8:9" x14ac:dyDescent="0.3">
      <c r="H1233" s="153" t="s">
        <v>2039</v>
      </c>
      <c r="I1233" s="153" t="s">
        <v>2802</v>
      </c>
    </row>
    <row r="1234" spans="8:9" x14ac:dyDescent="0.3">
      <c r="H1234" s="153" t="s">
        <v>2039</v>
      </c>
      <c r="I1234" s="153" t="s">
        <v>2802</v>
      </c>
    </row>
    <row r="1235" spans="8:9" x14ac:dyDescent="0.3">
      <c r="H1235" s="153" t="s">
        <v>2028</v>
      </c>
      <c r="I1235" s="153" t="s">
        <v>2023</v>
      </c>
    </row>
    <row r="1236" spans="8:9" x14ac:dyDescent="0.3">
      <c r="H1236" s="153" t="s">
        <v>2028</v>
      </c>
      <c r="I1236" s="153" t="s">
        <v>2023</v>
      </c>
    </row>
    <row r="1237" spans="8:9" x14ac:dyDescent="0.3">
      <c r="H1237" s="153" t="s">
        <v>2028</v>
      </c>
      <c r="I1237" s="153" t="s">
        <v>2023</v>
      </c>
    </row>
    <row r="1238" spans="8:9" x14ac:dyDescent="0.3">
      <c r="H1238" s="153" t="s">
        <v>2028</v>
      </c>
      <c r="I1238" s="153" t="s">
        <v>2023</v>
      </c>
    </row>
    <row r="1239" spans="8:9" x14ac:dyDescent="0.3">
      <c r="H1239" s="153" t="s">
        <v>2028</v>
      </c>
      <c r="I1239" s="153" t="s">
        <v>2023</v>
      </c>
    </row>
    <row r="1240" spans="8:9" x14ac:dyDescent="0.3">
      <c r="H1240" s="153" t="s">
        <v>2028</v>
      </c>
      <c r="I1240" s="153" t="s">
        <v>2023</v>
      </c>
    </row>
    <row r="1241" spans="8:9" x14ac:dyDescent="0.3">
      <c r="H1241" s="153" t="s">
        <v>2028</v>
      </c>
      <c r="I1241" s="153" t="s">
        <v>2023</v>
      </c>
    </row>
    <row r="1242" spans="8:9" x14ac:dyDescent="0.3">
      <c r="H1242" s="153" t="s">
        <v>2039</v>
      </c>
      <c r="I1242" s="153" t="s">
        <v>2802</v>
      </c>
    </row>
    <row r="1243" spans="8:9" x14ac:dyDescent="0.3">
      <c r="H1243" s="153" t="s">
        <v>2059</v>
      </c>
      <c r="I1243" s="153" t="s">
        <v>2024</v>
      </c>
    </row>
    <row r="1244" spans="8:9" x14ac:dyDescent="0.3">
      <c r="H1244" s="153" t="s">
        <v>2028</v>
      </c>
      <c r="I1244" s="153" t="s">
        <v>2023</v>
      </c>
    </row>
    <row r="1245" spans="8:9" x14ac:dyDescent="0.3">
      <c r="H1245" s="153" t="s">
        <v>2041</v>
      </c>
      <c r="I1245" s="153" t="s">
        <v>2802</v>
      </c>
    </row>
    <row r="1246" spans="8:9" x14ac:dyDescent="0.3">
      <c r="H1246" s="153" t="s">
        <v>2039</v>
      </c>
      <c r="I1246" s="153" t="s">
        <v>2802</v>
      </c>
    </row>
    <row r="1247" spans="8:9" x14ac:dyDescent="0.3">
      <c r="H1247" s="153" t="s">
        <v>2059</v>
      </c>
      <c r="I1247" s="153" t="s">
        <v>2024</v>
      </c>
    </row>
    <row r="1248" spans="8:9" x14ac:dyDescent="0.3">
      <c r="H1248" s="153" t="s">
        <v>2037</v>
      </c>
      <c r="I1248" s="153" t="s">
        <v>2802</v>
      </c>
    </row>
    <row r="1249" spans="8:9" x14ac:dyDescent="0.3">
      <c r="H1249" s="153" t="s">
        <v>2063</v>
      </c>
      <c r="I1249" s="153" t="s">
        <v>2802</v>
      </c>
    </row>
    <row r="1250" spans="8:9" x14ac:dyDescent="0.3">
      <c r="H1250" s="153" t="s">
        <v>2028</v>
      </c>
      <c r="I1250" s="153" t="s">
        <v>2023</v>
      </c>
    </row>
    <row r="1251" spans="8:9" x14ac:dyDescent="0.3">
      <c r="H1251" s="153" t="s">
        <v>2055</v>
      </c>
      <c r="I1251" s="153" t="s">
        <v>2802</v>
      </c>
    </row>
    <row r="1252" spans="8:9" x14ac:dyDescent="0.3">
      <c r="H1252" s="153" t="s">
        <v>2037</v>
      </c>
      <c r="I1252" s="153" t="s">
        <v>2802</v>
      </c>
    </row>
    <row r="1253" spans="8:9" x14ac:dyDescent="0.3">
      <c r="H1253" s="153" t="s">
        <v>2039</v>
      </c>
      <c r="I1253" s="153" t="s">
        <v>2802</v>
      </c>
    </row>
    <row r="1254" spans="8:9" x14ac:dyDescent="0.3">
      <c r="H1254" s="153" t="s">
        <v>2039</v>
      </c>
      <c r="I1254" s="153" t="s">
        <v>2802</v>
      </c>
    </row>
    <row r="1255" spans="8:9" x14ac:dyDescent="0.3">
      <c r="H1255" s="153" t="s">
        <v>2041</v>
      </c>
      <c r="I1255" s="153" t="s">
        <v>2802</v>
      </c>
    </row>
    <row r="1256" spans="8:9" x14ac:dyDescent="0.3">
      <c r="H1256" s="153" t="s">
        <v>2041</v>
      </c>
      <c r="I1256" s="153" t="s">
        <v>2802</v>
      </c>
    </row>
    <row r="1257" spans="8:9" x14ac:dyDescent="0.3">
      <c r="H1257" s="153" t="s">
        <v>2032</v>
      </c>
      <c r="I1257" s="153" t="s">
        <v>2802</v>
      </c>
    </row>
    <row r="1258" spans="8:9" x14ac:dyDescent="0.3">
      <c r="H1258" s="153" t="s">
        <v>2041</v>
      </c>
      <c r="I1258" s="153" t="s">
        <v>2802</v>
      </c>
    </row>
    <row r="1259" spans="8:9" x14ac:dyDescent="0.3">
      <c r="H1259" s="153" t="s">
        <v>2065</v>
      </c>
      <c r="I1259" s="153" t="s">
        <v>2859</v>
      </c>
    </row>
    <row r="1260" spans="8:9" x14ac:dyDescent="0.3">
      <c r="H1260" s="153" t="s">
        <v>2065</v>
      </c>
      <c r="I1260" s="153" t="s">
        <v>2859</v>
      </c>
    </row>
    <row r="1261" spans="8:9" x14ac:dyDescent="0.3">
      <c r="H1261" s="153" t="s">
        <v>2065</v>
      </c>
      <c r="I1261" s="153" t="s">
        <v>2859</v>
      </c>
    </row>
    <row r="1262" spans="8:9" x14ac:dyDescent="0.3">
      <c r="H1262" s="153" t="s">
        <v>2065</v>
      </c>
      <c r="I1262" s="153" t="s">
        <v>2859</v>
      </c>
    </row>
    <row r="1263" spans="8:9" x14ac:dyDescent="0.3">
      <c r="H1263" s="153" t="s">
        <v>2037</v>
      </c>
      <c r="I1263" s="153" t="s">
        <v>2802</v>
      </c>
    </row>
    <row r="1264" spans="8:9" x14ac:dyDescent="0.3">
      <c r="H1264" s="153" t="s">
        <v>2050</v>
      </c>
      <c r="I1264" s="153" t="s">
        <v>2802</v>
      </c>
    </row>
    <row r="1265" spans="8:9" x14ac:dyDescent="0.3">
      <c r="H1265" s="153" t="s">
        <v>2061</v>
      </c>
      <c r="I1265" s="153" t="s">
        <v>2802</v>
      </c>
    </row>
    <row r="1266" spans="8:9" x14ac:dyDescent="0.3">
      <c r="H1266" s="153" t="s">
        <v>2037</v>
      </c>
      <c r="I1266" s="153" t="s">
        <v>2802</v>
      </c>
    </row>
    <row r="1267" spans="8:9" x14ac:dyDescent="0.3">
      <c r="H1267" s="153" t="s">
        <v>2032</v>
      </c>
      <c r="I1267" s="153" t="s">
        <v>2802</v>
      </c>
    </row>
    <row r="1268" spans="8:9" x14ac:dyDescent="0.3">
      <c r="H1268" s="153" t="s">
        <v>2037</v>
      </c>
      <c r="I1268" s="153" t="s">
        <v>2802</v>
      </c>
    </row>
    <row r="1269" spans="8:9" x14ac:dyDescent="0.3">
      <c r="H1269" s="153" t="s">
        <v>2037</v>
      </c>
      <c r="I1269" s="153" t="s">
        <v>2802</v>
      </c>
    </row>
    <row r="1270" spans="8:9" x14ac:dyDescent="0.3">
      <c r="H1270" s="153" t="s">
        <v>2039</v>
      </c>
      <c r="I1270" s="153" t="s">
        <v>2802</v>
      </c>
    </row>
    <row r="1271" spans="8:9" x14ac:dyDescent="0.3">
      <c r="H1271" s="153" t="s">
        <v>2037</v>
      </c>
      <c r="I1271" s="153" t="s">
        <v>2802</v>
      </c>
    </row>
    <row r="1272" spans="8:9" x14ac:dyDescent="0.3">
      <c r="H1272" s="153" t="s">
        <v>2037</v>
      </c>
      <c r="I1272" s="153" t="s">
        <v>2802</v>
      </c>
    </row>
    <row r="1273" spans="8:9" x14ac:dyDescent="0.3">
      <c r="H1273" s="153" t="s">
        <v>2041</v>
      </c>
      <c r="I1273" s="153" t="s">
        <v>2802</v>
      </c>
    </row>
    <row r="1274" spans="8:9" x14ac:dyDescent="0.3">
      <c r="H1274" s="153" t="s">
        <v>2032</v>
      </c>
      <c r="I1274" s="153" t="s">
        <v>2802</v>
      </c>
    </row>
    <row r="1275" spans="8:9" x14ac:dyDescent="0.3">
      <c r="H1275" s="153" t="s">
        <v>2028</v>
      </c>
      <c r="I1275" s="153" t="s">
        <v>2023</v>
      </c>
    </row>
    <row r="1276" spans="8:9" x14ac:dyDescent="0.3">
      <c r="H1276" s="153" t="s">
        <v>2062</v>
      </c>
      <c r="I1276" s="153" t="s">
        <v>2023</v>
      </c>
    </row>
    <row r="1277" spans="8:9" x14ac:dyDescent="0.3">
      <c r="H1277" s="153" t="s">
        <v>2039</v>
      </c>
      <c r="I1277" s="153" t="s">
        <v>2802</v>
      </c>
    </row>
    <row r="1278" spans="8:9" x14ac:dyDescent="0.3">
      <c r="H1278" s="153" t="s">
        <v>2037</v>
      </c>
      <c r="I1278" s="153" t="s">
        <v>2802</v>
      </c>
    </row>
    <row r="1279" spans="8:9" x14ac:dyDescent="0.3">
      <c r="H1279" s="153" t="s">
        <v>2041</v>
      </c>
      <c r="I1279" s="153" t="s">
        <v>2802</v>
      </c>
    </row>
    <row r="1280" spans="8:9" x14ac:dyDescent="0.3">
      <c r="H1280" s="153" t="s">
        <v>2037</v>
      </c>
      <c r="I1280" s="153" t="s">
        <v>2802</v>
      </c>
    </row>
    <row r="1281" spans="8:9" x14ac:dyDescent="0.3">
      <c r="H1281" s="153" t="s">
        <v>2028</v>
      </c>
      <c r="I1281" s="153" t="s">
        <v>2023</v>
      </c>
    </row>
    <row r="1282" spans="8:9" x14ac:dyDescent="0.3">
      <c r="H1282" s="153" t="s">
        <v>2042</v>
      </c>
      <c r="I1282" s="153" t="s">
        <v>2802</v>
      </c>
    </row>
    <row r="1283" spans="8:9" x14ac:dyDescent="0.3">
      <c r="H1283" s="153" t="s">
        <v>2028</v>
      </c>
      <c r="I1283" s="153" t="s">
        <v>2023</v>
      </c>
    </row>
    <row r="1284" spans="8:9" x14ac:dyDescent="0.3">
      <c r="H1284" s="153" t="s">
        <v>2952</v>
      </c>
      <c r="I1284" s="153" t="s">
        <v>2859</v>
      </c>
    </row>
    <row r="1285" spans="8:9" x14ac:dyDescent="0.3">
      <c r="H1285" s="153" t="s">
        <v>2039</v>
      </c>
      <c r="I1285" s="153" t="s">
        <v>2802</v>
      </c>
    </row>
    <row r="1286" spans="8:9" x14ac:dyDescent="0.3">
      <c r="H1286" s="153" t="s">
        <v>2945</v>
      </c>
      <c r="I1286" s="153" t="s">
        <v>2859</v>
      </c>
    </row>
    <row r="1287" spans="8:9" x14ac:dyDescent="0.3">
      <c r="H1287" s="153" t="s">
        <v>2059</v>
      </c>
      <c r="I1287" s="153" t="s">
        <v>2024</v>
      </c>
    </row>
    <row r="1288" spans="8:9" x14ac:dyDescent="0.3">
      <c r="H1288" s="153" t="s">
        <v>2039</v>
      </c>
      <c r="I1288" s="153" t="s">
        <v>2802</v>
      </c>
    </row>
    <row r="1289" spans="8:9" x14ac:dyDescent="0.3">
      <c r="H1289" s="153" t="s">
        <v>2039</v>
      </c>
      <c r="I1289" s="153" t="s">
        <v>2802</v>
      </c>
    </row>
    <row r="1290" spans="8:9" x14ac:dyDescent="0.3">
      <c r="H1290" s="153" t="s">
        <v>2039</v>
      </c>
      <c r="I1290" s="153" t="s">
        <v>2802</v>
      </c>
    </row>
    <row r="1291" spans="8:9" x14ac:dyDescent="0.3">
      <c r="H1291" s="153" t="s">
        <v>2037</v>
      </c>
      <c r="I1291" s="153" t="s">
        <v>2802</v>
      </c>
    </row>
    <row r="1292" spans="8:9" x14ac:dyDescent="0.3">
      <c r="H1292" s="153" t="s">
        <v>2037</v>
      </c>
      <c r="I1292" s="153" t="s">
        <v>2802</v>
      </c>
    </row>
    <row r="1293" spans="8:9" x14ac:dyDescent="0.3">
      <c r="H1293" s="153" t="s">
        <v>2028</v>
      </c>
      <c r="I1293" s="153" t="s">
        <v>2023</v>
      </c>
    </row>
    <row r="1294" spans="8:9" x14ac:dyDescent="0.3">
      <c r="H1294" s="153" t="s">
        <v>2039</v>
      </c>
      <c r="I1294" s="153" t="s">
        <v>2802</v>
      </c>
    </row>
    <row r="1295" spans="8:9" x14ac:dyDescent="0.3">
      <c r="H1295" s="153" t="s">
        <v>2037</v>
      </c>
      <c r="I1295" s="153" t="s">
        <v>2802</v>
      </c>
    </row>
    <row r="1296" spans="8:9" x14ac:dyDescent="0.3">
      <c r="H1296" s="153" t="s">
        <v>2037</v>
      </c>
      <c r="I1296" s="153" t="s">
        <v>2802</v>
      </c>
    </row>
    <row r="1297" spans="8:9" x14ac:dyDescent="0.3">
      <c r="H1297" s="153" t="s">
        <v>2058</v>
      </c>
      <c r="I1297" s="153" t="s">
        <v>2802</v>
      </c>
    </row>
    <row r="1298" spans="8:9" x14ac:dyDescent="0.3">
      <c r="H1298" s="153" t="s">
        <v>2041</v>
      </c>
      <c r="I1298" s="153" t="s">
        <v>2802</v>
      </c>
    </row>
    <row r="1299" spans="8:9" x14ac:dyDescent="0.3">
      <c r="H1299" s="153" t="s">
        <v>2037</v>
      </c>
      <c r="I1299" s="153" t="s">
        <v>2802</v>
      </c>
    </row>
    <row r="1300" spans="8:9" x14ac:dyDescent="0.3">
      <c r="H1300" s="153" t="s">
        <v>2028</v>
      </c>
      <c r="I1300" s="153" t="s">
        <v>2023</v>
      </c>
    </row>
    <row r="1301" spans="8:9" x14ac:dyDescent="0.3">
      <c r="H1301" s="153" t="s">
        <v>2037</v>
      </c>
      <c r="I1301" s="153" t="s">
        <v>2802</v>
      </c>
    </row>
    <row r="1302" spans="8:9" x14ac:dyDescent="0.3">
      <c r="H1302" s="153" t="s">
        <v>2059</v>
      </c>
      <c r="I1302" s="153" t="s">
        <v>2024</v>
      </c>
    </row>
    <row r="1303" spans="8:9" x14ac:dyDescent="0.3">
      <c r="H1303" s="153" t="s">
        <v>2060</v>
      </c>
      <c r="I1303" s="153" t="s">
        <v>2023</v>
      </c>
    </row>
    <row r="1304" spans="8:9" x14ac:dyDescent="0.3">
      <c r="H1304" s="153" t="s">
        <v>2039</v>
      </c>
      <c r="I1304" s="153" t="s">
        <v>2802</v>
      </c>
    </row>
    <row r="1305" spans="8:9" x14ac:dyDescent="0.3">
      <c r="H1305" s="153" t="s">
        <v>2041</v>
      </c>
      <c r="I1305" s="153" t="s">
        <v>2802</v>
      </c>
    </row>
    <row r="1306" spans="8:9" x14ac:dyDescent="0.3">
      <c r="H1306" s="153" t="s">
        <v>2032</v>
      </c>
      <c r="I1306" s="153" t="s">
        <v>2802</v>
      </c>
    </row>
    <row r="1307" spans="8:9" x14ac:dyDescent="0.3">
      <c r="H1307" s="153" t="s">
        <v>2054</v>
      </c>
      <c r="I1307" s="153" t="s">
        <v>2802</v>
      </c>
    </row>
    <row r="1308" spans="8:9" x14ac:dyDescent="0.3">
      <c r="H1308" s="153" t="s">
        <v>2059</v>
      </c>
      <c r="I1308" s="153" t="s">
        <v>2024</v>
      </c>
    </row>
    <row r="1309" spans="8:9" x14ac:dyDescent="0.3">
      <c r="H1309" s="153" t="s">
        <v>2063</v>
      </c>
      <c r="I1309" s="153" t="s">
        <v>2802</v>
      </c>
    </row>
    <row r="1310" spans="8:9" x14ac:dyDescent="0.3">
      <c r="H1310" s="153" t="s">
        <v>2063</v>
      </c>
      <c r="I1310" s="153" t="s">
        <v>2802</v>
      </c>
    </row>
    <row r="1311" spans="8:9" x14ac:dyDescent="0.3">
      <c r="H1311" s="153" t="s">
        <v>2062</v>
      </c>
      <c r="I1311" s="153" t="s">
        <v>2023</v>
      </c>
    </row>
    <row r="1312" spans="8:9" x14ac:dyDescent="0.3">
      <c r="H1312" s="153" t="s">
        <v>2062</v>
      </c>
      <c r="I1312" s="153" t="s">
        <v>2023</v>
      </c>
    </row>
    <row r="1313" spans="8:9" x14ac:dyDescent="0.3">
      <c r="H1313" s="153" t="s">
        <v>2028</v>
      </c>
      <c r="I1313" s="153" t="s">
        <v>2023</v>
      </c>
    </row>
    <row r="1314" spans="8:9" x14ac:dyDescent="0.3">
      <c r="H1314" s="153" t="s">
        <v>2054</v>
      </c>
      <c r="I1314" s="153" t="s">
        <v>2802</v>
      </c>
    </row>
    <row r="1315" spans="8:9" x14ac:dyDescent="0.3">
      <c r="H1315" s="153" t="s">
        <v>2037</v>
      </c>
      <c r="I1315" s="153" t="s">
        <v>2802</v>
      </c>
    </row>
    <row r="1316" spans="8:9" x14ac:dyDescent="0.3">
      <c r="H1316" s="153" t="s">
        <v>2059</v>
      </c>
      <c r="I1316" s="153" t="s">
        <v>2024</v>
      </c>
    </row>
    <row r="1317" spans="8:9" x14ac:dyDescent="0.3">
      <c r="H1317" s="153" t="s">
        <v>2037</v>
      </c>
      <c r="I1317" s="153" t="s">
        <v>2802</v>
      </c>
    </row>
    <row r="1318" spans="8:9" x14ac:dyDescent="0.3">
      <c r="H1318" s="153" t="s">
        <v>2059</v>
      </c>
      <c r="I1318" s="153" t="s">
        <v>2024</v>
      </c>
    </row>
    <row r="1319" spans="8:9" x14ac:dyDescent="0.3">
      <c r="H1319" s="153" t="s">
        <v>2028</v>
      </c>
      <c r="I1319" s="153" t="s">
        <v>2023</v>
      </c>
    </row>
    <row r="1320" spans="8:9" x14ac:dyDescent="0.3">
      <c r="H1320" s="153" t="s">
        <v>2054</v>
      </c>
      <c r="I1320" s="153" t="s">
        <v>2802</v>
      </c>
    </row>
    <row r="1321" spans="8:9" x14ac:dyDescent="0.3">
      <c r="H1321" s="153" t="s">
        <v>2945</v>
      </c>
      <c r="I1321" s="153" t="s">
        <v>2859</v>
      </c>
    </row>
    <row r="1322" spans="8:9" x14ac:dyDescent="0.3">
      <c r="H1322" s="153" t="s">
        <v>2061</v>
      </c>
      <c r="I1322" s="153" t="s">
        <v>2802</v>
      </c>
    </row>
    <row r="1323" spans="8:9" x14ac:dyDescent="0.3">
      <c r="H1323" s="153" t="s">
        <v>2037</v>
      </c>
      <c r="I1323" s="153" t="s">
        <v>2802</v>
      </c>
    </row>
    <row r="1324" spans="8:9" x14ac:dyDescent="0.3">
      <c r="H1324" s="153" t="s">
        <v>2041</v>
      </c>
      <c r="I1324" s="153" t="s">
        <v>2802</v>
      </c>
    </row>
    <row r="1325" spans="8:9" x14ac:dyDescent="0.3">
      <c r="H1325" s="153" t="s">
        <v>2039</v>
      </c>
      <c r="I1325" s="153" t="s">
        <v>2802</v>
      </c>
    </row>
    <row r="1326" spans="8:9" x14ac:dyDescent="0.3">
      <c r="H1326" s="153" t="s">
        <v>2028</v>
      </c>
      <c r="I1326" s="153" t="s">
        <v>2023</v>
      </c>
    </row>
    <row r="1327" spans="8:9" x14ac:dyDescent="0.3">
      <c r="H1327" s="153" t="s">
        <v>2054</v>
      </c>
      <c r="I1327" s="153" t="s">
        <v>2802</v>
      </c>
    </row>
    <row r="1328" spans="8:9" x14ac:dyDescent="0.3">
      <c r="H1328" s="153" t="s">
        <v>2059</v>
      </c>
      <c r="I1328" s="153" t="s">
        <v>2024</v>
      </c>
    </row>
    <row r="1329" spans="8:9" x14ac:dyDescent="0.3">
      <c r="H1329" s="153" t="s">
        <v>2059</v>
      </c>
      <c r="I1329" s="153" t="s">
        <v>2024</v>
      </c>
    </row>
    <row r="1330" spans="8:9" x14ac:dyDescent="0.3">
      <c r="H1330" s="153" t="s">
        <v>2039</v>
      </c>
      <c r="I1330" s="153" t="s">
        <v>2802</v>
      </c>
    </row>
    <row r="1331" spans="8:9" x14ac:dyDescent="0.3">
      <c r="H1331" s="153" t="s">
        <v>2028</v>
      </c>
      <c r="I1331" s="153" t="s">
        <v>2023</v>
      </c>
    </row>
    <row r="1332" spans="8:9" x14ac:dyDescent="0.3">
      <c r="H1332" s="153" t="s">
        <v>2028</v>
      </c>
      <c r="I1332" s="153" t="s">
        <v>2023</v>
      </c>
    </row>
    <row r="1333" spans="8:9" x14ac:dyDescent="0.3">
      <c r="H1333" s="153" t="s">
        <v>2041</v>
      </c>
      <c r="I1333" s="153" t="s">
        <v>2802</v>
      </c>
    </row>
    <row r="1334" spans="8:9" x14ac:dyDescent="0.3">
      <c r="H1334" s="153" t="s">
        <v>2028</v>
      </c>
      <c r="I1334" s="153" t="s">
        <v>2023</v>
      </c>
    </row>
    <row r="1335" spans="8:9" x14ac:dyDescent="0.3">
      <c r="H1335" s="153" t="s">
        <v>2059</v>
      </c>
      <c r="I1335" s="153" t="s">
        <v>2024</v>
      </c>
    </row>
    <row r="1336" spans="8:9" x14ac:dyDescent="0.3">
      <c r="H1336" s="153" t="s">
        <v>2061</v>
      </c>
      <c r="I1336" s="153" t="s">
        <v>2802</v>
      </c>
    </row>
    <row r="1337" spans="8:9" x14ac:dyDescent="0.3">
      <c r="H1337" s="153" t="s">
        <v>2062</v>
      </c>
      <c r="I1337" s="153" t="s">
        <v>2023</v>
      </c>
    </row>
    <row r="1338" spans="8:9" x14ac:dyDescent="0.3">
      <c r="H1338" s="153" t="s">
        <v>2062</v>
      </c>
      <c r="I1338" s="153" t="s">
        <v>2023</v>
      </c>
    </row>
    <row r="1339" spans="8:9" x14ac:dyDescent="0.3">
      <c r="H1339" s="153" t="s">
        <v>2037</v>
      </c>
      <c r="I1339" s="153" t="s">
        <v>2802</v>
      </c>
    </row>
    <row r="1340" spans="8:9" x14ac:dyDescent="0.3">
      <c r="H1340" s="153" t="s">
        <v>2055</v>
      </c>
      <c r="I1340" s="153" t="s">
        <v>2802</v>
      </c>
    </row>
    <row r="1341" spans="8:9" x14ac:dyDescent="0.3">
      <c r="H1341" s="153" t="s">
        <v>2037</v>
      </c>
      <c r="I1341" s="153" t="s">
        <v>2802</v>
      </c>
    </row>
    <row r="1342" spans="8:9" x14ac:dyDescent="0.3">
      <c r="H1342" s="153" t="s">
        <v>2037</v>
      </c>
      <c r="I1342" s="153" t="s">
        <v>2802</v>
      </c>
    </row>
    <row r="1343" spans="8:9" x14ac:dyDescent="0.3">
      <c r="H1343" s="153" t="s">
        <v>2041</v>
      </c>
      <c r="I1343" s="153" t="s">
        <v>2802</v>
      </c>
    </row>
    <row r="1344" spans="8:9" x14ac:dyDescent="0.3">
      <c r="H1344" s="153" t="s">
        <v>2028</v>
      </c>
      <c r="I1344" s="153" t="s">
        <v>2023</v>
      </c>
    </row>
    <row r="1345" spans="8:9" x14ac:dyDescent="0.3">
      <c r="H1345" s="153" t="s">
        <v>2041</v>
      </c>
      <c r="I1345" s="153" t="s">
        <v>2802</v>
      </c>
    </row>
    <row r="1346" spans="8:9" x14ac:dyDescent="0.3">
      <c r="H1346" s="153" t="s">
        <v>2061</v>
      </c>
      <c r="I1346" s="153" t="s">
        <v>2802</v>
      </c>
    </row>
    <row r="1347" spans="8:9" x14ac:dyDescent="0.3">
      <c r="H1347" s="153" t="s">
        <v>2041</v>
      </c>
      <c r="I1347" s="153" t="s">
        <v>2802</v>
      </c>
    </row>
    <row r="1348" spans="8:9" x14ac:dyDescent="0.3">
      <c r="H1348" s="153" t="s">
        <v>2059</v>
      </c>
      <c r="I1348" s="153" t="s">
        <v>2024</v>
      </c>
    </row>
    <row r="1349" spans="8:9" x14ac:dyDescent="0.3">
      <c r="H1349" s="153" t="s">
        <v>2059</v>
      </c>
      <c r="I1349" s="153" t="s">
        <v>2024</v>
      </c>
    </row>
    <row r="1350" spans="8:9" x14ac:dyDescent="0.3">
      <c r="H1350" s="153" t="s">
        <v>2059</v>
      </c>
      <c r="I1350" s="153" t="s">
        <v>2024</v>
      </c>
    </row>
    <row r="1351" spans="8:9" x14ac:dyDescent="0.3">
      <c r="H1351" s="153" t="s">
        <v>2037</v>
      </c>
      <c r="I1351" s="153" t="s">
        <v>2802</v>
      </c>
    </row>
    <row r="1352" spans="8:9" x14ac:dyDescent="0.3">
      <c r="H1352" s="153" t="s">
        <v>2037</v>
      </c>
      <c r="I1352" s="153" t="s">
        <v>2802</v>
      </c>
    </row>
    <row r="1353" spans="8:9" x14ac:dyDescent="0.3">
      <c r="H1353" s="153" t="s">
        <v>2039</v>
      </c>
      <c r="I1353" s="153" t="s">
        <v>2802</v>
      </c>
    </row>
    <row r="1354" spans="8:9" x14ac:dyDescent="0.3">
      <c r="H1354" s="153" t="s">
        <v>2028</v>
      </c>
      <c r="I1354" s="153" t="s">
        <v>2023</v>
      </c>
    </row>
    <row r="1355" spans="8:9" x14ac:dyDescent="0.3">
      <c r="H1355" s="153" t="s">
        <v>2028</v>
      </c>
      <c r="I1355" s="153" t="s">
        <v>2023</v>
      </c>
    </row>
    <row r="1356" spans="8:9" x14ac:dyDescent="0.3">
      <c r="H1356" s="153" t="s">
        <v>2037</v>
      </c>
      <c r="I1356" s="153" t="s">
        <v>2802</v>
      </c>
    </row>
    <row r="1357" spans="8:9" x14ac:dyDescent="0.3">
      <c r="H1357" s="153" t="s">
        <v>2048</v>
      </c>
      <c r="I1357" s="153" t="s">
        <v>2802</v>
      </c>
    </row>
    <row r="1358" spans="8:9" x14ac:dyDescent="0.3">
      <c r="H1358" s="153" t="s">
        <v>2041</v>
      </c>
      <c r="I1358" s="153" t="s">
        <v>2802</v>
      </c>
    </row>
    <row r="1359" spans="8:9" x14ac:dyDescent="0.3">
      <c r="H1359" s="153" t="s">
        <v>2039</v>
      </c>
      <c r="I1359" s="153" t="s">
        <v>2802</v>
      </c>
    </row>
    <row r="1360" spans="8:9" x14ac:dyDescent="0.3">
      <c r="H1360" s="153" t="s">
        <v>2043</v>
      </c>
      <c r="I1360" s="153" t="s">
        <v>2802</v>
      </c>
    </row>
    <row r="1361" spans="8:9" x14ac:dyDescent="0.3">
      <c r="H1361" s="153" t="s">
        <v>2059</v>
      </c>
      <c r="I1361" s="153" t="s">
        <v>2024</v>
      </c>
    </row>
    <row r="1362" spans="8:9" x14ac:dyDescent="0.3">
      <c r="H1362" s="153" t="s">
        <v>2037</v>
      </c>
      <c r="I1362" s="153" t="s">
        <v>2802</v>
      </c>
    </row>
    <row r="1363" spans="8:9" x14ac:dyDescent="0.3">
      <c r="H1363" s="153" t="s">
        <v>2953</v>
      </c>
      <c r="I1363" s="153" t="s">
        <v>2859</v>
      </c>
    </row>
    <row r="1364" spans="8:9" x14ac:dyDescent="0.3">
      <c r="H1364" s="153" t="s">
        <v>2028</v>
      </c>
      <c r="I1364" s="153" t="s">
        <v>2023</v>
      </c>
    </row>
    <row r="1365" spans="8:9" x14ac:dyDescent="0.3">
      <c r="H1365" s="153" t="s">
        <v>2059</v>
      </c>
      <c r="I1365" s="153" t="s">
        <v>2024</v>
      </c>
    </row>
    <row r="1366" spans="8:9" x14ac:dyDescent="0.3">
      <c r="H1366" s="153" t="s">
        <v>2059</v>
      </c>
      <c r="I1366" s="153" t="s">
        <v>2024</v>
      </c>
    </row>
    <row r="1367" spans="8:9" x14ac:dyDescent="0.3">
      <c r="H1367" s="153" t="s">
        <v>2060</v>
      </c>
      <c r="I1367" s="153" t="s">
        <v>2023</v>
      </c>
    </row>
    <row r="1368" spans="8:9" x14ac:dyDescent="0.3">
      <c r="H1368" s="153" t="s">
        <v>2032</v>
      </c>
      <c r="I1368" s="153" t="s">
        <v>2802</v>
      </c>
    </row>
    <row r="1369" spans="8:9" x14ac:dyDescent="0.3">
      <c r="H1369" s="153" t="s">
        <v>2037</v>
      </c>
      <c r="I1369" s="153" t="s">
        <v>2802</v>
      </c>
    </row>
    <row r="1370" spans="8:9" x14ac:dyDescent="0.3">
      <c r="H1370" s="153" t="s">
        <v>2059</v>
      </c>
      <c r="I1370" s="153" t="s">
        <v>2024</v>
      </c>
    </row>
    <row r="1371" spans="8:9" x14ac:dyDescent="0.3">
      <c r="H1371" s="153" t="s">
        <v>2037</v>
      </c>
      <c r="I1371" s="153" t="s">
        <v>2802</v>
      </c>
    </row>
    <row r="1372" spans="8:9" x14ac:dyDescent="0.3">
      <c r="H1372" s="153" t="s">
        <v>2063</v>
      </c>
      <c r="I1372" s="153" t="s">
        <v>2802</v>
      </c>
    </row>
    <row r="1373" spans="8:9" x14ac:dyDescent="0.3">
      <c r="H1373" s="153" t="s">
        <v>2028</v>
      </c>
      <c r="I1373" s="153" t="s">
        <v>2023</v>
      </c>
    </row>
    <row r="1374" spans="8:9" x14ac:dyDescent="0.3">
      <c r="H1374" s="153" t="s">
        <v>2028</v>
      </c>
      <c r="I1374" s="153" t="s">
        <v>2023</v>
      </c>
    </row>
    <row r="1375" spans="8:9" x14ac:dyDescent="0.3">
      <c r="H1375" s="153" t="s">
        <v>2028</v>
      </c>
      <c r="I1375" s="153" t="s">
        <v>2023</v>
      </c>
    </row>
    <row r="1376" spans="8:9" x14ac:dyDescent="0.3">
      <c r="H1376" s="153" t="s">
        <v>2028</v>
      </c>
      <c r="I1376" s="153" t="s">
        <v>2023</v>
      </c>
    </row>
    <row r="1377" spans="8:9" x14ac:dyDescent="0.3">
      <c r="H1377" s="153" t="s">
        <v>2028</v>
      </c>
      <c r="I1377" s="153" t="s">
        <v>2023</v>
      </c>
    </row>
    <row r="1378" spans="8:9" x14ac:dyDescent="0.3">
      <c r="H1378" s="153" t="s">
        <v>2062</v>
      </c>
      <c r="I1378" s="153" t="s">
        <v>2023</v>
      </c>
    </row>
    <row r="1379" spans="8:9" x14ac:dyDescent="0.3">
      <c r="H1379" s="153" t="s">
        <v>2041</v>
      </c>
      <c r="I1379" s="153" t="s">
        <v>2802</v>
      </c>
    </row>
    <row r="1380" spans="8:9" x14ac:dyDescent="0.3">
      <c r="H1380" s="153" t="s">
        <v>2041</v>
      </c>
      <c r="I1380" s="153" t="s">
        <v>2802</v>
      </c>
    </row>
    <row r="1381" spans="8:9" x14ac:dyDescent="0.3">
      <c r="H1381" s="153" t="s">
        <v>2028</v>
      </c>
      <c r="I1381" s="153" t="s">
        <v>2023</v>
      </c>
    </row>
    <row r="1382" spans="8:9" x14ac:dyDescent="0.3">
      <c r="H1382" s="153" t="s">
        <v>2048</v>
      </c>
      <c r="I1382" s="153" t="s">
        <v>2802</v>
      </c>
    </row>
    <row r="1383" spans="8:9" x14ac:dyDescent="0.3">
      <c r="H1383" s="153" t="s">
        <v>2037</v>
      </c>
      <c r="I1383" s="153" t="s">
        <v>2802</v>
      </c>
    </row>
    <row r="1384" spans="8:9" x14ac:dyDescent="0.3">
      <c r="H1384" s="153" t="s">
        <v>2039</v>
      </c>
      <c r="I1384" s="153" t="s">
        <v>2802</v>
      </c>
    </row>
    <row r="1385" spans="8:9" x14ac:dyDescent="0.3">
      <c r="H1385" s="153" t="s">
        <v>2041</v>
      </c>
      <c r="I1385" s="153" t="s">
        <v>2802</v>
      </c>
    </row>
    <row r="1386" spans="8:9" x14ac:dyDescent="0.3">
      <c r="H1386" s="153" t="s">
        <v>2028</v>
      </c>
      <c r="I1386" s="153" t="s">
        <v>2023</v>
      </c>
    </row>
    <row r="1387" spans="8:9" x14ac:dyDescent="0.3">
      <c r="H1387" s="153" t="s">
        <v>2060</v>
      </c>
      <c r="I1387" s="153" t="s">
        <v>2023</v>
      </c>
    </row>
    <row r="1388" spans="8:9" x14ac:dyDescent="0.3">
      <c r="H1388" s="153" t="s">
        <v>2041</v>
      </c>
      <c r="I1388" s="153" t="s">
        <v>2802</v>
      </c>
    </row>
    <row r="1389" spans="8:9" x14ac:dyDescent="0.3">
      <c r="H1389" s="153" t="s">
        <v>2061</v>
      </c>
      <c r="I1389" s="153" t="s">
        <v>2802</v>
      </c>
    </row>
    <row r="1390" spans="8:9" x14ac:dyDescent="0.3">
      <c r="H1390" s="153" t="s">
        <v>2064</v>
      </c>
      <c r="I1390" s="153" t="s">
        <v>2802</v>
      </c>
    </row>
    <row r="1391" spans="8:9" x14ac:dyDescent="0.3">
      <c r="H1391" s="153" t="s">
        <v>2064</v>
      </c>
      <c r="I1391" s="153" t="s">
        <v>2802</v>
      </c>
    </row>
    <row r="1392" spans="8:9" x14ac:dyDescent="0.3">
      <c r="H1392" s="153" t="s">
        <v>2064</v>
      </c>
      <c r="I1392" s="153" t="s">
        <v>2802</v>
      </c>
    </row>
    <row r="1393" spans="8:9" x14ac:dyDescent="0.3">
      <c r="H1393" s="153" t="s">
        <v>2064</v>
      </c>
      <c r="I1393" s="153" t="s">
        <v>2802</v>
      </c>
    </row>
    <row r="1394" spans="8:9" x14ac:dyDescent="0.3">
      <c r="H1394" s="153" t="s">
        <v>2064</v>
      </c>
      <c r="I1394" s="153" t="s">
        <v>2802</v>
      </c>
    </row>
    <row r="1395" spans="8:9" x14ac:dyDescent="0.3">
      <c r="H1395" s="153" t="s">
        <v>2064</v>
      </c>
      <c r="I1395" s="153" t="s">
        <v>2802</v>
      </c>
    </row>
    <row r="1396" spans="8:9" x14ac:dyDescent="0.3">
      <c r="H1396" s="153" t="s">
        <v>2059</v>
      </c>
      <c r="I1396" s="153" t="s">
        <v>2024</v>
      </c>
    </row>
    <row r="1397" spans="8:9" x14ac:dyDescent="0.3">
      <c r="H1397" s="153" t="s">
        <v>2039</v>
      </c>
      <c r="I1397" s="153" t="s">
        <v>2802</v>
      </c>
    </row>
    <row r="1398" spans="8:9" x14ac:dyDescent="0.3">
      <c r="H1398" s="153" t="s">
        <v>2039</v>
      </c>
      <c r="I1398" s="153" t="s">
        <v>2802</v>
      </c>
    </row>
    <row r="1399" spans="8:9" x14ac:dyDescent="0.3">
      <c r="H1399" s="153" t="s">
        <v>2040</v>
      </c>
      <c r="I1399" s="153" t="s">
        <v>2802</v>
      </c>
    </row>
    <row r="1400" spans="8:9" x14ac:dyDescent="0.3">
      <c r="H1400" s="153" t="s">
        <v>2059</v>
      </c>
      <c r="I1400" s="153" t="s">
        <v>2024</v>
      </c>
    </row>
    <row r="1401" spans="8:9" x14ac:dyDescent="0.3">
      <c r="H1401" s="153" t="s">
        <v>2037</v>
      </c>
      <c r="I1401" s="153" t="s">
        <v>2802</v>
      </c>
    </row>
    <row r="1402" spans="8:9" x14ac:dyDescent="0.3">
      <c r="H1402" s="153" t="s">
        <v>2039</v>
      </c>
      <c r="I1402" s="153" t="s">
        <v>2802</v>
      </c>
    </row>
    <row r="1403" spans="8:9" x14ac:dyDescent="0.3">
      <c r="H1403" s="153" t="s">
        <v>2063</v>
      </c>
      <c r="I1403" s="153" t="s">
        <v>2802</v>
      </c>
    </row>
    <row r="1404" spans="8:9" x14ac:dyDescent="0.3">
      <c r="H1404" s="153" t="s">
        <v>2032</v>
      </c>
      <c r="I1404" s="153" t="s">
        <v>2802</v>
      </c>
    </row>
    <row r="1405" spans="8:9" x14ac:dyDescent="0.3">
      <c r="H1405" s="153" t="s">
        <v>2037</v>
      </c>
      <c r="I1405" s="153" t="s">
        <v>2802</v>
      </c>
    </row>
    <row r="1406" spans="8:9" x14ac:dyDescent="0.3">
      <c r="H1406" s="153" t="s">
        <v>2061</v>
      </c>
      <c r="I1406" s="153" t="s">
        <v>2802</v>
      </c>
    </row>
    <row r="1407" spans="8:9" x14ac:dyDescent="0.3">
      <c r="H1407" s="153" t="s">
        <v>2060</v>
      </c>
      <c r="I1407" s="153" t="s">
        <v>2023</v>
      </c>
    </row>
    <row r="1408" spans="8:9" x14ac:dyDescent="0.3">
      <c r="H1408" s="153" t="s">
        <v>2061</v>
      </c>
      <c r="I1408" s="153" t="s">
        <v>2802</v>
      </c>
    </row>
    <row r="1409" spans="8:9" x14ac:dyDescent="0.3">
      <c r="H1409" s="153" t="s">
        <v>2028</v>
      </c>
      <c r="I1409" s="153" t="s">
        <v>2023</v>
      </c>
    </row>
    <row r="1410" spans="8:9" x14ac:dyDescent="0.3">
      <c r="H1410" s="153" t="s">
        <v>2028</v>
      </c>
      <c r="I1410" s="153" t="s">
        <v>2023</v>
      </c>
    </row>
    <row r="1411" spans="8:9" x14ac:dyDescent="0.3">
      <c r="H1411" s="153" t="s">
        <v>2028</v>
      </c>
      <c r="I1411" s="153" t="s">
        <v>2023</v>
      </c>
    </row>
    <row r="1412" spans="8:9" x14ac:dyDescent="0.3">
      <c r="H1412" s="153" t="s">
        <v>2037</v>
      </c>
      <c r="I1412" s="153" t="s">
        <v>2802</v>
      </c>
    </row>
    <row r="1413" spans="8:9" x14ac:dyDescent="0.3">
      <c r="H1413" s="153" t="s">
        <v>2945</v>
      </c>
      <c r="I1413" s="153" t="s">
        <v>2859</v>
      </c>
    </row>
    <row r="1414" spans="8:9" x14ac:dyDescent="0.3">
      <c r="H1414" s="153" t="s">
        <v>2062</v>
      </c>
      <c r="I1414" s="153" t="s">
        <v>2023</v>
      </c>
    </row>
    <row r="1415" spans="8:9" x14ac:dyDescent="0.3">
      <c r="H1415" s="153" t="s">
        <v>2061</v>
      </c>
      <c r="I1415" s="153" t="s">
        <v>2802</v>
      </c>
    </row>
    <row r="1416" spans="8:9" x14ac:dyDescent="0.3">
      <c r="H1416" s="153" t="s">
        <v>2039</v>
      </c>
      <c r="I1416" s="153" t="s">
        <v>2802</v>
      </c>
    </row>
    <row r="1417" spans="8:9" x14ac:dyDescent="0.3">
      <c r="H1417" s="153" t="s">
        <v>2060</v>
      </c>
      <c r="I1417" s="153" t="s">
        <v>2023</v>
      </c>
    </row>
    <row r="1418" spans="8:9" x14ac:dyDescent="0.3">
      <c r="H1418" s="153" t="s">
        <v>2039</v>
      </c>
      <c r="I1418" s="153" t="s">
        <v>2802</v>
      </c>
    </row>
    <row r="1419" spans="8:9" x14ac:dyDescent="0.3">
      <c r="H1419" s="153" t="s">
        <v>2058</v>
      </c>
      <c r="I1419" s="153" t="s">
        <v>2802</v>
      </c>
    </row>
    <row r="1420" spans="8:9" x14ac:dyDescent="0.3">
      <c r="H1420" s="153" t="s">
        <v>2058</v>
      </c>
      <c r="I1420" s="153" t="s">
        <v>2802</v>
      </c>
    </row>
    <row r="1421" spans="8:9" x14ac:dyDescent="0.3">
      <c r="H1421" s="153" t="s">
        <v>2041</v>
      </c>
      <c r="I1421" s="153" t="s">
        <v>2802</v>
      </c>
    </row>
    <row r="1422" spans="8:9" x14ac:dyDescent="0.3">
      <c r="H1422" s="153" t="s">
        <v>2037</v>
      </c>
      <c r="I1422" s="153" t="s">
        <v>2802</v>
      </c>
    </row>
    <row r="1423" spans="8:9" x14ac:dyDescent="0.3">
      <c r="H1423" s="153" t="s">
        <v>2063</v>
      </c>
      <c r="I1423" s="153" t="s">
        <v>2802</v>
      </c>
    </row>
    <row r="1424" spans="8:9" x14ac:dyDescent="0.3">
      <c r="H1424" s="153" t="s">
        <v>2062</v>
      </c>
      <c r="I1424" s="153" t="s">
        <v>2023</v>
      </c>
    </row>
    <row r="1425" spans="8:9" x14ac:dyDescent="0.3">
      <c r="H1425" s="153" t="s">
        <v>2037</v>
      </c>
      <c r="I1425" s="153" t="s">
        <v>2802</v>
      </c>
    </row>
    <row r="1426" spans="8:9" x14ac:dyDescent="0.3">
      <c r="H1426" s="153" t="s">
        <v>2039</v>
      </c>
      <c r="I1426" s="153" t="s">
        <v>2802</v>
      </c>
    </row>
    <row r="1427" spans="8:9" x14ac:dyDescent="0.3">
      <c r="H1427" s="153" t="s">
        <v>2037</v>
      </c>
      <c r="I1427" s="153" t="s">
        <v>2802</v>
      </c>
    </row>
    <row r="1428" spans="8:9" x14ac:dyDescent="0.3">
      <c r="H1428" s="153" t="s">
        <v>2058</v>
      </c>
      <c r="I1428" s="153" t="s">
        <v>2802</v>
      </c>
    </row>
    <row r="1429" spans="8:9" x14ac:dyDescent="0.3">
      <c r="H1429" s="153" t="s">
        <v>2054</v>
      </c>
      <c r="I1429" s="153" t="s">
        <v>2802</v>
      </c>
    </row>
    <row r="1430" spans="8:9" x14ac:dyDescent="0.3">
      <c r="H1430" s="153" t="s">
        <v>2041</v>
      </c>
      <c r="I1430" s="153" t="s">
        <v>2802</v>
      </c>
    </row>
    <row r="1431" spans="8:9" x14ac:dyDescent="0.3">
      <c r="H1431" s="153" t="s">
        <v>2037</v>
      </c>
      <c r="I1431" s="153" t="s">
        <v>2802</v>
      </c>
    </row>
    <row r="1432" spans="8:9" x14ac:dyDescent="0.3">
      <c r="H1432" s="153" t="s">
        <v>2062</v>
      </c>
      <c r="I1432" s="153" t="s">
        <v>2023</v>
      </c>
    </row>
    <row r="1433" spans="8:9" x14ac:dyDescent="0.3">
      <c r="H1433" s="153" t="s">
        <v>2041</v>
      </c>
      <c r="I1433" s="153" t="s">
        <v>2802</v>
      </c>
    </row>
    <row r="1434" spans="8:9" x14ac:dyDescent="0.3">
      <c r="H1434" s="153" t="s">
        <v>2041</v>
      </c>
      <c r="I1434" s="153" t="s">
        <v>2802</v>
      </c>
    </row>
    <row r="1435" spans="8:9" x14ac:dyDescent="0.3">
      <c r="H1435" s="153" t="s">
        <v>2954</v>
      </c>
      <c r="I1435" s="153" t="s">
        <v>2802</v>
      </c>
    </row>
    <row r="1436" spans="8:9" x14ac:dyDescent="0.3">
      <c r="H1436" s="153" t="s">
        <v>2049</v>
      </c>
      <c r="I1436" s="153" t="s">
        <v>2024</v>
      </c>
    </row>
    <row r="1437" spans="8:9" x14ac:dyDescent="0.3">
      <c r="H1437" s="153" t="s">
        <v>2049</v>
      </c>
      <c r="I1437" s="153" t="s">
        <v>2024</v>
      </c>
    </row>
    <row r="1438" spans="8:9" x14ac:dyDescent="0.3">
      <c r="H1438" s="153" t="s">
        <v>2049</v>
      </c>
      <c r="I1438" s="153" t="s">
        <v>2024</v>
      </c>
    </row>
    <row r="1439" spans="8:9" x14ac:dyDescent="0.3">
      <c r="H1439" s="153" t="s">
        <v>2060</v>
      </c>
      <c r="I1439" s="153" t="s">
        <v>2023</v>
      </c>
    </row>
    <row r="1440" spans="8:9" x14ac:dyDescent="0.3">
      <c r="H1440" s="153" t="s">
        <v>2060</v>
      </c>
      <c r="I1440" s="153" t="s">
        <v>2023</v>
      </c>
    </row>
    <row r="1441" spans="8:9" x14ac:dyDescent="0.3">
      <c r="H1441" s="153" t="s">
        <v>2032</v>
      </c>
      <c r="I1441" s="153" t="s">
        <v>2802</v>
      </c>
    </row>
    <row r="1442" spans="8:9" x14ac:dyDescent="0.3">
      <c r="H1442" s="153" t="s">
        <v>2037</v>
      </c>
      <c r="I1442" s="153" t="s">
        <v>2802</v>
      </c>
    </row>
    <row r="1443" spans="8:9" x14ac:dyDescent="0.3">
      <c r="H1443" s="153" t="s">
        <v>2043</v>
      </c>
      <c r="I1443" s="153" t="s">
        <v>2802</v>
      </c>
    </row>
    <row r="1444" spans="8:9" x14ac:dyDescent="0.3">
      <c r="H1444" s="153" t="s">
        <v>2037</v>
      </c>
      <c r="I1444" s="153" t="s">
        <v>2802</v>
      </c>
    </row>
    <row r="1445" spans="8:9" x14ac:dyDescent="0.3">
      <c r="H1445" s="153" t="s">
        <v>2061</v>
      </c>
      <c r="I1445" s="153" t="s">
        <v>2802</v>
      </c>
    </row>
    <row r="1446" spans="8:9" x14ac:dyDescent="0.3">
      <c r="H1446" s="153" t="s">
        <v>2037</v>
      </c>
      <c r="I1446" s="153" t="s">
        <v>2802</v>
      </c>
    </row>
    <row r="1447" spans="8:9" x14ac:dyDescent="0.3">
      <c r="H1447" s="153" t="s">
        <v>2033</v>
      </c>
      <c r="I1447" s="153" t="s">
        <v>2802</v>
      </c>
    </row>
    <row r="1448" spans="8:9" x14ac:dyDescent="0.3">
      <c r="H1448" s="153" t="s">
        <v>2055</v>
      </c>
      <c r="I1448" s="153" t="s">
        <v>2802</v>
      </c>
    </row>
    <row r="1449" spans="8:9" x14ac:dyDescent="0.3">
      <c r="H1449" s="153" t="s">
        <v>2028</v>
      </c>
      <c r="I1449" s="153" t="s">
        <v>2023</v>
      </c>
    </row>
    <row r="1450" spans="8:9" x14ac:dyDescent="0.3">
      <c r="H1450" s="153" t="s">
        <v>2040</v>
      </c>
      <c r="I1450" s="153" t="s">
        <v>2802</v>
      </c>
    </row>
    <row r="1451" spans="8:9" x14ac:dyDescent="0.3">
      <c r="H1451" s="153" t="s">
        <v>2945</v>
      </c>
      <c r="I1451" s="153" t="s">
        <v>2859</v>
      </c>
    </row>
    <row r="1452" spans="8:9" x14ac:dyDescent="0.3">
      <c r="H1452" s="153" t="s">
        <v>2039</v>
      </c>
      <c r="I1452" s="153" t="s">
        <v>2802</v>
      </c>
    </row>
    <row r="1453" spans="8:9" x14ac:dyDescent="0.3">
      <c r="H1453" s="153" t="s">
        <v>2063</v>
      </c>
      <c r="I1453" s="153" t="s">
        <v>2802</v>
      </c>
    </row>
    <row r="1454" spans="8:9" x14ac:dyDescent="0.3">
      <c r="H1454" s="153" t="s">
        <v>2041</v>
      </c>
      <c r="I1454" s="153" t="s">
        <v>2802</v>
      </c>
    </row>
    <row r="1455" spans="8:9" x14ac:dyDescent="0.3">
      <c r="H1455" s="153" t="s">
        <v>2041</v>
      </c>
      <c r="I1455" s="153" t="s">
        <v>2802</v>
      </c>
    </row>
    <row r="1456" spans="8:9" x14ac:dyDescent="0.3">
      <c r="H1456" s="153" t="s">
        <v>2032</v>
      </c>
      <c r="I1456" s="153" t="s">
        <v>2802</v>
      </c>
    </row>
    <row r="1457" spans="8:9" x14ac:dyDescent="0.3">
      <c r="H1457" s="153" t="s">
        <v>2039</v>
      </c>
      <c r="I1457" s="153" t="s">
        <v>2802</v>
      </c>
    </row>
    <row r="1458" spans="8:9" x14ac:dyDescent="0.3">
      <c r="H1458" s="153" t="s">
        <v>2060</v>
      </c>
      <c r="I1458" s="153" t="s">
        <v>2023</v>
      </c>
    </row>
    <row r="1459" spans="8:9" x14ac:dyDescent="0.3">
      <c r="H1459" s="153" t="s">
        <v>2061</v>
      </c>
      <c r="I1459" s="153" t="s">
        <v>2802</v>
      </c>
    </row>
    <row r="1460" spans="8:9" x14ac:dyDescent="0.3">
      <c r="H1460" s="153" t="s">
        <v>2031</v>
      </c>
      <c r="I1460" s="153" t="s">
        <v>2024</v>
      </c>
    </row>
    <row r="1461" spans="8:9" x14ac:dyDescent="0.3">
      <c r="H1461" s="153" t="s">
        <v>2037</v>
      </c>
      <c r="I1461" s="153" t="s">
        <v>2802</v>
      </c>
    </row>
    <row r="1462" spans="8:9" x14ac:dyDescent="0.3">
      <c r="H1462" s="153" t="s">
        <v>2039</v>
      </c>
      <c r="I1462" s="153" t="s">
        <v>2802</v>
      </c>
    </row>
    <row r="1463" spans="8:9" x14ac:dyDescent="0.3">
      <c r="H1463" s="153" t="s">
        <v>2059</v>
      </c>
      <c r="I1463" s="153" t="s">
        <v>2024</v>
      </c>
    </row>
    <row r="1464" spans="8:9" x14ac:dyDescent="0.3">
      <c r="H1464" s="153" t="s">
        <v>2028</v>
      </c>
      <c r="I1464" s="153" t="s">
        <v>2023</v>
      </c>
    </row>
    <row r="1465" spans="8:9" x14ac:dyDescent="0.3">
      <c r="H1465" s="153" t="s">
        <v>2062</v>
      </c>
      <c r="I1465" s="153" t="s">
        <v>2023</v>
      </c>
    </row>
    <row r="1466" spans="8:9" x14ac:dyDescent="0.3">
      <c r="H1466" s="153" t="s">
        <v>2032</v>
      </c>
      <c r="I1466" s="153" t="s">
        <v>2802</v>
      </c>
    </row>
    <row r="1467" spans="8:9" x14ac:dyDescent="0.3">
      <c r="H1467" s="153" t="s">
        <v>2836</v>
      </c>
      <c r="I1467" s="153" t="s">
        <v>2802</v>
      </c>
    </row>
    <row r="1468" spans="8:9" x14ac:dyDescent="0.3">
      <c r="H1468" s="153" t="s">
        <v>2039</v>
      </c>
      <c r="I1468" s="153" t="s">
        <v>2802</v>
      </c>
    </row>
    <row r="1469" spans="8:9" x14ac:dyDescent="0.3">
      <c r="H1469" s="153" t="s">
        <v>2041</v>
      </c>
      <c r="I1469" s="153" t="s">
        <v>2802</v>
      </c>
    </row>
    <row r="1470" spans="8:9" x14ac:dyDescent="0.3">
      <c r="H1470" s="153" t="s">
        <v>2840</v>
      </c>
      <c r="I1470" s="153" t="s">
        <v>2802</v>
      </c>
    </row>
    <row r="1471" spans="8:9" x14ac:dyDescent="0.3">
      <c r="H1471" s="153" t="s">
        <v>2048</v>
      </c>
      <c r="I1471" s="153" t="s">
        <v>2802</v>
      </c>
    </row>
    <row r="1472" spans="8:9" x14ac:dyDescent="0.3">
      <c r="H1472" s="153" t="s">
        <v>2945</v>
      </c>
      <c r="I1472" s="153" t="s">
        <v>2859</v>
      </c>
    </row>
    <row r="1473" spans="8:9" x14ac:dyDescent="0.3">
      <c r="H1473" s="153" t="s">
        <v>2043</v>
      </c>
      <c r="I1473" s="153" t="s">
        <v>2802</v>
      </c>
    </row>
  </sheetData>
  <autoFilter ref="P13:U150"/>
  <mergeCells count="1">
    <mergeCell ref="O165:Q16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A1424"/>
  <sheetViews>
    <sheetView topLeftCell="L9" zoomScale="70" zoomScaleNormal="70" workbookViewId="0">
      <selection activeCell="N163" sqref="N163"/>
    </sheetView>
  </sheetViews>
  <sheetFormatPr defaultColWidth="9" defaultRowHeight="16.5" x14ac:dyDescent="0.3"/>
  <cols>
    <col min="1" max="1" width="9" style="153"/>
    <col min="2" max="8" width="9" style="153" customWidth="1"/>
    <col min="9" max="10" width="9" style="153"/>
    <col min="11" max="12" width="20.5" style="153" customWidth="1"/>
    <col min="13" max="14" width="16.75" style="153" customWidth="1"/>
    <col min="15" max="15" width="13.75" style="153" bestFit="1" customWidth="1"/>
    <col min="16" max="16" width="13.75" style="153" customWidth="1"/>
    <col min="17" max="18" width="16.5" style="153" customWidth="1"/>
    <col min="19" max="19" width="17.125" style="153" customWidth="1"/>
    <col min="20" max="23" width="18.375" style="153" bestFit="1" customWidth="1"/>
    <col min="24" max="31" width="9" style="153"/>
    <col min="32" max="32" width="9" style="153" customWidth="1"/>
    <col min="33" max="33" width="9" style="153"/>
    <col min="34" max="34" width="13" style="153" bestFit="1" customWidth="1"/>
    <col min="35" max="39" width="20.625" style="153" customWidth="1"/>
    <col min="40" max="41" width="9" style="153"/>
    <col min="42" max="42" width="14.25" style="153" bestFit="1" customWidth="1"/>
    <col min="43" max="45" width="15.625" style="153" customWidth="1"/>
    <col min="46" max="46" width="14.25" style="153" bestFit="1" customWidth="1"/>
    <col min="47" max="16384" width="9" style="153"/>
  </cols>
  <sheetData>
    <row r="2" spans="2:53" x14ac:dyDescent="0.3">
      <c r="K2" s="888" t="s">
        <v>2794</v>
      </c>
    </row>
    <row r="3" spans="2:53" x14ac:dyDescent="0.3">
      <c r="AH3" s="153" t="s">
        <v>3285</v>
      </c>
      <c r="AI3" s="977">
        <f>SUM(AI14,AI17,AI20,AI23,AI26,AI29,AI32,AI35,AI38,AI41,AI44,AI47,AI50,AI53,AI56,AI59,AI62,AI65,AI68,AI71,AI79,AI82,AI85,AI88,AI91,AI94,AI97,AI100)</f>
        <v>2070</v>
      </c>
      <c r="AJ3" s="977">
        <f t="shared" ref="AJ3:AM3" si="0">SUM(AJ14,AJ17,AJ20,AJ23,AJ26,AJ29,AJ32,AJ35,AJ38,AJ41,AJ44,AJ47,AJ50,AJ53,AJ56,AJ59,AJ62,AJ65,AJ68,AJ71,AJ79,AJ82,AJ85,AJ88,AJ91,AJ94,AJ97,AJ100)</f>
        <v>2510</v>
      </c>
      <c r="AK3" s="977">
        <f t="shared" si="0"/>
        <v>2988</v>
      </c>
      <c r="AL3" s="977">
        <f t="shared" si="0"/>
        <v>3194</v>
      </c>
      <c r="AM3" s="977">
        <f t="shared" si="0"/>
        <v>3343</v>
      </c>
    </row>
    <row r="4" spans="2:53" x14ac:dyDescent="0.3">
      <c r="K4" s="153" t="s">
        <v>2795</v>
      </c>
    </row>
    <row r="5" spans="2:53" x14ac:dyDescent="0.3">
      <c r="K5" s="967" t="s">
        <v>2796</v>
      </c>
    </row>
    <row r="6" spans="2:53" x14ac:dyDescent="0.3">
      <c r="K6" s="967" t="s">
        <v>2797</v>
      </c>
      <c r="AF6" s="888" t="s">
        <v>2798</v>
      </c>
    </row>
    <row r="7" spans="2:53" x14ac:dyDescent="0.3">
      <c r="K7" s="967"/>
    </row>
    <row r="8" spans="2:53" x14ac:dyDescent="0.3">
      <c r="K8" s="967" t="s">
        <v>2799</v>
      </c>
      <c r="AI8" s="819">
        <v>118712300000</v>
      </c>
      <c r="AJ8" s="819">
        <v>155778500000</v>
      </c>
      <c r="AK8" s="819">
        <v>201212500000</v>
      </c>
      <c r="AL8" s="819">
        <v>226983900000</v>
      </c>
      <c r="AM8" s="819">
        <v>241316000000</v>
      </c>
    </row>
    <row r="9" spans="2:53" x14ac:dyDescent="0.3">
      <c r="K9" s="967"/>
    </row>
    <row r="10" spans="2:53" x14ac:dyDescent="0.3">
      <c r="K10" s="153" t="s">
        <v>2800</v>
      </c>
    </row>
    <row r="11" spans="2:53" x14ac:dyDescent="0.3">
      <c r="B11" s="153">
        <v>2015</v>
      </c>
      <c r="C11" s="153">
        <v>2016</v>
      </c>
      <c r="D11" s="153">
        <v>2017</v>
      </c>
      <c r="E11" s="153" t="s">
        <v>2801</v>
      </c>
      <c r="H11" s="153" t="s">
        <v>2037</v>
      </c>
      <c r="I11" s="153" t="s">
        <v>2802</v>
      </c>
      <c r="K11" s="968"/>
      <c r="L11" s="968" t="s">
        <v>2803</v>
      </c>
      <c r="M11" s="968" t="s">
        <v>2804</v>
      </c>
      <c r="N11" s="968" t="s">
        <v>2805</v>
      </c>
      <c r="O11" s="968" t="s">
        <v>2806</v>
      </c>
      <c r="P11" s="1049" t="s">
        <v>3074</v>
      </c>
      <c r="Q11" s="1052"/>
      <c r="R11" s="1615">
        <v>2017</v>
      </c>
      <c r="S11" s="1052">
        <v>2018</v>
      </c>
      <c r="T11" s="969">
        <f>S11+1</f>
        <v>2019</v>
      </c>
      <c r="U11" s="969">
        <f t="shared" ref="U11:W11" si="1">T11+1</f>
        <v>2020</v>
      </c>
      <c r="V11" s="969">
        <f t="shared" si="1"/>
        <v>2021</v>
      </c>
      <c r="W11" s="969">
        <f t="shared" si="1"/>
        <v>2022</v>
      </c>
      <c r="X11" s="970"/>
      <c r="AF11" s="153" t="s">
        <v>2807</v>
      </c>
      <c r="AG11" s="153" t="s">
        <v>2808</v>
      </c>
      <c r="AI11" s="971">
        <f>SUM(AI13,AI16,AI19,AI22,AI25,AI28,AI31,AI34,AI37,AI40,AI43,AI46,AI49,AI52,AI55,AI58,AI61,AI64,AI67,AI70)</f>
        <v>112042800000</v>
      </c>
      <c r="AJ11" s="971">
        <f>SUM(AJ13,AJ16,AJ19,AJ22,AJ25,AJ28,AJ31,AJ34,AJ37,AJ40,AJ43,AJ46,AJ49,AJ52,AJ55,AJ58,AJ61,AJ64,AJ67,AJ70)</f>
        <v>142930200000</v>
      </c>
      <c r="AK11" s="971">
        <f>SUM(AK13,AK16,AK19,AK22,AK25,AK28,AK31,AK34,AK37,AK40,AK43,AK46,AK49,AK52,AK55,AK58,AK61,AK64,AK67,AK70)</f>
        <v>187956700000</v>
      </c>
      <c r="AL11" s="971">
        <f>SUM(AL13,AL16,AL19,AL22,AL25,AL28,AL31,AL34,AL37,AL40,AL43,AL46,AL49,AL52,AL55,AL58,AL61,AL64,AL67,AL70)</f>
        <v>207998600000</v>
      </c>
      <c r="AM11" s="971">
        <f>SUM(AM13,AM16,AM19,AM22,AM25,AM28,AM31,AM34,AM37,AM40,AM43,AM46,AM49,AM52,AM55,AM58,AM61,AM64,AM67,AM70)</f>
        <v>226353900000</v>
      </c>
      <c r="AZ11" s="153" t="s">
        <v>2061</v>
      </c>
      <c r="BA11" s="153" t="s">
        <v>2809</v>
      </c>
    </row>
    <row r="12" spans="2:53" x14ac:dyDescent="0.3">
      <c r="B12" s="153" t="s">
        <v>2067</v>
      </c>
      <c r="C12" s="153" t="s">
        <v>2067</v>
      </c>
      <c r="D12" s="153" t="s">
        <v>2061</v>
      </c>
      <c r="E12" s="153" t="s">
        <v>2809</v>
      </c>
      <c r="G12" s="153" t="s">
        <v>2067</v>
      </c>
      <c r="H12" s="153" t="s">
        <v>2054</v>
      </c>
      <c r="I12" s="153" t="s">
        <v>2802</v>
      </c>
      <c r="K12" s="968"/>
      <c r="L12" s="968" t="s">
        <v>2810</v>
      </c>
      <c r="M12" s="968" t="s">
        <v>2067</v>
      </c>
      <c r="N12" s="968" t="s">
        <v>2811</v>
      </c>
      <c r="O12" s="969" t="s">
        <v>2812</v>
      </c>
      <c r="P12" s="1050"/>
      <c r="Q12" s="968" t="s">
        <v>2813</v>
      </c>
      <c r="R12" s="968">
        <f>COUNTIFS(계정별원장!$A$3:$A$5997,"17",계정별원장!$B$3:$B$5997,'사업계획(매출 확정본)'!$M12)</f>
        <v>9</v>
      </c>
      <c r="S12" s="972">
        <v>20</v>
      </c>
      <c r="T12" s="972">
        <v>30</v>
      </c>
      <c r="U12" s="972">
        <v>40</v>
      </c>
      <c r="V12" s="972">
        <v>50</v>
      </c>
      <c r="W12" s="972">
        <v>55</v>
      </c>
      <c r="AF12" s="153" t="s">
        <v>2814</v>
      </c>
      <c r="AI12" s="889">
        <v>2018</v>
      </c>
      <c r="AJ12" s="889">
        <v>2019</v>
      </c>
      <c r="AK12" s="889">
        <v>2020</v>
      </c>
      <c r="AL12" s="889">
        <v>2021</v>
      </c>
      <c r="AM12" s="889">
        <v>2022</v>
      </c>
      <c r="AZ12" s="153" t="s">
        <v>2028</v>
      </c>
      <c r="BA12" s="153" t="s">
        <v>2815</v>
      </c>
    </row>
    <row r="13" spans="2:53" x14ac:dyDescent="0.3">
      <c r="D13" s="153" t="s">
        <v>2028</v>
      </c>
      <c r="E13" s="153" t="s">
        <v>2815</v>
      </c>
      <c r="H13" s="153" t="s">
        <v>2060</v>
      </c>
      <c r="I13" s="153" t="s">
        <v>2023</v>
      </c>
      <c r="K13" s="968"/>
      <c r="L13" s="968"/>
      <c r="M13" s="968" t="s">
        <v>2067</v>
      </c>
      <c r="N13" s="968" t="s">
        <v>2811</v>
      </c>
      <c r="O13" s="969" t="s">
        <v>2812</v>
      </c>
      <c r="P13" s="1050">
        <f>VLOOKUP(M12,'제품별 원재료비 '!$O$4:$S$48,5,FALSE)</f>
        <v>70445540</v>
      </c>
      <c r="Q13" s="968" t="s">
        <v>2816</v>
      </c>
      <c r="R13" s="1617">
        <f>R14/R12</f>
        <v>56300000.222222224</v>
      </c>
      <c r="S13" s="973">
        <v>111500000</v>
      </c>
      <c r="T13" s="973">
        <f>ROUND(S13*1.05,-5)</f>
        <v>117100000</v>
      </c>
      <c r="U13" s="973">
        <f t="shared" ref="U13:W13" si="2">ROUND(T13*1.05,-5)</f>
        <v>123000000</v>
      </c>
      <c r="V13" s="973">
        <f t="shared" si="2"/>
        <v>129200000</v>
      </c>
      <c r="W13" s="973">
        <f t="shared" si="2"/>
        <v>135700000</v>
      </c>
      <c r="AF13" s="153" t="s">
        <v>2814</v>
      </c>
      <c r="AG13" s="969" t="s">
        <v>2817</v>
      </c>
      <c r="AH13" s="968" t="s">
        <v>2818</v>
      </c>
      <c r="AI13" s="819">
        <f>SUMIFS($S$12:$S$113,$Q$12:$Q$113,AH13,$O$12:$O$113,AG13,$N$12:$N$113,AF13)</f>
        <v>23301900000</v>
      </c>
      <c r="AJ13" s="819">
        <f>SUMIFS($T$12:$T$113,$Q$12:$Q$113,AH13,$O$12:$O$113,AG13,$N$12:$N$113,AF13)</f>
        <v>26056900000</v>
      </c>
      <c r="AK13" s="819">
        <f>SUMIFS($U$12:$U$113,$Q$12:$Q$113,AH13,$O$12:$O$113,AG13,$N$12:$N$113,AF13)</f>
        <v>34826100000</v>
      </c>
      <c r="AL13" s="819">
        <f>SUMIFS($V$12:$V$113,$Q$12:$Q$113,AH13,$O$12:$O$113,AG13,$N$12:$N$113,AF13)</f>
        <v>36651100000</v>
      </c>
      <c r="AM13" s="819">
        <f>SUMIFS($W$12:$W$113,$Q$12:$Q$113,AH13,$O$12:$O$113,AG13,$N$12:$N$113,AF13)</f>
        <v>38738700000</v>
      </c>
      <c r="AO13" s="153" t="s">
        <v>2959</v>
      </c>
      <c r="AP13" s="819">
        <f>AI13+AI16+AI19+AI22+AI25+AI28</f>
        <v>49040800000</v>
      </c>
      <c r="AQ13" s="819">
        <f>AJ13+AJ16+AJ19+AJ22+AJ25+AJ28</f>
        <v>62601700000</v>
      </c>
      <c r="AR13" s="819">
        <f>AK13+AK16+AK19+AK22+AK25+AK28</f>
        <v>82093200000</v>
      </c>
      <c r="AS13" s="819">
        <f>AL13+AL16+AL19+AL22+AL25+AL28</f>
        <v>89632200000</v>
      </c>
      <c r="AT13" s="819">
        <f>AM13+AM16+AM19+AM22+AM25+AM28</f>
        <v>96991900000</v>
      </c>
      <c r="AZ13" s="153" t="s">
        <v>2032</v>
      </c>
      <c r="BA13" s="153" t="s">
        <v>2819</v>
      </c>
    </row>
    <row r="14" spans="2:53" x14ac:dyDescent="0.3">
      <c r="K14" s="968"/>
      <c r="L14" s="968"/>
      <c r="M14" s="968" t="s">
        <v>2067</v>
      </c>
      <c r="N14" s="968" t="s">
        <v>2811</v>
      </c>
      <c r="O14" s="969" t="s">
        <v>2812</v>
      </c>
      <c r="P14" s="969"/>
      <c r="Q14" s="968" t="s">
        <v>2818</v>
      </c>
      <c r="R14" s="1616">
        <f>SUMIFS(계정별원장!$F$3:$F$5997,계정별원장!$A$3:$A$5997,"17",계정별원장!$B$3:$B$5997,'사업계획(매출 확정본)'!$M14)</f>
        <v>506700002</v>
      </c>
      <c r="S14" s="983">
        <f>S12*S13</f>
        <v>2230000000</v>
      </c>
      <c r="T14" s="973">
        <f t="shared" ref="T14:W14" si="3">T12*T13</f>
        <v>3513000000</v>
      </c>
      <c r="U14" s="973">
        <f t="shared" si="3"/>
        <v>4920000000</v>
      </c>
      <c r="V14" s="973">
        <f t="shared" si="3"/>
        <v>6460000000</v>
      </c>
      <c r="W14" s="973">
        <f t="shared" si="3"/>
        <v>7463500000</v>
      </c>
      <c r="AF14" s="153" t="s">
        <v>2814</v>
      </c>
      <c r="AG14" s="969" t="s">
        <v>2817</v>
      </c>
      <c r="AH14" s="968" t="s">
        <v>2813</v>
      </c>
      <c r="AI14" s="153">
        <f>SUMIFS($S$12:$S$113,$Q$12:$Q$113,AH14,$O$12:$O$113,AG14,$N$12:$N$113,AF14)</f>
        <v>476</v>
      </c>
      <c r="AJ14" s="153">
        <f>SUMIFS($T$12:$T$113,$Q$12:$Q$113,AH14,$O$12:$O$113,AG14,$N$12:$N$113,AF14)</f>
        <v>508</v>
      </c>
      <c r="AK14" s="153">
        <f>SUMIFS(U$12:U$113,$Q$12:$Q$113,$AH$14,$O$12:$O$113,$AG$14,$N$12:$N$113,$AF$14)</f>
        <v>571</v>
      </c>
      <c r="AL14" s="153">
        <f>SUMIFS(V$12:V$113,$Q$12:$Q$113,$AH$14,$O$12:$O$113,$AG$14,$N$12:$N$113,$AF$14)</f>
        <v>579</v>
      </c>
      <c r="AM14" s="153">
        <f>SUMIFS(W$12:W$113,$Q$12:$Q$113,$AH$14,$O$12:$O$113,$AG$14,$N$12:$N$113,$AF$14)</f>
        <v>584</v>
      </c>
      <c r="AO14" s="153" t="s">
        <v>2821</v>
      </c>
      <c r="AP14" s="819">
        <f>SUM(AI31,AI34,AI37,AI40,AI43,AI46)</f>
        <v>9332000000</v>
      </c>
      <c r="AQ14" s="819">
        <f t="shared" ref="AQ14:AT14" si="4">SUM(AJ31,AJ34,AJ37,AJ40,AJ43,AJ46)</f>
        <v>13558000000</v>
      </c>
      <c r="AR14" s="819">
        <f t="shared" si="4"/>
        <v>19319500000</v>
      </c>
      <c r="AS14" s="819">
        <f t="shared" si="4"/>
        <v>22827900000</v>
      </c>
      <c r="AT14" s="819">
        <f t="shared" si="4"/>
        <v>25928000000</v>
      </c>
    </row>
    <row r="15" spans="2:53" x14ac:dyDescent="0.3">
      <c r="B15" s="153" t="s">
        <v>2820</v>
      </c>
      <c r="C15" s="153" t="s">
        <v>2031</v>
      </c>
      <c r="D15" s="153" t="s">
        <v>2032</v>
      </c>
      <c r="E15" s="153" t="s">
        <v>2819</v>
      </c>
      <c r="G15" s="153" t="s">
        <v>2820</v>
      </c>
      <c r="H15" s="153" t="s">
        <v>2037</v>
      </c>
      <c r="I15" s="153" t="s">
        <v>2802</v>
      </c>
      <c r="K15" s="968"/>
      <c r="L15" s="968" t="s">
        <v>2810</v>
      </c>
      <c r="M15" s="968" t="s">
        <v>2820</v>
      </c>
      <c r="N15" s="968" t="s">
        <v>2821</v>
      </c>
      <c r="O15" s="969" t="str">
        <f>VLOOKUP(M15,$AZ$11:$BA$100,2,FALSE)</f>
        <v>관공서</v>
      </c>
      <c r="P15" s="1050"/>
      <c r="Q15" s="968" t="s">
        <v>2813</v>
      </c>
      <c r="R15" s="968">
        <f>COUNTIFS(계정별원장!$A$3:$A$5997,"17",계정별원장!$B$3:$B$5997,'사업계획(매출 확정본)'!$M15)</f>
        <v>2</v>
      </c>
      <c r="S15" s="972">
        <v>4</v>
      </c>
      <c r="T15" s="972">
        <v>10</v>
      </c>
      <c r="U15" s="972">
        <v>15</v>
      </c>
      <c r="V15" s="972">
        <v>20</v>
      </c>
      <c r="W15" s="972">
        <v>22</v>
      </c>
      <c r="AF15" s="153" t="s">
        <v>2814</v>
      </c>
      <c r="AG15" s="969" t="s">
        <v>2817</v>
      </c>
      <c r="AH15" s="968" t="s">
        <v>2816</v>
      </c>
      <c r="AI15" s="819">
        <f>AI13/AI14</f>
        <v>48953571.428571425</v>
      </c>
      <c r="AJ15" s="819">
        <f t="shared" ref="AJ15:AM15" si="5">AJ13/AJ14</f>
        <v>51293110.236220472</v>
      </c>
      <c r="AK15" s="819">
        <f t="shared" si="5"/>
        <v>60991418.563922942</v>
      </c>
      <c r="AL15" s="819">
        <f t="shared" si="5"/>
        <v>63300690.846286699</v>
      </c>
      <c r="AM15" s="819">
        <f t="shared" si="5"/>
        <v>66333390.410958901</v>
      </c>
      <c r="AO15" s="153" t="s">
        <v>2960</v>
      </c>
      <c r="AP15" s="819">
        <f>SUM(AI49,AI52,AI55,AI58,AI61,AI64)</f>
        <v>41420000000</v>
      </c>
      <c r="AQ15" s="819">
        <f t="shared" ref="AQ15:AT15" si="6">SUM(AJ49,AJ52,AJ55,AJ58,AJ61,AJ64)</f>
        <v>50014500000</v>
      </c>
      <c r="AR15" s="819">
        <f t="shared" si="6"/>
        <v>59321500000</v>
      </c>
      <c r="AS15" s="819">
        <f t="shared" si="6"/>
        <v>65377500000</v>
      </c>
      <c r="AT15" s="819">
        <f t="shared" si="6"/>
        <v>68774000000</v>
      </c>
      <c r="AZ15" s="153" t="s">
        <v>2037</v>
      </c>
      <c r="BA15" s="153" t="s">
        <v>2819</v>
      </c>
    </row>
    <row r="16" spans="2:53" x14ac:dyDescent="0.3">
      <c r="D16" s="153" t="s">
        <v>2037</v>
      </c>
      <c r="E16" s="153" t="s">
        <v>2819</v>
      </c>
      <c r="H16" s="153" t="s">
        <v>2054</v>
      </c>
      <c r="I16" s="153" t="s">
        <v>2802</v>
      </c>
      <c r="K16" s="968"/>
      <c r="L16" s="968"/>
      <c r="M16" s="968" t="s">
        <v>2820</v>
      </c>
      <c r="N16" s="968" t="s">
        <v>2821</v>
      </c>
      <c r="O16" s="969" t="str">
        <f>VLOOKUP(M16,$AZ$11:$BA$100,2,FALSE)</f>
        <v>관공서</v>
      </c>
      <c r="P16" s="1050">
        <f>VLOOKUP(M16,'제품별 원재료비 '!$O$4:$S$48,5,FALSE)</f>
        <v>53444640</v>
      </c>
      <c r="Q16" s="968" t="s">
        <v>2816</v>
      </c>
      <c r="R16" s="1617">
        <f>R17/R15</f>
        <v>36868182.5</v>
      </c>
      <c r="S16" s="973">
        <v>74500000</v>
      </c>
      <c r="T16" s="973">
        <f>ROUND(S16*1.05,-5)</f>
        <v>78200000</v>
      </c>
      <c r="U16" s="973">
        <f t="shared" ref="U16:W16" si="7">ROUND(T16*1.05,-5)</f>
        <v>82100000</v>
      </c>
      <c r="V16" s="973">
        <f t="shared" si="7"/>
        <v>86200000</v>
      </c>
      <c r="W16" s="973">
        <f t="shared" si="7"/>
        <v>90500000</v>
      </c>
      <c r="AF16" s="153" t="s">
        <v>2814</v>
      </c>
      <c r="AG16" s="969" t="s">
        <v>2822</v>
      </c>
      <c r="AH16" s="968" t="s">
        <v>2818</v>
      </c>
      <c r="AI16" s="819">
        <f>SUMIFS(S$12:S$113,$Q$12:$Q$113,$AH$16,$O$12:$O$113,$AG$16,$N$12:$N$113,$AF$16)</f>
        <v>21847000000</v>
      </c>
      <c r="AJ16" s="819">
        <f>SUMIFS(T$12:T$113,$Q$12:$Q$113,$AH$16,$O$12:$O$113,$AG$16,$N$12:$N$113,$AF$16)</f>
        <v>30808300000</v>
      </c>
      <c r="AK16" s="819">
        <f>SUMIFS(U$12:U$113,$Q$12:$Q$113,$AH$16,$O$12:$O$113,$AG$16,$N$12:$N$113,$AF$16)</f>
        <v>39199100000</v>
      </c>
      <c r="AL16" s="819">
        <f>SUMIFS(V$12:V$113,$Q$12:$Q$113,$AH$16,$O$12:$O$113,$AG$16,$N$12:$N$113,$AF$16)</f>
        <v>43024100000</v>
      </c>
      <c r="AM16" s="819">
        <f>SUMIFS(W$12:W$113,$Q$12:$Q$113,$AH$16,$O$12:$O$113,$AG$16,$N$12:$N$113,$AF$16)</f>
        <v>46856200000</v>
      </c>
      <c r="AZ16" s="153" t="s">
        <v>2039</v>
      </c>
      <c r="BA16" s="153" t="s">
        <v>2819</v>
      </c>
    </row>
    <row r="17" spans="2:53" x14ac:dyDescent="0.3">
      <c r="K17" s="968"/>
      <c r="L17" s="968"/>
      <c r="M17" s="968" t="s">
        <v>2820</v>
      </c>
      <c r="N17" s="968" t="s">
        <v>2821</v>
      </c>
      <c r="O17" s="969" t="s">
        <v>2812</v>
      </c>
      <c r="P17" s="969"/>
      <c r="Q17" s="968" t="s">
        <v>2818</v>
      </c>
      <c r="R17" s="1616">
        <f>SUMIFS(계정별원장!$F$3:$F$5997,계정별원장!$A$3:$A$5997,"17",계정별원장!$B$3:$B$5997,'사업계획(매출 확정본)'!$M17)</f>
        <v>73736365</v>
      </c>
      <c r="S17" s="983">
        <f>S15*S16</f>
        <v>298000000</v>
      </c>
      <c r="T17" s="973">
        <f>T15*T16</f>
        <v>782000000</v>
      </c>
      <c r="U17" s="973">
        <f>U15*U16</f>
        <v>1231500000</v>
      </c>
      <c r="V17" s="973">
        <f>V15*V16</f>
        <v>1724000000</v>
      </c>
      <c r="W17" s="973">
        <f>W15*W16</f>
        <v>1991000000</v>
      </c>
      <c r="AF17" s="153" t="s">
        <v>2814</v>
      </c>
      <c r="AG17" s="1561" t="s">
        <v>2822</v>
      </c>
      <c r="AH17" s="972" t="s">
        <v>2813</v>
      </c>
      <c r="AI17" s="153">
        <f>SUMIFS(S$12:S$113,$Q$12:$Q$113,$AH$17,$O$12:$O$113,$AG$17,$N$12:$N$113,$AF$17)</f>
        <v>606</v>
      </c>
      <c r="AJ17" s="153">
        <f>SUMIFS(T$12:T$113,$Q$12:$Q$113,$AH$17,$O$12:$O$113,$AG$17,$N$12:$N$113,$AF$17)</f>
        <v>782</v>
      </c>
      <c r="AK17" s="153">
        <f>SUMIFS(U$12:U$113,$Q$12:$Q$113,$AH$17,$O$12:$O$113,$AG$17,$N$12:$N$113,$AF$17)</f>
        <v>939</v>
      </c>
      <c r="AL17" s="153">
        <f>SUMIFS(V$12:V$113,$Q$12:$Q$113,$AH$17,$O$12:$O$113,$AG$17,$N$12:$N$113,$AF$17)</f>
        <v>981</v>
      </c>
      <c r="AM17" s="153">
        <f>SUMIFS(W$12:W$113,$Q$12:$Q$113,$AH$17,$O$12:$O$113,$AG$17,$N$12:$N$113,$AF$17)</f>
        <v>1018</v>
      </c>
    </row>
    <row r="18" spans="2:53" x14ac:dyDescent="0.3">
      <c r="B18" s="153" t="s">
        <v>2041</v>
      </c>
      <c r="C18" s="153" t="s">
        <v>2055</v>
      </c>
      <c r="D18" s="153" t="s">
        <v>2823</v>
      </c>
      <c r="E18" s="153" t="s">
        <v>2824</v>
      </c>
      <c r="G18" s="153" t="s">
        <v>2041</v>
      </c>
      <c r="H18" s="153" t="s">
        <v>2037</v>
      </c>
      <c r="I18" s="153" t="s">
        <v>2802</v>
      </c>
      <c r="K18" s="968"/>
      <c r="L18" s="968" t="s">
        <v>2810</v>
      </c>
      <c r="M18" s="968" t="s">
        <v>2041</v>
      </c>
      <c r="N18" s="968" t="s">
        <v>2825</v>
      </c>
      <c r="O18" s="969" t="s">
        <v>2817</v>
      </c>
      <c r="Q18" s="968" t="s">
        <v>2813</v>
      </c>
      <c r="R18" s="968">
        <f>COUNTIFS(계정별원장!$A$3:$A$5997,"17",계정별원장!$B$3:$B$5997,'사업계획(매출 확정본)'!$M18)</f>
        <v>114</v>
      </c>
      <c r="S18" s="972">
        <v>169</v>
      </c>
      <c r="T18" s="972">
        <v>185</v>
      </c>
      <c r="U18" s="972">
        <v>210</v>
      </c>
      <c r="V18" s="972">
        <v>210</v>
      </c>
      <c r="W18" s="972">
        <v>210</v>
      </c>
      <c r="Y18" s="972">
        <v>179</v>
      </c>
      <c r="Z18" s="972">
        <v>200</v>
      </c>
      <c r="AA18" s="972">
        <v>230</v>
      </c>
      <c r="AB18" s="972">
        <v>235</v>
      </c>
      <c r="AC18" s="972">
        <v>240</v>
      </c>
      <c r="AD18" s="1048"/>
      <c r="AF18" s="153" t="s">
        <v>2814</v>
      </c>
      <c r="AG18" s="1561" t="s">
        <v>2822</v>
      </c>
      <c r="AH18" s="972" t="s">
        <v>2816</v>
      </c>
      <c r="AI18" s="819">
        <f>AI16/AI17</f>
        <v>36051155.115511551</v>
      </c>
      <c r="AJ18" s="819">
        <f t="shared" ref="AJ18:AM18" si="8">AJ16/AJ17</f>
        <v>39396803.06905371</v>
      </c>
      <c r="AK18" s="819">
        <f t="shared" si="8"/>
        <v>41745580.404685833</v>
      </c>
      <c r="AL18" s="819">
        <f t="shared" si="8"/>
        <v>43857390.417940877</v>
      </c>
      <c r="AM18" s="819">
        <f t="shared" si="8"/>
        <v>46027701.375245579</v>
      </c>
      <c r="AZ18" s="153" t="s">
        <v>2041</v>
      </c>
      <c r="BA18" s="153" t="s">
        <v>2809</v>
      </c>
    </row>
    <row r="19" spans="2:53" x14ac:dyDescent="0.3">
      <c r="D19" s="153" t="s">
        <v>2826</v>
      </c>
      <c r="E19" s="153" t="s">
        <v>2827</v>
      </c>
      <c r="H19" s="153" t="s">
        <v>2037</v>
      </c>
      <c r="I19" s="153" t="s">
        <v>2802</v>
      </c>
      <c r="K19" s="968"/>
      <c r="L19" s="968"/>
      <c r="M19" s="968" t="s">
        <v>2041</v>
      </c>
      <c r="N19" s="968" t="s">
        <v>2825</v>
      </c>
      <c r="O19" s="969" t="s">
        <v>2817</v>
      </c>
      <c r="P19" s="1050">
        <f>VLOOKUP(M18,'제품별 원재료비 '!$O$4:$S$48,5,FALSE)</f>
        <v>30287980</v>
      </c>
      <c r="Q19" s="968" t="s">
        <v>2816</v>
      </c>
      <c r="R19" s="1617">
        <f>R20/R18</f>
        <v>51065127.543859646</v>
      </c>
      <c r="S19" s="973">
        <v>51500000</v>
      </c>
      <c r="T19" s="973">
        <f>ROUND(S19*1.05,-5)</f>
        <v>54100000</v>
      </c>
      <c r="U19" s="973">
        <f t="shared" ref="U19:W19" si="9">ROUND(T19*1.05,-5)</f>
        <v>56800000</v>
      </c>
      <c r="V19" s="973">
        <f t="shared" si="9"/>
        <v>59600000</v>
      </c>
      <c r="W19" s="973">
        <f t="shared" si="9"/>
        <v>62600000</v>
      </c>
      <c r="AF19" s="153" t="s">
        <v>2814</v>
      </c>
      <c r="AG19" s="969" t="s">
        <v>2812</v>
      </c>
      <c r="AH19" s="968" t="s">
        <v>2818</v>
      </c>
      <c r="AI19" s="819">
        <f>SUMIFS(S$12:S$113,$Q$12:$Q$113,$AH$19,$O$12:$O$113,$AG$19,$N$12:$N$113,$AF$19)</f>
        <v>554400000</v>
      </c>
      <c r="AJ19" s="819">
        <f>SUMIFS(T$12:T$113,$Q$12:$Q$113,$AH$19,$O$12:$O$113,$AG$19,$N$12:$N$113,$AF$19)</f>
        <v>970000000</v>
      </c>
      <c r="AK19" s="819">
        <f>SUMIFS(U$12:U$113,$Q$12:$Q$113,$AH$19,$O$12:$O$113,$AG$19,$N$12:$N$113,$AF$19)</f>
        <v>1528500000</v>
      </c>
      <c r="AL19" s="819">
        <f>SUMIFS(V$12:V$113,$Q$12:$Q$113,$AH$19,$O$12:$O$113,$AG$19,$N$12:$N$113,$AF$19)</f>
        <v>2140000000</v>
      </c>
      <c r="AM19" s="819">
        <f>SUMIFS(W$12:W$113,$Q$12:$Q$113,$AH$19,$O$12:$O$113,$AG$19,$N$12:$N$113,$AF$19)</f>
        <v>2810000000</v>
      </c>
      <c r="AZ19" s="153" t="s">
        <v>2058</v>
      </c>
      <c r="BA19" s="153" t="s">
        <v>2819</v>
      </c>
    </row>
    <row r="20" spans="2:53" x14ac:dyDescent="0.3">
      <c r="K20" s="968"/>
      <c r="L20" s="968"/>
      <c r="M20" s="968" t="s">
        <v>2041</v>
      </c>
      <c r="N20" s="968" t="s">
        <v>2825</v>
      </c>
      <c r="O20" s="969" t="s">
        <v>2817</v>
      </c>
      <c r="P20" s="969"/>
      <c r="Q20" s="968" t="s">
        <v>2818</v>
      </c>
      <c r="R20" s="1616">
        <f>SUMIFS(계정별원장!$F$3:$F$5997,계정별원장!$A$3:$A$5997,"17",계정별원장!$B$3:$B$5997,'사업계획(매출 확정본)'!$M20)</f>
        <v>5821424540</v>
      </c>
      <c r="S20" s="973">
        <f>S18*S19</f>
        <v>8703500000</v>
      </c>
      <c r="T20" s="973">
        <f t="shared" ref="T20:W20" si="10">T18*T19</f>
        <v>10008500000</v>
      </c>
      <c r="U20" s="973">
        <f t="shared" si="10"/>
        <v>11928000000</v>
      </c>
      <c r="V20" s="973">
        <f t="shared" si="10"/>
        <v>12516000000</v>
      </c>
      <c r="W20" s="973">
        <f t="shared" si="10"/>
        <v>13146000000</v>
      </c>
      <c r="AF20" s="153" t="s">
        <v>2814</v>
      </c>
      <c r="AG20" s="969" t="s">
        <v>2812</v>
      </c>
      <c r="AH20" s="968" t="s">
        <v>2813</v>
      </c>
      <c r="AI20" s="153">
        <f>SUMIFS(S$12:S$113,$Q$12:$Q$113,$AH$20,$O$12:$O$113,$AG$20,$N$12:$N$113,$AF$20)</f>
        <v>6</v>
      </c>
      <c r="AJ20" s="153">
        <f>SUMIFS(T$12:T$113,$Q$12:$Q$113,$AH$20,$O$12:$O$113,$AG$20,$N$12:$N$113,$AF$20)</f>
        <v>10</v>
      </c>
      <c r="AK20" s="153">
        <f>SUMIFS(U$12:U$113,$Q$12:$Q$113,$AH$20,$O$12:$O$113,$AG$20,$N$12:$N$113,$AF$20)</f>
        <v>15</v>
      </c>
      <c r="AL20" s="153">
        <f>SUMIFS(V$12:V$113,$Q$12:$Q$113,$AH$20,$O$12:$O$113,$AG$20,$N$12:$N$113,$AF$20)</f>
        <v>20</v>
      </c>
      <c r="AM20" s="153">
        <f>SUMIFS(W$12:W$113,$Q$12:$Q$113,$AH$20,$O$12:$O$113,$AG$20,$N$12:$N$113,$AF$20)</f>
        <v>25</v>
      </c>
    </row>
    <row r="21" spans="2:53" x14ac:dyDescent="0.3">
      <c r="B21" s="153" t="s">
        <v>2043</v>
      </c>
      <c r="C21" s="153" t="s">
        <v>2056</v>
      </c>
      <c r="D21" s="153" t="s">
        <v>2031</v>
      </c>
      <c r="E21" s="153" t="s">
        <v>2819</v>
      </c>
      <c r="G21" s="153" t="s">
        <v>2043</v>
      </c>
      <c r="H21" s="153" t="s">
        <v>2041</v>
      </c>
      <c r="I21" s="153" t="s">
        <v>2802</v>
      </c>
      <c r="K21" s="968"/>
      <c r="L21" s="968" t="s">
        <v>2810</v>
      </c>
      <c r="M21" s="968" t="s">
        <v>2043</v>
      </c>
      <c r="N21" s="968" t="s">
        <v>2825</v>
      </c>
      <c r="O21" s="969" t="s">
        <v>2817</v>
      </c>
      <c r="P21" s="1050">
        <f>VLOOKUP(M21,'제품별 원재료비 '!$O$4:$S$48,5,FALSE)</f>
        <v>31446680</v>
      </c>
      <c r="Q21" s="968" t="s">
        <v>2813</v>
      </c>
      <c r="R21" s="968">
        <f>COUNTIFS(계정별원장!$A$3:$A$5997,"17",계정별원장!$B$3:$B$5997,'사업계획(매출 확정본)'!$M21)</f>
        <v>34</v>
      </c>
      <c r="S21" s="972">
        <v>39</v>
      </c>
      <c r="T21" s="972">
        <v>40</v>
      </c>
      <c r="U21" s="972">
        <v>50</v>
      </c>
      <c r="V21" s="972">
        <v>55</v>
      </c>
      <c r="W21" s="972">
        <v>55</v>
      </c>
      <c r="Y21" s="972">
        <v>49</v>
      </c>
      <c r="Z21" s="972">
        <v>55</v>
      </c>
      <c r="AA21" s="972">
        <v>70</v>
      </c>
      <c r="AB21" s="972">
        <v>80</v>
      </c>
      <c r="AC21" s="972">
        <v>85</v>
      </c>
      <c r="AD21" s="1048"/>
      <c r="AF21" s="153" t="s">
        <v>2814</v>
      </c>
      <c r="AG21" s="969" t="s">
        <v>2812</v>
      </c>
      <c r="AH21" s="968" t="s">
        <v>2816</v>
      </c>
      <c r="AI21" s="819">
        <f>AI19/AI20</f>
        <v>92400000</v>
      </c>
      <c r="AJ21" s="819">
        <f t="shared" ref="AJ21:AM21" si="11">AJ19/AJ20</f>
        <v>97000000</v>
      </c>
      <c r="AK21" s="819">
        <f t="shared" si="11"/>
        <v>101900000</v>
      </c>
      <c r="AL21" s="819">
        <f t="shared" si="11"/>
        <v>107000000</v>
      </c>
      <c r="AM21" s="819">
        <f t="shared" si="11"/>
        <v>112400000</v>
      </c>
      <c r="AZ21" s="153" t="s">
        <v>2060</v>
      </c>
      <c r="BA21" s="153" t="s">
        <v>2809</v>
      </c>
    </row>
    <row r="22" spans="2:53" x14ac:dyDescent="0.3">
      <c r="D22" s="153" t="s">
        <v>2051</v>
      </c>
      <c r="E22" s="153" t="s">
        <v>2809</v>
      </c>
      <c r="H22" s="153" t="s">
        <v>2032</v>
      </c>
      <c r="I22" s="153" t="s">
        <v>2802</v>
      </c>
      <c r="K22" s="968"/>
      <c r="L22" s="968"/>
      <c r="M22" s="968" t="s">
        <v>2043</v>
      </c>
      <c r="N22" s="968" t="s">
        <v>2825</v>
      </c>
      <c r="O22" s="969" t="s">
        <v>2817</v>
      </c>
      <c r="P22" s="969"/>
      <c r="Q22" s="968" t="s">
        <v>2816</v>
      </c>
      <c r="R22" s="1617">
        <f>R23/R21</f>
        <v>54539973.205882356</v>
      </c>
      <c r="S22" s="973">
        <v>55600000</v>
      </c>
      <c r="T22" s="973">
        <f>ROUND(S22*1.05,-5)</f>
        <v>58400000</v>
      </c>
      <c r="U22" s="973">
        <f t="shared" ref="U22:W22" si="12">ROUND(T22*1.05,-5)</f>
        <v>61300000</v>
      </c>
      <c r="V22" s="973">
        <f t="shared" si="12"/>
        <v>64400000</v>
      </c>
      <c r="W22" s="973">
        <f t="shared" si="12"/>
        <v>67600000</v>
      </c>
      <c r="AF22" s="153" t="s">
        <v>2814</v>
      </c>
      <c r="AG22" s="969" t="s">
        <v>2828</v>
      </c>
      <c r="AH22" s="968" t="s">
        <v>2818</v>
      </c>
      <c r="AI22" s="819">
        <f>SUMIFS(S$12:S$113,$Q$12:$Q$113,$AH$22,$O$12:$O$113,$AG$22,$N$12:$N$113,$AF$22)</f>
        <v>0</v>
      </c>
      <c r="AJ22" s="819">
        <f>SUMIFS(T$12:T$113,$Q$12:$Q$113,$AH$22,$O$12:$O$113,$AG$22,$N$12:$N$113,$AF$22)</f>
        <v>0</v>
      </c>
      <c r="AK22" s="819">
        <f>SUMIFS(U$12:U$113,$Q$12:$Q$113,$AH$22,$O$12:$O$113,$AG$22,$N$12:$N$113,$AF$22)</f>
        <v>0</v>
      </c>
      <c r="AL22" s="819">
        <f>SUMIFS(V$12:V$113,$Q$12:$Q$113,$AH$22,$O$12:$O$113,$AG$22,$N$12:$N$113,$AF$22)</f>
        <v>0</v>
      </c>
      <c r="AM22" s="819">
        <f>SUMIFS(W$12:W$113,$Q$12:$Q$113,$AH$22,$O$12:$O$113,$AG$22,$N$12:$N$113,$AF$22)</f>
        <v>0</v>
      </c>
      <c r="AZ22" s="153" t="s">
        <v>2063</v>
      </c>
      <c r="BA22" s="153" t="s">
        <v>2809</v>
      </c>
    </row>
    <row r="23" spans="2:53" x14ac:dyDescent="0.3">
      <c r="K23" s="968"/>
      <c r="L23" s="968"/>
      <c r="M23" s="968" t="s">
        <v>2043</v>
      </c>
      <c r="N23" s="968" t="s">
        <v>2825</v>
      </c>
      <c r="O23" s="969" t="s">
        <v>2817</v>
      </c>
      <c r="P23" s="969"/>
      <c r="Q23" s="968" t="s">
        <v>2818</v>
      </c>
      <c r="R23" s="1616">
        <f>SUMIFS(계정별원장!$F$3:$F$5997,계정별원장!$A$3:$A$5997,"17",계정별원장!$B$3:$B$5997,'사업계획(매출 확정본)'!$M23)</f>
        <v>1854359089</v>
      </c>
      <c r="S23" s="973">
        <f>S21*S22</f>
        <v>2168400000</v>
      </c>
      <c r="T23" s="973">
        <f t="shared" ref="T23:W23" si="13">T21*T22</f>
        <v>2336000000</v>
      </c>
      <c r="U23" s="973">
        <f t="shared" si="13"/>
        <v>3065000000</v>
      </c>
      <c r="V23" s="973">
        <f t="shared" si="13"/>
        <v>3542000000</v>
      </c>
      <c r="W23" s="973">
        <f t="shared" si="13"/>
        <v>3718000000</v>
      </c>
      <c r="AF23" s="153" t="s">
        <v>2814</v>
      </c>
      <c r="AG23" s="969" t="s">
        <v>2828</v>
      </c>
      <c r="AH23" s="968" t="s">
        <v>2813</v>
      </c>
      <c r="AI23" s="153">
        <f>SUMIFS(S$12:S$113,$Q$12:$Q$113,$AH$23,$O$12:$O$113,$AG$22,$N$12:$N$113,$AF$22)</f>
        <v>0</v>
      </c>
      <c r="AJ23" s="153">
        <f>SUMIFS(T$12:T$113,$Q$12:$Q$113,$AH$23,$O$12:$O$113,$AG$22,$N$12:$N$113,$AF$22)</f>
        <v>0</v>
      </c>
      <c r="AK23" s="153">
        <f>SUMIFS(U$12:U$113,$Q$12:$Q$113,$AH$23,$O$12:$O$113,$AG$22,$N$12:$N$113,$AF$22)</f>
        <v>0</v>
      </c>
      <c r="AL23" s="153">
        <f>SUMIFS(V$12:V$113,$Q$12:$Q$113,$AH$23,$O$12:$O$113,$AG$22,$N$12:$N$113,$AF$22)</f>
        <v>0</v>
      </c>
      <c r="AM23" s="153">
        <f>SUMIFS(W$12:W$113,$Q$12:$Q$113,$AH$23,$O$12:$O$113,$AG$22,$N$12:$N$113,$AF$22)</f>
        <v>0</v>
      </c>
    </row>
    <row r="24" spans="2:53" x14ac:dyDescent="0.3">
      <c r="B24" s="153" t="s">
        <v>2045</v>
      </c>
      <c r="C24" s="153" t="s">
        <v>2047</v>
      </c>
      <c r="D24" s="153" t="s">
        <v>2049</v>
      </c>
      <c r="E24" s="153" t="s">
        <v>2809</v>
      </c>
      <c r="G24" s="153" t="s">
        <v>2045</v>
      </c>
      <c r="H24" s="153" t="s">
        <v>2037</v>
      </c>
      <c r="I24" s="153" t="s">
        <v>2802</v>
      </c>
      <c r="K24" s="968"/>
      <c r="L24" s="968" t="s">
        <v>2810</v>
      </c>
      <c r="M24" s="968" t="s">
        <v>2045</v>
      </c>
      <c r="N24" s="968" t="s">
        <v>2825</v>
      </c>
      <c r="O24" s="969" t="s">
        <v>2812</v>
      </c>
      <c r="P24" s="1050">
        <f>VLOOKUP(M24,'제품별 원재료비 '!$O$4:$S$48,5,FALSE)</f>
        <v>48520560</v>
      </c>
      <c r="Q24" s="968" t="s">
        <v>2813</v>
      </c>
      <c r="R24" s="968">
        <f>COUNTIFS(계정별원장!$A$3:$A$5997,"17",계정별원장!$B$3:$B$5997,'사업계획(매출 확정본)'!$M24)</f>
        <v>2</v>
      </c>
      <c r="S24" s="972">
        <v>6</v>
      </c>
      <c r="T24" s="972">
        <v>10</v>
      </c>
      <c r="U24" s="972">
        <v>15</v>
      </c>
      <c r="V24" s="972">
        <v>20</v>
      </c>
      <c r="W24" s="972">
        <v>25</v>
      </c>
      <c r="AF24" s="153" t="s">
        <v>2814</v>
      </c>
      <c r="AG24" s="969" t="s">
        <v>2828</v>
      </c>
      <c r="AH24" s="968" t="s">
        <v>2816</v>
      </c>
      <c r="AI24" s="819" t="e">
        <f>AI22/AI23</f>
        <v>#DIV/0!</v>
      </c>
      <c r="AJ24" s="819" t="e">
        <f t="shared" ref="AJ24:AM24" si="14">AJ22/AJ23</f>
        <v>#DIV/0!</v>
      </c>
      <c r="AK24" s="819" t="e">
        <f t="shared" si="14"/>
        <v>#DIV/0!</v>
      </c>
      <c r="AL24" s="819" t="e">
        <f t="shared" si="14"/>
        <v>#DIV/0!</v>
      </c>
      <c r="AM24" s="819" t="e">
        <f t="shared" si="14"/>
        <v>#DIV/0!</v>
      </c>
      <c r="AZ24" s="153" t="s">
        <v>2055</v>
      </c>
      <c r="BA24" s="153" t="s">
        <v>2824</v>
      </c>
    </row>
    <row r="25" spans="2:53" x14ac:dyDescent="0.3">
      <c r="D25" s="153" t="s">
        <v>2064</v>
      </c>
      <c r="E25" s="153" t="s">
        <v>2809</v>
      </c>
      <c r="H25" s="153" t="s">
        <v>2039</v>
      </c>
      <c r="I25" s="153" t="s">
        <v>2802</v>
      </c>
      <c r="K25" s="968"/>
      <c r="L25" s="968"/>
      <c r="M25" s="968" t="s">
        <v>2045</v>
      </c>
      <c r="N25" s="968" t="s">
        <v>2825</v>
      </c>
      <c r="O25" s="969" t="s">
        <v>2812</v>
      </c>
      <c r="P25" s="969"/>
      <c r="Q25" s="968" t="s">
        <v>2816</v>
      </c>
      <c r="R25" s="1617">
        <f>R26/R24</f>
        <v>96811819</v>
      </c>
      <c r="S25" s="973">
        <v>92400000</v>
      </c>
      <c r="T25" s="973">
        <f>ROUND(S25*1.05,-5)</f>
        <v>97000000</v>
      </c>
      <c r="U25" s="973">
        <f t="shared" ref="U25:W25" si="15">ROUND(T25*1.05,-5)</f>
        <v>101900000</v>
      </c>
      <c r="V25" s="973">
        <f t="shared" si="15"/>
        <v>107000000</v>
      </c>
      <c r="W25" s="973">
        <f t="shared" si="15"/>
        <v>112400000</v>
      </c>
      <c r="AF25" s="153" t="s">
        <v>2814</v>
      </c>
      <c r="AG25" s="969" t="s">
        <v>2829</v>
      </c>
      <c r="AH25" s="968" t="s">
        <v>2818</v>
      </c>
      <c r="AI25" s="153">
        <f>SUMIFS(S$12:S$113,$Q$12:$Q$113,$AH$25,$O$12:$O$113,$AG$25,$N$12:$N$113,$AF$25)</f>
        <v>0</v>
      </c>
      <c r="AJ25" s="153">
        <f>SUMIFS(T$12:T$113,$Q$12:$Q$113,$AH$25,$O$12:$O$113,$AG$25,$N$12:$N$113,$AF$25)</f>
        <v>0</v>
      </c>
      <c r="AK25" s="153">
        <f>SUMIFS(U$12:U$113,$Q$12:$Q$113,$AH$25,$O$12:$O$113,$AG$25,$N$12:$N$113,$AF$25)</f>
        <v>0</v>
      </c>
      <c r="AL25" s="153">
        <f>SUMIFS(V$12:V$113,$Q$12:$Q$113,$AH$25,$O$12:$O$113,$AG$25,$N$12:$N$113,$AF$25)</f>
        <v>0</v>
      </c>
      <c r="AM25" s="153">
        <f>SUMIFS(W$12:W$113,$Q$12:$Q$113,$AH$25,$O$12:$O$113,$AG$25,$N$12:$N$113,$AF$25)</f>
        <v>0</v>
      </c>
      <c r="AZ25" s="153" t="s">
        <v>2059</v>
      </c>
      <c r="BA25" s="153" t="s">
        <v>2819</v>
      </c>
    </row>
    <row r="26" spans="2:53" x14ac:dyDescent="0.3">
      <c r="K26" s="968"/>
      <c r="L26" s="968"/>
      <c r="M26" s="968" t="s">
        <v>2045</v>
      </c>
      <c r="N26" s="968" t="s">
        <v>2825</v>
      </c>
      <c r="O26" s="969" t="s">
        <v>2812</v>
      </c>
      <c r="P26" s="969"/>
      <c r="Q26" s="968" t="s">
        <v>2818</v>
      </c>
      <c r="R26" s="1616">
        <f>SUMIFS(계정별원장!$F$3:$F$5997,계정별원장!$A$3:$A$5997,"17",계정별원장!$B$3:$B$5997,'사업계획(매출 확정본)'!$M26)</f>
        <v>193623638</v>
      </c>
      <c r="S26" s="973">
        <f>S24*S25</f>
        <v>554400000</v>
      </c>
      <c r="T26" s="973">
        <f t="shared" ref="T26:W26" si="16">T24*T25</f>
        <v>970000000</v>
      </c>
      <c r="U26" s="973">
        <f t="shared" si="16"/>
        <v>1528500000</v>
      </c>
      <c r="V26" s="973">
        <f t="shared" si="16"/>
        <v>2140000000</v>
      </c>
      <c r="W26" s="973">
        <f t="shared" si="16"/>
        <v>2810000000</v>
      </c>
      <c r="AF26" s="153" t="s">
        <v>2814</v>
      </c>
      <c r="AG26" s="969" t="s">
        <v>2829</v>
      </c>
      <c r="AH26" s="968" t="s">
        <v>2813</v>
      </c>
      <c r="AI26" s="153">
        <f>SUMIFS(S$12:S$113,$Q$12:$Q$113,$AH$26,$O$12:$O$113,$AG$25,$N$12:$N$113,$AF$25)</f>
        <v>0</v>
      </c>
      <c r="AJ26" s="153">
        <f>SUMIFS(T$12:T$113,$Q$12:$Q$113,$AH$26,$O$12:$O$113,$AG$25,$N$12:$N$113,$AF$25)</f>
        <v>0</v>
      </c>
      <c r="AK26" s="153">
        <f>SUMIFS(U$12:U$113,$Q$12:$Q$113,$AH$26,$O$12:$O$113,$AG$25,$N$12:$N$113,$AF$25)</f>
        <v>0</v>
      </c>
      <c r="AL26" s="153">
        <f>SUMIFS(V$12:V$113,$Q$12:$Q$113,$AH$26,$O$12:$O$113,$AG$25,$N$12:$N$113,$AF$25)</f>
        <v>0</v>
      </c>
      <c r="AM26" s="153">
        <f>SUMIFS(W$12:W$113,$Q$12:$Q$113,$AH$26,$O$12:$O$113,$AG$25,$N$12:$N$113,$AF$25)</f>
        <v>0</v>
      </c>
    </row>
    <row r="27" spans="2:53" s="37" customFormat="1" x14ac:dyDescent="0.3">
      <c r="B27" s="37" t="s">
        <v>2055</v>
      </c>
      <c r="C27" s="37" t="s">
        <v>2028</v>
      </c>
      <c r="D27" s="153" t="s">
        <v>2830</v>
      </c>
      <c r="E27" s="153" t="s">
        <v>2831</v>
      </c>
      <c r="G27" s="37" t="s">
        <v>2055</v>
      </c>
      <c r="H27" s="153" t="s">
        <v>2060</v>
      </c>
      <c r="I27" s="153" t="s">
        <v>2023</v>
      </c>
      <c r="J27" s="153"/>
      <c r="K27" s="968"/>
      <c r="L27" s="968" t="s">
        <v>2810</v>
      </c>
      <c r="M27" s="968" t="s">
        <v>2055</v>
      </c>
      <c r="N27" s="968" t="s">
        <v>2825</v>
      </c>
      <c r="O27" s="969" t="s">
        <v>2832</v>
      </c>
      <c r="P27" s="1050">
        <f>VLOOKUP(M27,'제품별 원재료비 '!$O$4:$S$48,5,FALSE)</f>
        <v>31951070</v>
      </c>
      <c r="Q27" s="968" t="s">
        <v>2813</v>
      </c>
      <c r="R27" s="968">
        <f>COUNTIFS(계정별원장!$A$3:$A$5997,"17",계정별원장!$B$3:$B$5997,'사업계획(매출 확정본)'!$M27)</f>
        <v>17</v>
      </c>
      <c r="S27" s="972">
        <v>38</v>
      </c>
      <c r="T27" s="972">
        <v>45</v>
      </c>
      <c r="U27" s="972">
        <v>55</v>
      </c>
      <c r="V27" s="972">
        <v>65</v>
      </c>
      <c r="W27" s="972">
        <v>70</v>
      </c>
      <c r="AF27" s="153" t="s">
        <v>2814</v>
      </c>
      <c r="AG27" s="969" t="s">
        <v>2829</v>
      </c>
      <c r="AH27" s="968" t="s">
        <v>2816</v>
      </c>
      <c r="AI27" s="37" t="e">
        <f>AI25/AI26</f>
        <v>#DIV/0!</v>
      </c>
      <c r="AJ27" s="37" t="e">
        <f t="shared" ref="AJ27:AM27" si="17">AJ25/AJ26</f>
        <v>#DIV/0!</v>
      </c>
      <c r="AK27" s="37" t="e">
        <f t="shared" si="17"/>
        <v>#DIV/0!</v>
      </c>
      <c r="AL27" s="37" t="e">
        <f t="shared" si="17"/>
        <v>#DIV/0!</v>
      </c>
      <c r="AM27" s="37" t="e">
        <f t="shared" si="17"/>
        <v>#DIV/0!</v>
      </c>
      <c r="AZ27" s="153" t="s">
        <v>2062</v>
      </c>
      <c r="BA27" s="153" t="s">
        <v>2809</v>
      </c>
    </row>
    <row r="28" spans="2:53" s="37" customFormat="1" x14ac:dyDescent="0.3">
      <c r="D28" s="153" t="s">
        <v>2833</v>
      </c>
      <c r="E28" s="153" t="s">
        <v>2831</v>
      </c>
      <c r="H28" s="153" t="s">
        <v>2028</v>
      </c>
      <c r="I28" s="153" t="s">
        <v>2023</v>
      </c>
      <c r="J28" s="153"/>
      <c r="K28" s="968"/>
      <c r="L28" s="968"/>
      <c r="M28" s="968" t="s">
        <v>2055</v>
      </c>
      <c r="N28" s="968" t="s">
        <v>2825</v>
      </c>
      <c r="O28" s="969" t="s">
        <v>2832</v>
      </c>
      <c r="P28" s="969"/>
      <c r="Q28" s="968" t="s">
        <v>2816</v>
      </c>
      <c r="R28" s="1617">
        <f>R29/R27</f>
        <v>60262347.588235296</v>
      </c>
      <c r="S28" s="973">
        <v>62500000</v>
      </c>
      <c r="T28" s="973">
        <f>ROUND(S28*1.05,-5)</f>
        <v>65600000</v>
      </c>
      <c r="U28" s="973">
        <f t="shared" ref="U28:W28" si="18">ROUND(T28*1.05,-5)</f>
        <v>68900000</v>
      </c>
      <c r="V28" s="973">
        <f t="shared" si="18"/>
        <v>72300000</v>
      </c>
      <c r="W28" s="973">
        <f t="shared" si="18"/>
        <v>75900000</v>
      </c>
      <c r="AF28" s="153" t="s">
        <v>2814</v>
      </c>
      <c r="AG28" s="969" t="s">
        <v>2832</v>
      </c>
      <c r="AH28" s="968" t="s">
        <v>2818</v>
      </c>
      <c r="AI28" s="974">
        <f>SUMIFS(S$12:S$113,$Q$12:$Q$113,$AH$28,$O$12:$O$113,$AG$28,$N$12:$N$113,$AF$28)</f>
        <v>3337500000</v>
      </c>
      <c r="AJ28" s="974">
        <f>SUMIFS(T$12:T$113,$Q$12:$Q$113,$AH$28,$O$12:$O$113,$AG$28,$N$12:$N$113,$AF$28)</f>
        <v>4766500000</v>
      </c>
      <c r="AK28" s="974">
        <f>SUMIFS(U$12:U$113,$Q$12:$Q$113,$AH$28,$O$12:$O$113,$AG$28,$N$12:$N$113,$AF$28)</f>
        <v>6539500000</v>
      </c>
      <c r="AL28" s="974">
        <f>SUMIFS(V$12:V$113,$Q$12:$Q$113,$AH$28,$O$12:$O$113,$AG$28,$N$12:$N$113,$AF$28)</f>
        <v>7817000000</v>
      </c>
      <c r="AM28" s="974">
        <f>SUMIFS(W$12:W$113,$Q$12:$Q$113,$AH$28,$O$12:$O$113,$AG$28,$N$12:$N$113,$AF$28)</f>
        <v>8587000000</v>
      </c>
      <c r="AZ28" s="153" t="s">
        <v>2834</v>
      </c>
      <c r="BA28" s="153" t="s">
        <v>2827</v>
      </c>
    </row>
    <row r="29" spans="2:53" s="37" customFormat="1" x14ac:dyDescent="0.3">
      <c r="D29" s="153"/>
      <c r="E29" s="153"/>
      <c r="H29" s="153"/>
      <c r="I29" s="153"/>
      <c r="J29" s="153"/>
      <c r="K29" s="968"/>
      <c r="L29" s="968"/>
      <c r="M29" s="968" t="s">
        <v>2055</v>
      </c>
      <c r="N29" s="968" t="s">
        <v>2825</v>
      </c>
      <c r="O29" s="969" t="s">
        <v>2832</v>
      </c>
      <c r="P29" s="969"/>
      <c r="Q29" s="968" t="s">
        <v>2818</v>
      </c>
      <c r="R29" s="1616">
        <f>SUMIFS(계정별원장!$F$3:$F$5997,계정별원장!$A$3:$A$5997,"17",계정별원장!$B$3:$B$5997,'사업계획(매출 확정본)'!$M29)</f>
        <v>1024459909</v>
      </c>
      <c r="S29" s="973">
        <f>S27*S28</f>
        <v>2375000000</v>
      </c>
      <c r="T29" s="973">
        <f t="shared" ref="T29:W29" si="19">T27*T28</f>
        <v>2952000000</v>
      </c>
      <c r="U29" s="973">
        <f t="shared" si="19"/>
        <v>3789500000</v>
      </c>
      <c r="V29" s="973">
        <f t="shared" si="19"/>
        <v>4699500000</v>
      </c>
      <c r="W29" s="973">
        <f t="shared" si="19"/>
        <v>5313000000</v>
      </c>
      <c r="AF29" s="153" t="s">
        <v>2814</v>
      </c>
      <c r="AG29" s="969" t="s">
        <v>2832</v>
      </c>
      <c r="AH29" s="968" t="s">
        <v>2813</v>
      </c>
      <c r="AI29" s="37">
        <f>SUMIFS(S$12:S$113,$Q$12:$Q$113,$AH$29,$O$12:$O$113,$AG$28,$N$12:$N$113,$AF$28)</f>
        <v>53</v>
      </c>
      <c r="AJ29" s="37">
        <f>SUMIFS(T$12:T$113,$Q$12:$Q$113,$AH$29,$O$12:$O$113,$AG$28,$N$12:$N$113,$AF$28)</f>
        <v>70</v>
      </c>
      <c r="AK29" s="37">
        <f>SUMIFS(U$12:U$113,$Q$12:$Q$113,$AH$29,$O$12:$O$113,$AG$28,$N$12:$N$113,$AF$28)</f>
        <v>90</v>
      </c>
      <c r="AL29" s="37">
        <f>SUMIFS(V$12:V$113,$Q$12:$Q$113,$AH$29,$O$12:$O$113,$AG$28,$N$12:$N$113,$AF$28)</f>
        <v>105</v>
      </c>
      <c r="AM29" s="37">
        <f>SUMIFS(W$12:W$113,$Q$12:$Q$113,$AH$29,$O$12:$O$113,$AG$28,$N$12:$N$113,$AF$28)</f>
        <v>110</v>
      </c>
      <c r="AZ29" s="153"/>
      <c r="BA29" s="153"/>
    </row>
    <row r="30" spans="2:53" x14ac:dyDescent="0.3">
      <c r="B30" s="153" t="s">
        <v>2028</v>
      </c>
      <c r="C30" s="153" t="s">
        <v>2058</v>
      </c>
      <c r="G30" s="153" t="s">
        <v>2028</v>
      </c>
      <c r="H30" s="153" t="s">
        <v>2049</v>
      </c>
      <c r="I30" s="153" t="s">
        <v>2024</v>
      </c>
      <c r="K30" s="968"/>
      <c r="L30" s="968" t="s">
        <v>2810</v>
      </c>
      <c r="M30" s="968" t="s">
        <v>2028</v>
      </c>
      <c r="N30" s="981" t="s">
        <v>3582</v>
      </c>
      <c r="O30" s="969" t="s">
        <v>2828</v>
      </c>
      <c r="P30" s="1050">
        <f>VLOOKUP(M30,'제품별 원재료비 '!$O$4:$S$48,5,FALSE)</f>
        <v>4403610</v>
      </c>
      <c r="Q30" s="968" t="s">
        <v>2813</v>
      </c>
      <c r="R30" s="968">
        <f>COUNTIFS(계정별원장!$A$3:$A$5997,"17",계정별원장!$B$3:$B$5997,'사업계획(매출 확정본)'!$M30)</f>
        <v>102</v>
      </c>
      <c r="S30" s="972">
        <v>225</v>
      </c>
      <c r="T30" s="972">
        <v>250</v>
      </c>
      <c r="U30" s="972">
        <v>280</v>
      </c>
      <c r="V30" s="972">
        <v>310</v>
      </c>
      <c r="W30" s="972">
        <v>320</v>
      </c>
      <c r="AF30" s="153" t="s">
        <v>2814</v>
      </c>
      <c r="AG30" s="969" t="s">
        <v>2832</v>
      </c>
      <c r="AH30" s="968" t="s">
        <v>2816</v>
      </c>
      <c r="AI30" s="974">
        <f>AI28/AI29</f>
        <v>62971698.113207549</v>
      </c>
      <c r="AJ30" s="974">
        <f t="shared" ref="AJ30:AM30" si="20">AJ28/AJ29</f>
        <v>68092857.142857149</v>
      </c>
      <c r="AK30" s="974">
        <f t="shared" si="20"/>
        <v>72661111.111111104</v>
      </c>
      <c r="AL30" s="974">
        <f t="shared" si="20"/>
        <v>74447619.047619045</v>
      </c>
      <c r="AM30" s="974">
        <f t="shared" si="20"/>
        <v>78063636.36363636</v>
      </c>
      <c r="AZ30" s="153" t="s">
        <v>2835</v>
      </c>
    </row>
    <row r="31" spans="2:53" x14ac:dyDescent="0.3">
      <c r="H31" s="153" t="s">
        <v>2049</v>
      </c>
      <c r="I31" s="153" t="s">
        <v>2024</v>
      </c>
      <c r="K31" s="968"/>
      <c r="L31" s="968"/>
      <c r="M31" s="968" t="s">
        <v>2028</v>
      </c>
      <c r="N31" s="981" t="s">
        <v>2163</v>
      </c>
      <c r="O31" s="969" t="s">
        <v>2828</v>
      </c>
      <c r="P31" s="969"/>
      <c r="Q31" s="968" t="s">
        <v>2816</v>
      </c>
      <c r="R31" s="1617">
        <f>R32/R30</f>
        <v>15778122.117647059</v>
      </c>
      <c r="S31" s="973">
        <v>15000000</v>
      </c>
      <c r="T31" s="973">
        <f>ROUND(S31*1.05,-5)</f>
        <v>15800000</v>
      </c>
      <c r="U31" s="973">
        <f t="shared" ref="U31:W31" si="21">ROUND(T31*1.05,-5)</f>
        <v>16600000</v>
      </c>
      <c r="V31" s="973">
        <f t="shared" si="21"/>
        <v>17400000</v>
      </c>
      <c r="W31" s="973">
        <f t="shared" si="21"/>
        <v>18300000</v>
      </c>
      <c r="AF31" s="153" t="s">
        <v>2821</v>
      </c>
      <c r="AG31" s="969" t="s">
        <v>2817</v>
      </c>
      <c r="AH31" s="968" t="s">
        <v>2818</v>
      </c>
      <c r="AI31" s="819">
        <f>SUMIFS(S$12:S$113,$Q$12:$Q$113,$AH$31,$O$12:$O$113,$AG$31,$N$12:$N$113,$AF$31)</f>
        <v>270000000</v>
      </c>
      <c r="AJ31" s="819">
        <f>SUMIFS(T$12:T$113,$Q$12:$Q$113,$AH$31,$O$12:$O$113,$AG$31,$N$12:$N$113,$AF$31)</f>
        <v>709000000</v>
      </c>
      <c r="AK31" s="819">
        <f>SUMIFS(U$12:U$113,$Q$12:$Q$113,$AH$31,$O$12:$O$113,$AG$31,$N$12:$N$113,$AF$31)</f>
        <v>1489000000</v>
      </c>
      <c r="AL31" s="819">
        <f>SUMIFS(V$12:V$113,$Q$12:$Q$113,$AH$31,$O$12:$O$113,$AG$31,$N$12:$N$113,$AF$31)</f>
        <v>2031900000</v>
      </c>
      <c r="AM31" s="819">
        <f>SUMIFS(W$12:W$113,$Q$12:$Q$113,$AH$31,$O$12:$O$113,$AG$31,$N$12:$N$113,$AF$31)</f>
        <v>2461500000</v>
      </c>
      <c r="AZ31" s="153" t="s">
        <v>2044</v>
      </c>
      <c r="BA31" s="153" t="s">
        <v>2824</v>
      </c>
    </row>
    <row r="32" spans="2:53" x14ac:dyDescent="0.3">
      <c r="K32" s="968"/>
      <c r="L32" s="968"/>
      <c r="M32" s="968" t="s">
        <v>2028</v>
      </c>
      <c r="N32" s="981" t="s">
        <v>2163</v>
      </c>
      <c r="O32" s="969" t="s">
        <v>2828</v>
      </c>
      <c r="P32" s="969"/>
      <c r="Q32" s="968" t="s">
        <v>2818</v>
      </c>
      <c r="R32" s="1616">
        <f>SUMIFS(계정별원장!$F$3:$F$5997,계정별원장!$A$3:$A$5997,"17",계정별원장!$B$3:$B$5997,'사업계획(매출 확정본)'!$M32)</f>
        <v>1609368456</v>
      </c>
      <c r="S32" s="973">
        <f>S30*S31</f>
        <v>3375000000</v>
      </c>
      <c r="T32" s="973">
        <f t="shared" ref="T32:W32" si="22">T30*T31</f>
        <v>3950000000</v>
      </c>
      <c r="U32" s="973">
        <f t="shared" si="22"/>
        <v>4648000000</v>
      </c>
      <c r="V32" s="973">
        <f t="shared" si="22"/>
        <v>5394000000</v>
      </c>
      <c r="W32" s="973">
        <f t="shared" si="22"/>
        <v>5856000000</v>
      </c>
      <c r="AF32" s="153" t="s">
        <v>2821</v>
      </c>
      <c r="AG32" s="969" t="s">
        <v>2817</v>
      </c>
      <c r="AH32" s="968" t="s">
        <v>2813</v>
      </c>
      <c r="AI32" s="153">
        <f>SUMIFS(S$12:S$113,$Q$12:$Q$113,$AH$32,$O$12:$O$113,$AG$31,$N$12:$N$113,$AF$31)</f>
        <v>2</v>
      </c>
      <c r="AJ32" s="153">
        <f>SUMIFS(T$12:T$113,$Q$12:$Q$113,$AH$32,$O$12:$O$113,$AG$31,$N$12:$N$113,$AF$31)</f>
        <v>5</v>
      </c>
      <c r="AK32" s="153">
        <f>SUMIFS(U$12:U$113,$Q$12:$Q$113,$AH$32,$O$12:$O$113,$AG$31,$N$12:$N$113,$AF$31)</f>
        <v>10</v>
      </c>
      <c r="AL32" s="153">
        <f>SUMIFS(V$12:V$113,$Q$12:$Q$113,$AH$32,$O$12:$O$113,$AG$31,$N$12:$N$113,$AF$31)</f>
        <v>13</v>
      </c>
      <c r="AM32" s="153">
        <f>SUMIFS(W$12:W$113,$Q$12:$Q$113,$AH$32,$O$12:$O$113,$AG$31,$N$12:$N$113,$AF$31)</f>
        <v>15</v>
      </c>
    </row>
    <row r="33" spans="2:53" x14ac:dyDescent="0.3">
      <c r="B33" s="153" t="s">
        <v>2054</v>
      </c>
      <c r="C33" s="153" t="s">
        <v>2059</v>
      </c>
      <c r="G33" s="153" t="s">
        <v>2054</v>
      </c>
      <c r="H33" s="153" t="s">
        <v>2049</v>
      </c>
      <c r="I33" s="153" t="s">
        <v>2024</v>
      </c>
      <c r="K33" s="968"/>
      <c r="L33" s="968" t="s">
        <v>2810</v>
      </c>
      <c r="M33" s="968" t="s">
        <v>2054</v>
      </c>
      <c r="N33" s="981" t="s">
        <v>2163</v>
      </c>
      <c r="O33" s="969" t="s">
        <v>2828</v>
      </c>
      <c r="P33" s="1050">
        <f>VLOOKUP(M33,'제품별 원재료비 '!$O$4:$S$48,5,FALSE)</f>
        <v>6425980</v>
      </c>
      <c r="Q33" s="968" t="s">
        <v>2813</v>
      </c>
      <c r="R33" s="968">
        <f>COUNTIFS(계정별원장!$A$3:$A$5997,"17",계정별원장!$B$3:$B$5997,'사업계획(매출 확정본)'!$M33)</f>
        <v>25</v>
      </c>
      <c r="S33" s="972">
        <v>49</v>
      </c>
      <c r="T33" s="972">
        <v>60</v>
      </c>
      <c r="U33" s="972">
        <v>85</v>
      </c>
      <c r="V33" s="972">
        <v>110</v>
      </c>
      <c r="W33" s="972">
        <v>115</v>
      </c>
      <c r="AF33" s="153" t="s">
        <v>2821</v>
      </c>
      <c r="AG33" s="969" t="s">
        <v>2817</v>
      </c>
      <c r="AH33" s="968" t="s">
        <v>2816</v>
      </c>
      <c r="AI33" s="974">
        <f>AI31/AI32</f>
        <v>135000000</v>
      </c>
      <c r="AJ33" s="974">
        <f t="shared" ref="AJ33:AM33" si="23">AJ31/AJ32</f>
        <v>141800000</v>
      </c>
      <c r="AK33" s="974">
        <f t="shared" si="23"/>
        <v>148900000</v>
      </c>
      <c r="AL33" s="974">
        <f t="shared" si="23"/>
        <v>156300000</v>
      </c>
      <c r="AM33" s="974">
        <f t="shared" si="23"/>
        <v>164100000</v>
      </c>
      <c r="AZ33" s="153" t="s">
        <v>2043</v>
      </c>
      <c r="BA33" s="153" t="s">
        <v>2809</v>
      </c>
    </row>
    <row r="34" spans="2:53" x14ac:dyDescent="0.3">
      <c r="H34" s="153" t="s">
        <v>2049</v>
      </c>
      <c r="I34" s="153" t="s">
        <v>2024</v>
      </c>
      <c r="K34" s="968"/>
      <c r="L34" s="968"/>
      <c r="M34" s="968" t="s">
        <v>2054</v>
      </c>
      <c r="N34" s="981" t="s">
        <v>2163</v>
      </c>
      <c r="O34" s="969" t="s">
        <v>2828</v>
      </c>
      <c r="P34" s="969"/>
      <c r="Q34" s="968" t="s">
        <v>2816</v>
      </c>
      <c r="R34" s="1617">
        <f>R35/R33</f>
        <v>14016763.640000001</v>
      </c>
      <c r="S34" s="973">
        <v>13500000</v>
      </c>
      <c r="T34" s="973">
        <f>ROUND(S34*1.05,-5)</f>
        <v>14200000</v>
      </c>
      <c r="U34" s="973">
        <f t="shared" ref="U34:W34" si="24">ROUND(T34*1.05,-5)</f>
        <v>14900000</v>
      </c>
      <c r="V34" s="973">
        <f t="shared" si="24"/>
        <v>15600000</v>
      </c>
      <c r="W34" s="973">
        <f t="shared" si="24"/>
        <v>16400000</v>
      </c>
      <c r="AF34" s="153" t="s">
        <v>2821</v>
      </c>
      <c r="AG34" s="969" t="s">
        <v>2822</v>
      </c>
      <c r="AH34" s="968" t="s">
        <v>2818</v>
      </c>
      <c r="AI34" s="819">
        <f>SUMIFS(S$12:S$113,$Q$12:$Q$113,$AH$34,$O$12:$O$113,$AG$34,$N$12:$N$113,$AF$34)</f>
        <v>1944000000</v>
      </c>
      <c r="AJ34" s="819">
        <f>SUMIFS(T$12:T$113,$Q$12:$Q$113,$AH$34,$O$12:$O$113,$AG$34,$N$12:$N$113,$AF$31)</f>
        <v>2784500000</v>
      </c>
      <c r="AK34" s="819">
        <f>SUMIFS(U$12:U$113,$Q$12:$Q$113,$AH$34,$O$12:$O$113,$AG$34,$N$12:$N$113,$AF$31)</f>
        <v>4140500000</v>
      </c>
      <c r="AL34" s="819">
        <f>SUMIFS(V$12:V$113,$Q$12:$Q$113,$AH$34,$O$12:$O$113,$AG$34,$N$12:$N$113,$AF$31)</f>
        <v>3585000000</v>
      </c>
      <c r="AM34" s="819">
        <f>SUMIFS(W$12:W$113,$Q$12:$Q$113,$AH$34,$O$12:$O$113,$AG$34,$N$12:$N$113,$AF$31)</f>
        <v>4035000000</v>
      </c>
      <c r="AZ34" s="153" t="s">
        <v>2048</v>
      </c>
      <c r="BA34" s="153" t="s">
        <v>2819</v>
      </c>
    </row>
    <row r="35" spans="2:53" x14ac:dyDescent="0.3">
      <c r="K35" s="968"/>
      <c r="L35" s="968"/>
      <c r="M35" s="968" t="s">
        <v>2054</v>
      </c>
      <c r="N35" s="981" t="s">
        <v>2163</v>
      </c>
      <c r="O35" s="969" t="s">
        <v>2828</v>
      </c>
      <c r="P35" s="969"/>
      <c r="Q35" s="968" t="s">
        <v>2818</v>
      </c>
      <c r="R35" s="1616">
        <f>SUMIFS(계정별원장!$F$3:$F$5997,계정별원장!$A$3:$A$5997,"17",계정별원장!$B$3:$B$5997,'사업계획(매출 확정본)'!$M35)</f>
        <v>350419091</v>
      </c>
      <c r="S35" s="973">
        <f>S33*S34</f>
        <v>661500000</v>
      </c>
      <c r="T35" s="973">
        <f t="shared" ref="T35:W35" si="25">T33*T34</f>
        <v>852000000</v>
      </c>
      <c r="U35" s="973">
        <f t="shared" si="25"/>
        <v>1266500000</v>
      </c>
      <c r="V35" s="973">
        <f t="shared" si="25"/>
        <v>1716000000</v>
      </c>
      <c r="W35" s="973">
        <f t="shared" si="25"/>
        <v>1886000000</v>
      </c>
      <c r="AF35" s="153" t="s">
        <v>2821</v>
      </c>
      <c r="AG35" s="969" t="s">
        <v>2822</v>
      </c>
      <c r="AH35" s="968" t="s">
        <v>2813</v>
      </c>
      <c r="AI35" s="153">
        <f>SUMIFS(S$12:S$113,$Q$12:$Q$113,$AH$35,$O$12:$O$113,$AG$34,$N$12:$N$113,$AF$31)</f>
        <v>24</v>
      </c>
      <c r="AJ35" s="153">
        <f>SUMIFS(T$12:T$113,$Q$12:$Q$113,$AH$35,$O$12:$O$113,$AG$34,$N$12:$N$113,$AF$31)</f>
        <v>35</v>
      </c>
      <c r="AK35" s="153">
        <f>SUMIFS(U$12:U$113,$Q$12:$Q$113,$AH$35,$O$12:$O$113,$AG$34,$N$12:$N$113,$AF$31)</f>
        <v>50</v>
      </c>
      <c r="AL35" s="153">
        <f>SUMIFS(V$12:V$113,$Q$12:$Q$113,$AH$35,$O$12:$O$113,$AG$34,$N$12:$N$113,$AF$31)</f>
        <v>45</v>
      </c>
      <c r="AM35" s="153">
        <f>SUMIFS(W$12:W$113,$Q$12:$Q$113,$AH$35,$O$12:$O$113,$AG$34,$N$12:$N$113,$AF$31)</f>
        <v>50</v>
      </c>
    </row>
    <row r="36" spans="2:53" x14ac:dyDescent="0.3">
      <c r="B36" s="153" t="s">
        <v>2034</v>
      </c>
      <c r="C36" s="153" t="s">
        <v>2062</v>
      </c>
      <c r="G36" s="153" t="s">
        <v>2034</v>
      </c>
      <c r="H36" s="153" t="s">
        <v>2061</v>
      </c>
      <c r="I36" s="153" t="s">
        <v>2802</v>
      </c>
      <c r="K36" s="968"/>
      <c r="L36" s="968" t="s">
        <v>2810</v>
      </c>
      <c r="M36" s="968" t="s">
        <v>2034</v>
      </c>
      <c r="N36" s="972" t="s">
        <v>2825</v>
      </c>
      <c r="O36" s="1561" t="s">
        <v>2822</v>
      </c>
      <c r="P36" s="1050">
        <f>VLOOKUP(M36,'제품별 원재료비 '!$O$4:$S$48,5,FALSE)</f>
        <v>22294160</v>
      </c>
      <c r="Q36" s="968" t="s">
        <v>2813</v>
      </c>
      <c r="R36" s="968">
        <f>COUNTIFS(계정별원장!$A$3:$A$5997,"17",계정별원장!$B$3:$B$5997,'사업계획(매출 확정본)'!$M36)</f>
        <v>14</v>
      </c>
      <c r="S36" s="972">
        <v>16</v>
      </c>
      <c r="T36" s="972">
        <v>20</v>
      </c>
      <c r="U36" s="972">
        <v>30</v>
      </c>
      <c r="V36" s="972">
        <v>40</v>
      </c>
      <c r="W36" s="972">
        <v>45</v>
      </c>
      <c r="AF36" s="153" t="s">
        <v>2821</v>
      </c>
      <c r="AG36" s="969" t="s">
        <v>2822</v>
      </c>
      <c r="AH36" s="968" t="s">
        <v>2816</v>
      </c>
      <c r="AI36" s="974">
        <f>AI34/AI35</f>
        <v>81000000</v>
      </c>
      <c r="AJ36" s="974">
        <f t="shared" ref="AJ36:AM36" si="26">AJ34/AJ35</f>
        <v>79557142.857142851</v>
      </c>
      <c r="AK36" s="974">
        <f t="shared" si="26"/>
        <v>82810000</v>
      </c>
      <c r="AL36" s="974">
        <f t="shared" si="26"/>
        <v>79666666.666666672</v>
      </c>
      <c r="AM36" s="974">
        <f t="shared" si="26"/>
        <v>80700000</v>
      </c>
      <c r="AZ36" s="153" t="s">
        <v>2836</v>
      </c>
      <c r="BA36" s="153" t="s">
        <v>2819</v>
      </c>
    </row>
    <row r="37" spans="2:53" x14ac:dyDescent="0.3">
      <c r="H37" s="153" t="s">
        <v>2041</v>
      </c>
      <c r="I37" s="153" t="s">
        <v>2802</v>
      </c>
      <c r="K37" s="968"/>
      <c r="L37" s="968"/>
      <c r="M37" s="968" t="s">
        <v>2034</v>
      </c>
      <c r="N37" s="972" t="s">
        <v>2825</v>
      </c>
      <c r="O37" s="1561" t="s">
        <v>2822</v>
      </c>
      <c r="P37" s="969"/>
      <c r="Q37" s="968" t="s">
        <v>2816</v>
      </c>
      <c r="R37" s="1617">
        <f>R38/R36</f>
        <v>44342792.571428575</v>
      </c>
      <c r="S37" s="973">
        <v>45500000</v>
      </c>
      <c r="T37" s="973">
        <f>ROUND(S37*1.05,-5)</f>
        <v>47800000</v>
      </c>
      <c r="U37" s="973">
        <f t="shared" ref="U37:W37" si="27">ROUND(T37*1.05,-5)</f>
        <v>50200000</v>
      </c>
      <c r="V37" s="973">
        <f t="shared" si="27"/>
        <v>52700000</v>
      </c>
      <c r="W37" s="973">
        <f t="shared" si="27"/>
        <v>55300000</v>
      </c>
      <c r="AF37" s="153" t="s">
        <v>2821</v>
      </c>
      <c r="AG37" s="969" t="s">
        <v>2812</v>
      </c>
      <c r="AH37" s="968" t="s">
        <v>2818</v>
      </c>
      <c r="AI37" s="819">
        <f>SUMIFS(S$12:S$113,$Q$12:$Q$113,$AH$37,$O$12:$O$113,$AG$37,$N$12:$N$113,$AF$37)</f>
        <v>2528000000</v>
      </c>
      <c r="AJ37" s="819">
        <f>SUMIFS(T$12:T$113,$Q$12:$Q$113,$AH$37,$O$12:$O$113,$AG$37,$N$12:$N$113,$AF$37)</f>
        <v>4295000000</v>
      </c>
      <c r="AK37" s="819">
        <f>SUMIFS(U$12:U$113,$Q$12:$Q$113,$AH$37,$O$12:$O$113,$AG$37,$N$12:$N$113,$AF$37)</f>
        <v>6151500000</v>
      </c>
      <c r="AL37" s="819">
        <f>SUMIFS(V$12:V$113,$Q$12:$Q$113,$AH$37,$O$12:$O$113,$AG$37,$N$12:$N$113,$AF$37)</f>
        <v>8184000000</v>
      </c>
      <c r="AM37" s="819">
        <f>SUMIFS(W$12:W$113,$Q$12:$Q$113,$AH$37,$O$12:$O$113,$AG$37,$N$12:$N$113,$AF$37)</f>
        <v>9454500000</v>
      </c>
      <c r="AZ37" s="153" t="s">
        <v>2033</v>
      </c>
      <c r="BA37" s="153" t="s">
        <v>2819</v>
      </c>
    </row>
    <row r="38" spans="2:53" x14ac:dyDescent="0.3">
      <c r="K38" s="968"/>
      <c r="L38" s="968"/>
      <c r="M38" s="968" t="s">
        <v>2034</v>
      </c>
      <c r="N38" s="972" t="s">
        <v>2825</v>
      </c>
      <c r="O38" s="1561" t="s">
        <v>2822</v>
      </c>
      <c r="P38" s="969"/>
      <c r="Q38" s="968" t="s">
        <v>2818</v>
      </c>
      <c r="R38" s="1616">
        <f>SUMIFS(계정별원장!$F$3:$F$5997,계정별원장!$A$3:$A$5997,"17",계정별원장!$B$3:$B$5997,'사업계획(매출 확정본)'!$M38)</f>
        <v>620799096</v>
      </c>
      <c r="S38" s="973">
        <f>S36*S37</f>
        <v>728000000</v>
      </c>
      <c r="T38" s="973">
        <f t="shared" ref="T38:W38" si="28">T36*T37</f>
        <v>956000000</v>
      </c>
      <c r="U38" s="973">
        <f t="shared" si="28"/>
        <v>1506000000</v>
      </c>
      <c r="V38" s="973">
        <f t="shared" si="28"/>
        <v>2108000000</v>
      </c>
      <c r="W38" s="973">
        <f t="shared" si="28"/>
        <v>2488500000</v>
      </c>
      <c r="AF38" s="153" t="s">
        <v>2821</v>
      </c>
      <c r="AG38" s="969" t="s">
        <v>2812</v>
      </c>
      <c r="AH38" s="968" t="s">
        <v>2813</v>
      </c>
      <c r="AI38" s="153">
        <f>SUMIFS(S$12:S$113,$Q$12:$Q$113,$AH$38,$O$12:$O$113,$AG$37,$N$12:$N$113,$AF$37)</f>
        <v>24</v>
      </c>
      <c r="AJ38" s="153">
        <f>SUMIFS(T$12:T$113,$Q$12:$Q$113,$AH$38,$O$12:$O$113,$AG$37,$N$12:$N$113,$AF$37)</f>
        <v>40</v>
      </c>
      <c r="AK38" s="153">
        <f>SUMIFS(U$12:U$113,$Q$12:$Q$113,$AH$38,$O$12:$O$113,$AG$37,$N$12:$N$113,$AF$37)</f>
        <v>55</v>
      </c>
      <c r="AL38" s="153">
        <f>SUMIFS(V$12:V$113,$Q$12:$Q$113,$AH$38,$O$12:$O$113,$AG$37,$N$12:$N$113,$AF$37)</f>
        <v>70</v>
      </c>
      <c r="AM38" s="153">
        <f>SUMIFS(W$12:W$113,$Q$12:$Q$113,$AH$38,$O$12:$O$113,$AG$37,$N$12:$N$113,$AF$37)</f>
        <v>77</v>
      </c>
    </row>
    <row r="39" spans="2:53" x14ac:dyDescent="0.3">
      <c r="B39" s="153" t="s">
        <v>2032</v>
      </c>
      <c r="C39" s="153" t="s">
        <v>2063</v>
      </c>
      <c r="G39" s="153" t="s">
        <v>2032</v>
      </c>
      <c r="H39" s="153" t="s">
        <v>2041</v>
      </c>
      <c r="I39" s="153" t="s">
        <v>2802</v>
      </c>
      <c r="K39" s="968"/>
      <c r="L39" s="968" t="s">
        <v>2810</v>
      </c>
      <c r="M39" s="968" t="s">
        <v>2032</v>
      </c>
      <c r="N39" s="972" t="s">
        <v>2825</v>
      </c>
      <c r="O39" s="1561" t="s">
        <v>2822</v>
      </c>
      <c r="P39" s="1050">
        <f>VLOOKUP(M39,'제품별 원재료비 '!$O$4:$S$48,5,FALSE)</f>
        <v>22704380</v>
      </c>
      <c r="Q39" s="968" t="s">
        <v>2813</v>
      </c>
      <c r="R39" s="968">
        <f>COUNTIFS(계정별원장!$A$3:$A$5997,"17",계정별원장!$B$3:$B$5997,'사업계획(매출 확정본)'!$M39)</f>
        <v>80</v>
      </c>
      <c r="S39" s="972">
        <v>59</v>
      </c>
      <c r="T39" s="972">
        <v>65</v>
      </c>
      <c r="U39" s="972">
        <v>80</v>
      </c>
      <c r="V39" s="972">
        <v>100</v>
      </c>
      <c r="W39" s="972">
        <v>120</v>
      </c>
      <c r="AF39" s="153" t="s">
        <v>2821</v>
      </c>
      <c r="AG39" s="969" t="s">
        <v>2812</v>
      </c>
      <c r="AH39" s="968" t="s">
        <v>2816</v>
      </c>
      <c r="AI39" s="974">
        <f>AI37/AI38</f>
        <v>105333333.33333333</v>
      </c>
      <c r="AJ39" s="974">
        <f t="shared" ref="AJ39:AM39" si="29">AJ37/AJ38</f>
        <v>107375000</v>
      </c>
      <c r="AK39" s="974">
        <f t="shared" si="29"/>
        <v>111845454.54545455</v>
      </c>
      <c r="AL39" s="974">
        <f t="shared" si="29"/>
        <v>116914285.71428572</v>
      </c>
      <c r="AM39" s="974">
        <f t="shared" si="29"/>
        <v>122785714.28571428</v>
      </c>
      <c r="AZ39" s="153" t="s">
        <v>2047</v>
      </c>
      <c r="BA39" s="153" t="s">
        <v>2824</v>
      </c>
    </row>
    <row r="40" spans="2:53" x14ac:dyDescent="0.3">
      <c r="H40" s="153" t="s">
        <v>2037</v>
      </c>
      <c r="I40" s="153" t="s">
        <v>2802</v>
      </c>
      <c r="K40" s="968"/>
      <c r="L40" s="968"/>
      <c r="M40" s="968" t="s">
        <v>2032</v>
      </c>
      <c r="N40" s="972" t="s">
        <v>2825</v>
      </c>
      <c r="O40" s="1561" t="s">
        <v>2822</v>
      </c>
      <c r="P40" s="969"/>
      <c r="Q40" s="968" t="s">
        <v>2816</v>
      </c>
      <c r="R40" s="1617">
        <f>R41/R39</f>
        <v>28534138.625</v>
      </c>
      <c r="S40" s="973">
        <v>35500000</v>
      </c>
      <c r="T40" s="973">
        <f>ROUND(S40*1.05,-5)</f>
        <v>37300000</v>
      </c>
      <c r="U40" s="973">
        <f t="shared" ref="U40:W40" si="30">ROUND(T40*1.05,-5)</f>
        <v>39200000</v>
      </c>
      <c r="V40" s="973">
        <f t="shared" si="30"/>
        <v>41200000</v>
      </c>
      <c r="W40" s="973">
        <f t="shared" si="30"/>
        <v>43300000</v>
      </c>
      <c r="AF40" s="153" t="s">
        <v>2821</v>
      </c>
      <c r="AG40" s="969" t="s">
        <v>2828</v>
      </c>
      <c r="AH40" s="968" t="s">
        <v>2818</v>
      </c>
      <c r="AI40" s="819">
        <f>SUMIFS(S$12:S$113,$Q$12:$Q$113,$AH$40,$O$12:$O$113,$AG$40,$N$12:$N$113,$AF$37)</f>
        <v>4590000000</v>
      </c>
      <c r="AJ40" s="819">
        <f>SUMIFS(T$12:T$113,$Q$12:$Q$113,$AH$40,$O$12:$O$113,$AG$40,$N$12:$N$113,$AF$37)</f>
        <v>5769500000</v>
      </c>
      <c r="AK40" s="819">
        <f>SUMIFS(U$12:U$113,$Q$12:$Q$113,$AH$40,$O$12:$O$113,$AG$40,$N$12:$N$113,$AF$37)</f>
        <v>7538500000</v>
      </c>
      <c r="AL40" s="819">
        <f>SUMIFS(V$12:V$113,$Q$12:$Q$113,$AH$40,$O$12:$O$113,$AG$40,$N$12:$N$113,$AF$37)</f>
        <v>9027000000</v>
      </c>
      <c r="AM40" s="819">
        <f>SUMIFS(W$12:W$113,$Q$12:$Q$113,$AH$40,$O$12:$O$113,$AG$40,$N$12:$N$113,$AF$37)</f>
        <v>9977000000</v>
      </c>
      <c r="AZ40" s="153" t="s">
        <v>2837</v>
      </c>
      <c r="BA40" s="153" t="s">
        <v>2819</v>
      </c>
    </row>
    <row r="41" spans="2:53" x14ac:dyDescent="0.3">
      <c r="K41" s="968"/>
      <c r="L41" s="968"/>
      <c r="M41" s="968" t="s">
        <v>2032</v>
      </c>
      <c r="N41" s="972" t="s">
        <v>2825</v>
      </c>
      <c r="O41" s="1561" t="s">
        <v>2822</v>
      </c>
      <c r="P41" s="969"/>
      <c r="Q41" s="968" t="s">
        <v>2818</v>
      </c>
      <c r="R41" s="1616">
        <f>SUMIFS(계정별원장!$F$3:$F$5997,계정별원장!$A$3:$A$5997,"17",계정별원장!$B$3:$B$5997,'사업계획(매출 확정본)'!$M41)</f>
        <v>2282731090</v>
      </c>
      <c r="S41" s="973">
        <f>S39*S40</f>
        <v>2094500000</v>
      </c>
      <c r="T41" s="973">
        <f t="shared" ref="T41:W41" si="31">T39*T40</f>
        <v>2424500000</v>
      </c>
      <c r="U41" s="973">
        <f t="shared" si="31"/>
        <v>3136000000</v>
      </c>
      <c r="V41" s="973">
        <f t="shared" si="31"/>
        <v>4120000000</v>
      </c>
      <c r="W41" s="973">
        <f t="shared" si="31"/>
        <v>5196000000</v>
      </c>
      <c r="AF41" s="153" t="s">
        <v>2821</v>
      </c>
      <c r="AG41" s="969" t="s">
        <v>2828</v>
      </c>
      <c r="AH41" s="968" t="s">
        <v>2813</v>
      </c>
      <c r="AI41" s="153">
        <f>SUMIFS(S$12:S$113,$Q$12:$Q$113,$AH$41,$O$12:$O$113,$AG$40,$N$12:$N$113,$AF$37)</f>
        <v>289</v>
      </c>
      <c r="AJ41" s="153">
        <f>SUMIFS(T$12:T$113,$Q$12:$Q$113,$AH$41,$O$12:$O$113,$AG$40,$N$12:$N$113,$AF$37)</f>
        <v>335</v>
      </c>
      <c r="AK41" s="153">
        <f>SUMIFS(U$12:U$113,$Q$12:$Q$113,$AH$41,$O$12:$O$113,$AG$40,$N$12:$N$113,$AF$37)</f>
        <v>405</v>
      </c>
      <c r="AL41" s="153">
        <f>SUMIFS(V$12:V$113,$Q$12:$Q$113,$AH$41,$O$12:$O$113,$AG$40,$N$12:$N$113,$AF$37)</f>
        <v>465</v>
      </c>
      <c r="AM41" s="153">
        <f>SUMIFS(W$12:W$113,$Q$12:$Q$113,$AH$41,$O$12:$O$113,$AG$40,$N$12:$N$113,$AF$37)</f>
        <v>485</v>
      </c>
    </row>
    <row r="42" spans="2:53" x14ac:dyDescent="0.3">
      <c r="B42" s="153" t="s">
        <v>2037</v>
      </c>
      <c r="C42" s="153" t="s">
        <v>2064</v>
      </c>
      <c r="G42" s="153" t="s">
        <v>2037</v>
      </c>
      <c r="H42" s="153" t="s">
        <v>2037</v>
      </c>
      <c r="I42" s="153" t="s">
        <v>2802</v>
      </c>
      <c r="K42" s="968"/>
      <c r="L42" s="968" t="s">
        <v>2810</v>
      </c>
      <c r="M42" s="968" t="s">
        <v>2037</v>
      </c>
      <c r="N42" s="972" t="s">
        <v>2825</v>
      </c>
      <c r="O42" s="1561" t="s">
        <v>2822</v>
      </c>
      <c r="P42" s="1050">
        <f>VLOOKUP(M42,'제품별 원재료비 '!$O$4:$S$48,5,FALSE)</f>
        <v>23863850</v>
      </c>
      <c r="Q42" s="968" t="s">
        <v>2813</v>
      </c>
      <c r="R42" s="968">
        <f>COUNTIFS(계정별원장!$A$3:$A$5997,"17",계정별원장!$B$3:$B$5997,'사업계획(매출 확정본)'!$M42)</f>
        <v>293</v>
      </c>
      <c r="S42" s="972">
        <v>315</v>
      </c>
      <c r="T42" s="972">
        <v>350</v>
      </c>
      <c r="U42" s="972">
        <v>380</v>
      </c>
      <c r="V42" s="972">
        <v>385</v>
      </c>
      <c r="W42" s="972">
        <v>390</v>
      </c>
      <c r="AF42" s="153" t="s">
        <v>2821</v>
      </c>
      <c r="AG42" s="969" t="s">
        <v>2828</v>
      </c>
      <c r="AH42" s="968" t="s">
        <v>2816</v>
      </c>
      <c r="AI42" s="974">
        <f>AI40/AI41</f>
        <v>15882352.94117647</v>
      </c>
      <c r="AJ42" s="974">
        <f t="shared" ref="AJ42:AM42" si="32">AJ40/AJ41</f>
        <v>17222388.059701491</v>
      </c>
      <c r="AK42" s="974">
        <f t="shared" si="32"/>
        <v>18613580.246913582</v>
      </c>
      <c r="AL42" s="974">
        <f t="shared" si="32"/>
        <v>19412903.225806452</v>
      </c>
      <c r="AM42" s="974">
        <f t="shared" si="32"/>
        <v>20571134.020618558</v>
      </c>
      <c r="AZ42" s="153" t="s">
        <v>2054</v>
      </c>
      <c r="BA42" s="153" t="s">
        <v>2815</v>
      </c>
    </row>
    <row r="43" spans="2:53" x14ac:dyDescent="0.3">
      <c r="H43" s="153" t="s">
        <v>2041</v>
      </c>
      <c r="I43" s="153" t="s">
        <v>2802</v>
      </c>
      <c r="K43" s="968"/>
      <c r="L43" s="968"/>
      <c r="M43" s="968" t="s">
        <v>2037</v>
      </c>
      <c r="N43" s="972" t="s">
        <v>2825</v>
      </c>
      <c r="O43" s="1561" t="s">
        <v>2822</v>
      </c>
      <c r="P43" s="969"/>
      <c r="Q43" s="968" t="s">
        <v>2816</v>
      </c>
      <c r="R43" s="1617">
        <f>R44/R42</f>
        <v>34415356.49488055</v>
      </c>
      <c r="S43" s="973">
        <v>36500000</v>
      </c>
      <c r="T43" s="973">
        <f>ROUND(S43*1.05,-5)</f>
        <v>38300000</v>
      </c>
      <c r="U43" s="973">
        <f t="shared" ref="U43:W43" si="33">ROUND(T43*1.05,-5)</f>
        <v>40200000</v>
      </c>
      <c r="V43" s="973">
        <f t="shared" si="33"/>
        <v>42200000</v>
      </c>
      <c r="W43" s="973">
        <f t="shared" si="33"/>
        <v>44300000</v>
      </c>
      <c r="AF43" s="153" t="s">
        <v>2821</v>
      </c>
      <c r="AG43" s="969" t="s">
        <v>2829</v>
      </c>
      <c r="AH43" s="968" t="s">
        <v>2818</v>
      </c>
      <c r="AI43" s="153">
        <f>SUMIFS(S$12:S$113,$Q$12:$Q$113,$AH$43,$O$12:$O$113,$AG$43,$N$12:$N$113,$AF$37)</f>
        <v>0</v>
      </c>
      <c r="AJ43" s="153">
        <f>SUMIFS(T$12:T$113,$Q$12:$Q$113,$AH$43,$O$12:$O$113,$AG$43,$N$12:$N$113,$AF$37)</f>
        <v>0</v>
      </c>
      <c r="AK43" s="153">
        <f>SUMIFS(U$12:U$113,$Q$12:$Q$113,$AH$43,$O$12:$O$113,$AG$43,$N$12:$N$113,$AF$37)</f>
        <v>0</v>
      </c>
      <c r="AL43" s="153">
        <f>SUMIFS(V$12:V$113,$Q$12:$Q$113,$AH$43,$O$12:$O$113,$AG$43,$N$12:$N$113,$AF$37)</f>
        <v>0</v>
      </c>
      <c r="AM43" s="153">
        <f>SUMIFS(W$12:W$113,$Q$12:$Q$113,$AH$43,$O$12:$O$113,$AG$43,$N$12:$N$113,$AF$37)</f>
        <v>0</v>
      </c>
      <c r="AZ43" s="153" t="s">
        <v>2838</v>
      </c>
      <c r="BA43" s="153" t="s">
        <v>2824</v>
      </c>
    </row>
    <row r="44" spans="2:53" x14ac:dyDescent="0.3">
      <c r="K44" s="968"/>
      <c r="L44" s="968"/>
      <c r="M44" s="968" t="s">
        <v>2037</v>
      </c>
      <c r="N44" s="972" t="s">
        <v>2825</v>
      </c>
      <c r="O44" s="1561" t="s">
        <v>2822</v>
      </c>
      <c r="P44" s="969"/>
      <c r="Q44" s="968" t="s">
        <v>2818</v>
      </c>
      <c r="R44" s="1616">
        <f>SUMIFS(계정별원장!$F$3:$F$5997,계정별원장!$A$3:$A$5997,"17",계정별원장!$B$3:$B$5997,'사업계획(매출 확정본)'!$M44)</f>
        <v>10083699453</v>
      </c>
      <c r="S44" s="973">
        <f>S42*S43</f>
        <v>11497500000</v>
      </c>
      <c r="T44" s="973">
        <f t="shared" ref="T44:W44" si="34">T42*T43</f>
        <v>13405000000</v>
      </c>
      <c r="U44" s="973">
        <f t="shared" si="34"/>
        <v>15276000000</v>
      </c>
      <c r="V44" s="973">
        <f t="shared" si="34"/>
        <v>16247000000</v>
      </c>
      <c r="W44" s="973">
        <f t="shared" si="34"/>
        <v>17277000000</v>
      </c>
      <c r="AF44" s="153" t="s">
        <v>2821</v>
      </c>
      <c r="AG44" s="969" t="s">
        <v>2829</v>
      </c>
      <c r="AH44" s="968" t="s">
        <v>2813</v>
      </c>
      <c r="AI44" s="153">
        <f>SUMIFS(S$12:S$113,$Q$12:$Q$113,$AH$44,$O$12:$O$113,$AG$43,$N$12:$N$113,$AF$37)</f>
        <v>0</v>
      </c>
      <c r="AJ44" s="153">
        <f>SUMIFS(T$12:T$113,$Q$12:$Q$113,$AH$44,$O$12:$O$113,$AG$43,$N$12:$N$113,$AF$37)</f>
        <v>0</v>
      </c>
      <c r="AK44" s="153">
        <f>SUMIFS(U$12:U$113,$Q$12:$Q$113,$AH$44,$O$12:$O$113,$AG$43,$N$12:$N$113,$AF$37)</f>
        <v>0</v>
      </c>
      <c r="AL44" s="153">
        <f>SUMIFS(V$12:V$113,$Q$12:$Q$113,$AH$44,$O$12:$O$113,$AG$43,$N$12:$N$113,$AF$37)</f>
        <v>0</v>
      </c>
      <c r="AM44" s="153">
        <f>SUMIFS(W$12:W$113,$Q$12:$Q$113,$AH$44,$O$12:$O$113,$AG$43,$N$12:$N$113,$AF$37)</f>
        <v>0</v>
      </c>
    </row>
    <row r="45" spans="2:53" x14ac:dyDescent="0.3">
      <c r="B45" s="153" t="s">
        <v>2049</v>
      </c>
      <c r="G45" s="153" t="s">
        <v>2049</v>
      </c>
      <c r="H45" s="153" t="s">
        <v>2028</v>
      </c>
      <c r="I45" s="153" t="s">
        <v>2023</v>
      </c>
      <c r="K45" s="968"/>
      <c r="L45" s="968" t="s">
        <v>2810</v>
      </c>
      <c r="M45" s="968" t="s">
        <v>2049</v>
      </c>
      <c r="N45" s="981" t="s">
        <v>2124</v>
      </c>
      <c r="O45" s="969" t="s">
        <v>2817</v>
      </c>
      <c r="P45" s="1050">
        <f>VLOOKUP(M45,'제품별 원재료비 '!$O$4:$S$48,5,FALSE)</f>
        <v>74118280</v>
      </c>
      <c r="Q45" s="968" t="s">
        <v>2813</v>
      </c>
      <c r="R45" s="968">
        <f>COUNTIFS(계정별원장!$A$3:$A$5997,"17",계정별원장!$B$3:$B$5997,'사업계획(매출 확정본)'!$M45)</f>
        <v>7</v>
      </c>
      <c r="S45" s="972">
        <v>11</v>
      </c>
      <c r="T45" s="972">
        <v>20</v>
      </c>
      <c r="U45" s="972">
        <v>25</v>
      </c>
      <c r="V45" s="972">
        <v>30</v>
      </c>
      <c r="W45" s="972">
        <v>40</v>
      </c>
      <c r="AF45" s="153" t="s">
        <v>2821</v>
      </c>
      <c r="AG45" s="969" t="s">
        <v>2829</v>
      </c>
      <c r="AH45" s="968" t="s">
        <v>2816</v>
      </c>
      <c r="AI45" s="974" t="e">
        <f>AI43/AI44</f>
        <v>#DIV/0!</v>
      </c>
      <c r="AJ45" s="974" t="e">
        <f t="shared" ref="AJ45:AM45" si="35">AJ43/AJ44</f>
        <v>#DIV/0!</v>
      </c>
      <c r="AK45" s="974" t="e">
        <f t="shared" si="35"/>
        <v>#DIV/0!</v>
      </c>
      <c r="AL45" s="974" t="e">
        <f t="shared" si="35"/>
        <v>#DIV/0!</v>
      </c>
      <c r="AM45" s="974" t="e">
        <f t="shared" si="35"/>
        <v>#DIV/0!</v>
      </c>
      <c r="AZ45" s="153" t="s">
        <v>2035</v>
      </c>
      <c r="BA45" s="153" t="s">
        <v>2819</v>
      </c>
    </row>
    <row r="46" spans="2:53" x14ac:dyDescent="0.3">
      <c r="H46" s="153" t="s">
        <v>2028</v>
      </c>
      <c r="I46" s="153" t="s">
        <v>2023</v>
      </c>
      <c r="K46" s="968"/>
      <c r="L46" s="968"/>
      <c r="M46" s="968" t="s">
        <v>2049</v>
      </c>
      <c r="N46" s="981" t="s">
        <v>2124</v>
      </c>
      <c r="O46" s="969" t="s">
        <v>2817</v>
      </c>
      <c r="P46" s="969"/>
      <c r="Q46" s="968" t="s">
        <v>2816</v>
      </c>
      <c r="R46" s="1617">
        <f>R47/R45</f>
        <v>127508442.42857143</v>
      </c>
      <c r="S46" s="973">
        <v>115000000</v>
      </c>
      <c r="T46" s="973">
        <f>ROUND(S46*1.05,-5)</f>
        <v>120800000</v>
      </c>
      <c r="U46" s="973">
        <f t="shared" ref="U46:W46" si="36">ROUND(T46*1.05,-5)</f>
        <v>126800000</v>
      </c>
      <c r="V46" s="973">
        <f t="shared" si="36"/>
        <v>133100000</v>
      </c>
      <c r="W46" s="973">
        <f t="shared" si="36"/>
        <v>139800000</v>
      </c>
      <c r="AF46" s="153" t="s">
        <v>2821</v>
      </c>
      <c r="AG46" s="969" t="s">
        <v>2832</v>
      </c>
      <c r="AH46" s="968" t="s">
        <v>2818</v>
      </c>
      <c r="AI46" s="153">
        <f>SUMIFS(S$12:S$113,$Q$12:$Q$113,$AH$46,$O$12:$O$113,$AG$46,$N$12:$N$113,$AF$37)</f>
        <v>0</v>
      </c>
      <c r="AJ46" s="153">
        <f>SUMIFS(T$12:T$113,$Q$12:$Q$113,$AH$46,$O$12:$O$113,$AG$46,$N$12:$N$113,$AF$37)</f>
        <v>0</v>
      </c>
      <c r="AK46" s="153">
        <f>SUMIFS(U$12:U$113,$Q$12:$Q$113,$AH$46,$O$12:$O$113,$AG$46,$N$12:$N$113,$AF$37)</f>
        <v>0</v>
      </c>
      <c r="AL46" s="153">
        <f>SUMIFS(V$12:V$113,$Q$12:$Q$113,$AH$46,$O$12:$O$113,$AG$46,$N$12:$N$113,$AF$37)</f>
        <v>0</v>
      </c>
      <c r="AM46" s="153">
        <f>SUMIFS(W$12:W$113,$Q$12:$Q$113,$AH$46,$O$12:$O$113,$AG$46,$N$12:$N$113,$AF$37)</f>
        <v>0</v>
      </c>
      <c r="AZ46" s="153" t="s">
        <v>2839</v>
      </c>
      <c r="BA46" s="153" t="s">
        <v>2819</v>
      </c>
    </row>
    <row r="47" spans="2:53" x14ac:dyDescent="0.3">
      <c r="K47" s="968"/>
      <c r="L47" s="968"/>
      <c r="M47" s="968" t="s">
        <v>2049</v>
      </c>
      <c r="N47" s="981" t="s">
        <v>2124</v>
      </c>
      <c r="O47" s="969" t="s">
        <v>2817</v>
      </c>
      <c r="P47" s="969"/>
      <c r="Q47" s="968" t="s">
        <v>2818</v>
      </c>
      <c r="R47" s="1616">
        <f>SUMIFS(계정별원장!$F$3:$F$5997,계정별원장!$A$3:$A$5997,"17",계정별원장!$B$3:$B$5997,'사업계획(매출 확정본)'!$M47)</f>
        <v>892559097</v>
      </c>
      <c r="S47" s="973">
        <f>S45*S46</f>
        <v>1265000000</v>
      </c>
      <c r="T47" s="973">
        <f t="shared" ref="T47:W47" si="37">T45*T46</f>
        <v>2416000000</v>
      </c>
      <c r="U47" s="973">
        <f t="shared" si="37"/>
        <v>3170000000</v>
      </c>
      <c r="V47" s="973">
        <f t="shared" si="37"/>
        <v>3993000000</v>
      </c>
      <c r="W47" s="973">
        <f t="shared" si="37"/>
        <v>5592000000</v>
      </c>
      <c r="AF47" s="153" t="s">
        <v>2821</v>
      </c>
      <c r="AG47" s="969" t="s">
        <v>2832</v>
      </c>
      <c r="AH47" s="968" t="s">
        <v>2813</v>
      </c>
      <c r="AI47" s="153">
        <f>SUMIFS(S$12:S$113,$Q$12:$Q$113,$AH$47,$O$12:$O$113,$AG$46,$N$12:$N$113,$AF$37)</f>
        <v>0</v>
      </c>
      <c r="AJ47" s="153">
        <f>SUMIFS(T$12:T$113,$Q$12:$Q$113,$AH$47,$O$12:$O$113,$AG$46,$N$12:$N$113,$AF$37)</f>
        <v>0</v>
      </c>
      <c r="AK47" s="153">
        <f>SUMIFS(U$12:U$113,$Q$12:$Q$113,$AH$47,$O$12:$O$113,$AG$46,$N$12:$N$113,$AF$37)</f>
        <v>0</v>
      </c>
      <c r="AL47" s="153">
        <f>SUMIFS(V$12:V$113,$Q$12:$Q$113,$AH$47,$O$12:$O$113,$AG$46,$N$12:$N$113,$AF$37)</f>
        <v>0</v>
      </c>
      <c r="AM47" s="153">
        <f>SUMIFS(W$12:W$113,$Q$12:$Q$113,$AH$47,$O$12:$O$113,$AG$46,$N$12:$N$113,$AF$37)</f>
        <v>0</v>
      </c>
    </row>
    <row r="48" spans="2:53" x14ac:dyDescent="0.3">
      <c r="B48" s="153" t="s">
        <v>2060</v>
      </c>
      <c r="G48" s="153" t="s">
        <v>2060</v>
      </c>
      <c r="H48" s="153" t="s">
        <v>2037</v>
      </c>
      <c r="I48" s="153" t="s">
        <v>2802</v>
      </c>
      <c r="K48" s="968"/>
      <c r="L48" s="968" t="s">
        <v>2810</v>
      </c>
      <c r="M48" s="968" t="s">
        <v>2060</v>
      </c>
      <c r="N48" s="968" t="s">
        <v>2124</v>
      </c>
      <c r="O48" s="969" t="s">
        <v>2817</v>
      </c>
      <c r="P48" s="1050">
        <f>VLOOKUP(M48,'제품별 원재료비 '!$O$4:$S$48,5,FALSE)</f>
        <v>97181750</v>
      </c>
      <c r="Q48" s="968" t="s">
        <v>2813</v>
      </c>
      <c r="R48" s="968">
        <f>COUNTIFS(계정별원장!$A$3:$A$5997,"17",계정별원장!$B$3:$B$5997,'사업계획(매출 확정본)'!$M48)</f>
        <v>16</v>
      </c>
      <c r="S48" s="972">
        <v>38</v>
      </c>
      <c r="T48" s="972">
        <v>45</v>
      </c>
      <c r="U48" s="972">
        <v>55</v>
      </c>
      <c r="V48" s="972">
        <v>60</v>
      </c>
      <c r="W48" s="972">
        <v>60</v>
      </c>
      <c r="AF48" s="153" t="s">
        <v>2821</v>
      </c>
      <c r="AG48" s="969" t="s">
        <v>2832</v>
      </c>
      <c r="AH48" s="968" t="s">
        <v>2816</v>
      </c>
      <c r="AI48" s="974" t="e">
        <f>AI46/AI47</f>
        <v>#DIV/0!</v>
      </c>
      <c r="AJ48" s="974" t="e">
        <f t="shared" ref="AJ48:AM48" si="38">AJ46/AJ47</f>
        <v>#DIV/0!</v>
      </c>
      <c r="AK48" s="974" t="e">
        <f t="shared" si="38"/>
        <v>#DIV/0!</v>
      </c>
      <c r="AL48" s="974" t="e">
        <f t="shared" si="38"/>
        <v>#DIV/0!</v>
      </c>
      <c r="AM48" s="974" t="e">
        <f t="shared" si="38"/>
        <v>#DIV/0!</v>
      </c>
      <c r="AZ48" s="153" t="s">
        <v>2840</v>
      </c>
      <c r="BA48" s="153" t="s">
        <v>2809</v>
      </c>
    </row>
    <row r="49" spans="2:53" x14ac:dyDescent="0.3">
      <c r="H49" s="153" t="s">
        <v>2037</v>
      </c>
      <c r="I49" s="153" t="s">
        <v>2802</v>
      </c>
      <c r="K49" s="968"/>
      <c r="L49" s="968"/>
      <c r="M49" s="968" t="s">
        <v>2060</v>
      </c>
      <c r="N49" s="968" t="s">
        <v>2124</v>
      </c>
      <c r="O49" s="969" t="s">
        <v>2817</v>
      </c>
      <c r="P49" s="969"/>
      <c r="Q49" s="968" t="s">
        <v>2816</v>
      </c>
      <c r="R49" s="1617">
        <f>R50/R48</f>
        <v>164854545.375</v>
      </c>
      <c r="S49" s="973">
        <v>165000000</v>
      </c>
      <c r="T49" s="973">
        <f>ROUND(S49*1.05,-5)</f>
        <v>173300000</v>
      </c>
      <c r="U49" s="973">
        <f t="shared" ref="U49:W49" si="39">ROUND(T49*1.05,-5)</f>
        <v>182000000</v>
      </c>
      <c r="V49" s="973">
        <f t="shared" si="39"/>
        <v>191100000</v>
      </c>
      <c r="W49" s="973">
        <f t="shared" si="39"/>
        <v>200700000</v>
      </c>
      <c r="AF49" s="153" t="s">
        <v>2841</v>
      </c>
      <c r="AG49" s="969" t="s">
        <v>2817</v>
      </c>
      <c r="AH49" s="968" t="s">
        <v>2818</v>
      </c>
      <c r="AI49" s="819">
        <f>SUMIFS(S$12:S$113,$Q$12:$Q$113,$AH$49,$O$12:$O$113,$AG$49,$N$12:$N$113,$AF$49)</f>
        <v>41420000000</v>
      </c>
      <c r="AJ49" s="819">
        <f>SUMIFS(T$12:T$113,$Q$12:$Q$113,$AH$49,$O$12:$O$113,$AG$49,$N$12:$N$113,$AF$49)</f>
        <v>50014500000</v>
      </c>
      <c r="AK49" s="819">
        <f>SUMIFS(U$12:U$113,$Q$12:$Q$113,$AH$49,$O$12:$O$113,$AG$49,$N$12:$N$113,$AF$49)</f>
        <v>59321500000</v>
      </c>
      <c r="AL49" s="819">
        <f>SUMIFS(V$12:V$113,$Q$12:$Q$113,$AH$49,$O$12:$O$113,$AG$49,$N$12:$N$113,$AF$49)</f>
        <v>65377500000</v>
      </c>
      <c r="AM49" s="819">
        <f>SUMIFS(W$12:W$113,$Q$12:$Q$113,$AH$49,$O$12:$O$113,$AG$49,$N$12:$N$113,$AF$49)</f>
        <v>68774000000</v>
      </c>
      <c r="AZ49" s="153" t="s">
        <v>2045</v>
      </c>
      <c r="BA49" s="153" t="s">
        <v>2831</v>
      </c>
    </row>
    <row r="50" spans="2:53" x14ac:dyDescent="0.3">
      <c r="K50" s="968"/>
      <c r="L50" s="968"/>
      <c r="M50" s="968" t="s">
        <v>2060</v>
      </c>
      <c r="N50" s="968" t="s">
        <v>2124</v>
      </c>
      <c r="O50" s="969" t="s">
        <v>2817</v>
      </c>
      <c r="P50" s="969"/>
      <c r="Q50" s="968" t="s">
        <v>2818</v>
      </c>
      <c r="R50" s="1616">
        <f>SUMIFS(계정별원장!$F$3:$F$5997,계정별원장!$A$3:$A$5997,"17",계정별원장!$B$3:$B$5997,'사업계획(매출 확정본)'!$M50)</f>
        <v>2637672726</v>
      </c>
      <c r="S50" s="973">
        <f>S48*S49</f>
        <v>6270000000</v>
      </c>
      <c r="T50" s="973">
        <f t="shared" ref="T50:W50" si="40">T48*T49</f>
        <v>7798500000</v>
      </c>
      <c r="U50" s="973">
        <f t="shared" si="40"/>
        <v>10010000000</v>
      </c>
      <c r="V50" s="973">
        <f t="shared" si="40"/>
        <v>11466000000</v>
      </c>
      <c r="W50" s="973">
        <f t="shared" si="40"/>
        <v>12042000000</v>
      </c>
      <c r="AF50" s="153" t="s">
        <v>2841</v>
      </c>
      <c r="AG50" s="969" t="s">
        <v>2817</v>
      </c>
      <c r="AH50" s="968" t="s">
        <v>2813</v>
      </c>
      <c r="AI50" s="153">
        <f>SUMIFS(S$12:S$113,$Q$12:$Q$113,$AH$50,$O$12:$O$113,$AG$49,$N$12:$N$113,$AF$49)</f>
        <v>260</v>
      </c>
      <c r="AJ50" s="153">
        <f>SUMIFS(T$12:T$113,$Q$12:$Q$113,$AH$50,$O$12:$O$113,$AG$49,$N$12:$N$113,$AF$49)</f>
        <v>305</v>
      </c>
      <c r="AK50" s="153">
        <f>SUMIFS(U$12:U$113,$Q$12:$Q$113,$AH$50,$O$12:$O$113,$AG$49,$N$12:$N$113,$AF$49)</f>
        <v>345</v>
      </c>
      <c r="AL50" s="153">
        <f>SUMIFS(V$12:V$113,$Q$12:$Q$113,$AH$50,$O$12:$O$113,$AG$49,$N$12:$N$113,$AF$49)</f>
        <v>365</v>
      </c>
      <c r="AM50" s="153">
        <f>SUMIFS(W$12:W$113,$Q$12:$Q$113,$AH$50,$O$12:$O$113,$AG$49,$N$12:$N$113,$AF$49)</f>
        <v>370</v>
      </c>
    </row>
    <row r="51" spans="2:53" x14ac:dyDescent="0.3">
      <c r="B51" s="153" t="s">
        <v>2061</v>
      </c>
      <c r="G51" s="153" t="s">
        <v>2061</v>
      </c>
      <c r="H51" s="153" t="s">
        <v>2037</v>
      </c>
      <c r="I51" s="153" t="s">
        <v>2802</v>
      </c>
      <c r="K51" s="968"/>
      <c r="L51" s="968" t="s">
        <v>2810</v>
      </c>
      <c r="M51" s="968" t="s">
        <v>2061</v>
      </c>
      <c r="N51" s="981" t="s">
        <v>2124</v>
      </c>
      <c r="O51" s="969" t="s">
        <v>2817</v>
      </c>
      <c r="P51" s="1050">
        <f>VLOOKUP(M51,'제품별 원재료비 '!$O$4:$S$48,5,FALSE)</f>
        <v>91981250</v>
      </c>
      <c r="Q51" s="968" t="s">
        <v>2813</v>
      </c>
      <c r="R51" s="968">
        <f>COUNTIFS(계정별원장!$A$3:$A$5997,"17",계정별원장!$B$3:$B$5997,'사업계획(매출 확정본)'!$M51)</f>
        <v>12</v>
      </c>
      <c r="S51" s="972">
        <v>35</v>
      </c>
      <c r="T51" s="972">
        <v>45</v>
      </c>
      <c r="U51" s="972">
        <v>45</v>
      </c>
      <c r="V51" s="972">
        <v>60</v>
      </c>
      <c r="W51" s="972">
        <v>60</v>
      </c>
      <c r="AF51" s="153" t="s">
        <v>2841</v>
      </c>
      <c r="AG51" s="969" t="s">
        <v>2817</v>
      </c>
      <c r="AH51" s="968" t="s">
        <v>2816</v>
      </c>
      <c r="AI51" s="974">
        <f>AI49/AI50</f>
        <v>159307692.30769232</v>
      </c>
      <c r="AJ51" s="974">
        <f t="shared" ref="AJ51:AM51" si="41">AJ49/AJ50</f>
        <v>163981967.21311477</v>
      </c>
      <c r="AK51" s="974">
        <f t="shared" si="41"/>
        <v>171946376.81159419</v>
      </c>
      <c r="AL51" s="974">
        <f t="shared" si="41"/>
        <v>179116438.3561644</v>
      </c>
      <c r="AM51" s="974">
        <f t="shared" si="41"/>
        <v>185875675.67567569</v>
      </c>
      <c r="AZ51" s="153" t="s">
        <v>2034</v>
      </c>
      <c r="BA51" s="153" t="s">
        <v>2819</v>
      </c>
    </row>
    <row r="52" spans="2:53" x14ac:dyDescent="0.3">
      <c r="H52" s="153" t="s">
        <v>2037</v>
      </c>
      <c r="I52" s="153" t="s">
        <v>2802</v>
      </c>
      <c r="K52" s="968"/>
      <c r="L52" s="968"/>
      <c r="M52" s="968" t="s">
        <v>2061</v>
      </c>
      <c r="N52" s="981" t="s">
        <v>2124</v>
      </c>
      <c r="O52" s="969" t="s">
        <v>2817</v>
      </c>
      <c r="P52" s="969"/>
      <c r="Q52" s="968" t="s">
        <v>2816</v>
      </c>
      <c r="R52" s="1617">
        <f>R53/R51</f>
        <v>147939393.91666666</v>
      </c>
      <c r="S52" s="973">
        <v>148500000</v>
      </c>
      <c r="T52" s="973">
        <f>ROUND(S52*1.05,-5)</f>
        <v>155900000</v>
      </c>
      <c r="U52" s="973">
        <f t="shared" ref="U52:W52" si="42">ROUND(T52*1.05,-5)</f>
        <v>163700000</v>
      </c>
      <c r="V52" s="973">
        <f t="shared" si="42"/>
        <v>171900000</v>
      </c>
      <c r="W52" s="973">
        <f t="shared" si="42"/>
        <v>180500000</v>
      </c>
      <c r="AF52" s="153" t="s">
        <v>2841</v>
      </c>
      <c r="AG52" s="969" t="s">
        <v>2822</v>
      </c>
      <c r="AH52" s="968" t="s">
        <v>2818</v>
      </c>
      <c r="AI52" s="819">
        <f>SUMIFS(S$12:S$113,$Q$12:$Q$113,$AH$52,$O$12:$O$113,$AG$52,$N$12:$N$113,$AF$49)</f>
        <v>0</v>
      </c>
      <c r="AJ52" s="819">
        <f>SUMIFS(T$12:T$113,$Q$12:$Q$113,$AH$52,$O$12:$O$113,$AG$52,$N$12:$N$113,$AF$49)</f>
        <v>0</v>
      </c>
      <c r="AK52" s="819">
        <f>SUMIFS(U$12:U$113,$Q$12:$Q$113,$AH$52,$O$12:$O$113,$AG$52,$N$12:$N$113,$AF$49)</f>
        <v>0</v>
      </c>
      <c r="AL52" s="819">
        <f>SUMIFS(V$12:V$113,$Q$12:$Q$113,$AH$52,$O$12:$O$113,$AG$52,$N$12:$N$113,$AF$49)</f>
        <v>0</v>
      </c>
      <c r="AM52" s="819">
        <f>SUMIFS(W$12:W$113,$Q$12:$Q$113,$AH$52,$O$12:$O$113,$AG$52,$N$12:$N$113,$AF$49)</f>
        <v>0</v>
      </c>
      <c r="AZ52" s="153" t="s">
        <v>2842</v>
      </c>
      <c r="BA52" s="153" t="s">
        <v>2819</v>
      </c>
    </row>
    <row r="53" spans="2:53" x14ac:dyDescent="0.3">
      <c r="K53" s="968"/>
      <c r="L53" s="968"/>
      <c r="M53" s="968" t="s">
        <v>2061</v>
      </c>
      <c r="N53" s="981" t="s">
        <v>2124</v>
      </c>
      <c r="O53" s="969" t="s">
        <v>2817</v>
      </c>
      <c r="P53" s="969"/>
      <c r="Q53" s="968" t="s">
        <v>2818</v>
      </c>
      <c r="R53" s="1616">
        <f>SUMIFS(계정별원장!$F$3:$F$5997,계정별원장!$A$3:$A$5997,"17",계정별원장!$B$3:$B$5997,'사업계획(매출 확정본)'!$M53)</f>
        <v>1775272727</v>
      </c>
      <c r="S53" s="973">
        <f>S51*S52</f>
        <v>5197500000</v>
      </c>
      <c r="T53" s="973">
        <f t="shared" ref="T53:W53" si="43">T51*T52</f>
        <v>7015500000</v>
      </c>
      <c r="U53" s="973">
        <f t="shared" si="43"/>
        <v>7366500000</v>
      </c>
      <c r="V53" s="973">
        <f t="shared" si="43"/>
        <v>10314000000</v>
      </c>
      <c r="W53" s="973">
        <f t="shared" si="43"/>
        <v>10830000000</v>
      </c>
      <c r="AF53" s="153" t="s">
        <v>2841</v>
      </c>
      <c r="AG53" s="969" t="s">
        <v>2822</v>
      </c>
      <c r="AH53" s="968" t="s">
        <v>2813</v>
      </c>
      <c r="AI53" s="153">
        <f>SUMIFS(S$12:S$113,$Q$12:$Q$113,$AH$53,$O$12:$O$113,$AG$52,$N$12:$N$113,$AF$49)</f>
        <v>0</v>
      </c>
      <c r="AJ53" s="153">
        <f>SUMIFS(T$12:T$113,$Q$12:$Q$113,$AH$53,$O$12:$O$113,$AG$52,$N$12:$N$113,$AF$49)</f>
        <v>0</v>
      </c>
      <c r="AK53" s="153">
        <f>SUMIFS(U$12:U$113,$Q$12:$Q$113,$AH$53,$O$12:$O$113,$AG$52,$N$12:$N$113,$AF$49)</f>
        <v>0</v>
      </c>
      <c r="AL53" s="153">
        <f>SUMIFS(V$12:V$113,$Q$12:$Q$113,$AH$53,$O$12:$O$113,$AG$52,$N$12:$N$113,$AF$49)</f>
        <v>0</v>
      </c>
      <c r="AM53" s="153">
        <f>SUMIFS(W$12:W$113,$Q$12:$Q$113,$AH$53,$O$12:$O$113,$AG$52,$N$12:$N$113,$AF$49)</f>
        <v>0</v>
      </c>
    </row>
    <row r="54" spans="2:53" x14ac:dyDescent="0.3">
      <c r="B54" s="153" t="s">
        <v>2062</v>
      </c>
      <c r="G54" s="153" t="s">
        <v>2062</v>
      </c>
      <c r="H54" s="153" t="s">
        <v>2037</v>
      </c>
      <c r="I54" s="153" t="s">
        <v>2802</v>
      </c>
      <c r="K54" s="968"/>
      <c r="L54" s="968" t="s">
        <v>2810</v>
      </c>
      <c r="M54" s="968" t="s">
        <v>2062</v>
      </c>
      <c r="N54" s="968" t="s">
        <v>2124</v>
      </c>
      <c r="O54" s="969" t="s">
        <v>2817</v>
      </c>
      <c r="P54" s="1050">
        <f>VLOOKUP(M54,'제품별 원재료비 '!$O$4:$S$48,5,FALSE)</f>
        <v>99785645</v>
      </c>
      <c r="Q54" s="968" t="s">
        <v>2813</v>
      </c>
      <c r="R54" s="968">
        <f>COUNTIFS(계정별원장!$A$3:$A$5997,"17",계정별원장!$B$3:$B$5997,'사업계획(매출 확정본)'!$M54)</f>
        <v>48</v>
      </c>
      <c r="S54" s="972">
        <v>65</v>
      </c>
      <c r="T54" s="972">
        <v>75</v>
      </c>
      <c r="U54" s="972">
        <v>80</v>
      </c>
      <c r="V54" s="972">
        <v>85</v>
      </c>
      <c r="W54" s="972">
        <v>85</v>
      </c>
      <c r="Y54" s="972">
        <v>75</v>
      </c>
      <c r="Z54" s="972">
        <v>85</v>
      </c>
      <c r="AA54" s="972">
        <v>90</v>
      </c>
      <c r="AB54" s="972">
        <v>95</v>
      </c>
      <c r="AC54" s="972">
        <v>85</v>
      </c>
      <c r="AD54" s="1048"/>
      <c r="AF54" s="153" t="s">
        <v>2841</v>
      </c>
      <c r="AG54" s="969" t="s">
        <v>2822</v>
      </c>
      <c r="AH54" s="968" t="s">
        <v>2816</v>
      </c>
      <c r="AI54" s="974" t="e">
        <f>AI52/AI53</f>
        <v>#DIV/0!</v>
      </c>
      <c r="AJ54" s="974" t="e">
        <f t="shared" ref="AJ54:AM54" si="44">AJ52/AJ53</f>
        <v>#DIV/0!</v>
      </c>
      <c r="AK54" s="974" t="e">
        <f t="shared" si="44"/>
        <v>#DIV/0!</v>
      </c>
      <c r="AL54" s="974" t="e">
        <f t="shared" si="44"/>
        <v>#DIV/0!</v>
      </c>
      <c r="AM54" s="974" t="e">
        <f t="shared" si="44"/>
        <v>#DIV/0!</v>
      </c>
      <c r="AZ54" s="153" t="s">
        <v>2042</v>
      </c>
      <c r="BA54" s="153" t="s">
        <v>2824</v>
      </c>
    </row>
    <row r="55" spans="2:53" x14ac:dyDescent="0.3">
      <c r="H55" s="153" t="s">
        <v>2037</v>
      </c>
      <c r="I55" s="153" t="s">
        <v>2802</v>
      </c>
      <c r="K55" s="968"/>
      <c r="L55" s="968"/>
      <c r="M55" s="968" t="s">
        <v>2062</v>
      </c>
      <c r="N55" s="968" t="s">
        <v>2124</v>
      </c>
      <c r="O55" s="969" t="s">
        <v>2817</v>
      </c>
      <c r="P55" s="969"/>
      <c r="Q55" s="968" t="s">
        <v>2816</v>
      </c>
      <c r="R55" s="1617">
        <f>R56/R54</f>
        <v>149154336.9375</v>
      </c>
      <c r="S55" s="973">
        <v>175000000</v>
      </c>
      <c r="T55" s="973">
        <f>ROUND(S55*1.05,-5)</f>
        <v>183800000</v>
      </c>
      <c r="U55" s="973">
        <f t="shared" ref="U55:W55" si="45">ROUND(T55*1.05,-5)</f>
        <v>193000000</v>
      </c>
      <c r="V55" s="973">
        <f t="shared" si="45"/>
        <v>202700000</v>
      </c>
      <c r="W55" s="973">
        <f t="shared" si="45"/>
        <v>212800000</v>
      </c>
      <c r="AF55" s="153" t="s">
        <v>2841</v>
      </c>
      <c r="AG55" s="969" t="s">
        <v>2812</v>
      </c>
      <c r="AH55" s="968" t="s">
        <v>2818</v>
      </c>
      <c r="AI55" s="819">
        <f>SUMIFS(S$12:S$113,$Q$12:$Q$113,$AH$55,$O$12:$O$113,$AG$55,$N$12:$N$113,$AF$49)</f>
        <v>0</v>
      </c>
      <c r="AJ55" s="819">
        <f>SUMIFS(T$12:T$113,$Q$12:$Q$113,$AH$55,$O$12:$O$113,$AG$55,$N$12:$N$113,$AF$49)</f>
        <v>0</v>
      </c>
      <c r="AK55" s="819">
        <f>SUMIFS(U$12:U$113,$Q$12:$Q$113,$AH$55,$O$12:$O$113,$AG$55,$N$12:$N$113,$AF$49)</f>
        <v>0</v>
      </c>
      <c r="AL55" s="819">
        <f>SUMIFS(V$12:V$113,$Q$12:$Q$113,$AH$55,$O$12:$O$113,$AG$55,$N$12:$N$113,$AF$49)</f>
        <v>0</v>
      </c>
      <c r="AM55" s="819">
        <f>SUMIFS(W$12:W$113,$Q$12:$Q$113,$AH$55,$O$12:$O$113,$AG$55,$N$12:$N$113,$AF$49)</f>
        <v>0</v>
      </c>
      <c r="AZ55" s="153" t="s">
        <v>2065</v>
      </c>
      <c r="BA55" s="153" t="s">
        <v>2824</v>
      </c>
    </row>
    <row r="56" spans="2:53" x14ac:dyDescent="0.3">
      <c r="K56" s="968"/>
      <c r="L56" s="968"/>
      <c r="M56" s="968" t="s">
        <v>2062</v>
      </c>
      <c r="N56" s="968" t="s">
        <v>2124</v>
      </c>
      <c r="O56" s="969" t="s">
        <v>2817</v>
      </c>
      <c r="P56" s="969"/>
      <c r="Q56" s="968" t="s">
        <v>2818</v>
      </c>
      <c r="R56" s="1616">
        <f>SUMIFS(계정별원장!$F$3:$F$5997,계정별원장!$A$3:$A$5997,"17",계정별원장!$B$3:$B$5997,'사업계획(매출 확정본)'!$M56)</f>
        <v>7159408173</v>
      </c>
      <c r="S56" s="973">
        <f>S54*S55</f>
        <v>11375000000</v>
      </c>
      <c r="T56" s="973">
        <f t="shared" ref="T56:W56" si="46">T54*T55</f>
        <v>13785000000</v>
      </c>
      <c r="U56" s="973">
        <f t="shared" si="46"/>
        <v>15440000000</v>
      </c>
      <c r="V56" s="973">
        <f t="shared" si="46"/>
        <v>17229500000</v>
      </c>
      <c r="W56" s="973">
        <f t="shared" si="46"/>
        <v>18088000000</v>
      </c>
      <c r="AF56" s="153" t="s">
        <v>2841</v>
      </c>
      <c r="AG56" s="969" t="s">
        <v>2812</v>
      </c>
      <c r="AH56" s="968" t="s">
        <v>2813</v>
      </c>
      <c r="AI56" s="153">
        <f>SUMIFS(S$12:S$113,$Q$12:$Q$113,$AH$56,$O$12:$O$113,$AG$55,$N$12:$N$113,$AF$49)</f>
        <v>0</v>
      </c>
      <c r="AJ56" s="153">
        <f>SUMIFS(T$12:T$113,$Q$12:$Q$113,$AH$56,$O$12:$O$113,$AG$55,$N$12:$N$113,$AF$49)</f>
        <v>0</v>
      </c>
      <c r="AK56" s="153">
        <f>SUMIFS(U$12:U$113,$Q$12:$Q$113,$AH$56,$O$12:$O$113,$AG$55,$N$12:$N$113,$AF$49)</f>
        <v>0</v>
      </c>
      <c r="AL56" s="153">
        <f>SUMIFS(V$12:V$113,$Q$12:$Q$113,$AH$56,$O$12:$O$113,$AG$55,$N$12:$N$113,$AF$49)</f>
        <v>0</v>
      </c>
      <c r="AM56" s="153">
        <f>SUMIFS(W$12:W$113,$Q$12:$Q$113,$AH$56,$O$12:$O$113,$AG$55,$N$12:$N$113,$AF$49)</f>
        <v>0</v>
      </c>
    </row>
    <row r="57" spans="2:53" x14ac:dyDescent="0.3">
      <c r="B57" s="153" t="s">
        <v>2063</v>
      </c>
      <c r="G57" s="153" t="s">
        <v>2063</v>
      </c>
      <c r="H57" s="153" t="s">
        <v>2037</v>
      </c>
      <c r="I57" s="153" t="s">
        <v>2802</v>
      </c>
      <c r="K57" s="968"/>
      <c r="L57" s="968" t="s">
        <v>2810</v>
      </c>
      <c r="M57" s="968" t="s">
        <v>2063</v>
      </c>
      <c r="N57" s="981" t="s">
        <v>2124</v>
      </c>
      <c r="O57" s="969" t="s">
        <v>2817</v>
      </c>
      <c r="P57" s="1050">
        <f>VLOOKUP(M57,'제품별 원재료비 '!$O$4:$S$48,5,FALSE)</f>
        <v>96479540</v>
      </c>
      <c r="Q57" s="968" t="s">
        <v>2813</v>
      </c>
      <c r="R57" s="968">
        <f>COUNTIFS(계정별원장!$A$3:$A$5997,"17",계정별원장!$B$3:$B$5997,'사업계획(매출 확정본)'!$M57)</f>
        <v>32</v>
      </c>
      <c r="S57" s="972">
        <v>50</v>
      </c>
      <c r="T57" s="972">
        <v>60</v>
      </c>
      <c r="U57" s="972">
        <v>70</v>
      </c>
      <c r="V57" s="972">
        <v>70</v>
      </c>
      <c r="W57" s="972">
        <v>75</v>
      </c>
      <c r="AF57" s="153" t="s">
        <v>2841</v>
      </c>
      <c r="AG57" s="969" t="s">
        <v>2812</v>
      </c>
      <c r="AH57" s="968" t="s">
        <v>2816</v>
      </c>
      <c r="AI57" s="974" t="e">
        <f>AI55/AI56</f>
        <v>#DIV/0!</v>
      </c>
      <c r="AJ57" s="974" t="e">
        <f t="shared" ref="AJ57:AM57" si="47">AJ55/AJ56</f>
        <v>#DIV/0!</v>
      </c>
      <c r="AK57" s="974" t="e">
        <f t="shared" si="47"/>
        <v>#DIV/0!</v>
      </c>
      <c r="AL57" s="974" t="e">
        <f t="shared" si="47"/>
        <v>#DIV/0!</v>
      </c>
      <c r="AM57" s="974" t="e">
        <f t="shared" si="47"/>
        <v>#DIV/0!</v>
      </c>
      <c r="AZ57" s="153" t="s">
        <v>2843</v>
      </c>
      <c r="BA57" s="153" t="s">
        <v>2819</v>
      </c>
    </row>
    <row r="58" spans="2:53" x14ac:dyDescent="0.3">
      <c r="H58" s="153" t="s">
        <v>2037</v>
      </c>
      <c r="I58" s="153" t="s">
        <v>2802</v>
      </c>
      <c r="K58" s="968"/>
      <c r="L58" s="968"/>
      <c r="M58" s="968" t="s">
        <v>2063</v>
      </c>
      <c r="N58" s="981" t="s">
        <v>2124</v>
      </c>
      <c r="O58" s="969" t="s">
        <v>2817</v>
      </c>
      <c r="P58" s="969"/>
      <c r="Q58" s="968" t="s">
        <v>2816</v>
      </c>
      <c r="R58" s="1617">
        <f>R59/R57</f>
        <v>147957812.5</v>
      </c>
      <c r="S58" s="973">
        <v>158000000</v>
      </c>
      <c r="T58" s="973">
        <f>ROUND(S58*1.05,-5)</f>
        <v>165900000</v>
      </c>
      <c r="U58" s="973">
        <f t="shared" ref="U58:W58" si="48">ROUND(T58*1.05,-5)</f>
        <v>174200000</v>
      </c>
      <c r="V58" s="973">
        <f t="shared" si="48"/>
        <v>182900000</v>
      </c>
      <c r="W58" s="973">
        <f t="shared" si="48"/>
        <v>192000000</v>
      </c>
      <c r="AF58" s="153" t="s">
        <v>2841</v>
      </c>
      <c r="AG58" s="969" t="s">
        <v>2828</v>
      </c>
      <c r="AH58" s="968" t="s">
        <v>2818</v>
      </c>
      <c r="AI58" s="819">
        <f>SUMIFS(S$12:S$113,$Q$12:$Q$113,$AH$58,$O$12:$O$113,$AG$58,$N$12:$N$113,$AF$49)</f>
        <v>0</v>
      </c>
      <c r="AJ58" s="819">
        <f>SUMIFS(T$12:T$113,$Q$12:$Q$113,$AH$58,$O$12:$O$113,$AG$58,$N$12:$N$113,$AF$49)</f>
        <v>0</v>
      </c>
      <c r="AK58" s="819">
        <f>SUMIFS(U$12:U$113,$Q$12:$Q$113,$AH$58,$O$12:$O$113,$AG$58,$N$12:$N$113,$AF$49)</f>
        <v>0</v>
      </c>
      <c r="AL58" s="819">
        <f>SUMIFS(V$12:V$113,$Q$12:$Q$113,$AH$58,$O$12:$O$113,$AG$58,$N$12:$N$113,$AF$49)</f>
        <v>0</v>
      </c>
      <c r="AM58" s="819">
        <f>SUMIFS(W$12:W$113,$Q$12:$Q$113,$AH$58,$O$12:$O$113,$AG$58,$N$12:$N$113,$AF$49)</f>
        <v>0</v>
      </c>
      <c r="AZ58" s="153" t="s">
        <v>2823</v>
      </c>
      <c r="BA58" s="153" t="s">
        <v>2824</v>
      </c>
    </row>
    <row r="59" spans="2:53" x14ac:dyDescent="0.3">
      <c r="K59" s="968"/>
      <c r="L59" s="968"/>
      <c r="M59" s="968" t="s">
        <v>2063</v>
      </c>
      <c r="N59" s="981" t="s">
        <v>2124</v>
      </c>
      <c r="O59" s="969" t="s">
        <v>2817</v>
      </c>
      <c r="P59" s="969"/>
      <c r="Q59" s="968" t="s">
        <v>2818</v>
      </c>
      <c r="R59" s="1616">
        <f>SUMIFS(계정별원장!$F$3:$F$5997,계정별원장!$A$3:$A$5997,"17",계정별원장!$B$3:$B$5997,'사업계획(매출 확정본)'!$M59)</f>
        <v>4734650000</v>
      </c>
      <c r="S59" s="973">
        <f>S57*S58</f>
        <v>7900000000</v>
      </c>
      <c r="T59" s="973">
        <f t="shared" ref="T59:W59" si="49">T57*T58</f>
        <v>9954000000</v>
      </c>
      <c r="U59" s="973">
        <f t="shared" si="49"/>
        <v>12194000000</v>
      </c>
      <c r="V59" s="973">
        <f t="shared" si="49"/>
        <v>12803000000</v>
      </c>
      <c r="W59" s="973">
        <f t="shared" si="49"/>
        <v>14400000000</v>
      </c>
      <c r="AF59" s="153" t="s">
        <v>2841</v>
      </c>
      <c r="AG59" s="969" t="s">
        <v>2828</v>
      </c>
      <c r="AH59" s="968" t="s">
        <v>2813</v>
      </c>
      <c r="AI59" s="153">
        <f>SUMIFS(S$12:S$113,$Q$12:$Q$113,$AH$59,$O$12:$O$113,$AG$58,$N$12:$N$113,$AF$49)</f>
        <v>0</v>
      </c>
      <c r="AJ59" s="153">
        <f>SUMIFS(T$12:T$113,$Q$12:$Q$113,$AH$59,$O$12:$O$113,$AG$58,$N$12:$N$113,$AF$49)</f>
        <v>0</v>
      </c>
      <c r="AK59" s="153">
        <f>SUMIFS(U$12:U$113,$Q$12:$Q$113,$AH$59,$O$12:$O$113,$AG$58,$N$12:$N$113,$AF$49)</f>
        <v>0</v>
      </c>
      <c r="AL59" s="153">
        <f>SUMIFS(V$12:V$113,$Q$12:$Q$113,$AH$59,$O$12:$O$113,$AG$58,$N$12:$N$113,$AF$49)</f>
        <v>0</v>
      </c>
      <c r="AM59" s="153">
        <f>SUMIFS(W$12:W$113,$Q$12:$Q$113,$AH$59,$O$12:$O$113,$AG$58,$N$12:$N$113,$AF$49)</f>
        <v>0</v>
      </c>
    </row>
    <row r="60" spans="2:53" x14ac:dyDescent="0.3">
      <c r="B60" s="153" t="s">
        <v>2844</v>
      </c>
      <c r="G60" s="153" t="s">
        <v>2844</v>
      </c>
      <c r="H60" s="153" t="s">
        <v>2037</v>
      </c>
      <c r="I60" s="153" t="s">
        <v>2802</v>
      </c>
      <c r="K60" s="968"/>
      <c r="L60" s="968" t="s">
        <v>2810</v>
      </c>
      <c r="M60" s="968" t="s">
        <v>3553</v>
      </c>
      <c r="N60" s="968" t="s">
        <v>2814</v>
      </c>
      <c r="O60" s="969" t="s">
        <v>2809</v>
      </c>
      <c r="P60" s="1050">
        <f>VLOOKUP(M60,'제품별 원재료비 '!$O$4:$S$48,5,FALSE)</f>
        <v>25563300</v>
      </c>
      <c r="Q60" s="968" t="s">
        <v>2813</v>
      </c>
      <c r="R60" s="968">
        <f>COUNTIFS(계정별원장!$A$3:$A$5997,"17",계정별원장!$B$3:$B$5997,'사업계획(매출 확정본)'!$M60)</f>
        <v>186</v>
      </c>
      <c r="S60" s="972">
        <v>260</v>
      </c>
      <c r="T60" s="972">
        <v>275</v>
      </c>
      <c r="U60" s="972">
        <v>280</v>
      </c>
      <c r="V60" s="972">
        <v>285</v>
      </c>
      <c r="W60" s="972">
        <v>290</v>
      </c>
      <c r="Y60" s="972">
        <v>270</v>
      </c>
      <c r="Z60" s="972">
        <v>290</v>
      </c>
      <c r="AA60" s="972">
        <v>300</v>
      </c>
      <c r="AB60" s="972">
        <v>310</v>
      </c>
      <c r="AC60" s="972">
        <v>320</v>
      </c>
      <c r="AD60" s="1048"/>
      <c r="AF60" s="153" t="s">
        <v>2841</v>
      </c>
      <c r="AG60" s="969" t="s">
        <v>2828</v>
      </c>
      <c r="AH60" s="968" t="s">
        <v>2816</v>
      </c>
      <c r="AI60" s="974" t="e">
        <f>AI58/AI59</f>
        <v>#DIV/0!</v>
      </c>
      <c r="AJ60" s="974" t="e">
        <f t="shared" ref="AJ60:AM60" si="50">AJ58/AJ59</f>
        <v>#DIV/0!</v>
      </c>
      <c r="AK60" s="974" t="e">
        <f t="shared" si="50"/>
        <v>#DIV/0!</v>
      </c>
      <c r="AL60" s="974" t="e">
        <f t="shared" si="50"/>
        <v>#DIV/0!</v>
      </c>
      <c r="AM60" s="974" t="e">
        <f t="shared" si="50"/>
        <v>#DIV/0!</v>
      </c>
      <c r="AZ60" s="153" t="s">
        <v>2826</v>
      </c>
      <c r="BA60" s="153" t="s">
        <v>2827</v>
      </c>
    </row>
    <row r="61" spans="2:53" x14ac:dyDescent="0.3">
      <c r="H61" s="153" t="s">
        <v>2037</v>
      </c>
      <c r="I61" s="153" t="s">
        <v>2802</v>
      </c>
      <c r="K61" s="968"/>
      <c r="L61" s="968"/>
      <c r="M61" s="968" t="s">
        <v>3553</v>
      </c>
      <c r="N61" s="968" t="s">
        <v>2814</v>
      </c>
      <c r="O61" s="969" t="s">
        <v>2809</v>
      </c>
      <c r="P61" s="969"/>
      <c r="Q61" s="968" t="s">
        <v>2816</v>
      </c>
      <c r="R61" s="1617">
        <f>R62/R60</f>
        <v>39601098.225806452</v>
      </c>
      <c r="S61" s="973">
        <v>41500000</v>
      </c>
      <c r="T61" s="973">
        <f>ROUND(S61*1.05,-5)</f>
        <v>43600000</v>
      </c>
      <c r="U61" s="973">
        <f t="shared" ref="U61:W61" si="51">ROUND(T61*1.05,-5)</f>
        <v>45800000</v>
      </c>
      <c r="V61" s="973">
        <f t="shared" si="51"/>
        <v>48100000</v>
      </c>
      <c r="W61" s="973">
        <f t="shared" si="51"/>
        <v>50500000</v>
      </c>
      <c r="AF61" s="153" t="s">
        <v>2841</v>
      </c>
      <c r="AG61" s="969" t="s">
        <v>2829</v>
      </c>
      <c r="AH61" s="968" t="s">
        <v>2818</v>
      </c>
      <c r="AI61" s="153">
        <f>SUMIFS(S$12:S$113,$Q$12:$Q$113,$AH$61,$O$12:$O$113,$AG$61,$N$12:$N$113,$AF$49)</f>
        <v>0</v>
      </c>
      <c r="AJ61" s="153">
        <f>SUMIFS(T$12:T$113,$Q$12:$Q$113,$AH$61,$O$12:$O$113,$AG$61,$N$12:$N$113,$AF$49)</f>
        <v>0</v>
      </c>
      <c r="AK61" s="153">
        <f>SUMIFS(U$12:U$113,$Q$12:$Q$113,$AH$61,$O$12:$O$113,$AG$61,$N$12:$N$113,$AF$49)</f>
        <v>0</v>
      </c>
      <c r="AL61" s="153">
        <f>SUMIFS(V$12:V$113,$Q$12:$Q$113,$AH$61,$O$12:$O$113,$AG$61,$N$12:$N$113,$AF$49)</f>
        <v>0</v>
      </c>
      <c r="AM61" s="153">
        <f>SUMIFS(W$12:W$113,$Q$12:$Q$113,$AH$61,$O$12:$O$113,$AG$61,$N$12:$N$113,$AF$49)</f>
        <v>0</v>
      </c>
      <c r="AZ61" s="153" t="s">
        <v>2031</v>
      </c>
      <c r="BA61" s="153" t="s">
        <v>2819</v>
      </c>
    </row>
    <row r="62" spans="2:53" x14ac:dyDescent="0.3">
      <c r="K62" s="968"/>
      <c r="L62" s="968"/>
      <c r="M62" s="968" t="s">
        <v>3553</v>
      </c>
      <c r="N62" s="968" t="s">
        <v>2814</v>
      </c>
      <c r="O62" s="969" t="s">
        <v>2809</v>
      </c>
      <c r="P62" s="969"/>
      <c r="Q62" s="968" t="s">
        <v>2818</v>
      </c>
      <c r="R62" s="1616">
        <f>SUMIFS(계정별원장!$F$3:$F$5997,계정별원장!$A$3:$A$5997,"17",계정별원장!$B$3:$B$5997,'사업계획(매출 확정본)'!$M62)</f>
        <v>7365804270</v>
      </c>
      <c r="S62" s="973">
        <f>S60*S61</f>
        <v>10790000000</v>
      </c>
      <c r="T62" s="973">
        <f t="shared" ref="T62:W62" si="52">T60*T61</f>
        <v>11990000000</v>
      </c>
      <c r="U62" s="973">
        <f t="shared" si="52"/>
        <v>12824000000</v>
      </c>
      <c r="V62" s="973">
        <f t="shared" si="52"/>
        <v>13708500000</v>
      </c>
      <c r="W62" s="973">
        <f t="shared" si="52"/>
        <v>14645000000</v>
      </c>
      <c r="AF62" s="153" t="s">
        <v>2841</v>
      </c>
      <c r="AG62" s="969" t="s">
        <v>2829</v>
      </c>
      <c r="AH62" s="968" t="s">
        <v>2813</v>
      </c>
      <c r="AI62" s="153">
        <f>SUMIFS(S$12:S$113,$Q$12:$Q$113,$AH$62,$O$12:$O$113,$AG$61,$N$12:$N$113,$AF$49)</f>
        <v>0</v>
      </c>
      <c r="AJ62" s="153">
        <f>SUMIFS(T$12:T$113,$Q$12:$Q$113,$AH$62,$O$12:$O$113,$AG$61,$N$12:$N$113,$AF$49)</f>
        <v>0</v>
      </c>
      <c r="AK62" s="153">
        <f>SUMIFS(U$12:U$113,$Q$12:$Q$113,$AH$62,$O$12:$O$113,$AG$61,$N$12:$N$113,$AF$49)</f>
        <v>0</v>
      </c>
      <c r="AL62" s="153">
        <f>SUMIFS(V$12:V$113,$Q$12:$Q$113,$AH$62,$O$12:$O$113,$AG$61,$N$12:$N$113,$AF$49)</f>
        <v>0</v>
      </c>
      <c r="AM62" s="153">
        <f>SUMIFS(W$12:W$113,$Q$12:$Q$113,$AH$62,$O$12:$O$113,$AG$61,$N$12:$N$113,$AF$49)</f>
        <v>0</v>
      </c>
    </row>
    <row r="63" spans="2:53" x14ac:dyDescent="0.3">
      <c r="G63" s="153" t="s">
        <v>2067</v>
      </c>
      <c r="H63" s="153" t="s">
        <v>2037</v>
      </c>
      <c r="I63" s="153" t="s">
        <v>2802</v>
      </c>
      <c r="K63" s="968"/>
      <c r="L63" s="968" t="s">
        <v>2845</v>
      </c>
      <c r="M63" s="968" t="s">
        <v>2031</v>
      </c>
      <c r="N63" s="968" t="s">
        <v>2811</v>
      </c>
      <c r="O63" s="982" t="s">
        <v>2809</v>
      </c>
      <c r="P63" s="1050">
        <f>VLOOKUP(M63,'제품별 원재료비 '!$O$4:$S$48,5,FALSE)</f>
        <v>113100000</v>
      </c>
      <c r="Q63" s="968" t="s">
        <v>2813</v>
      </c>
      <c r="R63" s="968">
        <f>COUNTIFS(계정별원장!$A$3:$A$5997,"17",계정별원장!$B$3:$B$5997,'사업계획(매출 확정본)'!$M63)</f>
        <v>0</v>
      </c>
      <c r="S63" s="972">
        <v>2</v>
      </c>
      <c r="T63" s="972">
        <v>5</v>
      </c>
      <c r="U63" s="972">
        <v>10</v>
      </c>
      <c r="V63" s="972">
        <v>13</v>
      </c>
      <c r="W63" s="972">
        <v>15</v>
      </c>
      <c r="AF63" s="153" t="s">
        <v>2841</v>
      </c>
      <c r="AG63" s="969" t="s">
        <v>2829</v>
      </c>
      <c r="AH63" s="968" t="s">
        <v>2816</v>
      </c>
      <c r="AI63" s="974" t="e">
        <f>AI61/AI62</f>
        <v>#DIV/0!</v>
      </c>
      <c r="AJ63" s="974" t="e">
        <f t="shared" ref="AJ63:AM63" si="53">AJ61/AJ62</f>
        <v>#DIV/0!</v>
      </c>
      <c r="AK63" s="974" t="e">
        <f t="shared" si="53"/>
        <v>#DIV/0!</v>
      </c>
      <c r="AL63" s="974" t="e">
        <f t="shared" si="53"/>
        <v>#DIV/0!</v>
      </c>
      <c r="AM63" s="974" t="e">
        <f t="shared" si="53"/>
        <v>#DIV/0!</v>
      </c>
      <c r="AZ63" s="153" t="s">
        <v>2051</v>
      </c>
      <c r="BA63" s="153" t="s">
        <v>2809</v>
      </c>
    </row>
    <row r="64" spans="2:53" x14ac:dyDescent="0.3">
      <c r="H64" s="153" t="s">
        <v>2037</v>
      </c>
      <c r="I64" s="153" t="s">
        <v>2802</v>
      </c>
      <c r="K64" s="968"/>
      <c r="L64" s="968"/>
      <c r="M64" s="968" t="s">
        <v>2031</v>
      </c>
      <c r="N64" s="968" t="s">
        <v>2811</v>
      </c>
      <c r="O64" s="982" t="s">
        <v>2809</v>
      </c>
      <c r="P64" s="969"/>
      <c r="Q64" s="968" t="s">
        <v>2816</v>
      </c>
      <c r="R64" s="1617" t="e">
        <f>R65/R63</f>
        <v>#DIV/0!</v>
      </c>
      <c r="S64" s="973">
        <v>135000000</v>
      </c>
      <c r="T64" s="973">
        <f>ROUND(S64*1.05,-5)</f>
        <v>141800000</v>
      </c>
      <c r="U64" s="973">
        <f t="shared" ref="U64:W64" si="54">ROUND(T64*1.05,-5)</f>
        <v>148900000</v>
      </c>
      <c r="V64" s="973">
        <f t="shared" si="54"/>
        <v>156300000</v>
      </c>
      <c r="W64" s="973">
        <f t="shared" si="54"/>
        <v>164100000</v>
      </c>
      <c r="AF64" s="153" t="s">
        <v>2841</v>
      </c>
      <c r="AG64" s="969" t="s">
        <v>2832</v>
      </c>
      <c r="AH64" s="968" t="s">
        <v>2818</v>
      </c>
      <c r="AI64" s="153">
        <f>SUMIFS(S$12:S$113,$Q$12:$Q$113,$AH$64,$O$12:$O$113,$AG$64,$N$12:$N$113,$AF$49)</f>
        <v>0</v>
      </c>
      <c r="AJ64" s="153">
        <f>SUMIFS(T$12:T$113,$Q$12:$Q$113,$AH$64,$O$12:$O$113,$AG$64,$N$12:$N$113,$AF$49)</f>
        <v>0</v>
      </c>
      <c r="AK64" s="153">
        <f>SUMIFS(U$12:U$113,$Q$12:$Q$113,$AH$64,$O$12:$O$113,$AG$64,$N$12:$N$113,$AF$49)</f>
        <v>0</v>
      </c>
      <c r="AL64" s="153">
        <f>SUMIFS(V$12:V$113,$Q$12:$Q$113,$AH$64,$O$12:$O$113,$AG$64,$N$12:$N$113,$AF$49)</f>
        <v>0</v>
      </c>
      <c r="AM64" s="153">
        <f>SUMIFS(W$12:W$113,$Q$12:$Q$113,$AH$64,$O$12:$O$113,$AG$64,$N$12:$N$113,$AF$49)</f>
        <v>0</v>
      </c>
      <c r="AZ64" s="153" t="s">
        <v>2846</v>
      </c>
      <c r="BA64" s="153" t="s">
        <v>2815</v>
      </c>
    </row>
    <row r="65" spans="7:53" x14ac:dyDescent="0.3">
      <c r="K65" s="968"/>
      <c r="L65" s="968"/>
      <c r="M65" s="968" t="s">
        <v>2031</v>
      </c>
      <c r="N65" s="968" t="s">
        <v>2811</v>
      </c>
      <c r="O65" s="982" t="s">
        <v>3583</v>
      </c>
      <c r="P65" s="969"/>
      <c r="Q65" s="968" t="s">
        <v>2818</v>
      </c>
      <c r="R65" s="1616">
        <f>SUMIFS(계정별원장!$F$3:$F$5997,계정별원장!$A$3:$A$5997,"17",계정별원장!$B$3:$B$5997,'사업계획(매출 확정본)'!$M65)</f>
        <v>0</v>
      </c>
      <c r="S65" s="973">
        <f>S63*S64</f>
        <v>270000000</v>
      </c>
      <c r="T65" s="973">
        <f t="shared" ref="T65:W65" si="55">T63*T64</f>
        <v>709000000</v>
      </c>
      <c r="U65" s="973">
        <f t="shared" si="55"/>
        <v>1489000000</v>
      </c>
      <c r="V65" s="973">
        <f t="shared" si="55"/>
        <v>2031900000</v>
      </c>
      <c r="W65" s="973">
        <f t="shared" si="55"/>
        <v>2461500000</v>
      </c>
      <c r="AF65" s="153" t="s">
        <v>2841</v>
      </c>
      <c r="AG65" s="969" t="s">
        <v>2832</v>
      </c>
      <c r="AH65" s="968" t="s">
        <v>2813</v>
      </c>
      <c r="AI65" s="153">
        <f>SUMIFS(S$12:S$113,$Q$12:$Q$113,$AH$65,$O$12:$O$113,$AG$64,$N$12:$N$113,$AF$49)</f>
        <v>0</v>
      </c>
      <c r="AJ65" s="153">
        <f>SUMIFS(T$12:T$113,$Q$12:$Q$113,$AH$65,$O$12:$O$113,$AG$64,$N$12:$N$113,$AF$49)</f>
        <v>0</v>
      </c>
      <c r="AK65" s="153">
        <f>SUMIFS(U$12:U$113,$Q$12:$Q$113,$AH$65,$O$12:$O$113,$AG$64,$N$12:$N$113,$AF$49)</f>
        <v>0</v>
      </c>
      <c r="AL65" s="153">
        <f>SUMIFS(V$12:V$113,$Q$12:$Q$113,$AH$65,$O$12:$O$113,$AG$64,$N$12:$N$113,$AF$49)</f>
        <v>0</v>
      </c>
      <c r="AM65" s="153">
        <f>SUMIFS(W$12:W$113,$Q$12:$Q$113,$AH$65,$O$12:$O$113,$AG$64,$N$12:$N$113,$AF$49)</f>
        <v>0</v>
      </c>
    </row>
    <row r="66" spans="7:53" x14ac:dyDescent="0.3">
      <c r="G66" s="153" t="s">
        <v>2031</v>
      </c>
      <c r="H66" s="153" t="s">
        <v>2040</v>
      </c>
      <c r="I66" s="153" t="s">
        <v>2802</v>
      </c>
      <c r="K66" s="968"/>
      <c r="L66" s="968" t="s">
        <v>2810</v>
      </c>
      <c r="M66" s="1051" t="s">
        <v>2068</v>
      </c>
      <c r="N66" s="968" t="s">
        <v>2811</v>
      </c>
      <c r="O66" s="969" t="s">
        <v>2822</v>
      </c>
      <c r="P66" s="1050" t="e">
        <f>VLOOKUP(M66,'제품별 원재료비 '!$O$4:$S$48,5,FALSE)</f>
        <v>#N/A</v>
      </c>
      <c r="Q66" s="968" t="s">
        <v>2813</v>
      </c>
      <c r="R66" s="968">
        <f>COUNTIFS(계정별원장!$A$3:$A$5997,"17",계정별원장!$B$3:$B$5997,'사업계획(매출 확정본)'!$M66)</f>
        <v>8</v>
      </c>
      <c r="S66" s="972">
        <v>20</v>
      </c>
      <c r="T66" s="972">
        <v>25</v>
      </c>
      <c r="U66" s="972">
        <v>35</v>
      </c>
      <c r="V66" s="972">
        <v>25</v>
      </c>
      <c r="W66" s="972">
        <v>25</v>
      </c>
      <c r="AF66" s="153" t="s">
        <v>2841</v>
      </c>
      <c r="AG66" s="969" t="s">
        <v>2832</v>
      </c>
      <c r="AH66" s="968" t="s">
        <v>2816</v>
      </c>
      <c r="AI66" s="974" t="e">
        <f>AI64/AI65</f>
        <v>#DIV/0!</v>
      </c>
      <c r="AJ66" s="974" t="e">
        <f t="shared" ref="AJ66:AM66" si="56">AJ64/AJ65</f>
        <v>#DIV/0!</v>
      </c>
      <c r="AK66" s="974" t="e">
        <f t="shared" si="56"/>
        <v>#DIV/0!</v>
      </c>
      <c r="AL66" s="974" t="e">
        <f t="shared" si="56"/>
        <v>#DIV/0!</v>
      </c>
      <c r="AM66" s="974" t="e">
        <f t="shared" si="56"/>
        <v>#DIV/0!</v>
      </c>
      <c r="AZ66" s="153" t="s">
        <v>2030</v>
      </c>
      <c r="BA66" s="153" t="s">
        <v>2819</v>
      </c>
    </row>
    <row r="67" spans="7:53" x14ac:dyDescent="0.3">
      <c r="H67" s="153" t="s">
        <v>2038</v>
      </c>
      <c r="I67" s="153" t="s">
        <v>2802</v>
      </c>
      <c r="K67" s="968"/>
      <c r="L67" s="968"/>
      <c r="M67" s="968" t="s">
        <v>2068</v>
      </c>
      <c r="N67" s="968" t="s">
        <v>2811</v>
      </c>
      <c r="O67" s="969" t="s">
        <v>2822</v>
      </c>
      <c r="P67" s="969"/>
      <c r="Q67" s="968" t="s">
        <v>2816</v>
      </c>
      <c r="R67" s="1617">
        <f>R68/R66</f>
        <v>87419351.125</v>
      </c>
      <c r="S67" s="973">
        <v>88300000</v>
      </c>
      <c r="T67" s="973">
        <f>ROUND(S67*1.05,-5)</f>
        <v>92700000</v>
      </c>
      <c r="U67" s="973">
        <f t="shared" ref="U67:W67" si="57">ROUND(T67*1.05,-5)</f>
        <v>97300000</v>
      </c>
      <c r="V67" s="973">
        <f t="shared" si="57"/>
        <v>102200000</v>
      </c>
      <c r="W67" s="973">
        <f t="shared" si="57"/>
        <v>107300000</v>
      </c>
      <c r="AF67" s="153" t="s">
        <v>2847</v>
      </c>
      <c r="AG67" s="975" t="s">
        <v>2825</v>
      </c>
      <c r="AH67" s="968" t="s">
        <v>2818</v>
      </c>
      <c r="AI67" s="1042">
        <f>SUMIFS(S$12:S$113,$Q$12:$Q$113,$AH$67,$O$12:$O$113,$AG$67,$N$12:$N$113,$AF$67)</f>
        <v>12250000000</v>
      </c>
      <c r="AJ67" s="1042">
        <f>SUMIFS(T$12:T$113,$Q$12:$Q$113,$AH$67,$O$12:$O$113,$AG$67,$N$12:$N$113,$AF$67)</f>
        <v>15331000000</v>
      </c>
      <c r="AK67" s="1042">
        <f>SUMIFS(U$12:U$113,$Q$12:$Q$113,$AH$67,$O$12:$O$113,$AG$67,$N$12:$N$113,$AF$67)</f>
        <v>19740000000</v>
      </c>
      <c r="AL67" s="1042">
        <f>SUMIFS(V$12:V$113,$Q$12:$Q$113,$AH$67,$O$12:$O$113,$AG$67,$N$12:$N$113,$AF$67)</f>
        <v>20732000000</v>
      </c>
      <c r="AM67" s="1042">
        <f>SUMIFS(W$12:W$113,$Q$12:$Q$113,$AH$67,$O$12:$O$113,$AG$67,$N$12:$N$113,$AF$67)</f>
        <v>23110000000</v>
      </c>
      <c r="AN67" s="823"/>
      <c r="AZ67" s="153" t="s">
        <v>2049</v>
      </c>
      <c r="BA67" s="153" t="s">
        <v>2809</v>
      </c>
    </row>
    <row r="68" spans="7:53" x14ac:dyDescent="0.3">
      <c r="K68" s="968"/>
      <c r="L68" s="968"/>
      <c r="M68" s="968" t="s">
        <v>2068</v>
      </c>
      <c r="N68" s="968" t="s">
        <v>2811</v>
      </c>
      <c r="O68" s="969" t="s">
        <v>2822</v>
      </c>
      <c r="P68" s="969"/>
      <c r="Q68" s="968" t="s">
        <v>2818</v>
      </c>
      <c r="R68" s="1616">
        <f>SUMIFS(계정별원장!$F$3:$F$5997,계정별원장!$A$3:$A$5997,"17",계정별원장!$B$3:$B$5997,'사업계획(매출 확정본)'!$M68)</f>
        <v>699354809</v>
      </c>
      <c r="S68" s="973">
        <f>S66*S67</f>
        <v>1766000000</v>
      </c>
      <c r="T68" s="973">
        <f t="shared" ref="T68:W68" si="58">T66*T67</f>
        <v>2317500000</v>
      </c>
      <c r="U68" s="973">
        <f t="shared" si="58"/>
        <v>3405500000</v>
      </c>
      <c r="V68" s="973">
        <f t="shared" si="58"/>
        <v>2555000000</v>
      </c>
      <c r="W68" s="973">
        <f t="shared" si="58"/>
        <v>2682500000</v>
      </c>
      <c r="AF68" s="153" t="s">
        <v>2847</v>
      </c>
      <c r="AG68" s="975" t="s">
        <v>2825</v>
      </c>
      <c r="AH68" s="968" t="s">
        <v>2813</v>
      </c>
      <c r="AI68" s="153">
        <f>SUMIFS(S$12:S$113,$Q$12:$Q$113,$AH$68,$O$12:$O$113,$AG$68,$N$12:$N$113,$AF$68)</f>
        <v>110</v>
      </c>
      <c r="AJ68" s="153">
        <f>SUMIFS(T$12:T$113,$Q$12:$Q$113,$AH$68,$O$12:$O$113,$AG$68,$N$12:$N$113,$AF$68)</f>
        <v>130</v>
      </c>
      <c r="AK68" s="153">
        <f>SUMIFS(U$12:U$113,$Q$12:$Q$113,$AH$68,$O$12:$O$113,$AG$68,$N$12:$N$113,$AF$68)</f>
        <v>160</v>
      </c>
      <c r="AL68" s="153">
        <f>SUMIFS(V$12:V$113,$Q$12:$Q$113,$AH$68,$O$12:$O$113,$AG$68,$N$12:$N$113,$AF$68)</f>
        <v>160</v>
      </c>
      <c r="AM68" s="153">
        <f>SUMIFS(W$12:W$113,$Q$12:$Q$113,$AH$68,$O$12:$O$113,$AG$68,$N$12:$N$113,$AF$68)</f>
        <v>170</v>
      </c>
    </row>
    <row r="69" spans="7:53" x14ac:dyDescent="0.3">
      <c r="G69" s="153" t="s">
        <v>2036</v>
      </c>
      <c r="H69" s="153" t="s">
        <v>2037</v>
      </c>
      <c r="I69" s="153" t="s">
        <v>2802</v>
      </c>
      <c r="K69" s="968"/>
      <c r="L69" s="968" t="s">
        <v>2810</v>
      </c>
      <c r="M69" s="1051" t="s">
        <v>2035</v>
      </c>
      <c r="N69" s="972" t="s">
        <v>2825</v>
      </c>
      <c r="O69" s="1561" t="s">
        <v>2822</v>
      </c>
      <c r="P69" s="1050" t="e">
        <f>VLOOKUP(M69,'제품별 원재료비 '!$O$4:$S$48,5,FALSE)</f>
        <v>#N/A</v>
      </c>
      <c r="Q69" s="968" t="s">
        <v>2813</v>
      </c>
      <c r="R69" s="968">
        <f>COUNTIFS(계정별원장!$A$3:$A$5997,"17",계정별원장!$B$3:$B$5997,'사업계획(매출 확정본)'!$M69)</f>
        <v>13</v>
      </c>
      <c r="S69" s="972">
        <v>16</v>
      </c>
      <c r="T69" s="972">
        <v>107</v>
      </c>
      <c r="U69" s="972">
        <v>144</v>
      </c>
      <c r="V69" s="972">
        <v>146</v>
      </c>
      <c r="W69" s="972">
        <v>148</v>
      </c>
      <c r="X69" s="967" t="s">
        <v>2848</v>
      </c>
      <c r="Y69" s="972">
        <v>26</v>
      </c>
      <c r="Z69" s="972">
        <v>120</v>
      </c>
      <c r="AA69" s="972">
        <v>160</v>
      </c>
      <c r="AB69" s="972">
        <v>165</v>
      </c>
      <c r="AC69" s="972">
        <v>170</v>
      </c>
      <c r="AD69" s="1048"/>
      <c r="AF69" s="153" t="s">
        <v>2847</v>
      </c>
      <c r="AG69" s="975" t="s">
        <v>2825</v>
      </c>
      <c r="AH69" s="968" t="s">
        <v>2816</v>
      </c>
      <c r="AI69" s="823">
        <f>AI67/AI68</f>
        <v>111363636.36363636</v>
      </c>
      <c r="AJ69" s="819">
        <f t="shared" ref="AJ69:AM69" si="59">AJ67/AJ68</f>
        <v>117930769.23076923</v>
      </c>
      <c r="AK69" s="819">
        <f t="shared" si="59"/>
        <v>123375000</v>
      </c>
      <c r="AL69" s="819">
        <f t="shared" si="59"/>
        <v>129575000</v>
      </c>
      <c r="AM69" s="819">
        <f t="shared" si="59"/>
        <v>135941176.47058824</v>
      </c>
      <c r="AZ69" s="153" t="s">
        <v>2064</v>
      </c>
      <c r="BA69" s="153" t="s">
        <v>2809</v>
      </c>
    </row>
    <row r="70" spans="7:53" x14ac:dyDescent="0.3">
      <c r="H70" s="153" t="s">
        <v>2040</v>
      </c>
      <c r="I70" s="153" t="s">
        <v>2802</v>
      </c>
      <c r="K70" s="968"/>
      <c r="L70" s="968"/>
      <c r="M70" s="968" t="s">
        <v>2035</v>
      </c>
      <c r="N70" s="972" t="s">
        <v>2825</v>
      </c>
      <c r="O70" s="1561" t="s">
        <v>2822</v>
      </c>
      <c r="P70" s="969"/>
      <c r="Q70" s="968" t="s">
        <v>2816</v>
      </c>
      <c r="R70" s="1617">
        <f>R71/R69</f>
        <v>47934090.92307692</v>
      </c>
      <c r="S70" s="973">
        <v>48500000</v>
      </c>
      <c r="T70" s="973">
        <f>ROUND(S70*1.05,-5)</f>
        <v>50900000</v>
      </c>
      <c r="U70" s="973">
        <f t="shared" ref="U70:W70" si="60">ROUND(T70*1.05,-5)</f>
        <v>53400000</v>
      </c>
      <c r="V70" s="973">
        <f t="shared" si="60"/>
        <v>56100000</v>
      </c>
      <c r="W70" s="973">
        <f t="shared" si="60"/>
        <v>58900000</v>
      </c>
      <c r="AF70" s="153" t="s">
        <v>2847</v>
      </c>
      <c r="AG70" s="975" t="s">
        <v>2849</v>
      </c>
      <c r="AH70" s="968" t="s">
        <v>2818</v>
      </c>
      <c r="AI70" s="823">
        <f>S113</f>
        <v>0</v>
      </c>
      <c r="AJ70" s="819">
        <f>T113</f>
        <v>1425000000</v>
      </c>
      <c r="AK70" s="819">
        <f>U113</f>
        <v>7482500000</v>
      </c>
      <c r="AL70" s="819">
        <f>V113</f>
        <v>9429000000</v>
      </c>
      <c r="AM70" s="819">
        <f>W113</f>
        <v>11550000000</v>
      </c>
      <c r="AZ70" s="153" t="s">
        <v>2850</v>
      </c>
      <c r="BA70" s="153" t="s">
        <v>2851</v>
      </c>
    </row>
    <row r="71" spans="7:53" x14ac:dyDescent="0.3">
      <c r="K71" s="968"/>
      <c r="L71" s="968"/>
      <c r="M71" s="968" t="s">
        <v>2035</v>
      </c>
      <c r="N71" s="972" t="s">
        <v>2852</v>
      </c>
      <c r="O71" s="1561" t="s">
        <v>2853</v>
      </c>
      <c r="P71" s="969"/>
      <c r="Q71" s="968" t="s">
        <v>2854</v>
      </c>
      <c r="R71" s="1616">
        <f>SUMIFS(계정별원장!$F$3:$F$5997,계정별원장!$A$3:$A$5997,"17",계정별원장!$B$3:$B$5997,'사업계획(매출 확정본)'!$M71)</f>
        <v>623143182</v>
      </c>
      <c r="S71" s="973">
        <f>S69*S70</f>
        <v>776000000</v>
      </c>
      <c r="T71" s="973">
        <f t="shared" ref="T71:W71" si="61">T69*T70</f>
        <v>5446300000</v>
      </c>
      <c r="U71" s="973">
        <f t="shared" si="61"/>
        <v>7689600000</v>
      </c>
      <c r="V71" s="973">
        <f t="shared" si="61"/>
        <v>8190600000</v>
      </c>
      <c r="W71" s="973">
        <f t="shared" si="61"/>
        <v>8717200000</v>
      </c>
      <c r="AF71" s="153" t="s">
        <v>2855</v>
      </c>
      <c r="AG71" s="975" t="s">
        <v>2856</v>
      </c>
      <c r="AH71" s="968" t="s">
        <v>2857</v>
      </c>
      <c r="AI71" s="153">
        <f>S111</f>
        <v>0</v>
      </c>
      <c r="AJ71" s="819">
        <f>T111</f>
        <v>5</v>
      </c>
      <c r="AK71" s="819">
        <f>U111</f>
        <v>25</v>
      </c>
      <c r="AL71" s="819">
        <f>V111</f>
        <v>30</v>
      </c>
      <c r="AM71" s="819">
        <f>W111</f>
        <v>35</v>
      </c>
    </row>
    <row r="72" spans="7:53" x14ac:dyDescent="0.3">
      <c r="G72" s="153" t="s">
        <v>2035</v>
      </c>
      <c r="H72" s="153" t="s">
        <v>2858</v>
      </c>
      <c r="I72" s="153" t="s">
        <v>2859</v>
      </c>
      <c r="K72" s="968"/>
      <c r="L72" s="968" t="s">
        <v>2800</v>
      </c>
      <c r="M72" s="1051" t="s">
        <v>2044</v>
      </c>
      <c r="N72" s="968" t="s">
        <v>2860</v>
      </c>
      <c r="O72" s="969" t="s">
        <v>2861</v>
      </c>
      <c r="P72" s="1050" t="e">
        <f>VLOOKUP(M72,'제품별 원재료비 '!$O$4:$S$48,5,FALSE)</f>
        <v>#N/A</v>
      </c>
      <c r="Q72" s="968" t="s">
        <v>2862</v>
      </c>
      <c r="R72" s="968">
        <f>COUNTIFS(계정별원장!$A$3:$A$5997,"17",계정별원장!$B$3:$B$5997,'사업계획(매출 확정본)'!$M72)</f>
        <v>9</v>
      </c>
      <c r="S72" s="972">
        <v>10</v>
      </c>
      <c r="T72" s="972">
        <v>15</v>
      </c>
      <c r="U72" s="972">
        <v>20</v>
      </c>
      <c r="V72" s="972">
        <v>25</v>
      </c>
      <c r="W72" s="972">
        <v>25</v>
      </c>
      <c r="AF72" s="153" t="s">
        <v>2863</v>
      </c>
      <c r="AG72" s="975" t="s">
        <v>2864</v>
      </c>
      <c r="AH72" s="968" t="s">
        <v>2865</v>
      </c>
      <c r="AI72" s="976" t="e">
        <f>AI70/AI71</f>
        <v>#DIV/0!</v>
      </c>
      <c r="AJ72" s="819">
        <f t="shared" ref="AJ72:AM72" si="62">AJ70/AJ71</f>
        <v>285000000</v>
      </c>
      <c r="AK72" s="819">
        <f t="shared" si="62"/>
        <v>299300000</v>
      </c>
      <c r="AL72" s="819">
        <f t="shared" si="62"/>
        <v>314300000</v>
      </c>
      <c r="AM72" s="819">
        <f t="shared" si="62"/>
        <v>330000000</v>
      </c>
      <c r="AN72" s="976"/>
      <c r="AZ72" s="153" t="s">
        <v>2067</v>
      </c>
      <c r="BA72" s="153" t="s">
        <v>2866</v>
      </c>
    </row>
    <row r="73" spans="7:53" x14ac:dyDescent="0.3">
      <c r="H73" s="153" t="s">
        <v>2039</v>
      </c>
      <c r="I73" s="153" t="s">
        <v>2802</v>
      </c>
      <c r="K73" s="968"/>
      <c r="L73" s="968"/>
      <c r="M73" s="968" t="s">
        <v>2044</v>
      </c>
      <c r="N73" s="968" t="s">
        <v>2860</v>
      </c>
      <c r="O73" s="969" t="s">
        <v>2861</v>
      </c>
      <c r="P73" s="969"/>
      <c r="Q73" s="968" t="s">
        <v>2865</v>
      </c>
      <c r="R73" s="1617">
        <f>R74/R72</f>
        <v>37984848.555555552</v>
      </c>
      <c r="S73" s="973">
        <v>39500000</v>
      </c>
      <c r="T73" s="973">
        <f>ROUND(S73*1.05,-5)</f>
        <v>41500000</v>
      </c>
      <c r="U73" s="973">
        <f t="shared" ref="U73:W73" si="63">ROUND(T73*1.05,-5)</f>
        <v>43600000</v>
      </c>
      <c r="V73" s="973">
        <f t="shared" si="63"/>
        <v>45800000</v>
      </c>
      <c r="W73" s="973">
        <f t="shared" si="63"/>
        <v>48100000</v>
      </c>
      <c r="AZ73" s="153" t="s">
        <v>2820</v>
      </c>
      <c r="BA73" s="153" t="s">
        <v>2866</v>
      </c>
    </row>
    <row r="74" spans="7:53" x14ac:dyDescent="0.3">
      <c r="K74" s="968"/>
      <c r="L74" s="968"/>
      <c r="M74" s="968" t="s">
        <v>2044</v>
      </c>
      <c r="N74" s="968" t="s">
        <v>2860</v>
      </c>
      <c r="O74" s="969" t="s">
        <v>2861</v>
      </c>
      <c r="P74" s="969"/>
      <c r="Q74" s="968" t="s">
        <v>2867</v>
      </c>
      <c r="R74" s="1616">
        <f>SUMIFS(계정별원장!$F$3:$F$5997,계정별원장!$A$3:$A$5997,"17",계정별원장!$B$3:$B$5997,'사업계획(매출 확정본)'!$M74)</f>
        <v>341863637</v>
      </c>
      <c r="S74" s="973">
        <f>S72*S73</f>
        <v>395000000</v>
      </c>
      <c r="T74" s="973">
        <f t="shared" ref="T74:W74" si="64">T72*T73</f>
        <v>622500000</v>
      </c>
      <c r="U74" s="973">
        <f t="shared" si="64"/>
        <v>872000000</v>
      </c>
      <c r="V74" s="973">
        <f t="shared" si="64"/>
        <v>1145000000</v>
      </c>
      <c r="W74" s="973">
        <f t="shared" si="64"/>
        <v>1202500000</v>
      </c>
    </row>
    <row r="75" spans="7:53" x14ac:dyDescent="0.3">
      <c r="G75" s="153" t="s">
        <v>2042</v>
      </c>
      <c r="H75" s="153" t="s">
        <v>2039</v>
      </c>
      <c r="I75" s="153" t="s">
        <v>2802</v>
      </c>
      <c r="K75" s="968"/>
      <c r="L75" s="968" t="s">
        <v>2800</v>
      </c>
      <c r="M75" s="968" t="s">
        <v>3311</v>
      </c>
      <c r="N75" s="972" t="s">
        <v>2860</v>
      </c>
      <c r="O75" s="1561" t="s">
        <v>2868</v>
      </c>
      <c r="P75" s="1050">
        <f>VLOOKUP(M75,'제품별 원재료비 '!$O$4:$S$48,5,FALSE)</f>
        <v>28315250</v>
      </c>
      <c r="Q75" s="968" t="s">
        <v>2862</v>
      </c>
      <c r="R75" s="968">
        <f>COUNTIFS(계정별원장!$A$3:$A$5997,"17",계정별원장!$B$3:$B$5997,'사업계획(매출 확정본)'!$M75)</f>
        <v>8</v>
      </c>
      <c r="S75" s="972">
        <v>11</v>
      </c>
      <c r="T75" s="972">
        <v>15</v>
      </c>
      <c r="U75" s="972">
        <v>20</v>
      </c>
      <c r="V75" s="972">
        <v>25</v>
      </c>
      <c r="W75" s="972">
        <v>25</v>
      </c>
      <c r="AZ75" s="153" t="s">
        <v>2068</v>
      </c>
      <c r="BA75" s="153" t="s">
        <v>2869</v>
      </c>
    </row>
    <row r="76" spans="7:53" x14ac:dyDescent="0.3">
      <c r="H76" s="153" t="s">
        <v>2041</v>
      </c>
      <c r="I76" s="153" t="s">
        <v>2802</v>
      </c>
      <c r="K76" s="968"/>
      <c r="L76" s="968"/>
      <c r="M76" s="968" t="s">
        <v>2048</v>
      </c>
      <c r="N76" s="972" t="s">
        <v>2860</v>
      </c>
      <c r="O76" s="1561" t="s">
        <v>2868</v>
      </c>
      <c r="P76" s="969"/>
      <c r="Q76" s="968" t="s">
        <v>2865</v>
      </c>
      <c r="R76" s="1617">
        <f>R77/R75</f>
        <v>43482045.375</v>
      </c>
      <c r="S76" s="973">
        <v>41500000</v>
      </c>
      <c r="T76" s="973">
        <f>ROUND(S76*1.05,-5)</f>
        <v>43600000</v>
      </c>
      <c r="U76" s="973">
        <f t="shared" ref="U76:W76" si="65">ROUND(T76*1.05,-5)</f>
        <v>45800000</v>
      </c>
      <c r="V76" s="973">
        <f t="shared" si="65"/>
        <v>48100000</v>
      </c>
      <c r="W76" s="973">
        <f t="shared" si="65"/>
        <v>50500000</v>
      </c>
      <c r="AF76" s="153" t="s">
        <v>2870</v>
      </c>
      <c r="AZ76" s="153" t="s">
        <v>2830</v>
      </c>
      <c r="BA76" s="153" t="s">
        <v>2866</v>
      </c>
    </row>
    <row r="77" spans="7:53" x14ac:dyDescent="0.3">
      <c r="K77" s="968"/>
      <c r="L77" s="968"/>
      <c r="M77" s="968" t="s">
        <v>2048</v>
      </c>
      <c r="N77" s="972" t="s">
        <v>2860</v>
      </c>
      <c r="O77" s="1561" t="s">
        <v>2868</v>
      </c>
      <c r="P77" s="969"/>
      <c r="Q77" s="968" t="s">
        <v>2867</v>
      </c>
      <c r="R77" s="1616">
        <f>SUMIFS(계정별원장!$F$3:$F$5997,계정별원장!$A$3:$A$5997,"17",계정별원장!$B$3:$B$5997,'사업계획(매출 확정본)'!$M77)</f>
        <v>347856363</v>
      </c>
      <c r="S77" s="973">
        <f>S75*S76</f>
        <v>456500000</v>
      </c>
      <c r="T77" s="973">
        <f t="shared" ref="T77:W77" si="66">T75*T76</f>
        <v>654000000</v>
      </c>
      <c r="U77" s="973">
        <f t="shared" si="66"/>
        <v>916000000</v>
      </c>
      <c r="V77" s="973">
        <f t="shared" si="66"/>
        <v>1202500000</v>
      </c>
      <c r="W77" s="973">
        <f t="shared" si="66"/>
        <v>1262500000</v>
      </c>
      <c r="AI77" s="889">
        <v>2018</v>
      </c>
      <c r="AJ77" s="889">
        <f>AI77+1</f>
        <v>2019</v>
      </c>
      <c r="AK77" s="889">
        <f t="shared" ref="AK77:AM77" si="67">AJ77+1</f>
        <v>2020</v>
      </c>
      <c r="AL77" s="889">
        <f t="shared" si="67"/>
        <v>2021</v>
      </c>
      <c r="AM77" s="889">
        <f t="shared" si="67"/>
        <v>2022</v>
      </c>
    </row>
    <row r="78" spans="7:53" x14ac:dyDescent="0.3">
      <c r="G78" s="153" t="s">
        <v>2038</v>
      </c>
      <c r="H78" s="153" t="s">
        <v>2028</v>
      </c>
      <c r="I78" s="153" t="s">
        <v>2023</v>
      </c>
      <c r="K78" s="968"/>
      <c r="L78" s="968" t="s">
        <v>2871</v>
      </c>
      <c r="M78" s="968" t="s">
        <v>2050</v>
      </c>
      <c r="N78" s="968" t="s">
        <v>2860</v>
      </c>
      <c r="O78" s="969" t="s">
        <v>2872</v>
      </c>
      <c r="P78" s="1050">
        <f>VLOOKUP(M78,'제품별 원재료비 '!$O$4:$S$48,5,FALSE)</f>
        <v>37481250</v>
      </c>
      <c r="Q78" s="968" t="s">
        <v>2862</v>
      </c>
      <c r="R78" s="968">
        <f>COUNTIFS(계정별원장!$A$3:$A$5997,"17",계정별원장!$B$3:$B$5997,'사업계획(매출 확정본)'!$M78)</f>
        <v>0</v>
      </c>
      <c r="S78" s="972">
        <v>0</v>
      </c>
      <c r="T78" s="972">
        <v>0</v>
      </c>
      <c r="U78" s="972">
        <v>0</v>
      </c>
      <c r="V78" s="972">
        <v>0</v>
      </c>
      <c r="W78" s="972">
        <v>0</v>
      </c>
      <c r="AF78" s="153" t="s">
        <v>2873</v>
      </c>
      <c r="AG78" s="153" t="s">
        <v>2874</v>
      </c>
      <c r="AH78" s="968" t="s">
        <v>2867</v>
      </c>
      <c r="AI78" s="823">
        <f>AI79*AI80</f>
        <v>6705000000</v>
      </c>
      <c r="AJ78" s="823">
        <f t="shared" ref="AJ78:AM78" si="68">AJ79*AJ80</f>
        <v>9388000000</v>
      </c>
      <c r="AK78" s="823">
        <f t="shared" si="68"/>
        <v>11088000000</v>
      </c>
      <c r="AL78" s="823">
        <f t="shared" si="68"/>
        <v>12935000000</v>
      </c>
      <c r="AM78" s="823">
        <f t="shared" si="68"/>
        <v>16296000000</v>
      </c>
      <c r="AZ78" s="153" t="s">
        <v>2833</v>
      </c>
      <c r="BA78" s="153" t="s">
        <v>2866</v>
      </c>
    </row>
    <row r="79" spans="7:53" x14ac:dyDescent="0.3">
      <c r="H79" s="153" t="s">
        <v>2037</v>
      </c>
      <c r="I79" s="153" t="s">
        <v>2802</v>
      </c>
      <c r="K79" s="968"/>
      <c r="L79" s="968"/>
      <c r="M79" s="968" t="s">
        <v>2050</v>
      </c>
      <c r="N79" s="968" t="s">
        <v>2860</v>
      </c>
      <c r="O79" s="969" t="s">
        <v>2872</v>
      </c>
      <c r="P79" s="969"/>
      <c r="Q79" s="968" t="s">
        <v>2865</v>
      </c>
      <c r="R79" s="1617" t="e">
        <f>R80/R78</f>
        <v>#DIV/0!</v>
      </c>
      <c r="S79" s="973">
        <v>65000000</v>
      </c>
      <c r="T79" s="973">
        <f>ROUND(S79*1.05,-5)</f>
        <v>68300000</v>
      </c>
      <c r="U79" s="973">
        <f t="shared" ref="U79:W79" si="69">ROUND(T79*1.05,-5)</f>
        <v>71700000</v>
      </c>
      <c r="V79" s="973">
        <f t="shared" si="69"/>
        <v>75300000</v>
      </c>
      <c r="W79" s="973">
        <f t="shared" si="69"/>
        <v>79100000</v>
      </c>
      <c r="AH79" s="968" t="s">
        <v>2862</v>
      </c>
      <c r="AI79" s="977">
        <f>S131</f>
        <v>30</v>
      </c>
      <c r="AJ79" s="977">
        <f t="shared" ref="AJ79:AM80" si="70">T131</f>
        <v>40</v>
      </c>
      <c r="AK79" s="977">
        <f t="shared" si="70"/>
        <v>45</v>
      </c>
      <c r="AL79" s="977">
        <f t="shared" si="70"/>
        <v>50</v>
      </c>
      <c r="AM79" s="977">
        <f t="shared" si="70"/>
        <v>60</v>
      </c>
      <c r="AN79" s="977"/>
      <c r="AZ79" s="153" t="s">
        <v>2875</v>
      </c>
      <c r="BA79" s="153" t="s">
        <v>2876</v>
      </c>
    </row>
    <row r="80" spans="7:53" x14ac:dyDescent="0.3">
      <c r="K80" s="968"/>
      <c r="L80" s="968"/>
      <c r="M80" s="968" t="s">
        <v>2050</v>
      </c>
      <c r="N80" s="968" t="s">
        <v>2860</v>
      </c>
      <c r="O80" s="969" t="s">
        <v>2872</v>
      </c>
      <c r="P80" s="969"/>
      <c r="Q80" s="968" t="s">
        <v>2867</v>
      </c>
      <c r="R80" s="1616">
        <f>SUMIFS(계정별원장!$F$3:$F$5997,계정별원장!$A$3:$A$5997,"17",계정별원장!$B$3:$B$5997,'사업계획(매출 확정본)'!$M80)</f>
        <v>0</v>
      </c>
      <c r="S80" s="973">
        <f>S78*S79</f>
        <v>0</v>
      </c>
      <c r="T80" s="973">
        <f t="shared" ref="T80:W80" si="71">T78*T79</f>
        <v>0</v>
      </c>
      <c r="U80" s="973">
        <f t="shared" si="71"/>
        <v>0</v>
      </c>
      <c r="V80" s="973">
        <f t="shared" si="71"/>
        <v>0</v>
      </c>
      <c r="W80" s="973">
        <f t="shared" si="71"/>
        <v>0</v>
      </c>
      <c r="AH80" s="968" t="s">
        <v>2865</v>
      </c>
      <c r="AI80" s="823">
        <f>S132</f>
        <v>223500000</v>
      </c>
      <c r="AJ80" s="823">
        <f t="shared" si="70"/>
        <v>234700000</v>
      </c>
      <c r="AK80" s="823">
        <f t="shared" si="70"/>
        <v>246400000</v>
      </c>
      <c r="AL80" s="823">
        <f t="shared" si="70"/>
        <v>258700000</v>
      </c>
      <c r="AM80" s="823">
        <f t="shared" si="70"/>
        <v>271600000</v>
      </c>
    </row>
    <row r="81" spans="7:53" x14ac:dyDescent="0.3">
      <c r="G81" s="153" t="s">
        <v>2039</v>
      </c>
      <c r="H81" s="153" t="s">
        <v>2039</v>
      </c>
      <c r="I81" s="153" t="s">
        <v>2802</v>
      </c>
      <c r="K81" s="968"/>
      <c r="L81" s="968" t="s">
        <v>2800</v>
      </c>
      <c r="M81" s="968" t="s">
        <v>2047</v>
      </c>
      <c r="N81" s="968" t="s">
        <v>2860</v>
      </c>
      <c r="O81" s="969" t="s">
        <v>2861</v>
      </c>
      <c r="P81" s="1050">
        <f>VLOOKUP(M81,'제품별 원재료비 '!$O$4:$S$48,5,FALSE)</f>
        <v>73155400</v>
      </c>
      <c r="Q81" s="968" t="s">
        <v>2862</v>
      </c>
      <c r="R81" s="968">
        <f>COUNTIFS(계정별원장!$A$3:$A$5997,"17",계정별원장!$B$3:$B$5997,'사업계획(매출 확정본)'!$M81)</f>
        <v>0</v>
      </c>
      <c r="S81" s="972">
        <v>5</v>
      </c>
      <c r="T81" s="972">
        <v>10</v>
      </c>
      <c r="U81" s="972">
        <v>15</v>
      </c>
      <c r="V81" s="972">
        <v>15</v>
      </c>
      <c r="W81" s="972">
        <v>15</v>
      </c>
      <c r="AF81" s="153" t="s">
        <v>2877</v>
      </c>
      <c r="AG81" s="153" t="s">
        <v>2874</v>
      </c>
      <c r="AH81" s="968" t="s">
        <v>2867</v>
      </c>
      <c r="AI81" s="823">
        <f>S139+S142</f>
        <v>3800000000</v>
      </c>
      <c r="AJ81" s="823">
        <f>T139+T142</f>
        <v>4421600000</v>
      </c>
      <c r="AK81" s="823">
        <f>U139+U142</f>
        <v>5095400000</v>
      </c>
      <c r="AL81" s="823">
        <f>V139+V142</f>
        <v>5825400000</v>
      </c>
      <c r="AM81" s="823">
        <f>W139+W142</f>
        <v>6615400000</v>
      </c>
      <c r="AN81" s="823"/>
      <c r="AZ81" s="153" t="s">
        <v>2878</v>
      </c>
      <c r="BA81" s="153" t="s">
        <v>2869</v>
      </c>
    </row>
    <row r="82" spans="7:53" x14ac:dyDescent="0.3">
      <c r="H82" s="153" t="s">
        <v>2041</v>
      </c>
      <c r="I82" s="153" t="s">
        <v>2802</v>
      </c>
      <c r="K82" s="968"/>
      <c r="L82" s="968"/>
      <c r="M82" s="968" t="s">
        <v>2047</v>
      </c>
      <c r="N82" s="968" t="s">
        <v>2860</v>
      </c>
      <c r="O82" s="969" t="s">
        <v>2861</v>
      </c>
      <c r="P82" s="969"/>
      <c r="Q82" s="968" t="s">
        <v>2865</v>
      </c>
      <c r="R82" s="1617" t="e">
        <f>R83/R81</f>
        <v>#DIV/0!</v>
      </c>
      <c r="S82" s="973">
        <v>113500000</v>
      </c>
      <c r="T82" s="973">
        <f>ROUND(S82*1.05,-5)</f>
        <v>119200000</v>
      </c>
      <c r="U82" s="973">
        <f t="shared" ref="U82:W82" si="72">ROUND(T82*1.05,-5)</f>
        <v>125200000</v>
      </c>
      <c r="V82" s="973">
        <f t="shared" si="72"/>
        <v>131500000</v>
      </c>
      <c r="W82" s="973">
        <f t="shared" si="72"/>
        <v>138100000</v>
      </c>
      <c r="AH82" s="968" t="s">
        <v>2862</v>
      </c>
      <c r="AI82" s="153">
        <f>S137+S140</f>
        <v>20</v>
      </c>
      <c r="AJ82" s="153">
        <f>T137+T140</f>
        <v>22</v>
      </c>
      <c r="AK82" s="153">
        <f>U137+U140</f>
        <v>24</v>
      </c>
      <c r="AL82" s="153">
        <f>V137+V140</f>
        <v>26</v>
      </c>
      <c r="AM82" s="153">
        <f>W137+W140</f>
        <v>28</v>
      </c>
      <c r="AZ82" s="153" t="s">
        <v>2038</v>
      </c>
      <c r="BA82" s="153" t="s">
        <v>2869</v>
      </c>
    </row>
    <row r="83" spans="7:53" x14ac:dyDescent="0.3">
      <c r="K83" s="968"/>
      <c r="L83" s="968"/>
      <c r="M83" s="968" t="s">
        <v>2047</v>
      </c>
      <c r="N83" s="968" t="s">
        <v>2860</v>
      </c>
      <c r="O83" s="969" t="s">
        <v>2861</v>
      </c>
      <c r="P83" s="969"/>
      <c r="Q83" s="968" t="s">
        <v>2867</v>
      </c>
      <c r="R83" s="1616">
        <f>SUMIFS(계정별원장!$F$3:$F$5997,계정별원장!$A$3:$A$5997,"17",계정별원장!$B$3:$B$5997,'사업계획(매출 확정본)'!$M83)</f>
        <v>0</v>
      </c>
      <c r="S83" s="973">
        <f>S81*S82</f>
        <v>567500000</v>
      </c>
      <c r="T83" s="973">
        <f t="shared" ref="T83:W83" si="73">T81*T82</f>
        <v>1192000000</v>
      </c>
      <c r="U83" s="973">
        <f t="shared" si="73"/>
        <v>1878000000</v>
      </c>
      <c r="V83" s="973">
        <f t="shared" si="73"/>
        <v>1972500000</v>
      </c>
      <c r="W83" s="973">
        <f t="shared" si="73"/>
        <v>2071500000</v>
      </c>
      <c r="AH83" s="968" t="s">
        <v>2865</v>
      </c>
      <c r="AI83" s="823">
        <f>AI81/AI82</f>
        <v>190000000</v>
      </c>
      <c r="AJ83" s="823">
        <f t="shared" ref="AJ83:AM83" si="74">AJ81/AJ82</f>
        <v>200981818.18181819</v>
      </c>
      <c r="AK83" s="823">
        <f t="shared" si="74"/>
        <v>212308333.33333334</v>
      </c>
      <c r="AL83" s="823">
        <f t="shared" si="74"/>
        <v>224053846.15384614</v>
      </c>
      <c r="AM83" s="823">
        <f t="shared" si="74"/>
        <v>236264285.7142857</v>
      </c>
    </row>
    <row r="84" spans="7:53" x14ac:dyDescent="0.3">
      <c r="G84" s="153" t="s">
        <v>2048</v>
      </c>
      <c r="H84" s="153" t="s">
        <v>2037</v>
      </c>
      <c r="I84" s="153" t="s">
        <v>2802</v>
      </c>
      <c r="K84" s="968"/>
      <c r="L84" s="968" t="s">
        <v>2800</v>
      </c>
      <c r="M84" s="968" t="s">
        <v>2836</v>
      </c>
      <c r="N84" s="972" t="s">
        <v>2860</v>
      </c>
      <c r="O84" s="1561" t="s">
        <v>2868</v>
      </c>
      <c r="P84" s="1050">
        <f>VLOOKUP(M84,'제품별 원재료비 '!$O$4:$S$48,5,FALSE)</f>
        <v>21725500</v>
      </c>
      <c r="Q84" s="968" t="s">
        <v>2862</v>
      </c>
      <c r="R84" s="968">
        <f>COUNTIFS(계정별원장!$A$3:$A$5997,"17",계정별원장!$B$3:$B$5997,'사업계획(매출 확정본)'!$M84)</f>
        <v>145</v>
      </c>
      <c r="S84" s="972">
        <v>173</v>
      </c>
      <c r="T84" s="972">
        <v>200</v>
      </c>
      <c r="U84" s="972">
        <v>240</v>
      </c>
      <c r="V84" s="972">
        <v>245</v>
      </c>
      <c r="W84" s="972">
        <v>250</v>
      </c>
      <c r="AF84" s="153" t="s">
        <v>2879</v>
      </c>
      <c r="AG84" s="153" t="s">
        <v>2874</v>
      </c>
      <c r="AH84" s="968" t="s">
        <v>2867</v>
      </c>
      <c r="AI84" s="823">
        <f>AI85*AI86</f>
        <v>11666666666.666668</v>
      </c>
      <c r="AJ84" s="823">
        <f t="shared" ref="AJ84:AM84" si="75">AJ85*AJ86</f>
        <v>13475000000</v>
      </c>
      <c r="AK84" s="823">
        <f t="shared" si="75"/>
        <v>15432000000</v>
      </c>
      <c r="AL84" s="823">
        <f t="shared" si="75"/>
        <v>17550000000</v>
      </c>
      <c r="AM84" s="823">
        <f t="shared" si="75"/>
        <v>19852000000</v>
      </c>
      <c r="AZ84" s="153" t="s">
        <v>2040</v>
      </c>
      <c r="BA84" s="153" t="s">
        <v>2869</v>
      </c>
    </row>
    <row r="85" spans="7:53" x14ac:dyDescent="0.3">
      <c r="H85" s="153" t="s">
        <v>2037</v>
      </c>
      <c r="I85" s="153" t="s">
        <v>2802</v>
      </c>
      <c r="K85" s="968"/>
      <c r="L85" s="968"/>
      <c r="M85" s="968" t="s">
        <v>2836</v>
      </c>
      <c r="N85" s="972" t="s">
        <v>2860</v>
      </c>
      <c r="O85" s="1561" t="s">
        <v>2868</v>
      </c>
      <c r="P85" s="969"/>
      <c r="Q85" s="968" t="s">
        <v>2865</v>
      </c>
      <c r="R85" s="1617">
        <f>R86/R84</f>
        <v>31174285.910344828</v>
      </c>
      <c r="S85" s="973">
        <v>32500000</v>
      </c>
      <c r="T85" s="973">
        <f>ROUND(S85*1.05,-5)</f>
        <v>34100000</v>
      </c>
      <c r="U85" s="973">
        <f t="shared" ref="U85:W85" si="76">ROUND(T85*1.05,-5)</f>
        <v>35800000</v>
      </c>
      <c r="V85" s="973">
        <f t="shared" si="76"/>
        <v>37600000</v>
      </c>
      <c r="W85" s="973">
        <f t="shared" si="76"/>
        <v>39500000</v>
      </c>
      <c r="AH85" s="968" t="s">
        <v>2862</v>
      </c>
      <c r="AI85" s="977">
        <f>S134</f>
        <v>100</v>
      </c>
      <c r="AJ85" s="977">
        <f t="shared" ref="AJ85:AM86" si="77">T134</f>
        <v>110</v>
      </c>
      <c r="AK85" s="977">
        <f t="shared" si="77"/>
        <v>120</v>
      </c>
      <c r="AL85" s="977">
        <f t="shared" si="77"/>
        <v>130</v>
      </c>
      <c r="AM85" s="977">
        <f t="shared" si="77"/>
        <v>140</v>
      </c>
      <c r="AZ85" s="153" t="s">
        <v>2880</v>
      </c>
      <c r="BA85" s="153" t="s">
        <v>2876</v>
      </c>
    </row>
    <row r="86" spans="7:53" x14ac:dyDescent="0.3">
      <c r="K86" s="968"/>
      <c r="L86" s="968"/>
      <c r="M86" s="968" t="s">
        <v>2836</v>
      </c>
      <c r="N86" s="972" t="s">
        <v>2860</v>
      </c>
      <c r="O86" s="1561" t="s">
        <v>2868</v>
      </c>
      <c r="P86" s="969"/>
      <c r="Q86" s="968" t="s">
        <v>2867</v>
      </c>
      <c r="R86" s="1616">
        <f>SUMIFS(계정별원장!$F$3:$F$5997,계정별원장!$A$3:$A$5997,"17",계정별원장!$B$3:$B$5997,'사업계획(매출 확정본)'!$M86)</f>
        <v>4520271457</v>
      </c>
      <c r="S86" s="973">
        <f>S84*S85</f>
        <v>5622500000</v>
      </c>
      <c r="T86" s="973">
        <f t="shared" ref="T86:W86" si="78">T84*T85</f>
        <v>6820000000</v>
      </c>
      <c r="U86" s="973">
        <f t="shared" si="78"/>
        <v>8592000000</v>
      </c>
      <c r="V86" s="973">
        <f t="shared" si="78"/>
        <v>9212000000</v>
      </c>
      <c r="W86" s="973">
        <f t="shared" si="78"/>
        <v>9875000000</v>
      </c>
      <c r="AH86" s="968" t="s">
        <v>2865</v>
      </c>
      <c r="AI86" s="823">
        <f>S135</f>
        <v>116666666.66666667</v>
      </c>
      <c r="AJ86" s="823">
        <f t="shared" si="77"/>
        <v>122500000</v>
      </c>
      <c r="AK86" s="823">
        <f t="shared" si="77"/>
        <v>128600000</v>
      </c>
      <c r="AL86" s="823">
        <f t="shared" si="77"/>
        <v>135000000</v>
      </c>
      <c r="AM86" s="823">
        <f t="shared" si="77"/>
        <v>141800000</v>
      </c>
    </row>
    <row r="87" spans="7:53" x14ac:dyDescent="0.3">
      <c r="G87" s="153" t="s">
        <v>2045</v>
      </c>
      <c r="H87" s="153" t="s">
        <v>2049</v>
      </c>
      <c r="I87" s="153" t="s">
        <v>2024</v>
      </c>
      <c r="K87" s="968"/>
      <c r="L87" s="968" t="s">
        <v>2800</v>
      </c>
      <c r="M87" s="968" t="s">
        <v>2840</v>
      </c>
      <c r="N87" s="968" t="s">
        <v>2860</v>
      </c>
      <c r="O87" s="969" t="s">
        <v>2872</v>
      </c>
      <c r="P87" s="1050">
        <f>VLOOKUP(M87,'제품별 원재료비 '!$O$4:$S$48,5,FALSE)</f>
        <v>124742770</v>
      </c>
      <c r="Q87" s="968" t="s">
        <v>2862</v>
      </c>
      <c r="R87" s="968">
        <f>COUNTIFS(계정별원장!$A$3:$A$5997,"17",계정별원장!$B$3:$B$5997,'사업계획(매출 확정본)'!$M87)</f>
        <v>8</v>
      </c>
      <c r="S87" s="972">
        <v>8</v>
      </c>
      <c r="T87" s="972">
        <v>8</v>
      </c>
      <c r="U87" s="972">
        <v>31</v>
      </c>
      <c r="V87" s="972">
        <v>29</v>
      </c>
      <c r="W87" s="972">
        <v>29</v>
      </c>
      <c r="Y87" s="972">
        <v>18</v>
      </c>
      <c r="Z87" s="972">
        <v>20</v>
      </c>
      <c r="AA87" s="972">
        <v>45</v>
      </c>
      <c r="AB87" s="972">
        <v>45</v>
      </c>
      <c r="AC87" s="972">
        <v>40</v>
      </c>
      <c r="AD87" s="1048"/>
      <c r="AF87" s="153" t="s">
        <v>2881</v>
      </c>
      <c r="AG87" s="153" t="s">
        <v>2874</v>
      </c>
      <c r="AH87" s="968" t="s">
        <v>2867</v>
      </c>
      <c r="AI87" s="819">
        <v>3500000000</v>
      </c>
      <c r="AJ87" s="819">
        <v>3500000000</v>
      </c>
      <c r="AK87" s="819">
        <v>3500000000</v>
      </c>
      <c r="AL87" s="819">
        <v>3500000000</v>
      </c>
      <c r="AM87" s="819">
        <v>3500000000</v>
      </c>
      <c r="AZ87" s="153" t="s">
        <v>2882</v>
      </c>
      <c r="BA87" s="153" t="s">
        <v>2876</v>
      </c>
    </row>
    <row r="88" spans="7:53" x14ac:dyDescent="0.3">
      <c r="H88" s="153" t="s">
        <v>2049</v>
      </c>
      <c r="I88" s="153" t="s">
        <v>2024</v>
      </c>
      <c r="K88" s="968"/>
      <c r="L88" s="968"/>
      <c r="M88" s="968" t="s">
        <v>2840</v>
      </c>
      <c r="N88" s="968" t="s">
        <v>2860</v>
      </c>
      <c r="O88" s="969" t="s">
        <v>2872</v>
      </c>
      <c r="P88" s="969"/>
      <c r="Q88" s="968" t="s">
        <v>2865</v>
      </c>
      <c r="R88" s="1617">
        <f>R89/R87</f>
        <v>204750000</v>
      </c>
      <c r="S88" s="973">
        <v>205000000</v>
      </c>
      <c r="T88" s="973">
        <f>ROUND(S88*1.05,-5)</f>
        <v>215300000</v>
      </c>
      <c r="U88" s="973">
        <f t="shared" ref="U88:W88" si="79">ROUND(T88*1.05,-5)</f>
        <v>226100000</v>
      </c>
      <c r="V88" s="973">
        <f t="shared" si="79"/>
        <v>237400000</v>
      </c>
      <c r="W88" s="973">
        <f t="shared" si="79"/>
        <v>249300000</v>
      </c>
      <c r="AH88" s="968" t="s">
        <v>2862</v>
      </c>
      <c r="AI88" s="1046">
        <v>30</v>
      </c>
      <c r="AJ88" s="153">
        <v>30</v>
      </c>
      <c r="AK88" s="153">
        <v>30</v>
      </c>
      <c r="AL88" s="153">
        <v>30</v>
      </c>
      <c r="AM88" s="153">
        <v>30</v>
      </c>
      <c r="AZ88" s="153" t="s">
        <v>2883</v>
      </c>
      <c r="BA88" s="153" t="s">
        <v>2884</v>
      </c>
    </row>
    <row r="89" spans="7:53" x14ac:dyDescent="0.3">
      <c r="K89" s="968"/>
      <c r="L89" s="968"/>
      <c r="M89" s="968" t="s">
        <v>2840</v>
      </c>
      <c r="N89" s="968" t="s">
        <v>2860</v>
      </c>
      <c r="O89" s="969" t="s">
        <v>2872</v>
      </c>
      <c r="P89" s="969"/>
      <c r="Q89" s="968" t="s">
        <v>2867</v>
      </c>
      <c r="R89" s="1616">
        <f>SUMIFS(계정별원장!$F$3:$F$5997,계정별원장!$A$3:$A$5997,"17",계정별원장!$B$3:$B$5997,'사업계획(매출 확정본)'!$M89)</f>
        <v>1638000000</v>
      </c>
      <c r="S89" s="973">
        <f>S87*S88</f>
        <v>1640000000</v>
      </c>
      <c r="T89" s="973">
        <f t="shared" ref="T89:W89" si="80">T87*T88</f>
        <v>1722400000</v>
      </c>
      <c r="U89" s="973">
        <f t="shared" si="80"/>
        <v>7009100000</v>
      </c>
      <c r="V89" s="973">
        <f t="shared" si="80"/>
        <v>6884600000</v>
      </c>
      <c r="W89" s="973">
        <f t="shared" si="80"/>
        <v>7229700000</v>
      </c>
      <c r="AH89" s="968" t="s">
        <v>2865</v>
      </c>
      <c r="AI89" s="819"/>
    </row>
    <row r="90" spans="7:53" x14ac:dyDescent="0.3">
      <c r="G90" s="153" t="s">
        <v>2055</v>
      </c>
      <c r="H90" s="153" t="s">
        <v>2049</v>
      </c>
      <c r="I90" s="153" t="s">
        <v>2024</v>
      </c>
      <c r="K90" s="968"/>
      <c r="L90" s="968" t="s">
        <v>2800</v>
      </c>
      <c r="M90" s="968" t="s">
        <v>2064</v>
      </c>
      <c r="N90" s="968" t="s">
        <v>2885</v>
      </c>
      <c r="O90" s="969" t="s">
        <v>2872</v>
      </c>
      <c r="P90" s="1050">
        <f>VLOOKUP(M90,'제품별 원재료비 '!$O$4:$S$48,5,FALSE)</f>
        <v>107965000</v>
      </c>
      <c r="Q90" s="968" t="s">
        <v>2862</v>
      </c>
      <c r="R90" s="968">
        <f>COUNTIFS(계정별원장!$A$3:$A$5997,"17",계정별원장!$B$3:$B$5997,'사업계획(매출 확정본)'!$M90)</f>
        <v>0</v>
      </c>
      <c r="S90" s="978">
        <v>35</v>
      </c>
      <c r="T90" s="978">
        <v>25</v>
      </c>
      <c r="U90" s="978">
        <v>30</v>
      </c>
      <c r="V90" s="978">
        <v>20</v>
      </c>
      <c r="W90" s="978">
        <v>10</v>
      </c>
      <c r="Y90" s="972">
        <v>100</v>
      </c>
      <c r="Z90" s="972">
        <v>100</v>
      </c>
      <c r="AA90" s="972">
        <v>120</v>
      </c>
      <c r="AB90" s="972">
        <v>120</v>
      </c>
      <c r="AC90" s="972">
        <v>120</v>
      </c>
      <c r="AD90" s="1048"/>
      <c r="AF90" s="153" t="s">
        <v>2873</v>
      </c>
      <c r="AG90" s="153" t="s">
        <v>2860</v>
      </c>
      <c r="AH90" s="968" t="s">
        <v>2867</v>
      </c>
      <c r="AI90" s="823">
        <f>S151+S154+S148</f>
        <v>2686000000</v>
      </c>
      <c r="AJ90" s="823">
        <f>T151+T154+T148</f>
        <v>5642000000</v>
      </c>
      <c r="AK90" s="823">
        <f>U151+U154+U148</f>
        <v>7405000000</v>
      </c>
      <c r="AL90" s="823">
        <f>V151+V154+V148</f>
        <v>9330000000</v>
      </c>
      <c r="AM90" s="823">
        <f>W151+W154+W148</f>
        <v>11427500000</v>
      </c>
      <c r="AZ90" s="153" t="s">
        <v>2886</v>
      </c>
      <c r="BA90" s="153" t="s">
        <v>2866</v>
      </c>
    </row>
    <row r="91" spans="7:53" x14ac:dyDescent="0.3">
      <c r="H91" s="153" t="s">
        <v>2049</v>
      </c>
      <c r="I91" s="153" t="s">
        <v>2024</v>
      </c>
      <c r="K91" s="968"/>
      <c r="L91" s="968"/>
      <c r="M91" s="968" t="s">
        <v>2064</v>
      </c>
      <c r="N91" s="968" t="s">
        <v>2885</v>
      </c>
      <c r="O91" s="969" t="s">
        <v>2872</v>
      </c>
      <c r="P91" s="969"/>
      <c r="Q91" s="968" t="s">
        <v>2865</v>
      </c>
      <c r="R91" s="1617" t="e">
        <f>R92/R90</f>
        <v>#DIV/0!</v>
      </c>
      <c r="S91" s="973">
        <v>183500000</v>
      </c>
      <c r="T91" s="973">
        <f>ROUND(S91*1.05,-5)</f>
        <v>192700000</v>
      </c>
      <c r="U91" s="973">
        <f t="shared" ref="U91:W91" si="81">ROUND(T91*1.05,-5)</f>
        <v>202300000</v>
      </c>
      <c r="V91" s="973">
        <f t="shared" si="81"/>
        <v>212400000</v>
      </c>
      <c r="W91" s="973">
        <f t="shared" si="81"/>
        <v>223000000</v>
      </c>
      <c r="Y91" s="973">
        <v>183500000</v>
      </c>
      <c r="Z91" s="973">
        <f>ROUND(Y91*1.05,-5)</f>
        <v>192700000</v>
      </c>
      <c r="AA91" s="973">
        <f t="shared" ref="AA91:AC91" si="82">ROUND(Z91*1.05,-5)</f>
        <v>202300000</v>
      </c>
      <c r="AB91" s="973">
        <f t="shared" si="82"/>
        <v>212400000</v>
      </c>
      <c r="AC91" s="973">
        <f t="shared" si="82"/>
        <v>223000000</v>
      </c>
      <c r="AD91" s="979"/>
      <c r="AH91" s="968" t="s">
        <v>2862</v>
      </c>
      <c r="AI91" s="1046">
        <f>S149+S152+S146</f>
        <v>30</v>
      </c>
      <c r="AJ91" s="153">
        <f>T149+T152+T146</f>
        <v>60</v>
      </c>
      <c r="AK91" s="153">
        <f>U149+U152+U146</f>
        <v>75</v>
      </c>
      <c r="AL91" s="153">
        <f>V149+V152+V146</f>
        <v>90</v>
      </c>
      <c r="AM91" s="153">
        <f>W149+W152+W146</f>
        <v>105</v>
      </c>
      <c r="AZ91" s="153" t="s">
        <v>2052</v>
      </c>
      <c r="BA91" s="153" t="s">
        <v>2887</v>
      </c>
    </row>
    <row r="92" spans="7:53" x14ac:dyDescent="0.3">
      <c r="K92" s="968"/>
      <c r="L92" s="968"/>
      <c r="M92" s="968" t="s">
        <v>2064</v>
      </c>
      <c r="N92" s="968" t="s">
        <v>2885</v>
      </c>
      <c r="O92" s="969" t="s">
        <v>2872</v>
      </c>
      <c r="P92" s="969"/>
      <c r="Q92" s="968" t="s">
        <v>2867</v>
      </c>
      <c r="R92" s="1616">
        <f>SUMIFS(계정별원장!$F$3:$F$5997,계정별원장!$A$3:$A$5997,"17",계정별원장!$B$3:$B$5997,'사업계획(매출 확정본)'!$M92)</f>
        <v>0</v>
      </c>
      <c r="S92" s="973">
        <f>S90*S91</f>
        <v>6422500000</v>
      </c>
      <c r="T92" s="973">
        <f t="shared" ref="T92:W92" si="83">T90*T91</f>
        <v>4817500000</v>
      </c>
      <c r="U92" s="973">
        <f t="shared" si="83"/>
        <v>6069000000</v>
      </c>
      <c r="V92" s="973">
        <f t="shared" si="83"/>
        <v>4248000000</v>
      </c>
      <c r="W92" s="973">
        <f t="shared" si="83"/>
        <v>2230000000</v>
      </c>
      <c r="Y92" s="979"/>
      <c r="Z92" s="979"/>
      <c r="AA92" s="979"/>
      <c r="AB92" s="979"/>
      <c r="AC92" s="979"/>
      <c r="AD92" s="979"/>
      <c r="AH92" s="968" t="s">
        <v>2865</v>
      </c>
      <c r="AI92" s="823">
        <f>AI90/AI91</f>
        <v>89533333.333333328</v>
      </c>
      <c r="AJ92" s="823">
        <f t="shared" ref="AJ92:AM92" si="84">AJ90/AJ91</f>
        <v>94033333.333333328</v>
      </c>
      <c r="AK92" s="823">
        <f t="shared" si="84"/>
        <v>98733333.333333328</v>
      </c>
      <c r="AL92" s="823">
        <f t="shared" si="84"/>
        <v>103666666.66666667</v>
      </c>
      <c r="AM92" s="823">
        <f t="shared" si="84"/>
        <v>108833333.33333333</v>
      </c>
    </row>
    <row r="93" spans="7:53" x14ac:dyDescent="0.3">
      <c r="H93" s="153" t="s">
        <v>2049</v>
      </c>
      <c r="I93" s="153" t="s">
        <v>2024</v>
      </c>
      <c r="K93" s="968"/>
      <c r="L93" s="968" t="s">
        <v>2800</v>
      </c>
      <c r="M93" s="968" t="s">
        <v>2842</v>
      </c>
      <c r="N93" s="968" t="s">
        <v>3230</v>
      </c>
      <c r="O93" s="969" t="s">
        <v>2868</v>
      </c>
      <c r="P93" s="1050">
        <f>VLOOKUP(M93,'제품별 원재료비 '!$O$4:$S$48,5,FALSE)</f>
        <v>23991660</v>
      </c>
      <c r="Q93" s="968" t="s">
        <v>2862</v>
      </c>
      <c r="R93" s="968">
        <f>COUNTIFS(계정별원장!$A$3:$A$5997,"17",계정별원장!$B$3:$B$5997,'사업계획(매출 확정본)'!$M93)</f>
        <v>4</v>
      </c>
      <c r="S93" s="972">
        <v>4</v>
      </c>
      <c r="T93" s="972">
        <v>10</v>
      </c>
      <c r="U93" s="972">
        <v>15</v>
      </c>
      <c r="V93" s="972">
        <v>20</v>
      </c>
      <c r="W93" s="972">
        <v>25</v>
      </c>
      <c r="AF93" s="153" t="s">
        <v>2877</v>
      </c>
      <c r="AG93" s="153" t="s">
        <v>2860</v>
      </c>
      <c r="AH93" s="968" t="s">
        <v>2867</v>
      </c>
      <c r="AI93" s="819">
        <f>AI94*AI95</f>
        <v>485000000</v>
      </c>
      <c r="AJ93" s="819">
        <f t="shared" ref="AJ93:AM93" si="85">AJ94*AJ95</f>
        <v>661700000</v>
      </c>
      <c r="AK93" s="819">
        <f t="shared" si="85"/>
        <v>854400000</v>
      </c>
      <c r="AL93" s="819">
        <f t="shared" si="85"/>
        <v>1065900000</v>
      </c>
      <c r="AM93" s="819">
        <f t="shared" si="85"/>
        <v>1295800000</v>
      </c>
      <c r="AZ93" s="153" t="s">
        <v>2050</v>
      </c>
      <c r="BA93" s="153" t="s">
        <v>2884</v>
      </c>
    </row>
    <row r="94" spans="7:53" x14ac:dyDescent="0.3">
      <c r="G94" s="153" t="s">
        <v>2028</v>
      </c>
      <c r="H94" s="153" t="s">
        <v>2049</v>
      </c>
      <c r="I94" s="153" t="s">
        <v>2024</v>
      </c>
      <c r="K94" s="968"/>
      <c r="L94" s="968"/>
      <c r="M94" s="968" t="s">
        <v>2842</v>
      </c>
      <c r="N94" s="968" t="s">
        <v>3230</v>
      </c>
      <c r="O94" s="969" t="s">
        <v>2868</v>
      </c>
      <c r="P94" s="969"/>
      <c r="Q94" s="968" t="s">
        <v>2865</v>
      </c>
      <c r="R94" s="1617">
        <f>R95/R93</f>
        <v>44181591</v>
      </c>
      <c r="S94" s="973">
        <v>44500000</v>
      </c>
      <c r="T94" s="973">
        <f>ROUND(S94*1.05,-5)</f>
        <v>46700000</v>
      </c>
      <c r="U94" s="973">
        <f t="shared" ref="U94:W94" si="86">ROUND(T94*1.05,-5)</f>
        <v>49000000</v>
      </c>
      <c r="V94" s="973">
        <f t="shared" si="86"/>
        <v>51500000</v>
      </c>
      <c r="W94" s="973">
        <f t="shared" si="86"/>
        <v>54100000</v>
      </c>
      <c r="AH94" s="968" t="s">
        <v>2862</v>
      </c>
      <c r="AI94" s="1046">
        <f>S158</f>
        <v>10</v>
      </c>
      <c r="AJ94" s="153">
        <f t="shared" ref="AJ94:AM95" si="87">T158</f>
        <v>13</v>
      </c>
      <c r="AK94" s="153">
        <f t="shared" si="87"/>
        <v>16</v>
      </c>
      <c r="AL94" s="153">
        <f t="shared" si="87"/>
        <v>19</v>
      </c>
      <c r="AM94" s="153">
        <f t="shared" si="87"/>
        <v>22</v>
      </c>
      <c r="AZ94" s="153" t="s">
        <v>2026</v>
      </c>
      <c r="BA94" s="153" t="s">
        <v>2887</v>
      </c>
    </row>
    <row r="95" spans="7:53" x14ac:dyDescent="0.3">
      <c r="K95" s="968"/>
      <c r="L95" s="968"/>
      <c r="M95" s="968" t="s">
        <v>2842</v>
      </c>
      <c r="N95" s="968" t="s">
        <v>3230</v>
      </c>
      <c r="O95" s="969" t="s">
        <v>2868</v>
      </c>
      <c r="P95" s="969"/>
      <c r="Q95" s="968" t="s">
        <v>2867</v>
      </c>
      <c r="R95" s="1616">
        <f>SUMIFS(계정별원장!$F$3:$F$5997,계정별원장!$A$3:$A$5997,"17",계정별원장!$B$3:$B$5997,'사업계획(매출 확정본)'!$M95)</f>
        <v>176726364</v>
      </c>
      <c r="S95" s="973">
        <f>S93*S94</f>
        <v>178000000</v>
      </c>
      <c r="T95" s="973">
        <f t="shared" ref="T95:W95" si="88">T93*T94</f>
        <v>467000000</v>
      </c>
      <c r="U95" s="973">
        <f t="shared" si="88"/>
        <v>735000000</v>
      </c>
      <c r="V95" s="973">
        <f t="shared" si="88"/>
        <v>1030000000</v>
      </c>
      <c r="W95" s="973">
        <f t="shared" si="88"/>
        <v>1352500000</v>
      </c>
      <c r="AH95" s="968" t="s">
        <v>2865</v>
      </c>
      <c r="AI95" s="823">
        <f>S159</f>
        <v>48500000</v>
      </c>
      <c r="AJ95" s="823">
        <f t="shared" si="87"/>
        <v>50900000</v>
      </c>
      <c r="AK95" s="823">
        <f t="shared" si="87"/>
        <v>53400000</v>
      </c>
      <c r="AL95" s="823">
        <f t="shared" si="87"/>
        <v>56100000</v>
      </c>
      <c r="AM95" s="823">
        <f t="shared" si="87"/>
        <v>58900000</v>
      </c>
    </row>
    <row r="96" spans="7:53" x14ac:dyDescent="0.3">
      <c r="H96" s="153" t="s">
        <v>2058</v>
      </c>
      <c r="I96" s="153" t="s">
        <v>2802</v>
      </c>
      <c r="K96" s="968"/>
      <c r="L96" s="968" t="s">
        <v>2889</v>
      </c>
      <c r="M96" s="968" t="s">
        <v>2051</v>
      </c>
      <c r="N96" s="968" t="s">
        <v>2885</v>
      </c>
      <c r="O96" s="969" t="s">
        <v>2872</v>
      </c>
      <c r="P96" s="1050">
        <f>VLOOKUP(M96,'제품별 원재료비 '!$O$4:$S$48,5,FALSE)</f>
        <v>84208180</v>
      </c>
      <c r="Q96" s="968" t="s">
        <v>2862</v>
      </c>
      <c r="R96" s="968">
        <f>COUNTIFS(계정별원장!$A$3:$A$5997,"17",계정별원장!$B$3:$B$5997,'사업계획(매출 확정본)'!$M96)</f>
        <v>2</v>
      </c>
      <c r="S96" s="972">
        <v>26</v>
      </c>
      <c r="T96" s="972">
        <v>35</v>
      </c>
      <c r="U96" s="972">
        <v>40</v>
      </c>
      <c r="V96" s="972">
        <v>40</v>
      </c>
      <c r="W96" s="972">
        <v>40</v>
      </c>
      <c r="AF96" s="153" t="s">
        <v>2879</v>
      </c>
      <c r="AG96" s="153" t="s">
        <v>2860</v>
      </c>
      <c r="AH96" s="968" t="s">
        <v>2867</v>
      </c>
      <c r="AI96" s="823">
        <f>AI97*AI98</f>
        <v>0</v>
      </c>
      <c r="AJ96" s="823">
        <f t="shared" ref="AJ96:AM96" si="89">AJ97*AJ98</f>
        <v>584000000</v>
      </c>
      <c r="AK96" s="823">
        <f t="shared" si="89"/>
        <v>796900000</v>
      </c>
      <c r="AL96" s="823">
        <f t="shared" si="89"/>
        <v>1030400000</v>
      </c>
      <c r="AM96" s="823">
        <f t="shared" si="89"/>
        <v>1284400000</v>
      </c>
      <c r="AZ96" s="153" t="s">
        <v>2890</v>
      </c>
      <c r="BA96" s="153" t="s">
        <v>2876</v>
      </c>
    </row>
    <row r="97" spans="7:53" x14ac:dyDescent="0.3">
      <c r="G97" s="153" t="s">
        <v>2057</v>
      </c>
      <c r="H97" s="153" t="s">
        <v>2028</v>
      </c>
      <c r="I97" s="153" t="s">
        <v>2023</v>
      </c>
      <c r="K97" s="968"/>
      <c r="L97" s="968"/>
      <c r="M97" s="968" t="s">
        <v>2051</v>
      </c>
      <c r="N97" s="968" t="s">
        <v>2885</v>
      </c>
      <c r="O97" s="969" t="s">
        <v>2872</v>
      </c>
      <c r="P97" s="969"/>
      <c r="Q97" s="968" t="s">
        <v>2865</v>
      </c>
      <c r="R97" s="1617">
        <f>R98/R96</f>
        <v>1207000000</v>
      </c>
      <c r="S97" s="973">
        <v>115000000</v>
      </c>
      <c r="T97" s="973">
        <f>ROUND(S97*1.05,-5)</f>
        <v>120800000</v>
      </c>
      <c r="U97" s="973">
        <f t="shared" ref="U97:W97" si="90">ROUND(T97*1.05,-5)</f>
        <v>126800000</v>
      </c>
      <c r="V97" s="973">
        <f t="shared" si="90"/>
        <v>133100000</v>
      </c>
      <c r="W97" s="973">
        <f t="shared" si="90"/>
        <v>139800000</v>
      </c>
      <c r="AH97" s="968" t="s">
        <v>2862</v>
      </c>
      <c r="AI97" s="1046">
        <f>S155</f>
        <v>0</v>
      </c>
      <c r="AJ97" s="153">
        <f t="shared" ref="AJ97:AM98" si="91">T155</f>
        <v>10</v>
      </c>
      <c r="AK97" s="153">
        <f t="shared" si="91"/>
        <v>13</v>
      </c>
      <c r="AL97" s="153">
        <f t="shared" si="91"/>
        <v>16</v>
      </c>
      <c r="AM97" s="153">
        <f t="shared" si="91"/>
        <v>19</v>
      </c>
      <c r="AZ97" s="153" t="s">
        <v>2891</v>
      </c>
      <c r="BA97" s="153" t="s">
        <v>2887</v>
      </c>
    </row>
    <row r="98" spans="7:53" x14ac:dyDescent="0.3">
      <c r="K98" s="968"/>
      <c r="L98" s="968"/>
      <c r="M98" s="968" t="s">
        <v>2051</v>
      </c>
      <c r="N98" s="968" t="s">
        <v>2885</v>
      </c>
      <c r="O98" s="969" t="s">
        <v>2872</v>
      </c>
      <c r="P98" s="969"/>
      <c r="Q98" s="968" t="s">
        <v>2867</v>
      </c>
      <c r="R98" s="1616">
        <f>SUMIFS(계정별원장!$F$3:$F$5997,계정별원장!$A$3:$A$5997,"17",계정별원장!$B$3:$B$5997,'사업계획(매출 확정본)'!$M98)</f>
        <v>2414000000</v>
      </c>
      <c r="S98" s="973">
        <f>S96*S97</f>
        <v>2990000000</v>
      </c>
      <c r="T98" s="973">
        <f t="shared" ref="T98:W98" si="92">T96*T97</f>
        <v>4228000000</v>
      </c>
      <c r="U98" s="973">
        <f t="shared" si="92"/>
        <v>5072000000</v>
      </c>
      <c r="V98" s="973">
        <f t="shared" si="92"/>
        <v>5324000000</v>
      </c>
      <c r="W98" s="973">
        <f t="shared" si="92"/>
        <v>5592000000</v>
      </c>
      <c r="AH98" s="968" t="s">
        <v>2865</v>
      </c>
      <c r="AI98" s="823">
        <f>S156</f>
        <v>95600000</v>
      </c>
      <c r="AJ98" s="823">
        <f t="shared" si="91"/>
        <v>58400000</v>
      </c>
      <c r="AK98" s="823">
        <f t="shared" si="91"/>
        <v>61300000</v>
      </c>
      <c r="AL98" s="823">
        <f t="shared" si="91"/>
        <v>64400000</v>
      </c>
      <c r="AM98" s="823">
        <f t="shared" si="91"/>
        <v>67600000</v>
      </c>
    </row>
    <row r="99" spans="7:53" x14ac:dyDescent="0.3">
      <c r="H99" s="153" t="s">
        <v>2037</v>
      </c>
      <c r="I99" s="153" t="s">
        <v>2802</v>
      </c>
      <c r="K99" s="968"/>
      <c r="L99" s="968" t="s">
        <v>2800</v>
      </c>
      <c r="M99" s="968" t="s">
        <v>2846</v>
      </c>
      <c r="N99" s="968" t="s">
        <v>2892</v>
      </c>
      <c r="O99" s="969" t="s">
        <v>2893</v>
      </c>
      <c r="P99" s="1050">
        <f>VLOOKUP(M99,'제품별 원재료비 '!$O$4:$S$48,5,FALSE)</f>
        <v>24849500</v>
      </c>
      <c r="Q99" s="968" t="s">
        <v>2862</v>
      </c>
      <c r="R99" s="968">
        <f>COUNTIFS(계정별원장!$A$3:$A$5997,"17",계정별원장!$B$3:$B$5997,'사업계획(매출 확정본)'!$M99)</f>
        <v>1</v>
      </c>
      <c r="S99" s="972">
        <v>15</v>
      </c>
      <c r="T99" s="972">
        <v>25</v>
      </c>
      <c r="U99" s="972">
        <v>40</v>
      </c>
      <c r="V99" s="972">
        <v>45</v>
      </c>
      <c r="W99" s="972">
        <v>50</v>
      </c>
      <c r="AF99" s="153" t="s">
        <v>2861</v>
      </c>
      <c r="AG99" s="153" t="s">
        <v>2860</v>
      </c>
      <c r="AH99" s="968" t="s">
        <v>2867</v>
      </c>
      <c r="AI99" s="823">
        <f>AI100*AI101</f>
        <v>0</v>
      </c>
      <c r="AJ99" s="823">
        <f t="shared" ref="AJ99:AM99" si="93">AJ100*AJ101</f>
        <v>0</v>
      </c>
      <c r="AK99" s="823">
        <f t="shared" si="93"/>
        <v>0</v>
      </c>
      <c r="AL99" s="823">
        <f t="shared" si="93"/>
        <v>0</v>
      </c>
      <c r="AM99" s="823">
        <f t="shared" si="93"/>
        <v>0</v>
      </c>
      <c r="AZ99" s="153" t="s">
        <v>2894</v>
      </c>
    </row>
    <row r="100" spans="7:53" x14ac:dyDescent="0.3">
      <c r="G100" s="153" t="s">
        <v>2053</v>
      </c>
      <c r="H100" s="153" t="s">
        <v>2038</v>
      </c>
      <c r="I100" s="153" t="s">
        <v>2802</v>
      </c>
      <c r="K100" s="968"/>
      <c r="L100" s="968"/>
      <c r="M100" s="968" t="s">
        <v>2846</v>
      </c>
      <c r="N100" s="968" t="s">
        <v>2892</v>
      </c>
      <c r="O100" s="969" t="s">
        <v>2893</v>
      </c>
      <c r="P100" s="969"/>
      <c r="Q100" s="968" t="s">
        <v>2865</v>
      </c>
      <c r="R100" s="1617">
        <f>R101/R99</f>
        <v>36900000</v>
      </c>
      <c r="S100" s="973">
        <v>36900000</v>
      </c>
      <c r="T100" s="973">
        <f>ROUND(S100*1.05,-5)</f>
        <v>38700000</v>
      </c>
      <c r="U100" s="973">
        <f t="shared" ref="U100:W100" si="94">ROUND(T100*1.05,-5)</f>
        <v>40600000</v>
      </c>
      <c r="V100" s="973">
        <f t="shared" si="94"/>
        <v>42600000</v>
      </c>
      <c r="W100" s="973">
        <f t="shared" si="94"/>
        <v>44700000</v>
      </c>
      <c r="AH100" s="968" t="s">
        <v>2862</v>
      </c>
      <c r="AI100" s="1046"/>
      <c r="AZ100" s="153" t="s">
        <v>2895</v>
      </c>
    </row>
    <row r="101" spans="7:53" x14ac:dyDescent="0.3">
      <c r="K101" s="968"/>
      <c r="L101" s="968"/>
      <c r="M101" s="968" t="s">
        <v>2846</v>
      </c>
      <c r="N101" s="968" t="s">
        <v>2892</v>
      </c>
      <c r="O101" s="969" t="s">
        <v>2893</v>
      </c>
      <c r="P101" s="969"/>
      <c r="Q101" s="968" t="s">
        <v>2867</v>
      </c>
      <c r="R101" s="1616">
        <f>SUMIFS(계정별원장!$F$3:$F$5997,계정별원장!$A$3:$A$5997,"17",계정별원장!$B$3:$B$5997,'사업계획(매출 확정본)'!$M101)</f>
        <v>36900000</v>
      </c>
      <c r="S101" s="983">
        <f>S99*S100</f>
        <v>553500000</v>
      </c>
      <c r="T101" s="973">
        <f t="shared" ref="T101:W101" si="95">T99*T100</f>
        <v>967500000</v>
      </c>
      <c r="U101" s="973">
        <f t="shared" si="95"/>
        <v>1624000000</v>
      </c>
      <c r="V101" s="973">
        <f t="shared" si="95"/>
        <v>1917000000</v>
      </c>
      <c r="W101" s="973">
        <f t="shared" si="95"/>
        <v>2235000000</v>
      </c>
      <c r="AH101" s="968" t="s">
        <v>2865</v>
      </c>
    </row>
    <row r="102" spans="7:53" x14ac:dyDescent="0.3">
      <c r="H102" s="153" t="s">
        <v>2037</v>
      </c>
      <c r="I102" s="153" t="s">
        <v>2802</v>
      </c>
      <c r="K102" s="968"/>
      <c r="L102" s="968" t="s">
        <v>2896</v>
      </c>
      <c r="M102" s="968" t="s">
        <v>2878</v>
      </c>
      <c r="N102" s="972" t="s">
        <v>2888</v>
      </c>
      <c r="O102" s="1561" t="s">
        <v>2868</v>
      </c>
      <c r="P102" s="1050">
        <f>VLOOKUP(M102,'제품별 원재료비 '!$O$4:$S$48,5,FALSE)</f>
        <v>27143850</v>
      </c>
      <c r="Q102" s="968" t="s">
        <v>2862</v>
      </c>
      <c r="R102" s="968">
        <f>COUNTIFS(계정별원장!$A$3:$A$5997,"17",계정별원장!$B$3:$B$5997,'사업계획(매출 확정본)'!$M102)</f>
        <v>15</v>
      </c>
      <c r="S102" s="972">
        <v>16</v>
      </c>
      <c r="T102" s="972">
        <v>25</v>
      </c>
      <c r="U102" s="972">
        <v>45</v>
      </c>
      <c r="V102" s="972">
        <v>40</v>
      </c>
      <c r="W102" s="972">
        <v>40</v>
      </c>
      <c r="AF102" s="153" t="s">
        <v>3237</v>
      </c>
      <c r="AI102" s="980">
        <f>SUM(AI78,AI81,AI84,AI87,AI90,AI93,AI96,AI99)</f>
        <v>28842666666.666668</v>
      </c>
      <c r="AJ102" s="980">
        <f t="shared" ref="AJ102:AM102" si="96">SUM(AJ78,AJ81,AJ84,AJ87,AJ90,AJ93,AJ96,AJ99)</f>
        <v>37672300000</v>
      </c>
      <c r="AK102" s="980">
        <f t="shared" si="96"/>
        <v>44171700000</v>
      </c>
      <c r="AL102" s="980">
        <f t="shared" si="96"/>
        <v>51236700000</v>
      </c>
      <c r="AM102" s="980">
        <f t="shared" si="96"/>
        <v>60271100000</v>
      </c>
    </row>
    <row r="103" spans="7:53" x14ac:dyDescent="0.3">
      <c r="G103" s="153" t="s">
        <v>2030</v>
      </c>
      <c r="H103" s="153" t="s">
        <v>2028</v>
      </c>
      <c r="I103" s="153" t="s">
        <v>2023</v>
      </c>
      <c r="K103" s="968"/>
      <c r="L103" s="968"/>
      <c r="M103" s="968" t="s">
        <v>2878</v>
      </c>
      <c r="N103" s="972" t="s">
        <v>2888</v>
      </c>
      <c r="O103" s="1561" t="s">
        <v>2868</v>
      </c>
      <c r="P103" s="969"/>
      <c r="Q103" s="968" t="s">
        <v>2865</v>
      </c>
      <c r="R103" s="1617">
        <f>R104/R102</f>
        <v>41842100</v>
      </c>
      <c r="S103" s="973">
        <v>42000000</v>
      </c>
      <c r="T103" s="973">
        <f>ROUND(S103*1.05,-5)</f>
        <v>44100000</v>
      </c>
      <c r="U103" s="973">
        <f t="shared" ref="U103:W103" si="97">ROUND(T103*1.05,-5)</f>
        <v>46300000</v>
      </c>
      <c r="V103" s="973">
        <f t="shared" si="97"/>
        <v>48600000</v>
      </c>
      <c r="W103" s="973">
        <f t="shared" si="97"/>
        <v>51000000</v>
      </c>
    </row>
    <row r="104" spans="7:53" x14ac:dyDescent="0.3">
      <c r="K104" s="968"/>
      <c r="L104" s="968"/>
      <c r="M104" s="968" t="s">
        <v>2878</v>
      </c>
      <c r="N104" s="972" t="s">
        <v>2888</v>
      </c>
      <c r="O104" s="1561" t="s">
        <v>2868</v>
      </c>
      <c r="P104" s="969"/>
      <c r="Q104" s="968" t="s">
        <v>2867</v>
      </c>
      <c r="R104" s="1616">
        <f>SUMIFS(계정별원장!$F$3:$F$5997,계정별원장!$A$3:$A$5997,"17",계정별원장!$B$3:$B$5997,'사업계획(매출 확정본)'!$M104)</f>
        <v>627631500</v>
      </c>
      <c r="S104" s="973">
        <f>S102*S103</f>
        <v>672000000</v>
      </c>
      <c r="T104" s="973">
        <f t="shared" ref="T104:W104" si="98">T102*T103</f>
        <v>1102500000</v>
      </c>
      <c r="U104" s="973">
        <f t="shared" si="98"/>
        <v>2083500000</v>
      </c>
      <c r="V104" s="973">
        <f t="shared" si="98"/>
        <v>1944000000</v>
      </c>
      <c r="W104" s="973">
        <f t="shared" si="98"/>
        <v>2040000000</v>
      </c>
      <c r="AF104" s="153" t="s">
        <v>2897</v>
      </c>
      <c r="AI104" s="991">
        <f>AI102+AI11</f>
        <v>140885466666.66666</v>
      </c>
      <c r="AJ104" s="991">
        <f>AJ102+AJ11</f>
        <v>180602500000</v>
      </c>
      <c r="AK104" s="991">
        <f>AK102+AK11</f>
        <v>232128400000</v>
      </c>
      <c r="AL104" s="991">
        <f>AL102+AL11</f>
        <v>259235300000</v>
      </c>
      <c r="AM104" s="991">
        <f>AM102+AM11</f>
        <v>286625000000</v>
      </c>
    </row>
    <row r="105" spans="7:53" x14ac:dyDescent="0.3">
      <c r="G105" s="153" t="s">
        <v>2037</v>
      </c>
      <c r="H105" s="153" t="s">
        <v>2059</v>
      </c>
      <c r="I105" s="153" t="s">
        <v>2024</v>
      </c>
      <c r="K105" s="968"/>
      <c r="L105" s="981" t="s">
        <v>2898</v>
      </c>
      <c r="M105" s="981" t="s">
        <v>2899</v>
      </c>
      <c r="N105" s="981" t="s">
        <v>2847</v>
      </c>
      <c r="O105" s="982" t="s">
        <v>2139</v>
      </c>
      <c r="P105" s="1050">
        <v>50000000</v>
      </c>
      <c r="Q105" s="981" t="s">
        <v>2862</v>
      </c>
      <c r="R105" s="981"/>
      <c r="S105" s="981">
        <v>100</v>
      </c>
      <c r="T105" s="981">
        <v>110</v>
      </c>
      <c r="U105" s="981">
        <v>140</v>
      </c>
      <c r="V105" s="981">
        <v>140</v>
      </c>
      <c r="W105" s="981">
        <v>150</v>
      </c>
    </row>
    <row r="106" spans="7:53" x14ac:dyDescent="0.3">
      <c r="G106" s="153" t="s">
        <v>2059</v>
      </c>
      <c r="H106" s="153" t="s">
        <v>2059</v>
      </c>
      <c r="I106" s="153" t="s">
        <v>2024</v>
      </c>
      <c r="K106" s="968"/>
      <c r="L106" s="981"/>
      <c r="M106" s="981" t="s">
        <v>2899</v>
      </c>
      <c r="N106" s="981" t="s">
        <v>2847</v>
      </c>
      <c r="O106" s="982" t="s">
        <v>2139</v>
      </c>
      <c r="P106" s="982"/>
      <c r="Q106" s="981" t="s">
        <v>2865</v>
      </c>
      <c r="R106" s="981"/>
      <c r="S106" s="983">
        <v>110000000</v>
      </c>
      <c r="T106" s="983">
        <f>ROUND(S106*1.05,-5)</f>
        <v>115500000</v>
      </c>
      <c r="U106" s="983">
        <f t="shared" ref="U106:W106" si="99">ROUND(T106*1.05,-5)</f>
        <v>121300000</v>
      </c>
      <c r="V106" s="983">
        <f t="shared" si="99"/>
        <v>127400000</v>
      </c>
      <c r="W106" s="983">
        <f t="shared" si="99"/>
        <v>133800000</v>
      </c>
      <c r="AF106" s="153" t="s">
        <v>2900</v>
      </c>
      <c r="AI106" s="992">
        <f>매출액!G210</f>
        <v>5896230895.1452065</v>
      </c>
      <c r="AJ106" s="992">
        <f>매출액!H210</f>
        <v>7521674405.577898</v>
      </c>
      <c r="AK106" s="992">
        <f>매출액!I210</f>
        <v>9891185346.0422173</v>
      </c>
      <c r="AL106" s="992">
        <f>매출액!J210</f>
        <v>10945886495.758314</v>
      </c>
      <c r="AM106" s="992">
        <f>매출액!K210</f>
        <v>11911830643.43812</v>
      </c>
    </row>
    <row r="107" spans="7:53" x14ac:dyDescent="0.3">
      <c r="K107" s="968"/>
      <c r="L107" s="981"/>
      <c r="M107" s="981" t="s">
        <v>2899</v>
      </c>
      <c r="N107" s="981" t="s">
        <v>2847</v>
      </c>
      <c r="O107" s="982" t="s">
        <v>2139</v>
      </c>
      <c r="P107" s="982"/>
      <c r="Q107" s="968" t="s">
        <v>2867</v>
      </c>
      <c r="R107" s="968"/>
      <c r="S107" s="973">
        <f>S105*S106</f>
        <v>11000000000</v>
      </c>
      <c r="T107" s="973">
        <f t="shared" ref="T107:W107" si="100">T105*T106</f>
        <v>12705000000</v>
      </c>
      <c r="U107" s="973">
        <f t="shared" si="100"/>
        <v>16982000000</v>
      </c>
      <c r="V107" s="973">
        <f t="shared" si="100"/>
        <v>17836000000</v>
      </c>
      <c r="W107" s="973">
        <f t="shared" si="100"/>
        <v>20070000000</v>
      </c>
      <c r="AI107" s="823"/>
      <c r="AJ107" s="823"/>
      <c r="AK107" s="823"/>
      <c r="AL107" s="823"/>
      <c r="AM107" s="823"/>
    </row>
    <row r="108" spans="7:53" x14ac:dyDescent="0.3">
      <c r="K108" s="968"/>
      <c r="L108" s="981"/>
      <c r="M108" s="981" t="s">
        <v>3279</v>
      </c>
      <c r="N108" s="981" t="s">
        <v>2847</v>
      </c>
      <c r="O108" s="982" t="s">
        <v>2139</v>
      </c>
      <c r="P108" s="982"/>
      <c r="Q108" s="981" t="s">
        <v>2862</v>
      </c>
      <c r="R108" s="981"/>
      <c r="S108" s="973">
        <v>10</v>
      </c>
      <c r="T108" s="973">
        <v>20</v>
      </c>
      <c r="U108" s="973">
        <v>20</v>
      </c>
      <c r="V108" s="973">
        <v>20</v>
      </c>
      <c r="W108" s="973">
        <v>20</v>
      </c>
      <c r="X108" s="153" t="s">
        <v>3280</v>
      </c>
      <c r="AI108" s="823">
        <v>28842666666.666668</v>
      </c>
      <c r="AJ108" s="823">
        <v>37847300000</v>
      </c>
      <c r="AK108" s="823">
        <v>44529700000</v>
      </c>
      <c r="AL108" s="823">
        <v>51786700000</v>
      </c>
      <c r="AM108" s="823">
        <v>61025100000</v>
      </c>
    </row>
    <row r="109" spans="7:53" x14ac:dyDescent="0.3">
      <c r="K109" s="968"/>
      <c r="L109" s="981"/>
      <c r="M109" s="981" t="s">
        <v>3279</v>
      </c>
      <c r="N109" s="981" t="s">
        <v>2847</v>
      </c>
      <c r="O109" s="982" t="s">
        <v>2139</v>
      </c>
      <c r="P109" s="982"/>
      <c r="Q109" s="981" t="s">
        <v>2865</v>
      </c>
      <c r="R109" s="981"/>
      <c r="S109" s="973">
        <v>125000000</v>
      </c>
      <c r="T109" s="973">
        <v>131300000</v>
      </c>
      <c r="U109" s="973">
        <v>137900000</v>
      </c>
      <c r="V109" s="973">
        <v>144800000</v>
      </c>
      <c r="W109" s="973">
        <v>152000000</v>
      </c>
    </row>
    <row r="110" spans="7:53" x14ac:dyDescent="0.3">
      <c r="K110" s="968"/>
      <c r="L110" s="981"/>
      <c r="M110" s="981" t="s">
        <v>3279</v>
      </c>
      <c r="N110" s="981" t="s">
        <v>2847</v>
      </c>
      <c r="O110" s="982" t="s">
        <v>2139</v>
      </c>
      <c r="P110" s="982"/>
      <c r="Q110" s="968" t="s">
        <v>2818</v>
      </c>
      <c r="R110" s="968"/>
      <c r="S110" s="973">
        <f>S108*S109</f>
        <v>1250000000</v>
      </c>
      <c r="T110" s="973">
        <f t="shared" ref="T110:W110" si="101">T108*T109</f>
        <v>2626000000</v>
      </c>
      <c r="U110" s="973">
        <f t="shared" si="101"/>
        <v>2758000000</v>
      </c>
      <c r="V110" s="973">
        <f t="shared" si="101"/>
        <v>2896000000</v>
      </c>
      <c r="W110" s="973">
        <f t="shared" si="101"/>
        <v>3040000000</v>
      </c>
    </row>
    <row r="111" spans="7:53" x14ac:dyDescent="0.3">
      <c r="H111" s="153" t="s">
        <v>2059</v>
      </c>
      <c r="I111" s="153" t="s">
        <v>2024</v>
      </c>
      <c r="K111" s="968"/>
      <c r="L111" s="981" t="s">
        <v>2898</v>
      </c>
      <c r="M111" s="981" t="s">
        <v>2901</v>
      </c>
      <c r="N111" s="981" t="s">
        <v>3575</v>
      </c>
      <c r="O111" s="982" t="s">
        <v>2859</v>
      </c>
      <c r="P111" s="1050">
        <v>100000000</v>
      </c>
      <c r="Q111" s="981" t="s">
        <v>2862</v>
      </c>
      <c r="R111" s="981"/>
      <c r="S111" s="981">
        <v>0</v>
      </c>
      <c r="T111" s="981">
        <v>5</v>
      </c>
      <c r="U111" s="981">
        <v>25</v>
      </c>
      <c r="V111" s="981">
        <v>30</v>
      </c>
      <c r="W111" s="981">
        <v>35</v>
      </c>
    </row>
    <row r="112" spans="7:53" x14ac:dyDescent="0.3">
      <c r="H112" s="153" t="s">
        <v>2059</v>
      </c>
      <c r="I112" s="153" t="s">
        <v>2024</v>
      </c>
      <c r="K112" s="968"/>
      <c r="L112" s="981"/>
      <c r="M112" s="981" t="s">
        <v>2901</v>
      </c>
      <c r="N112" s="981" t="s">
        <v>2847</v>
      </c>
      <c r="O112" s="982" t="s">
        <v>2859</v>
      </c>
      <c r="P112" s="982"/>
      <c r="Q112" s="981" t="s">
        <v>2865</v>
      </c>
      <c r="R112" s="981"/>
      <c r="S112" s="983">
        <v>0</v>
      </c>
      <c r="T112" s="983">
        <v>285000000</v>
      </c>
      <c r="U112" s="983">
        <f t="shared" ref="U112:W112" si="102">ROUND(T112*1.05,-5)</f>
        <v>299300000</v>
      </c>
      <c r="V112" s="983">
        <f t="shared" si="102"/>
        <v>314300000</v>
      </c>
      <c r="W112" s="983">
        <f t="shared" si="102"/>
        <v>330000000</v>
      </c>
      <c r="AF112" s="153" t="s">
        <v>2902</v>
      </c>
      <c r="AI112" s="992">
        <f>(S123+S124)*1000000</f>
        <v>2734000000</v>
      </c>
      <c r="AJ112" s="992">
        <f>(T123+T124)*1000000+매출액!H223</f>
        <v>3200000000</v>
      </c>
      <c r="AK112" s="992">
        <f>(U123+U124)*1000000+매출액!I223</f>
        <v>4250000000</v>
      </c>
      <c r="AL112" s="992">
        <f>(V123+V124)*1000000</f>
        <v>2300000000</v>
      </c>
      <c r="AM112" s="992">
        <f>매출액!K220</f>
        <v>4667500000</v>
      </c>
    </row>
    <row r="113" spans="7:39" x14ac:dyDescent="0.3">
      <c r="K113" s="37"/>
      <c r="L113" s="984"/>
      <c r="M113" s="981" t="s">
        <v>2901</v>
      </c>
      <c r="N113" s="981" t="s">
        <v>3576</v>
      </c>
      <c r="O113" s="982" t="s">
        <v>2859</v>
      </c>
      <c r="P113" s="982"/>
      <c r="Q113" s="968" t="s">
        <v>2867</v>
      </c>
      <c r="R113" s="968"/>
      <c r="S113" s="973">
        <f>S111*S112</f>
        <v>0</v>
      </c>
      <c r="T113" s="973">
        <f t="shared" ref="T113:W113" si="103">T111*T112</f>
        <v>1425000000</v>
      </c>
      <c r="U113" s="973">
        <f t="shared" si="103"/>
        <v>7482500000</v>
      </c>
      <c r="V113" s="973">
        <f t="shared" si="103"/>
        <v>9429000000</v>
      </c>
      <c r="W113" s="973">
        <f t="shared" si="103"/>
        <v>11550000000</v>
      </c>
    </row>
    <row r="114" spans="7:39" x14ac:dyDescent="0.3">
      <c r="G114" s="153" t="s">
        <v>2049</v>
      </c>
      <c r="H114" s="153" t="s">
        <v>2059</v>
      </c>
      <c r="I114" s="153" t="s">
        <v>2024</v>
      </c>
      <c r="S114" s="153">
        <f>S12+S15+S18+S21+S24+S27+S30+S33+S36+S39+S42+S45+S48+S51+S54+S57+S60+S63+S66+S69+S72+S75+S78+S81+S84+S87+S90+S93+S96+S99+S102+S105+S111</f>
        <v>1840</v>
      </c>
      <c r="T114" s="153">
        <f>T12+T15+T18+T21+T24+T27+T30+T33+T36+T39+T42+T45+T48+T51+T54+T57+T60+T63+T66+T69+T72+T75+T78+T81+T84+T87+T90+T93+T96+T99+T102+T105+T111</f>
        <v>2205</v>
      </c>
      <c r="U114" s="153">
        <f>U12+U15+U18+U21+U24+U27+U30+U33+U36+U39+U42+U45+U48+U51+U54+U57+U60+U63+U66+U69+U72+U75+U78+U81+U84+U87+U90+U93+U96+U99+U102+U105+U111</f>
        <v>2645</v>
      </c>
      <c r="V114" s="153">
        <f>V12+V15+V18+V21+V24+V27+V30+V33+V36+V39+V42+V45+V48+V51+V54+V57+V60+V63+V66+V69+V72+V75+V78+V81+V84+V87+V90+V93+V96+V99+V102+V105+V111</f>
        <v>2813</v>
      </c>
      <c r="W114" s="153">
        <f>W12+W15+W18+W21+W24+W27+W30+W33+W36+W39+W42+W45+W48+W51+W54+W57+W60+W63+W66+W69+W72+W75+W78+W81+W84+W87+W90+W93+W96+W99+W102+W105+W111</f>
        <v>2919</v>
      </c>
      <c r="AF114" s="993" t="s">
        <v>2903</v>
      </c>
      <c r="AG114" s="994"/>
      <c r="AH114" s="994"/>
      <c r="AI114" s="995">
        <f>AI104+AI106+AI112</f>
        <v>149515697561.81186</v>
      </c>
      <c r="AJ114" s="995">
        <f>AJ104+AJ106+AJ112</f>
        <v>191324174405.57791</v>
      </c>
      <c r="AK114" s="995">
        <f>AK104+AK106+AK112</f>
        <v>246269585346.04221</v>
      </c>
      <c r="AL114" s="995">
        <f>AL104+AL106+AL112</f>
        <v>272481186495.7583</v>
      </c>
      <c r="AM114" s="995">
        <f>AM104+AM106+AM112</f>
        <v>303204330643.43811</v>
      </c>
    </row>
    <row r="115" spans="7:39" x14ac:dyDescent="0.3">
      <c r="G115" s="153" t="s">
        <v>2060</v>
      </c>
      <c r="H115" s="153" t="s">
        <v>2058</v>
      </c>
      <c r="I115" s="153" t="s">
        <v>2802</v>
      </c>
      <c r="R115" s="823">
        <f>SUMIF($Q$12:$Q$113,$Q$113,R$12:R$113)</f>
        <v>60412435034</v>
      </c>
      <c r="S115" s="823">
        <f>S12*S13+S15*S16+S18*S19+S21*S22+S24*S25+S27*S28+S30*S31+S33*S34+S36*S37+S39*S40+S42*S43+S45*S46+S48*S49+S51*S52+S54*S55+S57*S58+S60*S61+S63*S64+S66*S67+S69*S70+S72*S73+S75*S76+S78*S79+S81*S82+S84*S85+S87*S88+S90*S91+S93*S94+S96*S97+S99*S100+S102*S103+S105*S106+S111*S112+S108*S109</f>
        <v>112042800000</v>
      </c>
      <c r="T115" s="823">
        <f t="shared" ref="T115:W115" si="104">T12*T13+T15*T16+T18*T19+T21*T22+T24*T25+T27*T28+T30*T31+T33*T34+T36*T37+T39*T40+T42*T43+T45*T46+T48*T49+T51*T52+T54*T55+T57*T58+T60*T61+T63*T64+T66*T67+T69*T70+T72*T73+T75*T76+T78*T79+T81*T82+T84*T85+T87*T88+T90*T91+T93*T94+T96*T97+T99*T100+T102*T103+T105*T106+T111*T112+T108*T109</f>
        <v>142930200000</v>
      </c>
      <c r="U115" s="823">
        <f t="shared" si="104"/>
        <v>187956700000</v>
      </c>
      <c r="V115" s="823">
        <f t="shared" si="104"/>
        <v>207998600000</v>
      </c>
      <c r="W115" s="823">
        <f t="shared" si="104"/>
        <v>226353900000</v>
      </c>
    </row>
    <row r="116" spans="7:39" x14ac:dyDescent="0.3">
      <c r="G116" s="153" t="s">
        <v>2061</v>
      </c>
      <c r="H116" s="153" t="s">
        <v>2039</v>
      </c>
      <c r="I116" s="153" t="s">
        <v>2802</v>
      </c>
      <c r="S116" s="823">
        <f>AI11</f>
        <v>112042800000</v>
      </c>
      <c r="T116" s="823">
        <f t="shared" ref="T116:W116" si="105">AJ11</f>
        <v>142930200000</v>
      </c>
      <c r="U116" s="823">
        <f t="shared" si="105"/>
        <v>187956700000</v>
      </c>
      <c r="V116" s="823">
        <f t="shared" si="105"/>
        <v>207998600000</v>
      </c>
      <c r="W116" s="823">
        <f t="shared" si="105"/>
        <v>226353900000</v>
      </c>
      <c r="X116" s="823"/>
    </row>
    <row r="117" spans="7:39" x14ac:dyDescent="0.3">
      <c r="G117" s="153" t="s">
        <v>2062</v>
      </c>
      <c r="H117" s="153" t="s">
        <v>2041</v>
      </c>
      <c r="I117" s="153" t="s">
        <v>2802</v>
      </c>
      <c r="S117" s="819">
        <f>S115-S116</f>
        <v>0</v>
      </c>
      <c r="T117" s="819">
        <f t="shared" ref="T117:W117" si="106">T115-T116</f>
        <v>0</v>
      </c>
      <c r="U117" s="819">
        <f t="shared" si="106"/>
        <v>0</v>
      </c>
      <c r="V117" s="819">
        <f t="shared" si="106"/>
        <v>0</v>
      </c>
      <c r="W117" s="819">
        <f t="shared" si="106"/>
        <v>0</v>
      </c>
    </row>
    <row r="118" spans="7:39" x14ac:dyDescent="0.3">
      <c r="G118" s="153" t="s">
        <v>2063</v>
      </c>
      <c r="H118" s="153" t="s">
        <v>2037</v>
      </c>
      <c r="I118" s="153" t="s">
        <v>2802</v>
      </c>
      <c r="M118" s="153" t="s">
        <v>2904</v>
      </c>
    </row>
    <row r="119" spans="7:39" x14ac:dyDescent="0.3">
      <c r="G119" s="153" t="s">
        <v>2840</v>
      </c>
      <c r="H119" s="153" t="s">
        <v>2037</v>
      </c>
      <c r="I119" s="153" t="s">
        <v>2802</v>
      </c>
      <c r="S119" s="1042"/>
    </row>
    <row r="120" spans="7:39" x14ac:dyDescent="0.3">
      <c r="G120" s="153" t="s">
        <v>2064</v>
      </c>
      <c r="H120" s="153" t="s">
        <v>2037</v>
      </c>
      <c r="I120" s="153" t="s">
        <v>2802</v>
      </c>
      <c r="M120" s="153" t="s">
        <v>2905</v>
      </c>
    </row>
    <row r="121" spans="7:39" x14ac:dyDescent="0.3">
      <c r="G121" s="153" t="s">
        <v>2906</v>
      </c>
      <c r="H121" s="153" t="s">
        <v>2058</v>
      </c>
      <c r="I121" s="153" t="s">
        <v>2802</v>
      </c>
      <c r="S121" s="153" t="s">
        <v>2907</v>
      </c>
      <c r="T121" s="153" t="s">
        <v>2908</v>
      </c>
      <c r="U121" s="153" t="s">
        <v>2909</v>
      </c>
      <c r="V121" s="153" t="s">
        <v>2910</v>
      </c>
      <c r="W121" s="153" t="s">
        <v>2911</v>
      </c>
    </row>
    <row r="122" spans="7:39" x14ac:dyDescent="0.3">
      <c r="G122" s="153" t="s">
        <v>2061</v>
      </c>
      <c r="H122" s="153" t="s">
        <v>2037</v>
      </c>
      <c r="I122" s="153" t="s">
        <v>2802</v>
      </c>
      <c r="S122" s="153" t="s">
        <v>2912</v>
      </c>
      <c r="T122" s="153" t="s">
        <v>2913</v>
      </c>
      <c r="U122" s="153" t="s">
        <v>2914</v>
      </c>
      <c r="V122" s="153" t="s">
        <v>2915</v>
      </c>
    </row>
    <row r="123" spans="7:39" x14ac:dyDescent="0.3">
      <c r="G123" s="153" t="s">
        <v>2028</v>
      </c>
      <c r="H123" s="153" t="s">
        <v>2032</v>
      </c>
      <c r="I123" s="153" t="s">
        <v>2802</v>
      </c>
      <c r="M123" s="153" t="s">
        <v>2916</v>
      </c>
      <c r="S123" s="153">
        <v>2200</v>
      </c>
      <c r="T123" s="153">
        <v>950</v>
      </c>
      <c r="U123" s="153">
        <v>950</v>
      </c>
      <c r="V123" s="153">
        <v>1900</v>
      </c>
    </row>
    <row r="124" spans="7:39" x14ac:dyDescent="0.3">
      <c r="G124" s="153" t="s">
        <v>2032</v>
      </c>
      <c r="H124" s="153" t="s">
        <v>2041</v>
      </c>
      <c r="I124" s="153" t="s">
        <v>2802</v>
      </c>
      <c r="M124" s="153" t="s">
        <v>2917</v>
      </c>
      <c r="S124" s="153">
        <v>534</v>
      </c>
      <c r="T124" s="153">
        <v>350</v>
      </c>
      <c r="U124" s="153">
        <v>450</v>
      </c>
      <c r="V124" s="153">
        <v>400</v>
      </c>
    </row>
    <row r="125" spans="7:39" x14ac:dyDescent="0.3">
      <c r="G125" s="153" t="s">
        <v>2037</v>
      </c>
      <c r="H125" s="153" t="s">
        <v>2032</v>
      </c>
      <c r="I125" s="153" t="s">
        <v>2802</v>
      </c>
      <c r="O125" s="1618" t="s">
        <v>2918</v>
      </c>
      <c r="P125" s="1618"/>
      <c r="Q125" s="1618"/>
      <c r="R125" s="1618"/>
      <c r="S125" s="1618"/>
      <c r="T125" s="1618"/>
      <c r="U125" s="1618"/>
      <c r="V125" s="889" t="s">
        <v>2919</v>
      </c>
    </row>
    <row r="126" spans="7:39" x14ac:dyDescent="0.3">
      <c r="G126" s="153" t="s">
        <v>2039</v>
      </c>
      <c r="H126" s="153" t="s">
        <v>2061</v>
      </c>
      <c r="I126" s="153" t="s">
        <v>2802</v>
      </c>
      <c r="AC126" s="153">
        <v>0.6</v>
      </c>
      <c r="AD126" s="153">
        <v>0.5</v>
      </c>
      <c r="AE126" s="153">
        <f>AC126*AD126</f>
        <v>0.3</v>
      </c>
    </row>
    <row r="127" spans="7:39" x14ac:dyDescent="0.3">
      <c r="M127" s="153" t="s">
        <v>2920</v>
      </c>
    </row>
    <row r="128" spans="7:39" x14ac:dyDescent="0.3">
      <c r="S128" s="153">
        <f>Y90*0.3</f>
        <v>30</v>
      </c>
    </row>
    <row r="129" spans="7:52" x14ac:dyDescent="0.3">
      <c r="G129" s="153" t="s">
        <v>2041</v>
      </c>
      <c r="H129" s="153" t="s">
        <v>2037</v>
      </c>
      <c r="I129" s="153" t="s">
        <v>2802</v>
      </c>
      <c r="X129" s="153" t="s">
        <v>7509</v>
      </c>
    </row>
    <row r="130" spans="7:52" x14ac:dyDescent="0.3">
      <c r="G130" s="153" t="s">
        <v>2058</v>
      </c>
      <c r="H130" s="153" t="s">
        <v>2037</v>
      </c>
      <c r="I130" s="153" t="s">
        <v>2802</v>
      </c>
      <c r="K130" s="153" t="s">
        <v>2921</v>
      </c>
      <c r="L130" s="153" t="s">
        <v>2922</v>
      </c>
      <c r="M130" s="153" t="s">
        <v>2804</v>
      </c>
      <c r="N130" s="153" t="s">
        <v>2923</v>
      </c>
      <c r="S130" s="153">
        <v>2018</v>
      </c>
      <c r="T130" s="153">
        <v>2019</v>
      </c>
      <c r="U130" s="153">
        <v>2020</v>
      </c>
      <c r="V130" s="153">
        <v>2021</v>
      </c>
      <c r="W130" s="153">
        <v>2022</v>
      </c>
    </row>
    <row r="131" spans="7:52" x14ac:dyDescent="0.3">
      <c r="G131" s="153" t="s">
        <v>2060</v>
      </c>
      <c r="H131" s="153" t="s">
        <v>2037</v>
      </c>
      <c r="I131" s="153" t="s">
        <v>2802</v>
      </c>
      <c r="L131" s="153" t="s">
        <v>2885</v>
      </c>
      <c r="M131" s="968" t="s">
        <v>2064</v>
      </c>
      <c r="N131" s="153" t="s">
        <v>2924</v>
      </c>
      <c r="O131" s="968" t="s">
        <v>2862</v>
      </c>
      <c r="P131" s="37"/>
      <c r="Q131" s="968" t="s">
        <v>2813</v>
      </c>
      <c r="R131" s="1616"/>
      <c r="S131" s="977">
        <v>30</v>
      </c>
      <c r="T131" s="977">
        <v>40</v>
      </c>
      <c r="U131" s="977">
        <v>45</v>
      </c>
      <c r="V131" s="977">
        <v>50</v>
      </c>
      <c r="W131" s="977">
        <v>60</v>
      </c>
      <c r="X131" s="153" t="s">
        <v>7594</v>
      </c>
    </row>
    <row r="132" spans="7:52" x14ac:dyDescent="0.3">
      <c r="G132" s="153" t="s">
        <v>2063</v>
      </c>
      <c r="H132" s="153" t="s">
        <v>2037</v>
      </c>
      <c r="I132" s="153" t="s">
        <v>2802</v>
      </c>
      <c r="M132" s="968" t="s">
        <v>2064</v>
      </c>
      <c r="N132" s="153" t="s">
        <v>2140</v>
      </c>
      <c r="O132" s="968" t="s">
        <v>2865</v>
      </c>
      <c r="P132" s="37"/>
      <c r="Q132" s="968" t="s">
        <v>2865</v>
      </c>
      <c r="R132" s="1616"/>
      <c r="S132" s="823">
        <f>S91+S166</f>
        <v>223500000</v>
      </c>
      <c r="T132" s="823">
        <f t="shared" ref="T132:W132" si="107">ROUND(S132*1.05,-5)</f>
        <v>234700000</v>
      </c>
      <c r="U132" s="823">
        <f t="shared" si="107"/>
        <v>246400000</v>
      </c>
      <c r="V132" s="823">
        <f t="shared" si="107"/>
        <v>258700000</v>
      </c>
      <c r="W132" s="823">
        <f t="shared" si="107"/>
        <v>271600000</v>
      </c>
      <c r="Z132" s="153" t="s">
        <v>2885</v>
      </c>
      <c r="AG132" s="153" t="s">
        <v>2925</v>
      </c>
    </row>
    <row r="133" spans="7:52" x14ac:dyDescent="0.3">
      <c r="M133" s="968" t="s">
        <v>2064</v>
      </c>
      <c r="N133" s="153" t="s">
        <v>2140</v>
      </c>
      <c r="O133" s="972" t="s">
        <v>2867</v>
      </c>
      <c r="P133" s="1048"/>
      <c r="Q133" s="972" t="s">
        <v>2818</v>
      </c>
      <c r="R133" s="1616"/>
      <c r="S133" s="986">
        <f>S131*S132</f>
        <v>6705000000</v>
      </c>
      <c r="T133" s="986">
        <f t="shared" ref="T133:W133" si="108">T131*T132</f>
        <v>9388000000</v>
      </c>
      <c r="U133" s="986">
        <f t="shared" si="108"/>
        <v>11088000000</v>
      </c>
      <c r="V133" s="986">
        <f t="shared" si="108"/>
        <v>12935000000</v>
      </c>
      <c r="W133" s="986">
        <f t="shared" si="108"/>
        <v>16296000000</v>
      </c>
    </row>
    <row r="134" spans="7:52" x14ac:dyDescent="0.3">
      <c r="G134" s="153" t="s">
        <v>2055</v>
      </c>
      <c r="H134" s="153" t="s">
        <v>2059</v>
      </c>
      <c r="I134" s="153" t="s">
        <v>2024</v>
      </c>
      <c r="M134" s="968" t="s">
        <v>2064</v>
      </c>
      <c r="N134" s="153" t="s">
        <v>2926</v>
      </c>
      <c r="O134" s="968" t="s">
        <v>2862</v>
      </c>
      <c r="P134" s="37"/>
      <c r="Q134" s="968" t="s">
        <v>2813</v>
      </c>
      <c r="R134" s="1616"/>
      <c r="S134" s="1532">
        <v>100</v>
      </c>
      <c r="T134" s="1532">
        <f>S134+10</f>
        <v>110</v>
      </c>
      <c r="U134" s="1532">
        <f>T134+10</f>
        <v>120</v>
      </c>
      <c r="V134" s="1532">
        <f>U134+10</f>
        <v>130</v>
      </c>
      <c r="W134" s="1532">
        <f>V134+10</f>
        <v>140</v>
      </c>
      <c r="X134" s="153" t="s">
        <v>7503</v>
      </c>
      <c r="Z134" s="153" t="s">
        <v>2927</v>
      </c>
      <c r="AA134" s="153">
        <v>2018</v>
      </c>
      <c r="AB134" s="153">
        <v>2019</v>
      </c>
      <c r="AC134" s="153">
        <v>2020</v>
      </c>
      <c r="AD134" s="153">
        <v>2021</v>
      </c>
      <c r="AF134" s="153">
        <v>2022</v>
      </c>
      <c r="AG134" s="967" t="s">
        <v>2928</v>
      </c>
      <c r="AH134" s="967"/>
      <c r="AI134" s="967"/>
      <c r="AJ134" s="967"/>
      <c r="AK134" s="967"/>
      <c r="AL134" s="967"/>
      <c r="AM134" s="967"/>
      <c r="AN134" s="967"/>
      <c r="AO134" s="967"/>
      <c r="AP134" s="967"/>
      <c r="AQ134" s="967"/>
      <c r="AR134" s="967"/>
      <c r="AS134" s="967"/>
      <c r="AT134" s="967"/>
      <c r="AU134" s="967"/>
      <c r="AV134" s="967"/>
      <c r="AW134" s="967"/>
      <c r="AX134" s="967"/>
      <c r="AY134" s="967"/>
      <c r="AZ134" s="967"/>
    </row>
    <row r="135" spans="7:52" x14ac:dyDescent="0.3">
      <c r="G135" s="153" t="s">
        <v>2059</v>
      </c>
      <c r="H135" s="153" t="s">
        <v>2059</v>
      </c>
      <c r="I135" s="153" t="s">
        <v>2024</v>
      </c>
      <c r="M135" s="968" t="s">
        <v>2064</v>
      </c>
      <c r="N135" s="153" t="s">
        <v>2158</v>
      </c>
      <c r="O135" s="968" t="s">
        <v>2865</v>
      </c>
      <c r="P135" s="37"/>
      <c r="Q135" s="968" t="s">
        <v>2865</v>
      </c>
      <c r="R135" s="1616"/>
      <c r="S135" s="823">
        <f>S144</f>
        <v>116666666.66666667</v>
      </c>
      <c r="T135" s="823">
        <f>ROUND(S135*1.05,-5)</f>
        <v>122500000</v>
      </c>
      <c r="U135" s="823">
        <f t="shared" ref="U135" si="109">ROUND(T135*1.05,-5)</f>
        <v>128600000</v>
      </c>
      <c r="V135" s="823">
        <f t="shared" ref="V135" si="110">ROUND(U135*1.05,-5)</f>
        <v>135000000</v>
      </c>
      <c r="W135" s="823">
        <f t="shared" ref="W135" si="111">ROUND(V135*1.05,-5)</f>
        <v>141800000</v>
      </c>
      <c r="X135" s="153" t="s">
        <v>7505</v>
      </c>
      <c r="Z135" s="153" t="s">
        <v>2929</v>
      </c>
      <c r="AA135" s="153">
        <v>30</v>
      </c>
      <c r="AB135" s="153">
        <v>40</v>
      </c>
      <c r="AC135" s="153">
        <v>30</v>
      </c>
      <c r="AD135" s="153">
        <v>40</v>
      </c>
      <c r="AF135" s="153">
        <v>45</v>
      </c>
    </row>
    <row r="136" spans="7:52" x14ac:dyDescent="0.3">
      <c r="M136" s="968" t="s">
        <v>2064</v>
      </c>
      <c r="N136" s="153" t="s">
        <v>2158</v>
      </c>
      <c r="O136" s="972" t="s">
        <v>2867</v>
      </c>
      <c r="P136" s="1048"/>
      <c r="Q136" s="972" t="s">
        <v>2818</v>
      </c>
      <c r="R136" s="1616"/>
      <c r="S136" s="986">
        <f>S134*S135</f>
        <v>11666666666.666668</v>
      </c>
      <c r="T136" s="986">
        <f t="shared" ref="T136:W136" si="112">T134*T135</f>
        <v>13475000000</v>
      </c>
      <c r="U136" s="986">
        <f t="shared" si="112"/>
        <v>15432000000</v>
      </c>
      <c r="V136" s="986">
        <f t="shared" si="112"/>
        <v>17550000000</v>
      </c>
      <c r="W136" s="986">
        <f t="shared" si="112"/>
        <v>19852000000</v>
      </c>
      <c r="X136" s="153" t="s">
        <v>7504</v>
      </c>
    </row>
    <row r="137" spans="7:52" x14ac:dyDescent="0.3">
      <c r="G137" s="153" t="s">
        <v>2062</v>
      </c>
      <c r="H137" s="153" t="s">
        <v>2059</v>
      </c>
      <c r="I137" s="153" t="s">
        <v>2024</v>
      </c>
      <c r="M137" s="968" t="s">
        <v>2930</v>
      </c>
      <c r="N137" s="153" t="s">
        <v>2931</v>
      </c>
      <c r="O137" s="153" t="s">
        <v>2932</v>
      </c>
      <c r="Q137" s="968" t="s">
        <v>2813</v>
      </c>
      <c r="R137" s="1616"/>
      <c r="S137" s="153">
        <v>10</v>
      </c>
      <c r="T137" s="153">
        <v>12</v>
      </c>
      <c r="U137" s="153">
        <v>14</v>
      </c>
      <c r="V137" s="153">
        <v>16</v>
      </c>
      <c r="W137" s="153">
        <v>18</v>
      </c>
      <c r="X137" s="153" t="s">
        <v>7506</v>
      </c>
      <c r="Z137" s="153" t="s">
        <v>2926</v>
      </c>
      <c r="AA137" s="153">
        <v>30</v>
      </c>
      <c r="AB137" s="153">
        <v>90</v>
      </c>
    </row>
    <row r="138" spans="7:52" x14ac:dyDescent="0.3">
      <c r="G138" s="153" t="s">
        <v>2834</v>
      </c>
      <c r="H138" s="153" t="s">
        <v>2059</v>
      </c>
      <c r="I138" s="153" t="s">
        <v>2024</v>
      </c>
      <c r="M138" s="968" t="s">
        <v>2930</v>
      </c>
      <c r="N138" s="153" t="s">
        <v>2156</v>
      </c>
      <c r="O138" s="153" t="s">
        <v>2933</v>
      </c>
      <c r="Q138" s="968" t="s">
        <v>2865</v>
      </c>
      <c r="R138" s="1616"/>
      <c r="S138" s="823">
        <f>S88</f>
        <v>205000000</v>
      </c>
      <c r="T138" s="823">
        <f>T88</f>
        <v>215300000</v>
      </c>
      <c r="U138" s="823">
        <f>U88</f>
        <v>226100000</v>
      </c>
      <c r="V138" s="823">
        <f>V88</f>
        <v>237400000</v>
      </c>
      <c r="W138" s="823">
        <f>W88</f>
        <v>249300000</v>
      </c>
      <c r="Z138" s="153" t="s">
        <v>2934</v>
      </c>
      <c r="AA138" s="153">
        <v>10</v>
      </c>
      <c r="AB138" s="153">
        <v>10</v>
      </c>
      <c r="AG138" s="153" t="s">
        <v>2935</v>
      </c>
    </row>
    <row r="139" spans="7:52" x14ac:dyDescent="0.3">
      <c r="M139" s="968" t="s">
        <v>2930</v>
      </c>
      <c r="N139" s="153" t="s">
        <v>2156</v>
      </c>
      <c r="O139" s="972" t="s">
        <v>2867</v>
      </c>
      <c r="P139" s="1048"/>
      <c r="Q139" s="972" t="s">
        <v>2818</v>
      </c>
      <c r="R139" s="1616"/>
      <c r="S139" s="986">
        <f>S137*S138</f>
        <v>2050000000</v>
      </c>
      <c r="T139" s="986">
        <f t="shared" ref="T139:W139" si="113">T137*T138</f>
        <v>2583600000</v>
      </c>
      <c r="U139" s="986">
        <f t="shared" si="113"/>
        <v>3165400000</v>
      </c>
      <c r="V139" s="986">
        <f t="shared" si="113"/>
        <v>3798400000</v>
      </c>
      <c r="W139" s="986">
        <f t="shared" si="113"/>
        <v>4487400000</v>
      </c>
    </row>
    <row r="140" spans="7:52" x14ac:dyDescent="0.3">
      <c r="G140" s="153" t="s">
        <v>2835</v>
      </c>
      <c r="H140" s="153" t="s">
        <v>2059</v>
      </c>
      <c r="I140" s="153" t="s">
        <v>2024</v>
      </c>
      <c r="M140" s="968" t="s">
        <v>2936</v>
      </c>
      <c r="N140" s="153" t="s">
        <v>2931</v>
      </c>
      <c r="O140" s="153" t="s">
        <v>2932</v>
      </c>
      <c r="Q140" s="968" t="s">
        <v>2813</v>
      </c>
      <c r="R140" s="1616"/>
      <c r="S140" s="153">
        <v>10</v>
      </c>
      <c r="T140" s="153">
        <v>10</v>
      </c>
      <c r="U140" s="153">
        <v>10</v>
      </c>
      <c r="V140" s="153">
        <v>10</v>
      </c>
      <c r="W140" s="153">
        <v>10</v>
      </c>
    </row>
    <row r="141" spans="7:52" x14ac:dyDescent="0.3">
      <c r="G141" s="153" t="s">
        <v>2044</v>
      </c>
      <c r="H141" s="153" t="s">
        <v>2037</v>
      </c>
      <c r="I141" s="153" t="s">
        <v>2802</v>
      </c>
      <c r="M141" s="968" t="s">
        <v>2936</v>
      </c>
      <c r="N141" s="153" t="s">
        <v>2156</v>
      </c>
      <c r="O141" s="153" t="s">
        <v>2933</v>
      </c>
      <c r="Q141" s="968" t="s">
        <v>2865</v>
      </c>
      <c r="R141" s="1616"/>
      <c r="S141" s="823">
        <f>S55</f>
        <v>175000000</v>
      </c>
      <c r="T141" s="823">
        <f>T55</f>
        <v>183800000</v>
      </c>
      <c r="U141" s="823">
        <f>U55</f>
        <v>193000000</v>
      </c>
      <c r="V141" s="823">
        <f>V55</f>
        <v>202700000</v>
      </c>
      <c r="W141" s="823">
        <f>W55</f>
        <v>212800000</v>
      </c>
      <c r="Z141" s="153" t="s">
        <v>2888</v>
      </c>
      <c r="AA141" s="153">
        <v>2018</v>
      </c>
      <c r="AB141" s="153">
        <v>2019</v>
      </c>
      <c r="AC141" s="153">
        <v>2020</v>
      </c>
      <c r="AD141" s="153">
        <v>2021</v>
      </c>
      <c r="AF141" s="153">
        <v>2022</v>
      </c>
    </row>
    <row r="142" spans="7:52" x14ac:dyDescent="0.3">
      <c r="M142" s="968" t="s">
        <v>2936</v>
      </c>
      <c r="N142" s="153" t="s">
        <v>2156</v>
      </c>
      <c r="O142" s="972" t="s">
        <v>2867</v>
      </c>
      <c r="P142" s="1048"/>
      <c r="Q142" s="972" t="s">
        <v>2818</v>
      </c>
      <c r="R142" s="1616"/>
      <c r="S142" s="986">
        <f>S140*S141</f>
        <v>1750000000</v>
      </c>
      <c r="T142" s="986">
        <f t="shared" ref="T142:W142" si="114">T140*T141</f>
        <v>1838000000</v>
      </c>
      <c r="U142" s="986">
        <f t="shared" si="114"/>
        <v>1930000000</v>
      </c>
      <c r="V142" s="986">
        <f t="shared" si="114"/>
        <v>2027000000</v>
      </c>
      <c r="W142" s="986">
        <f t="shared" si="114"/>
        <v>2128000000</v>
      </c>
    </row>
    <row r="143" spans="7:52" x14ac:dyDescent="0.3">
      <c r="M143" s="968" t="str">
        <f>$M$135</f>
        <v>DHT 180S</v>
      </c>
      <c r="N143" s="153" t="s">
        <v>2881</v>
      </c>
      <c r="O143" s="153" t="s">
        <v>2932</v>
      </c>
      <c r="Q143" s="968" t="s">
        <v>2813</v>
      </c>
      <c r="R143" s="1616"/>
      <c r="S143" s="153">
        <f>AI88</f>
        <v>30</v>
      </c>
      <c r="T143" s="153">
        <f t="shared" ref="T143:W143" si="115">AJ88</f>
        <v>30</v>
      </c>
      <c r="U143" s="153">
        <f t="shared" si="115"/>
        <v>30</v>
      </c>
      <c r="V143" s="153">
        <f t="shared" si="115"/>
        <v>30</v>
      </c>
      <c r="W143" s="153">
        <f t="shared" si="115"/>
        <v>30</v>
      </c>
      <c r="X143" s="153" t="s">
        <v>7508</v>
      </c>
    </row>
    <row r="144" spans="7:52" x14ac:dyDescent="0.3">
      <c r="M144" s="968" t="str">
        <f t="shared" ref="M144:M145" si="116">$M$135</f>
        <v>DHT 180S</v>
      </c>
      <c r="N144" s="153" t="s">
        <v>2881</v>
      </c>
      <c r="O144" s="153" t="s">
        <v>183</v>
      </c>
      <c r="Q144" s="968" t="s">
        <v>2865</v>
      </c>
      <c r="R144" s="1616"/>
      <c r="S144" s="1588">
        <f>S145/S143</f>
        <v>116666666.66666667</v>
      </c>
      <c r="T144" s="823">
        <f>ROUND(S144*1.05,-5)</f>
        <v>122500000</v>
      </c>
      <c r="U144" s="823">
        <f t="shared" ref="U144" si="117">ROUND(T144*1.05,-5)</f>
        <v>128600000</v>
      </c>
      <c r="V144" s="823">
        <f t="shared" ref="V144" si="118">ROUND(U144*1.05,-5)</f>
        <v>135000000</v>
      </c>
      <c r="W144" s="823">
        <f t="shared" ref="W144" si="119">ROUND(V144*1.05,-5)</f>
        <v>141800000</v>
      </c>
      <c r="X144" s="1588"/>
    </row>
    <row r="145" spans="7:33" x14ac:dyDescent="0.3">
      <c r="M145" s="968" t="str">
        <f t="shared" si="116"/>
        <v>DHT 180S</v>
      </c>
      <c r="N145" s="153" t="s">
        <v>2881</v>
      </c>
      <c r="O145" s="972" t="s">
        <v>2818</v>
      </c>
      <c r="P145" s="1048"/>
      <c r="Q145" s="972" t="s">
        <v>2818</v>
      </c>
      <c r="R145" s="1616"/>
      <c r="S145" s="986">
        <f>AI87</f>
        <v>3500000000</v>
      </c>
      <c r="T145" s="986">
        <f>T143*T144</f>
        <v>3675000000</v>
      </c>
      <c r="U145" s="986">
        <f t="shared" ref="U145:W145" si="120">U143*U144</f>
        <v>3858000000</v>
      </c>
      <c r="V145" s="986">
        <f t="shared" si="120"/>
        <v>4050000000</v>
      </c>
      <c r="W145" s="986">
        <f t="shared" si="120"/>
        <v>4254000000</v>
      </c>
    </row>
    <row r="146" spans="7:33" x14ac:dyDescent="0.3">
      <c r="G146" s="153" t="s">
        <v>2043</v>
      </c>
      <c r="H146" s="153" t="s">
        <v>2037</v>
      </c>
      <c r="I146" s="153" t="s">
        <v>2802</v>
      </c>
      <c r="L146" s="153" t="s">
        <v>2888</v>
      </c>
      <c r="M146" s="968" t="s">
        <v>3553</v>
      </c>
      <c r="N146" s="987" t="s">
        <v>2924</v>
      </c>
      <c r="O146" s="153" t="s">
        <v>2932</v>
      </c>
      <c r="Q146" s="968" t="s">
        <v>2813</v>
      </c>
      <c r="R146" s="1616"/>
      <c r="S146" s="153">
        <v>10</v>
      </c>
      <c r="T146" s="153">
        <v>20</v>
      </c>
      <c r="U146" s="153">
        <f t="shared" ref="U146:W146" si="121">T146+5</f>
        <v>25</v>
      </c>
      <c r="V146" s="153">
        <f t="shared" si="121"/>
        <v>30</v>
      </c>
      <c r="W146" s="153">
        <f t="shared" si="121"/>
        <v>35</v>
      </c>
      <c r="X146" s="153" t="s">
        <v>7507</v>
      </c>
      <c r="Z146" s="153" t="s">
        <v>2937</v>
      </c>
      <c r="AA146" s="153">
        <v>10</v>
      </c>
      <c r="AB146" s="153">
        <v>10</v>
      </c>
      <c r="AC146" s="153">
        <v>10</v>
      </c>
      <c r="AD146" s="153">
        <v>10</v>
      </c>
      <c r="AF146" s="153">
        <v>10</v>
      </c>
      <c r="AG146" s="153" t="s">
        <v>2938</v>
      </c>
    </row>
    <row r="147" spans="7:33" x14ac:dyDescent="0.3">
      <c r="G147" s="153" t="s">
        <v>2048</v>
      </c>
      <c r="H147" s="153" t="s">
        <v>2041</v>
      </c>
      <c r="I147" s="153" t="s">
        <v>2802</v>
      </c>
      <c r="M147" s="968" t="s">
        <v>3553</v>
      </c>
      <c r="N147" s="987" t="s">
        <v>2140</v>
      </c>
      <c r="O147" s="153" t="s">
        <v>2933</v>
      </c>
      <c r="Q147" s="968" t="s">
        <v>2865</v>
      </c>
      <c r="R147" s="1616"/>
      <c r="S147" s="823">
        <f>S61+S166</f>
        <v>81500000</v>
      </c>
      <c r="T147" s="823">
        <f t="shared" ref="T147:W147" si="122">ROUND(S147*1.05,-5)</f>
        <v>85600000</v>
      </c>
      <c r="U147" s="823">
        <f t="shared" si="122"/>
        <v>89900000</v>
      </c>
      <c r="V147" s="823">
        <f t="shared" si="122"/>
        <v>94400000</v>
      </c>
      <c r="W147" s="823">
        <f t="shared" si="122"/>
        <v>99100000</v>
      </c>
      <c r="Z147" s="153" t="s">
        <v>2926</v>
      </c>
      <c r="AB147" s="153">
        <v>5</v>
      </c>
      <c r="AC147" s="153">
        <v>10</v>
      </c>
      <c r="AD147" s="153">
        <v>10</v>
      </c>
      <c r="AF147" s="153">
        <v>10</v>
      </c>
      <c r="AG147" s="153" t="s">
        <v>2939</v>
      </c>
    </row>
    <row r="148" spans="7:33" x14ac:dyDescent="0.3">
      <c r="M148" s="968" t="s">
        <v>3553</v>
      </c>
      <c r="N148" s="987" t="s">
        <v>2140</v>
      </c>
      <c r="O148" s="972" t="s">
        <v>2867</v>
      </c>
      <c r="P148" s="1048"/>
      <c r="Q148" s="972" t="s">
        <v>2818</v>
      </c>
      <c r="R148" s="1616"/>
      <c r="S148" s="986">
        <f>S146*S147</f>
        <v>815000000</v>
      </c>
      <c r="T148" s="986">
        <f t="shared" ref="T148:W148" si="123">T146*T147</f>
        <v>1712000000</v>
      </c>
      <c r="U148" s="986">
        <f t="shared" si="123"/>
        <v>2247500000</v>
      </c>
      <c r="V148" s="986">
        <f t="shared" si="123"/>
        <v>2832000000</v>
      </c>
      <c r="W148" s="986">
        <f t="shared" si="123"/>
        <v>3468500000</v>
      </c>
    </row>
    <row r="149" spans="7:33" x14ac:dyDescent="0.3">
      <c r="G149" s="153" t="s">
        <v>2836</v>
      </c>
      <c r="H149" s="153" t="s">
        <v>2041</v>
      </c>
      <c r="I149" s="153" t="s">
        <v>2802</v>
      </c>
      <c r="M149" s="968" t="s">
        <v>2041</v>
      </c>
      <c r="N149" s="987" t="s">
        <v>2924</v>
      </c>
      <c r="O149" s="153" t="s">
        <v>2932</v>
      </c>
      <c r="Q149" s="968" t="s">
        <v>2813</v>
      </c>
      <c r="R149" s="1616"/>
      <c r="S149" s="153">
        <v>10</v>
      </c>
      <c r="T149" s="153">
        <v>20</v>
      </c>
      <c r="U149" s="153">
        <f t="shared" ref="U149:W149" si="124">T149+5</f>
        <v>25</v>
      </c>
      <c r="V149" s="153">
        <f t="shared" si="124"/>
        <v>30</v>
      </c>
      <c r="W149" s="153">
        <f t="shared" si="124"/>
        <v>35</v>
      </c>
      <c r="Z149" s="153" t="s">
        <v>2940</v>
      </c>
      <c r="AA149" s="153">
        <v>10</v>
      </c>
      <c r="AB149" s="153">
        <v>10</v>
      </c>
      <c r="AC149" s="153">
        <v>10</v>
      </c>
      <c r="AD149" s="153">
        <v>10</v>
      </c>
      <c r="AF149" s="153">
        <v>10</v>
      </c>
      <c r="AG149" s="153" t="s">
        <v>2941</v>
      </c>
    </row>
    <row r="150" spans="7:33" x14ac:dyDescent="0.3">
      <c r="G150" s="153" t="s">
        <v>2033</v>
      </c>
      <c r="H150" s="153" t="s">
        <v>2049</v>
      </c>
      <c r="I150" s="153" t="s">
        <v>2024</v>
      </c>
      <c r="M150" s="968" t="s">
        <v>2041</v>
      </c>
      <c r="N150" s="987" t="s">
        <v>2140</v>
      </c>
      <c r="O150" s="153" t="s">
        <v>2933</v>
      </c>
      <c r="Q150" s="968" t="s">
        <v>2865</v>
      </c>
      <c r="R150" s="1616"/>
      <c r="S150" s="823">
        <f>S19+S166</f>
        <v>91500000</v>
      </c>
      <c r="T150" s="823">
        <f t="shared" ref="T150:W150" si="125">ROUND(S150*1.05,-5)</f>
        <v>96100000</v>
      </c>
      <c r="U150" s="823">
        <f t="shared" si="125"/>
        <v>100900000</v>
      </c>
      <c r="V150" s="823">
        <f t="shared" si="125"/>
        <v>105900000</v>
      </c>
      <c r="W150" s="823">
        <f t="shared" si="125"/>
        <v>111200000</v>
      </c>
    </row>
    <row r="151" spans="7:33" x14ac:dyDescent="0.3">
      <c r="M151" s="968" t="s">
        <v>2041</v>
      </c>
      <c r="N151" s="987" t="s">
        <v>2140</v>
      </c>
      <c r="O151" s="988" t="s">
        <v>2942</v>
      </c>
      <c r="P151" s="988"/>
      <c r="Q151" s="972" t="s">
        <v>2818</v>
      </c>
      <c r="R151" s="1616"/>
      <c r="S151" s="986">
        <f>S149*S150</f>
        <v>915000000</v>
      </c>
      <c r="T151" s="986">
        <f t="shared" ref="T151:W151" si="126">T149*T150</f>
        <v>1922000000</v>
      </c>
      <c r="U151" s="986">
        <f t="shared" si="126"/>
        <v>2522500000</v>
      </c>
      <c r="V151" s="986">
        <f t="shared" si="126"/>
        <v>3177000000</v>
      </c>
      <c r="W151" s="986">
        <f t="shared" si="126"/>
        <v>3892000000</v>
      </c>
    </row>
    <row r="152" spans="7:33" x14ac:dyDescent="0.3">
      <c r="G152" s="153" t="s">
        <v>2047</v>
      </c>
      <c r="H152" s="153" t="s">
        <v>2049</v>
      </c>
      <c r="I152" s="153" t="s">
        <v>2024</v>
      </c>
      <c r="M152" s="968" t="s">
        <v>2043</v>
      </c>
      <c r="N152" s="987" t="s">
        <v>2924</v>
      </c>
      <c r="O152" s="153" t="s">
        <v>2932</v>
      </c>
      <c r="Q152" s="968" t="s">
        <v>2813</v>
      </c>
      <c r="R152" s="1616"/>
      <c r="S152" s="153">
        <v>10</v>
      </c>
      <c r="T152" s="153">
        <v>20</v>
      </c>
      <c r="U152" s="153">
        <f t="shared" ref="U152:W152" si="127">T152+5</f>
        <v>25</v>
      </c>
      <c r="V152" s="153">
        <f t="shared" si="127"/>
        <v>30</v>
      </c>
      <c r="W152" s="153">
        <f t="shared" si="127"/>
        <v>35</v>
      </c>
      <c r="Z152" s="153" t="s">
        <v>2892</v>
      </c>
    </row>
    <row r="153" spans="7:33" x14ac:dyDescent="0.3">
      <c r="G153" s="153" t="s">
        <v>2837</v>
      </c>
      <c r="H153" s="153" t="s">
        <v>2049</v>
      </c>
      <c r="I153" s="153" t="s">
        <v>2024</v>
      </c>
      <c r="M153" s="968" t="s">
        <v>2043</v>
      </c>
      <c r="N153" s="987" t="s">
        <v>2140</v>
      </c>
      <c r="O153" s="153" t="s">
        <v>2933</v>
      </c>
      <c r="Q153" s="968" t="s">
        <v>2865</v>
      </c>
      <c r="R153" s="1616"/>
      <c r="S153" s="823">
        <f>S22+S166</f>
        <v>95600000</v>
      </c>
      <c r="T153" s="823">
        <f t="shared" ref="T153:W153" si="128">ROUND(S153*1.05,-5)</f>
        <v>100400000</v>
      </c>
      <c r="U153" s="823">
        <f t="shared" si="128"/>
        <v>105400000</v>
      </c>
      <c r="V153" s="823">
        <f t="shared" si="128"/>
        <v>110700000</v>
      </c>
      <c r="W153" s="823">
        <f t="shared" si="128"/>
        <v>116200000</v>
      </c>
    </row>
    <row r="154" spans="7:33" x14ac:dyDescent="0.3">
      <c r="M154" s="968" t="s">
        <v>2043</v>
      </c>
      <c r="N154" s="987" t="s">
        <v>2140</v>
      </c>
      <c r="O154" s="988" t="s">
        <v>2942</v>
      </c>
      <c r="P154" s="988"/>
      <c r="Q154" s="972" t="s">
        <v>2818</v>
      </c>
      <c r="R154" s="1616"/>
      <c r="S154" s="986">
        <f>S152*S153</f>
        <v>956000000</v>
      </c>
      <c r="T154" s="986">
        <f t="shared" ref="T154:W154" si="129">T152*T153</f>
        <v>2008000000</v>
      </c>
      <c r="U154" s="986">
        <f t="shared" si="129"/>
        <v>2635000000</v>
      </c>
      <c r="V154" s="986">
        <f t="shared" si="129"/>
        <v>3321000000</v>
      </c>
      <c r="W154" s="986">
        <f t="shared" si="129"/>
        <v>4067000000</v>
      </c>
    </row>
    <row r="155" spans="7:33" x14ac:dyDescent="0.3">
      <c r="G155" s="153" t="s">
        <v>2054</v>
      </c>
      <c r="H155" s="153" t="s">
        <v>2049</v>
      </c>
      <c r="I155" s="153" t="s">
        <v>2024</v>
      </c>
      <c r="M155" s="968" t="s">
        <v>2043</v>
      </c>
      <c r="N155" s="987" t="s">
        <v>2926</v>
      </c>
      <c r="O155" s="153" t="s">
        <v>2932</v>
      </c>
      <c r="Q155" s="968" t="s">
        <v>2813</v>
      </c>
      <c r="R155" s="1616"/>
      <c r="T155" s="153">
        <v>10</v>
      </c>
      <c r="U155" s="153">
        <f>T155+3</f>
        <v>13</v>
      </c>
      <c r="V155" s="153">
        <f t="shared" ref="V155:W155" si="130">U155+3</f>
        <v>16</v>
      </c>
      <c r="W155" s="153">
        <f t="shared" si="130"/>
        <v>19</v>
      </c>
      <c r="X155" s="153" t="s">
        <v>3284</v>
      </c>
    </row>
    <row r="156" spans="7:33" x14ac:dyDescent="0.3">
      <c r="G156" s="153" t="s">
        <v>2838</v>
      </c>
      <c r="H156" s="153" t="s">
        <v>2049</v>
      </c>
      <c r="I156" s="153" t="s">
        <v>2024</v>
      </c>
      <c r="M156" s="968" t="s">
        <v>2043</v>
      </c>
      <c r="N156" s="987" t="s">
        <v>2926</v>
      </c>
      <c r="O156" s="153" t="s">
        <v>2933</v>
      </c>
      <c r="Q156" s="968" t="s">
        <v>2865</v>
      </c>
      <c r="R156" s="1616"/>
      <c r="S156" s="823">
        <f>S153</f>
        <v>95600000</v>
      </c>
      <c r="T156" s="823">
        <f>T153-T166</f>
        <v>58400000</v>
      </c>
      <c r="U156" s="823">
        <f t="shared" ref="U156:W156" si="131">ROUND(T156*1.05,-5)</f>
        <v>61300000</v>
      </c>
      <c r="V156" s="823">
        <f t="shared" si="131"/>
        <v>64400000</v>
      </c>
      <c r="W156" s="823">
        <f t="shared" si="131"/>
        <v>67600000</v>
      </c>
    </row>
    <row r="157" spans="7:33" x14ac:dyDescent="0.3">
      <c r="M157" s="968" t="s">
        <v>2043</v>
      </c>
      <c r="N157" s="987" t="s">
        <v>2158</v>
      </c>
      <c r="O157" s="988" t="s">
        <v>2942</v>
      </c>
      <c r="P157" s="988"/>
      <c r="Q157" s="972" t="s">
        <v>2818</v>
      </c>
      <c r="R157" s="1616"/>
      <c r="S157" s="823">
        <f>S155*S156</f>
        <v>0</v>
      </c>
      <c r="T157" s="823">
        <f t="shared" ref="T157:W157" si="132">T155*T156</f>
        <v>584000000</v>
      </c>
      <c r="U157" s="823">
        <f t="shared" si="132"/>
        <v>796900000</v>
      </c>
      <c r="V157" s="823">
        <f t="shared" si="132"/>
        <v>1030400000</v>
      </c>
      <c r="W157" s="823">
        <f t="shared" si="132"/>
        <v>1284400000</v>
      </c>
    </row>
    <row r="158" spans="7:33" x14ac:dyDescent="0.3">
      <c r="G158" s="153" t="s">
        <v>2035</v>
      </c>
      <c r="H158" s="153" t="s">
        <v>2049</v>
      </c>
      <c r="I158" s="153" t="s">
        <v>2024</v>
      </c>
      <c r="L158" s="153" t="s">
        <v>3073</v>
      </c>
      <c r="M158" s="968" t="s">
        <v>2943</v>
      </c>
      <c r="N158" s="987" t="s">
        <v>2931</v>
      </c>
      <c r="O158" s="153" t="s">
        <v>2932</v>
      </c>
      <c r="Q158" s="968" t="s">
        <v>2813</v>
      </c>
      <c r="R158" s="1616"/>
      <c r="S158" s="153">
        <v>10</v>
      </c>
      <c r="T158" s="153">
        <f>S158+3</f>
        <v>13</v>
      </c>
      <c r="U158" s="153">
        <f t="shared" ref="U158:W158" si="133">T158+3</f>
        <v>16</v>
      </c>
      <c r="V158" s="153">
        <f t="shared" si="133"/>
        <v>19</v>
      </c>
      <c r="W158" s="153">
        <f t="shared" si="133"/>
        <v>22</v>
      </c>
    </row>
    <row r="159" spans="7:33" x14ac:dyDescent="0.3">
      <c r="G159" s="153" t="s">
        <v>2839</v>
      </c>
      <c r="H159" s="153" t="s">
        <v>2049</v>
      </c>
      <c r="I159" s="153" t="s">
        <v>2024</v>
      </c>
      <c r="M159" s="968" t="s">
        <v>2943</v>
      </c>
      <c r="N159" s="987" t="s">
        <v>2156</v>
      </c>
      <c r="O159" s="153" t="s">
        <v>2933</v>
      </c>
      <c r="Q159" s="968" t="s">
        <v>2865</v>
      </c>
      <c r="R159" s="1616"/>
      <c r="S159" s="823">
        <f>S70</f>
        <v>48500000</v>
      </c>
      <c r="T159" s="823">
        <f>T70</f>
        <v>50900000</v>
      </c>
      <c r="U159" s="823">
        <f>U70</f>
        <v>53400000</v>
      </c>
      <c r="V159" s="823">
        <f>V70</f>
        <v>56100000</v>
      </c>
      <c r="W159" s="823">
        <f>W70</f>
        <v>58900000</v>
      </c>
      <c r="X159" s="153" t="s">
        <v>7510</v>
      </c>
    </row>
    <row r="160" spans="7:33" x14ac:dyDescent="0.3">
      <c r="M160" s="968" t="s">
        <v>2943</v>
      </c>
      <c r="N160" s="987" t="s">
        <v>2156</v>
      </c>
      <c r="O160" s="988" t="s">
        <v>2942</v>
      </c>
      <c r="P160" s="988"/>
      <c r="Q160" s="972" t="s">
        <v>2818</v>
      </c>
      <c r="R160" s="1616"/>
      <c r="S160" s="823">
        <f>S158*S159</f>
        <v>485000000</v>
      </c>
      <c r="T160" s="823">
        <f t="shared" ref="T160:W160" si="134">T158*T159</f>
        <v>661700000</v>
      </c>
      <c r="U160" s="823">
        <f t="shared" si="134"/>
        <v>854400000</v>
      </c>
      <c r="V160" s="823">
        <f t="shared" si="134"/>
        <v>1065900000</v>
      </c>
      <c r="W160" s="823">
        <f t="shared" si="134"/>
        <v>1295800000</v>
      </c>
      <c r="X160" s="153" t="s">
        <v>7511</v>
      </c>
    </row>
    <row r="161" spans="7:23" x14ac:dyDescent="0.3">
      <c r="G161" s="153" t="s">
        <v>2840</v>
      </c>
      <c r="H161" s="153" t="s">
        <v>2049</v>
      </c>
      <c r="I161" s="153" t="s">
        <v>2024</v>
      </c>
      <c r="R161" s="1616"/>
      <c r="S161" s="989">
        <f>S131*S132+S134*S135+S137*S138+S140*S141+S146*S147+S149*S150+S152*S153+S155*S156+S158*S159+S143*S144</f>
        <v>28842666666.666668</v>
      </c>
      <c r="T161" s="989">
        <f t="shared" ref="T161:W161" si="135">T131*T132+T134*T135+T137*T138+T140*T141+T146*T147+T149*T150+T152*T153+T155*T156+T158*T159+T143*T144</f>
        <v>37847300000</v>
      </c>
      <c r="U161" s="989">
        <f t="shared" si="135"/>
        <v>44529700000</v>
      </c>
      <c r="V161" s="989">
        <f t="shared" si="135"/>
        <v>51786700000</v>
      </c>
      <c r="W161" s="989">
        <f t="shared" si="135"/>
        <v>61025100000</v>
      </c>
    </row>
    <row r="162" spans="7:23" x14ac:dyDescent="0.3">
      <c r="G162" s="153" t="s">
        <v>2045</v>
      </c>
      <c r="H162" s="153" t="s">
        <v>2049</v>
      </c>
      <c r="I162" s="153" t="s">
        <v>2024</v>
      </c>
      <c r="S162" s="990">
        <f>SUM(S133,S136,S139,S142,S148,S151,S154,S157,S160)+S145</f>
        <v>28842666666.666668</v>
      </c>
      <c r="T162" s="990">
        <f t="shared" ref="T162:W162" si="136">SUM(T133,T136,T139,T142,T148,T151,T154,T157,T160)+T145</f>
        <v>37847300000</v>
      </c>
      <c r="U162" s="990">
        <f t="shared" si="136"/>
        <v>44529700000</v>
      </c>
      <c r="V162" s="990">
        <f t="shared" si="136"/>
        <v>51786700000</v>
      </c>
      <c r="W162" s="990">
        <f t="shared" si="136"/>
        <v>61025100000</v>
      </c>
    </row>
    <row r="163" spans="7:23" x14ac:dyDescent="0.3">
      <c r="G163" s="153" t="s">
        <v>2034</v>
      </c>
      <c r="H163" s="153" t="s">
        <v>2049</v>
      </c>
      <c r="I163" s="153" t="s">
        <v>2024</v>
      </c>
      <c r="S163" s="823">
        <f>S161-S162</f>
        <v>0</v>
      </c>
    </row>
    <row r="164" spans="7:23" x14ac:dyDescent="0.3">
      <c r="G164" s="153" t="s">
        <v>2842</v>
      </c>
      <c r="H164" s="153" t="s">
        <v>2049</v>
      </c>
      <c r="I164" s="153" t="s">
        <v>2024</v>
      </c>
      <c r="L164" s="153" t="s">
        <v>2944</v>
      </c>
    </row>
    <row r="165" spans="7:23" x14ac:dyDescent="0.3">
      <c r="G165" s="153" t="s">
        <v>2042</v>
      </c>
      <c r="H165" s="153" t="s">
        <v>2049</v>
      </c>
      <c r="I165" s="153" t="s">
        <v>2024</v>
      </c>
    </row>
    <row r="166" spans="7:23" x14ac:dyDescent="0.3">
      <c r="G166" s="153" t="s">
        <v>2065</v>
      </c>
      <c r="H166" s="153" t="s">
        <v>2049</v>
      </c>
      <c r="I166" s="153" t="s">
        <v>2024</v>
      </c>
      <c r="Q166" s="153" t="s">
        <v>7550</v>
      </c>
      <c r="S166" s="819">
        <v>40000000</v>
      </c>
      <c r="T166" s="823">
        <f t="shared" ref="T166:W166" si="137">ROUND(S166*1.05,-5)</f>
        <v>42000000</v>
      </c>
      <c r="U166" s="823">
        <f t="shared" si="137"/>
        <v>44100000</v>
      </c>
      <c r="V166" s="823">
        <f t="shared" si="137"/>
        <v>46300000</v>
      </c>
      <c r="W166" s="823">
        <f t="shared" si="137"/>
        <v>48600000</v>
      </c>
    </row>
    <row r="167" spans="7:23" x14ac:dyDescent="0.3">
      <c r="G167" s="153" t="s">
        <v>2843</v>
      </c>
      <c r="H167" s="153" t="s">
        <v>2049</v>
      </c>
      <c r="I167" s="153" t="s">
        <v>2024</v>
      </c>
      <c r="Q167" s="153" t="s">
        <v>7549</v>
      </c>
      <c r="S167" s="1042">
        <f>S166*(S152+S149+S146+S131)</f>
        <v>2400000000</v>
      </c>
      <c r="T167" s="1042">
        <f t="shared" ref="T167:W167" si="138">T166*(T152+T149+T146+T131)</f>
        <v>4200000000</v>
      </c>
      <c r="U167" s="1042">
        <f t="shared" si="138"/>
        <v>5292000000</v>
      </c>
      <c r="V167" s="1042">
        <f t="shared" si="138"/>
        <v>6482000000</v>
      </c>
      <c r="W167" s="1042">
        <f t="shared" si="138"/>
        <v>8019000000</v>
      </c>
    </row>
    <row r="168" spans="7:23" x14ac:dyDescent="0.3">
      <c r="G168" s="153" t="s">
        <v>2823</v>
      </c>
      <c r="H168" s="153" t="s">
        <v>2049</v>
      </c>
      <c r="I168" s="153" t="s">
        <v>2024</v>
      </c>
      <c r="W168" s="823"/>
    </row>
    <row r="169" spans="7:23" x14ac:dyDescent="0.3">
      <c r="G169" s="153" t="s">
        <v>2826</v>
      </c>
      <c r="H169" s="153" t="s">
        <v>2049</v>
      </c>
      <c r="I169" s="153" t="s">
        <v>2024</v>
      </c>
    </row>
    <row r="170" spans="7:23" x14ac:dyDescent="0.3">
      <c r="G170" s="153" t="s">
        <v>2031</v>
      </c>
      <c r="H170" s="153" t="s">
        <v>2049</v>
      </c>
      <c r="I170" s="153" t="s">
        <v>2024</v>
      </c>
    </row>
    <row r="171" spans="7:23" x14ac:dyDescent="0.3">
      <c r="G171" s="153" t="s">
        <v>2051</v>
      </c>
      <c r="H171" s="153" t="s">
        <v>2049</v>
      </c>
      <c r="I171" s="153" t="s">
        <v>2024</v>
      </c>
    </row>
    <row r="172" spans="7:23" x14ac:dyDescent="0.3">
      <c r="G172" s="153" t="s">
        <v>2846</v>
      </c>
      <c r="H172" s="153" t="s">
        <v>2049</v>
      </c>
      <c r="I172" s="153" t="s">
        <v>2024</v>
      </c>
    </row>
    <row r="173" spans="7:23" x14ac:dyDescent="0.3">
      <c r="G173" s="153" t="s">
        <v>2030</v>
      </c>
      <c r="H173" s="153" t="s">
        <v>2049</v>
      </c>
      <c r="I173" s="153" t="s">
        <v>2024</v>
      </c>
    </row>
    <row r="174" spans="7:23" x14ac:dyDescent="0.3">
      <c r="G174" s="153" t="s">
        <v>2049</v>
      </c>
      <c r="H174" s="153" t="s">
        <v>2049</v>
      </c>
      <c r="I174" s="153" t="s">
        <v>2024</v>
      </c>
    </row>
    <row r="175" spans="7:23" x14ac:dyDescent="0.3">
      <c r="G175" s="153" t="s">
        <v>2064</v>
      </c>
      <c r="H175" s="153" t="s">
        <v>2049</v>
      </c>
      <c r="I175" s="153" t="s">
        <v>2024</v>
      </c>
    </row>
    <row r="176" spans="7:23" x14ac:dyDescent="0.3">
      <c r="G176" s="153" t="s">
        <v>2850</v>
      </c>
      <c r="H176" s="153" t="s">
        <v>2049</v>
      </c>
      <c r="I176" s="153" t="s">
        <v>2024</v>
      </c>
    </row>
    <row r="177" spans="7:9" x14ac:dyDescent="0.3">
      <c r="G177" s="153" t="s">
        <v>2067</v>
      </c>
      <c r="H177" s="153" t="s">
        <v>2049</v>
      </c>
      <c r="I177" s="153" t="s">
        <v>2024</v>
      </c>
    </row>
    <row r="178" spans="7:9" x14ac:dyDescent="0.3">
      <c r="G178" s="153" t="s">
        <v>2820</v>
      </c>
      <c r="H178" s="153" t="s">
        <v>2049</v>
      </c>
      <c r="I178" s="153" t="s">
        <v>2024</v>
      </c>
    </row>
    <row r="179" spans="7:9" x14ac:dyDescent="0.3">
      <c r="G179" s="153" t="s">
        <v>2068</v>
      </c>
      <c r="H179" s="153" t="s">
        <v>2049</v>
      </c>
      <c r="I179" s="153" t="s">
        <v>2024</v>
      </c>
    </row>
    <row r="180" spans="7:9" x14ac:dyDescent="0.3">
      <c r="G180" s="153" t="s">
        <v>2830</v>
      </c>
      <c r="H180" s="153" t="s">
        <v>2049</v>
      </c>
      <c r="I180" s="153" t="s">
        <v>2024</v>
      </c>
    </row>
    <row r="181" spans="7:9" x14ac:dyDescent="0.3">
      <c r="G181" s="153" t="s">
        <v>2833</v>
      </c>
      <c r="H181" s="153" t="s">
        <v>2049</v>
      </c>
      <c r="I181" s="153" t="s">
        <v>2024</v>
      </c>
    </row>
    <row r="182" spans="7:9" x14ac:dyDescent="0.3">
      <c r="G182" s="153" t="s">
        <v>2875</v>
      </c>
      <c r="H182" s="153" t="s">
        <v>2049</v>
      </c>
      <c r="I182" s="153" t="s">
        <v>2024</v>
      </c>
    </row>
    <row r="183" spans="7:9" x14ac:dyDescent="0.3">
      <c r="G183" s="153" t="s">
        <v>2878</v>
      </c>
      <c r="H183" s="153" t="s">
        <v>2058</v>
      </c>
      <c r="I183" s="153" t="s">
        <v>2802</v>
      </c>
    </row>
    <row r="184" spans="7:9" x14ac:dyDescent="0.3">
      <c r="G184" s="153" t="s">
        <v>2038</v>
      </c>
      <c r="H184" s="153" t="s">
        <v>2058</v>
      </c>
      <c r="I184" s="153" t="s">
        <v>2802</v>
      </c>
    </row>
    <row r="185" spans="7:9" x14ac:dyDescent="0.3">
      <c r="G185" s="153" t="s">
        <v>2040</v>
      </c>
      <c r="H185" s="153" t="s">
        <v>2058</v>
      </c>
      <c r="I185" s="153" t="s">
        <v>2802</v>
      </c>
    </row>
    <row r="186" spans="7:9" x14ac:dyDescent="0.3">
      <c r="G186" s="153" t="s">
        <v>2880</v>
      </c>
      <c r="H186" s="153" t="s">
        <v>2058</v>
      </c>
      <c r="I186" s="153" t="s">
        <v>2802</v>
      </c>
    </row>
    <row r="187" spans="7:9" x14ac:dyDescent="0.3">
      <c r="G187" s="153" t="s">
        <v>2882</v>
      </c>
      <c r="H187" s="153" t="s">
        <v>2037</v>
      </c>
      <c r="I187" s="153" t="s">
        <v>2802</v>
      </c>
    </row>
    <row r="188" spans="7:9" x14ac:dyDescent="0.3">
      <c r="G188" s="153" t="s">
        <v>2883</v>
      </c>
      <c r="H188" s="153" t="s">
        <v>2039</v>
      </c>
      <c r="I188" s="153" t="s">
        <v>2802</v>
      </c>
    </row>
    <row r="189" spans="7:9" x14ac:dyDescent="0.3">
      <c r="G189" s="153" t="s">
        <v>2886</v>
      </c>
      <c r="H189" s="153" t="s">
        <v>2039</v>
      </c>
      <c r="I189" s="153" t="s">
        <v>2802</v>
      </c>
    </row>
    <row r="190" spans="7:9" x14ac:dyDescent="0.3">
      <c r="G190" s="153" t="s">
        <v>2052</v>
      </c>
      <c r="H190" s="153" t="s">
        <v>2060</v>
      </c>
      <c r="I190" s="153" t="s">
        <v>2023</v>
      </c>
    </row>
    <row r="191" spans="7:9" x14ac:dyDescent="0.3">
      <c r="G191" s="153" t="s">
        <v>2050</v>
      </c>
      <c r="H191" s="153" t="s">
        <v>2037</v>
      </c>
      <c r="I191" s="153" t="s">
        <v>2802</v>
      </c>
    </row>
    <row r="192" spans="7:9" x14ac:dyDescent="0.3">
      <c r="G192" s="153" t="s">
        <v>2026</v>
      </c>
      <c r="H192" s="153" t="s">
        <v>2058</v>
      </c>
      <c r="I192" s="153" t="s">
        <v>2802</v>
      </c>
    </row>
    <row r="193" spans="7:9" x14ac:dyDescent="0.3">
      <c r="G193" s="153" t="s">
        <v>2890</v>
      </c>
      <c r="H193" s="153" t="s">
        <v>2058</v>
      </c>
      <c r="I193" s="153" t="s">
        <v>2802</v>
      </c>
    </row>
    <row r="194" spans="7:9" x14ac:dyDescent="0.3">
      <c r="G194" s="153" t="s">
        <v>2891</v>
      </c>
      <c r="H194" s="153" t="s">
        <v>2058</v>
      </c>
      <c r="I194" s="153" t="s">
        <v>2802</v>
      </c>
    </row>
    <row r="195" spans="7:9" x14ac:dyDescent="0.3">
      <c r="G195" s="153" t="s">
        <v>2894</v>
      </c>
      <c r="H195" s="153" t="s">
        <v>2039</v>
      </c>
      <c r="I195" s="153" t="s">
        <v>2802</v>
      </c>
    </row>
    <row r="196" spans="7:9" x14ac:dyDescent="0.3">
      <c r="G196" s="153" t="s">
        <v>2895</v>
      </c>
      <c r="H196" s="153" t="s">
        <v>2039</v>
      </c>
      <c r="I196" s="153" t="s">
        <v>2802</v>
      </c>
    </row>
    <row r="197" spans="7:9" x14ac:dyDescent="0.3">
      <c r="H197" s="153" t="s">
        <v>2039</v>
      </c>
      <c r="I197" s="153" t="s">
        <v>2802</v>
      </c>
    </row>
    <row r="198" spans="7:9" x14ac:dyDescent="0.3">
      <c r="H198" s="153" t="s">
        <v>2059</v>
      </c>
      <c r="I198" s="153" t="s">
        <v>2024</v>
      </c>
    </row>
    <row r="199" spans="7:9" x14ac:dyDescent="0.3">
      <c r="H199" s="153" t="s">
        <v>2059</v>
      </c>
      <c r="I199" s="153" t="s">
        <v>2024</v>
      </c>
    </row>
    <row r="200" spans="7:9" x14ac:dyDescent="0.3">
      <c r="H200" s="153" t="s">
        <v>2059</v>
      </c>
      <c r="I200" s="153" t="s">
        <v>2024</v>
      </c>
    </row>
    <row r="201" spans="7:9" x14ac:dyDescent="0.3">
      <c r="H201" s="153" t="s">
        <v>2059</v>
      </c>
      <c r="I201" s="153" t="s">
        <v>2024</v>
      </c>
    </row>
    <row r="202" spans="7:9" x14ac:dyDescent="0.3">
      <c r="H202" s="153" t="s">
        <v>2059</v>
      </c>
      <c r="I202" s="153" t="s">
        <v>2024</v>
      </c>
    </row>
    <row r="203" spans="7:9" x14ac:dyDescent="0.3">
      <c r="H203" s="153" t="s">
        <v>2059</v>
      </c>
      <c r="I203" s="153" t="s">
        <v>2024</v>
      </c>
    </row>
    <row r="204" spans="7:9" x14ac:dyDescent="0.3">
      <c r="H204" s="153" t="s">
        <v>2059</v>
      </c>
      <c r="I204" s="153" t="s">
        <v>2024</v>
      </c>
    </row>
    <row r="205" spans="7:9" x14ac:dyDescent="0.3">
      <c r="H205" s="153" t="s">
        <v>2059</v>
      </c>
      <c r="I205" s="153" t="s">
        <v>2024</v>
      </c>
    </row>
    <row r="206" spans="7:9" x14ac:dyDescent="0.3">
      <c r="H206" s="153" t="s">
        <v>2059</v>
      </c>
      <c r="I206" s="153" t="s">
        <v>2024</v>
      </c>
    </row>
    <row r="207" spans="7:9" x14ac:dyDescent="0.3">
      <c r="H207" s="153" t="s">
        <v>2059</v>
      </c>
      <c r="I207" s="153" t="s">
        <v>2024</v>
      </c>
    </row>
    <row r="208" spans="7:9" x14ac:dyDescent="0.3">
      <c r="H208" s="153" t="s">
        <v>2037</v>
      </c>
      <c r="I208" s="153" t="s">
        <v>2802</v>
      </c>
    </row>
    <row r="209" spans="8:9" x14ac:dyDescent="0.3">
      <c r="H209" s="153" t="s">
        <v>2028</v>
      </c>
      <c r="I209" s="153" t="s">
        <v>2023</v>
      </c>
    </row>
    <row r="210" spans="8:9" x14ac:dyDescent="0.3">
      <c r="H210" s="153" t="s">
        <v>2037</v>
      </c>
      <c r="I210" s="153" t="s">
        <v>2802</v>
      </c>
    </row>
    <row r="211" spans="8:9" x14ac:dyDescent="0.3">
      <c r="H211" s="153" t="s">
        <v>2037</v>
      </c>
      <c r="I211" s="153" t="s">
        <v>2802</v>
      </c>
    </row>
    <row r="212" spans="8:9" x14ac:dyDescent="0.3">
      <c r="H212" s="153" t="s">
        <v>2037</v>
      </c>
      <c r="I212" s="153" t="s">
        <v>2802</v>
      </c>
    </row>
    <row r="213" spans="8:9" x14ac:dyDescent="0.3">
      <c r="H213" s="153" t="s">
        <v>2041</v>
      </c>
      <c r="I213" s="153" t="s">
        <v>2802</v>
      </c>
    </row>
    <row r="214" spans="8:9" x14ac:dyDescent="0.3">
      <c r="H214" s="153" t="s">
        <v>2028</v>
      </c>
      <c r="I214" s="153" t="s">
        <v>2023</v>
      </c>
    </row>
    <row r="215" spans="8:9" x14ac:dyDescent="0.3">
      <c r="H215" s="153" t="s">
        <v>2037</v>
      </c>
      <c r="I215" s="153" t="s">
        <v>2802</v>
      </c>
    </row>
    <row r="216" spans="8:9" x14ac:dyDescent="0.3">
      <c r="H216" s="153" t="s">
        <v>2037</v>
      </c>
      <c r="I216" s="153" t="s">
        <v>2802</v>
      </c>
    </row>
    <row r="217" spans="8:9" x14ac:dyDescent="0.3">
      <c r="H217" s="153" t="s">
        <v>2037</v>
      </c>
      <c r="I217" s="153" t="s">
        <v>2802</v>
      </c>
    </row>
    <row r="218" spans="8:9" x14ac:dyDescent="0.3">
      <c r="H218" s="153" t="s">
        <v>2037</v>
      </c>
      <c r="I218" s="153" t="s">
        <v>2802</v>
      </c>
    </row>
    <row r="219" spans="8:9" x14ac:dyDescent="0.3">
      <c r="H219" s="153" t="s">
        <v>2028</v>
      </c>
      <c r="I219" s="153" t="s">
        <v>2023</v>
      </c>
    </row>
    <row r="220" spans="8:9" x14ac:dyDescent="0.3">
      <c r="H220" s="153" t="s">
        <v>2037</v>
      </c>
      <c r="I220" s="153" t="s">
        <v>2802</v>
      </c>
    </row>
    <row r="221" spans="8:9" x14ac:dyDescent="0.3">
      <c r="H221" s="153" t="s">
        <v>2037</v>
      </c>
      <c r="I221" s="153" t="s">
        <v>2802</v>
      </c>
    </row>
    <row r="222" spans="8:9" x14ac:dyDescent="0.3">
      <c r="H222" s="153" t="s">
        <v>2037</v>
      </c>
      <c r="I222" s="153" t="s">
        <v>2802</v>
      </c>
    </row>
    <row r="223" spans="8:9" x14ac:dyDescent="0.3">
      <c r="H223" s="153" t="s">
        <v>2037</v>
      </c>
      <c r="I223" s="153" t="s">
        <v>2802</v>
      </c>
    </row>
    <row r="224" spans="8:9" x14ac:dyDescent="0.3">
      <c r="H224" s="153" t="s">
        <v>2037</v>
      </c>
      <c r="I224" s="153" t="s">
        <v>2802</v>
      </c>
    </row>
    <row r="225" spans="8:9" x14ac:dyDescent="0.3">
      <c r="H225" s="153" t="s">
        <v>2039</v>
      </c>
      <c r="I225" s="153" t="s">
        <v>2802</v>
      </c>
    </row>
    <row r="226" spans="8:9" x14ac:dyDescent="0.3">
      <c r="H226" s="153" t="s">
        <v>2041</v>
      </c>
      <c r="I226" s="153" t="s">
        <v>2802</v>
      </c>
    </row>
    <row r="227" spans="8:9" x14ac:dyDescent="0.3">
      <c r="H227" s="153" t="s">
        <v>2037</v>
      </c>
      <c r="I227" s="153" t="s">
        <v>2802</v>
      </c>
    </row>
    <row r="228" spans="8:9" x14ac:dyDescent="0.3">
      <c r="H228" s="153" t="s">
        <v>2037</v>
      </c>
      <c r="I228" s="153" t="s">
        <v>2802</v>
      </c>
    </row>
    <row r="229" spans="8:9" x14ac:dyDescent="0.3">
      <c r="H229" s="153" t="s">
        <v>2059</v>
      </c>
      <c r="I229" s="153" t="s">
        <v>2024</v>
      </c>
    </row>
    <row r="230" spans="8:9" x14ac:dyDescent="0.3">
      <c r="H230" s="153" t="s">
        <v>2059</v>
      </c>
      <c r="I230" s="153" t="s">
        <v>2024</v>
      </c>
    </row>
    <row r="231" spans="8:9" x14ac:dyDescent="0.3">
      <c r="H231" s="153" t="s">
        <v>2059</v>
      </c>
      <c r="I231" s="153" t="s">
        <v>2024</v>
      </c>
    </row>
    <row r="232" spans="8:9" x14ac:dyDescent="0.3">
      <c r="H232" s="153" t="s">
        <v>2059</v>
      </c>
      <c r="I232" s="153" t="s">
        <v>2024</v>
      </c>
    </row>
    <row r="233" spans="8:9" x14ac:dyDescent="0.3">
      <c r="H233" s="153" t="s">
        <v>2059</v>
      </c>
      <c r="I233" s="153" t="s">
        <v>2024</v>
      </c>
    </row>
    <row r="234" spans="8:9" x14ac:dyDescent="0.3">
      <c r="H234" s="153" t="s">
        <v>2059</v>
      </c>
      <c r="I234" s="153" t="s">
        <v>2024</v>
      </c>
    </row>
    <row r="235" spans="8:9" x14ac:dyDescent="0.3">
      <c r="H235" s="153" t="s">
        <v>2059</v>
      </c>
      <c r="I235" s="153" t="s">
        <v>2024</v>
      </c>
    </row>
    <row r="236" spans="8:9" x14ac:dyDescent="0.3">
      <c r="H236" s="153" t="s">
        <v>2059</v>
      </c>
      <c r="I236" s="153" t="s">
        <v>2024</v>
      </c>
    </row>
    <row r="237" spans="8:9" x14ac:dyDescent="0.3">
      <c r="H237" s="153" t="s">
        <v>2059</v>
      </c>
      <c r="I237" s="153" t="s">
        <v>2024</v>
      </c>
    </row>
    <row r="238" spans="8:9" x14ac:dyDescent="0.3">
      <c r="H238" s="153" t="s">
        <v>2059</v>
      </c>
      <c r="I238" s="153" t="s">
        <v>2024</v>
      </c>
    </row>
    <row r="239" spans="8:9" x14ac:dyDescent="0.3">
      <c r="H239" s="153" t="s">
        <v>2041</v>
      </c>
      <c r="I239" s="153" t="s">
        <v>2802</v>
      </c>
    </row>
    <row r="240" spans="8:9" x14ac:dyDescent="0.3">
      <c r="H240" s="153" t="s">
        <v>2037</v>
      </c>
      <c r="I240" s="153" t="s">
        <v>2802</v>
      </c>
    </row>
    <row r="241" spans="8:9" x14ac:dyDescent="0.3">
      <c r="H241" s="153" t="s">
        <v>2032</v>
      </c>
      <c r="I241" s="153" t="s">
        <v>2802</v>
      </c>
    </row>
    <row r="242" spans="8:9" x14ac:dyDescent="0.3">
      <c r="H242" s="153" t="s">
        <v>2032</v>
      </c>
      <c r="I242" s="153" t="s">
        <v>2802</v>
      </c>
    </row>
    <row r="243" spans="8:9" x14ac:dyDescent="0.3">
      <c r="H243" s="153" t="s">
        <v>2032</v>
      </c>
      <c r="I243" s="153" t="s">
        <v>2802</v>
      </c>
    </row>
    <row r="244" spans="8:9" x14ac:dyDescent="0.3">
      <c r="H244" s="153" t="s">
        <v>2037</v>
      </c>
      <c r="I244" s="153" t="s">
        <v>2802</v>
      </c>
    </row>
    <row r="245" spans="8:9" x14ac:dyDescent="0.3">
      <c r="H245" s="153" t="s">
        <v>2037</v>
      </c>
      <c r="I245" s="153" t="s">
        <v>2802</v>
      </c>
    </row>
    <row r="246" spans="8:9" x14ac:dyDescent="0.3">
      <c r="H246" s="153" t="s">
        <v>2037</v>
      </c>
      <c r="I246" s="153" t="s">
        <v>2802</v>
      </c>
    </row>
    <row r="247" spans="8:9" x14ac:dyDescent="0.3">
      <c r="H247" s="153" t="s">
        <v>2032</v>
      </c>
      <c r="I247" s="153" t="s">
        <v>2802</v>
      </c>
    </row>
    <row r="248" spans="8:9" x14ac:dyDescent="0.3">
      <c r="H248" s="153" t="s">
        <v>2037</v>
      </c>
      <c r="I248" s="153" t="s">
        <v>2802</v>
      </c>
    </row>
    <row r="249" spans="8:9" x14ac:dyDescent="0.3">
      <c r="H249" s="153" t="s">
        <v>2062</v>
      </c>
      <c r="I249" s="153" t="s">
        <v>2023</v>
      </c>
    </row>
    <row r="250" spans="8:9" x14ac:dyDescent="0.3">
      <c r="H250" s="153" t="s">
        <v>2041</v>
      </c>
      <c r="I250" s="153" t="s">
        <v>2802</v>
      </c>
    </row>
    <row r="251" spans="8:9" x14ac:dyDescent="0.3">
      <c r="H251" s="153" t="s">
        <v>2041</v>
      </c>
      <c r="I251" s="153" t="s">
        <v>2802</v>
      </c>
    </row>
    <row r="252" spans="8:9" x14ac:dyDescent="0.3">
      <c r="H252" s="153" t="s">
        <v>2059</v>
      </c>
      <c r="I252" s="153" t="s">
        <v>2024</v>
      </c>
    </row>
    <row r="253" spans="8:9" x14ac:dyDescent="0.3">
      <c r="H253" s="153" t="s">
        <v>2059</v>
      </c>
      <c r="I253" s="153" t="s">
        <v>2024</v>
      </c>
    </row>
    <row r="254" spans="8:9" x14ac:dyDescent="0.3">
      <c r="H254" s="153" t="s">
        <v>2059</v>
      </c>
      <c r="I254" s="153" t="s">
        <v>2024</v>
      </c>
    </row>
    <row r="255" spans="8:9" x14ac:dyDescent="0.3">
      <c r="H255" s="153" t="s">
        <v>2059</v>
      </c>
      <c r="I255" s="153" t="s">
        <v>2024</v>
      </c>
    </row>
    <row r="256" spans="8:9" x14ac:dyDescent="0.3">
      <c r="H256" s="153" t="s">
        <v>2059</v>
      </c>
      <c r="I256" s="153" t="s">
        <v>2024</v>
      </c>
    </row>
    <row r="257" spans="8:9" x14ac:dyDescent="0.3">
      <c r="H257" s="153" t="s">
        <v>2059</v>
      </c>
      <c r="I257" s="153" t="s">
        <v>2024</v>
      </c>
    </row>
    <row r="258" spans="8:9" x14ac:dyDescent="0.3">
      <c r="H258" s="153" t="s">
        <v>2059</v>
      </c>
      <c r="I258" s="153" t="s">
        <v>2024</v>
      </c>
    </row>
    <row r="259" spans="8:9" x14ac:dyDescent="0.3">
      <c r="H259" s="153" t="s">
        <v>2059</v>
      </c>
      <c r="I259" s="153" t="s">
        <v>2024</v>
      </c>
    </row>
    <row r="260" spans="8:9" x14ac:dyDescent="0.3">
      <c r="H260" s="153" t="s">
        <v>2059</v>
      </c>
      <c r="I260" s="153" t="s">
        <v>2024</v>
      </c>
    </row>
    <row r="261" spans="8:9" x14ac:dyDescent="0.3">
      <c r="H261" s="153" t="s">
        <v>2059</v>
      </c>
      <c r="I261" s="153" t="s">
        <v>2024</v>
      </c>
    </row>
    <row r="262" spans="8:9" x14ac:dyDescent="0.3">
      <c r="H262" s="153" t="s">
        <v>2037</v>
      </c>
      <c r="I262" s="153" t="s">
        <v>2802</v>
      </c>
    </row>
    <row r="263" spans="8:9" x14ac:dyDescent="0.3">
      <c r="H263" s="153" t="s">
        <v>2045</v>
      </c>
      <c r="I263" s="153" t="s">
        <v>2802</v>
      </c>
    </row>
    <row r="264" spans="8:9" x14ac:dyDescent="0.3">
      <c r="H264" s="153" t="s">
        <v>2063</v>
      </c>
      <c r="I264" s="153" t="s">
        <v>2802</v>
      </c>
    </row>
    <row r="265" spans="8:9" x14ac:dyDescent="0.3">
      <c r="H265" s="153" t="s">
        <v>2041</v>
      </c>
      <c r="I265" s="153" t="s">
        <v>2802</v>
      </c>
    </row>
    <row r="266" spans="8:9" x14ac:dyDescent="0.3">
      <c r="H266" s="153" t="s">
        <v>2041</v>
      </c>
      <c r="I266" s="153" t="s">
        <v>2802</v>
      </c>
    </row>
    <row r="267" spans="8:9" x14ac:dyDescent="0.3">
      <c r="H267" s="153" t="s">
        <v>2041</v>
      </c>
      <c r="I267" s="153" t="s">
        <v>2802</v>
      </c>
    </row>
    <row r="268" spans="8:9" x14ac:dyDescent="0.3">
      <c r="H268" s="153" t="s">
        <v>2039</v>
      </c>
      <c r="I268" s="153" t="s">
        <v>2802</v>
      </c>
    </row>
    <row r="269" spans="8:9" x14ac:dyDescent="0.3">
      <c r="H269" s="153" t="s">
        <v>2037</v>
      </c>
      <c r="I269" s="153" t="s">
        <v>2802</v>
      </c>
    </row>
    <row r="270" spans="8:9" x14ac:dyDescent="0.3">
      <c r="H270" s="153" t="s">
        <v>2037</v>
      </c>
      <c r="I270" s="153" t="s">
        <v>2802</v>
      </c>
    </row>
    <row r="271" spans="8:9" x14ac:dyDescent="0.3">
      <c r="H271" s="153" t="s">
        <v>2945</v>
      </c>
      <c r="I271" s="153" t="s">
        <v>2859</v>
      </c>
    </row>
    <row r="272" spans="8:9" x14ac:dyDescent="0.3">
      <c r="H272" s="153" t="s">
        <v>2037</v>
      </c>
      <c r="I272" s="153" t="s">
        <v>2802</v>
      </c>
    </row>
    <row r="273" spans="8:9" x14ac:dyDescent="0.3">
      <c r="H273" s="153" t="s">
        <v>2039</v>
      </c>
      <c r="I273" s="153" t="s">
        <v>2802</v>
      </c>
    </row>
    <row r="274" spans="8:9" x14ac:dyDescent="0.3">
      <c r="H274" s="153" t="s">
        <v>2039</v>
      </c>
      <c r="I274" s="153" t="s">
        <v>2802</v>
      </c>
    </row>
    <row r="275" spans="8:9" x14ac:dyDescent="0.3">
      <c r="H275" s="153" t="s">
        <v>2039</v>
      </c>
      <c r="I275" s="153" t="s">
        <v>2802</v>
      </c>
    </row>
    <row r="276" spans="8:9" x14ac:dyDescent="0.3">
      <c r="H276" s="153" t="s">
        <v>2039</v>
      </c>
      <c r="I276" s="153" t="s">
        <v>2802</v>
      </c>
    </row>
    <row r="277" spans="8:9" x14ac:dyDescent="0.3">
      <c r="H277" s="153" t="s">
        <v>2037</v>
      </c>
      <c r="I277" s="153" t="s">
        <v>2802</v>
      </c>
    </row>
    <row r="278" spans="8:9" x14ac:dyDescent="0.3">
      <c r="H278" s="153" t="s">
        <v>2037</v>
      </c>
      <c r="I278" s="153" t="s">
        <v>2802</v>
      </c>
    </row>
    <row r="279" spans="8:9" x14ac:dyDescent="0.3">
      <c r="H279" s="153" t="s">
        <v>2037</v>
      </c>
      <c r="I279" s="153" t="s">
        <v>2802</v>
      </c>
    </row>
    <row r="280" spans="8:9" x14ac:dyDescent="0.3">
      <c r="H280" s="153" t="s">
        <v>2037</v>
      </c>
      <c r="I280" s="153" t="s">
        <v>2802</v>
      </c>
    </row>
    <row r="281" spans="8:9" x14ac:dyDescent="0.3">
      <c r="H281" s="153" t="s">
        <v>2037</v>
      </c>
      <c r="I281" s="153" t="s">
        <v>2802</v>
      </c>
    </row>
    <row r="282" spans="8:9" x14ac:dyDescent="0.3">
      <c r="H282" s="153" t="s">
        <v>2037</v>
      </c>
      <c r="I282" s="153" t="s">
        <v>2802</v>
      </c>
    </row>
    <row r="283" spans="8:9" x14ac:dyDescent="0.3">
      <c r="H283" s="153" t="s">
        <v>2037</v>
      </c>
      <c r="I283" s="153" t="s">
        <v>2802</v>
      </c>
    </row>
    <row r="284" spans="8:9" x14ac:dyDescent="0.3">
      <c r="H284" s="153" t="s">
        <v>2037</v>
      </c>
      <c r="I284" s="153" t="s">
        <v>2802</v>
      </c>
    </row>
    <row r="285" spans="8:9" x14ac:dyDescent="0.3">
      <c r="H285" s="153" t="s">
        <v>2037</v>
      </c>
      <c r="I285" s="153" t="s">
        <v>2802</v>
      </c>
    </row>
    <row r="286" spans="8:9" x14ac:dyDescent="0.3">
      <c r="H286" s="153" t="s">
        <v>2037</v>
      </c>
      <c r="I286" s="153" t="s">
        <v>2802</v>
      </c>
    </row>
    <row r="287" spans="8:9" x14ac:dyDescent="0.3">
      <c r="H287" s="153" t="s">
        <v>2037</v>
      </c>
      <c r="I287" s="153" t="s">
        <v>2802</v>
      </c>
    </row>
    <row r="288" spans="8:9" x14ac:dyDescent="0.3">
      <c r="H288" s="153" t="s">
        <v>2037</v>
      </c>
      <c r="I288" s="153" t="s">
        <v>2802</v>
      </c>
    </row>
    <row r="289" spans="8:9" x14ac:dyDescent="0.3">
      <c r="H289" s="153" t="s">
        <v>2028</v>
      </c>
      <c r="I289" s="153" t="s">
        <v>2023</v>
      </c>
    </row>
    <row r="290" spans="8:9" x14ac:dyDescent="0.3">
      <c r="H290" s="153" t="s">
        <v>2028</v>
      </c>
      <c r="I290" s="153" t="s">
        <v>2023</v>
      </c>
    </row>
    <row r="291" spans="8:9" x14ac:dyDescent="0.3">
      <c r="H291" s="153" t="s">
        <v>2041</v>
      </c>
      <c r="I291" s="153" t="s">
        <v>2802</v>
      </c>
    </row>
    <row r="292" spans="8:9" x14ac:dyDescent="0.3">
      <c r="H292" s="153" t="s">
        <v>2041</v>
      </c>
      <c r="I292" s="153" t="s">
        <v>2802</v>
      </c>
    </row>
    <row r="293" spans="8:9" x14ac:dyDescent="0.3">
      <c r="H293" s="153" t="s">
        <v>2037</v>
      </c>
      <c r="I293" s="153" t="s">
        <v>2802</v>
      </c>
    </row>
    <row r="294" spans="8:9" x14ac:dyDescent="0.3">
      <c r="H294" s="153" t="s">
        <v>2037</v>
      </c>
      <c r="I294" s="153" t="s">
        <v>2802</v>
      </c>
    </row>
    <row r="295" spans="8:9" x14ac:dyDescent="0.3">
      <c r="H295" s="153" t="s">
        <v>2037</v>
      </c>
      <c r="I295" s="153" t="s">
        <v>2802</v>
      </c>
    </row>
    <row r="296" spans="8:9" x14ac:dyDescent="0.3">
      <c r="H296" s="153" t="s">
        <v>2039</v>
      </c>
      <c r="I296" s="153" t="s">
        <v>2802</v>
      </c>
    </row>
    <row r="297" spans="8:9" x14ac:dyDescent="0.3">
      <c r="H297" s="153" t="s">
        <v>2039</v>
      </c>
      <c r="I297" s="153" t="s">
        <v>2802</v>
      </c>
    </row>
    <row r="298" spans="8:9" x14ac:dyDescent="0.3">
      <c r="H298" s="153" t="s">
        <v>2037</v>
      </c>
      <c r="I298" s="153" t="s">
        <v>2802</v>
      </c>
    </row>
    <row r="299" spans="8:9" x14ac:dyDescent="0.3">
      <c r="H299" s="153" t="s">
        <v>2041</v>
      </c>
      <c r="I299" s="153" t="s">
        <v>2802</v>
      </c>
    </row>
    <row r="300" spans="8:9" x14ac:dyDescent="0.3">
      <c r="H300" s="153" t="s">
        <v>2039</v>
      </c>
      <c r="I300" s="153" t="s">
        <v>2802</v>
      </c>
    </row>
    <row r="301" spans="8:9" x14ac:dyDescent="0.3">
      <c r="H301" s="153" t="s">
        <v>2061</v>
      </c>
      <c r="I301" s="153" t="s">
        <v>2802</v>
      </c>
    </row>
    <row r="302" spans="8:9" x14ac:dyDescent="0.3">
      <c r="H302" s="153" t="s">
        <v>2061</v>
      </c>
      <c r="I302" s="153" t="s">
        <v>2802</v>
      </c>
    </row>
    <row r="303" spans="8:9" x14ac:dyDescent="0.3">
      <c r="H303" s="153" t="s">
        <v>2061</v>
      </c>
      <c r="I303" s="153" t="s">
        <v>2802</v>
      </c>
    </row>
    <row r="304" spans="8:9" x14ac:dyDescent="0.3">
      <c r="H304" s="153" t="s">
        <v>2028</v>
      </c>
      <c r="I304" s="153" t="s">
        <v>2023</v>
      </c>
    </row>
    <row r="305" spans="8:9" x14ac:dyDescent="0.3">
      <c r="H305" s="153" t="s">
        <v>2037</v>
      </c>
      <c r="I305" s="153" t="s">
        <v>2802</v>
      </c>
    </row>
    <row r="306" spans="8:9" x14ac:dyDescent="0.3">
      <c r="H306" s="153" t="s">
        <v>2061</v>
      </c>
      <c r="I306" s="153" t="s">
        <v>2802</v>
      </c>
    </row>
    <row r="307" spans="8:9" x14ac:dyDescent="0.3">
      <c r="H307" s="153" t="s">
        <v>2060</v>
      </c>
      <c r="I307" s="153" t="s">
        <v>2023</v>
      </c>
    </row>
    <row r="308" spans="8:9" x14ac:dyDescent="0.3">
      <c r="H308" s="153" t="s">
        <v>2060</v>
      </c>
      <c r="I308" s="153" t="s">
        <v>2023</v>
      </c>
    </row>
    <row r="309" spans="8:9" x14ac:dyDescent="0.3">
      <c r="H309" s="153" t="s">
        <v>2037</v>
      </c>
      <c r="I309" s="153" t="s">
        <v>2802</v>
      </c>
    </row>
    <row r="310" spans="8:9" x14ac:dyDescent="0.3">
      <c r="H310" s="153" t="s">
        <v>2037</v>
      </c>
      <c r="I310" s="153" t="s">
        <v>2802</v>
      </c>
    </row>
    <row r="311" spans="8:9" x14ac:dyDescent="0.3">
      <c r="H311" s="153" t="s">
        <v>2037</v>
      </c>
      <c r="I311" s="153" t="s">
        <v>2802</v>
      </c>
    </row>
    <row r="312" spans="8:9" x14ac:dyDescent="0.3">
      <c r="H312" s="153" t="s">
        <v>2068</v>
      </c>
      <c r="I312" s="153" t="s">
        <v>2024</v>
      </c>
    </row>
    <row r="313" spans="8:9" x14ac:dyDescent="0.3">
      <c r="H313" s="153" t="s">
        <v>2068</v>
      </c>
      <c r="I313" s="153" t="s">
        <v>2024</v>
      </c>
    </row>
    <row r="314" spans="8:9" x14ac:dyDescent="0.3">
      <c r="H314" s="153" t="s">
        <v>2068</v>
      </c>
      <c r="I314" s="153" t="s">
        <v>2024</v>
      </c>
    </row>
    <row r="315" spans="8:9" x14ac:dyDescent="0.3">
      <c r="H315" s="153" t="s">
        <v>2068</v>
      </c>
      <c r="I315" s="153" t="s">
        <v>2024</v>
      </c>
    </row>
    <row r="316" spans="8:9" x14ac:dyDescent="0.3">
      <c r="H316" s="153" t="s">
        <v>2068</v>
      </c>
      <c r="I316" s="153" t="s">
        <v>2024</v>
      </c>
    </row>
    <row r="317" spans="8:9" x14ac:dyDescent="0.3">
      <c r="H317" s="153" t="s">
        <v>2068</v>
      </c>
      <c r="I317" s="153" t="s">
        <v>2024</v>
      </c>
    </row>
    <row r="318" spans="8:9" x14ac:dyDescent="0.3">
      <c r="H318" s="153" t="s">
        <v>2068</v>
      </c>
      <c r="I318" s="153" t="s">
        <v>2024</v>
      </c>
    </row>
    <row r="319" spans="8:9" x14ac:dyDescent="0.3">
      <c r="H319" s="153" t="s">
        <v>2068</v>
      </c>
      <c r="I319" s="153" t="s">
        <v>2024</v>
      </c>
    </row>
    <row r="320" spans="8:9" x14ac:dyDescent="0.3">
      <c r="H320" s="153" t="s">
        <v>2068</v>
      </c>
      <c r="I320" s="153" t="s">
        <v>2024</v>
      </c>
    </row>
    <row r="321" spans="8:9" x14ac:dyDescent="0.3">
      <c r="H321" s="153" t="s">
        <v>2068</v>
      </c>
      <c r="I321" s="153" t="s">
        <v>2024</v>
      </c>
    </row>
    <row r="322" spans="8:9" x14ac:dyDescent="0.3">
      <c r="H322" s="153" t="s">
        <v>2037</v>
      </c>
      <c r="I322" s="153" t="s">
        <v>2802</v>
      </c>
    </row>
    <row r="323" spans="8:9" x14ac:dyDescent="0.3">
      <c r="H323" s="153" t="s">
        <v>2061</v>
      </c>
      <c r="I323" s="153" t="s">
        <v>2802</v>
      </c>
    </row>
    <row r="324" spans="8:9" x14ac:dyDescent="0.3">
      <c r="H324" s="153" t="s">
        <v>2062</v>
      </c>
      <c r="I324" s="153" t="s">
        <v>2023</v>
      </c>
    </row>
    <row r="325" spans="8:9" x14ac:dyDescent="0.3">
      <c r="H325" s="153" t="s">
        <v>2062</v>
      </c>
      <c r="I325" s="153" t="s">
        <v>2023</v>
      </c>
    </row>
    <row r="326" spans="8:9" x14ac:dyDescent="0.3">
      <c r="H326" s="153" t="s">
        <v>2945</v>
      </c>
      <c r="I326" s="153" t="s">
        <v>2859</v>
      </c>
    </row>
    <row r="327" spans="8:9" x14ac:dyDescent="0.3">
      <c r="H327" s="153" t="s">
        <v>2037</v>
      </c>
      <c r="I327" s="153" t="s">
        <v>2802</v>
      </c>
    </row>
    <row r="328" spans="8:9" x14ac:dyDescent="0.3">
      <c r="H328" s="153" t="s">
        <v>2037</v>
      </c>
      <c r="I328" s="153" t="s">
        <v>2802</v>
      </c>
    </row>
    <row r="329" spans="8:9" x14ac:dyDescent="0.3">
      <c r="H329" s="153" t="s">
        <v>2037</v>
      </c>
      <c r="I329" s="153" t="s">
        <v>2802</v>
      </c>
    </row>
    <row r="330" spans="8:9" x14ac:dyDescent="0.3">
      <c r="H330" s="153" t="s">
        <v>2037</v>
      </c>
      <c r="I330" s="153" t="s">
        <v>2802</v>
      </c>
    </row>
    <row r="331" spans="8:9" x14ac:dyDescent="0.3">
      <c r="H331" s="153" t="s">
        <v>2039</v>
      </c>
      <c r="I331" s="153" t="s">
        <v>2802</v>
      </c>
    </row>
    <row r="332" spans="8:9" x14ac:dyDescent="0.3">
      <c r="H332" s="153" t="s">
        <v>2037</v>
      </c>
      <c r="I332" s="153" t="s">
        <v>2802</v>
      </c>
    </row>
    <row r="333" spans="8:9" x14ac:dyDescent="0.3">
      <c r="H333" s="153" t="s">
        <v>2037</v>
      </c>
      <c r="I333" s="153" t="s">
        <v>2802</v>
      </c>
    </row>
    <row r="334" spans="8:9" x14ac:dyDescent="0.3">
      <c r="H334" s="153" t="s">
        <v>2060</v>
      </c>
      <c r="I334" s="153" t="s">
        <v>2023</v>
      </c>
    </row>
    <row r="335" spans="8:9" x14ac:dyDescent="0.3">
      <c r="H335" s="153" t="s">
        <v>2062</v>
      </c>
      <c r="I335" s="153" t="s">
        <v>2023</v>
      </c>
    </row>
    <row r="336" spans="8:9" x14ac:dyDescent="0.3">
      <c r="H336" s="153" t="s">
        <v>2028</v>
      </c>
      <c r="I336" s="153" t="s">
        <v>2023</v>
      </c>
    </row>
    <row r="337" spans="8:9" x14ac:dyDescent="0.3">
      <c r="H337" s="153" t="s">
        <v>2032</v>
      </c>
      <c r="I337" s="153" t="s">
        <v>2802</v>
      </c>
    </row>
    <row r="338" spans="8:9" x14ac:dyDescent="0.3">
      <c r="H338" s="153" t="s">
        <v>2039</v>
      </c>
      <c r="I338" s="153" t="s">
        <v>2802</v>
      </c>
    </row>
    <row r="339" spans="8:9" x14ac:dyDescent="0.3">
      <c r="H339" s="153" t="s">
        <v>2028</v>
      </c>
      <c r="I339" s="153" t="s">
        <v>2023</v>
      </c>
    </row>
    <row r="340" spans="8:9" x14ac:dyDescent="0.3">
      <c r="H340" s="153" t="s">
        <v>2037</v>
      </c>
      <c r="I340" s="153" t="s">
        <v>2802</v>
      </c>
    </row>
    <row r="341" spans="8:9" x14ac:dyDescent="0.3">
      <c r="H341" s="153" t="s">
        <v>2032</v>
      </c>
      <c r="I341" s="153" t="s">
        <v>2802</v>
      </c>
    </row>
    <row r="342" spans="8:9" x14ac:dyDescent="0.3">
      <c r="H342" s="153" t="s">
        <v>2032</v>
      </c>
      <c r="I342" s="153" t="s">
        <v>2802</v>
      </c>
    </row>
    <row r="343" spans="8:9" x14ac:dyDescent="0.3">
      <c r="H343" s="153" t="s">
        <v>2041</v>
      </c>
      <c r="I343" s="153" t="s">
        <v>2802</v>
      </c>
    </row>
    <row r="344" spans="8:9" x14ac:dyDescent="0.3">
      <c r="H344" s="153" t="s">
        <v>2068</v>
      </c>
      <c r="I344" s="153" t="s">
        <v>2024</v>
      </c>
    </row>
    <row r="345" spans="8:9" x14ac:dyDescent="0.3">
      <c r="H345" s="153" t="s">
        <v>2068</v>
      </c>
      <c r="I345" s="153" t="s">
        <v>2024</v>
      </c>
    </row>
    <row r="346" spans="8:9" x14ac:dyDescent="0.3">
      <c r="H346" s="153" t="s">
        <v>2068</v>
      </c>
      <c r="I346" s="153" t="s">
        <v>2024</v>
      </c>
    </row>
    <row r="347" spans="8:9" x14ac:dyDescent="0.3">
      <c r="H347" s="153" t="s">
        <v>2068</v>
      </c>
      <c r="I347" s="153" t="s">
        <v>2024</v>
      </c>
    </row>
    <row r="348" spans="8:9" x14ac:dyDescent="0.3">
      <c r="H348" s="153" t="s">
        <v>2068</v>
      </c>
      <c r="I348" s="153" t="s">
        <v>2024</v>
      </c>
    </row>
    <row r="349" spans="8:9" x14ac:dyDescent="0.3">
      <c r="H349" s="153" t="s">
        <v>2068</v>
      </c>
      <c r="I349" s="153" t="s">
        <v>2024</v>
      </c>
    </row>
    <row r="350" spans="8:9" x14ac:dyDescent="0.3">
      <c r="H350" s="153" t="s">
        <v>2068</v>
      </c>
      <c r="I350" s="153" t="s">
        <v>2024</v>
      </c>
    </row>
    <row r="351" spans="8:9" x14ac:dyDescent="0.3">
      <c r="H351" s="153" t="s">
        <v>2068</v>
      </c>
      <c r="I351" s="153" t="s">
        <v>2024</v>
      </c>
    </row>
    <row r="352" spans="8:9" x14ac:dyDescent="0.3">
      <c r="H352" s="153" t="s">
        <v>2068</v>
      </c>
      <c r="I352" s="153" t="s">
        <v>2024</v>
      </c>
    </row>
    <row r="353" spans="8:9" x14ac:dyDescent="0.3">
      <c r="H353" s="153" t="s">
        <v>2068</v>
      </c>
      <c r="I353" s="153" t="s">
        <v>2024</v>
      </c>
    </row>
    <row r="354" spans="8:9" x14ac:dyDescent="0.3">
      <c r="H354" s="153" t="s">
        <v>2028</v>
      </c>
      <c r="I354" s="153" t="s">
        <v>2023</v>
      </c>
    </row>
    <row r="355" spans="8:9" x14ac:dyDescent="0.3">
      <c r="H355" s="153" t="s">
        <v>2041</v>
      </c>
      <c r="I355" s="153" t="s">
        <v>2802</v>
      </c>
    </row>
    <row r="356" spans="8:9" x14ac:dyDescent="0.3">
      <c r="H356" s="153" t="s">
        <v>2061</v>
      </c>
      <c r="I356" s="153" t="s">
        <v>2802</v>
      </c>
    </row>
    <row r="357" spans="8:9" x14ac:dyDescent="0.3">
      <c r="H357" s="153" t="s">
        <v>2028</v>
      </c>
      <c r="I357" s="153" t="s">
        <v>2023</v>
      </c>
    </row>
    <row r="358" spans="8:9" x14ac:dyDescent="0.3">
      <c r="H358" s="153" t="s">
        <v>2945</v>
      </c>
      <c r="I358" s="153" t="s">
        <v>2859</v>
      </c>
    </row>
    <row r="359" spans="8:9" x14ac:dyDescent="0.3">
      <c r="H359" s="153" t="s">
        <v>2037</v>
      </c>
      <c r="I359" s="153" t="s">
        <v>2802</v>
      </c>
    </row>
    <row r="360" spans="8:9" x14ac:dyDescent="0.3">
      <c r="H360" s="153" t="s">
        <v>2037</v>
      </c>
      <c r="I360" s="153" t="s">
        <v>2802</v>
      </c>
    </row>
    <row r="361" spans="8:9" x14ac:dyDescent="0.3">
      <c r="H361" s="153" t="s">
        <v>2059</v>
      </c>
      <c r="I361" s="153" t="s">
        <v>2024</v>
      </c>
    </row>
    <row r="362" spans="8:9" x14ac:dyDescent="0.3">
      <c r="H362" s="153" t="s">
        <v>2058</v>
      </c>
      <c r="I362" s="153" t="s">
        <v>2802</v>
      </c>
    </row>
    <row r="363" spans="8:9" x14ac:dyDescent="0.3">
      <c r="H363" s="153" t="s">
        <v>2062</v>
      </c>
      <c r="I363" s="153" t="s">
        <v>2023</v>
      </c>
    </row>
    <row r="364" spans="8:9" x14ac:dyDescent="0.3">
      <c r="H364" s="153" t="s">
        <v>2040</v>
      </c>
      <c r="I364" s="153" t="s">
        <v>2802</v>
      </c>
    </row>
    <row r="365" spans="8:9" x14ac:dyDescent="0.3">
      <c r="H365" s="153" t="s">
        <v>2037</v>
      </c>
      <c r="I365" s="153" t="s">
        <v>2802</v>
      </c>
    </row>
    <row r="366" spans="8:9" x14ac:dyDescent="0.3">
      <c r="H366" s="153" t="s">
        <v>2037</v>
      </c>
      <c r="I366" s="153" t="s">
        <v>2802</v>
      </c>
    </row>
    <row r="367" spans="8:9" x14ac:dyDescent="0.3">
      <c r="H367" s="153" t="s">
        <v>2037</v>
      </c>
      <c r="I367" s="153" t="s">
        <v>2802</v>
      </c>
    </row>
    <row r="368" spans="8:9" x14ac:dyDescent="0.3">
      <c r="H368" s="153" t="s">
        <v>2061</v>
      </c>
      <c r="I368" s="153" t="s">
        <v>2802</v>
      </c>
    </row>
    <row r="369" spans="8:9" x14ac:dyDescent="0.3">
      <c r="H369" s="153" t="s">
        <v>2063</v>
      </c>
      <c r="I369" s="153" t="s">
        <v>2802</v>
      </c>
    </row>
    <row r="370" spans="8:9" x14ac:dyDescent="0.3">
      <c r="H370" s="153" t="s">
        <v>2062</v>
      </c>
      <c r="I370" s="153" t="s">
        <v>2023</v>
      </c>
    </row>
    <row r="371" spans="8:9" x14ac:dyDescent="0.3">
      <c r="H371" s="153" t="s">
        <v>2037</v>
      </c>
      <c r="I371" s="153" t="s">
        <v>2802</v>
      </c>
    </row>
    <row r="372" spans="8:9" x14ac:dyDescent="0.3">
      <c r="H372" s="153" t="s">
        <v>2054</v>
      </c>
      <c r="I372" s="153" t="s">
        <v>2802</v>
      </c>
    </row>
    <row r="373" spans="8:9" x14ac:dyDescent="0.3">
      <c r="H373" s="153" t="s">
        <v>2040</v>
      </c>
      <c r="I373" s="153" t="s">
        <v>2802</v>
      </c>
    </row>
    <row r="374" spans="8:9" x14ac:dyDescent="0.3">
      <c r="H374" s="153" t="s">
        <v>2037</v>
      </c>
      <c r="I374" s="153" t="s">
        <v>2802</v>
      </c>
    </row>
    <row r="375" spans="8:9" x14ac:dyDescent="0.3">
      <c r="H375" s="153" t="s">
        <v>2037</v>
      </c>
      <c r="I375" s="153" t="s">
        <v>2802</v>
      </c>
    </row>
    <row r="376" spans="8:9" x14ac:dyDescent="0.3">
      <c r="H376" s="153" t="s">
        <v>2037</v>
      </c>
      <c r="I376" s="153" t="s">
        <v>2802</v>
      </c>
    </row>
    <row r="377" spans="8:9" x14ac:dyDescent="0.3">
      <c r="H377" s="153" t="s">
        <v>2037</v>
      </c>
      <c r="I377" s="153" t="s">
        <v>2802</v>
      </c>
    </row>
    <row r="378" spans="8:9" x14ac:dyDescent="0.3">
      <c r="H378" s="153" t="s">
        <v>2041</v>
      </c>
      <c r="I378" s="153" t="s">
        <v>2802</v>
      </c>
    </row>
    <row r="379" spans="8:9" x14ac:dyDescent="0.3">
      <c r="H379" s="153" t="s">
        <v>2039</v>
      </c>
      <c r="I379" s="153" t="s">
        <v>2802</v>
      </c>
    </row>
    <row r="380" spans="8:9" x14ac:dyDescent="0.3">
      <c r="H380" s="153" t="s">
        <v>2037</v>
      </c>
      <c r="I380" s="153" t="s">
        <v>2802</v>
      </c>
    </row>
    <row r="381" spans="8:9" x14ac:dyDescent="0.3">
      <c r="H381" s="153" t="s">
        <v>2037</v>
      </c>
      <c r="I381" s="153" t="s">
        <v>2802</v>
      </c>
    </row>
    <row r="382" spans="8:9" x14ac:dyDescent="0.3">
      <c r="H382" s="153" t="s">
        <v>2037</v>
      </c>
      <c r="I382" s="153" t="s">
        <v>2802</v>
      </c>
    </row>
    <row r="383" spans="8:9" x14ac:dyDescent="0.3">
      <c r="H383" s="153" t="s">
        <v>2028</v>
      </c>
      <c r="I383" s="153" t="s">
        <v>2023</v>
      </c>
    </row>
    <row r="384" spans="8:9" x14ac:dyDescent="0.3">
      <c r="H384" s="153" t="s">
        <v>2058</v>
      </c>
      <c r="I384" s="153" t="s">
        <v>2802</v>
      </c>
    </row>
    <row r="385" spans="8:9" x14ac:dyDescent="0.3">
      <c r="H385" s="153" t="s">
        <v>2032</v>
      </c>
      <c r="I385" s="153" t="s">
        <v>2802</v>
      </c>
    </row>
    <row r="386" spans="8:9" x14ac:dyDescent="0.3">
      <c r="H386" s="153" t="s">
        <v>2039</v>
      </c>
      <c r="I386" s="153" t="s">
        <v>2802</v>
      </c>
    </row>
    <row r="387" spans="8:9" x14ac:dyDescent="0.3">
      <c r="H387" s="153" t="s">
        <v>2037</v>
      </c>
      <c r="I387" s="153" t="s">
        <v>2802</v>
      </c>
    </row>
    <row r="388" spans="8:9" x14ac:dyDescent="0.3">
      <c r="H388" s="153" t="s">
        <v>2059</v>
      </c>
      <c r="I388" s="153" t="s">
        <v>2024</v>
      </c>
    </row>
    <row r="389" spans="8:9" x14ac:dyDescent="0.3">
      <c r="H389" s="153" t="s">
        <v>2039</v>
      </c>
      <c r="I389" s="153" t="s">
        <v>2802</v>
      </c>
    </row>
    <row r="390" spans="8:9" x14ac:dyDescent="0.3">
      <c r="H390" s="153" t="s">
        <v>2039</v>
      </c>
      <c r="I390" s="153" t="s">
        <v>2802</v>
      </c>
    </row>
    <row r="391" spans="8:9" x14ac:dyDescent="0.3">
      <c r="H391" s="153" t="s">
        <v>2045</v>
      </c>
      <c r="I391" s="153" t="s">
        <v>2802</v>
      </c>
    </row>
    <row r="392" spans="8:9" x14ac:dyDescent="0.3">
      <c r="H392" s="153" t="s">
        <v>2045</v>
      </c>
      <c r="I392" s="153" t="s">
        <v>2802</v>
      </c>
    </row>
    <row r="393" spans="8:9" x14ac:dyDescent="0.3">
      <c r="H393" s="153" t="s">
        <v>2058</v>
      </c>
      <c r="I393" s="153" t="s">
        <v>2802</v>
      </c>
    </row>
    <row r="394" spans="8:9" x14ac:dyDescent="0.3">
      <c r="H394" s="153" t="s">
        <v>2037</v>
      </c>
      <c r="I394" s="153" t="s">
        <v>2802</v>
      </c>
    </row>
    <row r="395" spans="8:9" x14ac:dyDescent="0.3">
      <c r="H395" s="153" t="s">
        <v>2037</v>
      </c>
      <c r="I395" s="153" t="s">
        <v>2802</v>
      </c>
    </row>
    <row r="396" spans="8:9" x14ac:dyDescent="0.3">
      <c r="H396" s="153" t="s">
        <v>2058</v>
      </c>
      <c r="I396" s="153" t="s">
        <v>2802</v>
      </c>
    </row>
    <row r="397" spans="8:9" x14ac:dyDescent="0.3">
      <c r="H397" s="153" t="s">
        <v>2059</v>
      </c>
      <c r="I397" s="153" t="s">
        <v>2024</v>
      </c>
    </row>
    <row r="398" spans="8:9" x14ac:dyDescent="0.3">
      <c r="H398" s="153" t="s">
        <v>2058</v>
      </c>
      <c r="I398" s="153" t="s">
        <v>2802</v>
      </c>
    </row>
    <row r="399" spans="8:9" x14ac:dyDescent="0.3">
      <c r="H399" s="153" t="s">
        <v>2028</v>
      </c>
      <c r="I399" s="153" t="s">
        <v>2023</v>
      </c>
    </row>
    <row r="400" spans="8:9" x14ac:dyDescent="0.3">
      <c r="H400" s="153" t="s">
        <v>2058</v>
      </c>
      <c r="I400" s="153" t="s">
        <v>2802</v>
      </c>
    </row>
    <row r="401" spans="8:9" x14ac:dyDescent="0.3">
      <c r="H401" s="153" t="s">
        <v>2058</v>
      </c>
      <c r="I401" s="153" t="s">
        <v>2802</v>
      </c>
    </row>
    <row r="402" spans="8:9" x14ac:dyDescent="0.3">
      <c r="H402" s="153" t="s">
        <v>2058</v>
      </c>
      <c r="I402" s="153" t="s">
        <v>2802</v>
      </c>
    </row>
    <row r="403" spans="8:9" x14ac:dyDescent="0.3">
      <c r="H403" s="153" t="s">
        <v>2062</v>
      </c>
      <c r="I403" s="153" t="s">
        <v>2023</v>
      </c>
    </row>
    <row r="404" spans="8:9" x14ac:dyDescent="0.3">
      <c r="H404" s="153" t="s">
        <v>2060</v>
      </c>
      <c r="I404" s="153" t="s">
        <v>2023</v>
      </c>
    </row>
    <row r="405" spans="8:9" x14ac:dyDescent="0.3">
      <c r="H405" s="153" t="s">
        <v>2028</v>
      </c>
      <c r="I405" s="153" t="s">
        <v>2023</v>
      </c>
    </row>
    <row r="406" spans="8:9" x14ac:dyDescent="0.3">
      <c r="H406" s="153" t="s">
        <v>2068</v>
      </c>
      <c r="I406" s="153" t="s">
        <v>2024</v>
      </c>
    </row>
    <row r="407" spans="8:9" x14ac:dyDescent="0.3">
      <c r="H407" s="153" t="s">
        <v>2068</v>
      </c>
      <c r="I407" s="153" t="s">
        <v>2024</v>
      </c>
    </row>
    <row r="408" spans="8:9" x14ac:dyDescent="0.3">
      <c r="H408" s="153" t="s">
        <v>2068</v>
      </c>
      <c r="I408" s="153" t="s">
        <v>2024</v>
      </c>
    </row>
    <row r="409" spans="8:9" x14ac:dyDescent="0.3">
      <c r="H409" s="153" t="s">
        <v>2068</v>
      </c>
      <c r="I409" s="153" t="s">
        <v>2024</v>
      </c>
    </row>
    <row r="410" spans="8:9" x14ac:dyDescent="0.3">
      <c r="H410" s="153" t="s">
        <v>2068</v>
      </c>
      <c r="I410" s="153" t="s">
        <v>2024</v>
      </c>
    </row>
    <row r="411" spans="8:9" x14ac:dyDescent="0.3">
      <c r="H411" s="153" t="s">
        <v>2068</v>
      </c>
      <c r="I411" s="153" t="s">
        <v>2024</v>
      </c>
    </row>
    <row r="412" spans="8:9" x14ac:dyDescent="0.3">
      <c r="H412" s="153" t="s">
        <v>2068</v>
      </c>
      <c r="I412" s="153" t="s">
        <v>2024</v>
      </c>
    </row>
    <row r="413" spans="8:9" x14ac:dyDescent="0.3">
      <c r="H413" s="153" t="s">
        <v>2068</v>
      </c>
      <c r="I413" s="153" t="s">
        <v>2024</v>
      </c>
    </row>
    <row r="414" spans="8:9" x14ac:dyDescent="0.3">
      <c r="H414" s="153" t="s">
        <v>2068</v>
      </c>
      <c r="I414" s="153" t="s">
        <v>2024</v>
      </c>
    </row>
    <row r="415" spans="8:9" x14ac:dyDescent="0.3">
      <c r="H415" s="153" t="s">
        <v>2068</v>
      </c>
      <c r="I415" s="153" t="s">
        <v>2024</v>
      </c>
    </row>
    <row r="416" spans="8:9" x14ac:dyDescent="0.3">
      <c r="H416" s="153" t="s">
        <v>2062</v>
      </c>
      <c r="I416" s="153" t="s">
        <v>2023</v>
      </c>
    </row>
    <row r="417" spans="8:9" x14ac:dyDescent="0.3">
      <c r="H417" s="153" t="s">
        <v>2060</v>
      </c>
      <c r="I417" s="153" t="s">
        <v>2023</v>
      </c>
    </row>
    <row r="418" spans="8:9" x14ac:dyDescent="0.3">
      <c r="H418" s="153" t="s">
        <v>2028</v>
      </c>
      <c r="I418" s="153" t="s">
        <v>2023</v>
      </c>
    </row>
    <row r="419" spans="8:9" x14ac:dyDescent="0.3">
      <c r="H419" s="153" t="s">
        <v>2037</v>
      </c>
      <c r="I419" s="153" t="s">
        <v>2802</v>
      </c>
    </row>
    <row r="420" spans="8:9" x14ac:dyDescent="0.3">
      <c r="H420" s="153" t="s">
        <v>2041</v>
      </c>
      <c r="I420" s="153" t="s">
        <v>2802</v>
      </c>
    </row>
    <row r="421" spans="8:9" x14ac:dyDescent="0.3">
      <c r="H421" s="153" t="s">
        <v>2041</v>
      </c>
      <c r="I421" s="153" t="s">
        <v>2802</v>
      </c>
    </row>
    <row r="422" spans="8:9" x14ac:dyDescent="0.3">
      <c r="H422" s="153" t="s">
        <v>2041</v>
      </c>
      <c r="I422" s="153" t="s">
        <v>2802</v>
      </c>
    </row>
    <row r="423" spans="8:9" x14ac:dyDescent="0.3">
      <c r="H423" s="153" t="s">
        <v>2041</v>
      </c>
      <c r="I423" s="153" t="s">
        <v>2802</v>
      </c>
    </row>
    <row r="424" spans="8:9" x14ac:dyDescent="0.3">
      <c r="H424" s="153" t="s">
        <v>2028</v>
      </c>
      <c r="I424" s="153" t="s">
        <v>2023</v>
      </c>
    </row>
    <row r="425" spans="8:9" x14ac:dyDescent="0.3">
      <c r="H425" s="153" t="s">
        <v>2037</v>
      </c>
      <c r="I425" s="153" t="s">
        <v>2802</v>
      </c>
    </row>
    <row r="426" spans="8:9" x14ac:dyDescent="0.3">
      <c r="H426" s="153" t="s">
        <v>2028</v>
      </c>
      <c r="I426" s="153" t="s">
        <v>2023</v>
      </c>
    </row>
    <row r="427" spans="8:9" x14ac:dyDescent="0.3">
      <c r="H427" s="153" t="s">
        <v>2041</v>
      </c>
      <c r="I427" s="153" t="s">
        <v>2802</v>
      </c>
    </row>
    <row r="428" spans="8:9" x14ac:dyDescent="0.3">
      <c r="H428" s="153" t="s">
        <v>2063</v>
      </c>
      <c r="I428" s="153" t="s">
        <v>2802</v>
      </c>
    </row>
    <row r="429" spans="8:9" x14ac:dyDescent="0.3">
      <c r="H429" s="153" t="s">
        <v>2063</v>
      </c>
      <c r="I429" s="153" t="s">
        <v>2802</v>
      </c>
    </row>
    <row r="430" spans="8:9" x14ac:dyDescent="0.3">
      <c r="H430" s="153" t="s">
        <v>2062</v>
      </c>
      <c r="I430" s="153" t="s">
        <v>2023</v>
      </c>
    </row>
    <row r="431" spans="8:9" x14ac:dyDescent="0.3">
      <c r="H431" s="153" t="s">
        <v>2028</v>
      </c>
      <c r="I431" s="153" t="s">
        <v>2023</v>
      </c>
    </row>
    <row r="432" spans="8:9" x14ac:dyDescent="0.3">
      <c r="H432" s="153" t="s">
        <v>2047</v>
      </c>
      <c r="I432" s="153" t="s">
        <v>2802</v>
      </c>
    </row>
    <row r="433" spans="8:9" x14ac:dyDescent="0.3">
      <c r="H433" s="153" t="s">
        <v>2058</v>
      </c>
      <c r="I433" s="153" t="s">
        <v>2802</v>
      </c>
    </row>
    <row r="434" spans="8:9" x14ac:dyDescent="0.3">
      <c r="H434" s="153" t="s">
        <v>2037</v>
      </c>
      <c r="I434" s="153" t="s">
        <v>2802</v>
      </c>
    </row>
    <row r="435" spans="8:9" x14ac:dyDescent="0.3">
      <c r="H435" s="153" t="s">
        <v>2032</v>
      </c>
      <c r="I435" s="153" t="s">
        <v>2802</v>
      </c>
    </row>
    <row r="436" spans="8:9" x14ac:dyDescent="0.3">
      <c r="H436" s="153" t="s">
        <v>2032</v>
      </c>
      <c r="I436" s="153" t="s">
        <v>2802</v>
      </c>
    </row>
    <row r="437" spans="8:9" x14ac:dyDescent="0.3">
      <c r="H437" s="153" t="s">
        <v>2041</v>
      </c>
      <c r="I437" s="153" t="s">
        <v>2802</v>
      </c>
    </row>
    <row r="438" spans="8:9" x14ac:dyDescent="0.3">
      <c r="H438" s="153" t="s">
        <v>2037</v>
      </c>
      <c r="I438" s="153" t="s">
        <v>2802</v>
      </c>
    </row>
    <row r="439" spans="8:9" x14ac:dyDescent="0.3">
      <c r="H439" s="153" t="s">
        <v>2068</v>
      </c>
      <c r="I439" s="153" t="s">
        <v>2024</v>
      </c>
    </row>
    <row r="440" spans="8:9" x14ac:dyDescent="0.3">
      <c r="H440" s="153" t="s">
        <v>2068</v>
      </c>
      <c r="I440" s="153" t="s">
        <v>2024</v>
      </c>
    </row>
    <row r="441" spans="8:9" x14ac:dyDescent="0.3">
      <c r="H441" s="153" t="s">
        <v>2068</v>
      </c>
      <c r="I441" s="153" t="s">
        <v>2024</v>
      </c>
    </row>
    <row r="442" spans="8:9" x14ac:dyDescent="0.3">
      <c r="H442" s="153" t="s">
        <v>2068</v>
      </c>
      <c r="I442" s="153" t="s">
        <v>2024</v>
      </c>
    </row>
    <row r="443" spans="8:9" x14ac:dyDescent="0.3">
      <c r="H443" s="153" t="s">
        <v>2068</v>
      </c>
      <c r="I443" s="153" t="s">
        <v>2024</v>
      </c>
    </row>
    <row r="444" spans="8:9" x14ac:dyDescent="0.3">
      <c r="H444" s="153" t="s">
        <v>2068</v>
      </c>
      <c r="I444" s="153" t="s">
        <v>2024</v>
      </c>
    </row>
    <row r="445" spans="8:9" x14ac:dyDescent="0.3">
      <c r="H445" s="153" t="s">
        <v>2068</v>
      </c>
      <c r="I445" s="153" t="s">
        <v>2024</v>
      </c>
    </row>
    <row r="446" spans="8:9" x14ac:dyDescent="0.3">
      <c r="H446" s="153" t="s">
        <v>2068</v>
      </c>
      <c r="I446" s="153" t="s">
        <v>2024</v>
      </c>
    </row>
    <row r="447" spans="8:9" x14ac:dyDescent="0.3">
      <c r="H447" s="153" t="s">
        <v>2068</v>
      </c>
      <c r="I447" s="153" t="s">
        <v>2024</v>
      </c>
    </row>
    <row r="448" spans="8:9" x14ac:dyDescent="0.3">
      <c r="H448" s="153" t="s">
        <v>2068</v>
      </c>
      <c r="I448" s="153" t="s">
        <v>2024</v>
      </c>
    </row>
    <row r="449" spans="8:9" x14ac:dyDescent="0.3">
      <c r="H449" s="153" t="s">
        <v>2068</v>
      </c>
      <c r="I449" s="153" t="s">
        <v>2024</v>
      </c>
    </row>
    <row r="450" spans="8:9" x14ac:dyDescent="0.3">
      <c r="H450" s="153" t="s">
        <v>2068</v>
      </c>
      <c r="I450" s="153" t="s">
        <v>2024</v>
      </c>
    </row>
    <row r="451" spans="8:9" x14ac:dyDescent="0.3">
      <c r="H451" s="153" t="s">
        <v>2060</v>
      </c>
      <c r="I451" s="153" t="s">
        <v>2023</v>
      </c>
    </row>
    <row r="452" spans="8:9" x14ac:dyDescent="0.3">
      <c r="H452" s="153" t="s">
        <v>2055</v>
      </c>
      <c r="I452" s="153" t="s">
        <v>2802</v>
      </c>
    </row>
    <row r="453" spans="8:9" x14ac:dyDescent="0.3">
      <c r="H453" s="153" t="s">
        <v>2037</v>
      </c>
      <c r="I453" s="153" t="s">
        <v>2802</v>
      </c>
    </row>
    <row r="454" spans="8:9" x14ac:dyDescent="0.3">
      <c r="H454" s="153" t="s">
        <v>2037</v>
      </c>
      <c r="I454" s="153" t="s">
        <v>2802</v>
      </c>
    </row>
    <row r="455" spans="8:9" x14ac:dyDescent="0.3">
      <c r="H455" s="153" t="s">
        <v>2037</v>
      </c>
      <c r="I455" s="153" t="s">
        <v>2802</v>
      </c>
    </row>
    <row r="456" spans="8:9" x14ac:dyDescent="0.3">
      <c r="H456" s="153" t="s">
        <v>2037</v>
      </c>
      <c r="I456" s="153" t="s">
        <v>2802</v>
      </c>
    </row>
    <row r="457" spans="8:9" x14ac:dyDescent="0.3">
      <c r="H457" s="153" t="s">
        <v>2037</v>
      </c>
      <c r="I457" s="153" t="s">
        <v>2802</v>
      </c>
    </row>
    <row r="458" spans="8:9" x14ac:dyDescent="0.3">
      <c r="H458" s="153" t="s">
        <v>2037</v>
      </c>
      <c r="I458" s="153" t="s">
        <v>2802</v>
      </c>
    </row>
    <row r="459" spans="8:9" x14ac:dyDescent="0.3">
      <c r="H459" s="153" t="s">
        <v>2037</v>
      </c>
      <c r="I459" s="153" t="s">
        <v>2802</v>
      </c>
    </row>
    <row r="460" spans="8:9" x14ac:dyDescent="0.3">
      <c r="H460" s="153" t="s">
        <v>2037</v>
      </c>
      <c r="I460" s="153" t="s">
        <v>2802</v>
      </c>
    </row>
    <row r="461" spans="8:9" x14ac:dyDescent="0.3">
      <c r="H461" s="153" t="s">
        <v>2041</v>
      </c>
      <c r="I461" s="153" t="s">
        <v>2802</v>
      </c>
    </row>
    <row r="462" spans="8:9" x14ac:dyDescent="0.3">
      <c r="H462" s="153" t="s">
        <v>2041</v>
      </c>
      <c r="I462" s="153" t="s">
        <v>2802</v>
      </c>
    </row>
    <row r="463" spans="8:9" x14ac:dyDescent="0.3">
      <c r="H463" s="153" t="s">
        <v>2058</v>
      </c>
      <c r="I463" s="153" t="s">
        <v>2802</v>
      </c>
    </row>
    <row r="464" spans="8:9" x14ac:dyDescent="0.3">
      <c r="H464" s="153" t="s">
        <v>2058</v>
      </c>
      <c r="I464" s="153" t="s">
        <v>2802</v>
      </c>
    </row>
    <row r="465" spans="8:9" x14ac:dyDescent="0.3">
      <c r="H465" s="153" t="s">
        <v>2037</v>
      </c>
      <c r="I465" s="153" t="s">
        <v>2802</v>
      </c>
    </row>
    <row r="466" spans="8:9" x14ac:dyDescent="0.3">
      <c r="H466" s="153" t="s">
        <v>2039</v>
      </c>
      <c r="I466" s="153" t="s">
        <v>2802</v>
      </c>
    </row>
    <row r="467" spans="8:9" x14ac:dyDescent="0.3">
      <c r="H467" s="153" t="s">
        <v>2054</v>
      </c>
      <c r="I467" s="153" t="s">
        <v>2802</v>
      </c>
    </row>
    <row r="468" spans="8:9" x14ac:dyDescent="0.3">
      <c r="H468" s="153" t="s">
        <v>2037</v>
      </c>
      <c r="I468" s="153" t="s">
        <v>2802</v>
      </c>
    </row>
    <row r="469" spans="8:9" x14ac:dyDescent="0.3">
      <c r="H469" s="153" t="s">
        <v>2041</v>
      </c>
      <c r="I469" s="153" t="s">
        <v>2802</v>
      </c>
    </row>
    <row r="470" spans="8:9" x14ac:dyDescent="0.3">
      <c r="H470" s="153" t="s">
        <v>2043</v>
      </c>
      <c r="I470" s="153" t="s">
        <v>2802</v>
      </c>
    </row>
    <row r="471" spans="8:9" x14ac:dyDescent="0.3">
      <c r="H471" s="153" t="s">
        <v>2060</v>
      </c>
      <c r="I471" s="153" t="s">
        <v>2023</v>
      </c>
    </row>
    <row r="472" spans="8:9" x14ac:dyDescent="0.3">
      <c r="H472" s="153" t="s">
        <v>2039</v>
      </c>
      <c r="I472" s="153" t="s">
        <v>2802</v>
      </c>
    </row>
    <row r="473" spans="8:9" x14ac:dyDescent="0.3">
      <c r="H473" s="153" t="s">
        <v>2037</v>
      </c>
      <c r="I473" s="153" t="s">
        <v>2802</v>
      </c>
    </row>
    <row r="474" spans="8:9" x14ac:dyDescent="0.3">
      <c r="H474" s="153" t="s">
        <v>2028</v>
      </c>
      <c r="I474" s="153" t="s">
        <v>2023</v>
      </c>
    </row>
    <row r="475" spans="8:9" x14ac:dyDescent="0.3">
      <c r="H475" s="153" t="s">
        <v>2037</v>
      </c>
      <c r="I475" s="153" t="s">
        <v>2802</v>
      </c>
    </row>
    <row r="476" spans="8:9" x14ac:dyDescent="0.3">
      <c r="H476" s="153" t="s">
        <v>2032</v>
      </c>
      <c r="I476" s="153" t="s">
        <v>2802</v>
      </c>
    </row>
    <row r="477" spans="8:9" x14ac:dyDescent="0.3">
      <c r="H477" s="153" t="s">
        <v>2032</v>
      </c>
      <c r="I477" s="153" t="s">
        <v>2802</v>
      </c>
    </row>
    <row r="478" spans="8:9" x14ac:dyDescent="0.3">
      <c r="H478" s="153" t="s">
        <v>2032</v>
      </c>
      <c r="I478" s="153" t="s">
        <v>2802</v>
      </c>
    </row>
    <row r="479" spans="8:9" x14ac:dyDescent="0.3">
      <c r="H479" s="153" t="s">
        <v>2032</v>
      </c>
      <c r="I479" s="153" t="s">
        <v>2802</v>
      </c>
    </row>
    <row r="480" spans="8:9" x14ac:dyDescent="0.3">
      <c r="H480" s="153" t="s">
        <v>2032</v>
      </c>
      <c r="I480" s="153" t="s">
        <v>2802</v>
      </c>
    </row>
    <row r="481" spans="8:9" x14ac:dyDescent="0.3">
      <c r="H481" s="153" t="s">
        <v>2032</v>
      </c>
      <c r="I481" s="153" t="s">
        <v>2802</v>
      </c>
    </row>
    <row r="482" spans="8:9" x14ac:dyDescent="0.3">
      <c r="H482" s="153" t="s">
        <v>2032</v>
      </c>
      <c r="I482" s="153" t="s">
        <v>2802</v>
      </c>
    </row>
    <row r="483" spans="8:9" x14ac:dyDescent="0.3">
      <c r="H483" s="153" t="s">
        <v>2032</v>
      </c>
      <c r="I483" s="153" t="s">
        <v>2802</v>
      </c>
    </row>
    <row r="484" spans="8:9" x14ac:dyDescent="0.3">
      <c r="H484" s="153" t="s">
        <v>2032</v>
      </c>
      <c r="I484" s="153" t="s">
        <v>2802</v>
      </c>
    </row>
    <row r="485" spans="8:9" x14ac:dyDescent="0.3">
      <c r="H485" s="153" t="s">
        <v>2032</v>
      </c>
      <c r="I485" s="153" t="s">
        <v>2802</v>
      </c>
    </row>
    <row r="486" spans="8:9" x14ac:dyDescent="0.3">
      <c r="H486" s="153" t="s">
        <v>2032</v>
      </c>
      <c r="I486" s="153" t="s">
        <v>2802</v>
      </c>
    </row>
    <row r="487" spans="8:9" x14ac:dyDescent="0.3">
      <c r="H487" s="153" t="s">
        <v>2032</v>
      </c>
      <c r="I487" s="153" t="s">
        <v>2802</v>
      </c>
    </row>
    <row r="488" spans="8:9" x14ac:dyDescent="0.3">
      <c r="H488" s="153" t="s">
        <v>2032</v>
      </c>
      <c r="I488" s="153" t="s">
        <v>2802</v>
      </c>
    </row>
    <row r="489" spans="8:9" x14ac:dyDescent="0.3">
      <c r="H489" s="153" t="s">
        <v>2032</v>
      </c>
      <c r="I489" s="153" t="s">
        <v>2802</v>
      </c>
    </row>
    <row r="490" spans="8:9" x14ac:dyDescent="0.3">
      <c r="H490" s="153" t="s">
        <v>2032</v>
      </c>
      <c r="I490" s="153" t="s">
        <v>2802</v>
      </c>
    </row>
    <row r="491" spans="8:9" x14ac:dyDescent="0.3">
      <c r="H491" s="153" t="s">
        <v>2032</v>
      </c>
      <c r="I491" s="153" t="s">
        <v>2802</v>
      </c>
    </row>
    <row r="492" spans="8:9" x14ac:dyDescent="0.3">
      <c r="H492" s="153" t="s">
        <v>2032</v>
      </c>
      <c r="I492" s="153" t="s">
        <v>2802</v>
      </c>
    </row>
    <row r="493" spans="8:9" x14ac:dyDescent="0.3">
      <c r="H493" s="153" t="s">
        <v>2032</v>
      </c>
      <c r="I493" s="153" t="s">
        <v>2802</v>
      </c>
    </row>
    <row r="494" spans="8:9" x14ac:dyDescent="0.3">
      <c r="H494" s="153" t="s">
        <v>2032</v>
      </c>
      <c r="I494" s="153" t="s">
        <v>2802</v>
      </c>
    </row>
    <row r="495" spans="8:9" x14ac:dyDescent="0.3">
      <c r="H495" s="153" t="s">
        <v>2032</v>
      </c>
      <c r="I495" s="153" t="s">
        <v>2802</v>
      </c>
    </row>
    <row r="496" spans="8:9" x14ac:dyDescent="0.3">
      <c r="H496" s="153" t="s">
        <v>2032</v>
      </c>
      <c r="I496" s="153" t="s">
        <v>2802</v>
      </c>
    </row>
    <row r="497" spans="8:9" x14ac:dyDescent="0.3">
      <c r="H497" s="153" t="s">
        <v>2032</v>
      </c>
      <c r="I497" s="153" t="s">
        <v>2802</v>
      </c>
    </row>
    <row r="498" spans="8:9" x14ac:dyDescent="0.3">
      <c r="H498" s="153" t="s">
        <v>2032</v>
      </c>
      <c r="I498" s="153" t="s">
        <v>2802</v>
      </c>
    </row>
    <row r="499" spans="8:9" x14ac:dyDescent="0.3">
      <c r="H499" s="153" t="s">
        <v>2032</v>
      </c>
      <c r="I499" s="153" t="s">
        <v>2802</v>
      </c>
    </row>
    <row r="500" spans="8:9" x14ac:dyDescent="0.3">
      <c r="H500" s="153" t="s">
        <v>2032</v>
      </c>
      <c r="I500" s="153" t="s">
        <v>2802</v>
      </c>
    </row>
    <row r="501" spans="8:9" x14ac:dyDescent="0.3">
      <c r="H501" s="153" t="s">
        <v>2032</v>
      </c>
      <c r="I501" s="153" t="s">
        <v>2802</v>
      </c>
    </row>
    <row r="502" spans="8:9" x14ac:dyDescent="0.3">
      <c r="H502" s="153" t="s">
        <v>2032</v>
      </c>
      <c r="I502" s="153" t="s">
        <v>2802</v>
      </c>
    </row>
    <row r="503" spans="8:9" x14ac:dyDescent="0.3">
      <c r="H503" s="153" t="s">
        <v>2032</v>
      </c>
      <c r="I503" s="153" t="s">
        <v>2802</v>
      </c>
    </row>
    <row r="504" spans="8:9" x14ac:dyDescent="0.3">
      <c r="H504" s="153" t="s">
        <v>2032</v>
      </c>
      <c r="I504" s="153" t="s">
        <v>2802</v>
      </c>
    </row>
    <row r="505" spans="8:9" x14ac:dyDescent="0.3">
      <c r="H505" s="153" t="s">
        <v>2032</v>
      </c>
      <c r="I505" s="153" t="s">
        <v>2802</v>
      </c>
    </row>
    <row r="506" spans="8:9" x14ac:dyDescent="0.3">
      <c r="H506" s="153" t="s">
        <v>2032</v>
      </c>
      <c r="I506" s="153" t="s">
        <v>2802</v>
      </c>
    </row>
    <row r="507" spans="8:9" x14ac:dyDescent="0.3">
      <c r="H507" s="153" t="s">
        <v>2032</v>
      </c>
      <c r="I507" s="153" t="s">
        <v>2802</v>
      </c>
    </row>
    <row r="508" spans="8:9" x14ac:dyDescent="0.3">
      <c r="H508" s="153" t="s">
        <v>2032</v>
      </c>
      <c r="I508" s="153" t="s">
        <v>2802</v>
      </c>
    </row>
    <row r="509" spans="8:9" x14ac:dyDescent="0.3">
      <c r="H509" s="153" t="s">
        <v>2032</v>
      </c>
      <c r="I509" s="153" t="s">
        <v>2802</v>
      </c>
    </row>
    <row r="510" spans="8:9" x14ac:dyDescent="0.3">
      <c r="H510" s="153" t="s">
        <v>2032</v>
      </c>
      <c r="I510" s="153" t="s">
        <v>2802</v>
      </c>
    </row>
    <row r="511" spans="8:9" x14ac:dyDescent="0.3">
      <c r="H511" s="153" t="s">
        <v>2032</v>
      </c>
      <c r="I511" s="153" t="s">
        <v>2802</v>
      </c>
    </row>
    <row r="512" spans="8:9" x14ac:dyDescent="0.3">
      <c r="H512" s="153" t="s">
        <v>2032</v>
      </c>
      <c r="I512" s="153" t="s">
        <v>2802</v>
      </c>
    </row>
    <row r="513" spans="8:9" x14ac:dyDescent="0.3">
      <c r="H513" s="153" t="s">
        <v>2032</v>
      </c>
      <c r="I513" s="153" t="s">
        <v>2802</v>
      </c>
    </row>
    <row r="514" spans="8:9" x14ac:dyDescent="0.3">
      <c r="H514" s="153" t="s">
        <v>2032</v>
      </c>
      <c r="I514" s="153" t="s">
        <v>2802</v>
      </c>
    </row>
    <row r="515" spans="8:9" x14ac:dyDescent="0.3">
      <c r="H515" s="153" t="s">
        <v>2032</v>
      </c>
      <c r="I515" s="153" t="s">
        <v>2802</v>
      </c>
    </row>
    <row r="516" spans="8:9" x14ac:dyDescent="0.3">
      <c r="H516" s="153" t="s">
        <v>2043</v>
      </c>
      <c r="I516" s="153" t="s">
        <v>2802</v>
      </c>
    </row>
    <row r="517" spans="8:9" x14ac:dyDescent="0.3">
      <c r="H517" s="153" t="s">
        <v>2060</v>
      </c>
      <c r="I517" s="153" t="s">
        <v>2023</v>
      </c>
    </row>
    <row r="518" spans="8:9" x14ac:dyDescent="0.3">
      <c r="H518" s="153" t="s">
        <v>2063</v>
      </c>
      <c r="I518" s="153" t="s">
        <v>2802</v>
      </c>
    </row>
    <row r="519" spans="8:9" x14ac:dyDescent="0.3">
      <c r="H519" s="153" t="s">
        <v>2039</v>
      </c>
      <c r="I519" s="153" t="s">
        <v>2802</v>
      </c>
    </row>
    <row r="520" spans="8:9" x14ac:dyDescent="0.3">
      <c r="H520" s="153" t="s">
        <v>2039</v>
      </c>
      <c r="I520" s="153" t="s">
        <v>2802</v>
      </c>
    </row>
    <row r="521" spans="8:9" x14ac:dyDescent="0.3">
      <c r="H521" s="153" t="s">
        <v>2039</v>
      </c>
      <c r="I521" s="153" t="s">
        <v>2802</v>
      </c>
    </row>
    <row r="522" spans="8:9" x14ac:dyDescent="0.3">
      <c r="H522" s="153" t="s">
        <v>2036</v>
      </c>
      <c r="I522" s="153" t="s">
        <v>2024</v>
      </c>
    </row>
    <row r="523" spans="8:9" x14ac:dyDescent="0.3">
      <c r="H523" s="153" t="s">
        <v>2036</v>
      </c>
      <c r="I523" s="153" t="s">
        <v>2024</v>
      </c>
    </row>
    <row r="524" spans="8:9" x14ac:dyDescent="0.3">
      <c r="H524" s="153" t="s">
        <v>2036</v>
      </c>
      <c r="I524" s="153" t="s">
        <v>2024</v>
      </c>
    </row>
    <row r="525" spans="8:9" x14ac:dyDescent="0.3">
      <c r="H525" s="153" t="s">
        <v>2036</v>
      </c>
      <c r="I525" s="153" t="s">
        <v>2024</v>
      </c>
    </row>
    <row r="526" spans="8:9" x14ac:dyDescent="0.3">
      <c r="H526" s="153" t="s">
        <v>2036</v>
      </c>
      <c r="I526" s="153" t="s">
        <v>2024</v>
      </c>
    </row>
    <row r="527" spans="8:9" x14ac:dyDescent="0.3">
      <c r="H527" s="153" t="s">
        <v>2036</v>
      </c>
      <c r="I527" s="153" t="s">
        <v>2024</v>
      </c>
    </row>
    <row r="528" spans="8:9" x14ac:dyDescent="0.3">
      <c r="H528" s="153" t="s">
        <v>2036</v>
      </c>
      <c r="I528" s="153" t="s">
        <v>2024</v>
      </c>
    </row>
    <row r="529" spans="8:9" x14ac:dyDescent="0.3">
      <c r="H529" s="153" t="s">
        <v>2036</v>
      </c>
      <c r="I529" s="153" t="s">
        <v>2024</v>
      </c>
    </row>
    <row r="530" spans="8:9" x14ac:dyDescent="0.3">
      <c r="H530" s="153" t="s">
        <v>2036</v>
      </c>
      <c r="I530" s="153" t="s">
        <v>2024</v>
      </c>
    </row>
    <row r="531" spans="8:9" x14ac:dyDescent="0.3">
      <c r="H531" s="153" t="s">
        <v>2036</v>
      </c>
      <c r="I531" s="153" t="s">
        <v>2024</v>
      </c>
    </row>
    <row r="532" spans="8:9" x14ac:dyDescent="0.3">
      <c r="H532" s="153" t="s">
        <v>2055</v>
      </c>
      <c r="I532" s="153" t="s">
        <v>2802</v>
      </c>
    </row>
    <row r="533" spans="8:9" x14ac:dyDescent="0.3">
      <c r="H533" s="153" t="s">
        <v>2032</v>
      </c>
      <c r="I533" s="153" t="s">
        <v>2802</v>
      </c>
    </row>
    <row r="534" spans="8:9" x14ac:dyDescent="0.3">
      <c r="H534" s="153" t="s">
        <v>2032</v>
      </c>
      <c r="I534" s="153" t="s">
        <v>2802</v>
      </c>
    </row>
    <row r="535" spans="8:9" x14ac:dyDescent="0.3">
      <c r="H535" s="153" t="s">
        <v>2039</v>
      </c>
      <c r="I535" s="153" t="s">
        <v>2802</v>
      </c>
    </row>
    <row r="536" spans="8:9" x14ac:dyDescent="0.3">
      <c r="H536" s="153" t="s">
        <v>2039</v>
      </c>
      <c r="I536" s="153" t="s">
        <v>2802</v>
      </c>
    </row>
    <row r="537" spans="8:9" x14ac:dyDescent="0.3">
      <c r="H537" s="153" t="s">
        <v>2039</v>
      </c>
      <c r="I537" s="153" t="s">
        <v>2802</v>
      </c>
    </row>
    <row r="538" spans="8:9" x14ac:dyDescent="0.3">
      <c r="H538" s="153" t="s">
        <v>2035</v>
      </c>
      <c r="I538" s="153" t="s">
        <v>2802</v>
      </c>
    </row>
    <row r="539" spans="8:9" x14ac:dyDescent="0.3">
      <c r="H539" s="153" t="s">
        <v>2035</v>
      </c>
      <c r="I539" s="153" t="s">
        <v>2802</v>
      </c>
    </row>
    <row r="540" spans="8:9" x14ac:dyDescent="0.3">
      <c r="H540" s="153" t="s">
        <v>2028</v>
      </c>
      <c r="I540" s="153" t="s">
        <v>2023</v>
      </c>
    </row>
    <row r="541" spans="8:9" x14ac:dyDescent="0.3">
      <c r="H541" s="153" t="s">
        <v>2036</v>
      </c>
      <c r="I541" s="153" t="s">
        <v>2024</v>
      </c>
    </row>
    <row r="542" spans="8:9" x14ac:dyDescent="0.3">
      <c r="H542" s="153" t="s">
        <v>2036</v>
      </c>
      <c r="I542" s="153" t="s">
        <v>2024</v>
      </c>
    </row>
    <row r="543" spans="8:9" x14ac:dyDescent="0.3">
      <c r="H543" s="153" t="s">
        <v>2036</v>
      </c>
      <c r="I543" s="153" t="s">
        <v>2024</v>
      </c>
    </row>
    <row r="544" spans="8:9" x14ac:dyDescent="0.3">
      <c r="H544" s="153" t="s">
        <v>2036</v>
      </c>
      <c r="I544" s="153" t="s">
        <v>2024</v>
      </c>
    </row>
    <row r="545" spans="8:9" x14ac:dyDescent="0.3">
      <c r="H545" s="153" t="s">
        <v>2036</v>
      </c>
      <c r="I545" s="153" t="s">
        <v>2024</v>
      </c>
    </row>
    <row r="546" spans="8:9" x14ac:dyDescent="0.3">
      <c r="H546" s="153" t="s">
        <v>2036</v>
      </c>
      <c r="I546" s="153" t="s">
        <v>2024</v>
      </c>
    </row>
    <row r="547" spans="8:9" x14ac:dyDescent="0.3">
      <c r="H547" s="153" t="s">
        <v>2036</v>
      </c>
      <c r="I547" s="153" t="s">
        <v>2024</v>
      </c>
    </row>
    <row r="548" spans="8:9" x14ac:dyDescent="0.3">
      <c r="H548" s="153" t="s">
        <v>2036</v>
      </c>
      <c r="I548" s="153" t="s">
        <v>2024</v>
      </c>
    </row>
    <row r="549" spans="8:9" x14ac:dyDescent="0.3">
      <c r="H549" s="153" t="s">
        <v>2036</v>
      </c>
      <c r="I549" s="153" t="s">
        <v>2024</v>
      </c>
    </row>
    <row r="550" spans="8:9" x14ac:dyDescent="0.3">
      <c r="H550" s="153" t="s">
        <v>2036</v>
      </c>
      <c r="I550" s="153" t="s">
        <v>2024</v>
      </c>
    </row>
    <row r="551" spans="8:9" x14ac:dyDescent="0.3">
      <c r="H551" s="153" t="s">
        <v>2060</v>
      </c>
      <c r="I551" s="153" t="s">
        <v>2023</v>
      </c>
    </row>
    <row r="552" spans="8:9" x14ac:dyDescent="0.3">
      <c r="H552" s="153" t="s">
        <v>2059</v>
      </c>
      <c r="I552" s="153" t="s">
        <v>2024</v>
      </c>
    </row>
    <row r="553" spans="8:9" x14ac:dyDescent="0.3">
      <c r="H553" s="153" t="s">
        <v>2055</v>
      </c>
      <c r="I553" s="153" t="s">
        <v>2802</v>
      </c>
    </row>
    <row r="554" spans="8:9" x14ac:dyDescent="0.3">
      <c r="H554" s="153" t="s">
        <v>2037</v>
      </c>
      <c r="I554" s="153" t="s">
        <v>2802</v>
      </c>
    </row>
    <row r="555" spans="8:9" x14ac:dyDescent="0.3">
      <c r="H555" s="153" t="s">
        <v>2050</v>
      </c>
      <c r="I555" s="153" t="s">
        <v>2802</v>
      </c>
    </row>
    <row r="556" spans="8:9" x14ac:dyDescent="0.3">
      <c r="H556" s="153" t="s">
        <v>2037</v>
      </c>
      <c r="I556" s="153" t="s">
        <v>2802</v>
      </c>
    </row>
    <row r="557" spans="8:9" x14ac:dyDescent="0.3">
      <c r="H557" s="153" t="s">
        <v>2062</v>
      </c>
      <c r="I557" s="153" t="s">
        <v>2023</v>
      </c>
    </row>
    <row r="558" spans="8:9" x14ac:dyDescent="0.3">
      <c r="H558" s="153" t="s">
        <v>2038</v>
      </c>
      <c r="I558" s="153" t="s">
        <v>2802</v>
      </c>
    </row>
    <row r="559" spans="8:9" x14ac:dyDescent="0.3">
      <c r="H559" s="153" t="s">
        <v>2062</v>
      </c>
      <c r="I559" s="153" t="s">
        <v>2023</v>
      </c>
    </row>
    <row r="560" spans="8:9" x14ac:dyDescent="0.3">
      <c r="H560" s="153" t="s">
        <v>2037</v>
      </c>
      <c r="I560" s="153" t="s">
        <v>2802</v>
      </c>
    </row>
    <row r="561" spans="8:9" x14ac:dyDescent="0.3">
      <c r="H561" s="153" t="s">
        <v>2037</v>
      </c>
      <c r="I561" s="153" t="s">
        <v>2802</v>
      </c>
    </row>
    <row r="562" spans="8:9" x14ac:dyDescent="0.3">
      <c r="H562" s="153" t="s">
        <v>2039</v>
      </c>
      <c r="I562" s="153" t="s">
        <v>2802</v>
      </c>
    </row>
    <row r="563" spans="8:9" x14ac:dyDescent="0.3">
      <c r="H563" s="153" t="s">
        <v>2039</v>
      </c>
      <c r="I563" s="153" t="s">
        <v>2802</v>
      </c>
    </row>
    <row r="564" spans="8:9" x14ac:dyDescent="0.3">
      <c r="H564" s="153" t="s">
        <v>2039</v>
      </c>
      <c r="I564" s="153" t="s">
        <v>2802</v>
      </c>
    </row>
    <row r="565" spans="8:9" x14ac:dyDescent="0.3">
      <c r="H565" s="153" t="s">
        <v>2041</v>
      </c>
      <c r="I565" s="153" t="s">
        <v>2802</v>
      </c>
    </row>
    <row r="566" spans="8:9" x14ac:dyDescent="0.3">
      <c r="H566" s="153" t="s">
        <v>2063</v>
      </c>
      <c r="I566" s="153" t="s">
        <v>2802</v>
      </c>
    </row>
    <row r="567" spans="8:9" x14ac:dyDescent="0.3">
      <c r="H567" s="153" t="s">
        <v>2039</v>
      </c>
      <c r="I567" s="153" t="s">
        <v>2802</v>
      </c>
    </row>
    <row r="568" spans="8:9" x14ac:dyDescent="0.3">
      <c r="H568" s="153" t="s">
        <v>2039</v>
      </c>
      <c r="I568" s="153" t="s">
        <v>2802</v>
      </c>
    </row>
    <row r="569" spans="8:9" x14ac:dyDescent="0.3">
      <c r="H569" s="153" t="s">
        <v>2039</v>
      </c>
      <c r="I569" s="153" t="s">
        <v>2802</v>
      </c>
    </row>
    <row r="570" spans="8:9" x14ac:dyDescent="0.3">
      <c r="H570" s="153" t="s">
        <v>2039</v>
      </c>
      <c r="I570" s="153" t="s">
        <v>2802</v>
      </c>
    </row>
    <row r="571" spans="8:9" x14ac:dyDescent="0.3">
      <c r="H571" s="153" t="s">
        <v>2039</v>
      </c>
      <c r="I571" s="153" t="s">
        <v>2802</v>
      </c>
    </row>
    <row r="572" spans="8:9" x14ac:dyDescent="0.3">
      <c r="H572" s="153" t="s">
        <v>2043</v>
      </c>
      <c r="I572" s="153" t="s">
        <v>2802</v>
      </c>
    </row>
    <row r="573" spans="8:9" x14ac:dyDescent="0.3">
      <c r="H573" s="153" t="s">
        <v>2043</v>
      </c>
      <c r="I573" s="153" t="s">
        <v>2802</v>
      </c>
    </row>
    <row r="574" spans="8:9" x14ac:dyDescent="0.3">
      <c r="H574" s="153" t="s">
        <v>2036</v>
      </c>
      <c r="I574" s="153" t="s">
        <v>2024</v>
      </c>
    </row>
    <row r="575" spans="8:9" x14ac:dyDescent="0.3">
      <c r="H575" s="153" t="s">
        <v>2036</v>
      </c>
      <c r="I575" s="153" t="s">
        <v>2024</v>
      </c>
    </row>
    <row r="576" spans="8:9" x14ac:dyDescent="0.3">
      <c r="H576" s="153" t="s">
        <v>2036</v>
      </c>
      <c r="I576" s="153" t="s">
        <v>2024</v>
      </c>
    </row>
    <row r="577" spans="8:9" x14ac:dyDescent="0.3">
      <c r="H577" s="153" t="s">
        <v>2036</v>
      </c>
      <c r="I577" s="153" t="s">
        <v>2024</v>
      </c>
    </row>
    <row r="578" spans="8:9" x14ac:dyDescent="0.3">
      <c r="H578" s="153" t="s">
        <v>2036</v>
      </c>
      <c r="I578" s="153" t="s">
        <v>2024</v>
      </c>
    </row>
    <row r="579" spans="8:9" x14ac:dyDescent="0.3">
      <c r="H579" s="153" t="s">
        <v>2036</v>
      </c>
      <c r="I579" s="153" t="s">
        <v>2024</v>
      </c>
    </row>
    <row r="580" spans="8:9" x14ac:dyDescent="0.3">
      <c r="H580" s="153" t="s">
        <v>2036</v>
      </c>
      <c r="I580" s="153" t="s">
        <v>2024</v>
      </c>
    </row>
    <row r="581" spans="8:9" x14ac:dyDescent="0.3">
      <c r="H581" s="153" t="s">
        <v>2036</v>
      </c>
      <c r="I581" s="153" t="s">
        <v>2024</v>
      </c>
    </row>
    <row r="582" spans="8:9" x14ac:dyDescent="0.3">
      <c r="H582" s="153" t="s">
        <v>2036</v>
      </c>
      <c r="I582" s="153" t="s">
        <v>2024</v>
      </c>
    </row>
    <row r="583" spans="8:9" x14ac:dyDescent="0.3">
      <c r="H583" s="153" t="s">
        <v>2036</v>
      </c>
      <c r="I583" s="153" t="s">
        <v>2024</v>
      </c>
    </row>
    <row r="584" spans="8:9" x14ac:dyDescent="0.3">
      <c r="H584" s="153" t="s">
        <v>2060</v>
      </c>
      <c r="I584" s="153" t="s">
        <v>2023</v>
      </c>
    </row>
    <row r="585" spans="8:9" x14ac:dyDescent="0.3">
      <c r="H585" s="153" t="s">
        <v>2037</v>
      </c>
      <c r="I585" s="153" t="s">
        <v>2802</v>
      </c>
    </row>
    <row r="586" spans="8:9" x14ac:dyDescent="0.3">
      <c r="H586" s="153" t="s">
        <v>2032</v>
      </c>
      <c r="I586" s="153" t="s">
        <v>2802</v>
      </c>
    </row>
    <row r="587" spans="8:9" x14ac:dyDescent="0.3">
      <c r="H587" s="153" t="s">
        <v>2945</v>
      </c>
      <c r="I587" s="153" t="s">
        <v>2859</v>
      </c>
    </row>
    <row r="588" spans="8:9" x14ac:dyDescent="0.3">
      <c r="H588" s="153" t="s">
        <v>2037</v>
      </c>
      <c r="I588" s="153" t="s">
        <v>2802</v>
      </c>
    </row>
    <row r="589" spans="8:9" x14ac:dyDescent="0.3">
      <c r="H589" s="153" t="s">
        <v>2037</v>
      </c>
      <c r="I589" s="153" t="s">
        <v>2802</v>
      </c>
    </row>
    <row r="590" spans="8:9" x14ac:dyDescent="0.3">
      <c r="H590" s="153" t="s">
        <v>2037</v>
      </c>
      <c r="I590" s="153" t="s">
        <v>2802</v>
      </c>
    </row>
    <row r="591" spans="8:9" x14ac:dyDescent="0.3">
      <c r="H591" s="153" t="s">
        <v>2041</v>
      </c>
      <c r="I591" s="153" t="s">
        <v>2802</v>
      </c>
    </row>
    <row r="592" spans="8:9" x14ac:dyDescent="0.3">
      <c r="H592" s="153" t="s">
        <v>2032</v>
      </c>
      <c r="I592" s="153" t="s">
        <v>2802</v>
      </c>
    </row>
    <row r="593" spans="8:9" x14ac:dyDescent="0.3">
      <c r="H593" s="153" t="s">
        <v>2032</v>
      </c>
      <c r="I593" s="153" t="s">
        <v>2802</v>
      </c>
    </row>
    <row r="594" spans="8:9" x14ac:dyDescent="0.3">
      <c r="H594" s="153" t="s">
        <v>2032</v>
      </c>
      <c r="I594" s="153" t="s">
        <v>2802</v>
      </c>
    </row>
    <row r="595" spans="8:9" x14ac:dyDescent="0.3">
      <c r="H595" s="153" t="s">
        <v>2032</v>
      </c>
      <c r="I595" s="153" t="s">
        <v>2802</v>
      </c>
    </row>
    <row r="596" spans="8:9" x14ac:dyDescent="0.3">
      <c r="H596" s="153" t="s">
        <v>2032</v>
      </c>
      <c r="I596" s="153" t="s">
        <v>2802</v>
      </c>
    </row>
    <row r="597" spans="8:9" x14ac:dyDescent="0.3">
      <c r="H597" s="153" t="s">
        <v>2032</v>
      </c>
      <c r="I597" s="153" t="s">
        <v>2802</v>
      </c>
    </row>
    <row r="598" spans="8:9" x14ac:dyDescent="0.3">
      <c r="H598" s="153" t="s">
        <v>2032</v>
      </c>
      <c r="I598" s="153" t="s">
        <v>2802</v>
      </c>
    </row>
    <row r="599" spans="8:9" x14ac:dyDescent="0.3">
      <c r="H599" s="153" t="s">
        <v>2032</v>
      </c>
      <c r="I599" s="153" t="s">
        <v>2802</v>
      </c>
    </row>
    <row r="600" spans="8:9" x14ac:dyDescent="0.3">
      <c r="H600" s="153" t="s">
        <v>2032</v>
      </c>
      <c r="I600" s="153" t="s">
        <v>2802</v>
      </c>
    </row>
    <row r="601" spans="8:9" x14ac:dyDescent="0.3">
      <c r="H601" s="153" t="s">
        <v>2032</v>
      </c>
      <c r="I601" s="153" t="s">
        <v>2802</v>
      </c>
    </row>
    <row r="602" spans="8:9" x14ac:dyDescent="0.3">
      <c r="H602" s="153" t="s">
        <v>2032</v>
      </c>
      <c r="I602" s="153" t="s">
        <v>2802</v>
      </c>
    </row>
    <row r="603" spans="8:9" x14ac:dyDescent="0.3">
      <c r="H603" s="153" t="s">
        <v>2032</v>
      </c>
      <c r="I603" s="153" t="s">
        <v>2802</v>
      </c>
    </row>
    <row r="604" spans="8:9" x14ac:dyDescent="0.3">
      <c r="H604" s="153" t="s">
        <v>2032</v>
      </c>
      <c r="I604" s="153" t="s">
        <v>2802</v>
      </c>
    </row>
    <row r="605" spans="8:9" x14ac:dyDescent="0.3">
      <c r="H605" s="153" t="s">
        <v>2032</v>
      </c>
      <c r="I605" s="153" t="s">
        <v>2802</v>
      </c>
    </row>
    <row r="606" spans="8:9" x14ac:dyDescent="0.3">
      <c r="H606" s="153" t="s">
        <v>2032</v>
      </c>
      <c r="I606" s="153" t="s">
        <v>2802</v>
      </c>
    </row>
    <row r="607" spans="8:9" x14ac:dyDescent="0.3">
      <c r="H607" s="153" t="s">
        <v>2032</v>
      </c>
      <c r="I607" s="153" t="s">
        <v>2802</v>
      </c>
    </row>
    <row r="608" spans="8:9" x14ac:dyDescent="0.3">
      <c r="H608" s="153" t="s">
        <v>2032</v>
      </c>
      <c r="I608" s="153" t="s">
        <v>2802</v>
      </c>
    </row>
    <row r="609" spans="8:9" x14ac:dyDescent="0.3">
      <c r="H609" s="153" t="s">
        <v>2039</v>
      </c>
      <c r="I609" s="153" t="s">
        <v>2802</v>
      </c>
    </row>
    <row r="610" spans="8:9" x14ac:dyDescent="0.3">
      <c r="H610" s="153" t="s">
        <v>2039</v>
      </c>
      <c r="I610" s="153" t="s">
        <v>2802</v>
      </c>
    </row>
    <row r="611" spans="8:9" x14ac:dyDescent="0.3">
      <c r="H611" s="153" t="s">
        <v>2039</v>
      </c>
      <c r="I611" s="153" t="s">
        <v>2802</v>
      </c>
    </row>
    <row r="612" spans="8:9" x14ac:dyDescent="0.3">
      <c r="H612" s="153" t="s">
        <v>2032</v>
      </c>
      <c r="I612" s="153" t="s">
        <v>2802</v>
      </c>
    </row>
    <row r="613" spans="8:9" x14ac:dyDescent="0.3">
      <c r="H613" s="153" t="s">
        <v>2032</v>
      </c>
      <c r="I613" s="153" t="s">
        <v>2802</v>
      </c>
    </row>
    <row r="614" spans="8:9" x14ac:dyDescent="0.3">
      <c r="H614" s="153" t="s">
        <v>2032</v>
      </c>
      <c r="I614" s="153" t="s">
        <v>2802</v>
      </c>
    </row>
    <row r="615" spans="8:9" x14ac:dyDescent="0.3">
      <c r="H615" s="153" t="s">
        <v>2032</v>
      </c>
      <c r="I615" s="153" t="s">
        <v>2802</v>
      </c>
    </row>
    <row r="616" spans="8:9" x14ac:dyDescent="0.3">
      <c r="H616" s="153" t="s">
        <v>2032</v>
      </c>
      <c r="I616" s="153" t="s">
        <v>2802</v>
      </c>
    </row>
    <row r="617" spans="8:9" x14ac:dyDescent="0.3">
      <c r="H617" s="153" t="s">
        <v>2032</v>
      </c>
      <c r="I617" s="153" t="s">
        <v>2802</v>
      </c>
    </row>
    <row r="618" spans="8:9" x14ac:dyDescent="0.3">
      <c r="H618" s="153" t="s">
        <v>2032</v>
      </c>
      <c r="I618" s="153" t="s">
        <v>2802</v>
      </c>
    </row>
    <row r="619" spans="8:9" x14ac:dyDescent="0.3">
      <c r="H619" s="153" t="s">
        <v>2032</v>
      </c>
      <c r="I619" s="153" t="s">
        <v>2802</v>
      </c>
    </row>
    <row r="620" spans="8:9" x14ac:dyDescent="0.3">
      <c r="H620" s="153" t="s">
        <v>2032</v>
      </c>
      <c r="I620" s="153" t="s">
        <v>2802</v>
      </c>
    </row>
    <row r="621" spans="8:9" x14ac:dyDescent="0.3">
      <c r="H621" s="153" t="s">
        <v>2032</v>
      </c>
      <c r="I621" s="153" t="s">
        <v>2802</v>
      </c>
    </row>
    <row r="622" spans="8:9" x14ac:dyDescent="0.3">
      <c r="H622" s="153" t="s">
        <v>2032</v>
      </c>
      <c r="I622" s="153" t="s">
        <v>2802</v>
      </c>
    </row>
    <row r="623" spans="8:9" x14ac:dyDescent="0.3">
      <c r="H623" s="153" t="s">
        <v>2032</v>
      </c>
      <c r="I623" s="153" t="s">
        <v>2802</v>
      </c>
    </row>
    <row r="624" spans="8:9" x14ac:dyDescent="0.3">
      <c r="H624" s="153" t="s">
        <v>2036</v>
      </c>
      <c r="I624" s="153" t="s">
        <v>2024</v>
      </c>
    </row>
    <row r="625" spans="8:9" x14ac:dyDescent="0.3">
      <c r="H625" s="153" t="s">
        <v>2036</v>
      </c>
      <c r="I625" s="153" t="s">
        <v>2024</v>
      </c>
    </row>
    <row r="626" spans="8:9" x14ac:dyDescent="0.3">
      <c r="H626" s="153" t="s">
        <v>2036</v>
      </c>
      <c r="I626" s="153" t="s">
        <v>2024</v>
      </c>
    </row>
    <row r="627" spans="8:9" x14ac:dyDescent="0.3">
      <c r="H627" s="153" t="s">
        <v>2036</v>
      </c>
      <c r="I627" s="153" t="s">
        <v>2024</v>
      </c>
    </row>
    <row r="628" spans="8:9" x14ac:dyDescent="0.3">
      <c r="H628" s="153" t="s">
        <v>2036</v>
      </c>
      <c r="I628" s="153" t="s">
        <v>2024</v>
      </c>
    </row>
    <row r="629" spans="8:9" x14ac:dyDescent="0.3">
      <c r="H629" s="153" t="s">
        <v>2036</v>
      </c>
      <c r="I629" s="153" t="s">
        <v>2024</v>
      </c>
    </row>
    <row r="630" spans="8:9" x14ac:dyDescent="0.3">
      <c r="H630" s="153" t="s">
        <v>2036</v>
      </c>
      <c r="I630" s="153" t="s">
        <v>2024</v>
      </c>
    </row>
    <row r="631" spans="8:9" x14ac:dyDescent="0.3">
      <c r="H631" s="153" t="s">
        <v>2036</v>
      </c>
      <c r="I631" s="153" t="s">
        <v>2024</v>
      </c>
    </row>
    <row r="632" spans="8:9" x14ac:dyDescent="0.3">
      <c r="H632" s="153" t="s">
        <v>2036</v>
      </c>
      <c r="I632" s="153" t="s">
        <v>2024</v>
      </c>
    </row>
    <row r="633" spans="8:9" x14ac:dyDescent="0.3">
      <c r="H633" s="153" t="s">
        <v>2036</v>
      </c>
      <c r="I633" s="153" t="s">
        <v>2024</v>
      </c>
    </row>
    <row r="634" spans="8:9" x14ac:dyDescent="0.3">
      <c r="H634" s="153" t="s">
        <v>2037</v>
      </c>
      <c r="I634" s="153" t="s">
        <v>2802</v>
      </c>
    </row>
    <row r="635" spans="8:9" x14ac:dyDescent="0.3">
      <c r="H635" s="153" t="s">
        <v>2037</v>
      </c>
      <c r="I635" s="153" t="s">
        <v>2802</v>
      </c>
    </row>
    <row r="636" spans="8:9" x14ac:dyDescent="0.3">
      <c r="H636" s="153" t="s">
        <v>2037</v>
      </c>
      <c r="I636" s="153" t="s">
        <v>2802</v>
      </c>
    </row>
    <row r="637" spans="8:9" x14ac:dyDescent="0.3">
      <c r="H637" s="153" t="s">
        <v>2037</v>
      </c>
      <c r="I637" s="153" t="s">
        <v>2802</v>
      </c>
    </row>
    <row r="638" spans="8:9" x14ac:dyDescent="0.3">
      <c r="H638" s="153" t="s">
        <v>2038</v>
      </c>
      <c r="I638" s="153" t="s">
        <v>2802</v>
      </c>
    </row>
    <row r="639" spans="8:9" x14ac:dyDescent="0.3">
      <c r="H639" s="153" t="s">
        <v>2037</v>
      </c>
      <c r="I639" s="153" t="s">
        <v>2802</v>
      </c>
    </row>
    <row r="640" spans="8:9" x14ac:dyDescent="0.3">
      <c r="H640" s="153" t="s">
        <v>2032</v>
      </c>
      <c r="I640" s="153" t="s">
        <v>2802</v>
      </c>
    </row>
    <row r="641" spans="8:9" x14ac:dyDescent="0.3">
      <c r="H641" s="153" t="s">
        <v>2040</v>
      </c>
      <c r="I641" s="153" t="s">
        <v>2802</v>
      </c>
    </row>
    <row r="642" spans="8:9" x14ac:dyDescent="0.3">
      <c r="H642" s="153" t="s">
        <v>2037</v>
      </c>
      <c r="I642" s="153" t="s">
        <v>2802</v>
      </c>
    </row>
    <row r="643" spans="8:9" x14ac:dyDescent="0.3">
      <c r="H643" s="153" t="s">
        <v>2063</v>
      </c>
      <c r="I643" s="153" t="s">
        <v>2802</v>
      </c>
    </row>
    <row r="644" spans="8:9" x14ac:dyDescent="0.3">
      <c r="H644" s="153" t="s">
        <v>2028</v>
      </c>
      <c r="I644" s="153" t="s">
        <v>2023</v>
      </c>
    </row>
    <row r="645" spans="8:9" x14ac:dyDescent="0.3">
      <c r="H645" s="153" t="s">
        <v>2041</v>
      </c>
      <c r="I645" s="153" t="s">
        <v>2802</v>
      </c>
    </row>
    <row r="646" spans="8:9" x14ac:dyDescent="0.3">
      <c r="H646" s="153" t="s">
        <v>2036</v>
      </c>
      <c r="I646" s="153" t="s">
        <v>2024</v>
      </c>
    </row>
    <row r="647" spans="8:9" x14ac:dyDescent="0.3">
      <c r="H647" s="153" t="s">
        <v>2036</v>
      </c>
      <c r="I647" s="153" t="s">
        <v>2024</v>
      </c>
    </row>
    <row r="648" spans="8:9" x14ac:dyDescent="0.3">
      <c r="H648" s="153" t="s">
        <v>2036</v>
      </c>
      <c r="I648" s="153" t="s">
        <v>2024</v>
      </c>
    </row>
    <row r="649" spans="8:9" x14ac:dyDescent="0.3">
      <c r="H649" s="153" t="s">
        <v>2036</v>
      </c>
      <c r="I649" s="153" t="s">
        <v>2024</v>
      </c>
    </row>
    <row r="650" spans="8:9" x14ac:dyDescent="0.3">
      <c r="H650" s="153" t="s">
        <v>2036</v>
      </c>
      <c r="I650" s="153" t="s">
        <v>2024</v>
      </c>
    </row>
    <row r="651" spans="8:9" x14ac:dyDescent="0.3">
      <c r="H651" s="153" t="s">
        <v>2036</v>
      </c>
      <c r="I651" s="153" t="s">
        <v>2024</v>
      </c>
    </row>
    <row r="652" spans="8:9" x14ac:dyDescent="0.3">
      <c r="H652" s="153" t="s">
        <v>2036</v>
      </c>
      <c r="I652" s="153" t="s">
        <v>2024</v>
      </c>
    </row>
    <row r="653" spans="8:9" x14ac:dyDescent="0.3">
      <c r="H653" s="153" t="s">
        <v>2036</v>
      </c>
      <c r="I653" s="153" t="s">
        <v>2024</v>
      </c>
    </row>
    <row r="654" spans="8:9" x14ac:dyDescent="0.3">
      <c r="H654" s="153" t="s">
        <v>2036</v>
      </c>
      <c r="I654" s="153" t="s">
        <v>2024</v>
      </c>
    </row>
    <row r="655" spans="8:9" x14ac:dyDescent="0.3">
      <c r="H655" s="153" t="s">
        <v>2036</v>
      </c>
      <c r="I655" s="153" t="s">
        <v>2024</v>
      </c>
    </row>
    <row r="656" spans="8:9" x14ac:dyDescent="0.3">
      <c r="H656" s="153" t="s">
        <v>2041</v>
      </c>
      <c r="I656" s="153" t="s">
        <v>2802</v>
      </c>
    </row>
    <row r="657" spans="8:9" x14ac:dyDescent="0.3">
      <c r="H657" s="153" t="s">
        <v>2030</v>
      </c>
      <c r="I657" s="153" t="s">
        <v>2802</v>
      </c>
    </row>
    <row r="658" spans="8:9" x14ac:dyDescent="0.3">
      <c r="H658" s="153" t="s">
        <v>2032</v>
      </c>
      <c r="I658" s="153" t="s">
        <v>2802</v>
      </c>
    </row>
    <row r="659" spans="8:9" x14ac:dyDescent="0.3">
      <c r="H659" s="153" t="s">
        <v>2032</v>
      </c>
      <c r="I659" s="153" t="s">
        <v>2802</v>
      </c>
    </row>
    <row r="660" spans="8:9" x14ac:dyDescent="0.3">
      <c r="H660" s="153" t="s">
        <v>2032</v>
      </c>
      <c r="I660" s="153" t="s">
        <v>2802</v>
      </c>
    </row>
    <row r="661" spans="8:9" x14ac:dyDescent="0.3">
      <c r="H661" s="153" t="s">
        <v>2032</v>
      </c>
      <c r="I661" s="153" t="s">
        <v>2802</v>
      </c>
    </row>
    <row r="662" spans="8:9" x14ac:dyDescent="0.3">
      <c r="H662" s="153" t="s">
        <v>2032</v>
      </c>
      <c r="I662" s="153" t="s">
        <v>2802</v>
      </c>
    </row>
    <row r="663" spans="8:9" x14ac:dyDescent="0.3">
      <c r="H663" s="153" t="s">
        <v>2041</v>
      </c>
      <c r="I663" s="153" t="s">
        <v>2802</v>
      </c>
    </row>
    <row r="664" spans="8:9" x14ac:dyDescent="0.3">
      <c r="H664" s="153" t="s">
        <v>2041</v>
      </c>
      <c r="I664" s="153" t="s">
        <v>2802</v>
      </c>
    </row>
    <row r="665" spans="8:9" x14ac:dyDescent="0.3">
      <c r="H665" s="153" t="s">
        <v>2041</v>
      </c>
      <c r="I665" s="153" t="s">
        <v>2802</v>
      </c>
    </row>
    <row r="666" spans="8:9" x14ac:dyDescent="0.3">
      <c r="H666" s="153" t="s">
        <v>2061</v>
      </c>
      <c r="I666" s="153" t="s">
        <v>2802</v>
      </c>
    </row>
    <row r="667" spans="8:9" x14ac:dyDescent="0.3">
      <c r="H667" s="153" t="s">
        <v>2028</v>
      </c>
      <c r="I667" s="153" t="s">
        <v>2023</v>
      </c>
    </row>
    <row r="668" spans="8:9" x14ac:dyDescent="0.3">
      <c r="H668" s="153" t="s">
        <v>2061</v>
      </c>
      <c r="I668" s="153" t="s">
        <v>2802</v>
      </c>
    </row>
    <row r="669" spans="8:9" x14ac:dyDescent="0.3">
      <c r="H669" s="153" t="s">
        <v>2034</v>
      </c>
      <c r="I669" s="153" t="s">
        <v>2802</v>
      </c>
    </row>
    <row r="670" spans="8:9" x14ac:dyDescent="0.3">
      <c r="H670" s="153" t="s">
        <v>2037</v>
      </c>
      <c r="I670" s="153" t="s">
        <v>2802</v>
      </c>
    </row>
    <row r="671" spans="8:9" x14ac:dyDescent="0.3">
      <c r="H671" s="153" t="s">
        <v>2039</v>
      </c>
      <c r="I671" s="153" t="s">
        <v>2802</v>
      </c>
    </row>
    <row r="672" spans="8:9" x14ac:dyDescent="0.3">
      <c r="H672" s="153" t="s">
        <v>2038</v>
      </c>
      <c r="I672" s="153" t="s">
        <v>2802</v>
      </c>
    </row>
    <row r="673" spans="8:9" x14ac:dyDescent="0.3">
      <c r="H673" s="153" t="s">
        <v>2028</v>
      </c>
      <c r="I673" s="153" t="s">
        <v>2023</v>
      </c>
    </row>
    <row r="674" spans="8:9" x14ac:dyDescent="0.3">
      <c r="H674" s="153" t="s">
        <v>2041</v>
      </c>
      <c r="I674" s="153" t="s">
        <v>2802</v>
      </c>
    </row>
    <row r="675" spans="8:9" x14ac:dyDescent="0.3">
      <c r="H675" s="153" t="s">
        <v>2032</v>
      </c>
      <c r="I675" s="153" t="s">
        <v>2802</v>
      </c>
    </row>
    <row r="676" spans="8:9" x14ac:dyDescent="0.3">
      <c r="H676" s="153" t="s">
        <v>2035</v>
      </c>
      <c r="I676" s="153" t="s">
        <v>2802</v>
      </c>
    </row>
    <row r="677" spans="8:9" x14ac:dyDescent="0.3">
      <c r="H677" s="153" t="s">
        <v>2035</v>
      </c>
      <c r="I677" s="153" t="s">
        <v>2802</v>
      </c>
    </row>
    <row r="678" spans="8:9" x14ac:dyDescent="0.3">
      <c r="H678" s="153" t="s">
        <v>2028</v>
      </c>
      <c r="I678" s="153" t="s">
        <v>2023</v>
      </c>
    </row>
    <row r="679" spans="8:9" x14ac:dyDescent="0.3">
      <c r="H679" s="153" t="s">
        <v>2065</v>
      </c>
      <c r="I679" s="153" t="s">
        <v>2859</v>
      </c>
    </row>
    <row r="680" spans="8:9" x14ac:dyDescent="0.3">
      <c r="H680" s="153" t="s">
        <v>2065</v>
      </c>
      <c r="I680" s="153" t="s">
        <v>2859</v>
      </c>
    </row>
    <row r="681" spans="8:9" x14ac:dyDescent="0.3">
      <c r="H681" s="153" t="s">
        <v>2065</v>
      </c>
      <c r="I681" s="153" t="s">
        <v>2859</v>
      </c>
    </row>
    <row r="682" spans="8:9" x14ac:dyDescent="0.3">
      <c r="H682" s="153" t="s">
        <v>2065</v>
      </c>
      <c r="I682" s="153" t="s">
        <v>2859</v>
      </c>
    </row>
    <row r="683" spans="8:9" x14ac:dyDescent="0.3">
      <c r="H683" s="153" t="s">
        <v>2065</v>
      </c>
      <c r="I683" s="153" t="s">
        <v>2859</v>
      </c>
    </row>
    <row r="684" spans="8:9" x14ac:dyDescent="0.3">
      <c r="H684" s="153" t="s">
        <v>2065</v>
      </c>
      <c r="I684" s="153" t="s">
        <v>2859</v>
      </c>
    </row>
    <row r="685" spans="8:9" x14ac:dyDescent="0.3">
      <c r="H685" s="153" t="s">
        <v>2065</v>
      </c>
      <c r="I685" s="153" t="s">
        <v>2859</v>
      </c>
    </row>
    <row r="686" spans="8:9" x14ac:dyDescent="0.3">
      <c r="H686" s="153" t="s">
        <v>2065</v>
      </c>
      <c r="I686" s="153" t="s">
        <v>2859</v>
      </c>
    </row>
    <row r="687" spans="8:9" x14ac:dyDescent="0.3">
      <c r="H687" s="153" t="s">
        <v>2065</v>
      </c>
      <c r="I687" s="153" t="s">
        <v>2859</v>
      </c>
    </row>
    <row r="688" spans="8:9" x14ac:dyDescent="0.3">
      <c r="H688" s="153" t="s">
        <v>2065</v>
      </c>
      <c r="I688" s="153" t="s">
        <v>2859</v>
      </c>
    </row>
    <row r="689" spans="8:9" x14ac:dyDescent="0.3">
      <c r="H689" s="153" t="s">
        <v>2065</v>
      </c>
      <c r="I689" s="153" t="s">
        <v>2859</v>
      </c>
    </row>
    <row r="690" spans="8:9" x14ac:dyDescent="0.3">
      <c r="H690" s="153" t="s">
        <v>2065</v>
      </c>
      <c r="I690" s="153" t="s">
        <v>2859</v>
      </c>
    </row>
    <row r="691" spans="8:9" x14ac:dyDescent="0.3">
      <c r="H691" s="153" t="s">
        <v>2049</v>
      </c>
      <c r="I691" s="153" t="s">
        <v>2024</v>
      </c>
    </row>
    <row r="692" spans="8:9" x14ac:dyDescent="0.3">
      <c r="H692" s="153" t="s">
        <v>2036</v>
      </c>
      <c r="I692" s="153" t="s">
        <v>2024</v>
      </c>
    </row>
    <row r="693" spans="8:9" x14ac:dyDescent="0.3">
      <c r="H693" s="153" t="s">
        <v>2036</v>
      </c>
      <c r="I693" s="153" t="s">
        <v>2024</v>
      </c>
    </row>
    <row r="694" spans="8:9" x14ac:dyDescent="0.3">
      <c r="H694" s="153" t="s">
        <v>2036</v>
      </c>
      <c r="I694" s="153" t="s">
        <v>2024</v>
      </c>
    </row>
    <row r="695" spans="8:9" x14ac:dyDescent="0.3">
      <c r="H695" s="153" t="s">
        <v>2036</v>
      </c>
      <c r="I695" s="153" t="s">
        <v>2024</v>
      </c>
    </row>
    <row r="696" spans="8:9" x14ac:dyDescent="0.3">
      <c r="H696" s="153" t="s">
        <v>2036</v>
      </c>
      <c r="I696" s="153" t="s">
        <v>2024</v>
      </c>
    </row>
    <row r="697" spans="8:9" x14ac:dyDescent="0.3">
      <c r="H697" s="153" t="s">
        <v>2036</v>
      </c>
      <c r="I697" s="153" t="s">
        <v>2024</v>
      </c>
    </row>
    <row r="698" spans="8:9" x14ac:dyDescent="0.3">
      <c r="H698" s="153" t="s">
        <v>2036</v>
      </c>
      <c r="I698" s="153" t="s">
        <v>2024</v>
      </c>
    </row>
    <row r="699" spans="8:9" x14ac:dyDescent="0.3">
      <c r="H699" s="153" t="s">
        <v>2036</v>
      </c>
      <c r="I699" s="153" t="s">
        <v>2024</v>
      </c>
    </row>
    <row r="700" spans="8:9" x14ac:dyDescent="0.3">
      <c r="H700" s="153" t="s">
        <v>2036</v>
      </c>
      <c r="I700" s="153" t="s">
        <v>2024</v>
      </c>
    </row>
    <row r="701" spans="8:9" x14ac:dyDescent="0.3">
      <c r="H701" s="153" t="s">
        <v>2036</v>
      </c>
      <c r="I701" s="153" t="s">
        <v>2024</v>
      </c>
    </row>
    <row r="702" spans="8:9" x14ac:dyDescent="0.3">
      <c r="H702" s="153" t="s">
        <v>2041</v>
      </c>
      <c r="I702" s="153" t="s">
        <v>2802</v>
      </c>
    </row>
    <row r="703" spans="8:9" x14ac:dyDescent="0.3">
      <c r="H703" s="153" t="s">
        <v>2028</v>
      </c>
      <c r="I703" s="153" t="s">
        <v>2023</v>
      </c>
    </row>
    <row r="704" spans="8:9" x14ac:dyDescent="0.3">
      <c r="H704" s="153" t="s">
        <v>2028</v>
      </c>
      <c r="I704" s="153" t="s">
        <v>2023</v>
      </c>
    </row>
    <row r="705" spans="8:9" x14ac:dyDescent="0.3">
      <c r="H705" s="153" t="s">
        <v>2028</v>
      </c>
      <c r="I705" s="153" t="s">
        <v>2023</v>
      </c>
    </row>
    <row r="706" spans="8:9" x14ac:dyDescent="0.3">
      <c r="H706" s="153" t="s">
        <v>2028</v>
      </c>
      <c r="I706" s="153" t="s">
        <v>2023</v>
      </c>
    </row>
    <row r="707" spans="8:9" x14ac:dyDescent="0.3">
      <c r="H707" s="153" t="s">
        <v>2028</v>
      </c>
      <c r="I707" s="153" t="s">
        <v>2023</v>
      </c>
    </row>
    <row r="708" spans="8:9" x14ac:dyDescent="0.3">
      <c r="H708" s="153" t="s">
        <v>2032</v>
      </c>
      <c r="I708" s="153" t="s">
        <v>2802</v>
      </c>
    </row>
    <row r="709" spans="8:9" x14ac:dyDescent="0.3">
      <c r="H709" s="153" t="s">
        <v>2032</v>
      </c>
      <c r="I709" s="153" t="s">
        <v>2802</v>
      </c>
    </row>
    <row r="710" spans="8:9" x14ac:dyDescent="0.3">
      <c r="H710" s="153" t="s">
        <v>2032</v>
      </c>
      <c r="I710" s="153" t="s">
        <v>2802</v>
      </c>
    </row>
    <row r="711" spans="8:9" x14ac:dyDescent="0.3">
      <c r="H711" s="153" t="s">
        <v>2032</v>
      </c>
      <c r="I711" s="153" t="s">
        <v>2802</v>
      </c>
    </row>
    <row r="712" spans="8:9" x14ac:dyDescent="0.3">
      <c r="H712" s="153" t="s">
        <v>2032</v>
      </c>
      <c r="I712" s="153" t="s">
        <v>2802</v>
      </c>
    </row>
    <row r="713" spans="8:9" x14ac:dyDescent="0.3">
      <c r="H713" s="153" t="s">
        <v>2034</v>
      </c>
      <c r="I713" s="153" t="s">
        <v>2802</v>
      </c>
    </row>
    <row r="714" spans="8:9" x14ac:dyDescent="0.3">
      <c r="H714" s="153" t="s">
        <v>2037</v>
      </c>
      <c r="I714" s="153" t="s">
        <v>2802</v>
      </c>
    </row>
    <row r="715" spans="8:9" x14ac:dyDescent="0.3">
      <c r="H715" s="153" t="s">
        <v>2061</v>
      </c>
      <c r="I715" s="153" t="s">
        <v>2802</v>
      </c>
    </row>
    <row r="716" spans="8:9" x14ac:dyDescent="0.3">
      <c r="H716" s="153" t="s">
        <v>2061</v>
      </c>
      <c r="I716" s="153" t="s">
        <v>2802</v>
      </c>
    </row>
    <row r="717" spans="8:9" x14ac:dyDescent="0.3">
      <c r="H717" s="153" t="s">
        <v>2028</v>
      </c>
      <c r="I717" s="153" t="s">
        <v>2023</v>
      </c>
    </row>
    <row r="718" spans="8:9" x14ac:dyDescent="0.3">
      <c r="H718" s="153" t="s">
        <v>2037</v>
      </c>
      <c r="I718" s="153" t="s">
        <v>2802</v>
      </c>
    </row>
    <row r="719" spans="8:9" x14ac:dyDescent="0.3">
      <c r="H719" s="153" t="s">
        <v>2037</v>
      </c>
      <c r="I719" s="153" t="s">
        <v>2802</v>
      </c>
    </row>
    <row r="720" spans="8:9" x14ac:dyDescent="0.3">
      <c r="H720" s="153" t="s">
        <v>2037</v>
      </c>
      <c r="I720" s="153" t="s">
        <v>2802</v>
      </c>
    </row>
    <row r="721" spans="8:9" x14ac:dyDescent="0.3">
      <c r="H721" s="153" t="s">
        <v>2037</v>
      </c>
      <c r="I721" s="153" t="s">
        <v>2802</v>
      </c>
    </row>
    <row r="722" spans="8:9" x14ac:dyDescent="0.3">
      <c r="H722" s="153" t="s">
        <v>2037</v>
      </c>
      <c r="I722" s="153" t="s">
        <v>2802</v>
      </c>
    </row>
    <row r="723" spans="8:9" x14ac:dyDescent="0.3">
      <c r="H723" s="153" t="s">
        <v>2037</v>
      </c>
      <c r="I723" s="153" t="s">
        <v>2802</v>
      </c>
    </row>
    <row r="724" spans="8:9" x14ac:dyDescent="0.3">
      <c r="H724" s="153" t="s">
        <v>2037</v>
      </c>
      <c r="I724" s="153" t="s">
        <v>2802</v>
      </c>
    </row>
    <row r="725" spans="8:9" x14ac:dyDescent="0.3">
      <c r="H725" s="153" t="s">
        <v>2037</v>
      </c>
      <c r="I725" s="153" t="s">
        <v>2802</v>
      </c>
    </row>
    <row r="726" spans="8:9" x14ac:dyDescent="0.3">
      <c r="H726" s="153" t="s">
        <v>2037</v>
      </c>
      <c r="I726" s="153" t="s">
        <v>2802</v>
      </c>
    </row>
    <row r="727" spans="8:9" x14ac:dyDescent="0.3">
      <c r="H727" s="153" t="s">
        <v>2037</v>
      </c>
      <c r="I727" s="153" t="s">
        <v>2802</v>
      </c>
    </row>
    <row r="728" spans="8:9" x14ac:dyDescent="0.3">
      <c r="H728" s="153" t="s">
        <v>2037</v>
      </c>
      <c r="I728" s="153" t="s">
        <v>2802</v>
      </c>
    </row>
    <row r="729" spans="8:9" x14ac:dyDescent="0.3">
      <c r="H729" s="153" t="s">
        <v>2037</v>
      </c>
      <c r="I729" s="153" t="s">
        <v>2802</v>
      </c>
    </row>
    <row r="730" spans="8:9" x14ac:dyDescent="0.3">
      <c r="H730" s="153" t="s">
        <v>2037</v>
      </c>
      <c r="I730" s="153" t="s">
        <v>2802</v>
      </c>
    </row>
    <row r="731" spans="8:9" x14ac:dyDescent="0.3">
      <c r="H731" s="153" t="s">
        <v>2037</v>
      </c>
      <c r="I731" s="153" t="s">
        <v>2802</v>
      </c>
    </row>
    <row r="732" spans="8:9" x14ac:dyDescent="0.3">
      <c r="H732" s="153" t="s">
        <v>2037</v>
      </c>
      <c r="I732" s="153" t="s">
        <v>2802</v>
      </c>
    </row>
    <row r="733" spans="8:9" x14ac:dyDescent="0.3">
      <c r="H733" s="153" t="s">
        <v>2037</v>
      </c>
      <c r="I733" s="153" t="s">
        <v>2802</v>
      </c>
    </row>
    <row r="734" spans="8:9" x14ac:dyDescent="0.3">
      <c r="H734" s="153" t="s">
        <v>2037</v>
      </c>
      <c r="I734" s="153" t="s">
        <v>2802</v>
      </c>
    </row>
    <row r="735" spans="8:9" x14ac:dyDescent="0.3">
      <c r="H735" s="153" t="s">
        <v>2037</v>
      </c>
      <c r="I735" s="153" t="s">
        <v>2802</v>
      </c>
    </row>
    <row r="736" spans="8:9" x14ac:dyDescent="0.3">
      <c r="H736" s="153" t="s">
        <v>2037</v>
      </c>
      <c r="I736" s="153" t="s">
        <v>2802</v>
      </c>
    </row>
    <row r="737" spans="8:9" x14ac:dyDescent="0.3">
      <c r="H737" s="153" t="s">
        <v>2037</v>
      </c>
      <c r="I737" s="153" t="s">
        <v>2802</v>
      </c>
    </row>
    <row r="738" spans="8:9" x14ac:dyDescent="0.3">
      <c r="H738" s="153" t="s">
        <v>2039</v>
      </c>
      <c r="I738" s="153" t="s">
        <v>2802</v>
      </c>
    </row>
    <row r="739" spans="8:9" x14ac:dyDescent="0.3">
      <c r="H739" s="153" t="s">
        <v>2028</v>
      </c>
      <c r="I739" s="153" t="s">
        <v>2023</v>
      </c>
    </row>
    <row r="740" spans="8:9" x14ac:dyDescent="0.3">
      <c r="H740" s="153" t="s">
        <v>2036</v>
      </c>
      <c r="I740" s="153" t="s">
        <v>2024</v>
      </c>
    </row>
    <row r="741" spans="8:9" x14ac:dyDescent="0.3">
      <c r="H741" s="153" t="s">
        <v>2036</v>
      </c>
      <c r="I741" s="153" t="s">
        <v>2024</v>
      </c>
    </row>
    <row r="742" spans="8:9" x14ac:dyDescent="0.3">
      <c r="H742" s="153" t="s">
        <v>2036</v>
      </c>
      <c r="I742" s="153" t="s">
        <v>2024</v>
      </c>
    </row>
    <row r="743" spans="8:9" x14ac:dyDescent="0.3">
      <c r="H743" s="153" t="s">
        <v>2036</v>
      </c>
      <c r="I743" s="153" t="s">
        <v>2024</v>
      </c>
    </row>
    <row r="744" spans="8:9" x14ac:dyDescent="0.3">
      <c r="H744" s="153" t="s">
        <v>2036</v>
      </c>
      <c r="I744" s="153" t="s">
        <v>2024</v>
      </c>
    </row>
    <row r="745" spans="8:9" x14ac:dyDescent="0.3">
      <c r="H745" s="153" t="s">
        <v>2036</v>
      </c>
      <c r="I745" s="153" t="s">
        <v>2024</v>
      </c>
    </row>
    <row r="746" spans="8:9" x14ac:dyDescent="0.3">
      <c r="H746" s="153" t="s">
        <v>2036</v>
      </c>
      <c r="I746" s="153" t="s">
        <v>2024</v>
      </c>
    </row>
    <row r="747" spans="8:9" x14ac:dyDescent="0.3">
      <c r="H747" s="153" t="s">
        <v>2036</v>
      </c>
      <c r="I747" s="153" t="s">
        <v>2024</v>
      </c>
    </row>
    <row r="748" spans="8:9" x14ac:dyDescent="0.3">
      <c r="H748" s="153" t="s">
        <v>2036</v>
      </c>
      <c r="I748" s="153" t="s">
        <v>2024</v>
      </c>
    </row>
    <row r="749" spans="8:9" x14ac:dyDescent="0.3">
      <c r="H749" s="153" t="s">
        <v>2036</v>
      </c>
      <c r="I749" s="153" t="s">
        <v>2024</v>
      </c>
    </row>
    <row r="750" spans="8:9" x14ac:dyDescent="0.3">
      <c r="H750" s="153" t="s">
        <v>2036</v>
      </c>
      <c r="I750" s="153" t="s">
        <v>2024</v>
      </c>
    </row>
    <row r="751" spans="8:9" x14ac:dyDescent="0.3">
      <c r="H751" s="153" t="s">
        <v>2036</v>
      </c>
      <c r="I751" s="153" t="s">
        <v>2024</v>
      </c>
    </row>
    <row r="752" spans="8:9" x14ac:dyDescent="0.3">
      <c r="H752" s="153" t="s">
        <v>2038</v>
      </c>
      <c r="I752" s="153" t="s">
        <v>2802</v>
      </c>
    </row>
    <row r="753" spans="8:9" x14ac:dyDescent="0.3">
      <c r="H753" s="153" t="s">
        <v>2037</v>
      </c>
      <c r="I753" s="153" t="s">
        <v>2802</v>
      </c>
    </row>
    <row r="754" spans="8:9" x14ac:dyDescent="0.3">
      <c r="H754" s="153" t="s">
        <v>2037</v>
      </c>
      <c r="I754" s="153" t="s">
        <v>2802</v>
      </c>
    </row>
    <row r="755" spans="8:9" x14ac:dyDescent="0.3">
      <c r="H755" s="153" t="s">
        <v>2041</v>
      </c>
      <c r="I755" s="153" t="s">
        <v>2802</v>
      </c>
    </row>
    <row r="756" spans="8:9" x14ac:dyDescent="0.3">
      <c r="H756" s="153" t="s">
        <v>2032</v>
      </c>
      <c r="I756" s="153" t="s">
        <v>2802</v>
      </c>
    </row>
    <row r="757" spans="8:9" x14ac:dyDescent="0.3">
      <c r="H757" s="153" t="s">
        <v>2032</v>
      </c>
      <c r="I757" s="153" t="s">
        <v>2802</v>
      </c>
    </row>
    <row r="758" spans="8:9" x14ac:dyDescent="0.3">
      <c r="H758" s="153" t="s">
        <v>2032</v>
      </c>
      <c r="I758" s="153" t="s">
        <v>2802</v>
      </c>
    </row>
    <row r="759" spans="8:9" x14ac:dyDescent="0.3">
      <c r="H759" s="153" t="s">
        <v>2039</v>
      </c>
      <c r="I759" s="153" t="s">
        <v>2802</v>
      </c>
    </row>
    <row r="760" spans="8:9" x14ac:dyDescent="0.3">
      <c r="H760" s="153" t="s">
        <v>2039</v>
      </c>
      <c r="I760" s="153" t="s">
        <v>2802</v>
      </c>
    </row>
    <row r="761" spans="8:9" x14ac:dyDescent="0.3">
      <c r="H761" s="153" t="s">
        <v>2038</v>
      </c>
      <c r="I761" s="153" t="s">
        <v>2802</v>
      </c>
    </row>
    <row r="762" spans="8:9" x14ac:dyDescent="0.3">
      <c r="H762" s="153" t="s">
        <v>2041</v>
      </c>
      <c r="I762" s="153" t="s">
        <v>2802</v>
      </c>
    </row>
    <row r="763" spans="8:9" x14ac:dyDescent="0.3">
      <c r="H763" s="153" t="s">
        <v>2041</v>
      </c>
      <c r="I763" s="153" t="s">
        <v>2802</v>
      </c>
    </row>
    <row r="764" spans="8:9" x14ac:dyDescent="0.3">
      <c r="H764" s="153" t="s">
        <v>2041</v>
      </c>
      <c r="I764" s="153" t="s">
        <v>2802</v>
      </c>
    </row>
    <row r="765" spans="8:9" x14ac:dyDescent="0.3">
      <c r="H765" s="153" t="s">
        <v>2028</v>
      </c>
      <c r="I765" s="153" t="s">
        <v>2023</v>
      </c>
    </row>
    <row r="766" spans="8:9" x14ac:dyDescent="0.3">
      <c r="H766" s="153" t="s">
        <v>2037</v>
      </c>
      <c r="I766" s="153" t="s">
        <v>2802</v>
      </c>
    </row>
    <row r="767" spans="8:9" x14ac:dyDescent="0.3">
      <c r="H767" s="153" t="s">
        <v>2039</v>
      </c>
      <c r="I767" s="153" t="s">
        <v>2802</v>
      </c>
    </row>
    <row r="768" spans="8:9" x14ac:dyDescent="0.3">
      <c r="H768" s="153" t="s">
        <v>2035</v>
      </c>
      <c r="I768" s="153" t="s">
        <v>2802</v>
      </c>
    </row>
    <row r="769" spans="8:9" x14ac:dyDescent="0.3">
      <c r="H769" s="153" t="s">
        <v>2039</v>
      </c>
      <c r="I769" s="153" t="s">
        <v>2802</v>
      </c>
    </row>
    <row r="770" spans="8:9" x14ac:dyDescent="0.3">
      <c r="H770" s="153" t="s">
        <v>2039</v>
      </c>
      <c r="I770" s="153" t="s">
        <v>2802</v>
      </c>
    </row>
    <row r="771" spans="8:9" x14ac:dyDescent="0.3">
      <c r="H771" s="153" t="s">
        <v>2041</v>
      </c>
      <c r="I771" s="153" t="s">
        <v>2802</v>
      </c>
    </row>
    <row r="772" spans="8:9" x14ac:dyDescent="0.3">
      <c r="H772" s="153" t="s">
        <v>2946</v>
      </c>
      <c r="I772" s="153" t="s">
        <v>2802</v>
      </c>
    </row>
    <row r="773" spans="8:9" x14ac:dyDescent="0.3">
      <c r="H773" s="153" t="s">
        <v>2041</v>
      </c>
      <c r="I773" s="153" t="s">
        <v>2802</v>
      </c>
    </row>
    <row r="774" spans="8:9" x14ac:dyDescent="0.3">
      <c r="H774" s="153" t="s">
        <v>2037</v>
      </c>
      <c r="I774" s="153" t="s">
        <v>2802</v>
      </c>
    </row>
    <row r="775" spans="8:9" x14ac:dyDescent="0.3">
      <c r="H775" s="153" t="s">
        <v>2039</v>
      </c>
      <c r="I775" s="153" t="s">
        <v>2802</v>
      </c>
    </row>
    <row r="776" spans="8:9" x14ac:dyDescent="0.3">
      <c r="H776" s="153" t="s">
        <v>2028</v>
      </c>
      <c r="I776" s="153" t="s">
        <v>2023</v>
      </c>
    </row>
    <row r="777" spans="8:9" x14ac:dyDescent="0.3">
      <c r="H777" s="153" t="s">
        <v>2037</v>
      </c>
      <c r="I777" s="153" t="s">
        <v>2802</v>
      </c>
    </row>
    <row r="778" spans="8:9" x14ac:dyDescent="0.3">
      <c r="H778" s="153" t="s">
        <v>2037</v>
      </c>
      <c r="I778" s="153" t="s">
        <v>2802</v>
      </c>
    </row>
    <row r="779" spans="8:9" x14ac:dyDescent="0.3">
      <c r="H779" s="153" t="s">
        <v>2037</v>
      </c>
      <c r="I779" s="153" t="s">
        <v>2802</v>
      </c>
    </row>
    <row r="780" spans="8:9" x14ac:dyDescent="0.3">
      <c r="H780" s="153" t="s">
        <v>2037</v>
      </c>
      <c r="I780" s="153" t="s">
        <v>2802</v>
      </c>
    </row>
    <row r="781" spans="8:9" x14ac:dyDescent="0.3">
      <c r="H781" s="153" t="s">
        <v>2037</v>
      </c>
      <c r="I781" s="153" t="s">
        <v>2802</v>
      </c>
    </row>
    <row r="782" spans="8:9" x14ac:dyDescent="0.3">
      <c r="H782" s="153" t="s">
        <v>2037</v>
      </c>
      <c r="I782" s="153" t="s">
        <v>2802</v>
      </c>
    </row>
    <row r="783" spans="8:9" x14ac:dyDescent="0.3">
      <c r="H783" s="153" t="s">
        <v>2037</v>
      </c>
      <c r="I783" s="153" t="s">
        <v>2802</v>
      </c>
    </row>
    <row r="784" spans="8:9" x14ac:dyDescent="0.3">
      <c r="H784" s="153" t="s">
        <v>2037</v>
      </c>
      <c r="I784" s="153" t="s">
        <v>2802</v>
      </c>
    </row>
    <row r="785" spans="8:9" x14ac:dyDescent="0.3">
      <c r="H785" s="153" t="s">
        <v>2037</v>
      </c>
      <c r="I785" s="153" t="s">
        <v>2802</v>
      </c>
    </row>
    <row r="786" spans="8:9" x14ac:dyDescent="0.3">
      <c r="H786" s="153" t="s">
        <v>2037</v>
      </c>
      <c r="I786" s="153" t="s">
        <v>2802</v>
      </c>
    </row>
    <row r="787" spans="8:9" x14ac:dyDescent="0.3">
      <c r="H787" s="153" t="s">
        <v>2037</v>
      </c>
      <c r="I787" s="153" t="s">
        <v>2802</v>
      </c>
    </row>
    <row r="788" spans="8:9" x14ac:dyDescent="0.3">
      <c r="H788" s="153" t="s">
        <v>2037</v>
      </c>
      <c r="I788" s="153" t="s">
        <v>2802</v>
      </c>
    </row>
    <row r="789" spans="8:9" x14ac:dyDescent="0.3">
      <c r="H789" s="153" t="s">
        <v>2037</v>
      </c>
      <c r="I789" s="153" t="s">
        <v>2802</v>
      </c>
    </row>
    <row r="790" spans="8:9" x14ac:dyDescent="0.3">
      <c r="H790" s="153" t="s">
        <v>2037</v>
      </c>
      <c r="I790" s="153" t="s">
        <v>2802</v>
      </c>
    </row>
    <row r="791" spans="8:9" x14ac:dyDescent="0.3">
      <c r="H791" s="153" t="s">
        <v>2037</v>
      </c>
      <c r="I791" s="153" t="s">
        <v>2802</v>
      </c>
    </row>
    <row r="792" spans="8:9" x14ac:dyDescent="0.3">
      <c r="H792" s="153" t="s">
        <v>2037</v>
      </c>
      <c r="I792" s="153" t="s">
        <v>2802</v>
      </c>
    </row>
    <row r="793" spans="8:9" x14ac:dyDescent="0.3">
      <c r="H793" s="153" t="s">
        <v>2037</v>
      </c>
      <c r="I793" s="153" t="s">
        <v>2802</v>
      </c>
    </row>
    <row r="794" spans="8:9" x14ac:dyDescent="0.3">
      <c r="H794" s="153" t="s">
        <v>2037</v>
      </c>
      <c r="I794" s="153" t="s">
        <v>2802</v>
      </c>
    </row>
    <row r="795" spans="8:9" x14ac:dyDescent="0.3">
      <c r="H795" s="153" t="s">
        <v>2037</v>
      </c>
      <c r="I795" s="153" t="s">
        <v>2802</v>
      </c>
    </row>
    <row r="796" spans="8:9" x14ac:dyDescent="0.3">
      <c r="H796" s="153" t="s">
        <v>2037</v>
      </c>
      <c r="I796" s="153" t="s">
        <v>2802</v>
      </c>
    </row>
    <row r="797" spans="8:9" x14ac:dyDescent="0.3">
      <c r="H797" s="153" t="s">
        <v>2039</v>
      </c>
      <c r="I797" s="153" t="s">
        <v>2802</v>
      </c>
    </row>
    <row r="798" spans="8:9" x14ac:dyDescent="0.3">
      <c r="H798" s="153" t="s">
        <v>2032</v>
      </c>
      <c r="I798" s="153" t="s">
        <v>2802</v>
      </c>
    </row>
    <row r="799" spans="8:9" x14ac:dyDescent="0.3">
      <c r="H799" s="153" t="s">
        <v>2032</v>
      </c>
      <c r="I799" s="153" t="s">
        <v>2802</v>
      </c>
    </row>
    <row r="800" spans="8:9" x14ac:dyDescent="0.3">
      <c r="H800" s="153" t="s">
        <v>2039</v>
      </c>
      <c r="I800" s="153" t="s">
        <v>2802</v>
      </c>
    </row>
    <row r="801" spans="8:9" x14ac:dyDescent="0.3">
      <c r="H801" s="153" t="s">
        <v>2906</v>
      </c>
      <c r="I801" s="153" t="s">
        <v>2802</v>
      </c>
    </row>
    <row r="802" spans="8:9" x14ac:dyDescent="0.3">
      <c r="H802" s="153" t="s">
        <v>2037</v>
      </c>
      <c r="I802" s="153" t="s">
        <v>2802</v>
      </c>
    </row>
    <row r="803" spans="8:9" x14ac:dyDescent="0.3">
      <c r="H803" s="153" t="s">
        <v>2037</v>
      </c>
      <c r="I803" s="153" t="s">
        <v>2802</v>
      </c>
    </row>
    <row r="804" spans="8:9" x14ac:dyDescent="0.3">
      <c r="H804" s="153" t="s">
        <v>2037</v>
      </c>
      <c r="I804" s="153" t="s">
        <v>2802</v>
      </c>
    </row>
    <row r="805" spans="8:9" x14ac:dyDescent="0.3">
      <c r="H805" s="153" t="s">
        <v>2054</v>
      </c>
      <c r="I805" s="153" t="s">
        <v>2802</v>
      </c>
    </row>
    <row r="806" spans="8:9" x14ac:dyDescent="0.3">
      <c r="H806" s="153" t="s">
        <v>2038</v>
      </c>
      <c r="I806" s="153" t="s">
        <v>2802</v>
      </c>
    </row>
    <row r="807" spans="8:9" x14ac:dyDescent="0.3">
      <c r="H807" s="153" t="s">
        <v>2037</v>
      </c>
      <c r="I807" s="153" t="s">
        <v>2802</v>
      </c>
    </row>
    <row r="808" spans="8:9" x14ac:dyDescent="0.3">
      <c r="H808" s="153" t="s">
        <v>2063</v>
      </c>
      <c r="I808" s="153" t="s">
        <v>2802</v>
      </c>
    </row>
    <row r="809" spans="8:9" x14ac:dyDescent="0.3">
      <c r="H809" s="153" t="s">
        <v>2037</v>
      </c>
      <c r="I809" s="153" t="s">
        <v>2802</v>
      </c>
    </row>
    <row r="810" spans="8:9" x14ac:dyDescent="0.3">
      <c r="H810" s="153" t="s">
        <v>2041</v>
      </c>
      <c r="I810" s="153" t="s">
        <v>2802</v>
      </c>
    </row>
    <row r="811" spans="8:9" x14ac:dyDescent="0.3">
      <c r="H811" s="153" t="s">
        <v>2028</v>
      </c>
      <c r="I811" s="153" t="s">
        <v>2023</v>
      </c>
    </row>
    <row r="812" spans="8:9" x14ac:dyDescent="0.3">
      <c r="H812" s="153" t="s">
        <v>2037</v>
      </c>
      <c r="I812" s="153" t="s">
        <v>2802</v>
      </c>
    </row>
    <row r="813" spans="8:9" x14ac:dyDescent="0.3">
      <c r="H813" s="153" t="s">
        <v>2037</v>
      </c>
      <c r="I813" s="153" t="s">
        <v>2802</v>
      </c>
    </row>
    <row r="814" spans="8:9" x14ac:dyDescent="0.3">
      <c r="H814" s="153" t="s">
        <v>2037</v>
      </c>
      <c r="I814" s="153" t="s">
        <v>2802</v>
      </c>
    </row>
    <row r="815" spans="8:9" x14ac:dyDescent="0.3">
      <c r="H815" s="153" t="s">
        <v>2028</v>
      </c>
      <c r="I815" s="153" t="s">
        <v>2023</v>
      </c>
    </row>
    <row r="816" spans="8:9" x14ac:dyDescent="0.3">
      <c r="H816" s="153" t="s">
        <v>2041</v>
      </c>
      <c r="I816" s="153" t="s">
        <v>2802</v>
      </c>
    </row>
    <row r="817" spans="8:9" x14ac:dyDescent="0.3">
      <c r="H817" s="153" t="s">
        <v>2057</v>
      </c>
      <c r="I817" s="153" t="s">
        <v>2024</v>
      </c>
    </row>
    <row r="818" spans="8:9" x14ac:dyDescent="0.3">
      <c r="H818" s="153" t="s">
        <v>2062</v>
      </c>
      <c r="I818" s="153" t="s">
        <v>2023</v>
      </c>
    </row>
    <row r="819" spans="8:9" x14ac:dyDescent="0.3">
      <c r="H819" s="153" t="s">
        <v>2039</v>
      </c>
      <c r="I819" s="153" t="s">
        <v>2802</v>
      </c>
    </row>
    <row r="820" spans="8:9" x14ac:dyDescent="0.3">
      <c r="H820" s="153" t="s">
        <v>2062</v>
      </c>
      <c r="I820" s="153" t="s">
        <v>2023</v>
      </c>
    </row>
    <row r="821" spans="8:9" x14ac:dyDescent="0.3">
      <c r="H821" s="153" t="s">
        <v>2037</v>
      </c>
      <c r="I821" s="153" t="s">
        <v>2802</v>
      </c>
    </row>
    <row r="822" spans="8:9" x14ac:dyDescent="0.3">
      <c r="H822" s="153" t="s">
        <v>2037</v>
      </c>
      <c r="I822" s="153" t="s">
        <v>2802</v>
      </c>
    </row>
    <row r="823" spans="8:9" x14ac:dyDescent="0.3">
      <c r="H823" s="153" t="s">
        <v>2067</v>
      </c>
      <c r="I823" s="153" t="s">
        <v>2024</v>
      </c>
    </row>
    <row r="824" spans="8:9" x14ac:dyDescent="0.3">
      <c r="H824" s="153" t="s">
        <v>2034</v>
      </c>
      <c r="I824" s="153" t="s">
        <v>2802</v>
      </c>
    </row>
    <row r="825" spans="8:9" x14ac:dyDescent="0.3">
      <c r="H825" s="153" t="s">
        <v>2046</v>
      </c>
      <c r="I825" s="153" t="s">
        <v>2802</v>
      </c>
    </row>
    <row r="826" spans="8:9" x14ac:dyDescent="0.3">
      <c r="H826" s="153" t="s">
        <v>2046</v>
      </c>
      <c r="I826" s="153" t="s">
        <v>2802</v>
      </c>
    </row>
    <row r="827" spans="8:9" x14ac:dyDescent="0.3">
      <c r="H827" s="153" t="s">
        <v>2037</v>
      </c>
      <c r="I827" s="153" t="s">
        <v>2802</v>
      </c>
    </row>
    <row r="828" spans="8:9" x14ac:dyDescent="0.3">
      <c r="H828" s="153" t="s">
        <v>2037</v>
      </c>
      <c r="I828" s="153" t="s">
        <v>2802</v>
      </c>
    </row>
    <row r="829" spans="8:9" x14ac:dyDescent="0.3">
      <c r="H829" s="153" t="s">
        <v>2061</v>
      </c>
      <c r="I829" s="153" t="s">
        <v>2802</v>
      </c>
    </row>
    <row r="830" spans="8:9" x14ac:dyDescent="0.3">
      <c r="H830" s="153" t="s">
        <v>2028</v>
      </c>
      <c r="I830" s="153" t="s">
        <v>2023</v>
      </c>
    </row>
    <row r="831" spans="8:9" x14ac:dyDescent="0.3">
      <c r="H831" s="153" t="s">
        <v>2037</v>
      </c>
      <c r="I831" s="153" t="s">
        <v>2802</v>
      </c>
    </row>
    <row r="832" spans="8:9" x14ac:dyDescent="0.3">
      <c r="H832" s="153" t="s">
        <v>2061</v>
      </c>
      <c r="I832" s="153" t="s">
        <v>2802</v>
      </c>
    </row>
    <row r="833" spans="8:9" x14ac:dyDescent="0.3">
      <c r="H833" s="153" t="s">
        <v>2041</v>
      </c>
      <c r="I833" s="153" t="s">
        <v>2802</v>
      </c>
    </row>
    <row r="834" spans="8:9" x14ac:dyDescent="0.3">
      <c r="H834" s="153" t="s">
        <v>2037</v>
      </c>
      <c r="I834" s="153" t="s">
        <v>2802</v>
      </c>
    </row>
    <row r="835" spans="8:9" x14ac:dyDescent="0.3">
      <c r="H835" s="153" t="s">
        <v>2059</v>
      </c>
      <c r="I835" s="153" t="s">
        <v>2024</v>
      </c>
    </row>
    <row r="836" spans="8:9" x14ac:dyDescent="0.3">
      <c r="H836" s="153" t="s">
        <v>2028</v>
      </c>
      <c r="I836" s="153" t="s">
        <v>2023</v>
      </c>
    </row>
    <row r="837" spans="8:9" x14ac:dyDescent="0.3">
      <c r="H837" s="153" t="s">
        <v>2037</v>
      </c>
      <c r="I837" s="153" t="s">
        <v>2802</v>
      </c>
    </row>
    <row r="838" spans="8:9" x14ac:dyDescent="0.3">
      <c r="H838" s="153" t="s">
        <v>2037</v>
      </c>
      <c r="I838" s="153" t="s">
        <v>2802</v>
      </c>
    </row>
    <row r="839" spans="8:9" x14ac:dyDescent="0.3">
      <c r="H839" s="153" t="s">
        <v>2037</v>
      </c>
      <c r="I839" s="153" t="s">
        <v>2802</v>
      </c>
    </row>
    <row r="840" spans="8:9" x14ac:dyDescent="0.3">
      <c r="H840" s="153" t="s">
        <v>2061</v>
      </c>
      <c r="I840" s="153" t="s">
        <v>2802</v>
      </c>
    </row>
    <row r="841" spans="8:9" x14ac:dyDescent="0.3">
      <c r="H841" s="153" t="s">
        <v>2037</v>
      </c>
      <c r="I841" s="153" t="s">
        <v>2802</v>
      </c>
    </row>
    <row r="842" spans="8:9" x14ac:dyDescent="0.3">
      <c r="H842" s="153" t="s">
        <v>2037</v>
      </c>
      <c r="I842" s="153" t="s">
        <v>2802</v>
      </c>
    </row>
    <row r="843" spans="8:9" x14ac:dyDescent="0.3">
      <c r="H843" s="153" t="s">
        <v>2037</v>
      </c>
      <c r="I843" s="153" t="s">
        <v>2802</v>
      </c>
    </row>
    <row r="844" spans="8:9" x14ac:dyDescent="0.3">
      <c r="H844" s="153" t="s">
        <v>2037</v>
      </c>
      <c r="I844" s="153" t="s">
        <v>2802</v>
      </c>
    </row>
    <row r="845" spans="8:9" x14ac:dyDescent="0.3">
      <c r="H845" s="153" t="s">
        <v>2037</v>
      </c>
      <c r="I845" s="153" t="s">
        <v>2802</v>
      </c>
    </row>
    <row r="846" spans="8:9" x14ac:dyDescent="0.3">
      <c r="H846" s="153" t="s">
        <v>2037</v>
      </c>
      <c r="I846" s="153" t="s">
        <v>2802</v>
      </c>
    </row>
    <row r="847" spans="8:9" x14ac:dyDescent="0.3">
      <c r="H847" s="153" t="s">
        <v>2037</v>
      </c>
      <c r="I847" s="153" t="s">
        <v>2802</v>
      </c>
    </row>
    <row r="848" spans="8:9" x14ac:dyDescent="0.3">
      <c r="H848" s="153" t="s">
        <v>2037</v>
      </c>
      <c r="I848" s="153" t="s">
        <v>2802</v>
      </c>
    </row>
    <row r="849" spans="8:9" x14ac:dyDescent="0.3">
      <c r="H849" s="153" t="s">
        <v>2037</v>
      </c>
      <c r="I849" s="153" t="s">
        <v>2802</v>
      </c>
    </row>
    <row r="850" spans="8:9" x14ac:dyDescent="0.3">
      <c r="H850" s="153" t="s">
        <v>2037</v>
      </c>
      <c r="I850" s="153" t="s">
        <v>2802</v>
      </c>
    </row>
    <row r="851" spans="8:9" x14ac:dyDescent="0.3">
      <c r="H851" s="153" t="s">
        <v>2037</v>
      </c>
      <c r="I851" s="153" t="s">
        <v>2802</v>
      </c>
    </row>
    <row r="852" spans="8:9" x14ac:dyDescent="0.3">
      <c r="H852" s="153" t="s">
        <v>2037</v>
      </c>
      <c r="I852" s="153" t="s">
        <v>2802</v>
      </c>
    </row>
    <row r="853" spans="8:9" x14ac:dyDescent="0.3">
      <c r="H853" s="153" t="s">
        <v>2037</v>
      </c>
      <c r="I853" s="153" t="s">
        <v>2802</v>
      </c>
    </row>
    <row r="854" spans="8:9" x14ac:dyDescent="0.3">
      <c r="H854" s="153" t="s">
        <v>2037</v>
      </c>
      <c r="I854" s="153" t="s">
        <v>2802</v>
      </c>
    </row>
    <row r="855" spans="8:9" x14ac:dyDescent="0.3">
      <c r="H855" s="153" t="s">
        <v>2037</v>
      </c>
      <c r="I855" s="153" t="s">
        <v>2802</v>
      </c>
    </row>
    <row r="856" spans="8:9" x14ac:dyDescent="0.3">
      <c r="H856" s="153" t="s">
        <v>2037</v>
      </c>
      <c r="I856" s="153" t="s">
        <v>2802</v>
      </c>
    </row>
    <row r="857" spans="8:9" x14ac:dyDescent="0.3">
      <c r="H857" s="153" t="s">
        <v>2037</v>
      </c>
      <c r="I857" s="153" t="s">
        <v>2802</v>
      </c>
    </row>
    <row r="858" spans="8:9" x14ac:dyDescent="0.3">
      <c r="H858" s="153" t="s">
        <v>2037</v>
      </c>
      <c r="I858" s="153" t="s">
        <v>2802</v>
      </c>
    </row>
    <row r="859" spans="8:9" x14ac:dyDescent="0.3">
      <c r="H859" s="153" t="s">
        <v>2037</v>
      </c>
      <c r="I859" s="153" t="s">
        <v>2802</v>
      </c>
    </row>
    <row r="860" spans="8:9" x14ac:dyDescent="0.3">
      <c r="H860" s="153" t="s">
        <v>2037</v>
      </c>
      <c r="I860" s="153" t="s">
        <v>2802</v>
      </c>
    </row>
    <row r="861" spans="8:9" x14ac:dyDescent="0.3">
      <c r="H861" s="153" t="s">
        <v>2040</v>
      </c>
      <c r="I861" s="153" t="s">
        <v>2802</v>
      </c>
    </row>
    <row r="862" spans="8:9" x14ac:dyDescent="0.3">
      <c r="H862" s="153" t="s">
        <v>2059</v>
      </c>
      <c r="I862" s="153" t="s">
        <v>2024</v>
      </c>
    </row>
    <row r="863" spans="8:9" x14ac:dyDescent="0.3">
      <c r="H863" s="153" t="s">
        <v>2028</v>
      </c>
      <c r="I863" s="153" t="s">
        <v>2023</v>
      </c>
    </row>
    <row r="864" spans="8:9" x14ac:dyDescent="0.3">
      <c r="H864" s="153" t="s">
        <v>2028</v>
      </c>
      <c r="I864" s="153" t="s">
        <v>2023</v>
      </c>
    </row>
    <row r="865" spans="8:9" x14ac:dyDescent="0.3">
      <c r="H865" s="153" t="s">
        <v>2028</v>
      </c>
      <c r="I865" s="153" t="s">
        <v>2023</v>
      </c>
    </row>
    <row r="866" spans="8:9" x14ac:dyDescent="0.3">
      <c r="H866" s="153" t="s">
        <v>2028</v>
      </c>
      <c r="I866" s="153" t="s">
        <v>2023</v>
      </c>
    </row>
    <row r="867" spans="8:9" x14ac:dyDescent="0.3">
      <c r="H867" s="153" t="s">
        <v>2028</v>
      </c>
      <c r="I867" s="153" t="s">
        <v>2023</v>
      </c>
    </row>
    <row r="868" spans="8:9" x14ac:dyDescent="0.3">
      <c r="H868" s="153" t="s">
        <v>2028</v>
      </c>
      <c r="I868" s="153" t="s">
        <v>2023</v>
      </c>
    </row>
    <row r="869" spans="8:9" x14ac:dyDescent="0.3">
      <c r="H869" s="153" t="s">
        <v>2028</v>
      </c>
      <c r="I869" s="153" t="s">
        <v>2023</v>
      </c>
    </row>
    <row r="870" spans="8:9" x14ac:dyDescent="0.3">
      <c r="H870" s="153" t="s">
        <v>2028</v>
      </c>
      <c r="I870" s="153" t="s">
        <v>2023</v>
      </c>
    </row>
    <row r="871" spans="8:9" x14ac:dyDescent="0.3">
      <c r="H871" s="153" t="s">
        <v>2028</v>
      </c>
      <c r="I871" s="153" t="s">
        <v>2023</v>
      </c>
    </row>
    <row r="872" spans="8:9" x14ac:dyDescent="0.3">
      <c r="H872" s="153" t="s">
        <v>2028</v>
      </c>
      <c r="I872" s="153" t="s">
        <v>2023</v>
      </c>
    </row>
    <row r="873" spans="8:9" x14ac:dyDescent="0.3">
      <c r="H873" s="153" t="s">
        <v>2065</v>
      </c>
      <c r="I873" s="153" t="s">
        <v>2859</v>
      </c>
    </row>
    <row r="874" spans="8:9" x14ac:dyDescent="0.3">
      <c r="H874" s="153" t="s">
        <v>2065</v>
      </c>
      <c r="I874" s="153" t="s">
        <v>2859</v>
      </c>
    </row>
    <row r="875" spans="8:9" x14ac:dyDescent="0.3">
      <c r="H875" s="153" t="s">
        <v>2065</v>
      </c>
      <c r="I875" s="153" t="s">
        <v>2859</v>
      </c>
    </row>
    <row r="876" spans="8:9" x14ac:dyDescent="0.3">
      <c r="H876" s="153" t="s">
        <v>2065</v>
      </c>
      <c r="I876" s="153" t="s">
        <v>2859</v>
      </c>
    </row>
    <row r="877" spans="8:9" x14ac:dyDescent="0.3">
      <c r="H877" s="153" t="s">
        <v>2065</v>
      </c>
      <c r="I877" s="153" t="s">
        <v>2859</v>
      </c>
    </row>
    <row r="878" spans="8:9" x14ac:dyDescent="0.3">
      <c r="H878" s="153" t="s">
        <v>2065</v>
      </c>
      <c r="I878" s="153" t="s">
        <v>2859</v>
      </c>
    </row>
    <row r="879" spans="8:9" x14ac:dyDescent="0.3">
      <c r="H879" s="153" t="s">
        <v>2065</v>
      </c>
      <c r="I879" s="153" t="s">
        <v>2859</v>
      </c>
    </row>
    <row r="880" spans="8:9" x14ac:dyDescent="0.3">
      <c r="H880" s="153" t="s">
        <v>2066</v>
      </c>
      <c r="I880" s="153" t="s">
        <v>2859</v>
      </c>
    </row>
    <row r="881" spans="8:9" x14ac:dyDescent="0.3">
      <c r="H881" s="153" t="s">
        <v>2066</v>
      </c>
      <c r="I881" s="153" t="s">
        <v>2859</v>
      </c>
    </row>
    <row r="882" spans="8:9" x14ac:dyDescent="0.3">
      <c r="H882" s="153" t="s">
        <v>2066</v>
      </c>
      <c r="I882" s="153" t="s">
        <v>2859</v>
      </c>
    </row>
    <row r="883" spans="8:9" x14ac:dyDescent="0.3">
      <c r="H883" s="153" t="s">
        <v>2067</v>
      </c>
      <c r="I883" s="153" t="s">
        <v>2024</v>
      </c>
    </row>
    <row r="884" spans="8:9" x14ac:dyDescent="0.3">
      <c r="H884" s="153" t="s">
        <v>2037</v>
      </c>
      <c r="I884" s="153" t="s">
        <v>2802</v>
      </c>
    </row>
    <row r="885" spans="8:9" x14ac:dyDescent="0.3">
      <c r="H885" s="153" t="s">
        <v>2028</v>
      </c>
      <c r="I885" s="153" t="s">
        <v>2023</v>
      </c>
    </row>
    <row r="886" spans="8:9" x14ac:dyDescent="0.3">
      <c r="H886" s="153" t="s">
        <v>2028</v>
      </c>
      <c r="I886" s="153" t="s">
        <v>2023</v>
      </c>
    </row>
    <row r="887" spans="8:9" x14ac:dyDescent="0.3">
      <c r="H887" s="153" t="s">
        <v>2039</v>
      </c>
      <c r="I887" s="153" t="s">
        <v>2802</v>
      </c>
    </row>
    <row r="888" spans="8:9" x14ac:dyDescent="0.3">
      <c r="H888" s="153" t="s">
        <v>2041</v>
      </c>
      <c r="I888" s="153" t="s">
        <v>2802</v>
      </c>
    </row>
    <row r="889" spans="8:9" x14ac:dyDescent="0.3">
      <c r="H889" s="153" t="s">
        <v>2059</v>
      </c>
      <c r="I889" s="153" t="s">
        <v>2024</v>
      </c>
    </row>
    <row r="890" spans="8:9" x14ac:dyDescent="0.3">
      <c r="H890" s="153" t="s">
        <v>2063</v>
      </c>
      <c r="I890" s="153" t="s">
        <v>2802</v>
      </c>
    </row>
    <row r="891" spans="8:9" x14ac:dyDescent="0.3">
      <c r="H891" s="153" t="s">
        <v>2028</v>
      </c>
      <c r="I891" s="153" t="s">
        <v>2023</v>
      </c>
    </row>
    <row r="892" spans="8:9" x14ac:dyDescent="0.3">
      <c r="H892" s="153" t="s">
        <v>2039</v>
      </c>
      <c r="I892" s="153" t="s">
        <v>2802</v>
      </c>
    </row>
    <row r="893" spans="8:9" x14ac:dyDescent="0.3">
      <c r="H893" s="153" t="s">
        <v>2041</v>
      </c>
      <c r="I893" s="153" t="s">
        <v>2802</v>
      </c>
    </row>
    <row r="894" spans="8:9" x14ac:dyDescent="0.3">
      <c r="H894" s="153" t="s">
        <v>2039</v>
      </c>
      <c r="I894" s="153" t="s">
        <v>2802</v>
      </c>
    </row>
    <row r="895" spans="8:9" x14ac:dyDescent="0.3">
      <c r="H895" s="153" t="s">
        <v>2028</v>
      </c>
      <c r="I895" s="153" t="s">
        <v>2023</v>
      </c>
    </row>
    <row r="896" spans="8:9" x14ac:dyDescent="0.3">
      <c r="H896" s="153" t="s">
        <v>2039</v>
      </c>
      <c r="I896" s="153" t="s">
        <v>2802</v>
      </c>
    </row>
    <row r="897" spans="8:9" x14ac:dyDescent="0.3">
      <c r="H897" s="153" t="s">
        <v>2041</v>
      </c>
      <c r="I897" s="153" t="s">
        <v>2802</v>
      </c>
    </row>
    <row r="898" spans="8:9" x14ac:dyDescent="0.3">
      <c r="H898" s="153" t="s">
        <v>2041</v>
      </c>
      <c r="I898" s="153" t="s">
        <v>2802</v>
      </c>
    </row>
    <row r="899" spans="8:9" x14ac:dyDescent="0.3">
      <c r="H899" s="153" t="s">
        <v>2041</v>
      </c>
      <c r="I899" s="153" t="s">
        <v>2802</v>
      </c>
    </row>
    <row r="900" spans="8:9" x14ac:dyDescent="0.3">
      <c r="H900" s="153" t="s">
        <v>2041</v>
      </c>
      <c r="I900" s="153" t="s">
        <v>2802</v>
      </c>
    </row>
    <row r="901" spans="8:9" x14ac:dyDescent="0.3">
      <c r="H901" s="153" t="s">
        <v>2028</v>
      </c>
      <c r="I901" s="153" t="s">
        <v>2023</v>
      </c>
    </row>
    <row r="902" spans="8:9" x14ac:dyDescent="0.3">
      <c r="H902" s="153" t="s">
        <v>2054</v>
      </c>
      <c r="I902" s="153" t="s">
        <v>2802</v>
      </c>
    </row>
    <row r="903" spans="8:9" x14ac:dyDescent="0.3">
      <c r="H903" s="153" t="s">
        <v>2028</v>
      </c>
      <c r="I903" s="153" t="s">
        <v>2023</v>
      </c>
    </row>
    <row r="904" spans="8:9" x14ac:dyDescent="0.3">
      <c r="H904" s="153" t="s">
        <v>2034</v>
      </c>
      <c r="I904" s="153" t="s">
        <v>2802</v>
      </c>
    </row>
    <row r="905" spans="8:9" x14ac:dyDescent="0.3">
      <c r="H905" s="153" t="s">
        <v>2037</v>
      </c>
      <c r="I905" s="153" t="s">
        <v>2802</v>
      </c>
    </row>
    <row r="906" spans="8:9" x14ac:dyDescent="0.3">
      <c r="H906" s="153" t="s">
        <v>2037</v>
      </c>
      <c r="I906" s="153" t="s">
        <v>2802</v>
      </c>
    </row>
    <row r="907" spans="8:9" x14ac:dyDescent="0.3">
      <c r="H907" s="153" t="s">
        <v>2039</v>
      </c>
      <c r="I907" s="153" t="s">
        <v>2802</v>
      </c>
    </row>
    <row r="908" spans="8:9" x14ac:dyDescent="0.3">
      <c r="H908" s="153" t="s">
        <v>2039</v>
      </c>
      <c r="I908" s="153" t="s">
        <v>2802</v>
      </c>
    </row>
    <row r="909" spans="8:9" x14ac:dyDescent="0.3">
      <c r="H909" s="153" t="s">
        <v>2059</v>
      </c>
      <c r="I909" s="153" t="s">
        <v>2024</v>
      </c>
    </row>
    <row r="910" spans="8:9" x14ac:dyDescent="0.3">
      <c r="H910" s="153" t="s">
        <v>2039</v>
      </c>
      <c r="I910" s="153" t="s">
        <v>2802</v>
      </c>
    </row>
    <row r="911" spans="8:9" x14ac:dyDescent="0.3">
      <c r="H911" s="153" t="s">
        <v>2039</v>
      </c>
      <c r="I911" s="153" t="s">
        <v>2802</v>
      </c>
    </row>
    <row r="912" spans="8:9" x14ac:dyDescent="0.3">
      <c r="H912" s="153" t="s">
        <v>2039</v>
      </c>
      <c r="I912" s="153" t="s">
        <v>2802</v>
      </c>
    </row>
    <row r="913" spans="8:9" x14ac:dyDescent="0.3">
      <c r="H913" s="153" t="s">
        <v>2041</v>
      </c>
      <c r="I913" s="153" t="s">
        <v>2802</v>
      </c>
    </row>
    <row r="914" spans="8:9" x14ac:dyDescent="0.3">
      <c r="H914" s="153" t="s">
        <v>2037</v>
      </c>
      <c r="I914" s="153" t="s">
        <v>2802</v>
      </c>
    </row>
    <row r="915" spans="8:9" x14ac:dyDescent="0.3">
      <c r="H915" s="153" t="s">
        <v>2037</v>
      </c>
      <c r="I915" s="153" t="s">
        <v>2802</v>
      </c>
    </row>
    <row r="916" spans="8:9" x14ac:dyDescent="0.3">
      <c r="H916" s="153" t="s">
        <v>2040</v>
      </c>
      <c r="I916" s="153" t="s">
        <v>2802</v>
      </c>
    </row>
    <row r="917" spans="8:9" x14ac:dyDescent="0.3">
      <c r="H917" s="153" t="s">
        <v>2040</v>
      </c>
      <c r="I917" s="153" t="s">
        <v>2802</v>
      </c>
    </row>
    <row r="918" spans="8:9" x14ac:dyDescent="0.3">
      <c r="H918" s="153" t="s">
        <v>2032</v>
      </c>
      <c r="I918" s="153" t="s">
        <v>2802</v>
      </c>
    </row>
    <row r="919" spans="8:9" x14ac:dyDescent="0.3">
      <c r="H919" s="153" t="s">
        <v>2037</v>
      </c>
      <c r="I919" s="153" t="s">
        <v>2802</v>
      </c>
    </row>
    <row r="920" spans="8:9" x14ac:dyDescent="0.3">
      <c r="H920" s="153" t="s">
        <v>2037</v>
      </c>
      <c r="I920" s="153" t="s">
        <v>2802</v>
      </c>
    </row>
    <row r="921" spans="8:9" x14ac:dyDescent="0.3">
      <c r="H921" s="153" t="s">
        <v>2061</v>
      </c>
      <c r="I921" s="153" t="s">
        <v>2802</v>
      </c>
    </row>
    <row r="922" spans="8:9" x14ac:dyDescent="0.3">
      <c r="H922" s="153" t="s">
        <v>2028</v>
      </c>
      <c r="I922" s="153" t="s">
        <v>2023</v>
      </c>
    </row>
    <row r="923" spans="8:9" x14ac:dyDescent="0.3">
      <c r="H923" s="153" t="s">
        <v>2037</v>
      </c>
      <c r="I923" s="153" t="s">
        <v>2802</v>
      </c>
    </row>
    <row r="924" spans="8:9" x14ac:dyDescent="0.3">
      <c r="H924" s="153" t="s">
        <v>2056</v>
      </c>
      <c r="I924" s="153" t="s">
        <v>2802</v>
      </c>
    </row>
    <row r="925" spans="8:9" x14ac:dyDescent="0.3">
      <c r="H925" s="153" t="s">
        <v>2047</v>
      </c>
      <c r="I925" s="153" t="s">
        <v>2802</v>
      </c>
    </row>
    <row r="926" spans="8:9" x14ac:dyDescent="0.3">
      <c r="H926" s="153" t="s">
        <v>2047</v>
      </c>
      <c r="I926" s="153" t="s">
        <v>2802</v>
      </c>
    </row>
    <row r="927" spans="8:9" x14ac:dyDescent="0.3">
      <c r="H927" s="153" t="s">
        <v>2041</v>
      </c>
      <c r="I927" s="153" t="s">
        <v>2802</v>
      </c>
    </row>
    <row r="928" spans="8:9" x14ac:dyDescent="0.3">
      <c r="H928" s="153" t="s">
        <v>2041</v>
      </c>
      <c r="I928" s="153" t="s">
        <v>2802</v>
      </c>
    </row>
    <row r="929" spans="8:9" x14ac:dyDescent="0.3">
      <c r="H929" s="153" t="s">
        <v>2041</v>
      </c>
      <c r="I929" s="153" t="s">
        <v>2802</v>
      </c>
    </row>
    <row r="930" spans="8:9" x14ac:dyDescent="0.3">
      <c r="H930" s="153" t="s">
        <v>2039</v>
      </c>
      <c r="I930" s="153" t="s">
        <v>2802</v>
      </c>
    </row>
    <row r="931" spans="8:9" x14ac:dyDescent="0.3">
      <c r="H931" s="153" t="s">
        <v>2041</v>
      </c>
      <c r="I931" s="153" t="s">
        <v>2802</v>
      </c>
    </row>
    <row r="932" spans="8:9" x14ac:dyDescent="0.3">
      <c r="H932" s="153" t="s">
        <v>2041</v>
      </c>
      <c r="I932" s="153" t="s">
        <v>2802</v>
      </c>
    </row>
    <row r="933" spans="8:9" x14ac:dyDescent="0.3">
      <c r="H933" s="153" t="s">
        <v>2037</v>
      </c>
      <c r="I933" s="153" t="s">
        <v>2802</v>
      </c>
    </row>
    <row r="934" spans="8:9" x14ac:dyDescent="0.3">
      <c r="H934" s="153" t="s">
        <v>2037</v>
      </c>
      <c r="I934" s="153" t="s">
        <v>2802</v>
      </c>
    </row>
    <row r="935" spans="8:9" x14ac:dyDescent="0.3">
      <c r="H935" s="153" t="s">
        <v>2037</v>
      </c>
      <c r="I935" s="153" t="s">
        <v>2802</v>
      </c>
    </row>
    <row r="936" spans="8:9" x14ac:dyDescent="0.3">
      <c r="H936" s="153" t="s">
        <v>2041</v>
      </c>
      <c r="I936" s="153" t="s">
        <v>2802</v>
      </c>
    </row>
    <row r="937" spans="8:9" x14ac:dyDescent="0.3">
      <c r="H937" s="153" t="s">
        <v>2028</v>
      </c>
      <c r="I937" s="153" t="s">
        <v>2023</v>
      </c>
    </row>
    <row r="938" spans="8:9" x14ac:dyDescent="0.3">
      <c r="H938" s="153" t="s">
        <v>2059</v>
      </c>
      <c r="I938" s="153" t="s">
        <v>2024</v>
      </c>
    </row>
    <row r="939" spans="8:9" x14ac:dyDescent="0.3">
      <c r="H939" s="153" t="s">
        <v>2055</v>
      </c>
      <c r="I939" s="153" t="s">
        <v>2802</v>
      </c>
    </row>
    <row r="940" spans="8:9" x14ac:dyDescent="0.3">
      <c r="H940" s="153" t="s">
        <v>2947</v>
      </c>
      <c r="I940" s="153" t="s">
        <v>2802</v>
      </c>
    </row>
    <row r="941" spans="8:9" x14ac:dyDescent="0.3">
      <c r="H941" s="153" t="s">
        <v>2059</v>
      </c>
      <c r="I941" s="153" t="s">
        <v>2024</v>
      </c>
    </row>
    <row r="942" spans="8:9" x14ac:dyDescent="0.3">
      <c r="H942" s="153" t="s">
        <v>2947</v>
      </c>
      <c r="I942" s="153" t="s">
        <v>2802</v>
      </c>
    </row>
    <row r="943" spans="8:9" x14ac:dyDescent="0.3">
      <c r="H943" s="153" t="s">
        <v>2039</v>
      </c>
      <c r="I943" s="153" t="s">
        <v>2802</v>
      </c>
    </row>
    <row r="944" spans="8:9" x14ac:dyDescent="0.3">
      <c r="H944" s="153" t="s">
        <v>2028</v>
      </c>
      <c r="I944" s="153" t="s">
        <v>2023</v>
      </c>
    </row>
    <row r="945" spans="8:9" x14ac:dyDescent="0.3">
      <c r="H945" s="153" t="s">
        <v>2039</v>
      </c>
      <c r="I945" s="153" t="s">
        <v>2802</v>
      </c>
    </row>
    <row r="946" spans="8:9" x14ac:dyDescent="0.3">
      <c r="H946" s="153" t="s">
        <v>2043</v>
      </c>
      <c r="I946" s="153" t="s">
        <v>2802</v>
      </c>
    </row>
    <row r="947" spans="8:9" x14ac:dyDescent="0.3">
      <c r="H947" s="153" t="s">
        <v>2039</v>
      </c>
      <c r="I947" s="153" t="s">
        <v>2802</v>
      </c>
    </row>
    <row r="948" spans="8:9" x14ac:dyDescent="0.3">
      <c r="H948" s="153" t="s">
        <v>2028</v>
      </c>
      <c r="I948" s="153" t="s">
        <v>2023</v>
      </c>
    </row>
    <row r="949" spans="8:9" x14ac:dyDescent="0.3">
      <c r="H949" s="153" t="s">
        <v>2039</v>
      </c>
      <c r="I949" s="153" t="s">
        <v>2802</v>
      </c>
    </row>
    <row r="950" spans="8:9" x14ac:dyDescent="0.3">
      <c r="H950" s="153" t="s">
        <v>2062</v>
      </c>
      <c r="I950" s="153" t="s">
        <v>2023</v>
      </c>
    </row>
    <row r="951" spans="8:9" x14ac:dyDescent="0.3">
      <c r="H951" s="153" t="s">
        <v>2062</v>
      </c>
      <c r="I951" s="153" t="s">
        <v>2023</v>
      </c>
    </row>
    <row r="952" spans="8:9" x14ac:dyDescent="0.3">
      <c r="H952" s="153" t="s">
        <v>2035</v>
      </c>
      <c r="I952" s="153" t="s">
        <v>2802</v>
      </c>
    </row>
    <row r="953" spans="8:9" x14ac:dyDescent="0.3">
      <c r="H953" s="153" t="s">
        <v>2028</v>
      </c>
      <c r="I953" s="153" t="s">
        <v>2023</v>
      </c>
    </row>
    <row r="954" spans="8:9" x14ac:dyDescent="0.3">
      <c r="H954" s="153" t="s">
        <v>2039</v>
      </c>
      <c r="I954" s="153" t="s">
        <v>2802</v>
      </c>
    </row>
    <row r="955" spans="8:9" x14ac:dyDescent="0.3">
      <c r="H955" s="153" t="s">
        <v>2039</v>
      </c>
      <c r="I955" s="153" t="s">
        <v>2802</v>
      </c>
    </row>
    <row r="956" spans="8:9" x14ac:dyDescent="0.3">
      <c r="H956" s="153" t="s">
        <v>2028</v>
      </c>
      <c r="I956" s="153" t="s">
        <v>2023</v>
      </c>
    </row>
    <row r="957" spans="8:9" x14ac:dyDescent="0.3">
      <c r="H957" s="153" t="s">
        <v>2028</v>
      </c>
      <c r="I957" s="153" t="s">
        <v>2023</v>
      </c>
    </row>
    <row r="958" spans="8:9" x14ac:dyDescent="0.3">
      <c r="H958" s="153" t="s">
        <v>2039</v>
      </c>
      <c r="I958" s="153" t="s">
        <v>2802</v>
      </c>
    </row>
    <row r="959" spans="8:9" x14ac:dyDescent="0.3">
      <c r="H959" s="153" t="s">
        <v>2028</v>
      </c>
      <c r="I959" s="153" t="s">
        <v>2023</v>
      </c>
    </row>
    <row r="960" spans="8:9" x14ac:dyDescent="0.3">
      <c r="H960" s="153" t="s">
        <v>2062</v>
      </c>
      <c r="I960" s="153" t="s">
        <v>2023</v>
      </c>
    </row>
    <row r="961" spans="8:9" x14ac:dyDescent="0.3">
      <c r="H961" s="153" t="s">
        <v>2041</v>
      </c>
      <c r="I961" s="153" t="s">
        <v>2802</v>
      </c>
    </row>
    <row r="962" spans="8:9" x14ac:dyDescent="0.3">
      <c r="H962" s="153" t="s">
        <v>2039</v>
      </c>
      <c r="I962" s="153" t="s">
        <v>2802</v>
      </c>
    </row>
    <row r="963" spans="8:9" x14ac:dyDescent="0.3">
      <c r="H963" s="153" t="s">
        <v>2041</v>
      </c>
      <c r="I963" s="153" t="s">
        <v>2802</v>
      </c>
    </row>
    <row r="964" spans="8:9" x14ac:dyDescent="0.3">
      <c r="H964" s="153" t="s">
        <v>2067</v>
      </c>
      <c r="I964" s="153" t="s">
        <v>2024</v>
      </c>
    </row>
    <row r="965" spans="8:9" x14ac:dyDescent="0.3">
      <c r="H965" s="153" t="s">
        <v>2028</v>
      </c>
      <c r="I965" s="153" t="s">
        <v>2023</v>
      </c>
    </row>
    <row r="966" spans="8:9" x14ac:dyDescent="0.3">
      <c r="H966" s="153" t="s">
        <v>2039</v>
      </c>
      <c r="I966" s="153" t="s">
        <v>2802</v>
      </c>
    </row>
    <row r="967" spans="8:9" x14ac:dyDescent="0.3">
      <c r="H967" s="153" t="s">
        <v>2037</v>
      </c>
      <c r="I967" s="153" t="s">
        <v>2802</v>
      </c>
    </row>
    <row r="968" spans="8:9" x14ac:dyDescent="0.3">
      <c r="H968" s="153" t="s">
        <v>2063</v>
      </c>
      <c r="I968" s="153" t="s">
        <v>2802</v>
      </c>
    </row>
    <row r="969" spans="8:9" x14ac:dyDescent="0.3">
      <c r="H969" s="153" t="s">
        <v>2035</v>
      </c>
      <c r="I969" s="153" t="s">
        <v>2802</v>
      </c>
    </row>
    <row r="970" spans="8:9" x14ac:dyDescent="0.3">
      <c r="H970" s="153" t="s">
        <v>2037</v>
      </c>
      <c r="I970" s="153" t="s">
        <v>2802</v>
      </c>
    </row>
    <row r="971" spans="8:9" x14ac:dyDescent="0.3">
      <c r="H971" s="153" t="s">
        <v>2037</v>
      </c>
      <c r="I971" s="153" t="s">
        <v>2802</v>
      </c>
    </row>
    <row r="972" spans="8:9" x14ac:dyDescent="0.3">
      <c r="H972" s="153" t="s">
        <v>2059</v>
      </c>
      <c r="I972" s="153" t="s">
        <v>2024</v>
      </c>
    </row>
    <row r="973" spans="8:9" x14ac:dyDescent="0.3">
      <c r="H973" s="153" t="s">
        <v>2059</v>
      </c>
      <c r="I973" s="153" t="s">
        <v>2024</v>
      </c>
    </row>
    <row r="974" spans="8:9" x14ac:dyDescent="0.3">
      <c r="H974" s="153" t="s">
        <v>2041</v>
      </c>
      <c r="I974" s="153" t="s">
        <v>2802</v>
      </c>
    </row>
    <row r="975" spans="8:9" x14ac:dyDescent="0.3">
      <c r="H975" s="153" t="s">
        <v>2033</v>
      </c>
      <c r="I975" s="153" t="s">
        <v>2802</v>
      </c>
    </row>
    <row r="976" spans="8:9" x14ac:dyDescent="0.3">
      <c r="H976" s="153" t="s">
        <v>2045</v>
      </c>
      <c r="I976" s="153" t="s">
        <v>2802</v>
      </c>
    </row>
    <row r="977" spans="8:9" x14ac:dyDescent="0.3">
      <c r="H977" s="153" t="s">
        <v>2047</v>
      </c>
      <c r="I977" s="153" t="s">
        <v>2802</v>
      </c>
    </row>
    <row r="978" spans="8:9" x14ac:dyDescent="0.3">
      <c r="H978" s="153" t="s">
        <v>2041</v>
      </c>
      <c r="I978" s="153" t="s">
        <v>2802</v>
      </c>
    </row>
    <row r="979" spans="8:9" x14ac:dyDescent="0.3">
      <c r="H979" s="153" t="s">
        <v>2037</v>
      </c>
      <c r="I979" s="153" t="s">
        <v>2802</v>
      </c>
    </row>
    <row r="980" spans="8:9" x14ac:dyDescent="0.3">
      <c r="H980" s="153" t="s">
        <v>2037</v>
      </c>
      <c r="I980" s="153" t="s">
        <v>2802</v>
      </c>
    </row>
    <row r="981" spans="8:9" x14ac:dyDescent="0.3">
      <c r="H981" s="153" t="s">
        <v>2032</v>
      </c>
      <c r="I981" s="153" t="s">
        <v>2802</v>
      </c>
    </row>
    <row r="982" spans="8:9" x14ac:dyDescent="0.3">
      <c r="H982" s="153" t="s">
        <v>2039</v>
      </c>
      <c r="I982" s="153" t="s">
        <v>2802</v>
      </c>
    </row>
    <row r="983" spans="8:9" x14ac:dyDescent="0.3">
      <c r="H983" s="153" t="s">
        <v>2038</v>
      </c>
      <c r="I983" s="153" t="s">
        <v>2802</v>
      </c>
    </row>
    <row r="984" spans="8:9" x14ac:dyDescent="0.3">
      <c r="H984" s="153" t="s">
        <v>2039</v>
      </c>
      <c r="I984" s="153" t="s">
        <v>2802</v>
      </c>
    </row>
    <row r="985" spans="8:9" x14ac:dyDescent="0.3">
      <c r="H985" s="153" t="s">
        <v>2039</v>
      </c>
      <c r="I985" s="153" t="s">
        <v>2802</v>
      </c>
    </row>
    <row r="986" spans="8:9" x14ac:dyDescent="0.3">
      <c r="H986" s="153" t="s">
        <v>2037</v>
      </c>
      <c r="I986" s="153" t="s">
        <v>2802</v>
      </c>
    </row>
    <row r="987" spans="8:9" x14ac:dyDescent="0.3">
      <c r="H987" s="153" t="s">
        <v>2037</v>
      </c>
      <c r="I987" s="153" t="s">
        <v>2802</v>
      </c>
    </row>
    <row r="988" spans="8:9" x14ac:dyDescent="0.3">
      <c r="H988" s="153" t="s">
        <v>2037</v>
      </c>
      <c r="I988" s="153" t="s">
        <v>2802</v>
      </c>
    </row>
    <row r="989" spans="8:9" x14ac:dyDescent="0.3">
      <c r="H989" s="153" t="s">
        <v>2037</v>
      </c>
      <c r="I989" s="153" t="s">
        <v>2802</v>
      </c>
    </row>
    <row r="990" spans="8:9" x14ac:dyDescent="0.3">
      <c r="H990" s="153" t="s">
        <v>2037</v>
      </c>
      <c r="I990" s="153" t="s">
        <v>2802</v>
      </c>
    </row>
    <row r="991" spans="8:9" x14ac:dyDescent="0.3">
      <c r="H991" s="153" t="s">
        <v>2037</v>
      </c>
      <c r="I991" s="153" t="s">
        <v>2802</v>
      </c>
    </row>
    <row r="992" spans="8:9" x14ac:dyDescent="0.3">
      <c r="H992" s="153" t="s">
        <v>2058</v>
      </c>
      <c r="I992" s="153" t="s">
        <v>2802</v>
      </c>
    </row>
    <row r="993" spans="8:9" x14ac:dyDescent="0.3">
      <c r="H993" s="153" t="s">
        <v>2058</v>
      </c>
      <c r="I993" s="153" t="s">
        <v>2802</v>
      </c>
    </row>
    <row r="994" spans="8:9" x14ac:dyDescent="0.3">
      <c r="H994" s="153" t="s">
        <v>2058</v>
      </c>
      <c r="I994" s="153" t="s">
        <v>2802</v>
      </c>
    </row>
    <row r="995" spans="8:9" x14ac:dyDescent="0.3">
      <c r="H995" s="153" t="s">
        <v>2948</v>
      </c>
      <c r="I995" s="153" t="s">
        <v>2859</v>
      </c>
    </row>
    <row r="996" spans="8:9" x14ac:dyDescent="0.3">
      <c r="H996" s="153" t="s">
        <v>2948</v>
      </c>
      <c r="I996" s="153" t="s">
        <v>2859</v>
      </c>
    </row>
    <row r="997" spans="8:9" x14ac:dyDescent="0.3">
      <c r="H997" s="153" t="s">
        <v>2039</v>
      </c>
      <c r="I997" s="153" t="s">
        <v>2802</v>
      </c>
    </row>
    <row r="998" spans="8:9" x14ac:dyDescent="0.3">
      <c r="H998" s="153" t="s">
        <v>2039</v>
      </c>
      <c r="I998" s="153" t="s">
        <v>2802</v>
      </c>
    </row>
    <row r="999" spans="8:9" x14ac:dyDescent="0.3">
      <c r="H999" s="153" t="s">
        <v>2039</v>
      </c>
      <c r="I999" s="153" t="s">
        <v>2802</v>
      </c>
    </row>
    <row r="1000" spans="8:9" x14ac:dyDescent="0.3">
      <c r="H1000" s="153" t="s">
        <v>2037</v>
      </c>
      <c r="I1000" s="153" t="s">
        <v>2802</v>
      </c>
    </row>
    <row r="1001" spans="8:9" x14ac:dyDescent="0.3">
      <c r="H1001" s="153" t="s">
        <v>2037</v>
      </c>
      <c r="I1001" s="153" t="s">
        <v>2802</v>
      </c>
    </row>
    <row r="1002" spans="8:9" x14ac:dyDescent="0.3">
      <c r="H1002" s="153" t="s">
        <v>2037</v>
      </c>
      <c r="I1002" s="153" t="s">
        <v>2802</v>
      </c>
    </row>
    <row r="1003" spans="8:9" x14ac:dyDescent="0.3">
      <c r="H1003" s="153" t="s">
        <v>2041</v>
      </c>
      <c r="I1003" s="153" t="s">
        <v>2802</v>
      </c>
    </row>
    <row r="1004" spans="8:9" x14ac:dyDescent="0.3">
      <c r="H1004" s="153" t="s">
        <v>2041</v>
      </c>
      <c r="I1004" s="153" t="s">
        <v>2802</v>
      </c>
    </row>
    <row r="1005" spans="8:9" x14ac:dyDescent="0.3">
      <c r="H1005" s="153" t="s">
        <v>2041</v>
      </c>
      <c r="I1005" s="153" t="s">
        <v>2802</v>
      </c>
    </row>
    <row r="1006" spans="8:9" x14ac:dyDescent="0.3">
      <c r="H1006" s="153" t="s">
        <v>2037</v>
      </c>
      <c r="I1006" s="153" t="s">
        <v>2802</v>
      </c>
    </row>
    <row r="1007" spans="8:9" x14ac:dyDescent="0.3">
      <c r="H1007" s="153" t="s">
        <v>2037</v>
      </c>
      <c r="I1007" s="153" t="s">
        <v>2802</v>
      </c>
    </row>
    <row r="1008" spans="8:9" x14ac:dyDescent="0.3">
      <c r="H1008" s="153" t="s">
        <v>2037</v>
      </c>
      <c r="I1008" s="153" t="s">
        <v>2802</v>
      </c>
    </row>
    <row r="1009" spans="8:9" x14ac:dyDescent="0.3">
      <c r="H1009" s="153" t="s">
        <v>2033</v>
      </c>
      <c r="I1009" s="153" t="s">
        <v>2802</v>
      </c>
    </row>
    <row r="1010" spans="8:9" x14ac:dyDescent="0.3">
      <c r="H1010" s="153" t="s">
        <v>2037</v>
      </c>
      <c r="I1010" s="153" t="s">
        <v>2802</v>
      </c>
    </row>
    <row r="1011" spans="8:9" x14ac:dyDescent="0.3">
      <c r="H1011" s="153" t="s">
        <v>2037</v>
      </c>
      <c r="I1011" s="153" t="s">
        <v>2802</v>
      </c>
    </row>
    <row r="1012" spans="8:9" x14ac:dyDescent="0.3">
      <c r="H1012" s="153" t="s">
        <v>2032</v>
      </c>
      <c r="I1012" s="153" t="s">
        <v>2802</v>
      </c>
    </row>
    <row r="1013" spans="8:9" x14ac:dyDescent="0.3">
      <c r="H1013" s="153" t="s">
        <v>2028</v>
      </c>
      <c r="I1013" s="153" t="s">
        <v>2023</v>
      </c>
    </row>
    <row r="1014" spans="8:9" x14ac:dyDescent="0.3">
      <c r="H1014" s="153" t="s">
        <v>2063</v>
      </c>
      <c r="I1014" s="153" t="s">
        <v>2802</v>
      </c>
    </row>
    <row r="1015" spans="8:9" x14ac:dyDescent="0.3">
      <c r="H1015" s="153" t="s">
        <v>2028</v>
      </c>
      <c r="I1015" s="153" t="s">
        <v>2023</v>
      </c>
    </row>
    <row r="1016" spans="8:9" x14ac:dyDescent="0.3">
      <c r="H1016" s="153" t="s">
        <v>2037</v>
      </c>
      <c r="I1016" s="153" t="s">
        <v>2802</v>
      </c>
    </row>
    <row r="1017" spans="8:9" x14ac:dyDescent="0.3">
      <c r="H1017" s="153" t="s">
        <v>2037</v>
      </c>
      <c r="I1017" s="153" t="s">
        <v>2802</v>
      </c>
    </row>
    <row r="1018" spans="8:9" x14ac:dyDescent="0.3">
      <c r="H1018" s="153" t="s">
        <v>2028</v>
      </c>
      <c r="I1018" s="153" t="s">
        <v>2023</v>
      </c>
    </row>
    <row r="1019" spans="8:9" x14ac:dyDescent="0.3">
      <c r="H1019" s="153" t="s">
        <v>2041</v>
      </c>
      <c r="I1019" s="153" t="s">
        <v>2802</v>
      </c>
    </row>
    <row r="1020" spans="8:9" x14ac:dyDescent="0.3">
      <c r="H1020" s="153" t="s">
        <v>2041</v>
      </c>
      <c r="I1020" s="153" t="s">
        <v>2802</v>
      </c>
    </row>
    <row r="1021" spans="8:9" x14ac:dyDescent="0.3">
      <c r="H1021" s="153" t="s">
        <v>2055</v>
      </c>
      <c r="I1021" s="153" t="s">
        <v>2802</v>
      </c>
    </row>
    <row r="1022" spans="8:9" x14ac:dyDescent="0.3">
      <c r="H1022" s="153" t="s">
        <v>2037</v>
      </c>
      <c r="I1022" s="153" t="s">
        <v>2802</v>
      </c>
    </row>
    <row r="1023" spans="8:9" x14ac:dyDescent="0.3">
      <c r="H1023" s="153" t="s">
        <v>2041</v>
      </c>
      <c r="I1023" s="153" t="s">
        <v>2802</v>
      </c>
    </row>
    <row r="1024" spans="8:9" x14ac:dyDescent="0.3">
      <c r="H1024" s="153" t="s">
        <v>2039</v>
      </c>
      <c r="I1024" s="153" t="s">
        <v>2802</v>
      </c>
    </row>
    <row r="1025" spans="8:9" x14ac:dyDescent="0.3">
      <c r="H1025" s="153" t="s">
        <v>2037</v>
      </c>
      <c r="I1025" s="153" t="s">
        <v>2802</v>
      </c>
    </row>
    <row r="1026" spans="8:9" x14ac:dyDescent="0.3">
      <c r="H1026" s="153" t="s">
        <v>2041</v>
      </c>
      <c r="I1026" s="153" t="s">
        <v>2802</v>
      </c>
    </row>
    <row r="1027" spans="8:9" x14ac:dyDescent="0.3">
      <c r="H1027" s="153" t="s">
        <v>2043</v>
      </c>
      <c r="I1027" s="153" t="s">
        <v>2802</v>
      </c>
    </row>
    <row r="1028" spans="8:9" x14ac:dyDescent="0.3">
      <c r="H1028" s="153" t="s">
        <v>2055</v>
      </c>
      <c r="I1028" s="153" t="s">
        <v>2802</v>
      </c>
    </row>
    <row r="1029" spans="8:9" x14ac:dyDescent="0.3">
      <c r="H1029" s="153" t="s">
        <v>2039</v>
      </c>
      <c r="I1029" s="153" t="s">
        <v>2802</v>
      </c>
    </row>
    <row r="1030" spans="8:9" x14ac:dyDescent="0.3">
      <c r="H1030" s="153" t="s">
        <v>2041</v>
      </c>
      <c r="I1030" s="153" t="s">
        <v>2802</v>
      </c>
    </row>
    <row r="1031" spans="8:9" x14ac:dyDescent="0.3">
      <c r="H1031" s="153" t="s">
        <v>2043</v>
      </c>
      <c r="I1031" s="153" t="s">
        <v>2802</v>
      </c>
    </row>
    <row r="1032" spans="8:9" x14ac:dyDescent="0.3">
      <c r="H1032" s="153" t="s">
        <v>2032</v>
      </c>
      <c r="I1032" s="153" t="s">
        <v>2802</v>
      </c>
    </row>
    <row r="1033" spans="8:9" x14ac:dyDescent="0.3">
      <c r="H1033" s="153" t="s">
        <v>2037</v>
      </c>
      <c r="I1033" s="153" t="s">
        <v>2802</v>
      </c>
    </row>
    <row r="1034" spans="8:9" x14ac:dyDescent="0.3">
      <c r="H1034" s="153" t="s">
        <v>2039</v>
      </c>
      <c r="I1034" s="153" t="s">
        <v>2802</v>
      </c>
    </row>
    <row r="1035" spans="8:9" x14ac:dyDescent="0.3">
      <c r="H1035" s="153" t="s">
        <v>2039</v>
      </c>
      <c r="I1035" s="153" t="s">
        <v>2802</v>
      </c>
    </row>
    <row r="1036" spans="8:9" x14ac:dyDescent="0.3">
      <c r="H1036" s="153" t="s">
        <v>2039</v>
      </c>
      <c r="I1036" s="153" t="s">
        <v>2802</v>
      </c>
    </row>
    <row r="1037" spans="8:9" x14ac:dyDescent="0.3">
      <c r="H1037" s="153" t="s">
        <v>2039</v>
      </c>
      <c r="I1037" s="153" t="s">
        <v>2802</v>
      </c>
    </row>
    <row r="1038" spans="8:9" x14ac:dyDescent="0.3">
      <c r="H1038" s="153" t="s">
        <v>2049</v>
      </c>
      <c r="I1038" s="153" t="s">
        <v>2024</v>
      </c>
    </row>
    <row r="1039" spans="8:9" x14ac:dyDescent="0.3">
      <c r="H1039" s="153" t="s">
        <v>2039</v>
      </c>
      <c r="I1039" s="153" t="s">
        <v>2802</v>
      </c>
    </row>
    <row r="1040" spans="8:9" x14ac:dyDescent="0.3">
      <c r="H1040" s="153" t="s">
        <v>2037</v>
      </c>
      <c r="I1040" s="153" t="s">
        <v>2802</v>
      </c>
    </row>
    <row r="1041" spans="8:9" x14ac:dyDescent="0.3">
      <c r="H1041" s="153" t="s">
        <v>2038</v>
      </c>
      <c r="I1041" s="153" t="s">
        <v>2802</v>
      </c>
    </row>
    <row r="1042" spans="8:9" x14ac:dyDescent="0.3">
      <c r="H1042" s="153" t="s">
        <v>2037</v>
      </c>
      <c r="I1042" s="153" t="s">
        <v>2802</v>
      </c>
    </row>
    <row r="1043" spans="8:9" x14ac:dyDescent="0.3">
      <c r="H1043" s="153" t="s">
        <v>2049</v>
      </c>
      <c r="I1043" s="153" t="s">
        <v>2024</v>
      </c>
    </row>
    <row r="1044" spans="8:9" x14ac:dyDescent="0.3">
      <c r="H1044" s="153" t="s">
        <v>2037</v>
      </c>
      <c r="I1044" s="153" t="s">
        <v>2802</v>
      </c>
    </row>
    <row r="1045" spans="8:9" x14ac:dyDescent="0.3">
      <c r="H1045" s="153" t="s">
        <v>2028</v>
      </c>
      <c r="I1045" s="153" t="s">
        <v>2023</v>
      </c>
    </row>
    <row r="1046" spans="8:9" x14ac:dyDescent="0.3">
      <c r="H1046" s="153" t="s">
        <v>2037</v>
      </c>
      <c r="I1046" s="153" t="s">
        <v>2802</v>
      </c>
    </row>
    <row r="1047" spans="8:9" x14ac:dyDescent="0.3">
      <c r="H1047" s="153" t="s">
        <v>2028</v>
      </c>
      <c r="I1047" s="153" t="s">
        <v>2023</v>
      </c>
    </row>
    <row r="1048" spans="8:9" x14ac:dyDescent="0.3">
      <c r="H1048" s="153" t="s">
        <v>2049</v>
      </c>
      <c r="I1048" s="153" t="s">
        <v>2024</v>
      </c>
    </row>
    <row r="1049" spans="8:9" x14ac:dyDescent="0.3">
      <c r="H1049" s="153" t="s">
        <v>2049</v>
      </c>
      <c r="I1049" s="153" t="s">
        <v>2024</v>
      </c>
    </row>
    <row r="1050" spans="8:9" x14ac:dyDescent="0.3">
      <c r="H1050" s="153" t="s">
        <v>2049</v>
      </c>
      <c r="I1050" s="153" t="s">
        <v>2024</v>
      </c>
    </row>
    <row r="1051" spans="8:9" x14ac:dyDescent="0.3">
      <c r="H1051" s="153" t="s">
        <v>2049</v>
      </c>
      <c r="I1051" s="153" t="s">
        <v>2024</v>
      </c>
    </row>
    <row r="1052" spans="8:9" x14ac:dyDescent="0.3">
      <c r="H1052" s="153" t="s">
        <v>2049</v>
      </c>
      <c r="I1052" s="153" t="s">
        <v>2024</v>
      </c>
    </row>
    <row r="1053" spans="8:9" x14ac:dyDescent="0.3">
      <c r="H1053" s="153" t="s">
        <v>2053</v>
      </c>
      <c r="I1053" s="153" t="s">
        <v>2024</v>
      </c>
    </row>
    <row r="1054" spans="8:9" x14ac:dyDescent="0.3">
      <c r="H1054" s="153" t="s">
        <v>2053</v>
      </c>
      <c r="I1054" s="153" t="s">
        <v>2024</v>
      </c>
    </row>
    <row r="1055" spans="8:9" x14ac:dyDescent="0.3">
      <c r="H1055" s="153" t="s">
        <v>2053</v>
      </c>
      <c r="I1055" s="153" t="s">
        <v>2024</v>
      </c>
    </row>
    <row r="1056" spans="8:9" x14ac:dyDescent="0.3">
      <c r="H1056" s="153" t="s">
        <v>2053</v>
      </c>
      <c r="I1056" s="153" t="s">
        <v>2024</v>
      </c>
    </row>
    <row r="1057" spans="8:9" x14ac:dyDescent="0.3">
      <c r="H1057" s="153" t="s">
        <v>2030</v>
      </c>
      <c r="I1057" s="153" t="s">
        <v>2802</v>
      </c>
    </row>
    <row r="1058" spans="8:9" x14ac:dyDescent="0.3">
      <c r="H1058" s="153" t="s">
        <v>2062</v>
      </c>
      <c r="I1058" s="153" t="s">
        <v>2023</v>
      </c>
    </row>
    <row r="1059" spans="8:9" x14ac:dyDescent="0.3">
      <c r="H1059" s="153" t="s">
        <v>2067</v>
      </c>
      <c r="I1059" s="153" t="s">
        <v>2024</v>
      </c>
    </row>
    <row r="1060" spans="8:9" x14ac:dyDescent="0.3">
      <c r="H1060" s="153" t="s">
        <v>2035</v>
      </c>
      <c r="I1060" s="153" t="s">
        <v>2802</v>
      </c>
    </row>
    <row r="1061" spans="8:9" x14ac:dyDescent="0.3">
      <c r="H1061" s="153" t="s">
        <v>2049</v>
      </c>
      <c r="I1061" s="153" t="s">
        <v>2024</v>
      </c>
    </row>
    <row r="1062" spans="8:9" x14ac:dyDescent="0.3">
      <c r="H1062" s="153" t="s">
        <v>2037</v>
      </c>
      <c r="I1062" s="153" t="s">
        <v>2802</v>
      </c>
    </row>
    <row r="1063" spans="8:9" x14ac:dyDescent="0.3">
      <c r="H1063" s="153" t="s">
        <v>2039</v>
      </c>
      <c r="I1063" s="153" t="s">
        <v>2802</v>
      </c>
    </row>
    <row r="1064" spans="8:9" x14ac:dyDescent="0.3">
      <c r="H1064" s="153" t="s">
        <v>2037</v>
      </c>
      <c r="I1064" s="153" t="s">
        <v>2802</v>
      </c>
    </row>
    <row r="1065" spans="8:9" x14ac:dyDescent="0.3">
      <c r="H1065" s="153" t="s">
        <v>2039</v>
      </c>
      <c r="I1065" s="153" t="s">
        <v>2802</v>
      </c>
    </row>
    <row r="1066" spans="8:9" x14ac:dyDescent="0.3">
      <c r="H1066" s="153" t="s">
        <v>2028</v>
      </c>
      <c r="I1066" s="153" t="s">
        <v>2023</v>
      </c>
    </row>
    <row r="1067" spans="8:9" x14ac:dyDescent="0.3">
      <c r="H1067" s="153" t="s">
        <v>2032</v>
      </c>
      <c r="I1067" s="153" t="s">
        <v>2802</v>
      </c>
    </row>
    <row r="1068" spans="8:9" x14ac:dyDescent="0.3">
      <c r="H1068" s="153" t="s">
        <v>2037</v>
      </c>
      <c r="I1068" s="153" t="s">
        <v>2802</v>
      </c>
    </row>
    <row r="1069" spans="8:9" x14ac:dyDescent="0.3">
      <c r="H1069" s="153" t="s">
        <v>2028</v>
      </c>
      <c r="I1069" s="153" t="s">
        <v>2023</v>
      </c>
    </row>
    <row r="1070" spans="8:9" x14ac:dyDescent="0.3">
      <c r="H1070" s="153" t="s">
        <v>2037</v>
      </c>
      <c r="I1070" s="153" t="s">
        <v>2802</v>
      </c>
    </row>
    <row r="1071" spans="8:9" x14ac:dyDescent="0.3">
      <c r="H1071" s="153" t="s">
        <v>2032</v>
      </c>
      <c r="I1071" s="153" t="s">
        <v>2802</v>
      </c>
    </row>
    <row r="1072" spans="8:9" x14ac:dyDescent="0.3">
      <c r="H1072" s="153" t="s">
        <v>2055</v>
      </c>
      <c r="I1072" s="153" t="s">
        <v>2802</v>
      </c>
    </row>
    <row r="1073" spans="8:9" x14ac:dyDescent="0.3">
      <c r="H1073" s="153" t="s">
        <v>2037</v>
      </c>
      <c r="I1073" s="153" t="s">
        <v>2802</v>
      </c>
    </row>
    <row r="1074" spans="8:9" x14ac:dyDescent="0.3">
      <c r="H1074" s="153" t="s">
        <v>2026</v>
      </c>
      <c r="I1074" s="153" t="s">
        <v>2802</v>
      </c>
    </row>
    <row r="1075" spans="8:9" x14ac:dyDescent="0.3">
      <c r="H1075" s="153" t="s">
        <v>2059</v>
      </c>
      <c r="I1075" s="153" t="s">
        <v>2024</v>
      </c>
    </row>
    <row r="1076" spans="8:9" x14ac:dyDescent="0.3">
      <c r="H1076" s="153" t="s">
        <v>2037</v>
      </c>
      <c r="I1076" s="153" t="s">
        <v>2802</v>
      </c>
    </row>
    <row r="1077" spans="8:9" x14ac:dyDescent="0.3">
      <c r="H1077" s="153" t="s">
        <v>2028</v>
      </c>
      <c r="I1077" s="153" t="s">
        <v>2023</v>
      </c>
    </row>
    <row r="1078" spans="8:9" x14ac:dyDescent="0.3">
      <c r="H1078" s="153" t="s">
        <v>2949</v>
      </c>
      <c r="I1078" s="153" t="s">
        <v>2859</v>
      </c>
    </row>
    <row r="1079" spans="8:9" x14ac:dyDescent="0.3">
      <c r="H1079" s="153" t="s">
        <v>2028</v>
      </c>
      <c r="I1079" s="153" t="s">
        <v>2023</v>
      </c>
    </row>
    <row r="1080" spans="8:9" x14ac:dyDescent="0.3">
      <c r="H1080" s="153" t="s">
        <v>2041</v>
      </c>
      <c r="I1080" s="153" t="s">
        <v>2802</v>
      </c>
    </row>
    <row r="1081" spans="8:9" x14ac:dyDescent="0.3">
      <c r="H1081" s="153" t="s">
        <v>2028</v>
      </c>
      <c r="I1081" s="153" t="s">
        <v>2023</v>
      </c>
    </row>
    <row r="1082" spans="8:9" x14ac:dyDescent="0.3">
      <c r="H1082" s="153" t="s">
        <v>2950</v>
      </c>
      <c r="I1082" s="153" t="s">
        <v>2859</v>
      </c>
    </row>
    <row r="1083" spans="8:9" x14ac:dyDescent="0.3">
      <c r="H1083" s="153" t="s">
        <v>2951</v>
      </c>
      <c r="I1083" s="153" t="s">
        <v>2859</v>
      </c>
    </row>
    <row r="1084" spans="8:9" x14ac:dyDescent="0.3">
      <c r="H1084" s="153" t="s">
        <v>2041</v>
      </c>
      <c r="I1084" s="153" t="s">
        <v>2802</v>
      </c>
    </row>
    <row r="1085" spans="8:9" x14ac:dyDescent="0.3">
      <c r="H1085" s="153" t="s">
        <v>2028</v>
      </c>
      <c r="I1085" s="153" t="s">
        <v>2023</v>
      </c>
    </row>
    <row r="1086" spans="8:9" x14ac:dyDescent="0.3">
      <c r="H1086" s="153" t="s">
        <v>2028</v>
      </c>
      <c r="I1086" s="153" t="s">
        <v>2023</v>
      </c>
    </row>
    <row r="1087" spans="8:9" x14ac:dyDescent="0.3">
      <c r="H1087" s="153" t="s">
        <v>2039</v>
      </c>
      <c r="I1087" s="153" t="s">
        <v>2802</v>
      </c>
    </row>
    <row r="1088" spans="8:9" x14ac:dyDescent="0.3">
      <c r="H1088" s="153" t="s">
        <v>2037</v>
      </c>
      <c r="I1088" s="153" t="s">
        <v>2802</v>
      </c>
    </row>
    <row r="1089" spans="8:9" x14ac:dyDescent="0.3">
      <c r="H1089" s="153" t="s">
        <v>2037</v>
      </c>
      <c r="I1089" s="153" t="s">
        <v>2802</v>
      </c>
    </row>
    <row r="1090" spans="8:9" x14ac:dyDescent="0.3">
      <c r="H1090" s="153" t="s">
        <v>2058</v>
      </c>
      <c r="I1090" s="153" t="s">
        <v>2802</v>
      </c>
    </row>
    <row r="1091" spans="8:9" x14ac:dyDescent="0.3">
      <c r="H1091" s="153" t="s">
        <v>2058</v>
      </c>
      <c r="I1091" s="153" t="s">
        <v>2802</v>
      </c>
    </row>
    <row r="1092" spans="8:9" x14ac:dyDescent="0.3">
      <c r="H1092" s="153" t="s">
        <v>2058</v>
      </c>
      <c r="I1092" s="153" t="s">
        <v>2802</v>
      </c>
    </row>
    <row r="1093" spans="8:9" x14ac:dyDescent="0.3">
      <c r="H1093" s="153" t="s">
        <v>2028</v>
      </c>
      <c r="I1093" s="153" t="s">
        <v>2023</v>
      </c>
    </row>
    <row r="1094" spans="8:9" x14ac:dyDescent="0.3">
      <c r="H1094" s="153" t="s">
        <v>2039</v>
      </c>
      <c r="I1094" s="153" t="s">
        <v>2802</v>
      </c>
    </row>
    <row r="1095" spans="8:9" x14ac:dyDescent="0.3">
      <c r="H1095" s="153" t="s">
        <v>2039</v>
      </c>
      <c r="I1095" s="153" t="s">
        <v>2802</v>
      </c>
    </row>
    <row r="1096" spans="8:9" x14ac:dyDescent="0.3">
      <c r="H1096" s="153" t="s">
        <v>2039</v>
      </c>
      <c r="I1096" s="153" t="s">
        <v>2802</v>
      </c>
    </row>
    <row r="1097" spans="8:9" x14ac:dyDescent="0.3">
      <c r="H1097" s="153" t="s">
        <v>2039</v>
      </c>
      <c r="I1097" s="153" t="s">
        <v>2802</v>
      </c>
    </row>
    <row r="1098" spans="8:9" x14ac:dyDescent="0.3">
      <c r="H1098" s="153" t="s">
        <v>2039</v>
      </c>
      <c r="I1098" s="153" t="s">
        <v>2802</v>
      </c>
    </row>
    <row r="1099" spans="8:9" x14ac:dyDescent="0.3">
      <c r="H1099" s="153" t="s">
        <v>2039</v>
      </c>
      <c r="I1099" s="153" t="s">
        <v>2802</v>
      </c>
    </row>
    <row r="1100" spans="8:9" x14ac:dyDescent="0.3">
      <c r="H1100" s="153" t="s">
        <v>2039</v>
      </c>
      <c r="I1100" s="153" t="s">
        <v>2802</v>
      </c>
    </row>
    <row r="1101" spans="8:9" x14ac:dyDescent="0.3">
      <c r="H1101" s="153" t="s">
        <v>2039</v>
      </c>
      <c r="I1101" s="153" t="s">
        <v>2802</v>
      </c>
    </row>
    <row r="1102" spans="8:9" x14ac:dyDescent="0.3">
      <c r="H1102" s="153" t="s">
        <v>2039</v>
      </c>
      <c r="I1102" s="153" t="s">
        <v>2802</v>
      </c>
    </row>
    <row r="1103" spans="8:9" x14ac:dyDescent="0.3">
      <c r="H1103" s="153" t="s">
        <v>2039</v>
      </c>
      <c r="I1103" s="153" t="s">
        <v>2802</v>
      </c>
    </row>
    <row r="1104" spans="8:9" x14ac:dyDescent="0.3">
      <c r="H1104" s="153" t="s">
        <v>2039</v>
      </c>
      <c r="I1104" s="153" t="s">
        <v>2802</v>
      </c>
    </row>
    <row r="1105" spans="8:9" x14ac:dyDescent="0.3">
      <c r="H1105" s="153" t="s">
        <v>2039</v>
      </c>
      <c r="I1105" s="153" t="s">
        <v>2802</v>
      </c>
    </row>
    <row r="1106" spans="8:9" x14ac:dyDescent="0.3">
      <c r="H1106" s="153" t="s">
        <v>2039</v>
      </c>
      <c r="I1106" s="153" t="s">
        <v>2802</v>
      </c>
    </row>
    <row r="1107" spans="8:9" x14ac:dyDescent="0.3">
      <c r="H1107" s="153" t="s">
        <v>2039</v>
      </c>
      <c r="I1107" s="153" t="s">
        <v>2802</v>
      </c>
    </row>
    <row r="1108" spans="8:9" x14ac:dyDescent="0.3">
      <c r="H1108" s="153" t="s">
        <v>2039</v>
      </c>
      <c r="I1108" s="153" t="s">
        <v>2802</v>
      </c>
    </row>
    <row r="1109" spans="8:9" x14ac:dyDescent="0.3">
      <c r="H1109" s="153" t="s">
        <v>2039</v>
      </c>
      <c r="I1109" s="153" t="s">
        <v>2802</v>
      </c>
    </row>
    <row r="1110" spans="8:9" x14ac:dyDescent="0.3">
      <c r="H1110" s="153" t="s">
        <v>2039</v>
      </c>
      <c r="I1110" s="153" t="s">
        <v>2802</v>
      </c>
    </row>
    <row r="1111" spans="8:9" x14ac:dyDescent="0.3">
      <c r="H1111" s="153" t="s">
        <v>2039</v>
      </c>
      <c r="I1111" s="153" t="s">
        <v>2802</v>
      </c>
    </row>
    <row r="1112" spans="8:9" x14ac:dyDescent="0.3">
      <c r="H1112" s="153" t="s">
        <v>2039</v>
      </c>
      <c r="I1112" s="153" t="s">
        <v>2802</v>
      </c>
    </row>
    <row r="1113" spans="8:9" x14ac:dyDescent="0.3">
      <c r="H1113" s="153" t="s">
        <v>2039</v>
      </c>
      <c r="I1113" s="153" t="s">
        <v>2802</v>
      </c>
    </row>
    <row r="1114" spans="8:9" x14ac:dyDescent="0.3">
      <c r="H1114" s="153" t="s">
        <v>2039</v>
      </c>
      <c r="I1114" s="153" t="s">
        <v>2802</v>
      </c>
    </row>
    <row r="1115" spans="8:9" x14ac:dyDescent="0.3">
      <c r="H1115" s="153" t="s">
        <v>2039</v>
      </c>
      <c r="I1115" s="153" t="s">
        <v>2802</v>
      </c>
    </row>
    <row r="1116" spans="8:9" x14ac:dyDescent="0.3">
      <c r="H1116" s="153" t="s">
        <v>2039</v>
      </c>
      <c r="I1116" s="153" t="s">
        <v>2802</v>
      </c>
    </row>
    <row r="1117" spans="8:9" x14ac:dyDescent="0.3">
      <c r="H1117" s="153" t="s">
        <v>2039</v>
      </c>
      <c r="I1117" s="153" t="s">
        <v>2802</v>
      </c>
    </row>
    <row r="1118" spans="8:9" x14ac:dyDescent="0.3">
      <c r="H1118" s="153" t="s">
        <v>2039</v>
      </c>
      <c r="I1118" s="153" t="s">
        <v>2802</v>
      </c>
    </row>
    <row r="1119" spans="8:9" x14ac:dyDescent="0.3">
      <c r="H1119" s="153" t="s">
        <v>2039</v>
      </c>
      <c r="I1119" s="153" t="s">
        <v>2802</v>
      </c>
    </row>
    <row r="1120" spans="8:9" x14ac:dyDescent="0.3">
      <c r="H1120" s="153" t="s">
        <v>2028</v>
      </c>
      <c r="I1120" s="153" t="s">
        <v>2023</v>
      </c>
    </row>
    <row r="1121" spans="8:9" x14ac:dyDescent="0.3">
      <c r="H1121" s="153" t="s">
        <v>2028</v>
      </c>
      <c r="I1121" s="153" t="s">
        <v>2023</v>
      </c>
    </row>
    <row r="1122" spans="8:9" x14ac:dyDescent="0.3">
      <c r="H1122" s="153" t="s">
        <v>2028</v>
      </c>
      <c r="I1122" s="153" t="s">
        <v>2023</v>
      </c>
    </row>
    <row r="1123" spans="8:9" x14ac:dyDescent="0.3">
      <c r="H1123" s="153" t="s">
        <v>2061</v>
      </c>
      <c r="I1123" s="153" t="s">
        <v>2802</v>
      </c>
    </row>
    <row r="1124" spans="8:9" x14ac:dyDescent="0.3">
      <c r="H1124" s="153" t="s">
        <v>2037</v>
      </c>
      <c r="I1124" s="153" t="s">
        <v>2802</v>
      </c>
    </row>
    <row r="1125" spans="8:9" x14ac:dyDescent="0.3">
      <c r="H1125" s="153" t="s">
        <v>2032</v>
      </c>
      <c r="I1125" s="153" t="s">
        <v>2802</v>
      </c>
    </row>
    <row r="1126" spans="8:9" x14ac:dyDescent="0.3">
      <c r="H1126" s="153" t="s">
        <v>2032</v>
      </c>
      <c r="I1126" s="153" t="s">
        <v>2802</v>
      </c>
    </row>
    <row r="1127" spans="8:9" x14ac:dyDescent="0.3">
      <c r="H1127" s="153" t="s">
        <v>2032</v>
      </c>
      <c r="I1127" s="153" t="s">
        <v>2802</v>
      </c>
    </row>
    <row r="1128" spans="8:9" x14ac:dyDescent="0.3">
      <c r="H1128" s="153" t="s">
        <v>2039</v>
      </c>
      <c r="I1128" s="153" t="s">
        <v>2802</v>
      </c>
    </row>
    <row r="1129" spans="8:9" x14ac:dyDescent="0.3">
      <c r="H1129" s="153" t="s">
        <v>2039</v>
      </c>
      <c r="I1129" s="153" t="s">
        <v>2802</v>
      </c>
    </row>
    <row r="1130" spans="8:9" x14ac:dyDescent="0.3">
      <c r="H1130" s="153" t="s">
        <v>2041</v>
      </c>
      <c r="I1130" s="153" t="s">
        <v>2802</v>
      </c>
    </row>
    <row r="1131" spans="8:9" x14ac:dyDescent="0.3">
      <c r="H1131" s="153" t="s">
        <v>2039</v>
      </c>
      <c r="I1131" s="153" t="s">
        <v>2802</v>
      </c>
    </row>
    <row r="1132" spans="8:9" x14ac:dyDescent="0.3">
      <c r="H1132" s="153" t="s">
        <v>2028</v>
      </c>
      <c r="I1132" s="153" t="s">
        <v>2023</v>
      </c>
    </row>
    <row r="1133" spans="8:9" x14ac:dyDescent="0.3">
      <c r="H1133" s="153" t="s">
        <v>2028</v>
      </c>
      <c r="I1133" s="153" t="s">
        <v>2023</v>
      </c>
    </row>
    <row r="1134" spans="8:9" x14ac:dyDescent="0.3">
      <c r="H1134" s="153" t="s">
        <v>2028</v>
      </c>
      <c r="I1134" s="153" t="s">
        <v>2023</v>
      </c>
    </row>
    <row r="1135" spans="8:9" x14ac:dyDescent="0.3">
      <c r="H1135" s="153" t="s">
        <v>2028</v>
      </c>
      <c r="I1135" s="153" t="s">
        <v>2023</v>
      </c>
    </row>
    <row r="1136" spans="8:9" x14ac:dyDescent="0.3">
      <c r="H1136" s="153" t="s">
        <v>2028</v>
      </c>
      <c r="I1136" s="153" t="s">
        <v>2023</v>
      </c>
    </row>
    <row r="1137" spans="8:9" x14ac:dyDescent="0.3">
      <c r="H1137" s="153" t="s">
        <v>2028</v>
      </c>
      <c r="I1137" s="153" t="s">
        <v>2023</v>
      </c>
    </row>
    <row r="1138" spans="8:9" x14ac:dyDescent="0.3">
      <c r="H1138" s="153" t="s">
        <v>2028</v>
      </c>
      <c r="I1138" s="153" t="s">
        <v>2023</v>
      </c>
    </row>
    <row r="1139" spans="8:9" x14ac:dyDescent="0.3">
      <c r="H1139" s="153" t="s">
        <v>2065</v>
      </c>
      <c r="I1139" s="153" t="s">
        <v>2859</v>
      </c>
    </row>
    <row r="1140" spans="8:9" x14ac:dyDescent="0.3">
      <c r="H1140" s="153" t="s">
        <v>2065</v>
      </c>
      <c r="I1140" s="153" t="s">
        <v>2859</v>
      </c>
    </row>
    <row r="1141" spans="8:9" x14ac:dyDescent="0.3">
      <c r="H1141" s="153" t="s">
        <v>2065</v>
      </c>
      <c r="I1141" s="153" t="s">
        <v>2859</v>
      </c>
    </row>
    <row r="1142" spans="8:9" x14ac:dyDescent="0.3">
      <c r="H1142" s="153" t="s">
        <v>2065</v>
      </c>
      <c r="I1142" s="153" t="s">
        <v>2859</v>
      </c>
    </row>
    <row r="1143" spans="8:9" x14ac:dyDescent="0.3">
      <c r="H1143" s="153" t="s">
        <v>2065</v>
      </c>
      <c r="I1143" s="153" t="s">
        <v>2859</v>
      </c>
    </row>
    <row r="1144" spans="8:9" x14ac:dyDescent="0.3">
      <c r="H1144" s="153" t="s">
        <v>2065</v>
      </c>
      <c r="I1144" s="153" t="s">
        <v>2859</v>
      </c>
    </row>
    <row r="1145" spans="8:9" x14ac:dyDescent="0.3">
      <c r="H1145" s="153" t="s">
        <v>2028</v>
      </c>
      <c r="I1145" s="153" t="s">
        <v>2023</v>
      </c>
    </row>
    <row r="1146" spans="8:9" x14ac:dyDescent="0.3">
      <c r="H1146" s="153" t="s">
        <v>2044</v>
      </c>
      <c r="I1146" s="153" t="s">
        <v>2802</v>
      </c>
    </row>
    <row r="1147" spans="8:9" x14ac:dyDescent="0.3">
      <c r="H1147" s="153" t="s">
        <v>2066</v>
      </c>
      <c r="I1147" s="153" t="s">
        <v>2859</v>
      </c>
    </row>
    <row r="1148" spans="8:9" x14ac:dyDescent="0.3">
      <c r="H1148" s="153" t="s">
        <v>2066</v>
      </c>
      <c r="I1148" s="153" t="s">
        <v>2859</v>
      </c>
    </row>
    <row r="1149" spans="8:9" x14ac:dyDescent="0.3">
      <c r="H1149" s="153" t="s">
        <v>2066</v>
      </c>
      <c r="I1149" s="153" t="s">
        <v>2859</v>
      </c>
    </row>
    <row r="1150" spans="8:9" x14ac:dyDescent="0.3">
      <c r="H1150" s="153" t="s">
        <v>2946</v>
      </c>
      <c r="I1150" s="153" t="s">
        <v>2802</v>
      </c>
    </row>
    <row r="1151" spans="8:9" x14ac:dyDescent="0.3">
      <c r="H1151" s="153" t="s">
        <v>2058</v>
      </c>
      <c r="I1151" s="153" t="s">
        <v>2802</v>
      </c>
    </row>
    <row r="1152" spans="8:9" x14ac:dyDescent="0.3">
      <c r="H1152" s="153" t="s">
        <v>2039</v>
      </c>
      <c r="I1152" s="153" t="s">
        <v>2802</v>
      </c>
    </row>
    <row r="1153" spans="8:9" x14ac:dyDescent="0.3">
      <c r="H1153" s="153" t="s">
        <v>2039</v>
      </c>
      <c r="I1153" s="153" t="s">
        <v>2802</v>
      </c>
    </row>
    <row r="1154" spans="8:9" x14ac:dyDescent="0.3">
      <c r="H1154" s="153" t="s">
        <v>2028</v>
      </c>
      <c r="I1154" s="153" t="s">
        <v>2023</v>
      </c>
    </row>
    <row r="1155" spans="8:9" x14ac:dyDescent="0.3">
      <c r="H1155" s="153" t="s">
        <v>2043</v>
      </c>
      <c r="I1155" s="153" t="s">
        <v>2802</v>
      </c>
    </row>
    <row r="1156" spans="8:9" x14ac:dyDescent="0.3">
      <c r="H1156" s="153" t="s">
        <v>2946</v>
      </c>
      <c r="I1156" s="153" t="s">
        <v>2802</v>
      </c>
    </row>
    <row r="1157" spans="8:9" x14ac:dyDescent="0.3">
      <c r="H1157" s="153" t="s">
        <v>2037</v>
      </c>
      <c r="I1157" s="153" t="s">
        <v>2802</v>
      </c>
    </row>
    <row r="1158" spans="8:9" x14ac:dyDescent="0.3">
      <c r="H1158" s="153" t="s">
        <v>2041</v>
      </c>
      <c r="I1158" s="153" t="s">
        <v>2802</v>
      </c>
    </row>
    <row r="1159" spans="8:9" x14ac:dyDescent="0.3">
      <c r="H1159" s="153" t="s">
        <v>2043</v>
      </c>
      <c r="I1159" s="153" t="s">
        <v>2802</v>
      </c>
    </row>
    <row r="1160" spans="8:9" x14ac:dyDescent="0.3">
      <c r="H1160" s="153" t="s">
        <v>2048</v>
      </c>
      <c r="I1160" s="153" t="s">
        <v>2802</v>
      </c>
    </row>
    <row r="1161" spans="8:9" x14ac:dyDescent="0.3">
      <c r="H1161" s="153" t="s">
        <v>2039</v>
      </c>
      <c r="I1161" s="153" t="s">
        <v>2802</v>
      </c>
    </row>
    <row r="1162" spans="8:9" x14ac:dyDescent="0.3">
      <c r="H1162" s="153" t="s">
        <v>2041</v>
      </c>
      <c r="I1162" s="153" t="s">
        <v>2802</v>
      </c>
    </row>
    <row r="1163" spans="8:9" x14ac:dyDescent="0.3">
      <c r="H1163" s="153" t="s">
        <v>2041</v>
      </c>
      <c r="I1163" s="153" t="s">
        <v>2802</v>
      </c>
    </row>
    <row r="1164" spans="8:9" x14ac:dyDescent="0.3">
      <c r="H1164" s="153" t="s">
        <v>2062</v>
      </c>
      <c r="I1164" s="153" t="s">
        <v>2023</v>
      </c>
    </row>
    <row r="1165" spans="8:9" x14ac:dyDescent="0.3">
      <c r="H1165" s="153" t="s">
        <v>2028</v>
      </c>
      <c r="I1165" s="153" t="s">
        <v>2023</v>
      </c>
    </row>
    <row r="1166" spans="8:9" x14ac:dyDescent="0.3">
      <c r="H1166" s="153" t="s">
        <v>2028</v>
      </c>
      <c r="I1166" s="153" t="s">
        <v>2023</v>
      </c>
    </row>
    <row r="1167" spans="8:9" x14ac:dyDescent="0.3">
      <c r="H1167" s="153" t="s">
        <v>2028</v>
      </c>
      <c r="I1167" s="153" t="s">
        <v>2023</v>
      </c>
    </row>
    <row r="1168" spans="8:9" x14ac:dyDescent="0.3">
      <c r="H1168" s="153" t="s">
        <v>2028</v>
      </c>
      <c r="I1168" s="153" t="s">
        <v>2023</v>
      </c>
    </row>
    <row r="1169" spans="8:9" x14ac:dyDescent="0.3">
      <c r="H1169" s="153" t="s">
        <v>2037</v>
      </c>
      <c r="I1169" s="153" t="s">
        <v>2802</v>
      </c>
    </row>
    <row r="1170" spans="8:9" x14ac:dyDescent="0.3">
      <c r="H1170" s="153" t="s">
        <v>2039</v>
      </c>
      <c r="I1170" s="153" t="s">
        <v>2802</v>
      </c>
    </row>
    <row r="1171" spans="8:9" x14ac:dyDescent="0.3">
      <c r="H1171" s="153" t="s">
        <v>2039</v>
      </c>
      <c r="I1171" s="153" t="s">
        <v>2802</v>
      </c>
    </row>
    <row r="1172" spans="8:9" x14ac:dyDescent="0.3">
      <c r="H1172" s="153" t="s">
        <v>2039</v>
      </c>
      <c r="I1172" s="153" t="s">
        <v>2802</v>
      </c>
    </row>
    <row r="1173" spans="8:9" x14ac:dyDescent="0.3">
      <c r="H1173" s="153" t="s">
        <v>2945</v>
      </c>
      <c r="I1173" s="153" t="s">
        <v>2859</v>
      </c>
    </row>
    <row r="1174" spans="8:9" x14ac:dyDescent="0.3">
      <c r="H1174" s="153" t="s">
        <v>2039</v>
      </c>
      <c r="I1174" s="153" t="s">
        <v>2802</v>
      </c>
    </row>
    <row r="1175" spans="8:9" x14ac:dyDescent="0.3">
      <c r="H1175" s="153" t="s">
        <v>2037</v>
      </c>
      <c r="I1175" s="153" t="s">
        <v>2802</v>
      </c>
    </row>
    <row r="1176" spans="8:9" x14ac:dyDescent="0.3">
      <c r="H1176" s="153" t="s">
        <v>2037</v>
      </c>
      <c r="I1176" s="153" t="s">
        <v>2802</v>
      </c>
    </row>
    <row r="1177" spans="8:9" x14ac:dyDescent="0.3">
      <c r="H1177" s="153" t="s">
        <v>2039</v>
      </c>
      <c r="I1177" s="153" t="s">
        <v>2802</v>
      </c>
    </row>
    <row r="1178" spans="8:9" x14ac:dyDescent="0.3">
      <c r="H1178" s="153" t="s">
        <v>2039</v>
      </c>
      <c r="I1178" s="153" t="s">
        <v>2802</v>
      </c>
    </row>
    <row r="1179" spans="8:9" x14ac:dyDescent="0.3">
      <c r="H1179" s="153" t="s">
        <v>2041</v>
      </c>
      <c r="I1179" s="153" t="s">
        <v>2802</v>
      </c>
    </row>
    <row r="1180" spans="8:9" x14ac:dyDescent="0.3">
      <c r="H1180" s="153" t="s">
        <v>2032</v>
      </c>
      <c r="I1180" s="153" t="s">
        <v>2802</v>
      </c>
    </row>
    <row r="1181" spans="8:9" x14ac:dyDescent="0.3">
      <c r="H1181" s="153" t="s">
        <v>2041</v>
      </c>
      <c r="I1181" s="153" t="s">
        <v>2802</v>
      </c>
    </row>
    <row r="1182" spans="8:9" x14ac:dyDescent="0.3">
      <c r="H1182" s="153" t="s">
        <v>2039</v>
      </c>
      <c r="I1182" s="153" t="s">
        <v>2802</v>
      </c>
    </row>
    <row r="1183" spans="8:9" x14ac:dyDescent="0.3">
      <c r="H1183" s="153" t="s">
        <v>2039</v>
      </c>
      <c r="I1183" s="153" t="s">
        <v>2802</v>
      </c>
    </row>
    <row r="1184" spans="8:9" x14ac:dyDescent="0.3">
      <c r="H1184" s="153" t="s">
        <v>2039</v>
      </c>
      <c r="I1184" s="153" t="s">
        <v>2802</v>
      </c>
    </row>
    <row r="1185" spans="8:9" x14ac:dyDescent="0.3">
      <c r="H1185" s="153" t="s">
        <v>2039</v>
      </c>
      <c r="I1185" s="153" t="s">
        <v>2802</v>
      </c>
    </row>
    <row r="1186" spans="8:9" x14ac:dyDescent="0.3">
      <c r="H1186" s="153" t="s">
        <v>2028</v>
      </c>
      <c r="I1186" s="153" t="s">
        <v>2023</v>
      </c>
    </row>
    <row r="1187" spans="8:9" x14ac:dyDescent="0.3">
      <c r="H1187" s="153" t="s">
        <v>2028</v>
      </c>
      <c r="I1187" s="153" t="s">
        <v>2023</v>
      </c>
    </row>
    <row r="1188" spans="8:9" x14ac:dyDescent="0.3">
      <c r="H1188" s="153" t="s">
        <v>2028</v>
      </c>
      <c r="I1188" s="153" t="s">
        <v>2023</v>
      </c>
    </row>
    <row r="1189" spans="8:9" x14ac:dyDescent="0.3">
      <c r="H1189" s="153" t="s">
        <v>2028</v>
      </c>
      <c r="I1189" s="153" t="s">
        <v>2023</v>
      </c>
    </row>
    <row r="1190" spans="8:9" x14ac:dyDescent="0.3">
      <c r="H1190" s="153" t="s">
        <v>2028</v>
      </c>
      <c r="I1190" s="153" t="s">
        <v>2023</v>
      </c>
    </row>
    <row r="1191" spans="8:9" x14ac:dyDescent="0.3">
      <c r="H1191" s="153" t="s">
        <v>2028</v>
      </c>
      <c r="I1191" s="153" t="s">
        <v>2023</v>
      </c>
    </row>
    <row r="1192" spans="8:9" x14ac:dyDescent="0.3">
      <c r="H1192" s="153" t="s">
        <v>2028</v>
      </c>
      <c r="I1192" s="153" t="s">
        <v>2023</v>
      </c>
    </row>
    <row r="1193" spans="8:9" x14ac:dyDescent="0.3">
      <c r="H1193" s="153" t="s">
        <v>2039</v>
      </c>
      <c r="I1193" s="153" t="s">
        <v>2802</v>
      </c>
    </row>
    <row r="1194" spans="8:9" x14ac:dyDescent="0.3">
      <c r="H1194" s="153" t="s">
        <v>2059</v>
      </c>
      <c r="I1194" s="153" t="s">
        <v>2024</v>
      </c>
    </row>
    <row r="1195" spans="8:9" x14ac:dyDescent="0.3">
      <c r="H1195" s="153" t="s">
        <v>2028</v>
      </c>
      <c r="I1195" s="153" t="s">
        <v>2023</v>
      </c>
    </row>
    <row r="1196" spans="8:9" x14ac:dyDescent="0.3">
      <c r="H1196" s="153" t="s">
        <v>2041</v>
      </c>
      <c r="I1196" s="153" t="s">
        <v>2802</v>
      </c>
    </row>
    <row r="1197" spans="8:9" x14ac:dyDescent="0.3">
      <c r="H1197" s="153" t="s">
        <v>2039</v>
      </c>
      <c r="I1197" s="153" t="s">
        <v>2802</v>
      </c>
    </row>
    <row r="1198" spans="8:9" x14ac:dyDescent="0.3">
      <c r="H1198" s="153" t="s">
        <v>2059</v>
      </c>
      <c r="I1198" s="153" t="s">
        <v>2024</v>
      </c>
    </row>
    <row r="1199" spans="8:9" x14ac:dyDescent="0.3">
      <c r="H1199" s="153" t="s">
        <v>2037</v>
      </c>
      <c r="I1199" s="153" t="s">
        <v>2802</v>
      </c>
    </row>
    <row r="1200" spans="8:9" x14ac:dyDescent="0.3">
      <c r="H1200" s="153" t="s">
        <v>2063</v>
      </c>
      <c r="I1200" s="153" t="s">
        <v>2802</v>
      </c>
    </row>
    <row r="1201" spans="8:9" x14ac:dyDescent="0.3">
      <c r="H1201" s="153" t="s">
        <v>2028</v>
      </c>
      <c r="I1201" s="153" t="s">
        <v>2023</v>
      </c>
    </row>
    <row r="1202" spans="8:9" x14ac:dyDescent="0.3">
      <c r="H1202" s="153" t="s">
        <v>2055</v>
      </c>
      <c r="I1202" s="153" t="s">
        <v>2802</v>
      </c>
    </row>
    <row r="1203" spans="8:9" x14ac:dyDescent="0.3">
      <c r="H1203" s="153" t="s">
        <v>2037</v>
      </c>
      <c r="I1203" s="153" t="s">
        <v>2802</v>
      </c>
    </row>
    <row r="1204" spans="8:9" x14ac:dyDescent="0.3">
      <c r="H1204" s="153" t="s">
        <v>2039</v>
      </c>
      <c r="I1204" s="153" t="s">
        <v>2802</v>
      </c>
    </row>
    <row r="1205" spans="8:9" x14ac:dyDescent="0.3">
      <c r="H1205" s="153" t="s">
        <v>2039</v>
      </c>
      <c r="I1205" s="153" t="s">
        <v>2802</v>
      </c>
    </row>
    <row r="1206" spans="8:9" x14ac:dyDescent="0.3">
      <c r="H1206" s="153" t="s">
        <v>2041</v>
      </c>
      <c r="I1206" s="153" t="s">
        <v>2802</v>
      </c>
    </row>
    <row r="1207" spans="8:9" x14ac:dyDescent="0.3">
      <c r="H1207" s="153" t="s">
        <v>2041</v>
      </c>
      <c r="I1207" s="153" t="s">
        <v>2802</v>
      </c>
    </row>
    <row r="1208" spans="8:9" x14ac:dyDescent="0.3">
      <c r="H1208" s="153" t="s">
        <v>2032</v>
      </c>
      <c r="I1208" s="153" t="s">
        <v>2802</v>
      </c>
    </row>
    <row r="1209" spans="8:9" x14ac:dyDescent="0.3">
      <c r="H1209" s="153" t="s">
        <v>2041</v>
      </c>
      <c r="I1209" s="153" t="s">
        <v>2802</v>
      </c>
    </row>
    <row r="1210" spans="8:9" x14ac:dyDescent="0.3">
      <c r="H1210" s="153" t="s">
        <v>2065</v>
      </c>
      <c r="I1210" s="153" t="s">
        <v>2859</v>
      </c>
    </row>
    <row r="1211" spans="8:9" x14ac:dyDescent="0.3">
      <c r="H1211" s="153" t="s">
        <v>2065</v>
      </c>
      <c r="I1211" s="153" t="s">
        <v>2859</v>
      </c>
    </row>
    <row r="1212" spans="8:9" x14ac:dyDescent="0.3">
      <c r="H1212" s="153" t="s">
        <v>2065</v>
      </c>
      <c r="I1212" s="153" t="s">
        <v>2859</v>
      </c>
    </row>
    <row r="1213" spans="8:9" x14ac:dyDescent="0.3">
      <c r="H1213" s="153" t="s">
        <v>2065</v>
      </c>
      <c r="I1213" s="153" t="s">
        <v>2859</v>
      </c>
    </row>
    <row r="1214" spans="8:9" x14ac:dyDescent="0.3">
      <c r="H1214" s="153" t="s">
        <v>2037</v>
      </c>
      <c r="I1214" s="153" t="s">
        <v>2802</v>
      </c>
    </row>
    <row r="1215" spans="8:9" x14ac:dyDescent="0.3">
      <c r="H1215" s="153" t="s">
        <v>2050</v>
      </c>
      <c r="I1215" s="153" t="s">
        <v>2802</v>
      </c>
    </row>
    <row r="1216" spans="8:9" x14ac:dyDescent="0.3">
      <c r="H1216" s="153" t="s">
        <v>2061</v>
      </c>
      <c r="I1216" s="153" t="s">
        <v>2802</v>
      </c>
    </row>
    <row r="1217" spans="8:9" x14ac:dyDescent="0.3">
      <c r="H1217" s="153" t="s">
        <v>2037</v>
      </c>
      <c r="I1217" s="153" t="s">
        <v>2802</v>
      </c>
    </row>
    <row r="1218" spans="8:9" x14ac:dyDescent="0.3">
      <c r="H1218" s="153" t="s">
        <v>2032</v>
      </c>
      <c r="I1218" s="153" t="s">
        <v>2802</v>
      </c>
    </row>
    <row r="1219" spans="8:9" x14ac:dyDescent="0.3">
      <c r="H1219" s="153" t="s">
        <v>2037</v>
      </c>
      <c r="I1219" s="153" t="s">
        <v>2802</v>
      </c>
    </row>
    <row r="1220" spans="8:9" x14ac:dyDescent="0.3">
      <c r="H1220" s="153" t="s">
        <v>2037</v>
      </c>
      <c r="I1220" s="153" t="s">
        <v>2802</v>
      </c>
    </row>
    <row r="1221" spans="8:9" x14ac:dyDescent="0.3">
      <c r="H1221" s="153" t="s">
        <v>2039</v>
      </c>
      <c r="I1221" s="153" t="s">
        <v>2802</v>
      </c>
    </row>
    <row r="1222" spans="8:9" x14ac:dyDescent="0.3">
      <c r="H1222" s="153" t="s">
        <v>2037</v>
      </c>
      <c r="I1222" s="153" t="s">
        <v>2802</v>
      </c>
    </row>
    <row r="1223" spans="8:9" x14ac:dyDescent="0.3">
      <c r="H1223" s="153" t="s">
        <v>2037</v>
      </c>
      <c r="I1223" s="153" t="s">
        <v>2802</v>
      </c>
    </row>
    <row r="1224" spans="8:9" x14ac:dyDescent="0.3">
      <c r="H1224" s="153" t="s">
        <v>2041</v>
      </c>
      <c r="I1224" s="153" t="s">
        <v>2802</v>
      </c>
    </row>
    <row r="1225" spans="8:9" x14ac:dyDescent="0.3">
      <c r="H1225" s="153" t="s">
        <v>2032</v>
      </c>
      <c r="I1225" s="153" t="s">
        <v>2802</v>
      </c>
    </row>
    <row r="1226" spans="8:9" x14ac:dyDescent="0.3">
      <c r="H1226" s="153" t="s">
        <v>2028</v>
      </c>
      <c r="I1226" s="153" t="s">
        <v>2023</v>
      </c>
    </row>
    <row r="1227" spans="8:9" x14ac:dyDescent="0.3">
      <c r="H1227" s="153" t="s">
        <v>2062</v>
      </c>
      <c r="I1227" s="153" t="s">
        <v>2023</v>
      </c>
    </row>
    <row r="1228" spans="8:9" x14ac:dyDescent="0.3">
      <c r="H1228" s="153" t="s">
        <v>2039</v>
      </c>
      <c r="I1228" s="153" t="s">
        <v>2802</v>
      </c>
    </row>
    <row r="1229" spans="8:9" x14ac:dyDescent="0.3">
      <c r="H1229" s="153" t="s">
        <v>2037</v>
      </c>
      <c r="I1229" s="153" t="s">
        <v>2802</v>
      </c>
    </row>
    <row r="1230" spans="8:9" x14ac:dyDescent="0.3">
      <c r="H1230" s="153" t="s">
        <v>2041</v>
      </c>
      <c r="I1230" s="153" t="s">
        <v>2802</v>
      </c>
    </row>
    <row r="1231" spans="8:9" x14ac:dyDescent="0.3">
      <c r="H1231" s="153" t="s">
        <v>2037</v>
      </c>
      <c r="I1231" s="153" t="s">
        <v>2802</v>
      </c>
    </row>
    <row r="1232" spans="8:9" x14ac:dyDescent="0.3">
      <c r="H1232" s="153" t="s">
        <v>2028</v>
      </c>
      <c r="I1232" s="153" t="s">
        <v>2023</v>
      </c>
    </row>
    <row r="1233" spans="8:9" x14ac:dyDescent="0.3">
      <c r="H1233" s="153" t="s">
        <v>2042</v>
      </c>
      <c r="I1233" s="153" t="s">
        <v>2802</v>
      </c>
    </row>
    <row r="1234" spans="8:9" x14ac:dyDescent="0.3">
      <c r="H1234" s="153" t="s">
        <v>2028</v>
      </c>
      <c r="I1234" s="153" t="s">
        <v>2023</v>
      </c>
    </row>
    <row r="1235" spans="8:9" x14ac:dyDescent="0.3">
      <c r="H1235" s="153" t="s">
        <v>2952</v>
      </c>
      <c r="I1235" s="153" t="s">
        <v>2859</v>
      </c>
    </row>
    <row r="1236" spans="8:9" x14ac:dyDescent="0.3">
      <c r="H1236" s="153" t="s">
        <v>2039</v>
      </c>
      <c r="I1236" s="153" t="s">
        <v>2802</v>
      </c>
    </row>
    <row r="1237" spans="8:9" x14ac:dyDescent="0.3">
      <c r="H1237" s="153" t="s">
        <v>2945</v>
      </c>
      <c r="I1237" s="153" t="s">
        <v>2859</v>
      </c>
    </row>
    <row r="1238" spans="8:9" x14ac:dyDescent="0.3">
      <c r="H1238" s="153" t="s">
        <v>2059</v>
      </c>
      <c r="I1238" s="153" t="s">
        <v>2024</v>
      </c>
    </row>
    <row r="1239" spans="8:9" x14ac:dyDescent="0.3">
      <c r="H1239" s="153" t="s">
        <v>2039</v>
      </c>
      <c r="I1239" s="153" t="s">
        <v>2802</v>
      </c>
    </row>
    <row r="1240" spans="8:9" x14ac:dyDescent="0.3">
      <c r="H1240" s="153" t="s">
        <v>2039</v>
      </c>
      <c r="I1240" s="153" t="s">
        <v>2802</v>
      </c>
    </row>
    <row r="1241" spans="8:9" x14ac:dyDescent="0.3">
      <c r="H1241" s="153" t="s">
        <v>2039</v>
      </c>
      <c r="I1241" s="153" t="s">
        <v>2802</v>
      </c>
    </row>
    <row r="1242" spans="8:9" x14ac:dyDescent="0.3">
      <c r="H1242" s="153" t="s">
        <v>2037</v>
      </c>
      <c r="I1242" s="153" t="s">
        <v>2802</v>
      </c>
    </row>
    <row r="1243" spans="8:9" x14ac:dyDescent="0.3">
      <c r="H1243" s="153" t="s">
        <v>2037</v>
      </c>
      <c r="I1243" s="153" t="s">
        <v>2802</v>
      </c>
    </row>
    <row r="1244" spans="8:9" x14ac:dyDescent="0.3">
      <c r="H1244" s="153" t="s">
        <v>2028</v>
      </c>
      <c r="I1244" s="153" t="s">
        <v>2023</v>
      </c>
    </row>
    <row r="1245" spans="8:9" x14ac:dyDescent="0.3">
      <c r="H1245" s="153" t="s">
        <v>2039</v>
      </c>
      <c r="I1245" s="153" t="s">
        <v>2802</v>
      </c>
    </row>
    <row r="1246" spans="8:9" x14ac:dyDescent="0.3">
      <c r="H1246" s="153" t="s">
        <v>2037</v>
      </c>
      <c r="I1246" s="153" t="s">
        <v>2802</v>
      </c>
    </row>
    <row r="1247" spans="8:9" x14ac:dyDescent="0.3">
      <c r="H1247" s="153" t="s">
        <v>2037</v>
      </c>
      <c r="I1247" s="153" t="s">
        <v>2802</v>
      </c>
    </row>
    <row r="1248" spans="8:9" x14ac:dyDescent="0.3">
      <c r="H1248" s="153" t="s">
        <v>2058</v>
      </c>
      <c r="I1248" s="153" t="s">
        <v>2802</v>
      </c>
    </row>
    <row r="1249" spans="8:9" x14ac:dyDescent="0.3">
      <c r="H1249" s="153" t="s">
        <v>2041</v>
      </c>
      <c r="I1249" s="153" t="s">
        <v>2802</v>
      </c>
    </row>
    <row r="1250" spans="8:9" x14ac:dyDescent="0.3">
      <c r="H1250" s="153" t="s">
        <v>2037</v>
      </c>
      <c r="I1250" s="153" t="s">
        <v>2802</v>
      </c>
    </row>
    <row r="1251" spans="8:9" x14ac:dyDescent="0.3">
      <c r="H1251" s="153" t="s">
        <v>2028</v>
      </c>
      <c r="I1251" s="153" t="s">
        <v>2023</v>
      </c>
    </row>
    <row r="1252" spans="8:9" x14ac:dyDescent="0.3">
      <c r="H1252" s="153" t="s">
        <v>2037</v>
      </c>
      <c r="I1252" s="153" t="s">
        <v>2802</v>
      </c>
    </row>
    <row r="1253" spans="8:9" x14ac:dyDescent="0.3">
      <c r="H1253" s="153" t="s">
        <v>2059</v>
      </c>
      <c r="I1253" s="153" t="s">
        <v>2024</v>
      </c>
    </row>
    <row r="1254" spans="8:9" x14ac:dyDescent="0.3">
      <c r="H1254" s="153" t="s">
        <v>2060</v>
      </c>
      <c r="I1254" s="153" t="s">
        <v>2023</v>
      </c>
    </row>
    <row r="1255" spans="8:9" x14ac:dyDescent="0.3">
      <c r="H1255" s="153" t="s">
        <v>2039</v>
      </c>
      <c r="I1255" s="153" t="s">
        <v>2802</v>
      </c>
    </row>
    <row r="1256" spans="8:9" x14ac:dyDescent="0.3">
      <c r="H1256" s="153" t="s">
        <v>2041</v>
      </c>
      <c r="I1256" s="153" t="s">
        <v>2802</v>
      </c>
    </row>
    <row r="1257" spans="8:9" x14ac:dyDescent="0.3">
      <c r="H1257" s="153" t="s">
        <v>2032</v>
      </c>
      <c r="I1257" s="153" t="s">
        <v>2802</v>
      </c>
    </row>
    <row r="1258" spans="8:9" x14ac:dyDescent="0.3">
      <c r="H1258" s="153" t="s">
        <v>2054</v>
      </c>
      <c r="I1258" s="153" t="s">
        <v>2802</v>
      </c>
    </row>
    <row r="1259" spans="8:9" x14ac:dyDescent="0.3">
      <c r="H1259" s="153" t="s">
        <v>2059</v>
      </c>
      <c r="I1259" s="153" t="s">
        <v>2024</v>
      </c>
    </row>
    <row r="1260" spans="8:9" x14ac:dyDescent="0.3">
      <c r="H1260" s="153" t="s">
        <v>2063</v>
      </c>
      <c r="I1260" s="153" t="s">
        <v>2802</v>
      </c>
    </row>
    <row r="1261" spans="8:9" x14ac:dyDescent="0.3">
      <c r="H1261" s="153" t="s">
        <v>2063</v>
      </c>
      <c r="I1261" s="153" t="s">
        <v>2802</v>
      </c>
    </row>
    <row r="1262" spans="8:9" x14ac:dyDescent="0.3">
      <c r="H1262" s="153" t="s">
        <v>2062</v>
      </c>
      <c r="I1262" s="153" t="s">
        <v>2023</v>
      </c>
    </row>
    <row r="1263" spans="8:9" x14ac:dyDescent="0.3">
      <c r="H1263" s="153" t="s">
        <v>2062</v>
      </c>
      <c r="I1263" s="153" t="s">
        <v>2023</v>
      </c>
    </row>
    <row r="1264" spans="8:9" x14ac:dyDescent="0.3">
      <c r="H1264" s="153" t="s">
        <v>2028</v>
      </c>
      <c r="I1264" s="153" t="s">
        <v>2023</v>
      </c>
    </row>
    <row r="1265" spans="8:9" x14ac:dyDescent="0.3">
      <c r="H1265" s="153" t="s">
        <v>2054</v>
      </c>
      <c r="I1265" s="153" t="s">
        <v>2802</v>
      </c>
    </row>
    <row r="1266" spans="8:9" x14ac:dyDescent="0.3">
      <c r="H1266" s="153" t="s">
        <v>2037</v>
      </c>
      <c r="I1266" s="153" t="s">
        <v>2802</v>
      </c>
    </row>
    <row r="1267" spans="8:9" x14ac:dyDescent="0.3">
      <c r="H1267" s="153" t="s">
        <v>2059</v>
      </c>
      <c r="I1267" s="153" t="s">
        <v>2024</v>
      </c>
    </row>
    <row r="1268" spans="8:9" x14ac:dyDescent="0.3">
      <c r="H1268" s="153" t="s">
        <v>2037</v>
      </c>
      <c r="I1268" s="153" t="s">
        <v>2802</v>
      </c>
    </row>
    <row r="1269" spans="8:9" x14ac:dyDescent="0.3">
      <c r="H1269" s="153" t="s">
        <v>2059</v>
      </c>
      <c r="I1269" s="153" t="s">
        <v>2024</v>
      </c>
    </row>
    <row r="1270" spans="8:9" x14ac:dyDescent="0.3">
      <c r="H1270" s="153" t="s">
        <v>2028</v>
      </c>
      <c r="I1270" s="153" t="s">
        <v>2023</v>
      </c>
    </row>
    <row r="1271" spans="8:9" x14ac:dyDescent="0.3">
      <c r="H1271" s="153" t="s">
        <v>2054</v>
      </c>
      <c r="I1271" s="153" t="s">
        <v>2802</v>
      </c>
    </row>
    <row r="1272" spans="8:9" x14ac:dyDescent="0.3">
      <c r="H1272" s="153" t="s">
        <v>2945</v>
      </c>
      <c r="I1272" s="153" t="s">
        <v>2859</v>
      </c>
    </row>
    <row r="1273" spans="8:9" x14ac:dyDescent="0.3">
      <c r="H1273" s="153" t="s">
        <v>2061</v>
      </c>
      <c r="I1273" s="153" t="s">
        <v>2802</v>
      </c>
    </row>
    <row r="1274" spans="8:9" x14ac:dyDescent="0.3">
      <c r="H1274" s="153" t="s">
        <v>2037</v>
      </c>
      <c r="I1274" s="153" t="s">
        <v>2802</v>
      </c>
    </row>
    <row r="1275" spans="8:9" x14ac:dyDescent="0.3">
      <c r="H1275" s="153" t="s">
        <v>2041</v>
      </c>
      <c r="I1275" s="153" t="s">
        <v>2802</v>
      </c>
    </row>
    <row r="1276" spans="8:9" x14ac:dyDescent="0.3">
      <c r="H1276" s="153" t="s">
        <v>2039</v>
      </c>
      <c r="I1276" s="153" t="s">
        <v>2802</v>
      </c>
    </row>
    <row r="1277" spans="8:9" x14ac:dyDescent="0.3">
      <c r="H1277" s="153" t="s">
        <v>2028</v>
      </c>
      <c r="I1277" s="153" t="s">
        <v>2023</v>
      </c>
    </row>
    <row r="1278" spans="8:9" x14ac:dyDescent="0.3">
      <c r="H1278" s="153" t="s">
        <v>2054</v>
      </c>
      <c r="I1278" s="153" t="s">
        <v>2802</v>
      </c>
    </row>
    <row r="1279" spans="8:9" x14ac:dyDescent="0.3">
      <c r="H1279" s="153" t="s">
        <v>2059</v>
      </c>
      <c r="I1279" s="153" t="s">
        <v>2024</v>
      </c>
    </row>
    <row r="1280" spans="8:9" x14ac:dyDescent="0.3">
      <c r="H1280" s="153" t="s">
        <v>2059</v>
      </c>
      <c r="I1280" s="153" t="s">
        <v>2024</v>
      </c>
    </row>
    <row r="1281" spans="8:9" x14ac:dyDescent="0.3">
      <c r="H1281" s="153" t="s">
        <v>2039</v>
      </c>
      <c r="I1281" s="153" t="s">
        <v>2802</v>
      </c>
    </row>
    <row r="1282" spans="8:9" x14ac:dyDescent="0.3">
      <c r="H1282" s="153" t="s">
        <v>2028</v>
      </c>
      <c r="I1282" s="153" t="s">
        <v>2023</v>
      </c>
    </row>
    <row r="1283" spans="8:9" x14ac:dyDescent="0.3">
      <c r="H1283" s="153" t="s">
        <v>2028</v>
      </c>
      <c r="I1283" s="153" t="s">
        <v>2023</v>
      </c>
    </row>
    <row r="1284" spans="8:9" x14ac:dyDescent="0.3">
      <c r="H1284" s="153" t="s">
        <v>2041</v>
      </c>
      <c r="I1284" s="153" t="s">
        <v>2802</v>
      </c>
    </row>
    <row r="1285" spans="8:9" x14ac:dyDescent="0.3">
      <c r="H1285" s="153" t="s">
        <v>2028</v>
      </c>
      <c r="I1285" s="153" t="s">
        <v>2023</v>
      </c>
    </row>
    <row r="1286" spans="8:9" x14ac:dyDescent="0.3">
      <c r="H1286" s="153" t="s">
        <v>2059</v>
      </c>
      <c r="I1286" s="153" t="s">
        <v>2024</v>
      </c>
    </row>
    <row r="1287" spans="8:9" x14ac:dyDescent="0.3">
      <c r="H1287" s="153" t="s">
        <v>2061</v>
      </c>
      <c r="I1287" s="153" t="s">
        <v>2802</v>
      </c>
    </row>
    <row r="1288" spans="8:9" x14ac:dyDescent="0.3">
      <c r="H1288" s="153" t="s">
        <v>2062</v>
      </c>
      <c r="I1288" s="153" t="s">
        <v>2023</v>
      </c>
    </row>
    <row r="1289" spans="8:9" x14ac:dyDescent="0.3">
      <c r="H1289" s="153" t="s">
        <v>2062</v>
      </c>
      <c r="I1289" s="153" t="s">
        <v>2023</v>
      </c>
    </row>
    <row r="1290" spans="8:9" x14ac:dyDescent="0.3">
      <c r="H1290" s="153" t="s">
        <v>2037</v>
      </c>
      <c r="I1290" s="153" t="s">
        <v>2802</v>
      </c>
    </row>
    <row r="1291" spans="8:9" x14ac:dyDescent="0.3">
      <c r="H1291" s="153" t="s">
        <v>2055</v>
      </c>
      <c r="I1291" s="153" t="s">
        <v>2802</v>
      </c>
    </row>
    <row r="1292" spans="8:9" x14ac:dyDescent="0.3">
      <c r="H1292" s="153" t="s">
        <v>2037</v>
      </c>
      <c r="I1292" s="153" t="s">
        <v>2802</v>
      </c>
    </row>
    <row r="1293" spans="8:9" x14ac:dyDescent="0.3">
      <c r="H1293" s="153" t="s">
        <v>2037</v>
      </c>
      <c r="I1293" s="153" t="s">
        <v>2802</v>
      </c>
    </row>
    <row r="1294" spans="8:9" x14ac:dyDescent="0.3">
      <c r="H1294" s="153" t="s">
        <v>2041</v>
      </c>
      <c r="I1294" s="153" t="s">
        <v>2802</v>
      </c>
    </row>
    <row r="1295" spans="8:9" x14ac:dyDescent="0.3">
      <c r="H1295" s="153" t="s">
        <v>2028</v>
      </c>
      <c r="I1295" s="153" t="s">
        <v>2023</v>
      </c>
    </row>
    <row r="1296" spans="8:9" x14ac:dyDescent="0.3">
      <c r="H1296" s="153" t="s">
        <v>2041</v>
      </c>
      <c r="I1296" s="153" t="s">
        <v>2802</v>
      </c>
    </row>
    <row r="1297" spans="8:9" x14ac:dyDescent="0.3">
      <c r="H1297" s="153" t="s">
        <v>2061</v>
      </c>
      <c r="I1297" s="153" t="s">
        <v>2802</v>
      </c>
    </row>
    <row r="1298" spans="8:9" x14ac:dyDescent="0.3">
      <c r="H1298" s="153" t="s">
        <v>2041</v>
      </c>
      <c r="I1298" s="153" t="s">
        <v>2802</v>
      </c>
    </row>
    <row r="1299" spans="8:9" x14ac:dyDescent="0.3">
      <c r="H1299" s="153" t="s">
        <v>2059</v>
      </c>
      <c r="I1299" s="153" t="s">
        <v>2024</v>
      </c>
    </row>
    <row r="1300" spans="8:9" x14ac:dyDescent="0.3">
      <c r="H1300" s="153" t="s">
        <v>2059</v>
      </c>
      <c r="I1300" s="153" t="s">
        <v>2024</v>
      </c>
    </row>
    <row r="1301" spans="8:9" x14ac:dyDescent="0.3">
      <c r="H1301" s="153" t="s">
        <v>2059</v>
      </c>
      <c r="I1301" s="153" t="s">
        <v>2024</v>
      </c>
    </row>
    <row r="1302" spans="8:9" x14ac:dyDescent="0.3">
      <c r="H1302" s="153" t="s">
        <v>2037</v>
      </c>
      <c r="I1302" s="153" t="s">
        <v>2802</v>
      </c>
    </row>
    <row r="1303" spans="8:9" x14ac:dyDescent="0.3">
      <c r="H1303" s="153" t="s">
        <v>2037</v>
      </c>
      <c r="I1303" s="153" t="s">
        <v>2802</v>
      </c>
    </row>
    <row r="1304" spans="8:9" x14ac:dyDescent="0.3">
      <c r="H1304" s="153" t="s">
        <v>2039</v>
      </c>
      <c r="I1304" s="153" t="s">
        <v>2802</v>
      </c>
    </row>
    <row r="1305" spans="8:9" x14ac:dyDescent="0.3">
      <c r="H1305" s="153" t="s">
        <v>2028</v>
      </c>
      <c r="I1305" s="153" t="s">
        <v>2023</v>
      </c>
    </row>
    <row r="1306" spans="8:9" x14ac:dyDescent="0.3">
      <c r="H1306" s="153" t="s">
        <v>2028</v>
      </c>
      <c r="I1306" s="153" t="s">
        <v>2023</v>
      </c>
    </row>
    <row r="1307" spans="8:9" x14ac:dyDescent="0.3">
      <c r="H1307" s="153" t="s">
        <v>2037</v>
      </c>
      <c r="I1307" s="153" t="s">
        <v>2802</v>
      </c>
    </row>
    <row r="1308" spans="8:9" x14ac:dyDescent="0.3">
      <c r="H1308" s="153" t="s">
        <v>2048</v>
      </c>
      <c r="I1308" s="153" t="s">
        <v>2802</v>
      </c>
    </row>
    <row r="1309" spans="8:9" x14ac:dyDescent="0.3">
      <c r="H1309" s="153" t="s">
        <v>2041</v>
      </c>
      <c r="I1309" s="153" t="s">
        <v>2802</v>
      </c>
    </row>
    <row r="1310" spans="8:9" x14ac:dyDescent="0.3">
      <c r="H1310" s="153" t="s">
        <v>2039</v>
      </c>
      <c r="I1310" s="153" t="s">
        <v>2802</v>
      </c>
    </row>
    <row r="1311" spans="8:9" x14ac:dyDescent="0.3">
      <c r="H1311" s="153" t="s">
        <v>2043</v>
      </c>
      <c r="I1311" s="153" t="s">
        <v>2802</v>
      </c>
    </row>
    <row r="1312" spans="8:9" x14ac:dyDescent="0.3">
      <c r="H1312" s="153" t="s">
        <v>2059</v>
      </c>
      <c r="I1312" s="153" t="s">
        <v>2024</v>
      </c>
    </row>
    <row r="1313" spans="8:9" x14ac:dyDescent="0.3">
      <c r="H1313" s="153" t="s">
        <v>2037</v>
      </c>
      <c r="I1313" s="153" t="s">
        <v>2802</v>
      </c>
    </row>
    <row r="1314" spans="8:9" x14ac:dyDescent="0.3">
      <c r="H1314" s="153" t="s">
        <v>2953</v>
      </c>
      <c r="I1314" s="153" t="s">
        <v>2859</v>
      </c>
    </row>
    <row r="1315" spans="8:9" x14ac:dyDescent="0.3">
      <c r="H1315" s="153" t="s">
        <v>2028</v>
      </c>
      <c r="I1315" s="153" t="s">
        <v>2023</v>
      </c>
    </row>
    <row r="1316" spans="8:9" x14ac:dyDescent="0.3">
      <c r="H1316" s="153" t="s">
        <v>2059</v>
      </c>
      <c r="I1316" s="153" t="s">
        <v>2024</v>
      </c>
    </row>
    <row r="1317" spans="8:9" x14ac:dyDescent="0.3">
      <c r="H1317" s="153" t="s">
        <v>2059</v>
      </c>
      <c r="I1317" s="153" t="s">
        <v>2024</v>
      </c>
    </row>
    <row r="1318" spans="8:9" x14ac:dyDescent="0.3">
      <c r="H1318" s="153" t="s">
        <v>2060</v>
      </c>
      <c r="I1318" s="153" t="s">
        <v>2023</v>
      </c>
    </row>
    <row r="1319" spans="8:9" x14ac:dyDescent="0.3">
      <c r="H1319" s="153" t="s">
        <v>2032</v>
      </c>
      <c r="I1319" s="153" t="s">
        <v>2802</v>
      </c>
    </row>
    <row r="1320" spans="8:9" x14ac:dyDescent="0.3">
      <c r="H1320" s="153" t="s">
        <v>2037</v>
      </c>
      <c r="I1320" s="153" t="s">
        <v>2802</v>
      </c>
    </row>
    <row r="1321" spans="8:9" x14ac:dyDescent="0.3">
      <c r="H1321" s="153" t="s">
        <v>2059</v>
      </c>
      <c r="I1321" s="153" t="s">
        <v>2024</v>
      </c>
    </row>
    <row r="1322" spans="8:9" x14ac:dyDescent="0.3">
      <c r="H1322" s="153" t="s">
        <v>2037</v>
      </c>
      <c r="I1322" s="153" t="s">
        <v>2802</v>
      </c>
    </row>
    <row r="1323" spans="8:9" x14ac:dyDescent="0.3">
      <c r="H1323" s="153" t="s">
        <v>2063</v>
      </c>
      <c r="I1323" s="153" t="s">
        <v>2802</v>
      </c>
    </row>
    <row r="1324" spans="8:9" x14ac:dyDescent="0.3">
      <c r="H1324" s="153" t="s">
        <v>2028</v>
      </c>
      <c r="I1324" s="153" t="s">
        <v>2023</v>
      </c>
    </row>
    <row r="1325" spans="8:9" x14ac:dyDescent="0.3">
      <c r="H1325" s="153" t="s">
        <v>2028</v>
      </c>
      <c r="I1325" s="153" t="s">
        <v>2023</v>
      </c>
    </row>
    <row r="1326" spans="8:9" x14ac:dyDescent="0.3">
      <c r="H1326" s="153" t="s">
        <v>2028</v>
      </c>
      <c r="I1326" s="153" t="s">
        <v>2023</v>
      </c>
    </row>
    <row r="1327" spans="8:9" x14ac:dyDescent="0.3">
      <c r="H1327" s="153" t="s">
        <v>2028</v>
      </c>
      <c r="I1327" s="153" t="s">
        <v>2023</v>
      </c>
    </row>
    <row r="1328" spans="8:9" x14ac:dyDescent="0.3">
      <c r="H1328" s="153" t="s">
        <v>2028</v>
      </c>
      <c r="I1328" s="153" t="s">
        <v>2023</v>
      </c>
    </row>
    <row r="1329" spans="8:9" x14ac:dyDescent="0.3">
      <c r="H1329" s="153" t="s">
        <v>2062</v>
      </c>
      <c r="I1329" s="153" t="s">
        <v>2023</v>
      </c>
    </row>
    <row r="1330" spans="8:9" x14ac:dyDescent="0.3">
      <c r="H1330" s="153" t="s">
        <v>2041</v>
      </c>
      <c r="I1330" s="153" t="s">
        <v>2802</v>
      </c>
    </row>
    <row r="1331" spans="8:9" x14ac:dyDescent="0.3">
      <c r="H1331" s="153" t="s">
        <v>2041</v>
      </c>
      <c r="I1331" s="153" t="s">
        <v>2802</v>
      </c>
    </row>
    <row r="1332" spans="8:9" x14ac:dyDescent="0.3">
      <c r="H1332" s="153" t="s">
        <v>2028</v>
      </c>
      <c r="I1332" s="153" t="s">
        <v>2023</v>
      </c>
    </row>
    <row r="1333" spans="8:9" x14ac:dyDescent="0.3">
      <c r="H1333" s="153" t="s">
        <v>2048</v>
      </c>
      <c r="I1333" s="153" t="s">
        <v>2802</v>
      </c>
    </row>
    <row r="1334" spans="8:9" x14ac:dyDescent="0.3">
      <c r="H1334" s="153" t="s">
        <v>2037</v>
      </c>
      <c r="I1334" s="153" t="s">
        <v>2802</v>
      </c>
    </row>
    <row r="1335" spans="8:9" x14ac:dyDescent="0.3">
      <c r="H1335" s="153" t="s">
        <v>2039</v>
      </c>
      <c r="I1335" s="153" t="s">
        <v>2802</v>
      </c>
    </row>
    <row r="1336" spans="8:9" x14ac:dyDescent="0.3">
      <c r="H1336" s="153" t="s">
        <v>2041</v>
      </c>
      <c r="I1336" s="153" t="s">
        <v>2802</v>
      </c>
    </row>
    <row r="1337" spans="8:9" x14ac:dyDescent="0.3">
      <c r="H1337" s="153" t="s">
        <v>2028</v>
      </c>
      <c r="I1337" s="153" t="s">
        <v>2023</v>
      </c>
    </row>
    <row r="1338" spans="8:9" x14ac:dyDescent="0.3">
      <c r="H1338" s="153" t="s">
        <v>2060</v>
      </c>
      <c r="I1338" s="153" t="s">
        <v>2023</v>
      </c>
    </row>
    <row r="1339" spans="8:9" x14ac:dyDescent="0.3">
      <c r="H1339" s="153" t="s">
        <v>2041</v>
      </c>
      <c r="I1339" s="153" t="s">
        <v>2802</v>
      </c>
    </row>
    <row r="1340" spans="8:9" x14ac:dyDescent="0.3">
      <c r="H1340" s="153" t="s">
        <v>2061</v>
      </c>
      <c r="I1340" s="153" t="s">
        <v>2802</v>
      </c>
    </row>
    <row r="1341" spans="8:9" x14ac:dyDescent="0.3">
      <c r="H1341" s="153" t="s">
        <v>2064</v>
      </c>
      <c r="I1341" s="153" t="s">
        <v>2802</v>
      </c>
    </row>
    <row r="1342" spans="8:9" x14ac:dyDescent="0.3">
      <c r="H1342" s="153" t="s">
        <v>2064</v>
      </c>
      <c r="I1342" s="153" t="s">
        <v>2802</v>
      </c>
    </row>
    <row r="1343" spans="8:9" x14ac:dyDescent="0.3">
      <c r="H1343" s="153" t="s">
        <v>2064</v>
      </c>
      <c r="I1343" s="153" t="s">
        <v>2802</v>
      </c>
    </row>
    <row r="1344" spans="8:9" x14ac:dyDescent="0.3">
      <c r="H1344" s="153" t="s">
        <v>2064</v>
      </c>
      <c r="I1344" s="153" t="s">
        <v>2802</v>
      </c>
    </row>
    <row r="1345" spans="8:9" x14ac:dyDescent="0.3">
      <c r="H1345" s="153" t="s">
        <v>2064</v>
      </c>
      <c r="I1345" s="153" t="s">
        <v>2802</v>
      </c>
    </row>
    <row r="1346" spans="8:9" x14ac:dyDescent="0.3">
      <c r="H1346" s="153" t="s">
        <v>2064</v>
      </c>
      <c r="I1346" s="153" t="s">
        <v>2802</v>
      </c>
    </row>
    <row r="1347" spans="8:9" x14ac:dyDescent="0.3">
      <c r="H1347" s="153" t="s">
        <v>2059</v>
      </c>
      <c r="I1347" s="153" t="s">
        <v>2024</v>
      </c>
    </row>
    <row r="1348" spans="8:9" x14ac:dyDescent="0.3">
      <c r="H1348" s="153" t="s">
        <v>2039</v>
      </c>
      <c r="I1348" s="153" t="s">
        <v>2802</v>
      </c>
    </row>
    <row r="1349" spans="8:9" x14ac:dyDescent="0.3">
      <c r="H1349" s="153" t="s">
        <v>2039</v>
      </c>
      <c r="I1349" s="153" t="s">
        <v>2802</v>
      </c>
    </row>
    <row r="1350" spans="8:9" x14ac:dyDescent="0.3">
      <c r="H1350" s="153" t="s">
        <v>2040</v>
      </c>
      <c r="I1350" s="153" t="s">
        <v>2802</v>
      </c>
    </row>
    <row r="1351" spans="8:9" x14ac:dyDescent="0.3">
      <c r="H1351" s="153" t="s">
        <v>2059</v>
      </c>
      <c r="I1351" s="153" t="s">
        <v>2024</v>
      </c>
    </row>
    <row r="1352" spans="8:9" x14ac:dyDescent="0.3">
      <c r="H1352" s="153" t="s">
        <v>2037</v>
      </c>
      <c r="I1352" s="153" t="s">
        <v>2802</v>
      </c>
    </row>
    <row r="1353" spans="8:9" x14ac:dyDescent="0.3">
      <c r="H1353" s="153" t="s">
        <v>2039</v>
      </c>
      <c r="I1353" s="153" t="s">
        <v>2802</v>
      </c>
    </row>
    <row r="1354" spans="8:9" x14ac:dyDescent="0.3">
      <c r="H1354" s="153" t="s">
        <v>2063</v>
      </c>
      <c r="I1354" s="153" t="s">
        <v>2802</v>
      </c>
    </row>
    <row r="1355" spans="8:9" x14ac:dyDescent="0.3">
      <c r="H1355" s="153" t="s">
        <v>2032</v>
      </c>
      <c r="I1355" s="153" t="s">
        <v>2802</v>
      </c>
    </row>
    <row r="1356" spans="8:9" x14ac:dyDescent="0.3">
      <c r="H1356" s="153" t="s">
        <v>2037</v>
      </c>
      <c r="I1356" s="153" t="s">
        <v>2802</v>
      </c>
    </row>
    <row r="1357" spans="8:9" x14ac:dyDescent="0.3">
      <c r="H1357" s="153" t="s">
        <v>2061</v>
      </c>
      <c r="I1357" s="153" t="s">
        <v>2802</v>
      </c>
    </row>
    <row r="1358" spans="8:9" x14ac:dyDescent="0.3">
      <c r="H1358" s="153" t="s">
        <v>2060</v>
      </c>
      <c r="I1358" s="153" t="s">
        <v>2023</v>
      </c>
    </row>
    <row r="1359" spans="8:9" x14ac:dyDescent="0.3">
      <c r="H1359" s="153" t="s">
        <v>2061</v>
      </c>
      <c r="I1359" s="153" t="s">
        <v>2802</v>
      </c>
    </row>
    <row r="1360" spans="8:9" x14ac:dyDescent="0.3">
      <c r="H1360" s="153" t="s">
        <v>2028</v>
      </c>
      <c r="I1360" s="153" t="s">
        <v>2023</v>
      </c>
    </row>
    <row r="1361" spans="8:9" x14ac:dyDescent="0.3">
      <c r="H1361" s="153" t="s">
        <v>2028</v>
      </c>
      <c r="I1361" s="153" t="s">
        <v>2023</v>
      </c>
    </row>
    <row r="1362" spans="8:9" x14ac:dyDescent="0.3">
      <c r="H1362" s="153" t="s">
        <v>2028</v>
      </c>
      <c r="I1362" s="153" t="s">
        <v>2023</v>
      </c>
    </row>
    <row r="1363" spans="8:9" x14ac:dyDescent="0.3">
      <c r="H1363" s="153" t="s">
        <v>2037</v>
      </c>
      <c r="I1363" s="153" t="s">
        <v>2802</v>
      </c>
    </row>
    <row r="1364" spans="8:9" x14ac:dyDescent="0.3">
      <c r="H1364" s="153" t="s">
        <v>2945</v>
      </c>
      <c r="I1364" s="153" t="s">
        <v>2859</v>
      </c>
    </row>
    <row r="1365" spans="8:9" x14ac:dyDescent="0.3">
      <c r="H1365" s="153" t="s">
        <v>2062</v>
      </c>
      <c r="I1365" s="153" t="s">
        <v>2023</v>
      </c>
    </row>
    <row r="1366" spans="8:9" x14ac:dyDescent="0.3">
      <c r="H1366" s="153" t="s">
        <v>2061</v>
      </c>
      <c r="I1366" s="153" t="s">
        <v>2802</v>
      </c>
    </row>
    <row r="1367" spans="8:9" x14ac:dyDescent="0.3">
      <c r="H1367" s="153" t="s">
        <v>2039</v>
      </c>
      <c r="I1367" s="153" t="s">
        <v>2802</v>
      </c>
    </row>
    <row r="1368" spans="8:9" x14ac:dyDescent="0.3">
      <c r="H1368" s="153" t="s">
        <v>2060</v>
      </c>
      <c r="I1368" s="153" t="s">
        <v>2023</v>
      </c>
    </row>
    <row r="1369" spans="8:9" x14ac:dyDescent="0.3">
      <c r="H1369" s="153" t="s">
        <v>2039</v>
      </c>
      <c r="I1369" s="153" t="s">
        <v>2802</v>
      </c>
    </row>
    <row r="1370" spans="8:9" x14ac:dyDescent="0.3">
      <c r="H1370" s="153" t="s">
        <v>2058</v>
      </c>
      <c r="I1370" s="153" t="s">
        <v>2802</v>
      </c>
    </row>
    <row r="1371" spans="8:9" x14ac:dyDescent="0.3">
      <c r="H1371" s="153" t="s">
        <v>2058</v>
      </c>
      <c r="I1371" s="153" t="s">
        <v>2802</v>
      </c>
    </row>
    <row r="1372" spans="8:9" x14ac:dyDescent="0.3">
      <c r="H1372" s="153" t="s">
        <v>2041</v>
      </c>
      <c r="I1372" s="153" t="s">
        <v>2802</v>
      </c>
    </row>
    <row r="1373" spans="8:9" x14ac:dyDescent="0.3">
      <c r="H1373" s="153" t="s">
        <v>2037</v>
      </c>
      <c r="I1373" s="153" t="s">
        <v>2802</v>
      </c>
    </row>
    <row r="1374" spans="8:9" x14ac:dyDescent="0.3">
      <c r="H1374" s="153" t="s">
        <v>2063</v>
      </c>
      <c r="I1374" s="153" t="s">
        <v>2802</v>
      </c>
    </row>
    <row r="1375" spans="8:9" x14ac:dyDescent="0.3">
      <c r="H1375" s="153" t="s">
        <v>2062</v>
      </c>
      <c r="I1375" s="153" t="s">
        <v>2023</v>
      </c>
    </row>
    <row r="1376" spans="8:9" x14ac:dyDescent="0.3">
      <c r="H1376" s="153" t="s">
        <v>2037</v>
      </c>
      <c r="I1376" s="153" t="s">
        <v>2802</v>
      </c>
    </row>
    <row r="1377" spans="8:9" x14ac:dyDescent="0.3">
      <c r="H1377" s="153" t="s">
        <v>2039</v>
      </c>
      <c r="I1377" s="153" t="s">
        <v>2802</v>
      </c>
    </row>
    <row r="1378" spans="8:9" x14ac:dyDescent="0.3">
      <c r="H1378" s="153" t="s">
        <v>2037</v>
      </c>
      <c r="I1378" s="153" t="s">
        <v>2802</v>
      </c>
    </row>
    <row r="1379" spans="8:9" x14ac:dyDescent="0.3">
      <c r="H1379" s="153" t="s">
        <v>2058</v>
      </c>
      <c r="I1379" s="153" t="s">
        <v>2802</v>
      </c>
    </row>
    <row r="1380" spans="8:9" x14ac:dyDescent="0.3">
      <c r="H1380" s="153" t="s">
        <v>2054</v>
      </c>
      <c r="I1380" s="153" t="s">
        <v>2802</v>
      </c>
    </row>
    <row r="1381" spans="8:9" x14ac:dyDescent="0.3">
      <c r="H1381" s="153" t="s">
        <v>2041</v>
      </c>
      <c r="I1381" s="153" t="s">
        <v>2802</v>
      </c>
    </row>
    <row r="1382" spans="8:9" x14ac:dyDescent="0.3">
      <c r="H1382" s="153" t="s">
        <v>2037</v>
      </c>
      <c r="I1382" s="153" t="s">
        <v>2802</v>
      </c>
    </row>
    <row r="1383" spans="8:9" x14ac:dyDescent="0.3">
      <c r="H1383" s="153" t="s">
        <v>2062</v>
      </c>
      <c r="I1383" s="153" t="s">
        <v>2023</v>
      </c>
    </row>
    <row r="1384" spans="8:9" x14ac:dyDescent="0.3">
      <c r="H1384" s="153" t="s">
        <v>2041</v>
      </c>
      <c r="I1384" s="153" t="s">
        <v>2802</v>
      </c>
    </row>
    <row r="1385" spans="8:9" x14ac:dyDescent="0.3">
      <c r="H1385" s="153" t="s">
        <v>2041</v>
      </c>
      <c r="I1385" s="153" t="s">
        <v>2802</v>
      </c>
    </row>
    <row r="1386" spans="8:9" x14ac:dyDescent="0.3">
      <c r="H1386" s="153" t="s">
        <v>2954</v>
      </c>
      <c r="I1386" s="153" t="s">
        <v>2802</v>
      </c>
    </row>
    <row r="1387" spans="8:9" x14ac:dyDescent="0.3">
      <c r="H1387" s="153" t="s">
        <v>2049</v>
      </c>
      <c r="I1387" s="153" t="s">
        <v>2024</v>
      </c>
    </row>
    <row r="1388" spans="8:9" x14ac:dyDescent="0.3">
      <c r="H1388" s="153" t="s">
        <v>2049</v>
      </c>
      <c r="I1388" s="153" t="s">
        <v>2024</v>
      </c>
    </row>
    <row r="1389" spans="8:9" x14ac:dyDescent="0.3">
      <c r="H1389" s="153" t="s">
        <v>2049</v>
      </c>
      <c r="I1389" s="153" t="s">
        <v>2024</v>
      </c>
    </row>
    <row r="1390" spans="8:9" x14ac:dyDescent="0.3">
      <c r="H1390" s="153" t="s">
        <v>2060</v>
      </c>
      <c r="I1390" s="153" t="s">
        <v>2023</v>
      </c>
    </row>
    <row r="1391" spans="8:9" x14ac:dyDescent="0.3">
      <c r="H1391" s="153" t="s">
        <v>2060</v>
      </c>
      <c r="I1391" s="153" t="s">
        <v>2023</v>
      </c>
    </row>
    <row r="1392" spans="8:9" x14ac:dyDescent="0.3">
      <c r="H1392" s="153" t="s">
        <v>2032</v>
      </c>
      <c r="I1392" s="153" t="s">
        <v>2802</v>
      </c>
    </row>
    <row r="1393" spans="8:9" x14ac:dyDescent="0.3">
      <c r="H1393" s="153" t="s">
        <v>2037</v>
      </c>
      <c r="I1393" s="153" t="s">
        <v>2802</v>
      </c>
    </row>
    <row r="1394" spans="8:9" x14ac:dyDescent="0.3">
      <c r="H1394" s="153" t="s">
        <v>2043</v>
      </c>
      <c r="I1394" s="153" t="s">
        <v>2802</v>
      </c>
    </row>
    <row r="1395" spans="8:9" x14ac:dyDescent="0.3">
      <c r="H1395" s="153" t="s">
        <v>2037</v>
      </c>
      <c r="I1395" s="153" t="s">
        <v>2802</v>
      </c>
    </row>
    <row r="1396" spans="8:9" x14ac:dyDescent="0.3">
      <c r="H1396" s="153" t="s">
        <v>2061</v>
      </c>
      <c r="I1396" s="153" t="s">
        <v>2802</v>
      </c>
    </row>
    <row r="1397" spans="8:9" x14ac:dyDescent="0.3">
      <c r="H1397" s="153" t="s">
        <v>2037</v>
      </c>
      <c r="I1397" s="153" t="s">
        <v>2802</v>
      </c>
    </row>
    <row r="1398" spans="8:9" x14ac:dyDescent="0.3">
      <c r="H1398" s="153" t="s">
        <v>2033</v>
      </c>
      <c r="I1398" s="153" t="s">
        <v>2802</v>
      </c>
    </row>
    <row r="1399" spans="8:9" x14ac:dyDescent="0.3">
      <c r="H1399" s="153" t="s">
        <v>2055</v>
      </c>
      <c r="I1399" s="153" t="s">
        <v>2802</v>
      </c>
    </row>
    <row r="1400" spans="8:9" x14ac:dyDescent="0.3">
      <c r="H1400" s="153" t="s">
        <v>2028</v>
      </c>
      <c r="I1400" s="153" t="s">
        <v>2023</v>
      </c>
    </row>
    <row r="1401" spans="8:9" x14ac:dyDescent="0.3">
      <c r="H1401" s="153" t="s">
        <v>2040</v>
      </c>
      <c r="I1401" s="153" t="s">
        <v>2802</v>
      </c>
    </row>
    <row r="1402" spans="8:9" x14ac:dyDescent="0.3">
      <c r="H1402" s="153" t="s">
        <v>2945</v>
      </c>
      <c r="I1402" s="153" t="s">
        <v>2859</v>
      </c>
    </row>
    <row r="1403" spans="8:9" x14ac:dyDescent="0.3">
      <c r="H1403" s="153" t="s">
        <v>2039</v>
      </c>
      <c r="I1403" s="153" t="s">
        <v>2802</v>
      </c>
    </row>
    <row r="1404" spans="8:9" x14ac:dyDescent="0.3">
      <c r="H1404" s="153" t="s">
        <v>2063</v>
      </c>
      <c r="I1404" s="153" t="s">
        <v>2802</v>
      </c>
    </row>
    <row r="1405" spans="8:9" x14ac:dyDescent="0.3">
      <c r="H1405" s="153" t="s">
        <v>2041</v>
      </c>
      <c r="I1405" s="153" t="s">
        <v>2802</v>
      </c>
    </row>
    <row r="1406" spans="8:9" x14ac:dyDescent="0.3">
      <c r="H1406" s="153" t="s">
        <v>2041</v>
      </c>
      <c r="I1406" s="153" t="s">
        <v>2802</v>
      </c>
    </row>
    <row r="1407" spans="8:9" x14ac:dyDescent="0.3">
      <c r="H1407" s="153" t="s">
        <v>2032</v>
      </c>
      <c r="I1407" s="153" t="s">
        <v>2802</v>
      </c>
    </row>
    <row r="1408" spans="8:9" x14ac:dyDescent="0.3">
      <c r="H1408" s="153" t="s">
        <v>2039</v>
      </c>
      <c r="I1408" s="153" t="s">
        <v>2802</v>
      </c>
    </row>
    <row r="1409" spans="8:9" x14ac:dyDescent="0.3">
      <c r="H1409" s="153" t="s">
        <v>2060</v>
      </c>
      <c r="I1409" s="153" t="s">
        <v>2023</v>
      </c>
    </row>
    <row r="1410" spans="8:9" x14ac:dyDescent="0.3">
      <c r="H1410" s="153" t="s">
        <v>2061</v>
      </c>
      <c r="I1410" s="153" t="s">
        <v>2802</v>
      </c>
    </row>
    <row r="1411" spans="8:9" x14ac:dyDescent="0.3">
      <c r="H1411" s="153" t="s">
        <v>2031</v>
      </c>
      <c r="I1411" s="153" t="s">
        <v>2024</v>
      </c>
    </row>
    <row r="1412" spans="8:9" x14ac:dyDescent="0.3">
      <c r="H1412" s="153" t="s">
        <v>2037</v>
      </c>
      <c r="I1412" s="153" t="s">
        <v>2802</v>
      </c>
    </row>
    <row r="1413" spans="8:9" x14ac:dyDescent="0.3">
      <c r="H1413" s="153" t="s">
        <v>2039</v>
      </c>
      <c r="I1413" s="153" t="s">
        <v>2802</v>
      </c>
    </row>
    <row r="1414" spans="8:9" x14ac:dyDescent="0.3">
      <c r="H1414" s="153" t="s">
        <v>2059</v>
      </c>
      <c r="I1414" s="153" t="s">
        <v>2024</v>
      </c>
    </row>
    <row r="1415" spans="8:9" x14ac:dyDescent="0.3">
      <c r="H1415" s="153" t="s">
        <v>2028</v>
      </c>
      <c r="I1415" s="153" t="s">
        <v>2023</v>
      </c>
    </row>
    <row r="1416" spans="8:9" x14ac:dyDescent="0.3">
      <c r="H1416" s="153" t="s">
        <v>2062</v>
      </c>
      <c r="I1416" s="153" t="s">
        <v>2023</v>
      </c>
    </row>
    <row r="1417" spans="8:9" x14ac:dyDescent="0.3">
      <c r="H1417" s="153" t="s">
        <v>2032</v>
      </c>
      <c r="I1417" s="153" t="s">
        <v>2802</v>
      </c>
    </row>
    <row r="1418" spans="8:9" x14ac:dyDescent="0.3">
      <c r="H1418" s="153" t="s">
        <v>2836</v>
      </c>
      <c r="I1418" s="153" t="s">
        <v>2802</v>
      </c>
    </row>
    <row r="1419" spans="8:9" x14ac:dyDescent="0.3">
      <c r="H1419" s="153" t="s">
        <v>2039</v>
      </c>
      <c r="I1419" s="153" t="s">
        <v>2802</v>
      </c>
    </row>
    <row r="1420" spans="8:9" x14ac:dyDescent="0.3">
      <c r="H1420" s="153" t="s">
        <v>2041</v>
      </c>
      <c r="I1420" s="153" t="s">
        <v>2802</v>
      </c>
    </row>
    <row r="1421" spans="8:9" x14ac:dyDescent="0.3">
      <c r="H1421" s="153" t="s">
        <v>2840</v>
      </c>
      <c r="I1421" s="153" t="s">
        <v>2802</v>
      </c>
    </row>
    <row r="1422" spans="8:9" x14ac:dyDescent="0.3">
      <c r="H1422" s="153" t="s">
        <v>2048</v>
      </c>
      <c r="I1422" s="153" t="s">
        <v>2802</v>
      </c>
    </row>
    <row r="1423" spans="8:9" x14ac:dyDescent="0.3">
      <c r="H1423" s="153" t="s">
        <v>2945</v>
      </c>
      <c r="I1423" s="153" t="s">
        <v>2859</v>
      </c>
    </row>
    <row r="1424" spans="8:9" x14ac:dyDescent="0.3">
      <c r="H1424" s="153" t="s">
        <v>2043</v>
      </c>
      <c r="I1424" s="153" t="s">
        <v>2802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00338D"/>
    <pageSetUpPr fitToPage="1"/>
  </sheetPr>
  <dimension ref="A1:V253"/>
  <sheetViews>
    <sheetView showGridLines="0" topLeftCell="A121" zoomScale="85" zoomScaleNormal="85" workbookViewId="0">
      <selection activeCell="J20" sqref="J20"/>
    </sheetView>
  </sheetViews>
  <sheetFormatPr defaultColWidth="8.5" defaultRowHeight="13.5" customHeight="1" x14ac:dyDescent="0.3"/>
  <cols>
    <col min="1" max="1" width="1.625" style="110" customWidth="1"/>
    <col min="2" max="2" width="20.625" style="110" customWidth="1"/>
    <col min="3" max="3" width="9.625" style="110" customWidth="1"/>
    <col min="4" max="4" width="9.625" style="110" hidden="1" customWidth="1"/>
    <col min="5" max="7" width="9.625" style="110" customWidth="1"/>
    <col min="8" max="8" width="12.125" style="110" customWidth="1"/>
    <col min="9" max="11" width="9.625" style="110" customWidth="1"/>
    <col min="12" max="12" width="10.625" style="110" customWidth="1"/>
    <col min="13" max="16" width="8.5" style="110"/>
    <col min="17" max="17" width="13.375" style="110" customWidth="1"/>
    <col min="18" max="16384" width="8.5" style="110"/>
  </cols>
  <sheetData>
    <row r="1" spans="2:13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255"/>
      <c r="H1" s="255"/>
      <c r="I1" s="255"/>
      <c r="J1" s="255"/>
      <c r="K1" s="256" t="str">
        <f>Des!C12</f>
        <v>DRAFT - For Discussion Purposes Only</v>
      </c>
    </row>
    <row r="2" spans="2:13" customFormat="1" ht="20.100000000000001" customHeight="1" x14ac:dyDescent="0.3">
      <c r="B2" s="321" t="s">
        <v>23</v>
      </c>
      <c r="C2" s="321"/>
      <c r="D2" s="321"/>
      <c r="E2" s="321"/>
      <c r="F2" s="321"/>
      <c r="G2" s="257"/>
      <c r="H2" s="257"/>
      <c r="I2" s="257"/>
      <c r="J2" s="257"/>
      <c r="K2" s="257"/>
    </row>
    <row r="3" spans="2:13" customFormat="1" ht="14.1" customHeight="1" x14ac:dyDescent="0.3">
      <c r="C3" s="53"/>
      <c r="D3" s="110"/>
      <c r="E3" s="110"/>
      <c r="F3" s="110"/>
      <c r="G3" s="53"/>
      <c r="H3" s="53"/>
      <c r="I3" s="53"/>
    </row>
    <row r="4" spans="2:13" ht="13.5" customHeight="1" x14ac:dyDescent="0.3">
      <c r="B4" s="258" t="s">
        <v>129</v>
      </c>
      <c r="C4" s="295"/>
      <c r="D4" s="295"/>
      <c r="E4" s="295"/>
      <c r="F4" s="295"/>
      <c r="G4" s="377"/>
      <c r="H4" s="377"/>
      <c r="I4" s="377"/>
      <c r="J4" s="377"/>
      <c r="K4" s="297"/>
      <c r="L4" s="297"/>
    </row>
    <row r="5" spans="2:13" s="65" customFormat="1" ht="13.5" customHeight="1" x14ac:dyDescent="0.3">
      <c r="B5" s="298" t="str">
        <f>unit</f>
        <v>KRW Million</v>
      </c>
      <c r="C5" s="299"/>
      <c r="D5" s="299">
        <f>'Pro forma'!D$5</f>
        <v>2014</v>
      </c>
      <c r="E5" s="299">
        <f>'Pro forma'!E$5</f>
        <v>2015</v>
      </c>
      <c r="F5" s="299">
        <f>'Pro forma'!F$5</f>
        <v>2016</v>
      </c>
      <c r="G5" s="419">
        <f>'Pro forma'!G$5</f>
        <v>2017</v>
      </c>
      <c r="H5" s="375">
        <f>'Pro forma'!H$5</f>
        <v>2018</v>
      </c>
      <c r="I5" s="375">
        <f>'Pro forma'!I$5</f>
        <v>2019</v>
      </c>
      <c r="J5" s="375">
        <f>'Pro forma'!J$5</f>
        <v>2020</v>
      </c>
      <c r="K5" s="376">
        <f>'Pro forma'!K$5</f>
        <v>2021</v>
      </c>
      <c r="L5" s="376">
        <f>K5+1</f>
        <v>2022</v>
      </c>
    </row>
    <row r="6" spans="2:13" s="65" customFormat="1" ht="13.5" customHeight="1" x14ac:dyDescent="0.3">
      <c r="B6" s="303" t="s">
        <v>23</v>
      </c>
      <c r="C6" s="305"/>
      <c r="D6" s="305">
        <f>D10+D14+D18+D22+D26</f>
        <v>29590.945906000001</v>
      </c>
      <c r="E6" s="305">
        <f t="shared" ref="E6:G6" si="0">E10+E14+E18+E22+E26</f>
        <v>42664.217374</v>
      </c>
      <c r="F6" s="305">
        <f t="shared" si="0"/>
        <v>59896.716215999993</v>
      </c>
      <c r="G6" s="305">
        <f t="shared" si="0"/>
        <v>66253.174562</v>
      </c>
      <c r="H6" s="305">
        <f t="shared" ref="H6:K6" si="1">H10+H14+H18+H22+H26</f>
        <v>95072.958290544586</v>
      </c>
      <c r="I6" s="305">
        <f t="shared" si="1"/>
        <v>126580.95424566427</v>
      </c>
      <c r="J6" s="305">
        <f t="shared" si="1"/>
        <v>140774.15695423083</v>
      </c>
      <c r="K6" s="305">
        <f t="shared" si="1"/>
        <v>178212.95694066191</v>
      </c>
      <c r="L6" s="307">
        <f t="shared" ref="L6" si="2">L10+L14+L18+L22+L26</f>
        <v>204547.06387206799</v>
      </c>
      <c r="M6" s="550"/>
    </row>
    <row r="7" spans="2:13" s="80" customFormat="1" ht="13.5" customHeight="1" x14ac:dyDescent="0.3">
      <c r="B7" s="360" t="s">
        <v>37</v>
      </c>
      <c r="C7" s="58"/>
      <c r="D7" s="554" t="e">
        <f>D6/C6-1</f>
        <v>#DIV/0!</v>
      </c>
      <c r="E7" s="554">
        <f>E6/D6-1</f>
        <v>0.4417997150050279</v>
      </c>
      <c r="F7" s="554">
        <f>F6/E6-1</f>
        <v>0.40390987817584234</v>
      </c>
      <c r="G7" s="554">
        <f t="shared" ref="G7:L7" si="3">G6/F6-1</f>
        <v>0.10612365330809292</v>
      </c>
      <c r="H7" s="554">
        <f t="shared" si="3"/>
        <v>0.4349947594069612</v>
      </c>
      <c r="I7" s="554">
        <f t="shared" si="3"/>
        <v>0.33140859947610668</v>
      </c>
      <c r="J7" s="554">
        <f t="shared" si="3"/>
        <v>0.11212747441468052</v>
      </c>
      <c r="K7" s="554">
        <f t="shared" si="3"/>
        <v>0.26594938159426063</v>
      </c>
      <c r="L7" s="562">
        <f t="shared" si="3"/>
        <v>0.14776763364166801</v>
      </c>
    </row>
    <row r="8" spans="2:13" ht="13.5" customHeight="1" x14ac:dyDescent="0.3">
      <c r="B8" s="388" t="s">
        <v>58</v>
      </c>
      <c r="C8" s="43"/>
      <c r="D8" s="43"/>
      <c r="E8" s="43">
        <f>E6/E$38</f>
        <v>0.69924834459268714</v>
      </c>
      <c r="F8" s="43">
        <f t="shared" ref="F8:L8" si="4">F6/F$38</f>
        <v>0.73716526255406434</v>
      </c>
      <c r="G8" s="43">
        <f t="shared" si="4"/>
        <v>0.73448183986587545</v>
      </c>
      <c r="H8" s="52">
        <f t="shared" si="4"/>
        <v>0.68887844045926072</v>
      </c>
      <c r="I8" s="43">
        <f t="shared" si="4"/>
        <v>0.69492305972524127</v>
      </c>
      <c r="J8" s="43">
        <f t="shared" si="4"/>
        <v>0.69025610942368132</v>
      </c>
      <c r="K8" s="43">
        <f t="shared" si="4"/>
        <v>0.68224185869967169</v>
      </c>
      <c r="L8" s="314">
        <f t="shared" si="4"/>
        <v>0.67992784237851589</v>
      </c>
    </row>
    <row r="9" spans="2:13" s="159" customFormat="1" ht="13.5" customHeight="1" x14ac:dyDescent="0.3">
      <c r="B9" s="388"/>
      <c r="C9" s="43"/>
      <c r="D9" s="43"/>
      <c r="E9" s="43"/>
      <c r="F9" s="43"/>
      <c r="G9" s="43"/>
      <c r="H9" s="52"/>
      <c r="I9" s="43"/>
      <c r="J9" s="43"/>
      <c r="K9" s="43"/>
      <c r="L9" s="314"/>
    </row>
    <row r="10" spans="2:13" s="159" customFormat="1" ht="13.5" customHeight="1" x14ac:dyDescent="0.3">
      <c r="B10" s="436" t="s">
        <v>2021</v>
      </c>
      <c r="C10" s="43"/>
      <c r="D10" s="90">
        <f>D55</f>
        <v>22199.671657999999</v>
      </c>
      <c r="E10" s="90">
        <f>E52</f>
        <v>32068.789145813371</v>
      </c>
      <c r="F10" s="90">
        <f t="shared" ref="F10:L10" si="5">F52</f>
        <v>47680.799236418439</v>
      </c>
      <c r="G10" s="90">
        <f t="shared" si="5"/>
        <v>51796.93554084369</v>
      </c>
      <c r="H10" s="90">
        <f t="shared" si="5"/>
        <v>76348.171541879201</v>
      </c>
      <c r="I10" s="90">
        <f>I52</f>
        <v>102251.56635463196</v>
      </c>
      <c r="J10" s="90">
        <f t="shared" si="5"/>
        <v>114496.49068366126</v>
      </c>
      <c r="K10" s="90">
        <f t="shared" si="5"/>
        <v>146687.21257812693</v>
      </c>
      <c r="L10" s="90">
        <f t="shared" si="5"/>
        <v>168953.29804998561</v>
      </c>
    </row>
    <row r="11" spans="2:13" s="159" customFormat="1" ht="13.5" customHeight="1" x14ac:dyDescent="0.3">
      <c r="B11" s="437" t="s">
        <v>37</v>
      </c>
      <c r="C11" s="43"/>
      <c r="D11" s="554" t="e">
        <f>D10/C10-1</f>
        <v>#DIV/0!</v>
      </c>
      <c r="E11" s="554">
        <f>E10/D10-1</f>
        <v>0.4445614169368528</v>
      </c>
      <c r="F11" s="554">
        <f>F10/E10-1</f>
        <v>0.48682879854362193</v>
      </c>
      <c r="G11" s="554">
        <f t="shared" ref="G11" si="6">G10/F10-1</f>
        <v>8.6326915033784868E-2</v>
      </c>
      <c r="H11" s="1506">
        <f t="shared" ref="H11" si="7">H10/G10-1</f>
        <v>0.47399012595399603</v>
      </c>
      <c r="I11" s="554">
        <f t="shared" ref="I11" si="8">I10/H10-1</f>
        <v>0.33927983198057321</v>
      </c>
      <c r="J11" s="554">
        <f t="shared" ref="J11" si="9">J10/I10-1</f>
        <v>0.11975292668438042</v>
      </c>
      <c r="K11" s="554">
        <f t="shared" ref="K11:L11" si="10">K10/J10-1</f>
        <v>0.28115029292386251</v>
      </c>
      <c r="L11" s="562">
        <f t="shared" si="10"/>
        <v>0.1517929550948387</v>
      </c>
    </row>
    <row r="12" spans="2:13" s="159" customFormat="1" ht="13.5" customHeight="1" x14ac:dyDescent="0.3">
      <c r="B12" s="438" t="s">
        <v>58</v>
      </c>
      <c r="C12" s="43"/>
      <c r="D12" s="43"/>
      <c r="E12" s="43">
        <f>E10/E$38</f>
        <v>0.52559379038246168</v>
      </c>
      <c r="F12" s="43">
        <f t="shared" ref="F12:L12" si="11">F10/F$38</f>
        <v>0.58682063238907423</v>
      </c>
      <c r="G12" s="43">
        <f t="shared" si="11"/>
        <v>0.57422016027098255</v>
      </c>
      <c r="H12" s="43">
        <f t="shared" si="11"/>
        <v>0.55320261712016816</v>
      </c>
      <c r="I12" s="43">
        <f t="shared" si="11"/>
        <v>0.56135594628994712</v>
      </c>
      <c r="J12" s="43">
        <f t="shared" si="11"/>
        <v>0.56140916707932431</v>
      </c>
      <c r="K12" s="43">
        <f t="shared" si="11"/>
        <v>0.56155376283945901</v>
      </c>
      <c r="L12" s="43">
        <f t="shared" si="11"/>
        <v>0.56161183265729575</v>
      </c>
    </row>
    <row r="13" spans="2:13" s="159" customFormat="1" ht="13.5" customHeight="1" x14ac:dyDescent="0.3">
      <c r="B13" s="438"/>
      <c r="C13" s="43"/>
      <c r="D13" s="43"/>
      <c r="E13" s="43"/>
      <c r="F13" s="43"/>
      <c r="G13" s="43"/>
      <c r="H13" s="52"/>
      <c r="I13" s="43"/>
      <c r="J13" s="43"/>
      <c r="K13" s="43"/>
      <c r="L13" s="314"/>
    </row>
    <row r="14" spans="2:13" s="159" customFormat="1" ht="13.5" customHeight="1" x14ac:dyDescent="0.3">
      <c r="B14" s="436" t="s">
        <v>69</v>
      </c>
      <c r="C14" s="43"/>
      <c r="D14" s="90">
        <f>매출원가!D132</f>
        <v>3818.7206529999999</v>
      </c>
      <c r="E14" s="90">
        <f>E132</f>
        <v>4291.4570592404343</v>
      </c>
      <c r="F14" s="90">
        <f t="shared" ref="F14:L14" si="12">F132</f>
        <v>4227.8006108963</v>
      </c>
      <c r="G14" s="90">
        <f t="shared" si="12"/>
        <v>4873.3770900548961</v>
      </c>
      <c r="H14" s="90">
        <f t="shared" si="12"/>
        <v>5704.6700986674623</v>
      </c>
      <c r="I14" s="90">
        <f t="shared" si="12"/>
        <v>7690.6661117151971</v>
      </c>
      <c r="J14" s="90">
        <f t="shared" si="12"/>
        <v>9753.7211710154697</v>
      </c>
      <c r="K14" s="90">
        <f t="shared" si="12"/>
        <v>11035.96407804724</v>
      </c>
      <c r="L14" s="90">
        <f t="shared" si="12"/>
        <v>12222.465350483895</v>
      </c>
    </row>
    <row r="15" spans="2:13" s="159" customFormat="1" ht="13.5" customHeight="1" x14ac:dyDescent="0.3">
      <c r="B15" s="437" t="s">
        <v>37</v>
      </c>
      <c r="C15" s="43"/>
      <c r="D15" s="554" t="e">
        <f>D14/C14-1</f>
        <v>#DIV/0!</v>
      </c>
      <c r="E15" s="554">
        <f>E14/D14-1</f>
        <v>0.12379444562645636</v>
      </c>
      <c r="F15" s="554">
        <f>F14/E14-1</f>
        <v>-1.4833294954464948E-2</v>
      </c>
      <c r="G15" s="554">
        <f t="shared" ref="G15" si="13">G14/F14-1</f>
        <v>0.15269794831259387</v>
      </c>
      <c r="H15" s="554">
        <f t="shared" ref="H15" si="14">H14/G14-1</f>
        <v>0.17057842913674515</v>
      </c>
      <c r="I15" s="554">
        <f t="shared" ref="I15" si="15">I14/H14-1</f>
        <v>0.34813512064643981</v>
      </c>
      <c r="J15" s="554">
        <f t="shared" ref="J15" si="16">J14/I14-1</f>
        <v>0.26825440466822759</v>
      </c>
      <c r="K15" s="554">
        <f t="shared" ref="K15:L15" si="17">K14/J14-1</f>
        <v>0.13146191946127517</v>
      </c>
      <c r="L15" s="562">
        <f t="shared" si="17"/>
        <v>0.10751224487916256</v>
      </c>
    </row>
    <row r="16" spans="2:13" s="159" customFormat="1" ht="13.5" customHeight="1" x14ac:dyDescent="0.3">
      <c r="B16" s="438" t="s">
        <v>58</v>
      </c>
      <c r="C16" s="43"/>
      <c r="D16" s="43"/>
      <c r="E16" s="43">
        <f>E14/E$38</f>
        <v>7.0335152717302368E-2</v>
      </c>
      <c r="F16" s="43">
        <f t="shared" ref="F16:L16" si="18">F14/F$38</f>
        <v>5.2032698021683567E-2</v>
      </c>
      <c r="G16" s="43">
        <f t="shared" si="18"/>
        <v>5.4026195652166098E-2</v>
      </c>
      <c r="H16" s="52">
        <f t="shared" si="18"/>
        <v>4.1334826553887261E-2</v>
      </c>
      <c r="I16" s="43">
        <f t="shared" si="18"/>
        <v>4.2221369379994302E-2</v>
      </c>
      <c r="J16" s="43">
        <f t="shared" si="18"/>
        <v>4.7825295306847093E-2</v>
      </c>
      <c r="K16" s="43">
        <f t="shared" si="18"/>
        <v>4.2248312212544076E-2</v>
      </c>
      <c r="L16" s="314">
        <f t="shared" si="18"/>
        <v>4.0628275649550967E-2</v>
      </c>
    </row>
    <row r="17" spans="2:16" s="159" customFormat="1" ht="13.5" customHeight="1" x14ac:dyDescent="0.3">
      <c r="B17" s="438"/>
      <c r="C17" s="43"/>
      <c r="D17" s="43"/>
      <c r="E17" s="43"/>
      <c r="F17" s="43"/>
      <c r="G17" s="43"/>
      <c r="H17" s="52"/>
      <c r="I17" s="43"/>
      <c r="J17" s="43"/>
      <c r="K17" s="43"/>
      <c r="L17" s="314"/>
      <c r="P17" s="886"/>
    </row>
    <row r="18" spans="2:16" s="159" customFormat="1" ht="13.5" customHeight="1" x14ac:dyDescent="0.3">
      <c r="B18" s="436" t="s">
        <v>2069</v>
      </c>
      <c r="C18" s="43"/>
      <c r="D18" s="90">
        <f>D167</f>
        <v>1983.9651739999999</v>
      </c>
      <c r="E18" s="90">
        <f>E167</f>
        <v>4507.8827881456918</v>
      </c>
      <c r="F18" s="90">
        <f t="shared" ref="F18:L18" si="19">F167</f>
        <v>6083.9450467084562</v>
      </c>
      <c r="G18" s="90">
        <f t="shared" si="19"/>
        <v>7630.1531837753482</v>
      </c>
      <c r="H18" s="90">
        <f t="shared" si="19"/>
        <v>11079.237928870516</v>
      </c>
      <c r="I18" s="90">
        <f t="shared" si="19"/>
        <v>14637.925513800235</v>
      </c>
      <c r="J18" s="90">
        <f t="shared" si="19"/>
        <v>14363.356749498031</v>
      </c>
      <c r="K18" s="90">
        <f t="shared" si="19"/>
        <v>18050.98972966582</v>
      </c>
      <c r="L18" s="90">
        <f t="shared" si="19"/>
        <v>20755.431013348138</v>
      </c>
      <c r="P18" s="886"/>
    </row>
    <row r="19" spans="2:16" s="159" customFormat="1" ht="13.5" customHeight="1" x14ac:dyDescent="0.3">
      <c r="B19" s="437" t="s">
        <v>37</v>
      </c>
      <c r="C19" s="43"/>
      <c r="D19" s="554" t="e">
        <f>D18/C18-1</f>
        <v>#DIV/0!</v>
      </c>
      <c r="E19" s="554">
        <f>E18/D18-1</f>
        <v>1.2721582249637273</v>
      </c>
      <c r="F19" s="554">
        <f>F18/E18-1</f>
        <v>0.34962361104581308</v>
      </c>
      <c r="G19" s="554">
        <f t="shared" ref="G19" si="20">G18/F18-1</f>
        <v>0.2541456448400079</v>
      </c>
      <c r="H19" s="554">
        <f t="shared" ref="H19" si="21">H18/G18-1</f>
        <v>0.4520334863563753</v>
      </c>
      <c r="I19" s="554">
        <f t="shared" ref="I19" si="22">I18/H18-1</f>
        <v>0.32120328201061699</v>
      </c>
      <c r="J19" s="554">
        <f t="shared" ref="J19" si="23">J18/I18-1</f>
        <v>-1.8757354930065029E-2</v>
      </c>
      <c r="K19" s="554">
        <f t="shared" ref="K19:L19" si="24">K18/J18-1</f>
        <v>0.2567389395446622</v>
      </c>
      <c r="L19" s="562">
        <f t="shared" si="24"/>
        <v>0.1498223268742831</v>
      </c>
      <c r="P19" s="886"/>
    </row>
    <row r="20" spans="2:16" s="159" customFormat="1" ht="13.5" customHeight="1" x14ac:dyDescent="0.3">
      <c r="B20" s="438" t="s">
        <v>58</v>
      </c>
      <c r="C20" s="43"/>
      <c r="D20" s="43"/>
      <c r="E20" s="43">
        <f>E18/E$38</f>
        <v>7.3882278200412543E-2</v>
      </c>
      <c r="F20" s="43">
        <f t="shared" ref="F20:L20" si="25">F18/F$38</f>
        <v>7.4876775073076718E-2</v>
      </c>
      <c r="G20" s="43">
        <f t="shared" si="25"/>
        <v>8.4587779920392223E-2</v>
      </c>
      <c r="H20" s="52">
        <f t="shared" si="25"/>
        <v>8.0277802259956288E-2</v>
      </c>
      <c r="I20" s="43">
        <f t="shared" si="25"/>
        <v>8.0361473388313148E-2</v>
      </c>
      <c r="J20" s="43">
        <f t="shared" si="25"/>
        <v>7.0427662027457927E-2</v>
      </c>
      <c r="K20" s="43">
        <f t="shared" si="25"/>
        <v>6.9103509621000023E-2</v>
      </c>
      <c r="L20" s="314">
        <f t="shared" si="25"/>
        <v>6.8992412598834818E-2</v>
      </c>
      <c r="P20" s="886"/>
    </row>
    <row r="21" spans="2:16" s="159" customFormat="1" ht="13.5" customHeight="1" x14ac:dyDescent="0.3">
      <c r="B21" s="438"/>
      <c r="C21" s="43"/>
      <c r="D21" s="43"/>
      <c r="E21" s="43"/>
      <c r="F21" s="43"/>
      <c r="G21" s="43"/>
      <c r="H21" s="52"/>
      <c r="I21" s="43"/>
      <c r="J21" s="43"/>
      <c r="K21" s="43"/>
      <c r="L21" s="314"/>
    </row>
    <row r="22" spans="2:16" s="159" customFormat="1" ht="13.5" customHeight="1" x14ac:dyDescent="0.3">
      <c r="B22" s="436" t="s">
        <v>2070</v>
      </c>
      <c r="C22" s="43"/>
      <c r="D22" s="90">
        <f>D209</f>
        <v>1068.745778</v>
      </c>
      <c r="E22" s="90">
        <f>E209</f>
        <v>1281.9464883380481</v>
      </c>
      <c r="F22" s="90">
        <f t="shared" ref="F22:L22" si="26">F209</f>
        <v>1396.8330064384847</v>
      </c>
      <c r="G22" s="90">
        <f t="shared" si="26"/>
        <v>1319.6515319348957</v>
      </c>
      <c r="H22" s="90">
        <f t="shared" si="26"/>
        <v>1340.765956445854</v>
      </c>
      <c r="I22" s="90">
        <f t="shared" si="26"/>
        <v>1359.536679836096</v>
      </c>
      <c r="J22" s="90">
        <f t="shared" si="26"/>
        <v>1378.5701933538014</v>
      </c>
      <c r="K22" s="90">
        <f t="shared" si="26"/>
        <v>1402.0058866408158</v>
      </c>
      <c r="L22" s="90">
        <f t="shared" si="26"/>
        <v>1425.8399867137098</v>
      </c>
    </row>
    <row r="23" spans="2:16" s="159" customFormat="1" ht="13.5" customHeight="1" x14ac:dyDescent="0.3">
      <c r="B23" s="437" t="s">
        <v>37</v>
      </c>
      <c r="C23" s="43"/>
      <c r="D23" s="554" t="e">
        <f>D22/C22-1</f>
        <v>#DIV/0!</v>
      </c>
      <c r="E23" s="554">
        <f>E22/D22-1</f>
        <v>0.19948683281539759</v>
      </c>
      <c r="F23" s="554">
        <f>F22/E22-1</f>
        <v>8.9618809478840822E-2</v>
      </c>
      <c r="G23" s="554">
        <f t="shared" ref="G23" si="27">G22/F22-1</f>
        <v>-5.5254618231265318E-2</v>
      </c>
      <c r="H23" s="554">
        <f t="shared" ref="H23" si="28">H22/G22-1</f>
        <v>1.6000000000000014E-2</v>
      </c>
      <c r="I23" s="554">
        <f t="shared" ref="I23" si="29">I22/H22-1</f>
        <v>1.4000000000000012E-2</v>
      </c>
      <c r="J23" s="554">
        <f t="shared" ref="J23" si="30">J22/I22-1</f>
        <v>1.4000000000000012E-2</v>
      </c>
      <c r="K23" s="554">
        <f t="shared" ref="K23:L23" si="31">K22/J22-1</f>
        <v>1.6999999999999904E-2</v>
      </c>
      <c r="L23" s="562">
        <f t="shared" si="31"/>
        <v>1.7000000000000126E-2</v>
      </c>
    </row>
    <row r="24" spans="2:16" s="159" customFormat="1" ht="13.5" customHeight="1" x14ac:dyDescent="0.3">
      <c r="B24" s="438" t="s">
        <v>58</v>
      </c>
      <c r="C24" s="43"/>
      <c r="D24" s="43"/>
      <c r="E24" s="43">
        <f>E22/E$38</f>
        <v>2.1010556738187424E-2</v>
      </c>
      <c r="F24" s="43">
        <f t="shared" ref="F24:L24" si="32">F22/F$38</f>
        <v>1.7191205711880906E-2</v>
      </c>
      <c r="G24" s="43">
        <f t="shared" si="32"/>
        <v>1.4629639886166142E-2</v>
      </c>
      <c r="H24" s="52">
        <f t="shared" si="32"/>
        <v>9.7149050340337145E-3</v>
      </c>
      <c r="I24" s="43">
        <f t="shared" si="32"/>
        <v>7.4637878580596697E-3</v>
      </c>
      <c r="J24" s="43">
        <f t="shared" si="32"/>
        <v>6.7595254613474617E-3</v>
      </c>
      <c r="K24" s="43">
        <f t="shared" si="32"/>
        <v>5.3672141376801888E-3</v>
      </c>
      <c r="L24" s="314">
        <f t="shared" si="32"/>
        <v>4.7395855378770391E-3</v>
      </c>
    </row>
    <row r="25" spans="2:16" s="159" customFormat="1" ht="13.5" customHeight="1" x14ac:dyDescent="0.3">
      <c r="B25" s="388"/>
      <c r="C25" s="43"/>
      <c r="D25" s="43"/>
      <c r="E25" s="43"/>
      <c r="F25" s="43"/>
      <c r="G25" s="43"/>
      <c r="H25" s="52"/>
      <c r="I25" s="43"/>
      <c r="J25" s="43"/>
      <c r="K25" s="43"/>
      <c r="L25" s="314"/>
    </row>
    <row r="26" spans="2:16" s="159" customFormat="1" ht="13.5" customHeight="1" x14ac:dyDescent="0.3">
      <c r="B26" s="436" t="s">
        <v>90</v>
      </c>
      <c r="C26" s="43"/>
      <c r="D26" s="90">
        <f>D243</f>
        <v>519.84264299999995</v>
      </c>
      <c r="E26" s="90">
        <f>E243</f>
        <v>514.14189246245746</v>
      </c>
      <c r="F26" s="90">
        <f t="shared" ref="F26:L26" si="33">F243</f>
        <v>507.33831553831476</v>
      </c>
      <c r="G26" s="90">
        <f t="shared" si="33"/>
        <v>633.05721539116996</v>
      </c>
      <c r="H26" s="90">
        <f t="shared" si="33"/>
        <v>600.11276468156132</v>
      </c>
      <c r="I26" s="90">
        <f t="shared" si="33"/>
        <v>641.25958568079648</v>
      </c>
      <c r="J26" s="90">
        <f t="shared" si="33"/>
        <v>782.01815670224767</v>
      </c>
      <c r="K26" s="90">
        <f t="shared" si="33"/>
        <v>1036.7846681810984</v>
      </c>
      <c r="L26" s="90">
        <f t="shared" si="33"/>
        <v>1190.0294715366365</v>
      </c>
    </row>
    <row r="27" spans="2:16" s="159" customFormat="1" ht="13.5" customHeight="1" x14ac:dyDescent="0.3">
      <c r="B27" s="437" t="s">
        <v>37</v>
      </c>
      <c r="C27" s="43"/>
      <c r="D27" s="554" t="e">
        <f>D26/C26-1</f>
        <v>#DIV/0!</v>
      </c>
      <c r="E27" s="554">
        <f>E26/D26-1</f>
        <v>-1.0966300310885635E-2</v>
      </c>
      <c r="F27" s="554">
        <f>F26/E26-1</f>
        <v>-1.323287797373851E-2</v>
      </c>
      <c r="G27" s="554">
        <f t="shared" ref="G27" si="34">G26/F26-1</f>
        <v>0.24780091706548979</v>
      </c>
      <c r="H27" s="554">
        <f t="shared" ref="H27" si="35">H26/G26-1</f>
        <v>-5.2040242032865947E-2</v>
      </c>
      <c r="I27" s="554">
        <f t="shared" ref="I27" si="36">I26/H26-1</f>
        <v>6.8565148786776664E-2</v>
      </c>
      <c r="J27" s="554">
        <f t="shared" ref="J27" si="37">J26/I26-1</f>
        <v>0.21950326227406669</v>
      </c>
      <c r="K27" s="554">
        <f t="shared" ref="K27:L27" si="38">K26/J26-1</f>
        <v>0.32578081377700374</v>
      </c>
      <c r="L27" s="562">
        <f t="shared" si="38"/>
        <v>0.14780774451881684</v>
      </c>
    </row>
    <row r="28" spans="2:16" s="159" customFormat="1" ht="13.5" customHeight="1" x14ac:dyDescent="0.3">
      <c r="B28" s="438" t="s">
        <v>58</v>
      </c>
      <c r="C28" s="43"/>
      <c r="D28" s="43"/>
      <c r="E28" s="43">
        <f>E26/E$38</f>
        <v>8.4265665543232365E-3</v>
      </c>
      <c r="F28" s="43">
        <f t="shared" ref="F28:L28" si="39">F26/F$38</f>
        <v>6.2439513583490138E-3</v>
      </c>
      <c r="G28" s="43">
        <f t="shared" si="39"/>
        <v>7.0180641361683631E-3</v>
      </c>
      <c r="H28" s="52">
        <f t="shared" si="39"/>
        <v>4.3482894912153392E-3</v>
      </c>
      <c r="I28" s="43">
        <f t="shared" si="39"/>
        <v>3.5204828089270266E-3</v>
      </c>
      <c r="J28" s="43">
        <f t="shared" si="39"/>
        <v>3.8344595487044704E-3</v>
      </c>
      <c r="K28" s="43">
        <f t="shared" si="39"/>
        <v>3.9690598889883825E-3</v>
      </c>
      <c r="L28" s="314">
        <f t="shared" si="39"/>
        <v>3.9557359349573261E-3</v>
      </c>
    </row>
    <row r="29" spans="2:16" ht="13.5" customHeight="1" x14ac:dyDescent="0.3">
      <c r="B29" s="389"/>
      <c r="C29" s="390"/>
      <c r="D29" s="390"/>
      <c r="E29" s="390"/>
      <c r="F29" s="390"/>
      <c r="G29" s="390"/>
      <c r="H29" s="390"/>
      <c r="I29" s="390"/>
      <c r="J29" s="390"/>
      <c r="K29" s="390"/>
      <c r="L29" s="391"/>
    </row>
    <row r="30" spans="2:16" ht="13.5" customHeight="1" x14ac:dyDescent="0.3">
      <c r="B30" s="59"/>
      <c r="C30" s="43"/>
      <c r="D30" s="811" t="b">
        <f>D6=(MC!D5+MC!D9+MC!D14)/10^6</f>
        <v>1</v>
      </c>
      <c r="E30" s="811"/>
      <c r="F30" s="811"/>
      <c r="G30" s="43"/>
      <c r="H30" s="43"/>
      <c r="I30" s="43"/>
      <c r="J30" s="43"/>
      <c r="K30" s="43"/>
    </row>
    <row r="31" spans="2:16" s="159" customFormat="1" ht="13.5" customHeight="1" x14ac:dyDescent="0.3">
      <c r="B31" s="812"/>
      <c r="C31" s="43"/>
      <c r="D31" s="811" t="b">
        <f>D6=IS!D11/10^6</f>
        <v>1</v>
      </c>
      <c r="E31" s="811"/>
      <c r="F31" s="811"/>
      <c r="G31" s="43"/>
      <c r="H31" s="43"/>
      <c r="I31" s="43"/>
      <c r="J31" s="43"/>
      <c r="K31" s="43"/>
    </row>
    <row r="32" spans="2:16" s="100" customFormat="1" ht="13.5" customHeight="1" x14ac:dyDescent="0.3">
      <c r="B32" s="382" t="s">
        <v>135</v>
      </c>
      <c r="C32" s="383"/>
      <c r="D32" s="383"/>
      <c r="E32" s="383"/>
      <c r="F32" s="383"/>
      <c r="G32" s="383"/>
      <c r="H32" s="383"/>
      <c r="I32" s="383"/>
      <c r="J32" s="383"/>
      <c r="K32" s="384"/>
      <c r="L32" s="384"/>
      <c r="M32" s="118"/>
    </row>
    <row r="33" spans="2:16" s="65" customFormat="1" ht="13.5" customHeight="1" x14ac:dyDescent="0.3">
      <c r="B33" s="378" t="s">
        <v>136</v>
      </c>
      <c r="C33" s="379"/>
      <c r="D33" s="379">
        <f t="shared" ref="D33:K33" si="40">D$5</f>
        <v>2014</v>
      </c>
      <c r="E33" s="379">
        <f t="shared" si="40"/>
        <v>2015</v>
      </c>
      <c r="F33" s="379">
        <f t="shared" si="40"/>
        <v>2016</v>
      </c>
      <c r="G33" s="380">
        <f t="shared" si="40"/>
        <v>2017</v>
      </c>
      <c r="H33" s="380">
        <f t="shared" si="40"/>
        <v>2018</v>
      </c>
      <c r="I33" s="380">
        <f t="shared" si="40"/>
        <v>2019</v>
      </c>
      <c r="J33" s="380">
        <f t="shared" si="40"/>
        <v>2020</v>
      </c>
      <c r="K33" s="460">
        <f t="shared" si="40"/>
        <v>2021</v>
      </c>
      <c r="L33" s="381">
        <v>2022</v>
      </c>
    </row>
    <row r="34" spans="2:16" s="159" customFormat="1" ht="13.5" customHeight="1" x14ac:dyDescent="0.15">
      <c r="B34" s="648" t="s">
        <v>607</v>
      </c>
      <c r="C34" s="363"/>
      <c r="D34" s="364">
        <f>Macro!D6/100</f>
        <v>3.3410000000000002E-2</v>
      </c>
      <c r="E34" s="364">
        <f>Macro!E6/100</f>
        <v>2.7900000000000001E-2</v>
      </c>
      <c r="F34" s="364">
        <f>Macro!F6/100</f>
        <v>2.828E-2</v>
      </c>
      <c r="G34" s="364">
        <f>Macro!G6/100</f>
        <v>0.03</v>
      </c>
      <c r="H34" s="364">
        <f>Macro!H6/100</f>
        <v>2.3E-2</v>
      </c>
      <c r="I34" s="364">
        <f>Macro!I6/100</f>
        <v>2.5000000000000001E-2</v>
      </c>
      <c r="J34" s="364">
        <f>Macro!J6/100</f>
        <v>2.2000000000000002E-2</v>
      </c>
      <c r="K34" s="364">
        <f>Macro!K6/100</f>
        <v>2.7999999999999997E-2</v>
      </c>
      <c r="L34" s="1308">
        <f>K34</f>
        <v>2.7999999999999997E-2</v>
      </c>
    </row>
    <row r="35" spans="2:16" s="159" customFormat="1" ht="13.5" customHeight="1" x14ac:dyDescent="0.15">
      <c r="B35" s="649" t="s">
        <v>615</v>
      </c>
      <c r="C35" s="654"/>
      <c r="D35" s="367">
        <f>Macro!D7/100</f>
        <v>1.2749999999999999E-2</v>
      </c>
      <c r="E35" s="367">
        <f>Macro!E7/100</f>
        <v>7.0799999999999995E-3</v>
      </c>
      <c r="F35" s="367">
        <f>Macro!F7/100</f>
        <v>9.7199999999999995E-3</v>
      </c>
      <c r="G35" s="367">
        <f>Macro!G7/100</f>
        <v>0.02</v>
      </c>
      <c r="H35" s="367">
        <f>Macro!H7/100</f>
        <v>1.6E-2</v>
      </c>
      <c r="I35" s="367">
        <f>Macro!I7/100</f>
        <v>1.3999999999999999E-2</v>
      </c>
      <c r="J35" s="367">
        <f>Macro!J7/100</f>
        <v>1.3999999999999999E-2</v>
      </c>
      <c r="K35" s="367">
        <f>Macro!K7/100</f>
        <v>1.7000000000000001E-2</v>
      </c>
      <c r="L35" s="1308">
        <f t="shared" ref="L35:L37" si="41">K35</f>
        <v>1.7000000000000001E-2</v>
      </c>
    </row>
    <row r="36" spans="2:16" s="159" customFormat="1" ht="13.5" customHeight="1" x14ac:dyDescent="0.15">
      <c r="B36" s="649" t="s">
        <v>616</v>
      </c>
      <c r="C36" s="366"/>
      <c r="D36" s="367">
        <f>Macro!D8/100</f>
        <v>2.5539999999999997E-2</v>
      </c>
      <c r="E36" s="367">
        <f>Macro!E8/100</f>
        <v>3.4140000000000004E-2</v>
      </c>
      <c r="F36" s="367">
        <f>Macro!F8/100</f>
        <v>3.807E-2</v>
      </c>
      <c r="G36" s="367">
        <f>Macro!G8/100</f>
        <v>4.2000000000000003E-2</v>
      </c>
      <c r="H36" s="367">
        <f>Macro!H8/100</f>
        <v>3.6000000000000004E-2</v>
      </c>
      <c r="I36" s="367">
        <f>Macro!I8/100</f>
        <v>3.4000000000000002E-2</v>
      </c>
      <c r="J36" s="367">
        <f>Macro!J8/100</f>
        <v>3.6000000000000004E-2</v>
      </c>
      <c r="K36" s="367">
        <f>Macro!K8/100</f>
        <v>3.9E-2</v>
      </c>
      <c r="L36" s="1308">
        <f t="shared" si="41"/>
        <v>3.9E-2</v>
      </c>
    </row>
    <row r="37" spans="2:16" s="159" customFormat="1" ht="13.5" customHeight="1" x14ac:dyDescent="0.15">
      <c r="B37" s="650" t="s">
        <v>646</v>
      </c>
      <c r="C37" s="369"/>
      <c r="D37" s="370">
        <f>Macro!D9/100</f>
        <v>1.2629999999999999E-2</v>
      </c>
      <c r="E37" s="370">
        <f>Macro!E9/100</f>
        <v>2.6869999999999998E-2</v>
      </c>
      <c r="F37" s="370">
        <f>Macro!F9/100</f>
        <v>2.8079999999999997E-2</v>
      </c>
      <c r="G37" s="370">
        <f>Macro!G9/100</f>
        <v>2.2000000000000002E-2</v>
      </c>
      <c r="H37" s="370">
        <f>Macro!H9/100</f>
        <v>1.9E-2</v>
      </c>
      <c r="I37" s="370">
        <f>Macro!I9/100</f>
        <v>1.9E-2</v>
      </c>
      <c r="J37" s="370">
        <f>Macro!J9/100</f>
        <v>2.2000000000000002E-2</v>
      </c>
      <c r="K37" s="370">
        <f>Macro!K9/100</f>
        <v>2.2000000000000002E-2</v>
      </c>
      <c r="L37" s="1310">
        <f t="shared" si="41"/>
        <v>2.2000000000000002E-2</v>
      </c>
    </row>
    <row r="38" spans="2:16" s="159" customFormat="1" ht="13.5" customHeight="1" x14ac:dyDescent="0.3">
      <c r="B38" s="78" t="s">
        <v>467</v>
      </c>
      <c r="C38" s="81"/>
      <c r="D38" s="92" t="e">
        <f>#REF!</f>
        <v>#REF!</v>
      </c>
      <c r="E38" s="92">
        <f>'Pro forma'!E6-E48</f>
        <v>61014.398824000004</v>
      </c>
      <c r="F38" s="92">
        <f>'Pro forma'!F6-F48</f>
        <v>81252.76550400001</v>
      </c>
      <c r="G38" s="92">
        <f>'Pro forma'!G6-G48</f>
        <v>90203.965525000007</v>
      </c>
      <c r="H38" s="92">
        <f>'Pro forma'!H6</f>
        <v>138011.22622905931</v>
      </c>
      <c r="I38" s="92">
        <f>'Pro forma'!I6</f>
        <v>182151.03452706241</v>
      </c>
      <c r="J38" s="92">
        <f>'Pro forma'!J6</f>
        <v>203944.81849898878</v>
      </c>
      <c r="K38" s="92">
        <f>'Pro forma'!K6</f>
        <v>261216.68535602515</v>
      </c>
      <c r="L38" s="92">
        <f>'Pro forma'!L6</f>
        <v>300836.4286959095</v>
      </c>
    </row>
    <row r="39" spans="2:16" s="159" customFormat="1" ht="13.5" customHeight="1" x14ac:dyDescent="0.3">
      <c r="B39" s="553" t="s">
        <v>3030</v>
      </c>
      <c r="C39" s="81"/>
      <c r="D39" s="92"/>
      <c r="E39" s="92">
        <f>매출액!D10/10^6</f>
        <v>34316.995393999998</v>
      </c>
      <c r="F39" s="92">
        <f>매출액!E10/10^6</f>
        <v>40921.440045000003</v>
      </c>
      <c r="G39" s="92">
        <f>매출액!F10/10^6</f>
        <v>48663.640859727275</v>
      </c>
      <c r="H39" s="92">
        <f>매출액!G10/10^6</f>
        <v>49040.800000000003</v>
      </c>
      <c r="I39" s="92">
        <f>매출액!H10/10^6</f>
        <v>62601.7</v>
      </c>
      <c r="J39" s="92">
        <f>매출액!I10/10^6</f>
        <v>82093.2</v>
      </c>
      <c r="K39" s="92">
        <f>매출액!J10/10^6</f>
        <v>89632.2</v>
      </c>
      <c r="L39" s="885">
        <f>매출액!K10/10^6</f>
        <v>96991.9</v>
      </c>
    </row>
    <row r="40" spans="2:16" s="159" customFormat="1" ht="13.5" customHeight="1" x14ac:dyDescent="0.3">
      <c r="B40" s="553" t="s">
        <v>3031</v>
      </c>
      <c r="C40" s="81"/>
      <c r="D40" s="92"/>
      <c r="E40" s="92">
        <f>매출액!D56/10^6</f>
        <v>870.97954600000003</v>
      </c>
      <c r="F40" s="92">
        <f>매출액!E56/10^6</f>
        <v>20781.154580999999</v>
      </c>
      <c r="G40" s="92">
        <f>매출액!F56/10^6</f>
        <v>3467.3120779999999</v>
      </c>
      <c r="H40" s="92">
        <f>매출액!G56/10^6</f>
        <v>9332</v>
      </c>
      <c r="I40" s="92">
        <f>매출액!H56/10^6</f>
        <v>13558</v>
      </c>
      <c r="J40" s="92">
        <f>매출액!I56/10^6</f>
        <v>19319.5</v>
      </c>
      <c r="K40" s="92">
        <f>매출액!J56/10^6</f>
        <v>22827.9</v>
      </c>
      <c r="L40" s="885">
        <f>매출액!K56/10^6</f>
        <v>25928</v>
      </c>
    </row>
    <row r="41" spans="2:16" s="159" customFormat="1" ht="13.5" customHeight="1" x14ac:dyDescent="0.3">
      <c r="B41" s="553" t="s">
        <v>3032</v>
      </c>
      <c r="C41" s="81"/>
      <c r="D41" s="92"/>
      <c r="E41" s="92">
        <f>매출액!D97/10^6</f>
        <v>18172.158092999998</v>
      </c>
      <c r="F41" s="92">
        <f>매출액!E97/10^6</f>
        <v>11452.486819545455</v>
      </c>
      <c r="G41" s="92">
        <f>매출액!F97/10^6</f>
        <v>26083.747363545455</v>
      </c>
      <c r="H41" s="92">
        <f>매출액!G97/10^6</f>
        <v>41420</v>
      </c>
      <c r="I41" s="92">
        <f>매출액!H97/10^6</f>
        <v>50014.500000000007</v>
      </c>
      <c r="J41" s="92">
        <f>매출액!I97/10^6</f>
        <v>59321.499999999993</v>
      </c>
      <c r="K41" s="92">
        <f>매출액!J97/10^6</f>
        <v>65377.500000000007</v>
      </c>
      <c r="L41" s="885">
        <f>매출액!K97/10^6</f>
        <v>68774</v>
      </c>
    </row>
    <row r="42" spans="2:16" s="159" customFormat="1" ht="13.5" customHeight="1" x14ac:dyDescent="0.3">
      <c r="B42" s="553" t="s">
        <v>3033</v>
      </c>
      <c r="C42" s="81"/>
      <c r="D42" s="92"/>
      <c r="E42" s="92">
        <f>매출액!D138/10^6</f>
        <v>1769.1896180000001</v>
      </c>
      <c r="F42" s="92">
        <f>매출액!E138/10^6</f>
        <v>1807.063948</v>
      </c>
      <c r="G42" s="92">
        <f>매출액!F138/10^6</f>
        <v>817.15555500000005</v>
      </c>
      <c r="H42" s="92">
        <f>매출액!G138/10^6</f>
        <v>0</v>
      </c>
      <c r="I42" s="92">
        <f>매출액!H138/10^6</f>
        <v>0</v>
      </c>
      <c r="J42" s="92">
        <f>매출액!I138/10^6</f>
        <v>0</v>
      </c>
      <c r="K42" s="92">
        <f>매출액!J138/10^6</f>
        <v>0</v>
      </c>
      <c r="L42" s="1309"/>
    </row>
    <row r="43" spans="2:16" s="159" customFormat="1" ht="13.5" customHeight="1" x14ac:dyDescent="0.3">
      <c r="B43" s="553" t="s">
        <v>7544</v>
      </c>
      <c r="C43" s="81"/>
      <c r="D43" s="92"/>
      <c r="E43" s="92"/>
      <c r="F43" s="92"/>
      <c r="G43" s="92"/>
      <c r="H43" s="92">
        <f>'매출액(보고서)'!G141</f>
        <v>12250</v>
      </c>
      <c r="I43" s="92">
        <f>'매출액(보고서)'!H141</f>
        <v>16756</v>
      </c>
      <c r="J43" s="92">
        <f>'매출액(보고서)'!I141</f>
        <v>27222.5</v>
      </c>
      <c r="K43" s="92">
        <f>'매출액(보고서)'!J141</f>
        <v>30161</v>
      </c>
      <c r="L43" s="1693">
        <f>'매출액(보고서)'!K141</f>
        <v>34660</v>
      </c>
    </row>
    <row r="44" spans="2:16" s="159" customFormat="1" ht="13.5" customHeight="1" x14ac:dyDescent="0.3">
      <c r="B44" s="553" t="s">
        <v>7545</v>
      </c>
      <c r="C44" s="81"/>
      <c r="D44" s="92"/>
      <c r="E44" s="92"/>
      <c r="F44" s="92"/>
      <c r="G44" s="92"/>
      <c r="H44" s="92">
        <f>'매출액(보고서)'!G158</f>
        <v>28842.666666666668</v>
      </c>
      <c r="I44" s="92">
        <f>'매출액(보고서)'!H158</f>
        <v>37847.300000000003</v>
      </c>
      <c r="J44" s="92">
        <f>'매출액(보고서)'!I158</f>
        <v>44529.7</v>
      </c>
      <c r="K44" s="92">
        <f>'매출액(보고서)'!J158</f>
        <v>51786.7</v>
      </c>
      <c r="L44" s="1693">
        <f>'매출액(보고서)'!K158</f>
        <v>61025.1</v>
      </c>
    </row>
    <row r="45" spans="2:16" s="159" customFormat="1" ht="13.5" customHeight="1" x14ac:dyDescent="0.3">
      <c r="B45" s="553" t="s">
        <v>7546</v>
      </c>
      <c r="C45" s="81"/>
      <c r="D45" s="92"/>
      <c r="E45" s="92"/>
      <c r="F45" s="92"/>
      <c r="G45" s="92"/>
      <c r="H45" s="92">
        <f>'매출액(보고서)'!G211</f>
        <v>5896.2308951452069</v>
      </c>
      <c r="I45" s="92">
        <f>'매출액(보고서)'!H211</f>
        <v>7521.6744055778981</v>
      </c>
      <c r="J45" s="92">
        <f>'매출액(보고서)'!I211</f>
        <v>9891.1853460422171</v>
      </c>
      <c r="K45" s="92">
        <f>'매출액(보고서)'!J211</f>
        <v>10945.886495758314</v>
      </c>
      <c r="L45" s="1693">
        <f>'매출액(보고서)'!K211</f>
        <v>11911.830643438119</v>
      </c>
    </row>
    <row r="46" spans="2:16" s="159" customFormat="1" ht="13.5" customHeight="1" x14ac:dyDescent="0.3">
      <c r="B46" s="553" t="s">
        <v>7548</v>
      </c>
      <c r="C46" s="81"/>
      <c r="D46" s="92"/>
      <c r="E46" s="92"/>
      <c r="F46" s="92"/>
      <c r="G46" s="92"/>
      <c r="H46" s="92">
        <f>'매출액(보고서)'!G221</f>
        <v>2734</v>
      </c>
      <c r="I46" s="92">
        <f>'매출액(보고서)'!H221</f>
        <v>3200</v>
      </c>
      <c r="J46" s="92">
        <f>'매출액(보고서)'!I221</f>
        <v>4250</v>
      </c>
      <c r="K46" s="92">
        <f>'매출액(보고서)'!J221</f>
        <v>2300</v>
      </c>
      <c r="L46" s="1693">
        <f>'매출액(보고서)'!K221</f>
        <v>4667.5</v>
      </c>
    </row>
    <row r="47" spans="2:16" s="159" customFormat="1" ht="13.5" customHeight="1" thickBot="1" x14ac:dyDescent="0.35">
      <c r="B47" s="371"/>
      <c r="C47" s="372"/>
      <c r="D47" s="372"/>
      <c r="E47" s="372"/>
      <c r="F47" s="372"/>
      <c r="G47" s="372"/>
      <c r="H47" s="372"/>
      <c r="I47" s="372"/>
      <c r="J47" s="372"/>
      <c r="K47" s="372"/>
      <c r="L47" s="1311"/>
    </row>
    <row r="48" spans="2:16" ht="13.5" customHeight="1" x14ac:dyDescent="0.3">
      <c r="E48" s="489">
        <f>952346945/10^6</f>
        <v>952.34694500000001</v>
      </c>
      <c r="F48" s="489">
        <f>235465363/10^6</f>
        <v>235.465363</v>
      </c>
      <c r="G48" s="489">
        <v>2130</v>
      </c>
      <c r="H48" s="92">
        <f>'Pro forma'!H6-H38</f>
        <v>0</v>
      </c>
      <c r="I48" s="92">
        <f>'Pro forma'!I6-I38</f>
        <v>0</v>
      </c>
      <c r="J48" s="92">
        <f>'Pro forma'!J6-J38</f>
        <v>0</v>
      </c>
      <c r="K48" s="92">
        <f>'Pro forma'!K6-K38</f>
        <v>0</v>
      </c>
      <c r="L48" s="92">
        <f>'Pro forma'!L6-L38</f>
        <v>0</v>
      </c>
      <c r="O48" s="82"/>
      <c r="P48" s="83"/>
    </row>
    <row r="49" spans="1:16" s="159" customFormat="1" ht="13.5" customHeight="1" x14ac:dyDescent="0.3">
      <c r="M49" s="159" t="s">
        <v>3071</v>
      </c>
      <c r="N49" s="1047">
        <v>0.05</v>
      </c>
      <c r="O49" s="82"/>
      <c r="P49" s="83"/>
    </row>
    <row r="50" spans="1:16" s="159" customFormat="1" ht="13.5" customHeight="1" x14ac:dyDescent="0.3">
      <c r="B50" s="392" t="s">
        <v>2142</v>
      </c>
      <c r="C50" s="393"/>
      <c r="D50" s="393"/>
      <c r="E50" s="393"/>
      <c r="F50" s="393"/>
      <c r="G50" s="393"/>
      <c r="H50" s="393"/>
      <c r="I50" s="393"/>
      <c r="J50" s="393"/>
      <c r="K50" s="394"/>
      <c r="L50" s="394"/>
      <c r="O50" s="82"/>
      <c r="P50" s="83"/>
    </row>
    <row r="51" spans="1:16" s="159" customFormat="1" ht="13.5" customHeight="1" x14ac:dyDescent="0.3">
      <c r="B51" s="395" t="str">
        <f>unit</f>
        <v>KRW Million</v>
      </c>
      <c r="C51" s="396"/>
      <c r="D51" s="396">
        <f>'Pro forma'!D$5</f>
        <v>2014</v>
      </c>
      <c r="E51" s="396">
        <f>'Pro forma'!E$5</f>
        <v>2015</v>
      </c>
      <c r="F51" s="396">
        <f>'Pro forma'!F$5</f>
        <v>2016</v>
      </c>
      <c r="G51" s="397">
        <f>'Pro forma'!G$5</f>
        <v>2017</v>
      </c>
      <c r="H51" s="398">
        <f>'Pro forma'!H$5</f>
        <v>2018</v>
      </c>
      <c r="I51" s="398">
        <f>'Pro forma'!I$5</f>
        <v>2019</v>
      </c>
      <c r="J51" s="398">
        <f>'Pro forma'!J$5</f>
        <v>2020</v>
      </c>
      <c r="K51" s="398">
        <f>'Pro forma'!K$5</f>
        <v>2021</v>
      </c>
      <c r="L51" s="399">
        <v>2022</v>
      </c>
      <c r="M51" s="550" t="s">
        <v>3072</v>
      </c>
      <c r="O51" s="82"/>
      <c r="P51" s="83"/>
    </row>
    <row r="52" spans="1:16" s="159" customFormat="1" ht="13.5" customHeight="1" x14ac:dyDescent="0.3">
      <c r="B52" s="1045" t="s">
        <v>3070</v>
      </c>
      <c r="C52" s="1044"/>
      <c r="D52" s="1044"/>
      <c r="E52" s="92">
        <f>MC!E47/10^6</f>
        <v>32068.789145813371</v>
      </c>
      <c r="F52" s="92">
        <f>MC!F47/10^6</f>
        <v>47680.799236418439</v>
      </c>
      <c r="G52" s="92">
        <f>MC!G47/10^6</f>
        <v>51796.93554084369</v>
      </c>
      <c r="H52" s="92">
        <f>'모델별 Mapping'!AH185/10^6</f>
        <v>76348.171541879201</v>
      </c>
      <c r="I52" s="92">
        <f>'모델별 Mapping'!AI185/10^6</f>
        <v>102251.56635463196</v>
      </c>
      <c r="J52" s="92">
        <f>'모델별 Mapping'!AJ185/10^6</f>
        <v>114496.49068366126</v>
      </c>
      <c r="K52" s="92">
        <f>'모델별 Mapping'!AK185/10^6</f>
        <v>146687.21257812693</v>
      </c>
      <c r="L52" s="401">
        <f>'모델별 Mapping'!AL185/10^6</f>
        <v>168953.29804998561</v>
      </c>
      <c r="O52" s="82"/>
      <c r="P52" s="83"/>
    </row>
    <row r="53" spans="1:16" s="159" customFormat="1" ht="13.5" customHeight="1" x14ac:dyDescent="0.3">
      <c r="B53" s="438" t="s">
        <v>58</v>
      </c>
      <c r="C53" s="43"/>
      <c r="D53" s="43"/>
      <c r="E53" s="43">
        <f>E52/E$38</f>
        <v>0.52559379038246168</v>
      </c>
      <c r="F53" s="43">
        <f t="shared" ref="F53:L53" si="42">F52/F$38</f>
        <v>0.58682063238907423</v>
      </c>
      <c r="G53" s="43">
        <f t="shared" si="42"/>
        <v>0.57422016027098255</v>
      </c>
      <c r="H53" s="52">
        <f>H52/H$38</f>
        <v>0.55320261712016816</v>
      </c>
      <c r="I53" s="43">
        <f t="shared" si="42"/>
        <v>0.56135594628994712</v>
      </c>
      <c r="J53" s="43">
        <f t="shared" si="42"/>
        <v>0.56140916707932431</v>
      </c>
      <c r="K53" s="43">
        <f t="shared" si="42"/>
        <v>0.56155376283945901</v>
      </c>
      <c r="L53" s="404">
        <f t="shared" si="42"/>
        <v>0.56161183265729575</v>
      </c>
      <c r="O53" s="82"/>
      <c r="P53" s="83"/>
    </row>
    <row r="54" spans="1:16" s="108" customFormat="1" ht="13.5" customHeight="1" x14ac:dyDescent="0.3">
      <c r="B54" s="1499"/>
      <c r="C54" s="1044"/>
      <c r="D54" s="1044"/>
      <c r="E54" s="92"/>
      <c r="F54" s="92"/>
      <c r="G54" s="92"/>
      <c r="H54" s="92"/>
      <c r="I54" s="92"/>
      <c r="J54" s="92"/>
      <c r="K54" s="92"/>
      <c r="L54" s="838"/>
      <c r="O54" s="1500"/>
      <c r="P54" s="1501"/>
    </row>
    <row r="55" spans="1:16" s="159" customFormat="1" ht="13.5" customHeight="1" x14ac:dyDescent="0.3">
      <c r="B55" s="400" t="s">
        <v>2814</v>
      </c>
      <c r="C55" s="56"/>
      <c r="D55" s="92">
        <f>MC!D5/10^6</f>
        <v>22199.671657999999</v>
      </c>
      <c r="E55" s="92">
        <f>SUM(E58:E63)</f>
        <v>0</v>
      </c>
      <c r="F55" s="92">
        <f>SUM(F58:F63)</f>
        <v>0</v>
      </c>
      <c r="G55" s="92"/>
      <c r="H55" s="92">
        <f>SUM(H58,H59,H60,H61,H62,H63)</f>
        <v>30274.869364900609</v>
      </c>
      <c r="I55" s="92">
        <f>SUM(I58,I59,I60,I61,I62,I63)</f>
        <v>38492.454683085569</v>
      </c>
      <c r="J55" s="92">
        <f>SUM(J58,J59,J60,J61,J62,J63)</f>
        <v>50165.544537207141</v>
      </c>
      <c r="K55" s="92">
        <f>SUM(K58,K59,K60,K61,K62,K63)</f>
        <v>54398.457385860354</v>
      </c>
      <c r="L55" s="401">
        <f>SUM(L58,L59,L60,L61,L62,L63)</f>
        <v>58556.763411934022</v>
      </c>
      <c r="O55" s="82"/>
      <c r="P55" s="83"/>
    </row>
    <row r="56" spans="1:16" s="159" customFormat="1" ht="13.5" customHeight="1" x14ac:dyDescent="0.3">
      <c r="B56" s="402" t="s">
        <v>37</v>
      </c>
      <c r="C56" s="58"/>
      <c r="D56" s="554" t="e">
        <f>D55/C55-1</f>
        <v>#DIV/0!</v>
      </c>
      <c r="E56" s="554"/>
      <c r="F56" s="554"/>
      <c r="G56" s="554" t="e">
        <f t="shared" ref="G56" si="43">G55/F55-1</f>
        <v>#DIV/0!</v>
      </c>
      <c r="H56" s="554" t="e">
        <f t="shared" ref="H56" si="44">H55/G55-1</f>
        <v>#DIV/0!</v>
      </c>
      <c r="I56" s="554">
        <f t="shared" ref="I56" si="45">I55/H55-1</f>
        <v>0.27143256075324573</v>
      </c>
      <c r="J56" s="554">
        <f t="shared" ref="J56" si="46">J55/I55-1</f>
        <v>0.30325657197567568</v>
      </c>
      <c r="K56" s="554">
        <f t="shared" ref="K56:L56" si="47">K55/J55-1</f>
        <v>8.4378887694794402E-2</v>
      </c>
      <c r="L56" s="555">
        <f t="shared" si="47"/>
        <v>7.6441616654271627E-2</v>
      </c>
      <c r="O56" s="82"/>
      <c r="P56" s="83"/>
    </row>
    <row r="57" spans="1:16" s="159" customFormat="1" ht="13.5" customHeight="1" x14ac:dyDescent="0.3">
      <c r="B57" s="403" t="s">
        <v>3029</v>
      </c>
      <c r="C57" s="43"/>
      <c r="D57" s="43" t="e">
        <f>D55/D$38</f>
        <v>#REF!</v>
      </c>
      <c r="E57" s="43">
        <f>E55/E$39</f>
        <v>0</v>
      </c>
      <c r="F57" s="43">
        <f t="shared" ref="F57:L57" si="48">F55/F$39</f>
        <v>0</v>
      </c>
      <c r="G57" s="43">
        <f t="shared" si="48"/>
        <v>0</v>
      </c>
      <c r="H57" s="43">
        <f t="shared" si="48"/>
        <v>0.61734044642217512</v>
      </c>
      <c r="I57" s="43">
        <f t="shared" si="48"/>
        <v>0.61487874423674704</v>
      </c>
      <c r="J57" s="43">
        <f t="shared" si="48"/>
        <v>0.61108038835381184</v>
      </c>
      <c r="K57" s="43">
        <f t="shared" si="48"/>
        <v>0.60690753307249357</v>
      </c>
      <c r="L57" s="404">
        <f t="shared" si="48"/>
        <v>0.60372838775128668</v>
      </c>
      <c r="O57" s="82"/>
      <c r="P57" s="83"/>
    </row>
    <row r="58" spans="1:16" s="159" customFormat="1" ht="13.5" customHeight="1" x14ac:dyDescent="0.3">
      <c r="A58" s="84" t="str">
        <f>$B$55</f>
        <v>고소작업차</v>
      </c>
      <c r="B58" s="361" t="s">
        <v>2809</v>
      </c>
      <c r="C58" s="43"/>
      <c r="D58" s="90">
        <f>'제품별 원가 구분'!H8/10^6</f>
        <v>184.21861000000001</v>
      </c>
      <c r="E58" s="90"/>
      <c r="F58" s="90"/>
      <c r="G58" s="90"/>
      <c r="H58" s="90">
        <f>SUMIFS('사업계획(원재료)'!AH$15:AH$94,'사업계획(원재료)'!$AE$15:$AE$94,매출원가!$A58,'사업계획(원재료)'!$AF$15:$AF$94,매출원가!$B58,'사업계획(원재료)'!$AG$15:$AG$94,'사업계획(원재료)'!$AG$18)/10^6</f>
        <v>13979.055865488217</v>
      </c>
      <c r="I58" s="90">
        <f>SUMIFS('사업계획(원재료)'!AI$15:AI$94,'사업계획(원재료)'!$AE$15:$AE$94,매출원가!$A58,'사업계획(원재료)'!$AF$15:$AF$94,매출원가!$B58,'사업계획(원재료)'!$AG$15:$AG$94,'사업계획(원재료)'!$AG$18)/10^6</f>
        <v>15562.343855216483</v>
      </c>
      <c r="J58" s="90">
        <f>SUMIFS('사업계획(원재료)'!AJ$15:AJ$94,'사업계획(원재료)'!$AE$15:$AE$94,매출원가!$A58,'사업계획(원재료)'!$AF$15:$AF$94,매출원가!$B58,'사업계획(원재료)'!$AG$15:$AG$94,'사업계획(원재료)'!$AG$18)/10^6</f>
        <v>20729.475861526331</v>
      </c>
      <c r="K58" s="90">
        <f>SUMIFS('사업계획(원재료)'!AK$15:AK$94,'사업계획(원재료)'!$AE$15:$AE$94,매출원가!$A58,'사업계획(원재료)'!$AF$15:$AF$94,매출원가!$B58,'사업계획(원재료)'!$AG$15:$AG$94,'사업계획(원재료)'!$AG$18)/10^6</f>
        <v>21723.503592173565</v>
      </c>
      <c r="L58" s="808">
        <f>SUMIFS('사업계획(원재료)'!AL$15:AL$94,'사업계획(원재료)'!$AE$15:$AE$94,매출원가!$A58,'사업계획(원재료)'!$AF$15:$AF$94,매출원가!$B58,'사업계획(원재료)'!$AG$15:$AG$94,'사업계획(원재료)'!$AG$18)/10^6</f>
        <v>22875.552400918899</v>
      </c>
      <c r="O58" s="82"/>
      <c r="P58" s="83"/>
    </row>
    <row r="59" spans="1:16" s="159" customFormat="1" ht="13.5" customHeight="1" x14ac:dyDescent="0.3">
      <c r="A59" s="84" t="str">
        <f t="shared" ref="A59:A63" si="49">$B$55</f>
        <v>고소작업차</v>
      </c>
      <c r="B59" s="361" t="s">
        <v>2822</v>
      </c>
      <c r="C59" s="43"/>
      <c r="D59" s="43"/>
      <c r="E59" s="90"/>
      <c r="F59" s="90"/>
      <c r="G59" s="90"/>
      <c r="H59" s="90">
        <f>SUMIFS('사업계획(원재료)'!AH$15:AH$94,'사업계획(원재료)'!$AE$15:$AE$94,매출원가!$A59,'사업계획(원재료)'!$AF$15:$AF$94,매출원가!$B59,'사업계획(원재료)'!$AG$15:$AG$94,'사업계획(원재료)'!$AG$18)/10^6</f>
        <v>14196.510256802698</v>
      </c>
      <c r="I59" s="90">
        <f>SUMIFS('사업계획(원재료)'!AI$15:AI$94,'사업계획(원재료)'!$AE$15:$AE$94,매출원가!$A59,'사업계획(원재료)'!$AF$15:$AF$94,매출원가!$B59,'사업계획(원재료)'!$AG$15:$AG$94,'사업계획(원재료)'!$AG$18)/10^6</f>
        <v>19795.299994094476</v>
      </c>
      <c r="J59" s="90">
        <f>SUMIFS('사업계획(원재료)'!AJ$15:AJ$94,'사업계획(원재료)'!$AE$15:$AE$94,매출원가!$A59,'사업계획(원재료)'!$AF$15:$AF$94,매출원가!$B59,'사업계획(원재료)'!$AG$15:$AG$94,'사업계획(원재료)'!$AG$18)/10^6</f>
        <v>25016.964026278158</v>
      </c>
      <c r="K59" s="90">
        <f>SUMIFS('사업계획(원재료)'!AK$15:AK$94,'사업계획(원재료)'!$AE$15:$AE$94,매출원가!$A59,'사업계획(원재료)'!$AF$15:$AF$94,매출원가!$B59,'사업계획(원재료)'!$AG$15:$AG$94,'사업계획(원재료)'!$AG$18)/10^6</f>
        <v>27278.645339008654</v>
      </c>
      <c r="L59" s="808">
        <f>SUMIFS('사업계획(원재료)'!AL$15:AL$94,'사업계획(원재료)'!$AE$15:$AE$94,매출원가!$A59,'사업계획(원재료)'!$AF$15:$AF$94,매출원가!$B59,'사업계획(원재료)'!$AG$15:$AG$94,'사업계획(원재료)'!$AG$18)/10^6</f>
        <v>29555.013521476922</v>
      </c>
      <c r="O59" s="82"/>
      <c r="P59" s="83"/>
    </row>
    <row r="60" spans="1:16" s="159" customFormat="1" ht="13.5" customHeight="1" x14ac:dyDescent="0.3">
      <c r="A60" s="84" t="str">
        <f t="shared" si="49"/>
        <v>고소작업차</v>
      </c>
      <c r="B60" s="361" t="s">
        <v>2828</v>
      </c>
      <c r="C60" s="43"/>
      <c r="D60" s="43"/>
      <c r="E60" s="90"/>
      <c r="F60" s="90"/>
      <c r="G60" s="90"/>
      <c r="H60" s="90">
        <f>SUMIFS('사업계획(원재료)'!AH$15:AH$94,'사업계획(원재료)'!$AE$15:$AE$94,매출원가!$A60,'사업계획(원재료)'!$AF$15:$AF$94,매출원가!$B60,'사업계획(원재료)'!$AG$15:$AG$94,'사업계획(원재료)'!$AG$18)/10^6</f>
        <v>0</v>
      </c>
      <c r="I60" s="90">
        <f>SUMIFS('사업계획(원재료)'!AI$15:AI$94,'사업계획(원재료)'!$AE$15:$AE$94,매출원가!$A60,'사업계획(원재료)'!$AF$15:$AF$94,매출원가!$B60,'사업계획(원재료)'!$AG$15:$AG$94,'사업계획(원재료)'!$AG$18)/10^6</f>
        <v>0</v>
      </c>
      <c r="J60" s="90">
        <f>SUMIFS('사업계획(원재료)'!AJ$15:AJ$94,'사업계획(원재료)'!$AE$15:$AE$94,매출원가!$A60,'사업계획(원재료)'!$AF$15:$AF$94,매출원가!$B60,'사업계획(원재료)'!$AG$15:$AG$94,'사업계획(원재료)'!$AG$18)/10^6</f>
        <v>0</v>
      </c>
      <c r="K60" s="90">
        <f>SUMIFS('사업계획(원재료)'!AK$15:AK$94,'사업계획(원재료)'!$AE$15:$AE$94,매출원가!$A60,'사업계획(원재료)'!$AF$15:$AF$94,매출원가!$B60,'사업계획(원재료)'!$AG$15:$AG$94,'사업계획(원재료)'!$AG$18)/10^6</f>
        <v>0</v>
      </c>
      <c r="L60" s="808">
        <f>SUMIFS('사업계획(원재료)'!AL$15:AL$94,'사업계획(원재료)'!$AE$15:$AE$94,매출원가!$A60,'사업계획(원재료)'!$AF$15:$AF$94,매출원가!$B60,'사업계획(원재료)'!$AG$15:$AG$94,'사업계획(원재료)'!$AG$18)/10^6</f>
        <v>0</v>
      </c>
      <c r="O60" s="82"/>
      <c r="P60" s="83"/>
    </row>
    <row r="61" spans="1:16" s="159" customFormat="1" ht="13.5" customHeight="1" x14ac:dyDescent="0.3">
      <c r="A61" s="84" t="str">
        <f t="shared" si="49"/>
        <v>고소작업차</v>
      </c>
      <c r="B61" s="361" t="s">
        <v>3579</v>
      </c>
      <c r="C61" s="43"/>
      <c r="D61" s="43"/>
      <c r="E61" s="90"/>
      <c r="F61" s="90"/>
      <c r="G61" s="90"/>
      <c r="H61" s="90">
        <f>SUMIFS('사업계획(원재료)'!AH$15:AH$94,'사업계획(원재료)'!$AE$15:$AE$94,매출원가!$A61,'사업계획(원재료)'!$AF$15:$AF$94,매출원가!$B61,'사업계획(원재료)'!$AG$15:$AG$94,'사업계획(원재료)'!$AG$18)/10^6</f>
        <v>291.12335999999999</v>
      </c>
      <c r="I61" s="90">
        <f>SUMIFS('사업계획(원재료)'!AI$15:AI$94,'사업계획(원재료)'!$AE$15:$AE$94,매출원가!$A61,'사업계획(원재료)'!$AF$15:$AF$94,매출원가!$B61,'사업계획(원재료)'!$AG$15:$AG$94,'사업계획(원재료)'!$AG$18)/10^6</f>
        <v>507.52505759999997</v>
      </c>
      <c r="J61" s="90">
        <f>SUMIFS('사업계획(원재료)'!AJ$15:AJ$94,'사업계획(원재료)'!$AE$15:$AE$94,매출원가!$A61,'사업계획(원재료)'!$AF$15:$AF$94,매출원가!$B61,'사업계획(원재료)'!$AG$15:$AG$94,'사업계획(원재료)'!$AG$18)/10^6</f>
        <v>796.30681537439989</v>
      </c>
      <c r="K61" s="90">
        <f>SUMIFS('사업계획(원재료)'!AK$15:AK$94,'사업계획(원재료)'!$AE$15:$AE$94,매출원가!$A61,'사업계획(원재료)'!$AF$15:$AF$94,매출원가!$B61,'사업계획(원재료)'!$AG$15:$AG$94,'사업계획(원재료)'!$AG$18)/10^6</f>
        <v>1110.5825718421631</v>
      </c>
      <c r="L61" s="808">
        <f>SUMIFS('사업계획(원재료)'!AL$15:AL$94,'사업계획(원재료)'!$AE$15:$AE$94,매출원가!$A61,'사업계획(원재료)'!$AF$15:$AF$94,매출원가!$B61,'사업계획(원재료)'!$AG$15:$AG$94,'사업계획(원재료)'!$AG$18)/10^6</f>
        <v>1452.0867126836281</v>
      </c>
      <c r="O61" s="82"/>
      <c r="P61" s="83"/>
    </row>
    <row r="62" spans="1:16" s="159" customFormat="1" ht="13.5" customHeight="1" x14ac:dyDescent="0.3">
      <c r="A62" s="84" t="str">
        <f t="shared" si="49"/>
        <v>고소작업차</v>
      </c>
      <c r="B62" s="361" t="s">
        <v>3580</v>
      </c>
      <c r="C62" s="43"/>
      <c r="D62" s="43"/>
      <c r="E62" s="90"/>
      <c r="F62" s="90"/>
      <c r="G62" s="90"/>
      <c r="H62" s="90">
        <f>SUMIFS('사업계획(원재료)'!AH$15:AH$94,'사업계획(원재료)'!$AE$15:$AE$94,매출원가!$A62,'사업계획(원재료)'!$AF$15:$AF$94,매출원가!$B62,'사업계획(원재료)'!$AG$15:$AG$94,'사업계획(원재료)'!$AG$18)/10^6</f>
        <v>0</v>
      </c>
      <c r="I62" s="90">
        <f>SUMIFS('사업계획(원재료)'!AI$15:AI$94,'사업계획(원재료)'!$AE$15:$AE$94,매출원가!$A62,'사업계획(원재료)'!$AF$15:$AF$94,매출원가!$B62,'사업계획(원재료)'!$AG$15:$AG$94,'사업계획(원재료)'!$AG$18)/10^6</f>
        <v>0</v>
      </c>
      <c r="J62" s="90">
        <f>SUMIFS('사업계획(원재료)'!AJ$15:AJ$94,'사업계획(원재료)'!$AE$15:$AE$94,매출원가!$A62,'사업계획(원재료)'!$AF$15:$AF$94,매출원가!$B62,'사업계획(원재료)'!$AG$15:$AG$94,'사업계획(원재료)'!$AG$18)/10^6</f>
        <v>0</v>
      </c>
      <c r="K62" s="90">
        <f>SUMIFS('사업계획(원재료)'!AK$15:AK$94,'사업계획(원재료)'!$AE$15:$AE$94,매출원가!$A62,'사업계획(원재료)'!$AF$15:$AF$94,매출원가!$B62,'사업계획(원재료)'!$AG$15:$AG$94,'사업계획(원재료)'!$AG$18)/10^6</f>
        <v>0</v>
      </c>
      <c r="L62" s="808">
        <f>SUMIFS('사업계획(원재료)'!AL$15:AL$94,'사업계획(원재료)'!$AE$15:$AE$94,매출원가!$A62,'사업계획(원재료)'!$AF$15:$AF$94,매출원가!$B62,'사업계획(원재료)'!$AG$15:$AG$94,'사업계획(원재료)'!$AG$18)/10^6</f>
        <v>0</v>
      </c>
      <c r="O62" s="82"/>
      <c r="P62" s="83"/>
    </row>
    <row r="63" spans="1:16" s="159" customFormat="1" ht="13.5" customHeight="1" x14ac:dyDescent="0.3">
      <c r="A63" s="84" t="str">
        <f t="shared" si="49"/>
        <v>고소작업차</v>
      </c>
      <c r="B63" s="361" t="s">
        <v>2824</v>
      </c>
      <c r="C63" s="43"/>
      <c r="D63" s="43"/>
      <c r="E63" s="90"/>
      <c r="F63" s="90"/>
      <c r="G63" s="90"/>
      <c r="H63" s="90">
        <f>SUMIFS('사업계획(원재료)'!AH$15:AH$94,'사업계획(원재료)'!$AE$15:$AE$94,매출원가!$A63,'사업계획(원재료)'!$AF$15:$AF$94,매출원가!$B63,'사업계획(원재료)'!$AG$15:$AG$94,'사업계획(원재료)'!$AG$18)/10^6</f>
        <v>1808.1798826096917</v>
      </c>
      <c r="I63" s="90">
        <f>SUMIFS('사업계획(원재료)'!AI$15:AI$94,'사업계획(원재료)'!$AE$15:$AE$94,매출원가!$A63,'사업계획(원재료)'!$AF$15:$AF$94,매출원가!$B63,'사업계획(원재료)'!$AG$15:$AG$94,'사업계획(원재료)'!$AG$18)/10^6</f>
        <v>2627.2857761746063</v>
      </c>
      <c r="J63" s="90">
        <f>SUMIFS('사업계획(원재료)'!AJ$15:AJ$94,'사업계획(원재료)'!$AE$15:$AE$94,매출원가!$A63,'사업계획(원재료)'!$AF$15:$AF$94,매출원가!$B63,'사업계획(원재료)'!$AG$15:$AG$94,'사업계획(원재료)'!$AG$18)/10^6</f>
        <v>3622.7978340282516</v>
      </c>
      <c r="K63" s="90">
        <f>SUMIFS('사업계획(원재료)'!AK$15:AK$94,'사업계획(원재료)'!$AE$15:$AE$94,매출원가!$A63,'사업계획(원재료)'!$AF$15:$AF$94,매출원가!$B63,'사업계획(원재료)'!$AG$15:$AG$94,'사업계획(원재료)'!$AG$18)/10^6</f>
        <v>4285.7258828359736</v>
      </c>
      <c r="L63" s="808">
        <f>SUMIFS('사업계획(원재료)'!AL$15:AL$94,'사업계획(원재료)'!$AE$15:$AE$94,매출원가!$A63,'사업계획(원재료)'!$AF$15:$AF$94,매출원가!$B63,'사업계획(원재료)'!$AG$15:$AG$94,'사업계획(원재료)'!$AG$18)/10^6</f>
        <v>4674.1107768545698</v>
      </c>
      <c r="M63" s="87"/>
      <c r="O63" s="82"/>
      <c r="P63" s="83"/>
    </row>
    <row r="64" spans="1:16" s="159" customFormat="1" ht="13.5" customHeight="1" x14ac:dyDescent="0.3">
      <c r="B64" s="851"/>
      <c r="C64" s="43"/>
      <c r="D64" s="43"/>
      <c r="E64" s="43"/>
      <c r="F64" s="43"/>
      <c r="G64" s="90"/>
      <c r="H64" s="434"/>
      <c r="I64" s="434"/>
      <c r="J64" s="434"/>
      <c r="K64" s="434"/>
      <c r="L64" s="838"/>
      <c r="O64" s="82"/>
      <c r="P64" s="83"/>
    </row>
    <row r="65" spans="1:16" s="159" customFormat="1" ht="13.5" customHeight="1" x14ac:dyDescent="0.3">
      <c r="B65" s="400" t="s">
        <v>2841</v>
      </c>
      <c r="C65" s="43"/>
      <c r="D65" s="90">
        <f>'제품별 원가 구분'!H9/10^6</f>
        <v>351.01006699999999</v>
      </c>
      <c r="E65" s="90"/>
      <c r="F65" s="90"/>
      <c r="G65" s="90"/>
      <c r="H65" s="92">
        <f>SUM(H68,H69,H70,H71,H72,H73)</f>
        <v>25005.782934999999</v>
      </c>
      <c r="I65" s="92">
        <f>SUM(I68,I69,I70,I71,I72,I73)</f>
        <v>30243.842828049997</v>
      </c>
      <c r="J65" s="92">
        <f>SUM(J68,J69,J70,J71,J72,J73)</f>
        <v>35756.59284690761</v>
      </c>
      <c r="K65" s="92">
        <f>SUM(K68,K69,K70,K71,K72,K73)</f>
        <v>39296.022081333016</v>
      </c>
      <c r="L65" s="401">
        <f>SUM(L68,L69,L70,L71,L72,L73)</f>
        <v>41275.93683362141</v>
      </c>
      <c r="O65" s="82"/>
      <c r="P65" s="83"/>
    </row>
    <row r="66" spans="1:16" s="159" customFormat="1" ht="13.5" customHeight="1" x14ac:dyDescent="0.3">
      <c r="B66" s="360" t="s">
        <v>37</v>
      </c>
      <c r="C66" s="43"/>
      <c r="D66" s="554" t="e">
        <f>D65/C65-1</f>
        <v>#DIV/0!</v>
      </c>
      <c r="E66" s="554"/>
      <c r="F66" s="554"/>
      <c r="G66" s="554" t="e">
        <f t="shared" ref="G66" si="50">G65/F65-1</f>
        <v>#DIV/0!</v>
      </c>
      <c r="H66" s="554" t="e">
        <f t="shared" ref="H66" si="51">H65/G65-1</f>
        <v>#DIV/0!</v>
      </c>
      <c r="I66" s="554">
        <f t="shared" ref="I66" si="52">I65/H65-1</f>
        <v>0.20947394075465686</v>
      </c>
      <c r="J66" s="554">
        <f t="shared" ref="J66" si="53">J65/I65-1</f>
        <v>0.18227677118281904</v>
      </c>
      <c r="K66" s="554">
        <f t="shared" ref="K66" si="54">K65/J65-1</f>
        <v>9.8986758877713132E-2</v>
      </c>
      <c r="L66" s="555">
        <f t="shared" ref="L66" si="55">L65/K65-1</f>
        <v>5.0384610131541052E-2</v>
      </c>
      <c r="O66" s="82"/>
      <c r="P66" s="83"/>
    </row>
    <row r="67" spans="1:16" s="159" customFormat="1" ht="13.5" customHeight="1" x14ac:dyDescent="0.3">
      <c r="B67" s="388" t="s">
        <v>2071</v>
      </c>
      <c r="C67" s="43"/>
      <c r="D67" s="43" t="e">
        <f>D65/#REF!</f>
        <v>#REF!</v>
      </c>
      <c r="E67" s="43">
        <f>E66/E$41</f>
        <v>0</v>
      </c>
      <c r="F67" s="43">
        <f t="shared" ref="F67:G67" si="56">F66/F$41</f>
        <v>0</v>
      </c>
      <c r="G67" s="43" t="e">
        <f t="shared" si="56"/>
        <v>#DIV/0!</v>
      </c>
      <c r="H67" s="43">
        <f>H65/H$41</f>
        <v>0.60371277003862867</v>
      </c>
      <c r="I67" s="43">
        <f t="shared" ref="I67:L67" si="57">I65/I$41</f>
        <v>0.60470149312799271</v>
      </c>
      <c r="J67" s="43">
        <f t="shared" si="57"/>
        <v>0.60275941853978088</v>
      </c>
      <c r="K67" s="43">
        <f t="shared" si="57"/>
        <v>0.60106339461333047</v>
      </c>
      <c r="L67" s="404">
        <f t="shared" si="57"/>
        <v>0.60016774992906341</v>
      </c>
      <c r="O67" s="82"/>
      <c r="P67" s="83"/>
    </row>
    <row r="68" spans="1:16" s="159" customFormat="1" ht="13.5" customHeight="1" x14ac:dyDescent="0.3">
      <c r="A68" s="159" t="str">
        <f>$B$65</f>
        <v>활선차</v>
      </c>
      <c r="B68" s="361" t="s">
        <v>2809</v>
      </c>
      <c r="C68" s="43"/>
      <c r="D68" s="43"/>
      <c r="H68" s="90">
        <f>SUMIFS('사업계획(원재료)'!AH$15:AH$94,'사업계획(원재료)'!$AE$15:$AE$94,매출원가!$A68,'사업계획(원재료)'!$AF$15:$AF$94,매출원가!$B68,'사업계획(원재료)'!$AG$15:$AG$94,'사업계획(원재료)'!$AG$18)/10^6</f>
        <v>25005.782934999999</v>
      </c>
      <c r="I68" s="90">
        <f>SUMIFS('사업계획(원재료)'!AI$15:AI$94,'사업계획(원재료)'!$AE$15:$AE$94,매출원가!$A68,'사업계획(원재료)'!$AF$15:$AF$94,매출원가!$B68,'사업계획(원재료)'!$AG$15:$AG$94,'사업계획(원재료)'!$AG$18)/10^6</f>
        <v>30243.842828049997</v>
      </c>
      <c r="J68" s="90">
        <f>SUMIFS('사업계획(원재료)'!AJ$15:AJ$94,'사업계획(원재료)'!$AE$15:$AE$94,매출원가!$A68,'사업계획(원재료)'!$AF$15:$AF$94,매출원가!$B68,'사업계획(원재료)'!$AG$15:$AG$94,'사업계획(원재료)'!$AG$18)/10^6</f>
        <v>35756.59284690761</v>
      </c>
      <c r="K68" s="90">
        <f>SUMIFS('사업계획(원재료)'!AK$15:AK$94,'사업계획(원재료)'!$AE$15:$AE$94,매출원가!$A68,'사업계획(원재료)'!$AF$15:$AF$94,매출원가!$B68,'사업계획(원재료)'!$AG$15:$AG$94,'사업계획(원재료)'!$AG$18)/10^6</f>
        <v>39296.022081333016</v>
      </c>
      <c r="L68" s="808">
        <f>SUMIFS('사업계획(원재료)'!AL$15:AL$94,'사업계획(원재료)'!$AE$15:$AE$94,매출원가!$A68,'사업계획(원재료)'!$AF$15:$AF$94,매출원가!$B68,'사업계획(원재료)'!$AG$15:$AG$94,'사업계획(원재료)'!$AG$18)/10^6</f>
        <v>41275.93683362141</v>
      </c>
      <c r="O68" s="82"/>
      <c r="P68" s="83"/>
    </row>
    <row r="69" spans="1:16" s="159" customFormat="1" ht="13.5" customHeight="1" x14ac:dyDescent="0.3">
      <c r="A69" s="159" t="str">
        <f t="shared" ref="A69:A73" si="58">$B$65</f>
        <v>활선차</v>
      </c>
      <c r="B69" s="361" t="s">
        <v>2822</v>
      </c>
      <c r="C69" s="43"/>
      <c r="D69" s="43"/>
      <c r="E69" s="43"/>
      <c r="F69" s="43"/>
      <c r="H69" s="90">
        <f>SUMIFS('사업계획(원재료)'!AH$15:AH$94,'사업계획(원재료)'!$AE$15:$AE$94,매출원가!$A69,'사업계획(원재료)'!$AF$15:$AF$94,매출원가!$B69,'사업계획(원재료)'!$AG$15:$AG$94,'사업계획(원재료)'!$AG$18)/10^6</f>
        <v>0</v>
      </c>
      <c r="I69" s="90">
        <f>SUMIFS('사업계획(원재료)'!AI$15:AI$94,'사업계획(원재료)'!$AE$15:$AE$94,매출원가!$A69,'사업계획(원재료)'!$AF$15:$AF$94,매출원가!$B69,'사업계획(원재료)'!$AG$15:$AG$94,'사업계획(원재료)'!$AG$18)/10^6</f>
        <v>0</v>
      </c>
      <c r="J69" s="90">
        <f>SUMIFS('사업계획(원재료)'!AJ$15:AJ$94,'사업계획(원재료)'!$AE$15:$AE$94,매출원가!$A69,'사업계획(원재료)'!$AF$15:$AF$94,매출원가!$B69,'사업계획(원재료)'!$AG$15:$AG$94,'사업계획(원재료)'!$AG$18)/10^6</f>
        <v>0</v>
      </c>
      <c r="K69" s="90">
        <f>SUMIFS('사업계획(원재료)'!AK$15:AK$94,'사업계획(원재료)'!$AE$15:$AE$94,매출원가!$A69,'사업계획(원재료)'!$AF$15:$AF$94,매출원가!$B69,'사업계획(원재료)'!$AG$15:$AG$94,'사업계획(원재료)'!$AG$18)/10^6</f>
        <v>0</v>
      </c>
      <c r="L69" s="808">
        <f>SUMIFS('사업계획(원재료)'!AL$15:AL$94,'사업계획(원재료)'!$AE$15:$AE$94,매출원가!$A69,'사업계획(원재료)'!$AF$15:$AF$94,매출원가!$B69,'사업계획(원재료)'!$AG$15:$AG$94,'사업계획(원재료)'!$AG$18)/10^6</f>
        <v>0</v>
      </c>
      <c r="O69" s="82"/>
      <c r="P69" s="83"/>
    </row>
    <row r="70" spans="1:16" s="159" customFormat="1" ht="13.5" customHeight="1" x14ac:dyDescent="0.3">
      <c r="A70" s="159" t="str">
        <f t="shared" si="58"/>
        <v>활선차</v>
      </c>
      <c r="B70" s="361" t="s">
        <v>2828</v>
      </c>
      <c r="C70" s="43"/>
      <c r="D70" s="43"/>
      <c r="E70" s="43"/>
      <c r="F70" s="43"/>
      <c r="H70" s="90">
        <f>SUMIFS('사업계획(원재료)'!AH$15:AH$94,'사업계획(원재료)'!$AE$15:$AE$94,매출원가!$A70,'사업계획(원재료)'!$AF$15:$AF$94,매출원가!$B70,'사업계획(원재료)'!$AG$15:$AG$94,'사업계획(원재료)'!$AG$18)/10^6</f>
        <v>0</v>
      </c>
      <c r="I70" s="90">
        <f>SUMIFS('사업계획(원재료)'!AI$15:AI$94,'사업계획(원재료)'!$AE$15:$AE$94,매출원가!$A70,'사업계획(원재료)'!$AF$15:$AF$94,매출원가!$B70,'사업계획(원재료)'!$AG$15:$AG$94,'사업계획(원재료)'!$AG$18)/10^6</f>
        <v>0</v>
      </c>
      <c r="J70" s="90">
        <f>SUMIFS('사업계획(원재료)'!AJ$15:AJ$94,'사업계획(원재료)'!$AE$15:$AE$94,매출원가!$A70,'사업계획(원재료)'!$AF$15:$AF$94,매출원가!$B70,'사업계획(원재료)'!$AG$15:$AG$94,'사업계획(원재료)'!$AG$18)/10^6</f>
        <v>0</v>
      </c>
      <c r="K70" s="90">
        <f>SUMIFS('사업계획(원재료)'!AK$15:AK$94,'사업계획(원재료)'!$AE$15:$AE$94,매출원가!$A70,'사업계획(원재료)'!$AF$15:$AF$94,매출원가!$B70,'사업계획(원재료)'!$AG$15:$AG$94,'사업계획(원재료)'!$AG$18)/10^6</f>
        <v>0</v>
      </c>
      <c r="L70" s="808">
        <f>SUMIFS('사업계획(원재료)'!AL$15:AL$94,'사업계획(원재료)'!$AE$15:$AE$94,매출원가!$A70,'사업계획(원재료)'!$AF$15:$AF$94,매출원가!$B70,'사업계획(원재료)'!$AG$15:$AG$94,'사업계획(원재료)'!$AG$18)/10^6</f>
        <v>0</v>
      </c>
      <c r="O70" s="82"/>
      <c r="P70" s="83"/>
    </row>
    <row r="71" spans="1:16" s="159" customFormat="1" ht="13.5" customHeight="1" x14ac:dyDescent="0.3">
      <c r="A71" s="159" t="str">
        <f t="shared" si="58"/>
        <v>활선차</v>
      </c>
      <c r="B71" s="361" t="s">
        <v>3579</v>
      </c>
      <c r="C71" s="43"/>
      <c r="D71" s="43"/>
      <c r="E71" s="43"/>
      <c r="F71" s="43"/>
      <c r="H71" s="90">
        <f>SUMIFS('사업계획(원재료)'!AH$15:AH$94,'사업계획(원재료)'!$AE$15:$AE$94,매출원가!$A71,'사업계획(원재료)'!$AF$15:$AF$94,매출원가!$B71,'사업계획(원재료)'!$AG$15:$AG$94,'사업계획(원재료)'!$AG$18)/10^6</f>
        <v>0</v>
      </c>
      <c r="I71" s="90">
        <f>SUMIFS('사업계획(원재료)'!AI$15:AI$94,'사업계획(원재료)'!$AE$15:$AE$94,매출원가!$A71,'사업계획(원재료)'!$AF$15:$AF$94,매출원가!$B71,'사업계획(원재료)'!$AG$15:$AG$94,'사업계획(원재료)'!$AG$18)/10^6</f>
        <v>0</v>
      </c>
      <c r="J71" s="90">
        <f>SUMIFS('사업계획(원재료)'!AJ$15:AJ$94,'사업계획(원재료)'!$AE$15:$AE$94,매출원가!$A71,'사업계획(원재료)'!$AF$15:$AF$94,매출원가!$B71,'사업계획(원재료)'!$AG$15:$AG$94,'사업계획(원재료)'!$AG$18)/10^6</f>
        <v>0</v>
      </c>
      <c r="K71" s="90">
        <f>SUMIFS('사업계획(원재료)'!AK$15:AK$94,'사업계획(원재료)'!$AE$15:$AE$94,매출원가!$A71,'사업계획(원재료)'!$AF$15:$AF$94,매출원가!$B71,'사업계획(원재료)'!$AG$15:$AG$94,'사업계획(원재료)'!$AG$18)/10^6</f>
        <v>0</v>
      </c>
      <c r="L71" s="808">
        <f>SUMIFS('사업계획(원재료)'!AL$15:AL$94,'사업계획(원재료)'!$AE$15:$AE$94,매출원가!$A71,'사업계획(원재료)'!$AF$15:$AF$94,매출원가!$B71,'사업계획(원재료)'!$AG$15:$AG$94,'사업계획(원재료)'!$AG$18)/10^6</f>
        <v>0</v>
      </c>
      <c r="O71" s="82"/>
      <c r="P71" s="83"/>
    </row>
    <row r="72" spans="1:16" s="159" customFormat="1" ht="13.5" customHeight="1" x14ac:dyDescent="0.3">
      <c r="A72" s="159" t="str">
        <f t="shared" si="58"/>
        <v>활선차</v>
      </c>
      <c r="B72" s="361" t="s">
        <v>3580</v>
      </c>
      <c r="C72" s="43"/>
      <c r="D72" s="43"/>
      <c r="E72" s="43"/>
      <c r="F72" s="43"/>
      <c r="H72" s="90">
        <f>SUMIFS('사업계획(원재료)'!AH$15:AH$94,'사업계획(원재료)'!$AE$15:$AE$94,매출원가!$A72,'사업계획(원재료)'!$AF$15:$AF$94,매출원가!$B72,'사업계획(원재료)'!$AG$15:$AG$94,'사업계획(원재료)'!$AG$18)/10^6</f>
        <v>0</v>
      </c>
      <c r="I72" s="90">
        <f>SUMIFS('사업계획(원재료)'!AI$15:AI$94,'사업계획(원재료)'!$AE$15:$AE$94,매출원가!$A72,'사업계획(원재료)'!$AF$15:$AF$94,매출원가!$B72,'사업계획(원재료)'!$AG$15:$AG$94,'사업계획(원재료)'!$AG$18)/10^6</f>
        <v>0</v>
      </c>
      <c r="J72" s="90">
        <f>SUMIFS('사업계획(원재료)'!AJ$15:AJ$94,'사업계획(원재료)'!$AE$15:$AE$94,매출원가!$A72,'사업계획(원재료)'!$AF$15:$AF$94,매출원가!$B72,'사업계획(원재료)'!$AG$15:$AG$94,'사업계획(원재료)'!$AG$18)/10^6</f>
        <v>0</v>
      </c>
      <c r="K72" s="90">
        <f>SUMIFS('사업계획(원재료)'!AK$15:AK$94,'사업계획(원재료)'!$AE$15:$AE$94,매출원가!$A72,'사업계획(원재료)'!$AF$15:$AF$94,매출원가!$B72,'사업계획(원재료)'!$AG$15:$AG$94,'사업계획(원재료)'!$AG$18)/10^6</f>
        <v>0</v>
      </c>
      <c r="L72" s="808">
        <f>SUMIFS('사업계획(원재료)'!AL$15:AL$94,'사업계획(원재료)'!$AE$15:$AE$94,매출원가!$A72,'사업계획(원재료)'!$AF$15:$AF$94,매출원가!$B72,'사업계획(원재료)'!$AG$15:$AG$94,'사업계획(원재료)'!$AG$18)/10^6</f>
        <v>0</v>
      </c>
      <c r="O72" s="82"/>
      <c r="P72" s="83"/>
    </row>
    <row r="73" spans="1:16" s="159" customFormat="1" ht="13.5" customHeight="1" x14ac:dyDescent="0.3">
      <c r="A73" s="159" t="str">
        <f t="shared" si="58"/>
        <v>활선차</v>
      </c>
      <c r="B73" s="361" t="s">
        <v>2160</v>
      </c>
      <c r="C73" s="43"/>
      <c r="D73" s="43"/>
      <c r="E73" s="43"/>
      <c r="F73" s="43"/>
      <c r="H73" s="90">
        <f>SUMIFS('사업계획(원재료)'!AH$15:AH$94,'사업계획(원재료)'!$AE$15:$AE$94,매출원가!$A73,'사업계획(원재료)'!$AF$15:$AF$94,매출원가!$B73,'사업계획(원재료)'!$AG$15:$AG$94,'사업계획(원재료)'!$AG$18)/10^6</f>
        <v>0</v>
      </c>
      <c r="I73" s="90">
        <f>SUMIFS('사업계획(원재료)'!AI$15:AI$94,'사업계획(원재료)'!$AE$15:$AE$94,매출원가!$A73,'사업계획(원재료)'!$AF$15:$AF$94,매출원가!$B73,'사업계획(원재료)'!$AG$15:$AG$94,'사업계획(원재료)'!$AG$18)/10^6</f>
        <v>0</v>
      </c>
      <c r="J73" s="90">
        <f>SUMIFS('사업계획(원재료)'!AJ$15:AJ$94,'사업계획(원재료)'!$AE$15:$AE$94,매출원가!$A73,'사업계획(원재료)'!$AF$15:$AF$94,매출원가!$B73,'사업계획(원재료)'!$AG$15:$AG$94,'사업계획(원재료)'!$AG$18)/10^6</f>
        <v>0</v>
      </c>
      <c r="K73" s="90">
        <f>SUMIFS('사업계획(원재료)'!AK$15:AK$94,'사업계획(원재료)'!$AE$15:$AE$94,매출원가!$A73,'사업계획(원재료)'!$AF$15:$AF$94,매출원가!$B73,'사업계획(원재료)'!$AG$15:$AG$94,'사업계획(원재료)'!$AG$18)/10^6</f>
        <v>0</v>
      </c>
      <c r="L73" s="90">
        <f>SUMIFS('사업계획(원재료)'!AL$15:AL$94,'사업계획(원재료)'!$AE$15:$AE$94,매출원가!$A73,'사업계획(원재료)'!$AF$15:$AF$94,매출원가!$B73,'사업계획(원재료)'!$AG$15:$AG$94,'사업계획(원재료)'!$AG$18)/10^6</f>
        <v>0</v>
      </c>
      <c r="O73" s="82"/>
      <c r="P73" s="83"/>
    </row>
    <row r="74" spans="1:16" s="159" customFormat="1" ht="13.5" customHeight="1" x14ac:dyDescent="0.3">
      <c r="B74" s="361"/>
      <c r="C74" s="43"/>
      <c r="D74" s="43"/>
      <c r="E74" s="43"/>
      <c r="F74" s="43"/>
      <c r="G74" s="43"/>
      <c r="H74" s="43"/>
      <c r="I74" s="43"/>
      <c r="J74" s="43"/>
      <c r="K74" s="43"/>
      <c r="L74" s="1470"/>
      <c r="O74" s="82"/>
      <c r="P74" s="83"/>
    </row>
    <row r="75" spans="1:16" s="159" customFormat="1" ht="13.5" customHeight="1" x14ac:dyDescent="0.3">
      <c r="B75" s="400" t="s">
        <v>2821</v>
      </c>
      <c r="C75" s="43"/>
      <c r="D75" s="43"/>
      <c r="E75" s="43"/>
      <c r="F75" s="43"/>
      <c r="G75" s="90"/>
      <c r="H75" s="92">
        <f>SUM(H78,H79,H80,H81,H82,H83)</f>
        <v>5102.7993255555557</v>
      </c>
      <c r="I75" s="92">
        <f>SUM(I78,I79,I80,I81,I82,I83)</f>
        <v>7751.1972768888891</v>
      </c>
      <c r="J75" s="92">
        <f>SUM(J78,J79,J80,J81,J82,J83)</f>
        <v>11458.36769513209</v>
      </c>
      <c r="K75" s="92">
        <f>SUM(K78,K79,K80,K81,K82,K83)</f>
        <v>13253.709102548242</v>
      </c>
      <c r="L75" s="401">
        <f>SUM(L78,L79,L80,L81,L82,L83)</f>
        <v>15067.279523355965</v>
      </c>
      <c r="O75" s="82"/>
      <c r="P75" s="83"/>
    </row>
    <row r="76" spans="1:16" s="159" customFormat="1" ht="13.5" customHeight="1" x14ac:dyDescent="0.3">
      <c r="B76" s="360" t="s">
        <v>37</v>
      </c>
      <c r="C76" s="43"/>
      <c r="D76" s="43"/>
      <c r="E76" s="43"/>
      <c r="F76" s="43"/>
      <c r="G76" s="554" t="e">
        <f t="shared" ref="G76" si="59">G75/F75-1</f>
        <v>#DIV/0!</v>
      </c>
      <c r="H76" s="554" t="e">
        <f t="shared" ref="H76" si="60">H75/G75-1</f>
        <v>#DIV/0!</v>
      </c>
      <c r="I76" s="554">
        <f t="shared" ref="I76" si="61">I75/H75-1</f>
        <v>0.51900883855451152</v>
      </c>
      <c r="J76" s="554">
        <f t="shared" ref="J76" si="62">J75/I75-1</f>
        <v>0.47827068332998923</v>
      </c>
      <c r="K76" s="554">
        <f t="shared" ref="K76" si="63">K75/J75-1</f>
        <v>0.15668387113976756</v>
      </c>
      <c r="L76" s="555">
        <f t="shared" ref="L76" si="64">L75/K75-1</f>
        <v>0.13683493479263364</v>
      </c>
      <c r="O76" s="82"/>
      <c r="P76" s="83"/>
    </row>
    <row r="77" spans="1:16" s="159" customFormat="1" ht="13.5" customHeight="1" x14ac:dyDescent="0.3">
      <c r="B77" s="388" t="s">
        <v>3232</v>
      </c>
      <c r="C77" s="43"/>
      <c r="D77" s="43"/>
      <c r="E77" s="43">
        <f>E76/E$40</f>
        <v>0</v>
      </c>
      <c r="F77" s="43">
        <f t="shared" ref="F77:G77" si="65">F76/F$40</f>
        <v>0</v>
      </c>
      <c r="G77" s="43" t="e">
        <f t="shared" si="65"/>
        <v>#DIV/0!</v>
      </c>
      <c r="H77" s="43">
        <f>H75/H$40</f>
        <v>0.54680661439729483</v>
      </c>
      <c r="I77" s="43">
        <f t="shared" ref="I77:L77" si="66">I75/I$40</f>
        <v>0.57170654055825998</v>
      </c>
      <c r="J77" s="43">
        <f t="shared" si="66"/>
        <v>0.5930985633754543</v>
      </c>
      <c r="K77" s="43">
        <f t="shared" si="66"/>
        <v>0.58059256885426347</v>
      </c>
      <c r="L77" s="404">
        <f t="shared" si="66"/>
        <v>0.58112000630036886</v>
      </c>
      <c r="O77" s="82"/>
      <c r="P77" s="83"/>
    </row>
    <row r="78" spans="1:16" s="159" customFormat="1" ht="13.5" customHeight="1" x14ac:dyDescent="0.3">
      <c r="A78" s="159" t="str">
        <f>$B$75</f>
        <v>크레인</v>
      </c>
      <c r="B78" s="361" t="s">
        <v>2809</v>
      </c>
      <c r="C78" s="43"/>
      <c r="D78" s="43"/>
      <c r="E78" s="43"/>
      <c r="F78" s="43"/>
      <c r="H78" s="90">
        <f>SUMIFS('사업계획(원재료)'!AH$15:AH$94,'사업계획(원재료)'!$AE$15:$AE$94,매출원가!$A78,'사업계획(원재료)'!$AF$15:$AF$94,매출원가!$B78,'사업계획(원재료)'!$AG$15:$AG$94,'사업계획(원재료)'!$AG$18)/10^6</f>
        <v>226.2</v>
      </c>
      <c r="I78" s="90">
        <f>SUMIFS('사업계획(원재료)'!AI$15:AI$94,'사업계획(원재료)'!$AE$15:$AE$94,매출원가!$A78,'사업계획(원재료)'!$AF$15:$AF$94,매출원가!$B78,'사업계획(원재료)'!$AG$15:$AG$94,'사업계획(원재료)'!$AG$18)/10^6</f>
        <v>591.51300000000003</v>
      </c>
      <c r="J78" s="90">
        <f>SUMIFS('사업계획(원재료)'!AJ$15:AJ$94,'사업계획(원재료)'!$AE$15:$AE$94,매출원가!$A78,'사업계획(원재료)'!$AF$15:$AF$94,매출원가!$B78,'사업계획(원재료)'!$AG$15:$AG$94,'사업계획(원재료)'!$AG$18)/10^6</f>
        <v>1237.4451959999999</v>
      </c>
      <c r="K78" s="90">
        <f>SUMIFS('사업계획(원재료)'!AK$15:AK$94,'사업계획(원재료)'!$AE$15:$AE$94,매출원가!$A78,'사업계획(원재료)'!$AF$15:$AF$94,매출원가!$B78,'사업계획(원재료)'!$AG$15:$AG$94,'사업계획(원재료)'!$AG$18)/10^6</f>
        <v>1682.6779775207999</v>
      </c>
      <c r="L78" s="808">
        <f>SUMIFS('사업계획(원재료)'!AL$15:AL$94,'사업계획(원재료)'!$AE$15:$AE$94,매출원가!$A78,'사업계획(원재료)'!$AF$15:$AF$94,매출원가!$B78,'사업계획(원재료)'!$AG$15:$AG$94,'사업계획(원재료)'!$AG$18)/10^6</f>
        <v>2030.8628821001039</v>
      </c>
      <c r="O78" s="82"/>
      <c r="P78" s="83"/>
    </row>
    <row r="79" spans="1:16" s="159" customFormat="1" ht="13.5" customHeight="1" x14ac:dyDescent="0.3">
      <c r="A79" s="159" t="str">
        <f t="shared" ref="A79:A83" si="67">$B$75</f>
        <v>크레인</v>
      </c>
      <c r="B79" s="361" t="s">
        <v>2822</v>
      </c>
      <c r="C79" s="43"/>
      <c r="D79" s="43"/>
      <c r="E79" s="43"/>
      <c r="F79" s="43"/>
      <c r="H79" s="90">
        <f>SUMIFS('사업계획(원재료)'!AH$15:AH$94,'사업계획(원재료)'!$AE$15:$AE$94,매출원가!$A79,'사업계획(원재료)'!$AF$15:$AF$94,매출원가!$B79,'사업계획(원재료)'!$AG$15:$AG$94,'사업계획(원재료)'!$AG$18)/10^6</f>
        <v>1575.4821955555556</v>
      </c>
      <c r="I79" s="90">
        <f>SUMIFS('사업계획(원재료)'!AI$15:AI$94,'사업계획(원재료)'!$AE$15:$AE$94,매출원가!$A79,'사업계획(원재료)'!$AF$15:$AF$94,매출원가!$B79,'사업계획(원재료)'!$AG$15:$AG$94,'사업계획(원재료)'!$AG$18)/10^6</f>
        <v>2185.4193524888888</v>
      </c>
      <c r="J79" s="90">
        <f>SUMIFS('사업계획(원재료)'!AJ$15:AJ$94,'사업계획(원재료)'!$AE$15:$AE$94,매출원가!$A79,'사업계획(원재료)'!$AF$15:$AF$94,매출원가!$B79,'사업계획(원재료)'!$AG$15:$AG$94,'사업계획(원재료)'!$AG$18)/10^6</f>
        <v>3226.5777588572887</v>
      </c>
      <c r="K79" s="90">
        <f>SUMIFS('사업계획(원재료)'!AK$15:AK$94,'사업계획(원재료)'!$AE$15:$AE$94,매출원가!$A79,'사업계획(원재료)'!$AF$15:$AF$94,매출원가!$B79,'사업계획(원재료)'!$AG$15:$AG$94,'사업계획(원재료)'!$AG$18)/10^6</f>
        <v>2665.6737141667109</v>
      </c>
      <c r="L79" s="808">
        <f>SUMIFS('사업계획(원재료)'!AL$15:AL$94,'사업계획(원재료)'!$AE$15:$AE$94,매출원가!$A79,'사업계획(원재료)'!$AF$15:$AF$94,매출원가!$B79,'사업계획(원재료)'!$AG$15:$AG$94,'사업계획(원재료)'!$AG$18)/10^6</f>
        <v>2931.8955649475452</v>
      </c>
      <c r="O79" s="82"/>
      <c r="P79" s="83"/>
    </row>
    <row r="80" spans="1:16" s="159" customFormat="1" ht="13.5" customHeight="1" x14ac:dyDescent="0.3">
      <c r="A80" s="159" t="str">
        <f t="shared" si="67"/>
        <v>크레인</v>
      </c>
      <c r="B80" s="361" t="s">
        <v>2828</v>
      </c>
      <c r="C80" s="43"/>
      <c r="D80" s="43"/>
      <c r="E80" s="43"/>
      <c r="F80" s="43"/>
      <c r="H80" s="90">
        <f>SUMIFS('사업계획(원재료)'!AH$15:AH$94,'사업계획(원재료)'!$AE$15:$AE$94,매출원가!$A80,'사업계획(원재료)'!$AF$15:$AF$94,매출원가!$B80,'사업계획(원재료)'!$AG$15:$AG$94,'사업계획(원재료)'!$AG$18)/10^6</f>
        <v>1678.42777</v>
      </c>
      <c r="I80" s="90">
        <f>SUMIFS('사업계획(원재료)'!AI$15:AI$94,'사업계획(원재료)'!$AE$15:$AE$94,매출원가!$A80,'사업계획(원재료)'!$AF$15:$AF$94,매출원가!$B80,'사업계획(원재료)'!$AG$15:$AG$94,'사업계획(원재료)'!$AG$18)/10^6</f>
        <v>2204.6529448000001</v>
      </c>
      <c r="J80" s="90">
        <f>SUMIFS('사업계획(원재료)'!AJ$15:AJ$94,'사업계획(원재료)'!$AE$15:$AE$94,매출원가!$A80,'사업계획(원재료)'!$AF$15:$AF$94,매출원가!$B80,'사업계획(원재료)'!$AG$15:$AG$94,'사업계획(원재료)'!$AG$18)/10^6</f>
        <v>3034.2015064956004</v>
      </c>
      <c r="K80" s="90">
        <f>SUMIFS('사업계획(원재료)'!AK$15:AK$94,'사업계획(원재료)'!$AE$15:$AE$94,매출원가!$A80,'사업계획(원재료)'!$AF$15:$AF$94,매출원가!$B80,'사업계획(원재료)'!$AG$15:$AG$94,'사업계획(원재료)'!$AG$18)/10^6</f>
        <v>3651.0145464666784</v>
      </c>
      <c r="L80" s="808">
        <f>SUMIFS('사업계획(원재료)'!AL$15:AL$94,'사업계획(원재료)'!$AE$15:$AE$94,매출원가!$A80,'사업계획(원재료)'!$AF$15:$AF$94,매출원가!$B80,'사업계획(원재료)'!$AG$15:$AG$94,'사업계획(원재료)'!$AG$18)/10^6</f>
        <v>4058.874176536518</v>
      </c>
      <c r="O80" s="82"/>
      <c r="P80" s="83"/>
    </row>
    <row r="81" spans="1:16" s="159" customFormat="1" ht="13.5" customHeight="1" x14ac:dyDescent="0.3">
      <c r="A81" s="159" t="str">
        <f t="shared" si="67"/>
        <v>크레인</v>
      </c>
      <c r="B81" s="361" t="s">
        <v>3579</v>
      </c>
      <c r="C81" s="43"/>
      <c r="D81" s="43"/>
      <c r="E81" s="43"/>
      <c r="F81" s="43"/>
      <c r="H81" s="90">
        <f>SUMIFS('사업계획(원재료)'!AH$15:AH$94,'사업계획(원재료)'!$AE$15:$AE$94,매출원가!$A81,'사업계획(원재료)'!$AF$15:$AF$94,매출원가!$B81,'사업계획(원재료)'!$AG$15:$AG$94,'사업계획(원재료)'!$AG$18)/10^6</f>
        <v>1622.6893600000001</v>
      </c>
      <c r="I81" s="90">
        <f>SUMIFS('사업계획(원재료)'!AI$15:AI$94,'사업계획(원재료)'!$AE$15:$AE$94,매출원가!$A81,'사업계획(원재료)'!$AF$15:$AF$94,매출원가!$B81,'사업계획(원재료)'!$AG$15:$AG$94,'사업계획(원재료)'!$AG$18)/10^6</f>
        <v>2769.6119796000003</v>
      </c>
      <c r="J81" s="90">
        <f>SUMIFS('사업계획(원재료)'!AJ$15:AJ$94,'사업계획(원재료)'!$AE$15:$AE$94,매출원가!$A81,'사업계획(원재료)'!$AF$15:$AF$94,매출원가!$B81,'사업계획(원재료)'!$AG$15:$AG$94,'사업계획(원재료)'!$AG$18)/10^6</f>
        <v>3960.1432337792012</v>
      </c>
      <c r="K81" s="90">
        <f>SUMIFS('사업계획(원재료)'!AK$15:AK$94,'사업계획(원재료)'!$AE$15:$AE$94,매출원가!$A81,'사업계획(원재료)'!$AF$15:$AF$94,매출원가!$B81,'사업계획(원재료)'!$AG$15:$AG$94,'사업계획(원재료)'!$AG$18)/10^6</f>
        <v>5254.3428643940533</v>
      </c>
      <c r="L81" s="808">
        <f>SUMIFS('사업계획(원재료)'!AL$15:AL$94,'사업계획(원재료)'!$AE$15:$AE$94,매출원가!$A81,'사업계획(원재료)'!$AF$15:$AF$94,매출원가!$B81,'사업계획(원재료)'!$AG$15:$AG$94,'사업계획(원재료)'!$AG$18)/10^6</f>
        <v>6045.6468997717984</v>
      </c>
      <c r="O81" s="82"/>
      <c r="P81" s="83"/>
    </row>
    <row r="82" spans="1:16" s="159" customFormat="1" ht="13.5" customHeight="1" x14ac:dyDescent="0.3">
      <c r="A82" s="159" t="str">
        <f t="shared" si="67"/>
        <v>크레인</v>
      </c>
      <c r="B82" s="361" t="s">
        <v>3580</v>
      </c>
      <c r="C82" s="43"/>
      <c r="D82" s="43"/>
      <c r="E82" s="43"/>
      <c r="F82" s="43"/>
      <c r="H82" s="90">
        <f>SUMIFS('사업계획(원재료)'!AH$15:AH$94,'사업계획(원재료)'!$AE$15:$AE$94,매출원가!$A82,'사업계획(원재료)'!$AF$15:$AF$94,매출원가!$B82,'사업계획(원재료)'!$AG$15:$AG$94,'사업계획(원재료)'!$AG$18)/10^6</f>
        <v>0</v>
      </c>
      <c r="I82" s="90">
        <f>SUMIFS('사업계획(원재료)'!AI$15:AI$94,'사업계획(원재료)'!$AE$15:$AE$94,매출원가!$A82,'사업계획(원재료)'!$AF$15:$AF$94,매출원가!$B82,'사업계획(원재료)'!$AG$15:$AG$94,'사업계획(원재료)'!$AG$18)/10^6</f>
        <v>0</v>
      </c>
      <c r="J82" s="90">
        <f>SUMIFS('사업계획(원재료)'!AJ$15:AJ$94,'사업계획(원재료)'!$AE$15:$AE$94,매출원가!$A82,'사업계획(원재료)'!$AF$15:$AF$94,매출원가!$B82,'사업계획(원재료)'!$AG$15:$AG$94,'사업계획(원재료)'!$AG$18)/10^6</f>
        <v>0</v>
      </c>
      <c r="K82" s="90">
        <f>SUMIFS('사업계획(원재료)'!AK$15:AK$94,'사업계획(원재료)'!$AE$15:$AE$94,매출원가!$A82,'사업계획(원재료)'!$AF$15:$AF$94,매출원가!$B82,'사업계획(원재료)'!$AG$15:$AG$94,'사업계획(원재료)'!$AG$18)/10^6</f>
        <v>0</v>
      </c>
      <c r="L82" s="808">
        <f>SUMIFS('사업계획(원재료)'!AL$15:AL$94,'사업계획(원재료)'!$AE$15:$AE$94,매출원가!$A82,'사업계획(원재료)'!$AF$15:$AF$94,매출원가!$B82,'사업계획(원재료)'!$AG$15:$AG$94,'사업계획(원재료)'!$AG$18)/10^6</f>
        <v>0</v>
      </c>
      <c r="O82" s="82"/>
      <c r="P82" s="83"/>
    </row>
    <row r="83" spans="1:16" s="159" customFormat="1" ht="13.5" customHeight="1" x14ac:dyDescent="0.3">
      <c r="A83" s="159" t="str">
        <f t="shared" si="67"/>
        <v>크레인</v>
      </c>
      <c r="B83" s="361" t="s">
        <v>2160</v>
      </c>
      <c r="C83" s="43"/>
      <c r="D83" s="43"/>
      <c r="E83" s="43"/>
      <c r="F83" s="43"/>
      <c r="H83" s="90">
        <f>SUMIFS('사업계획(원재료)'!AH$15:AH$94,'사업계획(원재료)'!$AE$15:$AE$94,매출원가!$A83,'사업계획(원재료)'!$AF$15:$AF$94,매출원가!$B83,'사업계획(원재료)'!$AG$15:$AG$94,'사업계획(원재료)'!$AG$18)/10^6</f>
        <v>0</v>
      </c>
      <c r="I83" s="90">
        <f>SUMIFS('사업계획(원재료)'!AI$15:AI$94,'사업계획(원재료)'!$AE$15:$AE$94,매출원가!$A83,'사업계획(원재료)'!$AF$15:$AF$94,매출원가!$B83,'사업계획(원재료)'!$AG$15:$AG$94,'사업계획(원재료)'!$AG$18)/10^6</f>
        <v>0</v>
      </c>
      <c r="J83" s="90">
        <f>SUMIFS('사업계획(원재료)'!AJ$15:AJ$94,'사업계획(원재료)'!$AE$15:$AE$94,매출원가!$A83,'사업계획(원재료)'!$AF$15:$AF$94,매출원가!$B83,'사업계획(원재료)'!$AG$15:$AG$94,'사업계획(원재료)'!$AG$18)/10^6</f>
        <v>0</v>
      </c>
      <c r="K83" s="90">
        <f>SUMIFS('사업계획(원재료)'!AK$15:AK$94,'사업계획(원재료)'!$AE$15:$AE$94,매출원가!$A83,'사업계획(원재료)'!$AF$15:$AF$94,매출원가!$B83,'사업계획(원재료)'!$AG$15:$AG$94,'사업계획(원재료)'!$AG$18)/10^6</f>
        <v>0</v>
      </c>
      <c r="L83" s="808">
        <f>SUMIFS('사업계획(원재료)'!AL$15:AL$94,'사업계획(원재료)'!$AE$15:$AE$94,매출원가!$A83,'사업계획(원재료)'!$AF$15:$AF$94,매출원가!$B83,'사업계획(원재료)'!$AG$15:$AG$94,'사업계획(원재료)'!$AG$18)/10^6</f>
        <v>0</v>
      </c>
      <c r="O83" s="82"/>
      <c r="P83" s="83"/>
    </row>
    <row r="84" spans="1:16" s="159" customFormat="1" ht="13.5" customHeight="1" x14ac:dyDescent="0.3">
      <c r="B84" s="361"/>
      <c r="C84" s="43"/>
      <c r="D84" s="43"/>
      <c r="E84" s="43"/>
      <c r="F84" s="43"/>
      <c r="G84" s="90"/>
      <c r="H84" s="90"/>
      <c r="I84" s="90"/>
      <c r="J84" s="90"/>
      <c r="K84" s="90"/>
      <c r="L84" s="1470"/>
      <c r="O84" s="82"/>
      <c r="P84" s="83"/>
    </row>
    <row r="85" spans="1:16" s="159" customFormat="1" ht="13.5" customHeight="1" x14ac:dyDescent="0.3">
      <c r="B85" s="400" t="s">
        <v>2898</v>
      </c>
      <c r="C85" s="43"/>
      <c r="D85" s="43"/>
      <c r="E85" s="43"/>
      <c r="F85" s="43"/>
      <c r="G85" s="90"/>
      <c r="H85" s="1468">
        <f>H86+H87</f>
        <v>5550</v>
      </c>
      <c r="I85" s="1468">
        <f t="shared" ref="I85:L85" si="68">I86+I87</f>
        <v>7008.2000000000007</v>
      </c>
      <c r="J85" s="1468">
        <f t="shared" si="68"/>
        <v>9409.3976000000002</v>
      </c>
      <c r="K85" s="1468">
        <f t="shared" si="68"/>
        <v>9956.6744232000001</v>
      </c>
      <c r="L85" s="1468">
        <f t="shared" si="68"/>
        <v>11132.935339540802</v>
      </c>
      <c r="O85" s="82"/>
      <c r="P85" s="83"/>
    </row>
    <row r="86" spans="1:16" s="159" customFormat="1" ht="13.5" customHeight="1" x14ac:dyDescent="0.3">
      <c r="B86" s="849" t="s">
        <v>3281</v>
      </c>
      <c r="C86" s="43"/>
      <c r="D86" s="43"/>
      <c r="E86" s="43"/>
      <c r="F86" s="43"/>
      <c r="G86" s="90"/>
      <c r="H86" s="90">
        <f>'사업계획(원재료)'!AH90/10^6</f>
        <v>5550</v>
      </c>
      <c r="I86" s="90">
        <f>'사업계획(원재료)'!AI90/10^6</f>
        <v>6903.6</v>
      </c>
      <c r="J86" s="90">
        <f>'사업계획(원재료)'!AJ90/10^6</f>
        <v>8862.3395999999993</v>
      </c>
      <c r="K86" s="90">
        <f>'사업계획(원재료)'!AK90/10^6</f>
        <v>9270.0072216000008</v>
      </c>
      <c r="L86" s="808">
        <f>'사업계획(원재료)'!AL90/10^6</f>
        <v>10294.972464521601</v>
      </c>
      <c r="O86" s="82"/>
      <c r="P86" s="83"/>
    </row>
    <row r="87" spans="1:16" s="159" customFormat="1" ht="13.5" customHeight="1" x14ac:dyDescent="0.3">
      <c r="B87" s="849" t="s">
        <v>2901</v>
      </c>
      <c r="C87" s="43"/>
      <c r="D87" s="43"/>
      <c r="E87" s="43"/>
      <c r="F87" s="43"/>
      <c r="G87" s="90"/>
      <c r="H87" s="90">
        <f>'사업계획(원재료)'!AH94/10^6</f>
        <v>0</v>
      </c>
      <c r="I87" s="90">
        <f>'사업계획(원재료)'!AI94/10^6</f>
        <v>104.6</v>
      </c>
      <c r="J87" s="90">
        <f>'사업계획(원재료)'!AJ94/10^6</f>
        <v>547.05799999999999</v>
      </c>
      <c r="K87" s="90">
        <f>'사업계획(원재료)'!AK94/10^6</f>
        <v>686.66720159999988</v>
      </c>
      <c r="L87" s="90">
        <f>'사업계획(원재료)'!AL94/10^6</f>
        <v>837.96287501919983</v>
      </c>
      <c r="O87" s="82"/>
      <c r="P87" s="83"/>
    </row>
    <row r="88" spans="1:16" s="159" customFormat="1" ht="13.5" customHeight="1" x14ac:dyDescent="0.3">
      <c r="B88" s="1592"/>
      <c r="C88" s="43"/>
      <c r="D88" s="43"/>
      <c r="E88" s="43"/>
      <c r="F88" s="43"/>
      <c r="G88" s="90"/>
      <c r="H88" s="90"/>
      <c r="I88" s="90"/>
      <c r="J88" s="90"/>
      <c r="K88" s="90"/>
      <c r="L88" s="90"/>
      <c r="O88" s="82"/>
      <c r="P88" s="83"/>
    </row>
    <row r="89" spans="1:16" s="159" customFormat="1" ht="13.5" customHeight="1" x14ac:dyDescent="0.3">
      <c r="B89" s="1593" t="s">
        <v>3581</v>
      </c>
      <c r="C89" s="43"/>
      <c r="D89" s="43"/>
      <c r="E89" s="43"/>
      <c r="F89" s="43"/>
      <c r="G89" s="90"/>
      <c r="H89" s="90">
        <f>SUM(H85,H75,H65,H55)</f>
        <v>65933.45162545616</v>
      </c>
      <c r="I89" s="90">
        <f t="shared" ref="I89:L89" si="69">SUM(I85,I75,I65,I55)</f>
        <v>83495.694788024455</v>
      </c>
      <c r="J89" s="90">
        <f t="shared" si="69"/>
        <v>106789.90267924685</v>
      </c>
      <c r="K89" s="90">
        <f t="shared" si="69"/>
        <v>116904.86299294161</v>
      </c>
      <c r="L89" s="90">
        <f t="shared" si="69"/>
        <v>126032.9151084522</v>
      </c>
      <c r="O89" s="82"/>
      <c r="P89" s="83"/>
    </row>
    <row r="90" spans="1:16" s="159" customFormat="1" ht="13.5" customHeight="1" x14ac:dyDescent="0.3">
      <c r="B90" s="655"/>
      <c r="C90" s="43"/>
      <c r="D90" s="43"/>
      <c r="E90" s="43"/>
      <c r="F90" s="43"/>
      <c r="G90" s="90"/>
      <c r="H90" s="434" t="b">
        <f>H89*1000000='사업계획(원재료)'!AH97</f>
        <v>1</v>
      </c>
      <c r="I90" s="434" t="b">
        <f>I89*1000000='사업계획(원재료)'!AI97</f>
        <v>1</v>
      </c>
      <c r="J90" s="434" t="b">
        <f>J89*1000000='사업계획(원재료)'!AJ97</f>
        <v>1</v>
      </c>
      <c r="K90" s="434" t="b">
        <f>K89*1000000='사업계획(원재료)'!AK97</f>
        <v>1</v>
      </c>
      <c r="L90" s="434" t="b">
        <f>L89*1000000='사업계획(원재료)'!AL97</f>
        <v>1</v>
      </c>
      <c r="O90" s="82"/>
      <c r="P90" s="83"/>
    </row>
    <row r="91" spans="1:16" s="159" customFormat="1" ht="13.5" customHeight="1" x14ac:dyDescent="0.3">
      <c r="B91" s="400" t="s">
        <v>3238</v>
      </c>
      <c r="C91" s="43"/>
      <c r="D91" s="43"/>
      <c r="E91" s="43"/>
      <c r="F91" s="43"/>
      <c r="G91" s="90"/>
      <c r="H91" s="1468">
        <f>SUM(H93,H100,H107,H114)</f>
        <v>15068.294601135891</v>
      </c>
      <c r="I91" s="1468">
        <f t="shared" ref="I91:L91" si="70">SUM(I93,I100,I107,I114)</f>
        <v>19155.314211547295</v>
      </c>
      <c r="J91" s="1468">
        <f t="shared" si="70"/>
        <v>22277.628787564856</v>
      </c>
      <c r="K91" s="1468">
        <f t="shared" si="70"/>
        <v>25646.663659704409</v>
      </c>
      <c r="L91" s="1471">
        <f t="shared" si="70"/>
        <v>29924.729290433788</v>
      </c>
      <c r="O91" s="82"/>
      <c r="P91" s="83"/>
    </row>
    <row r="92" spans="1:16" s="159" customFormat="1" ht="13.5" customHeight="1" x14ac:dyDescent="0.3">
      <c r="B92" s="1594"/>
      <c r="C92" s="43"/>
      <c r="D92" s="43"/>
      <c r="E92" s="43"/>
      <c r="F92" s="43"/>
      <c r="G92" s="90"/>
      <c r="H92" s="1468" t="b">
        <f>H91*1000000='사업계획(원재료)'!P213</f>
        <v>1</v>
      </c>
      <c r="I92" s="1468" t="b">
        <f>I91*1000000='사업계획(원재료)'!Q213</f>
        <v>1</v>
      </c>
      <c r="J92" s="1468" t="b">
        <f>J91*1000000='사업계획(원재료)'!R213</f>
        <v>1</v>
      </c>
      <c r="K92" s="1468" t="b">
        <f>K91*1000000='사업계획(원재료)'!S213</f>
        <v>1</v>
      </c>
      <c r="L92" s="1468" t="b">
        <f>L91*1000000='사업계획(원재료)'!T213</f>
        <v>1</v>
      </c>
      <c r="O92" s="82"/>
      <c r="P92" s="83"/>
    </row>
    <row r="93" spans="1:16" s="159" customFormat="1" ht="13.5" customHeight="1" x14ac:dyDescent="0.3">
      <c r="B93" s="844" t="s">
        <v>2140</v>
      </c>
      <c r="C93" s="43"/>
      <c r="D93" s="43"/>
      <c r="E93" s="43"/>
      <c r="F93" s="43"/>
      <c r="G93" s="90"/>
      <c r="H93" s="90">
        <f>SUM(H96:H98)</f>
        <v>4111.5283140572392</v>
      </c>
      <c r="I93" s="90">
        <f t="shared" ref="I93:L93" si="71">SUM(I96:I98)</f>
        <v>6342.6894330077448</v>
      </c>
      <c r="J93" s="90">
        <f t="shared" si="71"/>
        <v>7702.4352639576246</v>
      </c>
      <c r="K93" s="90">
        <f t="shared" si="71"/>
        <v>9173.8565805146536</v>
      </c>
      <c r="L93" s="808">
        <f t="shared" si="71"/>
        <v>11410.569318043876</v>
      </c>
      <c r="O93" s="82"/>
      <c r="P93" s="83"/>
    </row>
    <row r="94" spans="1:16" s="159" customFormat="1" ht="13.5" customHeight="1" x14ac:dyDescent="0.3">
      <c r="B94" s="844"/>
      <c r="C94" s="43"/>
      <c r="D94" s="43"/>
      <c r="E94" s="43"/>
      <c r="F94" s="43"/>
      <c r="G94" s="90"/>
      <c r="H94" s="90"/>
      <c r="I94" s="90"/>
      <c r="J94" s="90"/>
      <c r="K94" s="90"/>
      <c r="L94" s="808"/>
      <c r="O94" s="82"/>
      <c r="P94" s="83"/>
    </row>
    <row r="95" spans="1:16" s="159" customFormat="1" ht="13.5" customHeight="1" x14ac:dyDescent="0.3">
      <c r="B95" s="844"/>
      <c r="C95" s="43"/>
      <c r="D95" s="43"/>
      <c r="E95" s="43"/>
      <c r="F95" s="43"/>
      <c r="G95" s="90"/>
      <c r="H95" s="90"/>
      <c r="I95" s="90"/>
      <c r="J95" s="90"/>
      <c r="K95" s="90"/>
      <c r="L95" s="808"/>
      <c r="O95" s="82"/>
      <c r="P95" s="83"/>
    </row>
    <row r="96" spans="1:16" s="159" customFormat="1" ht="13.5" customHeight="1" x14ac:dyDescent="0.3">
      <c r="A96" s="844" t="s">
        <v>2140</v>
      </c>
      <c r="B96" s="849" t="s">
        <v>2139</v>
      </c>
      <c r="C96" s="43"/>
      <c r="D96" s="43"/>
      <c r="E96" s="43"/>
      <c r="F96" s="43"/>
      <c r="G96" s="90"/>
      <c r="H96" s="90">
        <f>SUMIFS('사업계획(원재료)'!P$171:P$210,'사업계획(원재료)'!$L$171:$L$210,매출원가!$B96,'사업계획(원재료)'!$N$171:$N$210,매출원가!$A96,'사업계획(원재료)'!$O$171:$O$210,'사업계획(원재료)'!$O$174)/10^6</f>
        <v>872.57831405723903</v>
      </c>
      <c r="I96" s="90">
        <f>SUMIFS('사업계획(원재료)'!Q$171:Q$210,'사업계획(원재료)'!$L$171:$L$210,매출원가!$B96,'사업계획(원재료)'!$N$171:$N$210,매출원가!$A96,'사업계획(원재료)'!$O$171:$O$210,'사업계획(원재료)'!$O$174)/10^6</f>
        <v>1825.4338330077444</v>
      </c>
      <c r="J96" s="90">
        <f>SUMIFS('사업계획(원재료)'!R$171:R$210,'사업계획(원재료)'!$L$171:$L$210,매출원가!$B96,'사업계획(원재료)'!$N$171:$N$210,매출원가!$A96,'사업계획(원재료)'!$O$171:$O$210,'사업계획(원재료)'!$O$174)/10^6</f>
        <v>2386.754736657625</v>
      </c>
      <c r="K96" s="90">
        <f>SUMIFS('사업계획(원재료)'!S$171:S$210,'사업계획(원재료)'!$L$171:$L$210,매출원가!$B96,'사업계획(원재료)'!$N$171:$N$210,매출원가!$A96,'사업계획(원재료)'!$O$171:$O$210,'사업계획(원재료)'!$O$174)/10^6</f>
        <v>2995.854545452652</v>
      </c>
      <c r="L96" s="808">
        <f>SUMIFS('사업계획(원재료)'!T$171:T$210,'사업계획(원재료)'!$L$171:$L$210,매출원가!$B96,'사업계획(원재료)'!$N$171:$N$210,매출원가!$A96,'사업계획(원재료)'!$O$171:$O$210,'사업계획(원재료)'!$O$174)/10^6</f>
        <v>3655.9411636340533</v>
      </c>
      <c r="O96" s="82"/>
      <c r="P96" s="83"/>
    </row>
    <row r="97" spans="1:16" s="159" customFormat="1" ht="13.5" customHeight="1" x14ac:dyDescent="0.3">
      <c r="A97" s="844" t="s">
        <v>2140</v>
      </c>
      <c r="B97" s="849" t="s">
        <v>649</v>
      </c>
      <c r="C97" s="43"/>
      <c r="D97" s="43"/>
      <c r="E97" s="43"/>
      <c r="F97" s="43"/>
      <c r="G97" s="90"/>
      <c r="H97" s="90">
        <f>SUMIFS('사업계획(원재료)'!P$171:P$210,'사업계획(원재료)'!$L$171:$L$210,매출원가!$B97,'사업계획(원재료)'!$N$171:$N$210,매출원가!$A97,'사업계획(원재료)'!$O$171:$O$210,'사업계획(원재료)'!$O$174)/10^6</f>
        <v>0</v>
      </c>
      <c r="I97" s="90">
        <f>SUMIFS('사업계획(원재료)'!Q$171:Q$210,'사업계획(원재료)'!$L$171:$L$210,매출원가!$B97,'사업계획(원재료)'!$N$171:$N$210,매출원가!$A97,'사업계획(원재료)'!$O$171:$O$210,'사업계획(원재료)'!$O$174)/10^6</f>
        <v>0</v>
      </c>
      <c r="J97" s="90">
        <f>SUMIFS('사업계획(원재료)'!R$171:R$210,'사업계획(원재료)'!$L$171:$L$210,매출원가!$B97,'사업계획(원재료)'!$N$171:$N$210,매출원가!$A97,'사업계획(원재료)'!$O$171:$O$210,'사업계획(원재료)'!$O$174)/10^6</f>
        <v>0</v>
      </c>
      <c r="K97" s="90">
        <f>SUMIFS('사업계획(원재료)'!S$171:S$210,'사업계획(원재료)'!$L$171:$L$210,매출원가!$B97,'사업계획(원재료)'!$N$171:$N$210,매출원가!$A97,'사업계획(원재료)'!$O$171:$O$210,'사업계획(원재료)'!$O$174)/10^6</f>
        <v>0</v>
      </c>
      <c r="L97" s="808">
        <f>SUMIFS('사업계획(원재료)'!T$171:T$210,'사업계획(원재료)'!$L$171:$L$210,매출원가!$B97,'사업계획(원재료)'!$N$171:$N$210,매출원가!$A97,'사업계획(원재료)'!$O$171:$O$210,'사업계획(원재료)'!$O$174)/10^6</f>
        <v>0</v>
      </c>
      <c r="O97" s="82"/>
      <c r="P97" s="83"/>
    </row>
    <row r="98" spans="1:16" s="159" customFormat="1" ht="13.5" customHeight="1" x14ac:dyDescent="0.3">
      <c r="A98" s="844" t="s">
        <v>2140</v>
      </c>
      <c r="B98" s="849" t="s">
        <v>648</v>
      </c>
      <c r="C98" s="43"/>
      <c r="D98" s="43"/>
      <c r="E98" s="43"/>
      <c r="F98" s="43"/>
      <c r="G98" s="90"/>
      <c r="H98" s="90">
        <f>SUMIFS('사업계획(원재료)'!P$171:P$210,'사업계획(원재료)'!$L$171:$L$210,매출원가!$B98,'사업계획(원재료)'!$N$171:$N$210,매출원가!$A98,'사업계획(원재료)'!$O$171:$O$210,'사업계획(원재료)'!$O$174)/10^6</f>
        <v>3238.95</v>
      </c>
      <c r="I98" s="90">
        <f>SUMIFS('사업계획(원재료)'!Q$171:Q$210,'사업계획(원재료)'!$L$171:$L$210,매출원가!$B98,'사업계획(원재료)'!$N$171:$N$210,매출원가!$A98,'사업계획(원재료)'!$O$171:$O$210,'사업계획(원재료)'!$O$174)/10^6</f>
        <v>4517.2556000000004</v>
      </c>
      <c r="J98" s="90">
        <f>SUMIFS('사업계획(원재료)'!R$171:R$210,'사업계획(원재료)'!$L$171:$L$210,매출원가!$B98,'사업계획(원재료)'!$N$171:$N$210,매출원가!$A98,'사업계획(원재료)'!$O$171:$O$210,'사업계획(원재료)'!$O$174)/10^6</f>
        <v>5315.6805273</v>
      </c>
      <c r="K98" s="90">
        <f>SUMIFS('사업계획(원재료)'!S$171:S$210,'사업계획(원재료)'!$L$171:$L$210,매출원가!$B98,'사업계획(원재료)'!$N$171:$N$210,매출원가!$A98,'사업계획(원재료)'!$O$171:$O$210,'사업계획(원재료)'!$O$174)/10^6</f>
        <v>6178.0020350620007</v>
      </c>
      <c r="L98" s="808">
        <f>SUMIFS('사업계획(원재료)'!T$171:T$210,'사업계획(원재료)'!$L$171:$L$210,매출원가!$B98,'사업계획(원재료)'!$N$171:$N$210,매출원가!$A98,'사업계획(원재료)'!$O$171:$O$210,'사업계획(원재료)'!$O$174)/10^6</f>
        <v>7754.6281544098229</v>
      </c>
      <c r="O98" s="82"/>
      <c r="P98" s="83"/>
    </row>
    <row r="99" spans="1:16" s="159" customFormat="1" ht="13.5" customHeight="1" x14ac:dyDescent="0.3">
      <c r="B99" s="850"/>
      <c r="C99" s="43"/>
      <c r="D99" s="43"/>
      <c r="E99" s="43"/>
      <c r="F99" s="43"/>
      <c r="G99" s="90"/>
      <c r="H99" s="434"/>
      <c r="I99" s="434"/>
      <c r="J99" s="434"/>
      <c r="K99" s="434"/>
      <c r="L99" s="1470"/>
      <c r="O99" s="82"/>
      <c r="P99" s="83"/>
    </row>
    <row r="100" spans="1:16" s="159" customFormat="1" ht="13.5" customHeight="1" x14ac:dyDescent="0.3">
      <c r="B100" s="844" t="s">
        <v>2156</v>
      </c>
      <c r="C100" s="43"/>
      <c r="D100" s="43"/>
      <c r="E100" s="43"/>
      <c r="F100" s="43"/>
      <c r="G100" s="90"/>
      <c r="H100" s="90">
        <f>SUM(H103:H105)</f>
        <v>2506.7662870786517</v>
      </c>
      <c r="I100" s="90">
        <f t="shared" ref="I100:L100" si="72">SUM(I103:I105)</f>
        <v>2965.0925057395502</v>
      </c>
      <c r="J100" s="90">
        <f t="shared" si="72"/>
        <v>3460.2804190537936</v>
      </c>
      <c r="K100" s="90">
        <f t="shared" si="72"/>
        <v>3994.7514846508029</v>
      </c>
      <c r="L100" s="808">
        <f t="shared" si="72"/>
        <v>4571.0719349160181</v>
      </c>
      <c r="O100" s="82"/>
      <c r="P100" s="83"/>
    </row>
    <row r="101" spans="1:16" s="159" customFormat="1" ht="13.5" customHeight="1" x14ac:dyDescent="0.3">
      <c r="B101" s="873" t="s">
        <v>37</v>
      </c>
      <c r="C101" s="43"/>
      <c r="D101" s="43"/>
      <c r="E101" s="43"/>
      <c r="F101" s="43"/>
      <c r="G101" s="90"/>
      <c r="H101" s="434">
        <f>매출액!G165</f>
        <v>30</v>
      </c>
      <c r="I101" s="434">
        <f>매출액!H165</f>
        <v>60</v>
      </c>
      <c r="J101" s="434">
        <f>매출액!I165</f>
        <v>75</v>
      </c>
      <c r="K101" s="434">
        <f>매출액!J165</f>
        <v>90</v>
      </c>
      <c r="L101" s="1469">
        <f>매출액!K165</f>
        <v>105</v>
      </c>
      <c r="O101" s="82"/>
      <c r="P101" s="83"/>
    </row>
    <row r="102" spans="1:16" s="159" customFormat="1" ht="13.5" customHeight="1" x14ac:dyDescent="0.3">
      <c r="B102" s="874" t="s">
        <v>2778</v>
      </c>
      <c r="C102" s="43"/>
      <c r="D102" s="43"/>
      <c r="E102" s="43"/>
      <c r="F102" s="43"/>
      <c r="G102" s="90"/>
      <c r="H102" s="434">
        <f>'사업계획(원재료)'!AH121/10^6</f>
        <v>0</v>
      </c>
      <c r="I102" s="434">
        <f>'사업계획(원재료)'!AI121/10^6</f>
        <v>0</v>
      </c>
      <c r="J102" s="434">
        <f>'사업계획(원재료)'!AJ121/10^6</f>
        <v>0</v>
      </c>
      <c r="K102" s="434">
        <f>'사업계획(원재료)'!AK121/10^6</f>
        <v>0</v>
      </c>
      <c r="L102" s="1469">
        <f>'사업계획(원재료)'!AL121/10^6</f>
        <v>0</v>
      </c>
      <c r="O102" s="82"/>
      <c r="P102" s="83"/>
    </row>
    <row r="103" spans="1:16" s="159" customFormat="1" ht="13.5" customHeight="1" x14ac:dyDescent="0.3">
      <c r="A103" s="844" t="s">
        <v>2156</v>
      </c>
      <c r="B103" s="849" t="s">
        <v>2139</v>
      </c>
      <c r="C103" s="43"/>
      <c r="D103" s="43"/>
      <c r="E103" s="43"/>
      <c r="F103" s="43"/>
      <c r="G103" s="90"/>
      <c r="H103" s="90">
        <f>SUMIFS('사업계획(원재료)'!P$171:P$210,'사업계획(원재료)'!$L$171:$L$210,매출원가!$B103,'사업계획(원재료)'!$N$171:$N$210,매출원가!$A103,'사업계획(원재료)'!$O$171:$O$210,'사업계획(원재료)'!$O$174)/10^6</f>
        <v>261.48213707865165</v>
      </c>
      <c r="I103" s="90">
        <f>SUMIFS('사업계획(원재료)'!Q$171:Q$210,'사업계획(원재료)'!$L$171:$L$210,매출원가!$B103,'사업계획(원재료)'!$N$171:$N$210,매출원가!$A103,'사업계획(원재료)'!$O$171:$O$210,'사업계획(원재료)'!$O$174)/10^6</f>
        <v>355.56340999955057</v>
      </c>
      <c r="J103" s="90">
        <f>SUMIFS('사업계획(원재료)'!R$171:R$210,'사업계획(원재료)'!$L$171:$L$210,매출원가!$B103,'사업계획(원재료)'!$N$171:$N$210,매출원가!$A103,'사업계획(원재료)'!$O$171:$O$210,'사업계획(원재료)'!$O$174)/10^6</f>
        <v>457.74686382711377</v>
      </c>
      <c r="K103" s="90">
        <f>SUMIFS('사업계획(원재료)'!S$171:S$210,'사업계획(원재료)'!$L$171:$L$210,매출원가!$B103,'사업계획(원재료)'!$N$171:$N$210,매출원가!$A103,'사업계획(원재료)'!$O$171:$O$210,'사업계획(원재료)'!$O$174)/10^6</f>
        <v>568.57882323125375</v>
      </c>
      <c r="L103" s="808">
        <f>SUMIFS('사업계획(원재료)'!T$171:T$210,'사업계획(원재료)'!$L$171:$L$210,매출원가!$B103,'사업계획(원재료)'!$N$171:$N$210,매출원가!$A103,'사업계획(원재료)'!$O$171:$O$210,'사업계획(원재료)'!$O$174)/10^6</f>
        <v>688.63873053671637</v>
      </c>
      <c r="O103" s="82"/>
      <c r="P103" s="83"/>
    </row>
    <row r="104" spans="1:16" s="159" customFormat="1" ht="13.5" customHeight="1" x14ac:dyDescent="0.3">
      <c r="A104" s="844" t="s">
        <v>2156</v>
      </c>
      <c r="B104" s="849" t="s">
        <v>649</v>
      </c>
      <c r="C104" s="43"/>
      <c r="D104" s="43"/>
      <c r="E104" s="43"/>
      <c r="F104" s="43"/>
      <c r="G104" s="90"/>
      <c r="H104" s="90">
        <f>SUMIFS('사업계획(원재료)'!P$171:P$210,'사업계획(원재료)'!$L$171:$L$210,매출원가!$B104,'사업계획(원재료)'!$N$171:$N$210,매출원가!$A104,'사업계획(원재료)'!$O$171:$O$210,'사업계획(원재료)'!$O$174)/10^6</f>
        <v>0</v>
      </c>
      <c r="I104" s="90">
        <f>SUMIFS('사업계획(원재료)'!Q$171:Q$210,'사업계획(원재료)'!$L$171:$L$210,매출원가!$B104,'사업계획(원재료)'!$N$171:$N$210,매출원가!$A104,'사업계획(원재료)'!$O$171:$O$210,'사업계획(원재료)'!$O$174)/10^6</f>
        <v>0</v>
      </c>
      <c r="J104" s="90">
        <f>SUMIFS('사업계획(원재료)'!R$171:R$210,'사업계획(원재료)'!$L$171:$L$210,매출원가!$B104,'사업계획(원재료)'!$N$171:$N$210,매출원가!$A104,'사업계획(원재료)'!$O$171:$O$210,'사업계획(원재료)'!$O$174)/10^6</f>
        <v>0</v>
      </c>
      <c r="K104" s="90">
        <f>SUMIFS('사업계획(원재료)'!S$171:S$210,'사업계획(원재료)'!$L$171:$L$210,매출원가!$B104,'사업계획(원재료)'!$N$171:$N$210,매출원가!$A104,'사업계획(원재료)'!$O$171:$O$210,'사업계획(원재료)'!$O$174)/10^6</f>
        <v>0</v>
      </c>
      <c r="L104" s="808">
        <f>SUMIFS('사업계획(원재료)'!T$171:T$210,'사업계획(원재료)'!$L$171:$L$210,매출원가!$B104,'사업계획(원재료)'!$N$171:$N$210,매출원가!$A104,'사업계획(원재료)'!$O$171:$O$210,'사업계획(원재료)'!$O$174)/10^6</f>
        <v>0</v>
      </c>
      <c r="O104" s="82"/>
      <c r="P104" s="83"/>
    </row>
    <row r="105" spans="1:16" s="159" customFormat="1" ht="13.5" customHeight="1" x14ac:dyDescent="0.3">
      <c r="A105" s="844" t="s">
        <v>2156</v>
      </c>
      <c r="B105" s="849" t="s">
        <v>648</v>
      </c>
      <c r="C105" s="43"/>
      <c r="D105" s="43"/>
      <c r="E105" s="43"/>
      <c r="F105" s="43"/>
      <c r="G105" s="90"/>
      <c r="H105" s="90">
        <f>SUMIFS('사업계획(원재료)'!P$171:P$210,'사업계획(원재료)'!$L$171:$L$210,매출원가!$B105,'사업계획(원재료)'!$N$171:$N$210,매출원가!$A105,'사업계획(원재료)'!$O$171:$O$210,'사업계획(원재료)'!$O$174)/10^6</f>
        <v>2245.28415</v>
      </c>
      <c r="I105" s="90">
        <f>SUMIFS('사업계획(원재료)'!Q$171:Q$210,'사업계획(원재료)'!$L$171:$L$210,매출원가!$B105,'사업계획(원재료)'!$N$171:$N$210,매출원가!$A105,'사업계획(원재료)'!$O$171:$O$210,'사업계획(원재료)'!$O$174)/10^6</f>
        <v>2609.5290957399998</v>
      </c>
      <c r="J105" s="90">
        <f>SUMIFS('사업계획(원재료)'!R$171:R$210,'사업계획(원재료)'!$L$171:$L$210,매출원가!$B105,'사업계획(원재료)'!$N$171:$N$210,매출원가!$A105,'사업계획(원재료)'!$O$171:$O$210,'사업계획(원재료)'!$O$174)/10^6</f>
        <v>3002.5335552266797</v>
      </c>
      <c r="K105" s="90">
        <f>SUMIFS('사업계획(원재료)'!S$171:S$210,'사업계획(원재료)'!$L$171:$L$210,매출원가!$B105,'사업계획(원재료)'!$N$171:$N$210,매출원가!$A105,'사업계획(원재료)'!$O$171:$O$210,'사업계획(원재료)'!$O$174)/10^6</f>
        <v>3426.1726614195491</v>
      </c>
      <c r="L105" s="808">
        <f>SUMIFS('사업계획(원재료)'!T$171:T$210,'사업계획(원재료)'!$L$171:$L$210,매출원가!$B105,'사업계획(원재료)'!$N$171:$N$210,매출원가!$A105,'사업계획(원재료)'!$O$171:$O$210,'사업계획(원재료)'!$O$174)/10^6</f>
        <v>3882.433204379302</v>
      </c>
      <c r="O105" s="82"/>
      <c r="P105" s="83"/>
    </row>
    <row r="106" spans="1:16" s="159" customFormat="1" ht="13.5" customHeight="1" x14ac:dyDescent="0.3">
      <c r="B106" s="850"/>
      <c r="C106" s="43"/>
      <c r="D106" s="43"/>
      <c r="E106" s="43"/>
      <c r="F106" s="43"/>
      <c r="G106" s="90"/>
      <c r="H106" s="434"/>
      <c r="I106" s="434"/>
      <c r="J106" s="434"/>
      <c r="K106" s="434"/>
      <c r="L106" s="1469"/>
      <c r="O106" s="82"/>
      <c r="P106" s="83"/>
    </row>
    <row r="107" spans="1:16" s="159" customFormat="1" ht="13.5" customHeight="1" x14ac:dyDescent="0.3">
      <c r="B107" s="844" t="s">
        <v>2158</v>
      </c>
      <c r="C107" s="43"/>
      <c r="D107" s="43"/>
      <c r="E107" s="43"/>
      <c r="F107" s="43"/>
      <c r="G107" s="90"/>
      <c r="H107" s="90">
        <f>SUM(H110:H112)</f>
        <v>6500</v>
      </c>
      <c r="I107" s="90">
        <f t="shared" ref="I107:L107" si="73">SUM(I110:I112)</f>
        <v>7807.8322727999994</v>
      </c>
      <c r="J107" s="90">
        <f t="shared" si="73"/>
        <v>8981.3869045534393</v>
      </c>
      <c r="K107" s="90">
        <f t="shared" si="73"/>
        <v>10246.387189338953</v>
      </c>
      <c r="L107" s="808">
        <f t="shared" si="73"/>
        <v>11608.762885634696</v>
      </c>
      <c r="O107" s="82"/>
      <c r="P107" s="83"/>
    </row>
    <row r="108" spans="1:16" s="159" customFormat="1" ht="13.5" customHeight="1" x14ac:dyDescent="0.3">
      <c r="B108" s="873" t="s">
        <v>37</v>
      </c>
      <c r="C108" s="43"/>
      <c r="D108" s="43"/>
      <c r="E108" s="43"/>
      <c r="F108" s="43"/>
      <c r="G108" s="90"/>
      <c r="H108" s="434"/>
      <c r="I108" s="434"/>
      <c r="J108" s="434"/>
      <c r="K108" s="434"/>
      <c r="L108" s="1469"/>
      <c r="O108" s="82"/>
      <c r="P108" s="83"/>
    </row>
    <row r="109" spans="1:16" s="159" customFormat="1" ht="13.5" customHeight="1" x14ac:dyDescent="0.3">
      <c r="B109" s="874" t="s">
        <v>2778</v>
      </c>
      <c r="C109" s="43"/>
      <c r="D109" s="43"/>
      <c r="E109" s="43"/>
      <c r="F109" s="43"/>
      <c r="G109" s="90"/>
      <c r="H109" s="434"/>
      <c r="I109" s="434"/>
      <c r="J109" s="434"/>
      <c r="K109" s="434"/>
      <c r="L109" s="1469"/>
      <c r="O109" s="82"/>
      <c r="P109" s="83"/>
    </row>
    <row r="110" spans="1:16" s="159" customFormat="1" ht="13.5" customHeight="1" x14ac:dyDescent="0.3">
      <c r="A110" s="844" t="s">
        <v>2158</v>
      </c>
      <c r="B110" s="849" t="s">
        <v>2139</v>
      </c>
      <c r="C110" s="43"/>
      <c r="D110" s="43"/>
      <c r="E110" s="43"/>
      <c r="F110" s="43"/>
      <c r="G110" s="90"/>
      <c r="H110" s="90">
        <f>SUMIFS('사업계획(원재료)'!P$171:P$210,'사업계획(원재료)'!$L$171:$L$210,매출원가!$B110,'사업계획(원재료)'!$N$171:$N$210,매출원가!$A110,'사업계획(원재료)'!$O$171:$O$210,'사업계획(원재료)'!$O$174)/10^6</f>
        <v>0</v>
      </c>
      <c r="I110" s="90">
        <f>SUMIFS('사업계획(원재료)'!Q$171:Q$210,'사업계획(원재료)'!$L$171:$L$210,매출원가!$B110,'사업계획(원재료)'!$N$171:$N$210,매출원가!$A110,'사업계획(원재료)'!$O$171:$O$210,'사업계획(원재료)'!$O$174)/10^6</f>
        <v>328.93227280000002</v>
      </c>
      <c r="J110" s="90">
        <f>SUMIFS('사업계획(원재료)'!R$171:R$210,'사업계획(원재료)'!$L$171:$L$210,매출원가!$B110,'사업계획(원재료)'!$N$171:$N$210,매출원가!$A110,'사업계획(원재료)'!$O$171:$O$210,'사업계획(원재료)'!$O$174)/10^6</f>
        <v>447.28210455343998</v>
      </c>
      <c r="K110" s="90">
        <f>SUMIFS('사업계획(원재료)'!S$171:S$210,'사업계획(원재료)'!$L$171:$L$210,매출원가!$B110,'사업계획(원재료)'!$N$171:$N$210,매출원가!$A110,'사업계획(원재료)'!$O$171:$O$210,'사업계획(원재료)'!$O$174)/10^6</f>
        <v>575.82410013895162</v>
      </c>
      <c r="L110" s="808">
        <f>SUMIFS('사업계획(원재료)'!T$171:T$210,'사업계획(원재료)'!$L$171:$L$210,매출원가!$B110,'사업계획(원재료)'!$N$171:$N$210,매출원가!$A110,'사업계획(원재료)'!$O$171:$O$210,'사업계획(원재료)'!$O$174)/10^6</f>
        <v>715.24551038509537</v>
      </c>
      <c r="O110" s="82"/>
      <c r="P110" s="83"/>
    </row>
    <row r="111" spans="1:16" s="159" customFormat="1" ht="13.5" customHeight="1" x14ac:dyDescent="0.3">
      <c r="A111" s="844" t="s">
        <v>2158</v>
      </c>
      <c r="B111" s="849" t="s">
        <v>2163</v>
      </c>
      <c r="C111" s="43"/>
      <c r="D111" s="43"/>
      <c r="E111" s="43"/>
      <c r="F111" s="43"/>
      <c r="G111" s="90"/>
      <c r="H111" s="90">
        <f>SUMIFS('사업계획(원재료)'!P$171:P$210,'사업계획(원재료)'!$L$171:$L$210,매출원가!$B111,'사업계획(원재료)'!$N$171:$N$210,매출원가!$A111,'사업계획(원재료)'!$O$171:$O$210,'사업계획(원재료)'!$O$174)/10^6</f>
        <v>0</v>
      </c>
      <c r="I111" s="90">
        <f>SUMIFS('사업계획(원재료)'!Q$171:Q$210,'사업계획(원재료)'!$L$171:$L$210,매출원가!$B111,'사업계획(원재료)'!$N$171:$N$210,매출원가!$A111,'사업계획(원재료)'!$O$171:$O$210,'사업계획(원재료)'!$O$174)/10^6</f>
        <v>0</v>
      </c>
      <c r="J111" s="90">
        <f>SUMIFS('사업계획(원재료)'!R$171:R$210,'사업계획(원재료)'!$L$171:$L$210,매출원가!$B111,'사업계획(원재료)'!$N$171:$N$210,매출원가!$A111,'사업계획(원재료)'!$O$171:$O$210,'사업계획(원재료)'!$O$174)/10^6</f>
        <v>0</v>
      </c>
      <c r="K111" s="90">
        <f>SUMIFS('사업계획(원재료)'!S$171:S$210,'사업계획(원재료)'!$L$171:$L$210,매출원가!$B111,'사업계획(원재료)'!$N$171:$N$210,매출원가!$A111,'사업계획(원재료)'!$O$171:$O$210,'사업계획(원재료)'!$O$174)/10^6</f>
        <v>0</v>
      </c>
      <c r="L111" s="808">
        <f>SUMIFS('사업계획(원재료)'!T$171:T$210,'사업계획(원재료)'!$L$171:$L$210,매출원가!$B111,'사업계획(원재료)'!$N$171:$N$210,매출원가!$A111,'사업계획(원재료)'!$O$171:$O$210,'사업계획(원재료)'!$O$174)/10^6</f>
        <v>0</v>
      </c>
      <c r="O111" s="82"/>
      <c r="P111" s="83"/>
    </row>
    <row r="112" spans="1:16" s="159" customFormat="1" ht="13.5" customHeight="1" x14ac:dyDescent="0.3">
      <c r="A112" s="844" t="s">
        <v>2158</v>
      </c>
      <c r="B112" s="849" t="s">
        <v>2124</v>
      </c>
      <c r="C112" s="43"/>
      <c r="D112" s="43"/>
      <c r="E112" s="43"/>
      <c r="F112" s="43"/>
      <c r="G112" s="90"/>
      <c r="H112" s="90">
        <f>SUMIFS('사업계획(원재료)'!P$171:P$210,'사업계획(원재료)'!$L$171:$L$210,매출원가!$B112,'사업계획(원재료)'!$N$171:$N$210,매출원가!$A112,'사업계획(원재료)'!$O$171:$O$210,'사업계획(원재료)'!$O$174)/10^6</f>
        <v>6500</v>
      </c>
      <c r="I112" s="90">
        <f>SUMIFS('사업계획(원재료)'!Q$171:Q$210,'사업계획(원재료)'!$L$171:$L$210,매출원가!$B112,'사업계획(원재료)'!$N$171:$N$210,매출원가!$A112,'사업계획(원재료)'!$O$171:$O$210,'사업계획(원재료)'!$O$174)/10^6</f>
        <v>7478.9</v>
      </c>
      <c r="J112" s="90">
        <f>SUMIFS('사업계획(원재료)'!R$171:R$210,'사업계획(원재료)'!$L$171:$L$210,매출원가!$B112,'사업계획(원재료)'!$N$171:$N$210,매출원가!$A112,'사업계획(원재료)'!$O$171:$O$210,'사업계획(원재료)'!$O$174)/10^6</f>
        <v>8534.1047999999992</v>
      </c>
      <c r="K112" s="90">
        <f>SUMIFS('사업계획(원재료)'!S$171:S$210,'사업계획(원재료)'!$L$171:$L$210,매출원가!$B112,'사업계획(원재료)'!$N$171:$N$210,매출원가!$A112,'사업계획(원재료)'!$O$171:$O$210,'사업계획(원재료)'!$O$174)/10^6</f>
        <v>9670.5630892000008</v>
      </c>
      <c r="L112" s="808">
        <f>SUMIFS('사업계획(원재료)'!T$171:T$210,'사업계획(원재료)'!$L$171:$L$210,매출원가!$B112,'사업계획(원재료)'!$N$171:$N$210,매출원가!$A112,'사업계획(원재료)'!$O$171:$O$210,'사업계획(원재료)'!$O$174)/10^6</f>
        <v>10893.517375249601</v>
      </c>
      <c r="O112" s="82"/>
      <c r="P112" s="83"/>
    </row>
    <row r="113" spans="1:16" s="159" customFormat="1" ht="13.5" customHeight="1" x14ac:dyDescent="0.3">
      <c r="B113" s="850"/>
      <c r="C113" s="43"/>
      <c r="D113" s="43"/>
      <c r="E113" s="43"/>
      <c r="F113" s="43"/>
      <c r="G113" s="90"/>
      <c r="H113" s="434"/>
      <c r="I113" s="434"/>
      <c r="J113" s="434"/>
      <c r="K113" s="434"/>
      <c r="L113" s="1469"/>
      <c r="O113" s="82"/>
      <c r="P113" s="83"/>
    </row>
    <row r="114" spans="1:16" s="159" customFormat="1" ht="13.5" customHeight="1" x14ac:dyDescent="0.3">
      <c r="B114" s="844" t="s">
        <v>2881</v>
      </c>
      <c r="C114" s="43"/>
      <c r="D114" s="43"/>
      <c r="E114" s="43"/>
      <c r="F114" s="43"/>
      <c r="G114" s="90"/>
      <c r="H114" s="90">
        <f>SUM(H117:H119)</f>
        <v>1950</v>
      </c>
      <c r="I114" s="90">
        <f t="shared" ref="I114:L114" si="74">SUM(I117:I119)</f>
        <v>2039.7</v>
      </c>
      <c r="J114" s="90">
        <f t="shared" si="74"/>
        <v>2133.5261999999998</v>
      </c>
      <c r="K114" s="90">
        <f t="shared" si="74"/>
        <v>2231.6684052000005</v>
      </c>
      <c r="L114" s="808">
        <f t="shared" si="74"/>
        <v>2334.3251518392003</v>
      </c>
      <c r="O114" s="82"/>
      <c r="P114" s="83"/>
    </row>
    <row r="115" spans="1:16" s="159" customFormat="1" ht="13.5" customHeight="1" x14ac:dyDescent="0.3">
      <c r="B115" s="859"/>
      <c r="C115" s="43"/>
      <c r="D115" s="43"/>
      <c r="E115" s="43"/>
      <c r="F115" s="43"/>
      <c r="G115" s="90"/>
      <c r="H115" s="434"/>
      <c r="I115" s="434"/>
      <c r="J115" s="434"/>
      <c r="K115" s="434"/>
      <c r="L115" s="1469"/>
      <c r="O115" s="82"/>
      <c r="P115" s="83"/>
    </row>
    <row r="116" spans="1:16" s="159" customFormat="1" ht="13.5" customHeight="1" x14ac:dyDescent="0.3">
      <c r="B116" s="859"/>
      <c r="C116" s="43"/>
      <c r="D116" s="43"/>
      <c r="E116" s="43"/>
      <c r="F116" s="43"/>
      <c r="G116" s="90"/>
      <c r="H116" s="434"/>
      <c r="I116" s="434"/>
      <c r="J116" s="434"/>
      <c r="K116" s="434"/>
      <c r="L116" s="1469"/>
      <c r="O116" s="82"/>
      <c r="P116" s="83"/>
    </row>
    <row r="117" spans="1:16" s="159" customFormat="1" ht="13.5" customHeight="1" x14ac:dyDescent="0.3">
      <c r="A117" s="844" t="s">
        <v>2881</v>
      </c>
      <c r="B117" s="849" t="s">
        <v>2139</v>
      </c>
      <c r="C117" s="43"/>
      <c r="D117" s="43"/>
      <c r="E117" s="43"/>
      <c r="F117" s="43"/>
      <c r="G117" s="90"/>
      <c r="H117" s="90">
        <f>SUMIFS('사업계획(원재료)'!P$171:P$210,'사업계획(원재료)'!$L$171:$L$210,매출원가!$B117,'사업계획(원재료)'!$N$171:$N$210,매출원가!$A117,'사업계획(원재료)'!$O$171:$O$210,'사업계획(원재료)'!$O$174)/10^6</f>
        <v>0</v>
      </c>
      <c r="I117" s="90">
        <f>SUMIFS('사업계획(원재료)'!Q$171:Q$210,'사업계획(원재료)'!$L$171:$L$210,매출원가!$B117,'사업계획(원재료)'!$N$171:$N$210,매출원가!$A117,'사업계획(원재료)'!$O$171:$O$210,'사업계획(원재료)'!$O$174)/10^6</f>
        <v>0</v>
      </c>
      <c r="J117" s="90">
        <f>SUMIFS('사업계획(원재료)'!R$171:R$210,'사업계획(원재료)'!$L$171:$L$210,매출원가!$B117,'사업계획(원재료)'!$N$171:$N$210,매출원가!$A117,'사업계획(원재료)'!$O$171:$O$210,'사업계획(원재료)'!$O$174)/10^6</f>
        <v>0</v>
      </c>
      <c r="K117" s="90">
        <f>SUMIFS('사업계획(원재료)'!S$171:S$210,'사업계획(원재료)'!$L$171:$L$210,매출원가!$B117,'사업계획(원재료)'!$N$171:$N$210,매출원가!$A117,'사업계획(원재료)'!$O$171:$O$210,'사업계획(원재료)'!$O$174)/10^6</f>
        <v>0</v>
      </c>
      <c r="L117" s="808">
        <f>SUMIFS('사업계획(원재료)'!T$171:T$210,'사업계획(원재료)'!$L$171:$L$210,매출원가!$B117,'사업계획(원재료)'!$N$171:$N$210,매출원가!$A117,'사업계획(원재료)'!$O$171:$O$210,'사업계획(원재료)'!$O$174)/10^6</f>
        <v>0</v>
      </c>
      <c r="O117" s="82"/>
      <c r="P117" s="83"/>
    </row>
    <row r="118" spans="1:16" s="159" customFormat="1" ht="13.5" customHeight="1" x14ac:dyDescent="0.3">
      <c r="A118" s="844" t="s">
        <v>2881</v>
      </c>
      <c r="B118" s="849" t="s">
        <v>2163</v>
      </c>
      <c r="C118" s="43"/>
      <c r="D118" s="43"/>
      <c r="E118" s="43"/>
      <c r="F118" s="43"/>
      <c r="G118" s="90"/>
      <c r="H118" s="90">
        <f>SUMIFS('사업계획(원재료)'!P$171:P$210,'사업계획(원재료)'!$L$171:$L$210,매출원가!$B118,'사업계획(원재료)'!$N$171:$N$210,매출원가!$A118,'사업계획(원재료)'!$O$171:$O$210,'사업계획(원재료)'!$O$174)/10^6</f>
        <v>0</v>
      </c>
      <c r="I118" s="90">
        <f>SUMIFS('사업계획(원재료)'!Q$171:Q$210,'사업계획(원재료)'!$L$171:$L$210,매출원가!$B118,'사업계획(원재료)'!$N$171:$N$210,매출원가!$A118,'사업계획(원재료)'!$O$171:$O$210,'사업계획(원재료)'!$O$174)/10^6</f>
        <v>0</v>
      </c>
      <c r="J118" s="90">
        <f>SUMIFS('사업계획(원재료)'!R$171:R$210,'사업계획(원재료)'!$L$171:$L$210,매출원가!$B118,'사업계획(원재료)'!$N$171:$N$210,매출원가!$A118,'사업계획(원재료)'!$O$171:$O$210,'사업계획(원재료)'!$O$174)/10^6</f>
        <v>0</v>
      </c>
      <c r="K118" s="90">
        <f>SUMIFS('사업계획(원재료)'!S$171:S$210,'사업계획(원재료)'!$L$171:$L$210,매출원가!$B118,'사업계획(원재료)'!$N$171:$N$210,매출원가!$A118,'사업계획(원재료)'!$O$171:$O$210,'사업계획(원재료)'!$O$174)/10^6</f>
        <v>0</v>
      </c>
      <c r="L118" s="808">
        <f>SUMIFS('사업계획(원재료)'!T$171:T$210,'사업계획(원재료)'!$L$171:$L$210,매출원가!$B118,'사업계획(원재료)'!$N$171:$N$210,매출원가!$A118,'사업계획(원재료)'!$O$171:$O$210,'사업계획(원재료)'!$O$174)/10^6</f>
        <v>0</v>
      </c>
      <c r="O118" s="82"/>
      <c r="P118" s="83"/>
    </row>
    <row r="119" spans="1:16" s="159" customFormat="1" ht="13.5" customHeight="1" x14ac:dyDescent="0.3">
      <c r="A119" s="844" t="s">
        <v>2881</v>
      </c>
      <c r="B119" s="849" t="s">
        <v>2124</v>
      </c>
      <c r="C119" s="43"/>
      <c r="D119" s="43"/>
      <c r="E119" s="43"/>
      <c r="F119" s="43"/>
      <c r="G119" s="90"/>
      <c r="H119" s="90">
        <f>SUMIFS('사업계획(원재료)'!P$171:P$210,'사업계획(원재료)'!$L$171:$L$210,매출원가!$B119,'사업계획(원재료)'!$N$171:$N$210,매출원가!$A119,'사업계획(원재료)'!$O$171:$O$210,'사업계획(원재료)'!$O$174)/10^6</f>
        <v>1950</v>
      </c>
      <c r="I119" s="90">
        <f>SUMIFS('사업계획(원재료)'!Q$171:Q$210,'사업계획(원재료)'!$L$171:$L$210,매출원가!$B119,'사업계획(원재료)'!$N$171:$N$210,매출원가!$A119,'사업계획(원재료)'!$O$171:$O$210,'사업계획(원재료)'!$O$174)/10^6</f>
        <v>2039.7</v>
      </c>
      <c r="J119" s="90">
        <f>SUMIFS('사업계획(원재료)'!R$171:R$210,'사업계획(원재료)'!$L$171:$L$210,매출원가!$B119,'사업계획(원재료)'!$N$171:$N$210,매출원가!$A119,'사업계획(원재료)'!$O$171:$O$210,'사업계획(원재료)'!$O$174)/10^6</f>
        <v>2133.5261999999998</v>
      </c>
      <c r="K119" s="90">
        <f>SUMIFS('사업계획(원재료)'!S$171:S$210,'사업계획(원재료)'!$L$171:$L$210,매출원가!$B119,'사업계획(원재료)'!$N$171:$N$210,매출원가!$A119,'사업계획(원재료)'!$O$171:$O$210,'사업계획(원재료)'!$O$174)/10^6</f>
        <v>2231.6684052000005</v>
      </c>
      <c r="L119" s="808">
        <f>SUMIFS('사업계획(원재료)'!T$171:T$210,'사업계획(원재료)'!$L$171:$L$210,매출원가!$B119,'사업계획(원재료)'!$N$171:$N$210,매출원가!$A119,'사업계획(원재료)'!$O$171:$O$210,'사업계획(원재료)'!$O$174)/10^6</f>
        <v>2334.3251518392003</v>
      </c>
      <c r="O119" s="82"/>
      <c r="P119" s="83"/>
    </row>
    <row r="120" spans="1:16" s="159" customFormat="1" ht="13.5" customHeight="1" x14ac:dyDescent="0.3">
      <c r="B120" s="1522"/>
      <c r="C120" s="43"/>
      <c r="D120" s="43"/>
      <c r="E120" s="43"/>
      <c r="F120" s="43"/>
      <c r="G120" s="90"/>
      <c r="H120" s="434"/>
      <c r="I120" s="434"/>
      <c r="J120" s="434"/>
      <c r="K120" s="434"/>
      <c r="L120" s="1469"/>
      <c r="O120" s="82"/>
      <c r="P120" s="83"/>
    </row>
    <row r="121" spans="1:16" s="159" customFormat="1" ht="13.5" customHeight="1" x14ac:dyDescent="0.3">
      <c r="B121" s="1522"/>
      <c r="C121" s="43"/>
      <c r="D121" s="43"/>
      <c r="E121" s="43"/>
      <c r="F121" s="43"/>
      <c r="G121" s="90"/>
      <c r="H121" s="434"/>
      <c r="I121" s="434"/>
      <c r="J121" s="434"/>
      <c r="K121" s="434"/>
      <c r="L121" s="1469"/>
      <c r="O121" s="82"/>
      <c r="P121" s="83"/>
    </row>
    <row r="122" spans="1:16" s="159" customFormat="1" ht="13.5" customHeight="1" x14ac:dyDescent="0.3">
      <c r="B122" s="1522"/>
      <c r="C122" s="43"/>
      <c r="D122" s="43"/>
      <c r="E122" s="43"/>
      <c r="F122" s="43"/>
      <c r="G122" s="90"/>
      <c r="H122" s="434"/>
      <c r="I122" s="434"/>
      <c r="J122" s="434"/>
      <c r="K122" s="434"/>
      <c r="L122" s="1469"/>
      <c r="O122" s="82"/>
      <c r="P122" s="83"/>
    </row>
    <row r="123" spans="1:16" s="159" customFormat="1" ht="13.5" customHeight="1" x14ac:dyDescent="0.3">
      <c r="B123" s="400" t="s">
        <v>3241</v>
      </c>
      <c r="C123" s="43"/>
      <c r="D123" s="43"/>
      <c r="E123" s="43"/>
      <c r="F123" s="43"/>
      <c r="G123" s="90"/>
      <c r="H123" s="1468">
        <f>H125*$C$125</f>
        <v>1640.3999999999999</v>
      </c>
      <c r="I123" s="1468">
        <f t="shared" ref="I123:L123" si="75">I125*$C$125</f>
        <v>1920</v>
      </c>
      <c r="J123" s="1468">
        <f t="shared" si="75"/>
        <v>2550</v>
      </c>
      <c r="K123" s="1468">
        <f t="shared" si="75"/>
        <v>1380</v>
      </c>
      <c r="L123" s="1471">
        <f t="shared" si="75"/>
        <v>2800.5</v>
      </c>
      <c r="M123" s="153" t="s">
        <v>3267</v>
      </c>
      <c r="O123" s="82"/>
      <c r="P123" s="83"/>
    </row>
    <row r="124" spans="1:16" s="159" customFormat="1" ht="13.5" customHeight="1" x14ac:dyDescent="0.3">
      <c r="B124" s="807"/>
      <c r="C124" s="43"/>
      <c r="D124" s="43"/>
      <c r="E124" s="43"/>
      <c r="F124" s="43"/>
      <c r="G124" s="90"/>
      <c r="H124" s="434"/>
      <c r="I124" s="434"/>
      <c r="J124" s="434"/>
      <c r="K124" s="434"/>
      <c r="L124" s="1469"/>
      <c r="M124" s="153"/>
      <c r="O124" s="82"/>
      <c r="P124" s="83"/>
    </row>
    <row r="125" spans="1:16" s="159" customFormat="1" ht="13.5" customHeight="1" x14ac:dyDescent="0.3">
      <c r="B125" s="1523" t="s">
        <v>3240</v>
      </c>
      <c r="C125" s="557">
        <v>0.6</v>
      </c>
      <c r="D125" s="43"/>
      <c r="E125" s="43"/>
      <c r="F125" s="43"/>
      <c r="G125" s="90"/>
      <c r="H125" s="434">
        <f>매출액!G220/10^6</f>
        <v>2734</v>
      </c>
      <c r="I125" s="434">
        <f>매출액!H220/10^6</f>
        <v>3200</v>
      </c>
      <c r="J125" s="434">
        <f>매출액!I220/10^6</f>
        <v>4250</v>
      </c>
      <c r="K125" s="434">
        <f>매출액!J220/10^6</f>
        <v>2300</v>
      </c>
      <c r="L125" s="434">
        <f>매출액!K220/10^6</f>
        <v>4667.5</v>
      </c>
      <c r="O125" s="82"/>
      <c r="P125" s="83"/>
    </row>
    <row r="126" spans="1:16" s="159" customFormat="1" ht="13.5" customHeight="1" x14ac:dyDescent="0.3">
      <c r="B126" s="1522"/>
      <c r="C126" s="43"/>
      <c r="D126" s="43"/>
      <c r="E126" s="43"/>
      <c r="F126" s="43"/>
      <c r="G126" s="90"/>
      <c r="H126" s="434"/>
      <c r="I126" s="434"/>
      <c r="J126" s="434"/>
      <c r="K126" s="434"/>
      <c r="L126" s="1469"/>
      <c r="O126" s="82"/>
      <c r="P126" s="83"/>
    </row>
    <row r="127" spans="1:16" s="159" customFormat="1" ht="13.5" customHeight="1" x14ac:dyDescent="0.3">
      <c r="B127" s="1522"/>
      <c r="C127" s="43"/>
      <c r="D127" s="43"/>
      <c r="E127" s="43"/>
      <c r="F127" s="43"/>
      <c r="G127" s="90"/>
      <c r="H127" s="434"/>
      <c r="I127" s="434"/>
      <c r="J127" s="434"/>
      <c r="K127" s="434"/>
      <c r="L127" s="1469"/>
      <c r="O127" s="82"/>
      <c r="P127" s="83"/>
    </row>
    <row r="128" spans="1:16" s="159" customFormat="1" ht="13.5" customHeight="1" thickBot="1" x14ac:dyDescent="0.35">
      <c r="B128" s="405"/>
      <c r="C128" s="406"/>
      <c r="D128" s="406"/>
      <c r="E128" s="406"/>
      <c r="F128" s="406"/>
      <c r="G128" s="406"/>
      <c r="H128" s="406"/>
      <c r="I128" s="406"/>
      <c r="J128" s="406"/>
      <c r="K128" s="406"/>
      <c r="L128" s="417"/>
      <c r="O128" s="82"/>
      <c r="P128" s="83"/>
    </row>
    <row r="129" spans="2:16" s="159" customFormat="1" ht="13.5" customHeight="1" x14ac:dyDescent="0.3">
      <c r="E129" s="113">
        <f>E132-SUM(E136,E148,E152,E156,E160)</f>
        <v>0</v>
      </c>
      <c r="F129" s="113">
        <f>F132-SUM(F136,F148,F152,F156,F160)</f>
        <v>0</v>
      </c>
      <c r="G129" s="113">
        <f>G132-SUM(G136,G148,G152,G156,G160)</f>
        <v>0</v>
      </c>
      <c r="L129" s="838"/>
      <c r="O129" s="82"/>
      <c r="P129" s="83"/>
    </row>
    <row r="130" spans="2:16" s="159" customFormat="1" ht="14.1" customHeight="1" x14ac:dyDescent="0.3">
      <c r="B130" s="392" t="s">
        <v>70</v>
      </c>
      <c r="C130" s="393"/>
      <c r="D130" s="393"/>
      <c r="E130" s="393"/>
      <c r="F130" s="393"/>
      <c r="G130" s="393"/>
      <c r="H130" s="393"/>
      <c r="I130" s="393"/>
      <c r="J130" s="393"/>
      <c r="K130" s="394"/>
      <c r="L130" s="394"/>
    </row>
    <row r="131" spans="2:16" s="65" customFormat="1" ht="14.1" customHeight="1" x14ac:dyDescent="0.3">
      <c r="B131" s="395" t="str">
        <f>unit</f>
        <v>KRW Million</v>
      </c>
      <c r="C131" s="396"/>
      <c r="D131" s="396">
        <f>'Pro forma'!D$5</f>
        <v>2014</v>
      </c>
      <c r="E131" s="396">
        <f t="shared" ref="E131:L131" si="76">E51</f>
        <v>2015</v>
      </c>
      <c r="F131" s="396">
        <f t="shared" si="76"/>
        <v>2016</v>
      </c>
      <c r="G131" s="396">
        <f t="shared" si="76"/>
        <v>2017</v>
      </c>
      <c r="H131" s="396">
        <f t="shared" si="76"/>
        <v>2018</v>
      </c>
      <c r="I131" s="396">
        <f t="shared" si="76"/>
        <v>2019</v>
      </c>
      <c r="J131" s="396">
        <f t="shared" si="76"/>
        <v>2020</v>
      </c>
      <c r="K131" s="396">
        <f t="shared" si="76"/>
        <v>2021</v>
      </c>
      <c r="L131" s="1058">
        <f t="shared" si="76"/>
        <v>2022</v>
      </c>
    </row>
    <row r="132" spans="2:16" s="65" customFormat="1" ht="14.1" customHeight="1" x14ac:dyDescent="0.3">
      <c r="B132" s="400" t="s">
        <v>69</v>
      </c>
      <c r="C132" s="56"/>
      <c r="D132" s="92">
        <f>D136+D148+D152+D156+D160</f>
        <v>3818.7206529999999</v>
      </c>
      <c r="E132" s="92">
        <f>MC!E48/10^6</f>
        <v>4291.4570592404343</v>
      </c>
      <c r="F132" s="92">
        <f>MC!F48/10^6</f>
        <v>4227.8006108963</v>
      </c>
      <c r="G132" s="92">
        <f>MC!G48/10^6</f>
        <v>4873.3770900548961</v>
      </c>
      <c r="H132" s="92">
        <f>H136+H148+H152+H156+H160</f>
        <v>5704.6700986674623</v>
      </c>
      <c r="I132" s="92">
        <f>I136+I148+I152+I156+I160</f>
        <v>7690.6661117151971</v>
      </c>
      <c r="J132" s="92">
        <f>J136+J148+J152+J156+J160</f>
        <v>9753.7211710154697</v>
      </c>
      <c r="K132" s="410">
        <f>K136+K148+K152+K156+K160</f>
        <v>11035.96407804724</v>
      </c>
      <c r="L132" s="401">
        <f>L136+L148+L152+L156+L160</f>
        <v>12222.465350483895</v>
      </c>
    </row>
    <row r="133" spans="2:16" s="80" customFormat="1" ht="14.1" customHeight="1" x14ac:dyDescent="0.3">
      <c r="B133" s="402" t="s">
        <v>37</v>
      </c>
      <c r="C133" s="58"/>
      <c r="D133" s="554" t="e">
        <f>D132/C132-1</f>
        <v>#DIV/0!</v>
      </c>
      <c r="E133" s="554">
        <f>E132/D132-1</f>
        <v>0.12379444562645636</v>
      </c>
      <c r="F133" s="554">
        <f>F132/E132-1</f>
        <v>-1.4833294954464948E-2</v>
      </c>
      <c r="G133" s="554">
        <f t="shared" ref="G133" si="77">G132/F132-1</f>
        <v>0.15269794831259387</v>
      </c>
      <c r="H133" s="554">
        <f t="shared" ref="H133" si="78">H132/G132-1</f>
        <v>0.17057842913674515</v>
      </c>
      <c r="I133" s="554">
        <f t="shared" ref="I133" si="79">I132/H132-1</f>
        <v>0.34813512064643981</v>
      </c>
      <c r="J133" s="554">
        <f t="shared" ref="J133" si="80">J132/I132-1</f>
        <v>0.26825440466822759</v>
      </c>
      <c r="K133" s="554">
        <f t="shared" ref="K133:L133" si="81">K132/J132-1</f>
        <v>0.13146191946127517</v>
      </c>
      <c r="L133" s="554">
        <f t="shared" si="81"/>
        <v>0.10751224487916256</v>
      </c>
    </row>
    <row r="134" spans="2:16" s="159" customFormat="1" ht="14.1" customHeight="1" x14ac:dyDescent="0.3">
      <c r="B134" s="403" t="s">
        <v>58</v>
      </c>
      <c r="C134" s="43"/>
      <c r="D134" s="43" t="e">
        <f>D132/D$38</f>
        <v>#REF!</v>
      </c>
      <c r="E134" s="43">
        <f t="shared" ref="E134:L134" si="82">E132/E$38</f>
        <v>7.0335152717302368E-2</v>
      </c>
      <c r="F134" s="43">
        <f t="shared" si="82"/>
        <v>5.2032698021683567E-2</v>
      </c>
      <c r="G134" s="43">
        <f t="shared" si="82"/>
        <v>5.4026195652166098E-2</v>
      </c>
      <c r="H134" s="43">
        <f t="shared" si="82"/>
        <v>4.1334826553887261E-2</v>
      </c>
      <c r="I134" s="43">
        <f t="shared" si="82"/>
        <v>4.2221369379994302E-2</v>
      </c>
      <c r="J134" s="43">
        <f t="shared" si="82"/>
        <v>4.7825295306847093E-2</v>
      </c>
      <c r="K134" s="43">
        <f t="shared" si="82"/>
        <v>4.2248312212544076E-2</v>
      </c>
      <c r="L134" s="43">
        <f t="shared" si="82"/>
        <v>4.0628275649550967E-2</v>
      </c>
    </row>
    <row r="135" spans="2:16" s="159" customFormat="1" ht="14.1" customHeight="1" x14ac:dyDescent="0.3">
      <c r="B135" s="807"/>
      <c r="C135" s="43"/>
      <c r="D135" s="43"/>
      <c r="E135" s="43"/>
      <c r="F135" s="43"/>
      <c r="G135" s="43"/>
      <c r="H135" s="43"/>
      <c r="I135" s="43"/>
      <c r="J135" s="43"/>
      <c r="K135" s="43"/>
      <c r="L135" s="838"/>
    </row>
    <row r="136" spans="2:16" s="159" customFormat="1" ht="14.1" customHeight="1" x14ac:dyDescent="0.3">
      <c r="B136" s="552" t="s">
        <v>475</v>
      </c>
      <c r="C136" s="43"/>
      <c r="D136" s="92">
        <f>D139</f>
        <v>3008.2158669999999</v>
      </c>
      <c r="E136" s="92">
        <f>E144</f>
        <v>3191.4080028675066</v>
      </c>
      <c r="F136" s="92">
        <f t="shared" ref="F136:L136" si="83">F144</f>
        <v>3228.7714177437624</v>
      </c>
      <c r="G136" s="92">
        <f t="shared" si="83"/>
        <v>3587.8249837579078</v>
      </c>
      <c r="H136" s="92">
        <f t="shared" si="83"/>
        <v>4116.6626706111701</v>
      </c>
      <c r="I136" s="92">
        <f t="shared" si="83"/>
        <v>5579.0771086467303</v>
      </c>
      <c r="J136" s="92">
        <f t="shared" si="83"/>
        <v>7278.4226694434237</v>
      </c>
      <c r="K136" s="92">
        <f t="shared" si="83"/>
        <v>8007.1212214076995</v>
      </c>
      <c r="L136" s="401">
        <f t="shared" si="83"/>
        <v>8781.5877795449651</v>
      </c>
    </row>
    <row r="137" spans="2:16" s="159" customFormat="1" ht="14.1" customHeight="1" x14ac:dyDescent="0.3">
      <c r="B137" s="402" t="s">
        <v>143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838"/>
    </row>
    <row r="138" spans="2:16" s="159" customFormat="1" ht="14.1" customHeight="1" x14ac:dyDescent="0.3">
      <c r="B138" s="403" t="s">
        <v>58</v>
      </c>
      <c r="C138" s="43"/>
      <c r="D138" s="43" t="e">
        <f>D136/D$38</f>
        <v>#REF!</v>
      </c>
      <c r="E138" s="43">
        <f t="shared" ref="E138:L138" si="84">E136/E$38</f>
        <v>5.2305817387029087E-2</v>
      </c>
      <c r="F138" s="43">
        <f t="shared" si="84"/>
        <v>3.9737372601610865E-2</v>
      </c>
      <c r="G138" s="43">
        <f t="shared" si="84"/>
        <v>3.9774581559427598E-2</v>
      </c>
      <c r="H138" s="43">
        <f>H136/H$38</f>
        <v>2.9828462387390741E-2</v>
      </c>
      <c r="I138" s="43">
        <f t="shared" si="84"/>
        <v>3.0628852167281211E-2</v>
      </c>
      <c r="J138" s="43">
        <f t="shared" si="84"/>
        <v>3.568819606701365E-2</v>
      </c>
      <c r="K138" s="43">
        <f t="shared" si="84"/>
        <v>3.0653176731395997E-2</v>
      </c>
      <c r="L138" s="43">
        <f t="shared" si="84"/>
        <v>2.919057315502685E-2</v>
      </c>
    </row>
    <row r="139" spans="2:16" s="159" customFormat="1" ht="14.1" customHeight="1" x14ac:dyDescent="0.3">
      <c r="B139" s="558" t="s">
        <v>478</v>
      </c>
      <c r="C139" s="43"/>
      <c r="D139" s="90">
        <f>MC!D10/10^6</f>
        <v>3008.2158669999999</v>
      </c>
      <c r="E139" s="90">
        <f>E144</f>
        <v>3191.4080028675066</v>
      </c>
      <c r="F139" s="90">
        <f t="shared" ref="F139:G139" si="85">F144</f>
        <v>3228.7714177437624</v>
      </c>
      <c r="G139" s="90">
        <f t="shared" si="85"/>
        <v>3587.8249837579078</v>
      </c>
      <c r="H139" s="90">
        <f>H140*H142</f>
        <v>4116.6626706111701</v>
      </c>
      <c r="I139" s="90">
        <f t="shared" ref="I139:L139" si="86">I140*I142</f>
        <v>5579.0771086467303</v>
      </c>
      <c r="J139" s="90">
        <f t="shared" si="86"/>
        <v>7278.4226694434237</v>
      </c>
      <c r="K139" s="90">
        <f t="shared" si="86"/>
        <v>8007.1212214076995</v>
      </c>
      <c r="L139" s="808">
        <f t="shared" si="86"/>
        <v>8781.5877795449651</v>
      </c>
    </row>
    <row r="140" spans="2:16" s="159" customFormat="1" ht="14.25" customHeight="1" x14ac:dyDescent="0.3">
      <c r="B140" s="559" t="s">
        <v>479</v>
      </c>
      <c r="C140" s="43"/>
      <c r="D140" s="90">
        <f>'인건비 분석'!E79</f>
        <v>86</v>
      </c>
      <c r="E140" s="90">
        <f>'인건비 분석'!F79</f>
        <v>98</v>
      </c>
      <c r="F140" s="90">
        <f>'인건비 분석'!G79</f>
        <v>87</v>
      </c>
      <c r="G140" s="90">
        <f>'인건비 분석'!H79</f>
        <v>93</v>
      </c>
      <c r="H140" s="90">
        <f>G140+10</f>
        <v>103</v>
      </c>
      <c r="I140" s="90">
        <v>135</v>
      </c>
      <c r="J140" s="90">
        <v>170</v>
      </c>
      <c r="K140" s="90">
        <f>J140+10</f>
        <v>180</v>
      </c>
      <c r="L140" s="808">
        <f>K140+10</f>
        <v>190</v>
      </c>
      <c r="M140" s="550" t="s">
        <v>3584</v>
      </c>
    </row>
    <row r="141" spans="2:16" s="159" customFormat="1" ht="14.25" customHeight="1" x14ac:dyDescent="0.3">
      <c r="B141" s="559"/>
      <c r="C141" s="43">
        <v>7.0000000000000007E-2</v>
      </c>
      <c r="D141" s="90"/>
      <c r="E141" s="90"/>
      <c r="F141" s="1503">
        <f>F140/E140-1</f>
        <v>-0.11224489795918369</v>
      </c>
      <c r="G141" s="1503">
        <f>G140/F140-1</f>
        <v>6.8965517241379226E-2</v>
      </c>
      <c r="H141" s="1502">
        <f>C141</f>
        <v>7.0000000000000007E-2</v>
      </c>
      <c r="I141" s="1502">
        <f>H141</f>
        <v>7.0000000000000007E-2</v>
      </c>
      <c r="J141" s="1502">
        <f t="shared" ref="J141" si="87">I141</f>
        <v>7.0000000000000007E-2</v>
      </c>
      <c r="K141" s="1502">
        <v>0.03</v>
      </c>
      <c r="L141" s="1504">
        <v>0.03</v>
      </c>
      <c r="M141" s="550"/>
    </row>
    <row r="142" spans="2:16" s="159" customFormat="1" ht="14.1" customHeight="1" x14ac:dyDescent="0.3">
      <c r="B142" s="559" t="s">
        <v>480</v>
      </c>
      <c r="C142" s="43"/>
      <c r="D142" s="90">
        <f>D139/D140</f>
        <v>34.97925426744186</v>
      </c>
      <c r="E142" s="90">
        <f t="shared" ref="E142:G142" si="88">E139/E140</f>
        <v>32.565387784362315</v>
      </c>
      <c r="F142" s="90">
        <f t="shared" si="88"/>
        <v>37.112315146480029</v>
      </c>
      <c r="G142" s="90">
        <f t="shared" si="88"/>
        <v>38.578763266214061</v>
      </c>
      <c r="H142" s="90">
        <f>G142*(1+H$36)</f>
        <v>39.967598743797765</v>
      </c>
      <c r="I142" s="90">
        <f t="shared" ref="I142:L142" si="89">H142*(1+I$36)</f>
        <v>41.326497101086893</v>
      </c>
      <c r="J142" s="90">
        <f t="shared" si="89"/>
        <v>42.814250996726024</v>
      </c>
      <c r="K142" s="90">
        <f t="shared" si="89"/>
        <v>44.484006785598332</v>
      </c>
      <c r="L142" s="808">
        <f t="shared" si="89"/>
        <v>46.218883050236663</v>
      </c>
    </row>
    <row r="143" spans="2:16" s="159" customFormat="1" ht="14.1" customHeight="1" x14ac:dyDescent="0.3">
      <c r="B143" s="559"/>
      <c r="C143" s="43"/>
      <c r="D143" s="90"/>
      <c r="E143" s="90"/>
      <c r="F143" s="90"/>
      <c r="G143" s="90"/>
      <c r="H143" s="90"/>
      <c r="I143" s="90"/>
      <c r="J143" s="90"/>
      <c r="K143" s="90"/>
      <c r="L143" s="808"/>
    </row>
    <row r="144" spans="2:16" s="159" customFormat="1" ht="14.1" customHeight="1" x14ac:dyDescent="0.3">
      <c r="B144" s="552" t="s">
        <v>475</v>
      </c>
      <c r="C144" s="43"/>
      <c r="D144" s="90"/>
      <c r="E144" s="90">
        <f>MC!I10/10^6</f>
        <v>3191.4080028675066</v>
      </c>
      <c r="F144" s="90">
        <f>MC!J10/10^6</f>
        <v>3228.7714177437624</v>
      </c>
      <c r="G144" s="90">
        <f>MC!K10/10^6</f>
        <v>3587.8249837579078</v>
      </c>
      <c r="H144" s="90">
        <f>H139</f>
        <v>4116.6626706111701</v>
      </c>
      <c r="I144" s="90">
        <f t="shared" ref="I144:L144" si="90">I139</f>
        <v>5579.0771086467303</v>
      </c>
      <c r="J144" s="90">
        <f t="shared" si="90"/>
        <v>7278.4226694434237</v>
      </c>
      <c r="K144" s="90">
        <f t="shared" si="90"/>
        <v>8007.1212214076995</v>
      </c>
      <c r="L144" s="808">
        <f t="shared" si="90"/>
        <v>8781.5877795449651</v>
      </c>
    </row>
    <row r="145" spans="2:13" s="159" customFormat="1" ht="14.1" customHeight="1" x14ac:dyDescent="0.3">
      <c r="B145" s="403" t="s">
        <v>58</v>
      </c>
      <c r="C145" s="43">
        <f>G145</f>
        <v>3.9774581559427598E-2</v>
      </c>
      <c r="D145" s="90"/>
      <c r="E145" s="43">
        <f>E144/E$38</f>
        <v>5.2305817387029087E-2</v>
      </c>
      <c r="F145" s="43">
        <f t="shared" ref="F145:G145" si="91">F144/F$38</f>
        <v>3.9737372601610865E-2</v>
      </c>
      <c r="G145" s="43">
        <f t="shared" si="91"/>
        <v>3.9774581559427598E-2</v>
      </c>
      <c r="H145" s="43">
        <f>C145</f>
        <v>3.9774581559427598E-2</v>
      </c>
      <c r="I145" s="43">
        <f>H145</f>
        <v>3.9774581559427598E-2</v>
      </c>
      <c r="J145" s="43">
        <f t="shared" ref="J145:L145" si="92">I145</f>
        <v>3.9774581559427598E-2</v>
      </c>
      <c r="K145" s="43">
        <f t="shared" si="92"/>
        <v>3.9774581559427598E-2</v>
      </c>
      <c r="L145" s="43">
        <f t="shared" si="92"/>
        <v>3.9774581559427598E-2</v>
      </c>
    </row>
    <row r="146" spans="2:13" s="159" customFormat="1" ht="14.1" customHeight="1" x14ac:dyDescent="0.3">
      <c r="B146" s="559"/>
      <c r="C146" s="43"/>
      <c r="D146" s="90"/>
      <c r="E146" s="90"/>
      <c r="F146" s="90"/>
      <c r="G146" s="90"/>
      <c r="H146" s="90"/>
      <c r="I146" s="90"/>
      <c r="J146" s="90"/>
      <c r="K146" s="90"/>
      <c r="L146" s="808"/>
    </row>
    <row r="147" spans="2:13" s="159" customFormat="1" ht="14.1" customHeight="1" x14ac:dyDescent="0.3">
      <c r="B147" s="559"/>
      <c r="C147" s="43"/>
      <c r="D147" s="43"/>
      <c r="E147" s="43"/>
      <c r="F147" s="43"/>
      <c r="G147" s="43"/>
      <c r="H147" s="43"/>
      <c r="I147" s="43"/>
      <c r="J147" s="43"/>
      <c r="K147" s="43"/>
      <c r="L147" s="838"/>
    </row>
    <row r="148" spans="2:13" s="159" customFormat="1" ht="14.1" customHeight="1" x14ac:dyDescent="0.3">
      <c r="B148" s="552" t="s">
        <v>1996</v>
      </c>
      <c r="C148" s="43"/>
      <c r="D148" s="90">
        <f>MC!D11/10^6</f>
        <v>241.33242999999999</v>
      </c>
      <c r="E148" s="90">
        <f>MC!I11/10^6</f>
        <v>421.17457553094607</v>
      </c>
      <c r="F148" s="90">
        <f>MC!J11/10^6</f>
        <v>347.5412857141705</v>
      </c>
      <c r="G148" s="90">
        <f>MC!K11/10^6</f>
        <v>537.25046323966353</v>
      </c>
      <c r="H148" s="90">
        <f>H150*H136</f>
        <v>443.1128910313214</v>
      </c>
      <c r="I148" s="90">
        <f>I150*I136</f>
        <v>600.52551902002085</v>
      </c>
      <c r="J148" s="90">
        <f>J150*J136</f>
        <v>783.44114377634139</v>
      </c>
      <c r="K148" s="90">
        <f>K150*K136</f>
        <v>861.87742770030206</v>
      </c>
      <c r="L148" s="808">
        <f>L150*L136</f>
        <v>945.24012779064776</v>
      </c>
      <c r="M148" s="550" t="s">
        <v>3023</v>
      </c>
    </row>
    <row r="149" spans="2:13" s="159" customFormat="1" ht="14.1" customHeight="1" x14ac:dyDescent="0.3">
      <c r="B149" s="402" t="s">
        <v>143</v>
      </c>
      <c r="C149" s="43"/>
      <c r="D149" s="554" t="e">
        <f>D148/C148-1</f>
        <v>#DIV/0!</v>
      </c>
      <c r="E149" s="554">
        <f>E148/D148-1</f>
        <v>0.74520504985983904</v>
      </c>
      <c r="F149" s="554">
        <f>F148/E148-1</f>
        <v>-0.17482843004934734</v>
      </c>
      <c r="G149" s="554">
        <f t="shared" ref="G149" si="93">G148/F148-1</f>
        <v>0.54586083818978604</v>
      </c>
      <c r="H149" s="554">
        <f t="shared" ref="H149" si="94">H148/G148-1</f>
        <v>-0.17522101635926934</v>
      </c>
      <c r="I149" s="554">
        <f t="shared" ref="I149" si="95">I148/H148-1</f>
        <v>0.35524271844660182</v>
      </c>
      <c r="J149" s="554">
        <f t="shared" ref="J149" si="96">J148/I148-1</f>
        <v>0.30459259259259275</v>
      </c>
      <c r="K149" s="554">
        <f t="shared" ref="K149" si="97">K148/J148-1</f>
        <v>0.10011764705882342</v>
      </c>
      <c r="L149" s="838"/>
    </row>
    <row r="150" spans="2:13" s="159" customFormat="1" ht="14.1" customHeight="1" x14ac:dyDescent="0.3">
      <c r="B150" s="403" t="s">
        <v>3022</v>
      </c>
      <c r="C150" s="557">
        <f>F150</f>
        <v>0.1076388634402089</v>
      </c>
      <c r="D150" s="43">
        <f>D148/D$136</f>
        <v>8.0224438893300998E-2</v>
      </c>
      <c r="E150" s="43">
        <f t="shared" ref="E150:G150" si="98">E148/E$136</f>
        <v>0.13197139793862683</v>
      </c>
      <c r="F150" s="43">
        <f t="shared" si="98"/>
        <v>0.1076388634402089</v>
      </c>
      <c r="G150" s="43">
        <f t="shared" si="98"/>
        <v>0.14974266182765258</v>
      </c>
      <c r="H150" s="43">
        <f>C150</f>
        <v>0.1076388634402089</v>
      </c>
      <c r="I150" s="43">
        <f>H150</f>
        <v>0.1076388634402089</v>
      </c>
      <c r="J150" s="43">
        <f t="shared" ref="J150:K150" si="99">I150</f>
        <v>0.1076388634402089</v>
      </c>
      <c r="K150" s="43">
        <f t="shared" si="99"/>
        <v>0.1076388634402089</v>
      </c>
      <c r="L150" s="1060">
        <f>K150</f>
        <v>0.1076388634402089</v>
      </c>
    </row>
    <row r="151" spans="2:13" s="159" customFormat="1" ht="14.1" customHeight="1" x14ac:dyDescent="0.3">
      <c r="B151" s="403"/>
      <c r="C151" s="43"/>
      <c r="D151" s="43"/>
      <c r="E151" s="43"/>
      <c r="F151" s="43"/>
      <c r="G151" s="43"/>
      <c r="H151" s="43"/>
      <c r="I151" s="43"/>
      <c r="J151" s="43"/>
      <c r="K151" s="43"/>
      <c r="L151" s="838"/>
    </row>
    <row r="152" spans="2:13" s="159" customFormat="1" ht="14.1" customHeight="1" x14ac:dyDescent="0.3">
      <c r="B152" s="552" t="s">
        <v>1997</v>
      </c>
      <c r="C152" s="43"/>
      <c r="D152" s="90">
        <f>MC!D12/10^6</f>
        <v>5.3706399999999999</v>
      </c>
      <c r="E152" s="90">
        <f>MC!I12/10^6</f>
        <v>3.2250755572200647</v>
      </c>
      <c r="F152" s="90">
        <f>MC!J12/10^6</f>
        <v>3.5388997934386923</v>
      </c>
      <c r="G152" s="90">
        <f>MC!K12/10^6</f>
        <v>2.453105319697737</v>
      </c>
      <c r="H152" s="90">
        <f>H154*H38</f>
        <v>3.7532282674056332</v>
      </c>
      <c r="I152" s="90">
        <f>I154*I38</f>
        <v>4.9536145022686675</v>
      </c>
      <c r="J152" s="90">
        <f>J154*J38</f>
        <v>5.546298505535229</v>
      </c>
      <c r="K152" s="90">
        <f>K154*K38</f>
        <v>7.1038123070440831</v>
      </c>
      <c r="L152" s="808">
        <f>L154*L38</f>
        <v>8.1812749505815532</v>
      </c>
    </row>
    <row r="153" spans="2:13" s="159" customFormat="1" ht="14.1" customHeight="1" x14ac:dyDescent="0.3">
      <c r="B153" s="402" t="s">
        <v>143</v>
      </c>
      <c r="C153" s="43"/>
      <c r="D153" s="554" t="e">
        <f>D152/C152-1</f>
        <v>#DIV/0!</v>
      </c>
      <c r="E153" s="554">
        <f>E152/D152-1</f>
        <v>-0.39949883864491664</v>
      </c>
      <c r="F153" s="554">
        <f>F152/E152-1</f>
        <v>9.7307560908475699E-2</v>
      </c>
      <c r="G153" s="554">
        <f t="shared" ref="G153" si="100">G152/F152-1</f>
        <v>-0.30681695925781105</v>
      </c>
      <c r="H153" s="554">
        <f t="shared" ref="H153" si="101">H152/G152-1</f>
        <v>0.52999067641665421</v>
      </c>
      <c r="I153" s="554">
        <f t="shared" ref="I153" si="102">I152/H152-1</f>
        <v>0.31982766550268593</v>
      </c>
      <c r="J153" s="554">
        <f t="shared" ref="J153" si="103">J152/I152-1</f>
        <v>0.11964677570188864</v>
      </c>
      <c r="K153" s="554">
        <f t="shared" ref="K153" si="104">K152/J152-1</f>
        <v>0.28082040661072405</v>
      </c>
      <c r="L153" s="838"/>
    </row>
    <row r="154" spans="2:13" s="159" customFormat="1" ht="14.1" customHeight="1" x14ac:dyDescent="0.3">
      <c r="B154" s="403" t="s">
        <v>58</v>
      </c>
      <c r="C154" s="557">
        <f>G154</f>
        <v>2.7195093978632896E-5</v>
      </c>
      <c r="D154" s="43" t="e">
        <f>D152/D$38</f>
        <v>#REF!</v>
      </c>
      <c r="E154" s="43">
        <f t="shared" ref="E154:G154" si="105">E152/E$38</f>
        <v>5.2857614257955805E-5</v>
      </c>
      <c r="F154" s="43">
        <f t="shared" si="105"/>
        <v>4.3554207312051122E-5</v>
      </c>
      <c r="G154" s="43">
        <f t="shared" si="105"/>
        <v>2.7195093978632896E-5</v>
      </c>
      <c r="H154" s="43">
        <f>G154</f>
        <v>2.7195093978632896E-5</v>
      </c>
      <c r="I154" s="43">
        <f t="shared" ref="I154:K154" si="106">H154</f>
        <v>2.7195093978632896E-5</v>
      </c>
      <c r="J154" s="43">
        <f t="shared" si="106"/>
        <v>2.7195093978632896E-5</v>
      </c>
      <c r="K154" s="43">
        <f t="shared" si="106"/>
        <v>2.7195093978632896E-5</v>
      </c>
      <c r="L154" s="1060">
        <f>K154</f>
        <v>2.7195093978632896E-5</v>
      </c>
    </row>
    <row r="155" spans="2:13" s="159" customFormat="1" ht="14.1" customHeight="1" x14ac:dyDescent="0.3">
      <c r="B155" s="403"/>
      <c r="C155" s="43"/>
      <c r="D155" s="43"/>
      <c r="E155" s="43"/>
      <c r="F155" s="43"/>
      <c r="G155" s="43"/>
      <c r="H155" s="43"/>
      <c r="I155" s="43"/>
      <c r="J155" s="43"/>
      <c r="K155" s="43"/>
      <c r="L155" s="838"/>
    </row>
    <row r="156" spans="2:13" s="159" customFormat="1" ht="14.1" customHeight="1" x14ac:dyDescent="0.3">
      <c r="B156" s="552" t="s">
        <v>1998</v>
      </c>
      <c r="C156" s="43"/>
      <c r="D156" s="90">
        <f>MC!D13/10^6</f>
        <v>249.11222000000001</v>
      </c>
      <c r="E156" s="90">
        <f>MC!I13/10^6</f>
        <v>274.46779115544012</v>
      </c>
      <c r="F156" s="90">
        <f>MC!J13/10^6</f>
        <v>261.59340014948276</v>
      </c>
      <c r="G156" s="90">
        <f>MC!K13/10^6</f>
        <v>305.65147995632907</v>
      </c>
      <c r="H156" s="90">
        <f>H158*H38</f>
        <v>467.64391456613527</v>
      </c>
      <c r="I156" s="90">
        <f>I158*I38</f>
        <v>617.2093760483599</v>
      </c>
      <c r="J156" s="90">
        <f>J158*J38</f>
        <v>691.05648782552043</v>
      </c>
      <c r="K156" s="90">
        <f>K158*K38</f>
        <v>885.11925172766212</v>
      </c>
      <c r="L156" s="808">
        <f>L158*L38</f>
        <v>1019.3687064699742</v>
      </c>
    </row>
    <row r="157" spans="2:13" s="159" customFormat="1" ht="14.1" customHeight="1" x14ac:dyDescent="0.3">
      <c r="B157" s="402" t="s">
        <v>143</v>
      </c>
      <c r="C157" s="43"/>
      <c r="D157" s="554" t="e">
        <f>D156/C156-1</f>
        <v>#DIV/0!</v>
      </c>
      <c r="E157" s="554">
        <f>E156/D156-1</f>
        <v>0.10178373086410653</v>
      </c>
      <c r="F157" s="554">
        <f>F156/E156-1</f>
        <v>-4.6906746149555256E-2</v>
      </c>
      <c r="G157" s="554">
        <f t="shared" ref="G157" si="107">G156/F156-1</f>
        <v>0.16842198534699326</v>
      </c>
      <c r="H157" s="554">
        <f t="shared" ref="H157" si="108">H156/G156-1</f>
        <v>0.52999067641665398</v>
      </c>
      <c r="I157" s="554">
        <f t="shared" ref="I157" si="109">I156/H156-1</f>
        <v>0.31982766550268615</v>
      </c>
      <c r="J157" s="554">
        <f t="shared" ref="J157" si="110">J156/I156-1</f>
        <v>0.1196467757018882</v>
      </c>
      <c r="K157" s="554">
        <f t="shared" ref="K157" si="111">K156/J156-1</f>
        <v>0.28082040661072427</v>
      </c>
      <c r="L157" s="838"/>
    </row>
    <row r="158" spans="2:13" s="159" customFormat="1" ht="14.1" customHeight="1" x14ac:dyDescent="0.3">
      <c r="B158" s="403" t="s">
        <v>58</v>
      </c>
      <c r="C158" s="557">
        <f>G158</f>
        <v>3.3884483700621546E-3</v>
      </c>
      <c r="D158" s="43" t="e">
        <f>D156/D$38</f>
        <v>#REF!</v>
      </c>
      <c r="E158" s="43">
        <f t="shared" ref="E158:G158" si="112">E156/E$38</f>
        <v>4.4984101531043569E-3</v>
      </c>
      <c r="F158" s="43">
        <f t="shared" si="112"/>
        <v>3.2195014966795773E-3</v>
      </c>
      <c r="G158" s="43">
        <f t="shared" si="112"/>
        <v>3.3884483700621546E-3</v>
      </c>
      <c r="H158" s="43">
        <f>C158</f>
        <v>3.3884483700621546E-3</v>
      </c>
      <c r="I158" s="43">
        <f>H158</f>
        <v>3.3884483700621546E-3</v>
      </c>
      <c r="J158" s="43">
        <f t="shared" ref="J158:K158" si="113">I158</f>
        <v>3.3884483700621546E-3</v>
      </c>
      <c r="K158" s="43">
        <f t="shared" si="113"/>
        <v>3.3884483700621546E-3</v>
      </c>
      <c r="L158" s="1060">
        <f>K158</f>
        <v>3.3884483700621546E-3</v>
      </c>
    </row>
    <row r="159" spans="2:13" s="159" customFormat="1" ht="14.1" customHeight="1" x14ac:dyDescent="0.3">
      <c r="B159" s="403"/>
      <c r="C159" s="43"/>
      <c r="D159" s="43"/>
      <c r="E159" s="43"/>
      <c r="F159" s="43"/>
      <c r="G159" s="43"/>
      <c r="H159" s="43"/>
      <c r="I159" s="43"/>
      <c r="J159" s="43"/>
      <c r="K159" s="43"/>
      <c r="L159" s="838"/>
    </row>
    <row r="160" spans="2:13" s="159" customFormat="1" ht="14.1" customHeight="1" x14ac:dyDescent="0.3">
      <c r="B160" s="552" t="s">
        <v>1999</v>
      </c>
      <c r="C160" s="43"/>
      <c r="D160" s="90">
        <f>MC!D15/10^6</f>
        <v>314.68949600000002</v>
      </c>
      <c r="E160" s="90">
        <f>MC!I15/10^6</f>
        <v>401.18161412932159</v>
      </c>
      <c r="F160" s="90">
        <f>MC!J15/10^6</f>
        <v>386.35560749544601</v>
      </c>
      <c r="G160" s="90">
        <f>MC!K15/10^6</f>
        <v>440.19705778129861</v>
      </c>
      <c r="H160" s="90">
        <f>H162*H38</f>
        <v>673.49739419142998</v>
      </c>
      <c r="I160" s="90">
        <f>I162*I38</f>
        <v>888.90049349781725</v>
      </c>
      <c r="J160" s="90">
        <f>J162*J38</f>
        <v>995.25457146464862</v>
      </c>
      <c r="K160" s="90">
        <f>K162*K38</f>
        <v>1274.7423649045331</v>
      </c>
      <c r="L160" s="808">
        <f>L162*L38</f>
        <v>1468.0874617277284</v>
      </c>
    </row>
    <row r="161" spans="2:22" s="159" customFormat="1" ht="14.1" customHeight="1" x14ac:dyDescent="0.3">
      <c r="B161" s="402" t="s">
        <v>143</v>
      </c>
      <c r="C161" s="43"/>
      <c r="D161" s="554" t="e">
        <f>D160/C160-1</f>
        <v>#DIV/0!</v>
      </c>
      <c r="E161" s="554">
        <f>E160/D160-1</f>
        <v>0.27484907894517563</v>
      </c>
      <c r="F161" s="554">
        <f>F160/E160-1</f>
        <v>-3.6955847705165246E-2</v>
      </c>
      <c r="G161" s="554">
        <f t="shared" ref="G161" si="114">G160/F160-1</f>
        <v>0.13935723784334408</v>
      </c>
      <c r="H161" s="554">
        <f t="shared" ref="H161" si="115">H160/G160-1</f>
        <v>0.52999067641665398</v>
      </c>
      <c r="I161" s="554">
        <f t="shared" ref="I161" si="116">I160/H160-1</f>
        <v>0.31982766550268593</v>
      </c>
      <c r="J161" s="554">
        <f t="shared" ref="J161" si="117">J160/I160-1</f>
        <v>0.11964677570188864</v>
      </c>
      <c r="K161" s="554">
        <f t="shared" ref="K161" si="118">K160/J160-1</f>
        <v>0.28082040661072405</v>
      </c>
      <c r="L161" s="838"/>
    </row>
    <row r="162" spans="2:22" s="159" customFormat="1" ht="14.1" customHeight="1" x14ac:dyDescent="0.3">
      <c r="B162" s="403" t="s">
        <v>58</v>
      </c>
      <c r="C162" s="557">
        <f>G162</f>
        <v>4.8800189129079704E-3</v>
      </c>
      <c r="D162" s="43" t="e">
        <f>D160/D$38</f>
        <v>#REF!</v>
      </c>
      <c r="E162" s="43">
        <f t="shared" ref="E162:G162" si="119">E160/E$38</f>
        <v>6.5751957220222066E-3</v>
      </c>
      <c r="F162" s="43">
        <f t="shared" si="119"/>
        <v>4.7549840931435869E-3</v>
      </c>
      <c r="G162" s="43">
        <f t="shared" si="119"/>
        <v>4.8800189129079704E-3</v>
      </c>
      <c r="H162" s="43">
        <f>C162</f>
        <v>4.8800189129079704E-3</v>
      </c>
      <c r="I162" s="43">
        <f>H162</f>
        <v>4.8800189129079704E-3</v>
      </c>
      <c r="J162" s="43">
        <f t="shared" ref="J162:K162" si="120">I162</f>
        <v>4.8800189129079704E-3</v>
      </c>
      <c r="K162" s="43">
        <f t="shared" si="120"/>
        <v>4.8800189129079704E-3</v>
      </c>
      <c r="L162" s="1060">
        <f>K162</f>
        <v>4.8800189129079704E-3</v>
      </c>
    </row>
    <row r="163" spans="2:22" s="159" customFormat="1" ht="14.1" customHeight="1" thickBot="1" x14ac:dyDescent="0.35">
      <c r="B163" s="405"/>
      <c r="C163" s="406"/>
      <c r="D163" s="406"/>
      <c r="E163" s="406"/>
      <c r="F163" s="406"/>
      <c r="G163" s="406"/>
      <c r="H163" s="406"/>
      <c r="I163" s="406"/>
      <c r="J163" s="406"/>
      <c r="K163" s="406"/>
      <c r="L163" s="417"/>
    </row>
    <row r="164" spans="2:22" s="159" customFormat="1" ht="14.1" customHeight="1" x14ac:dyDescent="0.3">
      <c r="E164" s="113">
        <f>E167-SUM(E171,E181,E185,E189,E193,E198,E202)</f>
        <v>0</v>
      </c>
      <c r="F164" s="113">
        <f>F167-SUM(F171,F181,F185,F189,F193,F198,F202)</f>
        <v>0</v>
      </c>
      <c r="G164" s="113">
        <f>G167-SUM(G171,G181,G185,G189,G193,G198,G202)</f>
        <v>0</v>
      </c>
      <c r="J164" s="108"/>
      <c r="K164" s="108"/>
    </row>
    <row r="165" spans="2:22" s="159" customFormat="1" ht="14.1" customHeight="1" x14ac:dyDescent="0.3">
      <c r="B165" s="392" t="s">
        <v>2069</v>
      </c>
      <c r="C165" s="393"/>
      <c r="D165" s="393"/>
      <c r="E165" s="393"/>
      <c r="F165" s="393"/>
      <c r="G165" s="393"/>
      <c r="H165" s="393"/>
      <c r="I165" s="393"/>
      <c r="J165" s="393"/>
      <c r="K165" s="394"/>
      <c r="L165" s="394"/>
      <c r="R165" s="663" t="s">
        <v>688</v>
      </c>
      <c r="S165" s="159" t="s">
        <v>689</v>
      </c>
      <c r="V165" s="159">
        <v>2</v>
      </c>
    </row>
    <row r="166" spans="2:22" s="65" customFormat="1" ht="14.1" customHeight="1" x14ac:dyDescent="0.3">
      <c r="B166" s="395" t="str">
        <f>unit</f>
        <v>KRW Million</v>
      </c>
      <c r="C166" s="396"/>
      <c r="D166" s="396">
        <f>'Pro forma'!D$5</f>
        <v>2014</v>
      </c>
      <c r="E166" s="396">
        <f>'Pro forma'!E$5</f>
        <v>2015</v>
      </c>
      <c r="F166" s="396">
        <f>'Pro forma'!F$5</f>
        <v>2016</v>
      </c>
      <c r="G166" s="397">
        <f>'Pro forma'!G$5</f>
        <v>2017</v>
      </c>
      <c r="H166" s="398">
        <f>'Pro forma'!H$5</f>
        <v>2018</v>
      </c>
      <c r="I166" s="398">
        <f>'Pro forma'!I$5</f>
        <v>2019</v>
      </c>
      <c r="J166" s="398">
        <f>'Pro forma'!J$5</f>
        <v>2020</v>
      </c>
      <c r="K166" s="398">
        <f>'Pro forma'!K$5</f>
        <v>2021</v>
      </c>
      <c r="L166" s="399">
        <v>2022</v>
      </c>
      <c r="P166" s="809"/>
      <c r="S166" s="159" t="s">
        <v>690</v>
      </c>
    </row>
    <row r="167" spans="2:22" s="65" customFormat="1" ht="14.1" customHeight="1" x14ac:dyDescent="0.3">
      <c r="B167" s="400" t="s">
        <v>63</v>
      </c>
      <c r="C167" s="56"/>
      <c r="D167" s="92">
        <f>D171+D181+D185+D189+D193+D198+D202</f>
        <v>1983.9651739999999</v>
      </c>
      <c r="E167" s="92">
        <f>SUM(E171,E181,E185,E189,E193,E198,E202)</f>
        <v>4507.8827881456918</v>
      </c>
      <c r="F167" s="92">
        <f>SUM(F171,F181,F185,F189,F193,F198,F202)</f>
        <v>6083.9450467084562</v>
      </c>
      <c r="G167" s="92">
        <f>SUM(G171,G181,G185,G189,G193,G198,G202)</f>
        <v>7630.1531837753482</v>
      </c>
      <c r="H167" s="92">
        <f>H171+H181+H185+H189+H193+H198+H202</f>
        <v>11079.237928870516</v>
      </c>
      <c r="I167" s="92">
        <f>I171+I181+I185+I189+I193+I198+I202</f>
        <v>14637.925513800235</v>
      </c>
      <c r="J167" s="92">
        <f>J171+J181+J185+J189+J193+J198+J202</f>
        <v>14363.356749498031</v>
      </c>
      <c r="K167" s="92">
        <f>K171+K181+K185+K189+K193+K198+K202</f>
        <v>18050.98972966582</v>
      </c>
      <c r="L167" s="401">
        <f>L171+L181+L185+L189+L193+L198+L202</f>
        <v>20755.431013348138</v>
      </c>
      <c r="P167" s="809"/>
      <c r="R167" s="80"/>
      <c r="S167" s="159" t="s">
        <v>691</v>
      </c>
    </row>
    <row r="168" spans="2:22" s="80" customFormat="1" ht="14.1" customHeight="1" x14ac:dyDescent="0.3">
      <c r="B168" s="402" t="s">
        <v>37</v>
      </c>
      <c r="C168" s="58"/>
      <c r="D168" s="554" t="e">
        <f>D167/C167-1</f>
        <v>#DIV/0!</v>
      </c>
      <c r="E168" s="554">
        <f>E167/D167-1</f>
        <v>1.2721582249637273</v>
      </c>
      <c r="F168" s="554">
        <f>F167/E167-1</f>
        <v>0.34962361104581308</v>
      </c>
      <c r="G168" s="554">
        <f t="shared" ref="G168" si="121">G167/F167-1</f>
        <v>0.2541456448400079</v>
      </c>
      <c r="H168" s="554">
        <f t="shared" ref="H168" si="122">H167/G167-1</f>
        <v>0.4520334863563753</v>
      </c>
      <c r="I168" s="554">
        <f t="shared" ref="I168" si="123">I167/H167-1</f>
        <v>0.32120328201061699</v>
      </c>
      <c r="J168" s="554">
        <f t="shared" ref="J168" si="124">J167/I167-1</f>
        <v>-1.8757354930065029E-2</v>
      </c>
      <c r="K168" s="554">
        <f t="shared" ref="K168" si="125">K167/J167-1</f>
        <v>0.2567389395446622</v>
      </c>
      <c r="L168" s="1059"/>
      <c r="P168" s="809"/>
    </row>
    <row r="169" spans="2:22" s="159" customFormat="1" ht="14.1" customHeight="1" x14ac:dyDescent="0.3">
      <c r="B169" s="403" t="s">
        <v>58</v>
      </c>
      <c r="C169" s="43"/>
      <c r="D169" s="43" t="e">
        <f>D167/D$38</f>
        <v>#REF!</v>
      </c>
      <c r="E169" s="43">
        <f t="shared" ref="E169:L169" si="126">E167/E$38</f>
        <v>7.3882278200412543E-2</v>
      </c>
      <c r="F169" s="43">
        <f t="shared" si="126"/>
        <v>7.4876775073076718E-2</v>
      </c>
      <c r="G169" s="43">
        <f t="shared" si="126"/>
        <v>8.4587779920392223E-2</v>
      </c>
      <c r="H169" s="43">
        <f t="shared" si="126"/>
        <v>8.0277802259956288E-2</v>
      </c>
      <c r="I169" s="43">
        <f t="shared" si="126"/>
        <v>8.0361473388313148E-2</v>
      </c>
      <c r="J169" s="43">
        <f t="shared" si="126"/>
        <v>7.0427662027457927E-2</v>
      </c>
      <c r="K169" s="43">
        <f t="shared" si="126"/>
        <v>6.9103509621000023E-2</v>
      </c>
      <c r="L169" s="43">
        <f t="shared" si="126"/>
        <v>6.8992412598834818E-2</v>
      </c>
      <c r="P169" s="809"/>
    </row>
    <row r="170" spans="2:22" s="159" customFormat="1" ht="14.1" customHeight="1" x14ac:dyDescent="0.3">
      <c r="B170" s="403"/>
      <c r="C170" s="43"/>
      <c r="D170" s="43"/>
      <c r="E170" s="43"/>
      <c r="F170" s="43"/>
      <c r="G170" s="43"/>
      <c r="H170" s="43"/>
      <c r="I170" s="43"/>
      <c r="J170" s="43"/>
      <c r="K170" s="43"/>
      <c r="L170" s="838"/>
      <c r="P170" s="809"/>
    </row>
    <row r="171" spans="2:22" s="159" customFormat="1" ht="14.1" customHeight="1" x14ac:dyDescent="0.3">
      <c r="B171" s="552" t="s">
        <v>2000</v>
      </c>
      <c r="C171" s="43"/>
      <c r="D171" s="90">
        <f>MC!D24/10^6</f>
        <v>1371.3957170000001</v>
      </c>
      <c r="E171" s="90">
        <f>MC!I24/10^6</f>
        <v>2663.5453173309693</v>
      </c>
      <c r="F171" s="90">
        <f>MC!J24/10^6</f>
        <v>1804.4581873871787</v>
      </c>
      <c r="G171" s="90">
        <f>MC!K24/10^6</f>
        <v>2639.4091627936095</v>
      </c>
      <c r="H171" s="90">
        <f>H174+H178</f>
        <v>3505.5440013553389</v>
      </c>
      <c r="I171" s="90">
        <f t="shared" ref="I171:L171" si="127">I174+I178</f>
        <v>4347.8778957920113</v>
      </c>
      <c r="J171" s="90">
        <f t="shared" si="127"/>
        <v>4966.6642228679466</v>
      </c>
      <c r="K171" s="90">
        <f t="shared" si="127"/>
        <v>6015.5141869115196</v>
      </c>
      <c r="L171" s="808">
        <f t="shared" si="127"/>
        <v>6894.4884207862506</v>
      </c>
      <c r="P171" s="809"/>
    </row>
    <row r="172" spans="2:22" s="159" customFormat="1" ht="14.1" customHeight="1" x14ac:dyDescent="0.3">
      <c r="B172" s="402" t="s">
        <v>37</v>
      </c>
      <c r="C172" s="43"/>
      <c r="D172" s="554" t="e">
        <f>D171/C171-1</f>
        <v>#DIV/0!</v>
      </c>
      <c r="E172" s="554">
        <f>E171/D171-1</f>
        <v>0.9422149889439746</v>
      </c>
      <c r="F172" s="554">
        <f>F171/E171-1</f>
        <v>-0.32253520311967021</v>
      </c>
      <c r="G172" s="554">
        <f t="shared" ref="G172" si="128">G171/F171-1</f>
        <v>0.46271561249940851</v>
      </c>
      <c r="H172" s="554">
        <f t="shared" ref="H172" si="129">H171/G171-1</f>
        <v>0.32815481993894147</v>
      </c>
      <c r="I172" s="554">
        <f t="shared" ref="I172" si="130">I171/H171-1</f>
        <v>0.24028621352663193</v>
      </c>
      <c r="J172" s="554">
        <f t="shared" ref="J172" si="131">J171/I171-1</f>
        <v>0.14231915934778505</v>
      </c>
      <c r="K172" s="554">
        <f t="shared" ref="K172" si="132">K171/J171-1</f>
        <v>0.21117794901744458</v>
      </c>
      <c r="L172" s="838"/>
      <c r="P172" s="809"/>
    </row>
    <row r="173" spans="2:22" s="159" customFormat="1" ht="14.1" customHeight="1" x14ac:dyDescent="0.3">
      <c r="B173" s="403" t="s">
        <v>58</v>
      </c>
      <c r="C173" s="557">
        <f>G173</f>
        <v>2.9260455983635199E-2</v>
      </c>
      <c r="D173" s="43" t="e">
        <f>D171/D$38</f>
        <v>#REF!</v>
      </c>
      <c r="E173" s="43">
        <f t="shared" ref="E173:G173" si="133">E171/E$38</f>
        <v>4.3654372880312049E-2</v>
      </c>
      <c r="F173" s="43">
        <f t="shared" si="133"/>
        <v>2.2207960260729177E-2</v>
      </c>
      <c r="G173" s="43">
        <f t="shared" si="133"/>
        <v>2.9260455983635199E-2</v>
      </c>
      <c r="H173" s="557">
        <f>C173</f>
        <v>2.9260455983635199E-2</v>
      </c>
      <c r="I173" s="43">
        <f>H173</f>
        <v>2.9260455983635199E-2</v>
      </c>
      <c r="J173" s="43">
        <f t="shared" ref="J173:L173" si="134">I173</f>
        <v>2.9260455983635199E-2</v>
      </c>
      <c r="K173" s="43">
        <f t="shared" si="134"/>
        <v>2.9260455983635199E-2</v>
      </c>
      <c r="L173" s="43">
        <f t="shared" si="134"/>
        <v>2.9260455983635199E-2</v>
      </c>
      <c r="M173" s="550" t="s">
        <v>2170</v>
      </c>
    </row>
    <row r="174" spans="2:22" s="159" customFormat="1" ht="14.1" customHeight="1" x14ac:dyDescent="0.3">
      <c r="B174" s="403" t="s">
        <v>7525</v>
      </c>
      <c r="C174" s="557"/>
      <c r="D174" s="43"/>
      <c r="E174" s="90">
        <f>1073716293/10^6</f>
        <v>1073.716293</v>
      </c>
      <c r="F174" s="90">
        <f>1408969673/10^6</f>
        <v>1408.9696730000001</v>
      </c>
      <c r="G174" s="90">
        <f>1629664565/10^6</f>
        <v>1629.664565</v>
      </c>
      <c r="H174" s="90">
        <f>H175*H177</f>
        <v>1960.6441811690322</v>
      </c>
      <c r="I174" s="90">
        <f t="shared" ref="I174:L174" si="135">I175*I177</f>
        <v>2308.8763726799989</v>
      </c>
      <c r="J174" s="90">
        <f t="shared" si="135"/>
        <v>2683.702741864342</v>
      </c>
      <c r="K174" s="90">
        <f t="shared" si="135"/>
        <v>3091.4505345358612</v>
      </c>
      <c r="L174" s="90">
        <f t="shared" si="135"/>
        <v>3526.9207431653831</v>
      </c>
      <c r="M174" s="550"/>
    </row>
    <row r="175" spans="2:22" s="159" customFormat="1" ht="14.25" customHeight="1" x14ac:dyDescent="0.3">
      <c r="B175" s="559" t="s">
        <v>479</v>
      </c>
      <c r="C175" s="43"/>
      <c r="D175" s="90">
        <f>'인건비 분석'!E114</f>
        <v>42823600</v>
      </c>
      <c r="E175" s="90">
        <f>'인건비 분석'!F81</f>
        <v>27</v>
      </c>
      <c r="F175" s="90">
        <f>'인건비 분석'!G81</f>
        <v>29</v>
      </c>
      <c r="G175" s="90">
        <f>'인건비 분석'!H81</f>
        <v>31</v>
      </c>
      <c r="H175" s="90">
        <f>G175+5</f>
        <v>36</v>
      </c>
      <c r="I175" s="90">
        <f t="shared" ref="I175:L175" si="136">H175+5</f>
        <v>41</v>
      </c>
      <c r="J175" s="90">
        <f t="shared" si="136"/>
        <v>46</v>
      </c>
      <c r="K175" s="90">
        <f t="shared" si="136"/>
        <v>51</v>
      </c>
      <c r="L175" s="808">
        <f t="shared" si="136"/>
        <v>56</v>
      </c>
      <c r="M175" s="550" t="s">
        <v>3584</v>
      </c>
    </row>
    <row r="176" spans="2:22" s="159" customFormat="1" ht="14.25" customHeight="1" x14ac:dyDescent="0.3">
      <c r="B176" s="559"/>
      <c r="C176" s="43">
        <v>7.0000000000000007E-2</v>
      </c>
      <c r="D176" s="90"/>
      <c r="E176" s="90"/>
      <c r="F176" s="1503">
        <f>F175/E175-1</f>
        <v>7.4074074074074181E-2</v>
      </c>
      <c r="G176" s="1503">
        <f>G175/F175-1</f>
        <v>6.8965517241379226E-2</v>
      </c>
      <c r="H176" s="1502">
        <f>C176</f>
        <v>7.0000000000000007E-2</v>
      </c>
      <c r="I176" s="1502">
        <f>H176</f>
        <v>7.0000000000000007E-2</v>
      </c>
      <c r="J176" s="1502">
        <f t="shared" ref="J176" si="137">I176</f>
        <v>7.0000000000000007E-2</v>
      </c>
      <c r="K176" s="1502">
        <v>0.03</v>
      </c>
      <c r="L176" s="1504">
        <v>0.03</v>
      </c>
      <c r="M176" s="550"/>
    </row>
    <row r="177" spans="2:13" s="159" customFormat="1" ht="14.1" customHeight="1" x14ac:dyDescent="0.3">
      <c r="B177" s="559" t="s">
        <v>480</v>
      </c>
      <c r="C177" s="43"/>
      <c r="D177" s="90">
        <f>D174/D175</f>
        <v>0</v>
      </c>
      <c r="E177" s="90">
        <f t="shared" ref="E177:G177" si="138">E174/E175</f>
        <v>39.76727011111111</v>
      </c>
      <c r="F177" s="90">
        <f t="shared" si="138"/>
        <v>48.585161137931038</v>
      </c>
      <c r="G177" s="90">
        <f t="shared" si="138"/>
        <v>52.569824677419355</v>
      </c>
      <c r="H177" s="90">
        <f>G177*(1+H$36)</f>
        <v>54.462338365806453</v>
      </c>
      <c r="I177" s="90">
        <f t="shared" ref="I177" si="139">H177*(1+I$36)</f>
        <v>56.314057870243872</v>
      </c>
      <c r="J177" s="90">
        <f t="shared" ref="J177" si="140">I177*(1+J$36)</f>
        <v>58.341363953572653</v>
      </c>
      <c r="K177" s="90">
        <f t="shared" ref="K177" si="141">J177*(1+K$36)</f>
        <v>60.616677147761983</v>
      </c>
      <c r="L177" s="808">
        <f t="shared" ref="L177" si="142">K177*(1+L$36)</f>
        <v>62.980727556524698</v>
      </c>
    </row>
    <row r="178" spans="2:13" s="159" customFormat="1" ht="14.1" customHeight="1" x14ac:dyDescent="0.3">
      <c r="B178" s="403" t="s">
        <v>7526</v>
      </c>
      <c r="C178" s="557"/>
      <c r="D178" s="43"/>
      <c r="E178" s="90">
        <f>E171-E174</f>
        <v>1589.8290243309693</v>
      </c>
      <c r="F178" s="90">
        <f t="shared" ref="F178:G178" si="143">F171-F174</f>
        <v>395.48851438717861</v>
      </c>
      <c r="G178" s="90">
        <f t="shared" si="143"/>
        <v>1009.7445977936095</v>
      </c>
      <c r="H178" s="90">
        <f>H179*H$38</f>
        <v>1544.8998201863069</v>
      </c>
      <c r="I178" s="90">
        <f t="shared" ref="I178:L178" si="144">I179*I$38</f>
        <v>2039.0015231120128</v>
      </c>
      <c r="J178" s="90">
        <f t="shared" si="144"/>
        <v>2282.9614810036046</v>
      </c>
      <c r="K178" s="90">
        <f t="shared" si="144"/>
        <v>2924.063652375658</v>
      </c>
      <c r="L178" s="90">
        <f t="shared" si="144"/>
        <v>3367.567677620867</v>
      </c>
      <c r="M178" s="550"/>
    </row>
    <row r="179" spans="2:13" s="159" customFormat="1" ht="14.1" customHeight="1" x14ac:dyDescent="0.3">
      <c r="B179" s="403" t="s">
        <v>58</v>
      </c>
      <c r="C179" s="557">
        <f>G179</f>
        <v>1.1194015605819004E-2</v>
      </c>
      <c r="D179" s="43" t="e">
        <f>D178/D$38</f>
        <v>#REF!</v>
      </c>
      <c r="E179" s="43">
        <f>E178/E$38</f>
        <v>2.6056620321982266E-2</v>
      </c>
      <c r="F179" s="43">
        <f>F178/F$38</f>
        <v>4.8673852752459121E-3</v>
      </c>
      <c r="G179" s="43">
        <f>G178/G$38</f>
        <v>1.1194015605819004E-2</v>
      </c>
      <c r="H179" s="557">
        <f>C179</f>
        <v>1.1194015605819004E-2</v>
      </c>
      <c r="I179" s="43">
        <f>H179</f>
        <v>1.1194015605819004E-2</v>
      </c>
      <c r="J179" s="43">
        <f t="shared" ref="J179" si="145">I179</f>
        <v>1.1194015605819004E-2</v>
      </c>
      <c r="K179" s="43">
        <f t="shared" ref="K179" si="146">J179</f>
        <v>1.1194015605819004E-2</v>
      </c>
      <c r="L179" s="43">
        <f t="shared" ref="L179" si="147">K179</f>
        <v>1.1194015605819004E-2</v>
      </c>
      <c r="M179" s="550" t="s">
        <v>2170</v>
      </c>
    </row>
    <row r="180" spans="2:13" s="159" customFormat="1" ht="14.1" customHeight="1" x14ac:dyDescent="0.3">
      <c r="B180" s="403"/>
      <c r="C180" s="557"/>
      <c r="D180" s="43"/>
      <c r="E180" s="43"/>
      <c r="F180" s="43"/>
      <c r="G180" s="43"/>
      <c r="H180" s="557"/>
      <c r="I180" s="43"/>
      <c r="J180" s="43"/>
      <c r="K180" s="43"/>
      <c r="L180" s="43"/>
      <c r="M180" s="550"/>
    </row>
    <row r="181" spans="2:13" s="159" customFormat="1" ht="14.1" customHeight="1" x14ac:dyDescent="0.3">
      <c r="B181" s="552" t="s">
        <v>2001</v>
      </c>
      <c r="C181" s="43"/>
      <c r="D181" s="90">
        <f>MC!D25/10^6</f>
        <v>44.881616000000001</v>
      </c>
      <c r="E181" s="90">
        <f>MC!I25/10^6</f>
        <v>57.179192314601131</v>
      </c>
      <c r="F181" s="90">
        <f>MC!J25/10^6</f>
        <v>53.832735310642178</v>
      </c>
      <c r="G181" s="90">
        <f>MC!K25/10^6</f>
        <v>62.600124387168293</v>
      </c>
      <c r="H181" s="90">
        <f>H183*H$38</f>
        <v>105.51698738477933</v>
      </c>
      <c r="I181" s="90">
        <f t="shared" ref="I181:L181" si="148">I183*I$38</f>
        <v>139.26423913092967</v>
      </c>
      <c r="J181" s="90">
        <f t="shared" si="148"/>
        <v>155.92675631352216</v>
      </c>
      <c r="K181" s="90">
        <f t="shared" si="148"/>
        <v>199.71417142297676</v>
      </c>
      <c r="L181" s="808">
        <f t="shared" si="148"/>
        <v>230.00559098651459</v>
      </c>
    </row>
    <row r="182" spans="2:13" s="159" customFormat="1" ht="14.1" customHeight="1" x14ac:dyDescent="0.3">
      <c r="B182" s="402" t="s">
        <v>37</v>
      </c>
      <c r="C182" s="43"/>
      <c r="D182" s="554" t="e">
        <f>D181/C181-1</f>
        <v>#DIV/0!</v>
      </c>
      <c r="E182" s="554">
        <f>E181/D181-1</f>
        <v>0.27400030147312715</v>
      </c>
      <c r="F182" s="554">
        <f>F181/E181-1</f>
        <v>-5.8525783042661317E-2</v>
      </c>
      <c r="G182" s="554">
        <f t="shared" ref="G182" si="149">G181/F181-1</f>
        <v>0.16286352580699903</v>
      </c>
      <c r="H182" s="554">
        <f t="shared" ref="H182" si="150">H181/G181-1</f>
        <v>0.68557152909440688</v>
      </c>
      <c r="I182" s="554">
        <f t="shared" ref="I182" si="151">I181/H181-1</f>
        <v>0.31982766550268593</v>
      </c>
      <c r="J182" s="554">
        <f t="shared" ref="J182" si="152">J181/I181-1</f>
        <v>0.11964677570188842</v>
      </c>
      <c r="K182" s="554">
        <f t="shared" ref="K182" si="153">K181/J181-1</f>
        <v>0.28082040661072427</v>
      </c>
      <c r="L182" s="838"/>
    </row>
    <row r="183" spans="2:13" s="159" customFormat="1" ht="14.1" customHeight="1" x14ac:dyDescent="0.3">
      <c r="B183" s="403" t="s">
        <v>58</v>
      </c>
      <c r="C183" s="557">
        <f>CHOOSE($V$165,AVERAGE(D183:G183),AVERAGE(E183:G183), AVERAGE(F183:G183))</f>
        <v>7.6455365456757263E-4</v>
      </c>
      <c r="D183" s="43" t="e">
        <f>D181/D$38</f>
        <v>#REF!</v>
      </c>
      <c r="E183" s="43">
        <f t="shared" ref="E183:G183" si="154">E181/E$38</f>
        <v>9.3714259939753277E-4</v>
      </c>
      <c r="F183" s="43">
        <f t="shared" si="154"/>
        <v>6.6253419162689339E-4</v>
      </c>
      <c r="G183" s="43">
        <f t="shared" si="154"/>
        <v>6.9398417267829183E-4</v>
      </c>
      <c r="H183" s="557">
        <f>C183</f>
        <v>7.6455365456757263E-4</v>
      </c>
      <c r="I183" s="43">
        <f>H183</f>
        <v>7.6455365456757263E-4</v>
      </c>
      <c r="J183" s="43">
        <f t="shared" ref="J183:K183" si="155">I183</f>
        <v>7.6455365456757263E-4</v>
      </c>
      <c r="K183" s="43">
        <f t="shared" si="155"/>
        <v>7.6455365456757263E-4</v>
      </c>
      <c r="L183" s="1060">
        <f>K183</f>
        <v>7.6455365456757263E-4</v>
      </c>
      <c r="M183" s="550" t="s">
        <v>2170</v>
      </c>
    </row>
    <row r="184" spans="2:13" s="159" customFormat="1" ht="14.1" customHeight="1" x14ac:dyDescent="0.3">
      <c r="B184" s="403"/>
      <c r="C184" s="43"/>
      <c r="D184" s="43"/>
      <c r="E184" s="43"/>
      <c r="F184" s="43"/>
      <c r="G184" s="43"/>
      <c r="H184" s="43"/>
      <c r="I184" s="43"/>
      <c r="J184" s="43"/>
      <c r="K184" s="43"/>
      <c r="L184" s="838"/>
    </row>
    <row r="185" spans="2:13" s="159" customFormat="1" ht="14.1" customHeight="1" x14ac:dyDescent="0.3">
      <c r="B185" s="552" t="s">
        <v>2002</v>
      </c>
      <c r="C185" s="43"/>
      <c r="D185" s="90">
        <f>MC!D28/10^6</f>
        <v>27.142153</v>
      </c>
      <c r="E185" s="90">
        <f>MC!I28/10^6</f>
        <v>27.635613475615344</v>
      </c>
      <c r="F185" s="90">
        <f>MC!J28/10^6</f>
        <v>20.589407778607455</v>
      </c>
      <c r="G185" s="90">
        <f>MC!K28/10^6</f>
        <v>15.885130954491837</v>
      </c>
      <c r="H185" s="90">
        <f>H187*H$38</f>
        <v>40.595439015824262</v>
      </c>
      <c r="I185" s="90">
        <f t="shared" ref="I185:L185" si="156">I187*I$38</f>
        <v>53.578983506311999</v>
      </c>
      <c r="J185" s="90">
        <f t="shared" si="156"/>
        <v>59.989536128226888</v>
      </c>
      <c r="K185" s="90">
        <f t="shared" si="156"/>
        <v>76.835822056144295</v>
      </c>
      <c r="L185" s="808">
        <f t="shared" si="156"/>
        <v>88.489807884133612</v>
      </c>
    </row>
    <row r="186" spans="2:13" s="159" customFormat="1" ht="14.1" customHeight="1" x14ac:dyDescent="0.3">
      <c r="B186" s="402" t="s">
        <v>37</v>
      </c>
      <c r="C186" s="43"/>
      <c r="D186" s="554" t="e">
        <f>D185/C185-1</f>
        <v>#DIV/0!</v>
      </c>
      <c r="E186" s="554">
        <f>E185/D185-1</f>
        <v>1.8180594428722774E-2</v>
      </c>
      <c r="F186" s="554">
        <f>F185/E185-1</f>
        <v>-0.25496831120558272</v>
      </c>
      <c r="G186" s="554">
        <f t="shared" ref="G186" si="157">G185/F185-1</f>
        <v>-0.22848043395417117</v>
      </c>
      <c r="H186" s="554">
        <f t="shared" ref="H186" si="158">H185/G185-1</f>
        <v>1.555562124865272</v>
      </c>
      <c r="I186" s="554">
        <f t="shared" ref="I186" si="159">I185/H185-1</f>
        <v>0.31982766550268615</v>
      </c>
      <c r="J186" s="554">
        <f t="shared" ref="J186" si="160">J185/I185-1</f>
        <v>0.11964677570188842</v>
      </c>
      <c r="K186" s="554">
        <f t="shared" ref="K186" si="161">K185/J185-1</f>
        <v>0.28082040661072427</v>
      </c>
      <c r="L186" s="838"/>
    </row>
    <row r="187" spans="2:13" s="159" customFormat="1" ht="14.1" customHeight="1" x14ac:dyDescent="0.3">
      <c r="B187" s="403" t="s">
        <v>58</v>
      </c>
      <c r="C187" s="557">
        <f>CHOOSE($V$165,AVERAGE(D187:G187),AVERAGE(E187:G187), AVERAGE(F187:G187))</f>
        <v>2.9414591932142828E-4</v>
      </c>
      <c r="D187" s="43" t="e">
        <f>D185/D$38</f>
        <v>#REF!</v>
      </c>
      <c r="E187" s="43">
        <f t="shared" ref="E187:G187" si="162">E185/E$38</f>
        <v>4.5293593001435721E-4</v>
      </c>
      <c r="F187" s="43">
        <f t="shared" si="162"/>
        <v>2.5339947078593716E-4</v>
      </c>
      <c r="G187" s="43">
        <f t="shared" si="162"/>
        <v>1.761023571639905E-4</v>
      </c>
      <c r="H187" s="557">
        <f>C187</f>
        <v>2.9414591932142828E-4</v>
      </c>
      <c r="I187" s="43">
        <f>H187</f>
        <v>2.9414591932142828E-4</v>
      </c>
      <c r="J187" s="43">
        <f t="shared" ref="J187:K187" si="163">I187</f>
        <v>2.9414591932142828E-4</v>
      </c>
      <c r="K187" s="43">
        <f t="shared" si="163"/>
        <v>2.9414591932142828E-4</v>
      </c>
      <c r="L187" s="1060">
        <f>K187</f>
        <v>2.9414591932142828E-4</v>
      </c>
      <c r="M187" s="550" t="s">
        <v>2170</v>
      </c>
    </row>
    <row r="188" spans="2:13" s="159" customFormat="1" ht="14.1" customHeight="1" x14ac:dyDescent="0.3">
      <c r="B188" s="403"/>
      <c r="C188" s="43"/>
      <c r="D188" s="43"/>
      <c r="E188" s="43"/>
      <c r="F188" s="43"/>
      <c r="G188" s="43"/>
      <c r="H188" s="43"/>
      <c r="I188" s="43"/>
      <c r="J188" s="43"/>
      <c r="K188" s="43"/>
      <c r="L188" s="838"/>
    </row>
    <row r="189" spans="2:13" s="159" customFormat="1" ht="14.1" customHeight="1" x14ac:dyDescent="0.3">
      <c r="B189" s="552" t="s">
        <v>2003</v>
      </c>
      <c r="C189" s="43"/>
      <c r="D189" s="90">
        <f>MC!D31/10^6</f>
        <v>132.68445299999999</v>
      </c>
      <c r="E189" s="90">
        <f>MC!I31/10^6</f>
        <v>164.6190475500201</v>
      </c>
      <c r="F189" s="90">
        <f>MC!J31/10^6</f>
        <v>228.27202441253596</v>
      </c>
      <c r="G189" s="90">
        <f>MC!K31/10^6</f>
        <v>214.37315606290224</v>
      </c>
      <c r="H189" s="90">
        <f>H191*H$38</f>
        <v>362.69259678584064</v>
      </c>
      <c r="I189" s="90">
        <f t="shared" ref="I189:L189" si="164">I191*I$38</f>
        <v>478.69172331096303</v>
      </c>
      <c r="J189" s="90">
        <f t="shared" si="164"/>
        <v>535.96564456030023</v>
      </c>
      <c r="K189" s="90">
        <f t="shared" si="164"/>
        <v>686.47573479510265</v>
      </c>
      <c r="L189" s="808">
        <f t="shared" si="164"/>
        <v>790.59616027470395</v>
      </c>
    </row>
    <row r="190" spans="2:13" s="159" customFormat="1" ht="14.1" customHeight="1" x14ac:dyDescent="0.3">
      <c r="B190" s="402" t="s">
        <v>37</v>
      </c>
      <c r="C190" s="43"/>
      <c r="D190" s="554" t="e">
        <f>D189/C189-1</f>
        <v>#DIV/0!</v>
      </c>
      <c r="E190" s="554">
        <f>E189/D189-1</f>
        <v>0.2406807566973963</v>
      </c>
      <c r="F190" s="554">
        <f>F189/E189-1</f>
        <v>0.38666835830874713</v>
      </c>
      <c r="G190" s="554">
        <f t="shared" ref="G190" si="165">G189/F189-1</f>
        <v>-6.0887304896002137E-2</v>
      </c>
      <c r="H190" s="554">
        <f t="shared" ref="H190" si="166">H189/G189-1</f>
        <v>0.69187506237682994</v>
      </c>
      <c r="I190" s="554">
        <f t="shared" ref="I190" si="167">I189/H189-1</f>
        <v>0.31982766550268593</v>
      </c>
      <c r="J190" s="554">
        <f t="shared" ref="J190" si="168">J189/I189-1</f>
        <v>0.11964677570188842</v>
      </c>
      <c r="K190" s="554">
        <f t="shared" ref="K190" si="169">K189/J189-1</f>
        <v>0.28082040661072427</v>
      </c>
      <c r="L190" s="838"/>
    </row>
    <row r="191" spans="2:13" s="159" customFormat="1" ht="14.1" customHeight="1" x14ac:dyDescent="0.3">
      <c r="B191" s="403" t="s">
        <v>58</v>
      </c>
      <c r="C191" s="557">
        <f>CHOOSE($V$165,AVERAGE(D191:G191),AVERAGE(E191:G191), AVERAGE(F191:G191))</f>
        <v>2.627993437170642E-3</v>
      </c>
      <c r="D191" s="43" t="e">
        <f>D189/D$38</f>
        <v>#REF!</v>
      </c>
      <c r="E191" s="43">
        <f t="shared" ref="E191:G191" si="170">E189/E$38</f>
        <v>2.6980360492426456E-3</v>
      </c>
      <c r="F191" s="43">
        <f t="shared" si="170"/>
        <v>2.80940621524197E-3</v>
      </c>
      <c r="G191" s="43">
        <f t="shared" si="170"/>
        <v>2.3765380470273092E-3</v>
      </c>
      <c r="H191" s="557">
        <f>C191</f>
        <v>2.627993437170642E-3</v>
      </c>
      <c r="I191" s="43">
        <f>H191</f>
        <v>2.627993437170642E-3</v>
      </c>
      <c r="J191" s="43">
        <f t="shared" ref="J191:K191" si="171">I191</f>
        <v>2.627993437170642E-3</v>
      </c>
      <c r="K191" s="43">
        <f t="shared" si="171"/>
        <v>2.627993437170642E-3</v>
      </c>
      <c r="L191" s="1060">
        <f>K191</f>
        <v>2.627993437170642E-3</v>
      </c>
      <c r="M191" s="550" t="s">
        <v>2170</v>
      </c>
    </row>
    <row r="192" spans="2:13" s="159" customFormat="1" ht="14.1" customHeight="1" x14ac:dyDescent="0.3">
      <c r="B192" s="403"/>
      <c r="C192" s="43"/>
      <c r="D192" s="43"/>
      <c r="E192" s="43"/>
      <c r="F192" s="43"/>
      <c r="G192" s="43"/>
      <c r="H192" s="43"/>
      <c r="I192" s="43"/>
      <c r="J192" s="43"/>
      <c r="K192" s="43"/>
      <c r="L192" s="838"/>
    </row>
    <row r="193" spans="2:17" s="159" customFormat="1" ht="14.1" customHeight="1" x14ac:dyDescent="0.3">
      <c r="B193" s="552" t="s">
        <v>2004</v>
      </c>
      <c r="C193" s="43"/>
      <c r="D193" s="90">
        <f>MC!D32/10^6</f>
        <v>398.821235</v>
      </c>
      <c r="E193" s="90">
        <f>MC!I32/10^6</f>
        <v>1429.7818433184268</v>
      </c>
      <c r="F193" s="90">
        <f>MC!J32/10^6</f>
        <v>3530.0360174754533</v>
      </c>
      <c r="G193" s="90">
        <f>MC!K32/10^6</f>
        <v>4638.6231838529029</v>
      </c>
      <c r="H193" s="90">
        <f>H195*H$38+H196</f>
        <v>6657.2214742258147</v>
      </c>
      <c r="I193" s="90">
        <f>I195*I$38+I196</f>
        <v>9080.461919485806</v>
      </c>
      <c r="J193" s="90">
        <f t="shared" ref="J193:L193" si="172">J195*J$38</f>
        <v>8042.3837993443449</v>
      </c>
      <c r="K193" s="90">
        <f t="shared" si="172"/>
        <v>10300.849287995725</v>
      </c>
      <c r="L193" s="808">
        <f t="shared" si="172"/>
        <v>11863.218875593004</v>
      </c>
      <c r="M193" s="891" t="s">
        <v>2148</v>
      </c>
    </row>
    <row r="194" spans="2:17" s="159" customFormat="1" ht="14.1" customHeight="1" x14ac:dyDescent="0.3">
      <c r="B194" s="402" t="s">
        <v>37</v>
      </c>
      <c r="C194" s="43"/>
      <c r="D194" s="554" t="e">
        <f>D193/C193-1</f>
        <v>#DIV/0!</v>
      </c>
      <c r="E194" s="554">
        <f>E193/D193-1</f>
        <v>2.5850193466213676</v>
      </c>
      <c r="F194" s="554">
        <f>F193/E193-1</f>
        <v>1.4689333089322765</v>
      </c>
      <c r="G194" s="554">
        <f t="shared" ref="G194" si="173">G193/F193-1</f>
        <v>0.31404415164303878</v>
      </c>
      <c r="H194" s="554">
        <f t="shared" ref="H194" si="174">H193/G193-1</f>
        <v>0.43517186250430395</v>
      </c>
      <c r="I194" s="554">
        <f t="shared" ref="I194" si="175">I193/H193-1</f>
        <v>0.36400177681362123</v>
      </c>
      <c r="J194" s="554">
        <f t="shared" ref="J194" si="176">J193/I193-1</f>
        <v>-0.11431996844938519</v>
      </c>
      <c r="K194" s="554">
        <f t="shared" ref="K194" si="177">K193/J193-1</f>
        <v>0.28082040661072427</v>
      </c>
      <c r="L194" s="838"/>
    </row>
    <row r="195" spans="2:17" s="159" customFormat="1" ht="14.1" customHeight="1" x14ac:dyDescent="0.3">
      <c r="B195" s="403" t="s">
        <v>58</v>
      </c>
      <c r="C195" s="557">
        <f>CHOOSE($V$165,AVERAGE(D195:G195),AVERAGE(E195:G195), AVERAGE(F195:G195))</f>
        <v>3.9434116828931456E-2</v>
      </c>
      <c r="D195" s="43" t="e">
        <f>D193/D$38</f>
        <v>#REF!</v>
      </c>
      <c r="E195" s="43">
        <f t="shared" ref="E195:G195" si="178">E193/E$38</f>
        <v>2.3433515217329691E-2</v>
      </c>
      <c r="F195" s="43">
        <f t="shared" si="178"/>
        <v>4.3445118397867605E-2</v>
      </c>
      <c r="G195" s="43">
        <f t="shared" si="178"/>
        <v>5.1423716871597067E-2</v>
      </c>
      <c r="H195" s="557">
        <f>C195</f>
        <v>3.9434116828931456E-2</v>
      </c>
      <c r="I195" s="43">
        <f>H195</f>
        <v>3.9434116828931456E-2</v>
      </c>
      <c r="J195" s="43">
        <f t="shared" ref="J195:K195" si="179">I195</f>
        <v>3.9434116828931456E-2</v>
      </c>
      <c r="K195" s="43">
        <f t="shared" si="179"/>
        <v>3.9434116828931456E-2</v>
      </c>
      <c r="L195" s="1060">
        <f>K195</f>
        <v>3.9434116828931456E-2</v>
      </c>
      <c r="M195" s="550" t="s">
        <v>2170</v>
      </c>
    </row>
    <row r="196" spans="2:17" s="159" customFormat="1" ht="14.1" customHeight="1" x14ac:dyDescent="0.3">
      <c r="B196" s="403" t="s">
        <v>7524</v>
      </c>
      <c r="C196" s="557"/>
      <c r="D196" s="43"/>
      <c r="E196" s="43"/>
      <c r="F196" s="43"/>
      <c r="G196" s="43"/>
      <c r="H196" s="90">
        <f>'모델별 Mapping'!AQ93/10^6</f>
        <v>1214.870655405</v>
      </c>
      <c r="I196" s="90">
        <f>'모델별 Mapping'!AR93/10^6</f>
        <v>1897.4967434349001</v>
      </c>
      <c r="J196" s="43"/>
      <c r="K196" s="43"/>
      <c r="L196" s="1060"/>
      <c r="M196" s="37"/>
      <c r="N196" s="968" t="s">
        <v>2067</v>
      </c>
    </row>
    <row r="197" spans="2:17" s="159" customFormat="1" ht="14.1" customHeight="1" x14ac:dyDescent="0.3">
      <c r="B197" s="403"/>
      <c r="C197" s="43"/>
      <c r="D197" s="43"/>
      <c r="E197" s="43"/>
      <c r="F197" s="43"/>
      <c r="G197" s="43"/>
      <c r="H197" s="43"/>
      <c r="I197" s="43"/>
      <c r="J197" s="43"/>
      <c r="K197" s="43"/>
      <c r="L197" s="838"/>
      <c r="M197" s="37"/>
      <c r="N197" s="968" t="s">
        <v>2820</v>
      </c>
      <c r="Q197" s="809"/>
    </row>
    <row r="198" spans="2:17" s="159" customFormat="1" ht="14.1" customHeight="1" x14ac:dyDescent="0.3">
      <c r="B198" s="552" t="s">
        <v>2005</v>
      </c>
      <c r="C198" s="43"/>
      <c r="D198" s="90">
        <f>MC!D33/10^6</f>
        <v>0.24</v>
      </c>
      <c r="E198" s="90">
        <f>MC!I33/10^6</f>
        <v>1.9984480987117683</v>
      </c>
      <c r="F198" s="90">
        <f>MC!J33/10^6</f>
        <v>0.11691885137566711</v>
      </c>
      <c r="G198" s="90">
        <f>MC!K33/10^6</f>
        <v>3.5669248569878862</v>
      </c>
      <c r="H198" s="90">
        <f>H200*H$38</f>
        <v>3.3921111385819458</v>
      </c>
      <c r="I198" s="90">
        <f t="shared" ref="I198:L198" si="180">I200*I$38</f>
        <v>4.4770021251602676</v>
      </c>
      <c r="J198" s="90">
        <f t="shared" si="180"/>
        <v>5.0126609942461959</v>
      </c>
      <c r="K198" s="90">
        <f t="shared" si="180"/>
        <v>6.4203184928521297</v>
      </c>
      <c r="L198" s="808">
        <f t="shared" si="180"/>
        <v>7.3941129903223786</v>
      </c>
      <c r="M198" s="37"/>
      <c r="N198" s="968" t="s">
        <v>2846</v>
      </c>
      <c r="Q198" s="809"/>
    </row>
    <row r="199" spans="2:17" s="159" customFormat="1" ht="14.1" customHeight="1" x14ac:dyDescent="0.3">
      <c r="B199" s="402" t="s">
        <v>37</v>
      </c>
      <c r="C199" s="43"/>
      <c r="D199" s="554" t="e">
        <f>D198/C198-1</f>
        <v>#DIV/0!</v>
      </c>
      <c r="E199" s="554">
        <f>E198/D198-1</f>
        <v>7.3268670779657015</v>
      </c>
      <c r="F199" s="554">
        <f>F198/E198-1</f>
        <v>-0.94149517745743061</v>
      </c>
      <c r="G199" s="554">
        <f t="shared" ref="G199" si="181">G198/F198-1</f>
        <v>29.507696706043987</v>
      </c>
      <c r="H199" s="554">
        <f t="shared" ref="H199" si="182">H198/G198-1</f>
        <v>-4.9009644277609787E-2</v>
      </c>
      <c r="I199" s="554">
        <f t="shared" ref="I199" si="183">I198/H198-1</f>
        <v>0.31982766550268593</v>
      </c>
      <c r="J199" s="554">
        <f t="shared" ref="J199" si="184">J198/I198-1</f>
        <v>0.11964677570188842</v>
      </c>
      <c r="K199" s="554">
        <f t="shared" ref="K199" si="185">K198/J198-1</f>
        <v>0.28082040661072427</v>
      </c>
      <c r="L199" s="838"/>
      <c r="N199" s="981" t="s">
        <v>2899</v>
      </c>
      <c r="Q199" s="809"/>
    </row>
    <row r="200" spans="2:17" s="159" customFormat="1" ht="14.1" customHeight="1" x14ac:dyDescent="0.3">
      <c r="B200" s="403" t="s">
        <v>58</v>
      </c>
      <c r="C200" s="557">
        <f>CHOOSE($V$165,AVERAGE(D200:G200),AVERAGE(E200:G200), AVERAGE(F200:G200))</f>
        <v>2.4578516047325078E-5</v>
      </c>
      <c r="D200" s="43" t="e">
        <f>D198/D$38</f>
        <v>#REF!</v>
      </c>
      <c r="E200" s="43">
        <f t="shared" ref="E200:G200" si="186">E198/E$38</f>
        <v>3.2753712848608433E-5</v>
      </c>
      <c r="F200" s="43">
        <f t="shared" si="186"/>
        <v>1.4389522701219479E-6</v>
      </c>
      <c r="G200" s="43">
        <f t="shared" si="186"/>
        <v>3.9542883023244845E-5</v>
      </c>
      <c r="H200" s="557">
        <f>C200</f>
        <v>2.4578516047325078E-5</v>
      </c>
      <c r="I200" s="43">
        <f>H200</f>
        <v>2.4578516047325078E-5</v>
      </c>
      <c r="J200" s="43">
        <f t="shared" ref="J200:K200" si="187">I200</f>
        <v>2.4578516047325078E-5</v>
      </c>
      <c r="K200" s="43">
        <f t="shared" si="187"/>
        <v>2.4578516047325078E-5</v>
      </c>
      <c r="L200" s="1060">
        <f>K200</f>
        <v>2.4578516047325078E-5</v>
      </c>
      <c r="M200" s="550" t="s">
        <v>2170</v>
      </c>
      <c r="N200" s="981" t="s">
        <v>3279</v>
      </c>
      <c r="Q200" s="809"/>
    </row>
    <row r="201" spans="2:17" s="159" customFormat="1" ht="14.1" customHeight="1" x14ac:dyDescent="0.3">
      <c r="B201" s="403"/>
      <c r="C201" s="43"/>
      <c r="D201" s="43"/>
      <c r="E201" s="43"/>
      <c r="F201" s="43"/>
      <c r="G201" s="43"/>
      <c r="H201" s="43"/>
      <c r="I201" s="43"/>
      <c r="J201" s="43"/>
      <c r="K201" s="43"/>
      <c r="L201" s="838"/>
      <c r="Q201" s="809"/>
    </row>
    <row r="202" spans="2:17" s="159" customFormat="1" ht="14.1" customHeight="1" x14ac:dyDescent="0.3">
      <c r="B202" s="552" t="s">
        <v>2006</v>
      </c>
      <c r="C202" s="43"/>
      <c r="D202" s="90">
        <f>MC!D35/10^6</f>
        <v>8.8000000000000007</v>
      </c>
      <c r="E202" s="90">
        <f>MC!I35/10^6</f>
        <v>163.12332605734809</v>
      </c>
      <c r="F202" s="90">
        <f>MC!J35/10^6</f>
        <v>446.63975549266303</v>
      </c>
      <c r="G202" s="90">
        <f>MC!K35/10^6</f>
        <v>55.695500867285482</v>
      </c>
      <c r="H202" s="90">
        <f>H204*H$38</f>
        <v>404.27531896433504</v>
      </c>
      <c r="I202" s="90">
        <f t="shared" ref="I202:L202" si="188">I204*I$38</f>
        <v>533.57375044905211</v>
      </c>
      <c r="J202" s="90">
        <f t="shared" si="188"/>
        <v>597.41412928944521</v>
      </c>
      <c r="K202" s="90">
        <f t="shared" si="188"/>
        <v>765.18020799149895</v>
      </c>
      <c r="L202" s="808">
        <f t="shared" si="188"/>
        <v>881.23804483321146</v>
      </c>
      <c r="Q202" s="809"/>
    </row>
    <row r="203" spans="2:17" s="159" customFormat="1" ht="14.1" customHeight="1" x14ac:dyDescent="0.3">
      <c r="B203" s="402" t="s">
        <v>37</v>
      </c>
      <c r="C203" s="43"/>
      <c r="D203" s="554" t="e">
        <f>D202/C202-1</f>
        <v>#DIV/0!</v>
      </c>
      <c r="E203" s="554">
        <f>E202/D202-1</f>
        <v>17.53674159742592</v>
      </c>
      <c r="F203" s="554">
        <f>F202/E202-1</f>
        <v>1.7380495867012979</v>
      </c>
      <c r="G203" s="554">
        <f t="shared" ref="G203" si="189">G202/F202-1</f>
        <v>-0.87530106717470568</v>
      </c>
      <c r="H203" s="554">
        <f t="shared" ref="H203" si="190">H202/G202-1</f>
        <v>6.2586710357029745</v>
      </c>
      <c r="I203" s="554">
        <f t="shared" ref="I203" si="191">I202/H202-1</f>
        <v>0.31982766550268615</v>
      </c>
      <c r="J203" s="554">
        <f t="shared" ref="J203" si="192">J202/I202-1</f>
        <v>0.11964677570188842</v>
      </c>
      <c r="K203" s="554">
        <f t="shared" ref="K203" si="193">K202/J202-1</f>
        <v>0.28082040661072405</v>
      </c>
      <c r="L203" s="838"/>
      <c r="Q203" s="809"/>
    </row>
    <row r="204" spans="2:17" s="159" customFormat="1" ht="14.1" customHeight="1" x14ac:dyDescent="0.3">
      <c r="B204" s="403" t="s">
        <v>58</v>
      </c>
      <c r="C204" s="557">
        <f>CHOOSE($V$165,AVERAGE(D204:G204),AVERAGE(E204:G204), AVERAGE(F204:G204))</f>
        <v>2.9292930003632692E-3</v>
      </c>
      <c r="D204" s="43" t="e">
        <f>D202/D$38</f>
        <v>#REF!</v>
      </c>
      <c r="E204" s="43">
        <f t="shared" ref="E204:G204" si="194">E202/E$38</f>
        <v>2.6735218112676636E-3</v>
      </c>
      <c r="F204" s="43">
        <f t="shared" si="194"/>
        <v>5.4969175845550177E-3</v>
      </c>
      <c r="G204" s="43">
        <f t="shared" si="194"/>
        <v>6.1743960526712636E-4</v>
      </c>
      <c r="H204" s="557">
        <f>C204</f>
        <v>2.9292930003632692E-3</v>
      </c>
      <c r="I204" s="43">
        <f>H204</f>
        <v>2.9292930003632692E-3</v>
      </c>
      <c r="J204" s="43">
        <f t="shared" ref="J204:K204" si="195">I204</f>
        <v>2.9292930003632692E-3</v>
      </c>
      <c r="K204" s="43">
        <f t="shared" si="195"/>
        <v>2.9292930003632692E-3</v>
      </c>
      <c r="L204" s="1060">
        <f>K204</f>
        <v>2.9292930003632692E-3</v>
      </c>
      <c r="M204" s="550" t="s">
        <v>2170</v>
      </c>
      <c r="Q204" s="809"/>
    </row>
    <row r="205" spans="2:17" s="159" customFormat="1" ht="14.1" customHeight="1" thickBot="1" x14ac:dyDescent="0.35">
      <c r="B205" s="405"/>
      <c r="C205" s="406"/>
      <c r="D205" s="406"/>
      <c r="E205" s="406"/>
      <c r="F205" s="406"/>
      <c r="G205" s="406"/>
      <c r="H205" s="406"/>
      <c r="I205" s="406"/>
      <c r="J205" s="406"/>
      <c r="K205" s="406"/>
      <c r="L205" s="417"/>
      <c r="P205" s="809"/>
    </row>
    <row r="206" spans="2:17" s="159" customFormat="1" ht="14.1" customHeight="1" x14ac:dyDescent="0.3">
      <c r="J206" s="108"/>
      <c r="K206" s="108"/>
      <c r="P206" s="809"/>
    </row>
    <row r="207" spans="2:17" s="159" customFormat="1" ht="14.1" customHeight="1" x14ac:dyDescent="0.3">
      <c r="B207" s="392" t="s">
        <v>2070</v>
      </c>
      <c r="C207" s="393"/>
      <c r="D207" s="393"/>
      <c r="E207" s="393"/>
      <c r="F207" s="393"/>
      <c r="G207" s="393"/>
      <c r="H207" s="393"/>
      <c r="I207" s="393"/>
      <c r="J207" s="393"/>
      <c r="K207" s="394"/>
      <c r="L207" s="394"/>
      <c r="P207" s="809"/>
    </row>
    <row r="208" spans="2:17" s="65" customFormat="1" ht="14.1" customHeight="1" x14ac:dyDescent="0.3">
      <c r="B208" s="395" t="str">
        <f>unit</f>
        <v>KRW Million</v>
      </c>
      <c r="C208" s="396"/>
      <c r="D208" s="396">
        <f>'Pro forma'!D$5</f>
        <v>2014</v>
      </c>
      <c r="E208" s="396">
        <f>'Pro forma'!E$5</f>
        <v>2015</v>
      </c>
      <c r="F208" s="396">
        <f>'Pro forma'!F$5</f>
        <v>2016</v>
      </c>
      <c r="G208" s="397">
        <f>'Pro forma'!G$5</f>
        <v>2017</v>
      </c>
      <c r="H208" s="398">
        <f>'Pro forma'!H$5</f>
        <v>2018</v>
      </c>
      <c r="I208" s="398">
        <f>'Pro forma'!I$5</f>
        <v>2019</v>
      </c>
      <c r="J208" s="398">
        <f>'Pro forma'!J$5</f>
        <v>2020</v>
      </c>
      <c r="K208" s="399">
        <f>'Pro forma'!K$5</f>
        <v>2021</v>
      </c>
      <c r="L208" s="399">
        <v>2022</v>
      </c>
      <c r="P208" s="809"/>
    </row>
    <row r="209" spans="2:16" s="65" customFormat="1" ht="14.1" customHeight="1" x14ac:dyDescent="0.3">
      <c r="B209" s="408" t="s">
        <v>61</v>
      </c>
      <c r="C209" s="409"/>
      <c r="D209" s="410">
        <f>D213+D215+D217+D219+D221+D223+D225+D227+D229+D231+D233+D235+D237</f>
        <v>1068.745778</v>
      </c>
      <c r="E209" s="410">
        <f t="shared" ref="E209:G209" si="196">E213+E215+E217+E219+E221+E223+E225+E227+E229+E231+E233+E235+E237</f>
        <v>1281.9464883380481</v>
      </c>
      <c r="F209" s="410">
        <f t="shared" si="196"/>
        <v>1396.8330064384847</v>
      </c>
      <c r="G209" s="410">
        <f t="shared" si="196"/>
        <v>1319.6515319348957</v>
      </c>
      <c r="H209" s="410">
        <f t="shared" ref="H209:L209" si="197">H213+H215+H217+H219+H221+H223+H225+H227+H229+H231+H233+H235+H237</f>
        <v>1340.765956445854</v>
      </c>
      <c r="I209" s="410">
        <f t="shared" si="197"/>
        <v>1359.536679836096</v>
      </c>
      <c r="J209" s="410">
        <f t="shared" si="197"/>
        <v>1378.5701933538014</v>
      </c>
      <c r="K209" s="410">
        <f t="shared" si="197"/>
        <v>1402.0058866408158</v>
      </c>
      <c r="L209" s="411">
        <f t="shared" si="197"/>
        <v>1425.8399867137098</v>
      </c>
      <c r="P209" s="809"/>
    </row>
    <row r="210" spans="2:16" s="80" customFormat="1" ht="14.1" customHeight="1" x14ac:dyDescent="0.3">
      <c r="B210" s="402" t="s">
        <v>37</v>
      </c>
      <c r="C210" s="58"/>
      <c r="D210" s="554" t="e">
        <f>D209/C209-1</f>
        <v>#DIV/0!</v>
      </c>
      <c r="E210" s="554">
        <f>E209/D209-1</f>
        <v>0.19948683281539759</v>
      </c>
      <c r="F210" s="554">
        <f>F209/E209-1</f>
        <v>8.9618809478840822E-2</v>
      </c>
      <c r="G210" s="554">
        <f t="shared" ref="G210" si="198">G209/F209-1</f>
        <v>-5.5254618231265318E-2</v>
      </c>
      <c r="H210" s="554">
        <f t="shared" ref="H210" si="199">H209/G209-1</f>
        <v>1.6000000000000014E-2</v>
      </c>
      <c r="I210" s="554">
        <f t="shared" ref="I210" si="200">I209/H209-1</f>
        <v>1.4000000000000012E-2</v>
      </c>
      <c r="J210" s="554">
        <f t="shared" ref="J210" si="201">J209/I209-1</f>
        <v>1.4000000000000012E-2</v>
      </c>
      <c r="K210" s="554">
        <f t="shared" ref="K210" si="202">K209/J209-1</f>
        <v>1.6999999999999904E-2</v>
      </c>
      <c r="L210" s="1061"/>
    </row>
    <row r="211" spans="2:16" s="159" customFormat="1" ht="14.1" customHeight="1" x14ac:dyDescent="0.3">
      <c r="B211" s="403" t="s">
        <v>58</v>
      </c>
      <c r="C211" s="43"/>
      <c r="D211" s="43" t="e">
        <f>D209/D$38</f>
        <v>#REF!</v>
      </c>
      <c r="E211" s="43">
        <f t="shared" ref="E211:K211" si="203">E209/E$38</f>
        <v>2.1010556738187424E-2</v>
      </c>
      <c r="F211" s="43">
        <f t="shared" si="203"/>
        <v>1.7191205711880906E-2</v>
      </c>
      <c r="G211" s="43">
        <f t="shared" si="203"/>
        <v>1.4629639886166142E-2</v>
      </c>
      <c r="H211" s="43">
        <f t="shared" si="203"/>
        <v>9.7149050340337145E-3</v>
      </c>
      <c r="I211" s="43">
        <f t="shared" si="203"/>
        <v>7.4637878580596697E-3</v>
      </c>
      <c r="J211" s="43">
        <f t="shared" si="203"/>
        <v>6.7595254613474617E-3</v>
      </c>
      <c r="K211" s="43">
        <f t="shared" si="203"/>
        <v>5.3672141376801888E-3</v>
      </c>
      <c r="L211" s="1062"/>
    </row>
    <row r="212" spans="2:16" s="159" customFormat="1" ht="14.1" customHeight="1" x14ac:dyDescent="0.3">
      <c r="B212" s="403"/>
      <c r="C212" s="43"/>
      <c r="D212" s="43"/>
      <c r="E212" s="43"/>
      <c r="F212" s="43"/>
      <c r="G212" s="43"/>
      <c r="H212" s="43"/>
      <c r="I212" s="43"/>
      <c r="J212" s="43"/>
      <c r="K212" s="43"/>
      <c r="L212" s="1062"/>
    </row>
    <row r="213" spans="2:16" s="159" customFormat="1" ht="14.1" customHeight="1" x14ac:dyDescent="0.3">
      <c r="B213" s="552" t="s">
        <v>2007</v>
      </c>
      <c r="C213" s="43"/>
      <c r="D213" s="90">
        <f>MC!D16/10^6</f>
        <v>29.771253000000002</v>
      </c>
      <c r="E213" s="90">
        <f>MC!I16/10^6</f>
        <v>34.019809807453683</v>
      </c>
      <c r="F213" s="90">
        <f>MC!J16/10^6</f>
        <v>20.365123320337275</v>
      </c>
      <c r="G213" s="90">
        <f>MC!K16/10^6</f>
        <v>11.998455613156592</v>
      </c>
      <c r="H213" s="90">
        <f>G213*(1+H$35)</f>
        <v>12.190430902967098</v>
      </c>
      <c r="I213" s="90">
        <f t="shared" ref="I213:L237" si="204">H213*(1+I$35)</f>
        <v>12.361096935608638</v>
      </c>
      <c r="J213" s="90">
        <f t="shared" si="204"/>
        <v>12.534152292707159</v>
      </c>
      <c r="K213" s="90">
        <f t="shared" si="204"/>
        <v>12.747232881683178</v>
      </c>
      <c r="L213" s="808">
        <f t="shared" si="204"/>
        <v>12.963935840671791</v>
      </c>
    </row>
    <row r="214" spans="2:16" s="159" customFormat="1" ht="14.1" customHeight="1" x14ac:dyDescent="0.3">
      <c r="B214" s="402" t="s">
        <v>37</v>
      </c>
      <c r="C214" s="43"/>
      <c r="D214" s="554" t="e">
        <f>D213/C213-1</f>
        <v>#DIV/0!</v>
      </c>
      <c r="E214" s="554">
        <f>E213/D213-1</f>
        <v>0.14270668444669354</v>
      </c>
      <c r="F214" s="554">
        <f>F213/E213-1</f>
        <v>-0.40137456865278209</v>
      </c>
      <c r="G214" s="554">
        <f t="shared" ref="G214" si="205">G213/F213-1</f>
        <v>-0.41083314721818831</v>
      </c>
      <c r="H214" s="554">
        <f t="shared" ref="H214" si="206">H213/G213-1</f>
        <v>1.6000000000000014E-2</v>
      </c>
      <c r="I214" s="554">
        <f t="shared" ref="I214" si="207">I213/H213-1</f>
        <v>1.4000000000000012E-2</v>
      </c>
      <c r="J214" s="554">
        <f t="shared" ref="J214" si="208">J213/I213-1</f>
        <v>1.4000000000000012E-2</v>
      </c>
      <c r="K214" s="554">
        <f t="shared" ref="K214" si="209">K213/J213-1</f>
        <v>1.6999999999999904E-2</v>
      </c>
      <c r="L214" s="1062"/>
    </row>
    <row r="215" spans="2:16" s="159" customFormat="1" ht="14.1" customHeight="1" x14ac:dyDescent="0.3">
      <c r="B215" s="552" t="s">
        <v>2008</v>
      </c>
      <c r="C215" s="43"/>
      <c r="D215" s="90">
        <f>MC!D17/10^6</f>
        <v>214.484004</v>
      </c>
      <c r="E215" s="90">
        <f>MC!I17/10^6</f>
        <v>232.28210658425556</v>
      </c>
      <c r="F215" s="90">
        <f>MC!J17/10^6</f>
        <v>207.66375080293528</v>
      </c>
      <c r="G215" s="90">
        <f>MC!K17/10^6</f>
        <v>266.06155866690506</v>
      </c>
      <c r="H215" s="90">
        <f>G215*(1+H$35)</f>
        <v>270.31854360557554</v>
      </c>
      <c r="I215" s="90">
        <f t="shared" si="204"/>
        <v>274.10300321605359</v>
      </c>
      <c r="J215" s="90">
        <f t="shared" si="204"/>
        <v>277.94044526107837</v>
      </c>
      <c r="K215" s="90">
        <f t="shared" si="204"/>
        <v>282.66543283051669</v>
      </c>
      <c r="L215" s="808">
        <f t="shared" si="204"/>
        <v>287.47074518863548</v>
      </c>
      <c r="M215" s="891" t="s">
        <v>2152</v>
      </c>
    </row>
    <row r="216" spans="2:16" s="159" customFormat="1" ht="14.1" customHeight="1" x14ac:dyDescent="0.3">
      <c r="B216" s="402" t="s">
        <v>37</v>
      </c>
      <c r="C216" s="43"/>
      <c r="D216" s="554" t="e">
        <f>D215/C215-1</f>
        <v>#DIV/0!</v>
      </c>
      <c r="E216" s="554">
        <f>E215/D215-1</f>
        <v>8.2981025402041553E-2</v>
      </c>
      <c r="F216" s="554">
        <f>F215/E215-1</f>
        <v>-0.10598472755106714</v>
      </c>
      <c r="G216" s="554">
        <f t="shared" ref="G216" si="210">G215/F215-1</f>
        <v>0.28121329619721158</v>
      </c>
      <c r="H216" s="554">
        <f t="shared" ref="H216" si="211">H215/G215-1</f>
        <v>1.6000000000000014E-2</v>
      </c>
      <c r="I216" s="554">
        <f t="shared" ref="I216" si="212">I215/H215-1</f>
        <v>1.4000000000000012E-2</v>
      </c>
      <c r="J216" s="554">
        <f t="shared" ref="J216" si="213">J215/I215-1</f>
        <v>1.4000000000000012E-2</v>
      </c>
      <c r="K216" s="554">
        <f t="shared" ref="K216" si="214">K215/J215-1</f>
        <v>1.6999999999999904E-2</v>
      </c>
      <c r="L216" s="838"/>
      <c r="M216" s="173"/>
    </row>
    <row r="217" spans="2:16" s="159" customFormat="1" ht="14.1" customHeight="1" x14ac:dyDescent="0.3">
      <c r="B217" s="552" t="s">
        <v>2009</v>
      </c>
      <c r="C217" s="43"/>
      <c r="D217" s="90">
        <f>MC!D18/10^6</f>
        <v>131.24664000000001</v>
      </c>
      <c r="E217" s="90">
        <f>MC!I18/10^6</f>
        <v>149.50102449936526</v>
      </c>
      <c r="F217" s="90">
        <f>MC!J18/10^6</f>
        <v>150.98101521169252</v>
      </c>
      <c r="G217" s="90">
        <f>MC!K18/10^6</f>
        <v>169.71845683137892</v>
      </c>
      <c r="H217" s="90">
        <f>G217*(1+H$35)</f>
        <v>172.43395214068099</v>
      </c>
      <c r="I217" s="90">
        <f t="shared" si="204"/>
        <v>174.84802747065052</v>
      </c>
      <c r="J217" s="90">
        <f t="shared" si="204"/>
        <v>177.29589985523964</v>
      </c>
      <c r="K217" s="90">
        <f t="shared" si="204"/>
        <v>180.30993015277869</v>
      </c>
      <c r="L217" s="808">
        <f t="shared" si="204"/>
        <v>183.37519896537592</v>
      </c>
      <c r="M217" s="173"/>
    </row>
    <row r="218" spans="2:16" s="159" customFormat="1" ht="14.1" customHeight="1" x14ac:dyDescent="0.3">
      <c r="B218" s="402" t="s">
        <v>37</v>
      </c>
      <c r="C218" s="43"/>
      <c r="D218" s="554" t="e">
        <f>D217/C217-1</f>
        <v>#DIV/0!</v>
      </c>
      <c r="E218" s="554">
        <f>E217/D217-1</f>
        <v>0.13908458532245271</v>
      </c>
      <c r="F218" s="554">
        <f>F217/E217-1</f>
        <v>9.8995355870190593E-3</v>
      </c>
      <c r="G218" s="554">
        <f t="shared" ref="G218" si="215">G217/F217-1</f>
        <v>0.12410462065985173</v>
      </c>
      <c r="H218" s="554">
        <f t="shared" ref="H218" si="216">H217/G217-1</f>
        <v>1.6000000000000014E-2</v>
      </c>
      <c r="I218" s="554">
        <f t="shared" ref="I218" si="217">I217/H217-1</f>
        <v>1.4000000000000012E-2</v>
      </c>
      <c r="J218" s="554">
        <f t="shared" ref="J218" si="218">J217/I217-1</f>
        <v>1.4000000000000012E-2</v>
      </c>
      <c r="K218" s="554">
        <f t="shared" ref="K218" si="219">K217/J217-1</f>
        <v>1.6999999999999904E-2</v>
      </c>
      <c r="L218" s="838"/>
      <c r="M218" s="173"/>
    </row>
    <row r="219" spans="2:16" s="159" customFormat="1" ht="14.1" customHeight="1" x14ac:dyDescent="0.3">
      <c r="B219" s="552" t="s">
        <v>2010</v>
      </c>
      <c r="C219" s="43"/>
      <c r="D219" s="90">
        <f>MC!D20/10^6</f>
        <v>94.522099999999995</v>
      </c>
      <c r="E219" s="90">
        <f>MC!I20/10^6</f>
        <v>136.68435732341609</v>
      </c>
      <c r="F219" s="90">
        <f>MC!J20/10^6</f>
        <v>111.16615159085586</v>
      </c>
      <c r="G219" s="90">
        <f>MC!K20/10^6</f>
        <v>89.533030979038102</v>
      </c>
      <c r="H219" s="90">
        <f>G219*(1+H$35)</f>
        <v>90.965559474702715</v>
      </c>
      <c r="I219" s="90">
        <f t="shared" si="204"/>
        <v>92.239077307348552</v>
      </c>
      <c r="J219" s="90">
        <f t="shared" si="204"/>
        <v>93.530424389651429</v>
      </c>
      <c r="K219" s="90">
        <f t="shared" si="204"/>
        <v>95.120441604275499</v>
      </c>
      <c r="L219" s="808">
        <f t="shared" si="204"/>
        <v>96.737489111548172</v>
      </c>
      <c r="M219" s="173"/>
    </row>
    <row r="220" spans="2:16" s="159" customFormat="1" ht="14.1" customHeight="1" x14ac:dyDescent="0.3">
      <c r="B220" s="402" t="s">
        <v>37</v>
      </c>
      <c r="C220" s="43"/>
      <c r="D220" s="554" t="e">
        <f>D219/C219-1</f>
        <v>#DIV/0!</v>
      </c>
      <c r="E220" s="554">
        <f>E219/D219-1</f>
        <v>0.44605713715010675</v>
      </c>
      <c r="F220" s="554">
        <f>F219/E219-1</f>
        <v>-0.1866944120912114</v>
      </c>
      <c r="G220" s="554">
        <f t="shared" ref="G220" si="220">G219/F219-1</f>
        <v>-0.19460168677456691</v>
      </c>
      <c r="H220" s="554">
        <f t="shared" ref="H220" si="221">H219/G219-1</f>
        <v>1.6000000000000014E-2</v>
      </c>
      <c r="I220" s="554">
        <f t="shared" ref="I220" si="222">I219/H219-1</f>
        <v>1.4000000000000012E-2</v>
      </c>
      <c r="J220" s="554">
        <f t="shared" ref="J220" si="223">J219/I219-1</f>
        <v>1.4000000000000012E-2</v>
      </c>
      <c r="K220" s="554">
        <f t="shared" ref="K220" si="224">K219/J219-1</f>
        <v>1.6999999999999904E-2</v>
      </c>
      <c r="L220" s="838"/>
      <c r="M220" s="173"/>
    </row>
    <row r="221" spans="2:16" s="159" customFormat="1" ht="14.1" customHeight="1" x14ac:dyDescent="0.3">
      <c r="B221" s="552" t="s">
        <v>2011</v>
      </c>
      <c r="C221" s="43"/>
      <c r="D221" s="90">
        <f>MC!D21/10^6</f>
        <v>88.510991000000004</v>
      </c>
      <c r="E221" s="90">
        <f>MC!I21/10^6</f>
        <v>125.12645664829869</v>
      </c>
      <c r="F221" s="90">
        <f>MC!J21/10^6</f>
        <v>101.68849514711677</v>
      </c>
      <c r="G221" s="90">
        <f>MC!K21/10^6</f>
        <v>94.166982104582061</v>
      </c>
      <c r="H221" s="90">
        <f>G221*(1+H$35)</f>
        <v>95.673653818255374</v>
      </c>
      <c r="I221" s="90">
        <f t="shared" si="204"/>
        <v>97.013084971710953</v>
      </c>
      <c r="J221" s="90">
        <f t="shared" si="204"/>
        <v>98.371268161314902</v>
      </c>
      <c r="K221" s="90">
        <f t="shared" si="204"/>
        <v>100.04357972005725</v>
      </c>
      <c r="L221" s="808">
        <f t="shared" si="204"/>
        <v>101.74432057529822</v>
      </c>
      <c r="M221" s="173"/>
    </row>
    <row r="222" spans="2:16" s="159" customFormat="1" ht="14.1" customHeight="1" x14ac:dyDescent="0.3">
      <c r="B222" s="402" t="s">
        <v>37</v>
      </c>
      <c r="C222" s="43"/>
      <c r="D222" s="554" t="e">
        <f>D221/C221-1</f>
        <v>#DIV/0!</v>
      </c>
      <c r="E222" s="554">
        <f>E221/D221-1</f>
        <v>0.41368269900286947</v>
      </c>
      <c r="F222" s="554">
        <f>F221/E221-1</f>
        <v>-0.18731419500722035</v>
      </c>
      <c r="G222" s="554">
        <f t="shared" ref="G222" si="225">G221/F221-1</f>
        <v>-7.3966214483290771E-2</v>
      </c>
      <c r="H222" s="554">
        <f t="shared" ref="H222" si="226">H221/G221-1</f>
        <v>1.6000000000000014E-2</v>
      </c>
      <c r="I222" s="554">
        <f t="shared" ref="I222" si="227">I221/H221-1</f>
        <v>1.4000000000000012E-2</v>
      </c>
      <c r="J222" s="554">
        <f t="shared" ref="J222" si="228">J221/I221-1</f>
        <v>1.4000000000000012E-2</v>
      </c>
      <c r="K222" s="554">
        <f t="shared" ref="K222" si="229">K221/J221-1</f>
        <v>1.6999999999999904E-2</v>
      </c>
      <c r="L222" s="838"/>
      <c r="M222" s="173"/>
    </row>
    <row r="223" spans="2:16" s="159" customFormat="1" ht="14.1" customHeight="1" x14ac:dyDescent="0.3">
      <c r="B223" s="552" t="s">
        <v>2012</v>
      </c>
      <c r="C223" s="43"/>
      <c r="D223" s="90">
        <f>MC!D22/10^6</f>
        <v>107.486397</v>
      </c>
      <c r="E223" s="90">
        <f>MC!I22/10^6</f>
        <v>163.2182583373812</v>
      </c>
      <c r="F223" s="90">
        <f>MC!J22/10^6</f>
        <v>172.22974203374002</v>
      </c>
      <c r="G223" s="90">
        <f>MC!K22/10^6</f>
        <v>163.36305629675434</v>
      </c>
      <c r="H223" s="90">
        <f>G223*(1+H$35)</f>
        <v>165.97686519750241</v>
      </c>
      <c r="I223" s="90">
        <f t="shared" si="204"/>
        <v>168.30054131026745</v>
      </c>
      <c r="J223" s="90">
        <f t="shared" si="204"/>
        <v>170.65674888861119</v>
      </c>
      <c r="K223" s="90">
        <f t="shared" si="204"/>
        <v>173.55791361971757</v>
      </c>
      <c r="L223" s="808">
        <f t="shared" si="204"/>
        <v>176.50839815125275</v>
      </c>
      <c r="M223" s="173"/>
    </row>
    <row r="224" spans="2:16" s="159" customFormat="1" ht="14.1" customHeight="1" x14ac:dyDescent="0.3">
      <c r="B224" s="402" t="s">
        <v>37</v>
      </c>
      <c r="C224" s="43"/>
      <c r="D224" s="554" t="e">
        <f>D223/C223-1</f>
        <v>#DIV/0!</v>
      </c>
      <c r="E224" s="554">
        <f>E223/D223-1</f>
        <v>0.51850153035998781</v>
      </c>
      <c r="F224" s="554">
        <f>F223/E223-1</f>
        <v>5.5211247737563696E-2</v>
      </c>
      <c r="G224" s="554">
        <f t="shared" ref="G224" si="230">G223/F223-1</f>
        <v>-5.1481733829971676E-2</v>
      </c>
      <c r="H224" s="554">
        <f t="shared" ref="H224" si="231">H223/G223-1</f>
        <v>1.6000000000000014E-2</v>
      </c>
      <c r="I224" s="554">
        <f t="shared" ref="I224" si="232">I223/H223-1</f>
        <v>1.4000000000000012E-2</v>
      </c>
      <c r="J224" s="554">
        <f t="shared" ref="J224" si="233">J223/I223-1</f>
        <v>1.4000000000000012E-2</v>
      </c>
      <c r="K224" s="554">
        <f t="shared" ref="K224" si="234">K223/J223-1</f>
        <v>1.6999999999999904E-2</v>
      </c>
      <c r="L224" s="838"/>
      <c r="M224" s="173"/>
    </row>
    <row r="225" spans="2:13" s="159" customFormat="1" ht="14.1" customHeight="1" x14ac:dyDescent="0.3">
      <c r="B225" s="552" t="s">
        <v>2013</v>
      </c>
      <c r="C225" s="43"/>
      <c r="D225" s="90">
        <f>MC!D23/10^6</f>
        <v>9.6762339999999991</v>
      </c>
      <c r="E225" s="90">
        <f>MC!I23/10^6</f>
        <v>2.9464119543356961</v>
      </c>
      <c r="F225" s="90">
        <f>MC!J23/10^6</f>
        <v>3.0983495614551786</v>
      </c>
      <c r="G225" s="90">
        <f>MC!K23/10^6</f>
        <v>6.4545656701850236</v>
      </c>
      <c r="H225" s="90">
        <f>G225*(1+H$35)</f>
        <v>6.5578387209079843</v>
      </c>
      <c r="I225" s="90">
        <f t="shared" si="204"/>
        <v>6.6496484630006965</v>
      </c>
      <c r="J225" s="90">
        <f t="shared" si="204"/>
        <v>6.7427435414827066</v>
      </c>
      <c r="K225" s="90">
        <f t="shared" si="204"/>
        <v>6.8573701816879122</v>
      </c>
      <c r="L225" s="808">
        <f t="shared" si="204"/>
        <v>6.9739454747766061</v>
      </c>
      <c r="M225" s="891" t="s">
        <v>2151</v>
      </c>
    </row>
    <row r="226" spans="2:13" s="159" customFormat="1" ht="14.1" customHeight="1" x14ac:dyDescent="0.3">
      <c r="B226" s="402" t="s">
        <v>37</v>
      </c>
      <c r="C226" s="43"/>
      <c r="D226" s="554" t="e">
        <f>D225/C225-1</f>
        <v>#DIV/0!</v>
      </c>
      <c r="E226" s="554">
        <f>E225/D225-1</f>
        <v>-0.6955001342117505</v>
      </c>
      <c r="F226" s="554">
        <f>F225/E225-1</f>
        <v>5.1566993846839271E-2</v>
      </c>
      <c r="G226" s="554">
        <f t="shared" ref="G226" si="235">G225/F225-1</f>
        <v>1.0832270672369053</v>
      </c>
      <c r="H226" s="554">
        <f t="shared" ref="H226" si="236">H225/G225-1</f>
        <v>1.6000000000000014E-2</v>
      </c>
      <c r="I226" s="554">
        <f t="shared" ref="I226" si="237">I225/H225-1</f>
        <v>1.4000000000000012E-2</v>
      </c>
      <c r="J226" s="554">
        <f t="shared" ref="J226" si="238">J225/I225-1</f>
        <v>1.4000000000000012E-2</v>
      </c>
      <c r="K226" s="554">
        <f t="shared" ref="K226" si="239">K225/J225-1</f>
        <v>1.6999999999999904E-2</v>
      </c>
      <c r="L226" s="838"/>
      <c r="M226" s="173"/>
    </row>
    <row r="227" spans="2:13" s="159" customFormat="1" ht="14.1" customHeight="1" x14ac:dyDescent="0.3">
      <c r="B227" s="552" t="s">
        <v>2014</v>
      </c>
      <c r="C227" s="43"/>
      <c r="D227" s="90">
        <f>MC!D26/10^6</f>
        <v>2.3130000000000002</v>
      </c>
      <c r="E227" s="90">
        <f>MC!I26/10^6</f>
        <v>4.404771460578214</v>
      </c>
      <c r="F227" s="90">
        <f>MC!J26/10^6</f>
        <v>1.3640532660494498</v>
      </c>
      <c r="G227" s="90">
        <f>MC!K26/10^6</f>
        <v>4.3294706585733742</v>
      </c>
      <c r="H227" s="90">
        <f>G227*(1+H$35)</f>
        <v>4.398742189110548</v>
      </c>
      <c r="I227" s="90">
        <f t="shared" si="204"/>
        <v>4.4603245797580957</v>
      </c>
      <c r="J227" s="90">
        <f t="shared" si="204"/>
        <v>4.522769123874709</v>
      </c>
      <c r="K227" s="90">
        <f t="shared" si="204"/>
        <v>4.5996561989805782</v>
      </c>
      <c r="L227" s="808">
        <f t="shared" si="204"/>
        <v>4.6778503543632475</v>
      </c>
      <c r="M227" s="891" t="s">
        <v>2153</v>
      </c>
    </row>
    <row r="228" spans="2:13" s="159" customFormat="1" ht="14.1" customHeight="1" x14ac:dyDescent="0.3">
      <c r="B228" s="402" t="s">
        <v>37</v>
      </c>
      <c r="C228" s="43"/>
      <c r="D228" s="554" t="e">
        <f>D227/C227-1</f>
        <v>#DIV/0!</v>
      </c>
      <c r="E228" s="554">
        <f>E227/D227-1</f>
        <v>0.9043542847290158</v>
      </c>
      <c r="F228" s="554">
        <f>F227/E227-1</f>
        <v>-0.69032371412286841</v>
      </c>
      <c r="G228" s="554">
        <f t="shared" ref="G228" si="240">G227/F227-1</f>
        <v>2.1739747752756906</v>
      </c>
      <c r="H228" s="554">
        <f t="shared" ref="H228" si="241">H227/G227-1</f>
        <v>1.6000000000000014E-2</v>
      </c>
      <c r="I228" s="554">
        <f t="shared" ref="I228" si="242">I227/H227-1</f>
        <v>1.4000000000000012E-2</v>
      </c>
      <c r="J228" s="554">
        <f t="shared" ref="J228" si="243">J227/I227-1</f>
        <v>1.4000000000000012E-2</v>
      </c>
      <c r="K228" s="554">
        <f t="shared" ref="K228" si="244">K227/J227-1</f>
        <v>1.6999999999999904E-2</v>
      </c>
      <c r="L228" s="838"/>
      <c r="M228" s="173"/>
    </row>
    <row r="229" spans="2:13" s="159" customFormat="1" ht="14.1" customHeight="1" x14ac:dyDescent="0.3">
      <c r="B229" s="552" t="s">
        <v>2015</v>
      </c>
      <c r="C229" s="43"/>
      <c r="D229" s="90">
        <f>MC!D27/10^6</f>
        <v>1.0313000000000001</v>
      </c>
      <c r="E229" s="90">
        <f>MC!I27/10^6</f>
        <v>0.45344787359770028</v>
      </c>
      <c r="F229" s="90">
        <f>MC!J27/10^6</f>
        <v>3.7875481916880394</v>
      </c>
      <c r="G229" s="90">
        <f>MC!K27/10^6</f>
        <v>1.7200801442398115</v>
      </c>
      <c r="H229" s="90">
        <f>G229*(1+H$35)</f>
        <v>1.7476014265476485</v>
      </c>
      <c r="I229" s="90">
        <f t="shared" si="204"/>
        <v>1.7720678465193156</v>
      </c>
      <c r="J229" s="90">
        <f t="shared" si="204"/>
        <v>1.7968767963705861</v>
      </c>
      <c r="K229" s="90">
        <f t="shared" si="204"/>
        <v>1.8274237019088859</v>
      </c>
      <c r="L229" s="808">
        <f t="shared" si="204"/>
        <v>1.8584899048413368</v>
      </c>
      <c r="M229" s="173"/>
    </row>
    <row r="230" spans="2:13" s="159" customFormat="1" ht="14.1" customHeight="1" x14ac:dyDescent="0.3">
      <c r="B230" s="402" t="s">
        <v>37</v>
      </c>
      <c r="C230" s="43"/>
      <c r="D230" s="554" t="e">
        <f>D229/C229-1</f>
        <v>#DIV/0!</v>
      </c>
      <c r="E230" s="554">
        <f>E229/D229-1</f>
        <v>-0.56031428915184689</v>
      </c>
      <c r="F230" s="554">
        <f>F229/E229-1</f>
        <v>7.3527752851441495</v>
      </c>
      <c r="G230" s="554">
        <f t="shared" ref="G230" si="245">G229/F229-1</f>
        <v>-0.5458592056954914</v>
      </c>
      <c r="H230" s="554">
        <f t="shared" ref="H230" si="246">H229/G229-1</f>
        <v>1.6000000000000014E-2</v>
      </c>
      <c r="I230" s="554">
        <f t="shared" ref="I230" si="247">I229/H229-1</f>
        <v>1.4000000000000012E-2</v>
      </c>
      <c r="J230" s="554">
        <f t="shared" ref="J230" si="248">J229/I229-1</f>
        <v>1.4000000000000012E-2</v>
      </c>
      <c r="K230" s="554">
        <f t="shared" ref="K230" si="249">K229/J229-1</f>
        <v>1.6999999999999904E-2</v>
      </c>
      <c r="L230" s="838"/>
      <c r="M230" s="173"/>
    </row>
    <row r="231" spans="2:13" s="159" customFormat="1" ht="14.1" customHeight="1" x14ac:dyDescent="0.3">
      <c r="B231" s="552" t="s">
        <v>2016</v>
      </c>
      <c r="C231" s="43"/>
      <c r="D231" s="90">
        <f>MC!D29/10^6</f>
        <v>4.3656230000000003</v>
      </c>
      <c r="E231" s="90">
        <f>MC!I29/10^6</f>
        <v>5.807714001043454</v>
      </c>
      <c r="F231" s="90">
        <f>MC!J29/10^6</f>
        <v>3.4570741353034316</v>
      </c>
      <c r="G231" s="90">
        <f>MC!K29/10^6</f>
        <v>3.9116046073100827</v>
      </c>
      <c r="H231" s="90">
        <f>G231*(1+H$35)</f>
        <v>3.974190281027044</v>
      </c>
      <c r="I231" s="90">
        <f t="shared" si="204"/>
        <v>4.0298289449614231</v>
      </c>
      <c r="J231" s="90">
        <f t="shared" si="204"/>
        <v>4.0862465501908831</v>
      </c>
      <c r="K231" s="90">
        <f t="shared" si="204"/>
        <v>4.1557127415441277</v>
      </c>
      <c r="L231" s="808">
        <f t="shared" si="204"/>
        <v>4.2263598581503778</v>
      </c>
      <c r="M231" s="173"/>
    </row>
    <row r="232" spans="2:13" s="159" customFormat="1" ht="14.1" customHeight="1" x14ac:dyDescent="0.3">
      <c r="B232" s="402" t="s">
        <v>37</v>
      </c>
      <c r="C232" s="43"/>
      <c r="D232" s="554" t="e">
        <f>D231/C231-1</f>
        <v>#DIV/0!</v>
      </c>
      <c r="E232" s="554">
        <f>E231/D231-1</f>
        <v>0.33032879867167964</v>
      </c>
      <c r="F232" s="554">
        <f>F231/E231-1</f>
        <v>-0.40474442531393429</v>
      </c>
      <c r="G232" s="554">
        <f t="shared" ref="G232" si="250">G231/F231-1</f>
        <v>0.13147836992126183</v>
      </c>
      <c r="H232" s="554">
        <f t="shared" ref="H232" si="251">H231/G231-1</f>
        <v>1.6000000000000014E-2</v>
      </c>
      <c r="I232" s="554">
        <f t="shared" ref="I232" si="252">I231/H231-1</f>
        <v>1.4000000000000234E-2</v>
      </c>
      <c r="J232" s="554">
        <f t="shared" ref="J232" si="253">J231/I231-1</f>
        <v>1.4000000000000012E-2</v>
      </c>
      <c r="K232" s="554">
        <f t="shared" ref="K232" si="254">K231/J231-1</f>
        <v>1.6999999999999904E-2</v>
      </c>
      <c r="L232" s="838"/>
      <c r="M232" s="173"/>
    </row>
    <row r="233" spans="2:13" s="159" customFormat="1" ht="14.1" customHeight="1" x14ac:dyDescent="0.3">
      <c r="B233" s="552" t="s">
        <v>2017</v>
      </c>
      <c r="C233" s="43"/>
      <c r="D233" s="90">
        <f>MC!D30/10^6</f>
        <v>312.46475600000002</v>
      </c>
      <c r="E233" s="90">
        <f>MC!I30/10^6</f>
        <v>329.22465054045608</v>
      </c>
      <c r="F233" s="90">
        <f>MC!J30/10^6</f>
        <v>524.94277432374008</v>
      </c>
      <c r="G233" s="90">
        <f>MC!K30/10^6</f>
        <v>368.45440734536481</v>
      </c>
      <c r="H233" s="90">
        <f>G233*(1+H$35)</f>
        <v>374.34967786289064</v>
      </c>
      <c r="I233" s="90">
        <f t="shared" si="204"/>
        <v>379.59057335297109</v>
      </c>
      <c r="J233" s="90">
        <f t="shared" si="204"/>
        <v>384.90484137991268</v>
      </c>
      <c r="K233" s="90">
        <f t="shared" si="204"/>
        <v>391.44822368337117</v>
      </c>
      <c r="L233" s="808">
        <f t="shared" si="204"/>
        <v>398.10284348598844</v>
      </c>
      <c r="M233" s="891" t="s">
        <v>2154</v>
      </c>
    </row>
    <row r="234" spans="2:13" s="159" customFormat="1" ht="14.1" customHeight="1" x14ac:dyDescent="0.3">
      <c r="B234" s="402" t="s">
        <v>37</v>
      </c>
      <c r="C234" s="43"/>
      <c r="D234" s="554" t="e">
        <f>D233/C233-1</f>
        <v>#DIV/0!</v>
      </c>
      <c r="E234" s="554">
        <f>E233/D233-1</f>
        <v>5.3637711833510071E-2</v>
      </c>
      <c r="F234" s="554">
        <f>F233/E233-1</f>
        <v>0.59448198505790062</v>
      </c>
      <c r="G234" s="554">
        <f t="shared" ref="G234" si="255">G233/F233-1</f>
        <v>-0.29810557385035374</v>
      </c>
      <c r="H234" s="554">
        <f t="shared" ref="H234" si="256">H233/G233-1</f>
        <v>1.6000000000000014E-2</v>
      </c>
      <c r="I234" s="554">
        <f t="shared" ref="I234" si="257">I233/H233-1</f>
        <v>1.4000000000000012E-2</v>
      </c>
      <c r="J234" s="554">
        <f t="shared" ref="J234" si="258">J233/I233-1</f>
        <v>1.4000000000000012E-2</v>
      </c>
      <c r="K234" s="554">
        <f t="shared" ref="K234" si="259">K233/J233-1</f>
        <v>1.6999999999999904E-2</v>
      </c>
      <c r="L234" s="1062"/>
    </row>
    <row r="235" spans="2:13" s="159" customFormat="1" ht="14.1" customHeight="1" x14ac:dyDescent="0.3">
      <c r="B235" s="552" t="s">
        <v>2018</v>
      </c>
      <c r="C235" s="43"/>
      <c r="D235" s="90">
        <f>MC!D34/10^6</f>
        <v>67.528918000000004</v>
      </c>
      <c r="E235" s="90">
        <f>MC!I34/10^6</f>
        <v>92.934539385020315</v>
      </c>
      <c r="F235" s="90">
        <f>MC!J34/10^6</f>
        <v>92.625528434084401</v>
      </c>
      <c r="G235" s="90">
        <f>MC!K34/10^6</f>
        <v>132.27294704009475</v>
      </c>
      <c r="H235" s="90">
        <f>G235*(1+H$35)</f>
        <v>134.38931419273626</v>
      </c>
      <c r="I235" s="90">
        <f t="shared" si="204"/>
        <v>136.27076459143458</v>
      </c>
      <c r="J235" s="90">
        <f t="shared" si="204"/>
        <v>138.17855529571466</v>
      </c>
      <c r="K235" s="90">
        <f t="shared" si="204"/>
        <v>140.5275907357418</v>
      </c>
      <c r="L235" s="808">
        <f t="shared" si="204"/>
        <v>142.91655977824939</v>
      </c>
    </row>
    <row r="236" spans="2:13" s="159" customFormat="1" ht="14.1" customHeight="1" x14ac:dyDescent="0.3">
      <c r="B236" s="402" t="s">
        <v>37</v>
      </c>
      <c r="C236" s="43"/>
      <c r="D236" s="554" t="e">
        <f>D235/C235-1</f>
        <v>#DIV/0!</v>
      </c>
      <c r="E236" s="554">
        <f>E235/D235-1</f>
        <v>0.37621839853883499</v>
      </c>
      <c r="F236" s="554">
        <f>F235/E235-1</f>
        <v>-3.325038817437953E-3</v>
      </c>
      <c r="G236" s="554">
        <f t="shared" ref="G236" si="260">G235/F235-1</f>
        <v>0.42803986413124595</v>
      </c>
      <c r="H236" s="554">
        <f t="shared" ref="H236" si="261">H235/G235-1</f>
        <v>1.6000000000000014E-2</v>
      </c>
      <c r="I236" s="554">
        <f t="shared" ref="I236" si="262">I235/H235-1</f>
        <v>1.4000000000000012E-2</v>
      </c>
      <c r="J236" s="554">
        <f t="shared" ref="J236" si="263">J235/I235-1</f>
        <v>1.4000000000000012E-2</v>
      </c>
      <c r="K236" s="554">
        <f t="shared" ref="K236" si="264">K235/J235-1</f>
        <v>1.6999999999999904E-2</v>
      </c>
      <c r="L236" s="1062"/>
    </row>
    <row r="237" spans="2:13" s="159" customFormat="1" ht="14.1" customHeight="1" x14ac:dyDescent="0.3">
      <c r="B237" s="552" t="s">
        <v>2019</v>
      </c>
      <c r="C237" s="43"/>
      <c r="D237" s="90">
        <f>MC!D36/10^6</f>
        <v>5.3445619999999998</v>
      </c>
      <c r="E237" s="90">
        <f>MC!I36/10^6</f>
        <v>5.3429399228463055</v>
      </c>
      <c r="F237" s="90">
        <f>MC!J36/10^6</f>
        <v>3.4634004194866166</v>
      </c>
      <c r="G237" s="90">
        <f>MC!K36/10^6</f>
        <v>7.6669159773127342</v>
      </c>
      <c r="H237" s="90">
        <f>G237*(1+H$35)</f>
        <v>7.7895866329497379</v>
      </c>
      <c r="I237" s="90">
        <f t="shared" si="204"/>
        <v>7.898640845811034</v>
      </c>
      <c r="J237" s="90">
        <f t="shared" si="204"/>
        <v>8.0092218176523886</v>
      </c>
      <c r="K237" s="90">
        <f t="shared" si="204"/>
        <v>8.1453785885524788</v>
      </c>
      <c r="L237" s="808">
        <f t="shared" si="204"/>
        <v>8.2838500245578697</v>
      </c>
    </row>
    <row r="238" spans="2:13" s="159" customFormat="1" ht="14.1" customHeight="1" x14ac:dyDescent="0.3">
      <c r="B238" s="402" t="s">
        <v>37</v>
      </c>
      <c r="C238" s="43"/>
      <c r="D238" s="554" t="e">
        <f>D237/C237-1</f>
        <v>#DIV/0!</v>
      </c>
      <c r="E238" s="554">
        <f>E237/D237-1</f>
        <v>-3.0350048398619656E-4</v>
      </c>
      <c r="F238" s="554">
        <f>F237/E237-1</f>
        <v>-0.35178001821110039</v>
      </c>
      <c r="G238" s="554">
        <f t="shared" ref="G238" si="265">G237/F237-1</f>
        <v>1.2136960930579344</v>
      </c>
      <c r="H238" s="554">
        <f t="shared" ref="H238" si="266">H237/G237-1</f>
        <v>1.6000000000000014E-2</v>
      </c>
      <c r="I238" s="554">
        <f t="shared" ref="I238" si="267">I237/H237-1</f>
        <v>1.4000000000000012E-2</v>
      </c>
      <c r="J238" s="554">
        <f t="shared" ref="J238" si="268">J237/I237-1</f>
        <v>1.4000000000000012E-2</v>
      </c>
      <c r="K238" s="554">
        <f t="shared" ref="K238" si="269">K237/J237-1</f>
        <v>1.6999999999999904E-2</v>
      </c>
      <c r="L238" s="1062"/>
    </row>
    <row r="239" spans="2:13" s="159" customFormat="1" ht="14.1" customHeight="1" thickBot="1" x14ac:dyDescent="0.35">
      <c r="B239" s="405"/>
      <c r="C239" s="406"/>
      <c r="D239" s="406"/>
      <c r="E239" s="406"/>
      <c r="F239" s="406"/>
      <c r="G239" s="406"/>
      <c r="H239" s="406"/>
      <c r="I239" s="406"/>
      <c r="J239" s="406"/>
      <c r="K239" s="406"/>
      <c r="L239" s="1063"/>
    </row>
    <row r="240" spans="2:13" s="159" customFormat="1" ht="14.1" customHeight="1" x14ac:dyDescent="0.3">
      <c r="J240" s="108"/>
      <c r="K240" s="108"/>
    </row>
    <row r="241" spans="2:12" s="159" customFormat="1" ht="14.1" customHeight="1" x14ac:dyDescent="0.3">
      <c r="B241" s="392" t="s">
        <v>139</v>
      </c>
      <c r="C241" s="393"/>
      <c r="D241" s="393"/>
      <c r="E241" s="393"/>
      <c r="F241" s="393"/>
      <c r="G241" s="420"/>
      <c r="H241" s="393"/>
      <c r="I241" s="393"/>
      <c r="J241" s="393"/>
      <c r="K241" s="394"/>
      <c r="L241" s="1064"/>
    </row>
    <row r="242" spans="2:12" s="65" customFormat="1" ht="14.1" customHeight="1" x14ac:dyDescent="0.3">
      <c r="B242" s="395" t="str">
        <f>unit</f>
        <v>KRW Million</v>
      </c>
      <c r="C242" s="396"/>
      <c r="D242" s="396">
        <f>'Pro forma'!D$5</f>
        <v>2014</v>
      </c>
      <c r="E242" s="396">
        <f>'Pro forma'!E$5</f>
        <v>2015</v>
      </c>
      <c r="F242" s="396">
        <f>'Pro forma'!F$5</f>
        <v>2016</v>
      </c>
      <c r="G242" s="397">
        <f>'Pro forma'!G$5</f>
        <v>2017</v>
      </c>
      <c r="H242" s="398">
        <f>'Pro forma'!H$5</f>
        <v>2018</v>
      </c>
      <c r="I242" s="398">
        <f>'Pro forma'!I$5</f>
        <v>2019</v>
      </c>
      <c r="J242" s="398">
        <f>'Pro forma'!J$5</f>
        <v>2020</v>
      </c>
      <c r="K242" s="398">
        <f>'Pro forma'!K$5</f>
        <v>2021</v>
      </c>
      <c r="L242" s="399">
        <v>2022</v>
      </c>
    </row>
    <row r="243" spans="2:12" s="65" customFormat="1" ht="14.1" customHeight="1" x14ac:dyDescent="0.3">
      <c r="B243" s="408" t="s">
        <v>139</v>
      </c>
      <c r="C243" s="409"/>
      <c r="D243" s="412">
        <f>D248+D251</f>
        <v>519.84264299999995</v>
      </c>
      <c r="E243" s="412">
        <f>E248</f>
        <v>514.14189246245746</v>
      </c>
      <c r="F243" s="412">
        <f t="shared" ref="F243:G243" si="270">F248</f>
        <v>507.33831553831476</v>
      </c>
      <c r="G243" s="412">
        <f t="shared" si="270"/>
        <v>633.05721539116996</v>
      </c>
      <c r="H243" s="412">
        <f>H246*'CapEx&amp;Dep'!H$64</f>
        <v>600.11276468156132</v>
      </c>
      <c r="I243" s="412">
        <f>I246*'CapEx&amp;Dep'!I$64</f>
        <v>641.25958568079648</v>
      </c>
      <c r="J243" s="412">
        <f>J246*'CapEx&amp;Dep'!J$64</f>
        <v>782.01815670224767</v>
      </c>
      <c r="K243" s="412">
        <f>K246*'CapEx&amp;Dep'!K$64</f>
        <v>1036.7846681810984</v>
      </c>
      <c r="L243" s="413">
        <f>L246*'CapEx&amp;Dep'!L$64</f>
        <v>1190.0294715366365</v>
      </c>
    </row>
    <row r="244" spans="2:12" s="80" customFormat="1" ht="14.1" customHeight="1" x14ac:dyDescent="0.3">
      <c r="B244" s="402" t="s">
        <v>37</v>
      </c>
      <c r="C244" s="58"/>
      <c r="D244" s="554" t="e">
        <f>D243/C243-1</f>
        <v>#DIV/0!</v>
      </c>
      <c r="E244" s="554">
        <f>E243/D243-1</f>
        <v>-1.0966300310885635E-2</v>
      </c>
      <c r="F244" s="554">
        <f>F243/E243-1</f>
        <v>-1.323287797373851E-2</v>
      </c>
      <c r="G244" s="554">
        <f t="shared" ref="G244" si="271">G243/F243-1</f>
        <v>0.24780091706548979</v>
      </c>
      <c r="H244" s="554">
        <f t="shared" ref="H244" si="272">H243/G243-1</f>
        <v>-5.2040242032865947E-2</v>
      </c>
      <c r="I244" s="554">
        <f t="shared" ref="I244" si="273">I243/H243-1</f>
        <v>6.8565148786776664E-2</v>
      </c>
      <c r="J244" s="554">
        <f t="shared" ref="J244" si="274">J243/I243-1</f>
        <v>0.21950326227406669</v>
      </c>
      <c r="K244" s="554">
        <f t="shared" ref="K244" si="275">K243/J243-1</f>
        <v>0.32578081377700374</v>
      </c>
      <c r="L244" s="1061"/>
    </row>
    <row r="245" spans="2:12" s="159" customFormat="1" ht="14.1" customHeight="1" x14ac:dyDescent="0.3">
      <c r="B245" s="403" t="s">
        <v>58</v>
      </c>
      <c r="C245" s="43"/>
      <c r="D245" s="43" t="e">
        <f>D243/D$38</f>
        <v>#REF!</v>
      </c>
      <c r="E245" s="43">
        <f t="shared" ref="E245:L245" si="276">E243/E$38</f>
        <v>8.4265665543232365E-3</v>
      </c>
      <c r="F245" s="43">
        <f t="shared" si="276"/>
        <v>6.2439513583490138E-3</v>
      </c>
      <c r="G245" s="43">
        <f t="shared" si="276"/>
        <v>7.0180641361683631E-3</v>
      </c>
      <c r="H245" s="43">
        <f t="shared" si="276"/>
        <v>4.3482894912153392E-3</v>
      </c>
      <c r="I245" s="43">
        <f t="shared" si="276"/>
        <v>3.5204828089270266E-3</v>
      </c>
      <c r="J245" s="43">
        <f t="shared" si="276"/>
        <v>3.8344595487044704E-3</v>
      </c>
      <c r="K245" s="43">
        <f t="shared" si="276"/>
        <v>3.9690598889883825E-3</v>
      </c>
      <c r="L245" s="404">
        <f t="shared" si="276"/>
        <v>3.9557359349573261E-3</v>
      </c>
    </row>
    <row r="246" spans="2:12" s="159" customFormat="1" ht="14.1" customHeight="1" x14ac:dyDescent="0.3">
      <c r="B246" s="403" t="s">
        <v>147</v>
      </c>
      <c r="C246" s="43"/>
      <c r="D246" s="43"/>
      <c r="E246" s="43">
        <f>E243/'CapEx&amp;Dep'!E64</f>
        <v>0.68844704633611242</v>
      </c>
      <c r="F246" s="43">
        <f>F243/'CapEx&amp;Dep'!F64</f>
        <v>0.46855204574369724</v>
      </c>
      <c r="G246" s="43">
        <f>G243/'CapEx&amp;Dep'!G64</f>
        <v>0.5458924460935779</v>
      </c>
      <c r="H246" s="43">
        <f>G246</f>
        <v>0.5458924460935779</v>
      </c>
      <c r="I246" s="43">
        <f>H246</f>
        <v>0.5458924460935779</v>
      </c>
      <c r="J246" s="43">
        <f t="shared" ref="J246:K246" si="277">I246</f>
        <v>0.5458924460935779</v>
      </c>
      <c r="K246" s="43">
        <f t="shared" si="277"/>
        <v>0.5458924460935779</v>
      </c>
      <c r="L246" s="1472">
        <f>K246</f>
        <v>0.5458924460935779</v>
      </c>
    </row>
    <row r="247" spans="2:12" s="159" customFormat="1" ht="14.1" customHeight="1" x14ac:dyDescent="0.3">
      <c r="B247" s="403"/>
      <c r="C247" s="43"/>
      <c r="D247" s="52"/>
      <c r="E247" s="52"/>
      <c r="F247" s="52"/>
      <c r="G247" s="52"/>
      <c r="H247" s="52"/>
      <c r="I247" s="52"/>
      <c r="J247" s="52"/>
      <c r="K247" s="52"/>
      <c r="L247" s="1062"/>
    </row>
    <row r="248" spans="2:12" s="159" customFormat="1" ht="14.1" customHeight="1" x14ac:dyDescent="0.3">
      <c r="B248" s="552" t="s">
        <v>501</v>
      </c>
      <c r="C248" s="43"/>
      <c r="D248" s="90">
        <f>MC!D19/10^6</f>
        <v>519.84264299999995</v>
      </c>
      <c r="E248" s="90">
        <f>MC!I19/10^6</f>
        <v>514.14189246245746</v>
      </c>
      <c r="F248" s="90">
        <f>MC!J19/10^6</f>
        <v>507.33831553831476</v>
      </c>
      <c r="G248" s="90">
        <f>MC!K19/10^6</f>
        <v>633.05721539116996</v>
      </c>
      <c r="H248" s="90">
        <f>H249*('CapEx&amp;Dep'!H66+'CapEx&amp;Dep'!H79)</f>
        <v>612.20024406664811</v>
      </c>
      <c r="I248" s="90">
        <f>I249*('CapEx&amp;Dep'!I66+'CapEx&amp;Dep'!I79)</f>
        <v>672.56955411602098</v>
      </c>
      <c r="J248" s="90">
        <f>J249*('CapEx&amp;Dep'!J66+'CapEx&amp;Dep'!J79)</f>
        <v>851.72384441319764</v>
      </c>
      <c r="K248" s="90">
        <f>K249*('CapEx&amp;Dep'!K66+'CapEx&amp;Dep'!K79)</f>
        <v>1178.7256672728038</v>
      </c>
      <c r="L248" s="808">
        <f>L249*('CapEx&amp;Dep'!L66+'CapEx&amp;Dep'!L79)</f>
        <v>1377.2563181168118</v>
      </c>
    </row>
    <row r="249" spans="2:12" s="159" customFormat="1" ht="14.1" customHeight="1" x14ac:dyDescent="0.3">
      <c r="B249" s="403" t="s">
        <v>3027</v>
      </c>
      <c r="C249" s="43">
        <f>AVERAGE(E249:G249)</f>
        <v>0.69039265227808988</v>
      </c>
      <c r="D249" s="43">
        <f>D248/('CapEx&amp;Dep'!D66+'CapEx&amp;Dep'!D79)</f>
        <v>0.7260351828626177</v>
      </c>
      <c r="E249" s="43">
        <f>E248/('CapEx&amp;Dep'!E66+'CapEx&amp;Dep'!E79)</f>
        <v>0.71828593925936024</v>
      </c>
      <c r="F249" s="43">
        <f>F248/('CapEx&amp;Dep'!F66+'CapEx&amp;Dep'!F79)</f>
        <v>0.65553599301526977</v>
      </c>
      <c r="G249" s="43">
        <f>G248/('CapEx&amp;Dep'!G66+'CapEx&amp;Dep'!G79)</f>
        <v>0.69735602455963974</v>
      </c>
      <c r="H249" s="43">
        <f>C249</f>
        <v>0.69039265227808988</v>
      </c>
      <c r="I249" s="43">
        <f>H249</f>
        <v>0.69039265227808988</v>
      </c>
      <c r="J249" s="43">
        <f t="shared" ref="J249:K249" si="278">I249</f>
        <v>0.69039265227808988</v>
      </c>
      <c r="K249" s="43">
        <f t="shared" si="278"/>
        <v>0.69039265227808988</v>
      </c>
      <c r="L249" s="1473">
        <f>K249</f>
        <v>0.69039265227808988</v>
      </c>
    </row>
    <row r="250" spans="2:12" s="159" customFormat="1" ht="14.1" customHeight="1" x14ac:dyDescent="0.3">
      <c r="B250" s="552"/>
      <c r="C250" s="43"/>
      <c r="D250" s="52"/>
      <c r="E250" s="52"/>
      <c r="F250" s="52"/>
      <c r="G250" s="52"/>
      <c r="H250" s="52"/>
      <c r="I250" s="52"/>
      <c r="J250" s="52"/>
      <c r="K250" s="52"/>
      <c r="L250" s="1062"/>
    </row>
    <row r="251" spans="2:12" s="159" customFormat="1" ht="14.1" customHeight="1" x14ac:dyDescent="0.3">
      <c r="B251" s="552" t="s">
        <v>502</v>
      </c>
      <c r="C251" s="43"/>
      <c r="D251" s="52"/>
      <c r="E251" s="52"/>
      <c r="F251" s="52"/>
      <c r="G251" s="52"/>
      <c r="H251" s="52"/>
      <c r="I251" s="52"/>
      <c r="J251" s="52"/>
      <c r="K251" s="52"/>
      <c r="L251" s="1062"/>
    </row>
    <row r="252" spans="2:12" s="159" customFormat="1" ht="14.1" customHeight="1" x14ac:dyDescent="0.3">
      <c r="B252" s="403" t="s">
        <v>3028</v>
      </c>
      <c r="C252" s="43"/>
      <c r="D252" s="43" t="e">
        <f>D250/D$38</f>
        <v>#REF!</v>
      </c>
      <c r="E252" s="43">
        <f t="shared" ref="E252:K252" si="279">E250/E$38</f>
        <v>0</v>
      </c>
      <c r="F252" s="43">
        <f t="shared" si="279"/>
        <v>0</v>
      </c>
      <c r="G252" s="43">
        <f t="shared" si="279"/>
        <v>0</v>
      </c>
      <c r="H252" s="43">
        <f t="shared" si="279"/>
        <v>0</v>
      </c>
      <c r="I252" s="43">
        <f t="shared" si="279"/>
        <v>0</v>
      </c>
      <c r="J252" s="43">
        <f t="shared" si="279"/>
        <v>0</v>
      </c>
      <c r="K252" s="43">
        <f t="shared" si="279"/>
        <v>0</v>
      </c>
      <c r="L252" s="1062"/>
    </row>
    <row r="253" spans="2:12" s="159" customFormat="1" ht="14.1" customHeight="1" thickBot="1" x14ac:dyDescent="0.35">
      <c r="B253" s="415"/>
      <c r="C253" s="416"/>
      <c r="D253" s="416"/>
      <c r="E253" s="416"/>
      <c r="F253" s="416"/>
      <c r="G253" s="416"/>
      <c r="H253" s="416"/>
      <c r="I253" s="416"/>
      <c r="J253" s="416"/>
      <c r="K253" s="416"/>
      <c r="L253" s="41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4" fitToHeight="1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9233" r:id="rId4" name="Drop Down 1">
              <controlPr defaultSize="0" autoLine="0" autoPict="0">
                <anchor moveWithCells="1">
                  <from>
                    <xdr:col>12</xdr:col>
                    <xdr:colOff>114300</xdr:colOff>
                    <xdr:row>164</xdr:row>
                    <xdr:rowOff>19050</xdr:rowOff>
                  </from>
                  <to>
                    <xdr:col>15</xdr:col>
                    <xdr:colOff>171450</xdr:colOff>
                    <xdr:row>165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240" r:id="rId5" name="Drop Down 8">
              <controlPr defaultSize="0" autoLine="0" autoPict="0">
                <anchor moveWithCells="1">
                  <from>
                    <xdr:col>12</xdr:col>
                    <xdr:colOff>257175</xdr:colOff>
                    <xdr:row>130</xdr:row>
                    <xdr:rowOff>28575</xdr:rowOff>
                  </from>
                  <to>
                    <xdr:col>14</xdr:col>
                    <xdr:colOff>133350</xdr:colOff>
                    <xdr:row>131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338D"/>
    <pageSetUpPr fitToPage="1"/>
  </sheetPr>
  <dimension ref="B1:R308"/>
  <sheetViews>
    <sheetView showGridLines="0" topLeftCell="A16" zoomScale="85" zoomScaleNormal="85" workbookViewId="0">
      <selection activeCell="J9" sqref="J9"/>
    </sheetView>
  </sheetViews>
  <sheetFormatPr defaultColWidth="8.75" defaultRowHeight="13.5" customHeight="1" x14ac:dyDescent="0.3"/>
  <cols>
    <col min="1" max="1" width="1.625" style="110" customWidth="1"/>
    <col min="2" max="2" width="20.625" style="110" customWidth="1"/>
    <col min="3" max="10" width="9.625" style="110" customWidth="1"/>
    <col min="11" max="11" width="9.625" style="108" customWidth="1"/>
    <col min="12" max="12" width="10.375" style="110" customWidth="1"/>
    <col min="13" max="13" width="13" style="65" bestFit="1" customWidth="1"/>
    <col min="14" max="16384" width="8.75" style="110"/>
  </cols>
  <sheetData>
    <row r="1" spans="2:13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255"/>
      <c r="H1" s="255"/>
      <c r="I1" s="255"/>
      <c r="J1" s="255"/>
      <c r="K1" s="256" t="str">
        <f>Des!C12</f>
        <v>DRAFT - For Discussion Purposes Only</v>
      </c>
      <c r="M1" s="51"/>
    </row>
    <row r="2" spans="2:13" customFormat="1" ht="20.100000000000001" customHeight="1" x14ac:dyDescent="0.3">
      <c r="B2" s="321" t="s">
        <v>137</v>
      </c>
      <c r="C2" s="321"/>
      <c r="D2" s="321"/>
      <c r="E2" s="321"/>
      <c r="F2" s="321"/>
      <c r="G2" s="257"/>
      <c r="H2" s="257"/>
      <c r="I2" s="257"/>
      <c r="J2" s="257"/>
      <c r="K2" s="257"/>
      <c r="M2" s="51"/>
    </row>
    <row r="3" spans="2:13" customFormat="1" ht="14.1" customHeight="1" x14ac:dyDescent="0.3">
      <c r="C3" s="40"/>
      <c r="H3" s="40"/>
      <c r="I3" s="40"/>
      <c r="K3" s="37"/>
      <c r="M3" s="51"/>
    </row>
    <row r="4" spans="2:13" ht="13.5" customHeight="1" x14ac:dyDescent="0.3">
      <c r="B4" s="421" t="s">
        <v>148</v>
      </c>
      <c r="C4" s="422"/>
      <c r="D4" s="422"/>
      <c r="E4" s="422"/>
      <c r="F4" s="422"/>
      <c r="G4" s="423"/>
      <c r="H4" s="423"/>
      <c r="I4" s="423"/>
      <c r="J4" s="423"/>
      <c r="K4" s="424"/>
      <c r="L4" s="1034"/>
      <c r="M4" s="550"/>
    </row>
    <row r="5" spans="2:13" ht="13.5" customHeight="1" x14ac:dyDescent="0.3">
      <c r="B5" s="425" t="str">
        <f>unit</f>
        <v>KRW Million</v>
      </c>
      <c r="C5" s="426"/>
      <c r="D5" s="299">
        <f>'SG&amp;A'!D5</f>
        <v>2014</v>
      </c>
      <c r="E5" s="299">
        <f>'SG&amp;A'!E5</f>
        <v>2015</v>
      </c>
      <c r="F5" s="299">
        <f>'SG&amp;A'!F5</f>
        <v>2016</v>
      </c>
      <c r="G5" s="419">
        <f>'SG&amp;A'!G5</f>
        <v>2017</v>
      </c>
      <c r="H5" s="375">
        <f>'SG&amp;A'!H5</f>
        <v>2018</v>
      </c>
      <c r="I5" s="375">
        <f>'SG&amp;A'!I5</f>
        <v>2019</v>
      </c>
      <c r="J5" s="375">
        <f>'SG&amp;A'!J5</f>
        <v>2020</v>
      </c>
      <c r="K5" s="376">
        <f>'SG&amp;A'!K5</f>
        <v>2021</v>
      </c>
      <c r="L5" s="1507">
        <f>K5+1</f>
        <v>2022</v>
      </c>
    </row>
    <row r="6" spans="2:13" s="65" customFormat="1" ht="13.5" customHeight="1" x14ac:dyDescent="0.3">
      <c r="B6" s="446" t="s">
        <v>39</v>
      </c>
      <c r="C6" s="447"/>
      <c r="D6" s="477">
        <f>D23</f>
        <v>3409.0139999999992</v>
      </c>
      <c r="E6" s="477">
        <f t="shared" ref="E6:L6" si="0">E23</f>
        <v>1004.683</v>
      </c>
      <c r="F6" s="477">
        <f t="shared" si="0"/>
        <v>4422.8029999999999</v>
      </c>
      <c r="G6" s="1036">
        <f t="shared" si="0"/>
        <v>382.25771600000002</v>
      </c>
      <c r="H6" s="477">
        <f t="shared" si="0"/>
        <v>2804.3188250000003</v>
      </c>
      <c r="I6" s="477">
        <f t="shared" si="0"/>
        <v>2263.5366191142857</v>
      </c>
      <c r="J6" s="477">
        <f t="shared" si="0"/>
        <v>14548.68492929143</v>
      </c>
      <c r="K6" s="1031">
        <f t="shared" si="0"/>
        <v>5030.1010946834285</v>
      </c>
      <c r="L6" s="1508">
        <f t="shared" si="0"/>
        <v>3452.4351187666284</v>
      </c>
    </row>
    <row r="7" spans="2:13" s="65" customFormat="1" ht="13.5" customHeight="1" x14ac:dyDescent="0.3">
      <c r="B7" s="431" t="s">
        <v>58</v>
      </c>
      <c r="C7" s="800"/>
      <c r="D7" s="802">
        <f t="shared" ref="D7:K7" si="1">D6/D18</f>
        <v>8.2248541009720483E-2</v>
      </c>
      <c r="E7" s="802">
        <f t="shared" si="1"/>
        <v>1.6213260637330595E-2</v>
      </c>
      <c r="F7" s="802">
        <f t="shared" si="1"/>
        <v>5.4275359189213744E-2</v>
      </c>
      <c r="G7" s="802">
        <f t="shared" si="1"/>
        <v>4.1399469179789674E-3</v>
      </c>
      <c r="H7" s="802">
        <f t="shared" si="1"/>
        <v>2.0319497925086399E-2</v>
      </c>
      <c r="I7" s="802">
        <f t="shared" si="1"/>
        <v>1.2426701967360988E-2</v>
      </c>
      <c r="J7" s="802">
        <f t="shared" si="1"/>
        <v>7.1336379302833652E-2</v>
      </c>
      <c r="K7" s="803">
        <f t="shared" si="1"/>
        <v>1.9256431065372621E-2</v>
      </c>
      <c r="L7" s="1509">
        <f t="shared" ref="L7" si="2">L6/L18</f>
        <v>1.1476120540762061E-2</v>
      </c>
    </row>
    <row r="8" spans="2:13" s="65" customFormat="1" ht="13.5" customHeight="1" x14ac:dyDescent="0.3">
      <c r="B8" s="799" t="s">
        <v>73</v>
      </c>
      <c r="C8" s="800"/>
      <c r="D8" s="103">
        <f>D64</f>
        <v>726.53199999999993</v>
      </c>
      <c r="E8" s="103">
        <f t="shared" ref="E8:K8" si="3">E64</f>
        <v>746.81399999999996</v>
      </c>
      <c r="F8" s="103">
        <f t="shared" si="3"/>
        <v>1082.779</v>
      </c>
      <c r="G8" s="1035">
        <f>G64</f>
        <v>1159.673888</v>
      </c>
      <c r="H8" s="103">
        <f t="shared" si="3"/>
        <v>1099.3241781892855</v>
      </c>
      <c r="I8" s="103">
        <f t="shared" si="3"/>
        <v>1174.6995040317347</v>
      </c>
      <c r="J8" s="103">
        <f t="shared" si="3"/>
        <v>1432.5498773584286</v>
      </c>
      <c r="K8" s="452">
        <f t="shared" si="3"/>
        <v>1899.2471421804044</v>
      </c>
      <c r="L8" s="1510">
        <f t="shared" ref="L8" si="4">L64</f>
        <v>2179.9705785498991</v>
      </c>
    </row>
    <row r="9" spans="2:13" s="65" customFormat="1" ht="13.5" customHeight="1" x14ac:dyDescent="0.3">
      <c r="B9" s="801" t="s">
        <v>58</v>
      </c>
      <c r="C9" s="800"/>
      <c r="D9" s="802">
        <f t="shared" ref="D9:K9" si="5">D8/D18</f>
        <v>1.7528879903947081E-2</v>
      </c>
      <c r="E9" s="802">
        <f t="shared" si="5"/>
        <v>1.205185121038916E-2</v>
      </c>
      <c r="F9" s="802">
        <f t="shared" si="5"/>
        <v>1.3287550711062119E-2</v>
      </c>
      <c r="G9" s="802">
        <f t="shared" si="5"/>
        <v>1.2559559003084418E-2</v>
      </c>
      <c r="H9" s="802">
        <f t="shared" si="5"/>
        <v>7.9654692464272477E-3</v>
      </c>
      <c r="I9" s="802">
        <f t="shared" si="5"/>
        <v>6.449041077816158E-3</v>
      </c>
      <c r="J9" s="802">
        <f t="shared" si="5"/>
        <v>7.0242033502093196E-3</v>
      </c>
      <c r="K9" s="803">
        <f t="shared" si="5"/>
        <v>7.270772690465107E-3</v>
      </c>
      <c r="L9" s="1509">
        <f t="shared" ref="L9" si="6">L8/L18</f>
        <v>7.2463650363083186E-3</v>
      </c>
    </row>
    <row r="10" spans="2:13" ht="13.5" customHeight="1" x14ac:dyDescent="0.3">
      <c r="B10" s="445" t="s">
        <v>24</v>
      </c>
      <c r="C10" s="804"/>
      <c r="D10" s="805"/>
      <c r="E10" s="805"/>
      <c r="F10" s="805"/>
      <c r="G10" s="805"/>
      <c r="H10" s="805"/>
      <c r="I10" s="805"/>
      <c r="J10" s="805"/>
      <c r="K10" s="806"/>
      <c r="L10" s="1511"/>
    </row>
    <row r="12" spans="2:13" s="100" customFormat="1" ht="13.5" customHeight="1" x14ac:dyDescent="0.3">
      <c r="B12" s="382" t="s">
        <v>135</v>
      </c>
      <c r="C12" s="383"/>
      <c r="D12" s="383"/>
      <c r="E12" s="383"/>
      <c r="F12" s="383"/>
      <c r="G12" s="383"/>
      <c r="H12" s="383"/>
      <c r="I12" s="383"/>
      <c r="J12" s="383"/>
      <c r="K12" s="384"/>
      <c r="M12" s="118"/>
    </row>
    <row r="13" spans="2:13" s="65" customFormat="1" ht="13.5" customHeight="1" x14ac:dyDescent="0.3">
      <c r="B13" s="378" t="s">
        <v>136</v>
      </c>
      <c r="C13" s="379"/>
      <c r="D13" s="379">
        <f t="shared" ref="D13:K13" si="7">D$5</f>
        <v>2014</v>
      </c>
      <c r="E13" s="379">
        <f t="shared" si="7"/>
        <v>2015</v>
      </c>
      <c r="F13" s="379">
        <f t="shared" si="7"/>
        <v>2016</v>
      </c>
      <c r="G13" s="380">
        <f t="shared" si="7"/>
        <v>2017</v>
      </c>
      <c r="H13" s="380">
        <f t="shared" si="7"/>
        <v>2018</v>
      </c>
      <c r="I13" s="380">
        <f t="shared" si="7"/>
        <v>2019</v>
      </c>
      <c r="J13" s="380">
        <f t="shared" si="7"/>
        <v>2020</v>
      </c>
      <c r="K13" s="381">
        <f t="shared" si="7"/>
        <v>2021</v>
      </c>
      <c r="L13" s="1533">
        <f>K13+1</f>
        <v>2022</v>
      </c>
    </row>
    <row r="14" spans="2:13" s="159" customFormat="1" ht="13.5" customHeight="1" x14ac:dyDescent="0.15">
      <c r="B14" s="648" t="s">
        <v>607</v>
      </c>
      <c r="C14" s="366"/>
      <c r="D14" s="367">
        <f>Macro!D6/100</f>
        <v>3.3410000000000002E-2</v>
      </c>
      <c r="E14" s="367">
        <f>Macro!E6/100</f>
        <v>2.7900000000000001E-2</v>
      </c>
      <c r="F14" s="367">
        <f>Macro!F6/100</f>
        <v>2.828E-2</v>
      </c>
      <c r="G14" s="367">
        <f>Macro!G6/100</f>
        <v>0.03</v>
      </c>
      <c r="H14" s="367">
        <f>Macro!H6/100</f>
        <v>2.3E-2</v>
      </c>
      <c r="I14" s="367">
        <f>Macro!I6/100</f>
        <v>2.5000000000000001E-2</v>
      </c>
      <c r="J14" s="367">
        <f>Macro!J6/100</f>
        <v>2.2000000000000002E-2</v>
      </c>
      <c r="K14" s="368">
        <f>Macro!K6/100</f>
        <v>2.7999999999999997E-2</v>
      </c>
      <c r="L14" s="86">
        <f>K14</f>
        <v>2.7999999999999997E-2</v>
      </c>
    </row>
    <row r="15" spans="2:13" s="159" customFormat="1" ht="13.5" customHeight="1" x14ac:dyDescent="0.15">
      <c r="B15" s="649" t="s">
        <v>615</v>
      </c>
      <c r="C15" s="366"/>
      <c r="D15" s="367">
        <f>Macro!D7/100</f>
        <v>1.2749999999999999E-2</v>
      </c>
      <c r="E15" s="367">
        <f>Macro!E7/100</f>
        <v>7.0799999999999995E-3</v>
      </c>
      <c r="F15" s="367">
        <f>Macro!F7/100</f>
        <v>9.7199999999999995E-3</v>
      </c>
      <c r="G15" s="367">
        <f>Macro!G7/100</f>
        <v>0.02</v>
      </c>
      <c r="H15" s="367">
        <f>Macro!H7/100</f>
        <v>1.6E-2</v>
      </c>
      <c r="I15" s="367">
        <f>Macro!I7/100</f>
        <v>1.3999999999999999E-2</v>
      </c>
      <c r="J15" s="367">
        <f>Macro!J7/100</f>
        <v>1.3999999999999999E-2</v>
      </c>
      <c r="K15" s="368">
        <f>Macro!K7/100</f>
        <v>1.7000000000000001E-2</v>
      </c>
    </row>
    <row r="16" spans="2:13" s="159" customFormat="1" ht="13.5" customHeight="1" x14ac:dyDescent="0.15">
      <c r="B16" s="649" t="s">
        <v>616</v>
      </c>
      <c r="C16" s="366"/>
      <c r="D16" s="367">
        <f>Macro!D8/100</f>
        <v>2.5539999999999997E-2</v>
      </c>
      <c r="E16" s="367">
        <f>Macro!E8/100</f>
        <v>3.4140000000000004E-2</v>
      </c>
      <c r="F16" s="367">
        <f>Macro!F8/100</f>
        <v>3.807E-2</v>
      </c>
      <c r="G16" s="367">
        <f>Macro!G8/100</f>
        <v>4.2000000000000003E-2</v>
      </c>
      <c r="H16" s="367">
        <f>Macro!H8/100</f>
        <v>3.6000000000000004E-2</v>
      </c>
      <c r="I16" s="367">
        <f>Macro!I8/100</f>
        <v>3.4000000000000002E-2</v>
      </c>
      <c r="J16" s="367">
        <f>Macro!J8/100</f>
        <v>3.6000000000000004E-2</v>
      </c>
      <c r="K16" s="368">
        <f>Macro!K8/100</f>
        <v>3.9E-2</v>
      </c>
    </row>
    <row r="17" spans="2:18" s="159" customFormat="1" ht="13.5" customHeight="1" x14ac:dyDescent="0.15">
      <c r="B17" s="649" t="s">
        <v>646</v>
      </c>
      <c r="C17" s="366"/>
      <c r="D17" s="367">
        <f>Macro!D9/100</f>
        <v>1.2629999999999999E-2</v>
      </c>
      <c r="E17" s="367">
        <f>Macro!E9/100</f>
        <v>2.6869999999999998E-2</v>
      </c>
      <c r="F17" s="367">
        <f>Macro!F9/100</f>
        <v>2.8079999999999997E-2</v>
      </c>
      <c r="G17" s="367">
        <f>Macro!G9/100</f>
        <v>2.2000000000000002E-2</v>
      </c>
      <c r="H17" s="367">
        <f>Macro!H9/100</f>
        <v>1.9E-2</v>
      </c>
      <c r="I17" s="367">
        <f>Macro!I9/100</f>
        <v>1.9E-2</v>
      </c>
      <c r="J17" s="367">
        <f>Macro!J9/100</f>
        <v>2.2000000000000002E-2</v>
      </c>
      <c r="K17" s="368">
        <f>Macro!K9/100</f>
        <v>2.2000000000000002E-2</v>
      </c>
      <c r="L17" s="367"/>
    </row>
    <row r="18" spans="2:18" s="159" customFormat="1" ht="13.5" customHeight="1" x14ac:dyDescent="0.3">
      <c r="B18" s="443" t="s">
        <v>57</v>
      </c>
      <c r="C18" s="444"/>
      <c r="D18" s="444">
        <f>'Pro forma'!D6</f>
        <v>41447.713943000002</v>
      </c>
      <c r="E18" s="444">
        <f>'Pro forma'!E6</f>
        <v>61966.745769000001</v>
      </c>
      <c r="F18" s="444">
        <f>'Pro forma'!F6</f>
        <v>81488.230867000006</v>
      </c>
      <c r="G18" s="444">
        <f>'Pro forma'!G6</f>
        <v>92333.965525000007</v>
      </c>
      <c r="H18" s="444">
        <f>'Pro forma'!H6</f>
        <v>138011.22622905931</v>
      </c>
      <c r="I18" s="444">
        <f>'Pro forma'!I6</f>
        <v>182151.03452706241</v>
      </c>
      <c r="J18" s="444">
        <f>'Pro forma'!J6</f>
        <v>203944.81849898878</v>
      </c>
      <c r="K18" s="932">
        <f>'Pro forma'!K6</f>
        <v>261216.68535602515</v>
      </c>
      <c r="L18" s="932">
        <f>'Pro forma'!L6</f>
        <v>300836.4286959095</v>
      </c>
    </row>
    <row r="19" spans="2:18" s="159" customFormat="1" ht="13.5" customHeight="1" x14ac:dyDescent="0.3">
      <c r="B19" s="108"/>
      <c r="C19" s="931"/>
      <c r="D19" s="931"/>
      <c r="E19" s="931"/>
      <c r="F19" s="931"/>
      <c r="G19" s="931"/>
      <c r="H19" s="931"/>
      <c r="I19" s="931"/>
      <c r="J19" s="931"/>
      <c r="K19" s="931"/>
    </row>
    <row r="20" spans="2:18" s="93" customFormat="1" ht="13.5" customHeight="1" x14ac:dyDescent="0.3">
      <c r="C20" s="117"/>
      <c r="D20" s="162"/>
      <c r="E20" s="160"/>
      <c r="F20" s="160"/>
    </row>
    <row r="21" spans="2:18" ht="13.5" customHeight="1" x14ac:dyDescent="0.3">
      <c r="B21" s="421" t="s">
        <v>3011</v>
      </c>
      <c r="C21" s="422"/>
      <c r="D21" s="422"/>
      <c r="E21" s="422"/>
      <c r="F21" s="422"/>
      <c r="G21" s="423"/>
      <c r="H21" s="423"/>
      <c r="I21" s="423"/>
      <c r="J21" s="423"/>
      <c r="K21" s="424"/>
      <c r="L21" s="424"/>
    </row>
    <row r="22" spans="2:18" ht="13.5" customHeight="1" x14ac:dyDescent="0.3">
      <c r="B22" s="425" t="str">
        <f>unit</f>
        <v>KRW Million</v>
      </c>
      <c r="C22" s="426"/>
      <c r="D22" s="299">
        <f t="shared" ref="D22:K22" si="8">D$5</f>
        <v>2014</v>
      </c>
      <c r="E22" s="299">
        <f t="shared" si="8"/>
        <v>2015</v>
      </c>
      <c r="F22" s="299">
        <f t="shared" si="8"/>
        <v>2016</v>
      </c>
      <c r="G22" s="419">
        <f t="shared" si="8"/>
        <v>2017</v>
      </c>
      <c r="H22" s="375">
        <f t="shared" si="8"/>
        <v>2018</v>
      </c>
      <c r="I22" s="375">
        <f t="shared" si="8"/>
        <v>2019</v>
      </c>
      <c r="J22" s="375">
        <f t="shared" si="8"/>
        <v>2020</v>
      </c>
      <c r="K22" s="375">
        <f t="shared" si="8"/>
        <v>2021</v>
      </c>
      <c r="L22" s="376">
        <v>2022</v>
      </c>
    </row>
    <row r="23" spans="2:18" s="65" customFormat="1" ht="13.5" customHeight="1" x14ac:dyDescent="0.3">
      <c r="B23" s="449" t="s">
        <v>74</v>
      </c>
      <c r="C23" s="306"/>
      <c r="D23" s="306">
        <f>D26+D52</f>
        <v>3409.0139999999992</v>
      </c>
      <c r="E23" s="306">
        <f t="shared" ref="E23:L23" si="9">E26+E52</f>
        <v>1004.683</v>
      </c>
      <c r="F23" s="306">
        <f t="shared" si="9"/>
        <v>4422.8029999999999</v>
      </c>
      <c r="G23" s="305">
        <f>G26+G52</f>
        <v>382.25771600000002</v>
      </c>
      <c r="H23" s="306">
        <f t="shared" si="9"/>
        <v>2804.3188250000003</v>
      </c>
      <c r="I23" s="306">
        <f t="shared" si="9"/>
        <v>2263.5366191142857</v>
      </c>
      <c r="J23" s="306">
        <f t="shared" si="9"/>
        <v>14548.68492929143</v>
      </c>
      <c r="K23" s="306">
        <f t="shared" si="9"/>
        <v>5030.1010946834285</v>
      </c>
      <c r="L23" s="961">
        <f t="shared" si="9"/>
        <v>3452.4351187666284</v>
      </c>
    </row>
    <row r="24" spans="2:18" ht="13.5" customHeight="1" x14ac:dyDescent="0.3">
      <c r="B24" s="360" t="s">
        <v>2741</v>
      </c>
      <c r="C24" s="43"/>
      <c r="D24" s="554" t="e">
        <f>D23/C23-1</f>
        <v>#DIV/0!</v>
      </c>
      <c r="E24" s="554">
        <f>E23/D23-1</f>
        <v>-0.70528633792645024</v>
      </c>
      <c r="F24" s="554">
        <f>F23/E23-1</f>
        <v>3.4021875556767656</v>
      </c>
      <c r="G24" s="554">
        <f t="shared" ref="G24:L24" si="10">G23/F23-1</f>
        <v>-0.91357116380720549</v>
      </c>
      <c r="H24" s="554">
        <f t="shared" si="10"/>
        <v>6.3361993953838205</v>
      </c>
      <c r="I24" s="554">
        <f t="shared" si="10"/>
        <v>-0.19283905990457928</v>
      </c>
      <c r="J24" s="554">
        <f t="shared" si="10"/>
        <v>5.4274131049774148</v>
      </c>
      <c r="K24" s="554">
        <f t="shared" si="10"/>
        <v>-0.65425733534471342</v>
      </c>
      <c r="L24" s="562">
        <f t="shared" si="10"/>
        <v>-0.31364498371301441</v>
      </c>
      <c r="M24" s="110"/>
      <c r="R24" s="893"/>
    </row>
    <row r="25" spans="2:18" s="159" customFormat="1" ht="13.5" customHeight="1" x14ac:dyDescent="0.3">
      <c r="B25" s="388" t="s">
        <v>58</v>
      </c>
      <c r="C25" s="43"/>
      <c r="D25" s="43">
        <f>D23/D$18</f>
        <v>8.2248541009720483E-2</v>
      </c>
      <c r="E25" s="43">
        <f t="shared" ref="E25:K25" si="11">E23/E$18</f>
        <v>1.6213260637330595E-2</v>
      </c>
      <c r="F25" s="43">
        <f t="shared" si="11"/>
        <v>5.4275359189213744E-2</v>
      </c>
      <c r="G25" s="43">
        <f t="shared" si="11"/>
        <v>4.1399469179789674E-3</v>
      </c>
      <c r="H25" s="43">
        <f t="shared" si="11"/>
        <v>2.0319497925086399E-2</v>
      </c>
      <c r="I25" s="43">
        <f t="shared" si="11"/>
        <v>1.2426701967360988E-2</v>
      </c>
      <c r="J25" s="43">
        <f t="shared" si="11"/>
        <v>7.1336379302833652E-2</v>
      </c>
      <c r="K25" s="43">
        <f t="shared" si="11"/>
        <v>1.9256431065372621E-2</v>
      </c>
      <c r="L25" s="314">
        <f t="shared" ref="L25" si="12">L23/L$18</f>
        <v>1.1476120540762061E-2</v>
      </c>
      <c r="R25" s="893"/>
    </row>
    <row r="26" spans="2:18" s="159" customFormat="1" ht="13.5" customHeight="1" x14ac:dyDescent="0.3">
      <c r="B26" s="929" t="s">
        <v>2690</v>
      </c>
      <c r="C26" s="43"/>
      <c r="D26" s="92">
        <f>SUM(D27,D30,D33,D36,D39,D42,D45,D48)</f>
        <v>3384.963999999999</v>
      </c>
      <c r="E26" s="92">
        <f t="shared" ref="E26:L26" si="13">SUM(E27,E30,E33,E36,E39,E42,E45,E48)</f>
        <v>875.18299999999999</v>
      </c>
      <c r="F26" s="92">
        <f t="shared" si="13"/>
        <v>2906.415</v>
      </c>
      <c r="G26" s="92">
        <f t="shared" si="13"/>
        <v>369.277716</v>
      </c>
      <c r="H26" s="92">
        <f t="shared" si="13"/>
        <v>2552.4412320000001</v>
      </c>
      <c r="I26" s="92">
        <f t="shared" si="13"/>
        <v>2031.6496586999999</v>
      </c>
      <c r="J26" s="92">
        <f t="shared" si="13"/>
        <v>14306.349967250002</v>
      </c>
      <c r="K26" s="92">
        <f t="shared" si="13"/>
        <v>4783.4183682250004</v>
      </c>
      <c r="L26" s="270">
        <f t="shared" si="13"/>
        <v>3206.6987959724997</v>
      </c>
      <c r="R26" s="893"/>
    </row>
    <row r="27" spans="2:18" s="159" customFormat="1" ht="13.5" customHeight="1" x14ac:dyDescent="0.3">
      <c r="B27" s="834" t="s">
        <v>2691</v>
      </c>
      <c r="C27" s="43"/>
      <c r="D27" s="90">
        <f>'과거 CapEx(주석사항)'!W26/10^3</f>
        <v>2487.16</v>
      </c>
      <c r="E27" s="90">
        <f>'과거 CapEx(주석사항)'!N26/10^3</f>
        <v>162.184</v>
      </c>
      <c r="F27" s="90">
        <f>'과거 CapEx(주석사항)'!D26/10^3</f>
        <v>219.43700000000001</v>
      </c>
      <c r="G27" s="90">
        <v>0</v>
      </c>
      <c r="H27" s="90">
        <f>신규투자계획!D6*신규투자계획!D5</f>
        <v>540</v>
      </c>
      <c r="I27" s="90">
        <f>신규투자계획!E6*신규투자계획!E5</f>
        <v>480</v>
      </c>
      <c r="J27" s="90">
        <f>신규투자계획!F6*신규투자계획!F5</f>
        <v>3500</v>
      </c>
      <c r="K27" s="90">
        <f>신규투자계획!G6*신규투자계획!G5</f>
        <v>900</v>
      </c>
      <c r="L27" s="267">
        <f>신규투자계획!H6*신규투자계획!H5</f>
        <v>1100</v>
      </c>
      <c r="R27" s="893"/>
    </row>
    <row r="28" spans="2:18" s="159" customFormat="1" ht="13.5" customHeight="1" x14ac:dyDescent="0.3">
      <c r="B28" s="835" t="s">
        <v>2741</v>
      </c>
      <c r="C28" s="43"/>
      <c r="D28" s="554" t="e">
        <f>D27/C27-1</f>
        <v>#DIV/0!</v>
      </c>
      <c r="E28" s="554">
        <f>E27/D27-1</f>
        <v>-0.93479148908795573</v>
      </c>
      <c r="F28" s="554">
        <f>F27/E27-1</f>
        <v>0.35301262763281227</v>
      </c>
      <c r="G28" s="554">
        <f t="shared" ref="G28" si="14">G27/F27-1</f>
        <v>-1</v>
      </c>
      <c r="H28" s="554" t="e">
        <f t="shared" ref="H28" si="15">H27/G27-1</f>
        <v>#DIV/0!</v>
      </c>
      <c r="I28" s="554">
        <f t="shared" ref="I28" si="16">I27/H27-1</f>
        <v>-0.11111111111111116</v>
      </c>
      <c r="J28" s="554">
        <f t="shared" ref="J28" si="17">J27/I27-1</f>
        <v>6.291666666666667</v>
      </c>
      <c r="K28" s="554">
        <f t="shared" ref="K28:L28" si="18">K27/J27-1</f>
        <v>-0.74285714285714288</v>
      </c>
      <c r="L28" s="562">
        <f t="shared" si="18"/>
        <v>0.22222222222222232</v>
      </c>
      <c r="R28" s="893"/>
    </row>
    <row r="29" spans="2:18" s="159" customFormat="1" ht="13.5" customHeight="1" x14ac:dyDescent="0.3">
      <c r="B29" s="836" t="s">
        <v>58</v>
      </c>
      <c r="C29" s="43"/>
      <c r="D29" s="43">
        <f>D27/D$18</f>
        <v>6.0007169597348801E-2</v>
      </c>
      <c r="E29" s="43">
        <f t="shared" ref="E29:K29" si="19">E27/E$18</f>
        <v>2.6172747654780917E-3</v>
      </c>
      <c r="F29" s="43">
        <f t="shared" si="19"/>
        <v>2.6928673952702612E-3</v>
      </c>
      <c r="G29" s="43">
        <f t="shared" si="19"/>
        <v>0</v>
      </c>
      <c r="H29" s="43">
        <f t="shared" si="19"/>
        <v>3.9127251800788578E-3</v>
      </c>
      <c r="I29" s="43">
        <f t="shared" si="19"/>
        <v>2.6351758102624765E-3</v>
      </c>
      <c r="J29" s="43">
        <f t="shared" si="19"/>
        <v>1.7161504890193392E-2</v>
      </c>
      <c r="K29" s="43">
        <f t="shared" si="19"/>
        <v>3.4454154365114367E-3</v>
      </c>
      <c r="L29" s="314">
        <f t="shared" ref="L29" si="20">L27/L$18</f>
        <v>3.6564720727751306E-3</v>
      </c>
      <c r="R29" s="893"/>
    </row>
    <row r="30" spans="2:18" s="159" customFormat="1" ht="13.5" customHeight="1" x14ac:dyDescent="0.3">
      <c r="B30" s="834" t="s">
        <v>2692</v>
      </c>
      <c r="C30" s="43"/>
      <c r="D30" s="90">
        <f>'과거 CapEx(주석사항)'!W27/10^3</f>
        <v>177.55699999999999</v>
      </c>
      <c r="E30" s="90">
        <f>'과거 CapEx(주석사항)'!N27/10^3</f>
        <v>9.8889999999999993</v>
      </c>
      <c r="F30" s="90">
        <f>'과거 CapEx(주석사항)'!D27/10^3</f>
        <v>40.594000000000001</v>
      </c>
      <c r="G30" s="90">
        <v>0</v>
      </c>
      <c r="H30" s="90">
        <f>신규투자계획!D8*신규투자계획!D7</f>
        <v>650</v>
      </c>
      <c r="I30" s="90">
        <f>신규투자계획!E8*신규투자계획!E7</f>
        <v>420</v>
      </c>
      <c r="J30" s="90">
        <f>신규투자계획!F8*신규투자계획!F7</f>
        <v>6840</v>
      </c>
      <c r="K30" s="90">
        <f>신규투자계획!G8*신규투자계획!G7</f>
        <v>390</v>
      </c>
      <c r="L30" s="267">
        <f>신규투자계획!H8*신규투자계획!H7</f>
        <v>700</v>
      </c>
      <c r="M30" s="159">
        <v>200</v>
      </c>
      <c r="N30" s="159">
        <v>400</v>
      </c>
      <c r="O30" s="159">
        <v>600</v>
      </c>
      <c r="P30" s="159">
        <v>800</v>
      </c>
      <c r="Q30" s="159">
        <v>1000</v>
      </c>
      <c r="R30" s="894"/>
    </row>
    <row r="31" spans="2:18" s="159" customFormat="1" ht="13.5" customHeight="1" x14ac:dyDescent="0.3">
      <c r="B31" s="835" t="s">
        <v>2741</v>
      </c>
      <c r="C31" s="43"/>
      <c r="D31" s="554" t="e">
        <f>D30/C30-1</f>
        <v>#DIV/0!</v>
      </c>
      <c r="E31" s="554">
        <f>E30/D30-1</f>
        <v>-0.94430520903146598</v>
      </c>
      <c r="F31" s="554">
        <f>F30/E30-1</f>
        <v>3.1049651127515423</v>
      </c>
      <c r="G31" s="554">
        <f t="shared" ref="G31" si="21">G30/F30-1</f>
        <v>-1</v>
      </c>
      <c r="H31" s="554" t="e">
        <f t="shared" ref="H31" si="22">H30/G30-1</f>
        <v>#DIV/0!</v>
      </c>
      <c r="I31" s="554">
        <f t="shared" ref="I31" si="23">I30/H30-1</f>
        <v>-0.35384615384615381</v>
      </c>
      <c r="J31" s="554">
        <f t="shared" ref="J31" si="24">J30/I30-1</f>
        <v>15.285714285714285</v>
      </c>
      <c r="K31" s="554">
        <f t="shared" ref="K31:L31" si="25">K30/J30-1</f>
        <v>-0.94298245614035092</v>
      </c>
      <c r="L31" s="562">
        <f t="shared" si="25"/>
        <v>0.79487179487179493</v>
      </c>
      <c r="R31" s="894"/>
    </row>
    <row r="32" spans="2:18" s="159" customFormat="1" ht="13.5" customHeight="1" x14ac:dyDescent="0.3">
      <c r="B32" s="836" t="s">
        <v>58</v>
      </c>
      <c r="C32" s="43"/>
      <c r="D32" s="43">
        <f>D30/D$18</f>
        <v>4.2838792084934066E-3</v>
      </c>
      <c r="E32" s="43">
        <f t="shared" ref="E32:K32" si="26">E30/E$18</f>
        <v>1.5958559510070565E-4</v>
      </c>
      <c r="F32" s="43">
        <f t="shared" si="26"/>
        <v>4.9815782681863585E-4</v>
      </c>
      <c r="G32" s="43">
        <f t="shared" si="26"/>
        <v>0</v>
      </c>
      <c r="H32" s="43">
        <f t="shared" si="26"/>
        <v>4.7097617908356615E-3</v>
      </c>
      <c r="I32" s="43">
        <f t="shared" si="26"/>
        <v>2.3057788339796667E-3</v>
      </c>
      <c r="J32" s="43">
        <f t="shared" si="26"/>
        <v>3.3538483842549371E-2</v>
      </c>
      <c r="K32" s="43">
        <f t="shared" si="26"/>
        <v>1.4930133558216227E-3</v>
      </c>
      <c r="L32" s="314">
        <f t="shared" ref="L32" si="27">L30/L$18</f>
        <v>2.3268458644932649E-3</v>
      </c>
      <c r="R32" s="894"/>
    </row>
    <row r="33" spans="2:18" s="159" customFormat="1" ht="13.5" customHeight="1" x14ac:dyDescent="0.3">
      <c r="B33" s="834" t="s">
        <v>2696</v>
      </c>
      <c r="C33" s="43"/>
      <c r="D33" s="90">
        <f>IFERROR('과거 CapEx(주석사항)'!W28/10^3,0)</f>
        <v>0</v>
      </c>
      <c r="E33" s="90">
        <f>'과거 CapEx(주석사항)'!N28/10^3</f>
        <v>1.8</v>
      </c>
      <c r="F33" s="90">
        <f>IFERROR('과거 CapEx(주석사항)'!D28/10^3,0)</f>
        <v>0</v>
      </c>
      <c r="G33" s="90">
        <v>0</v>
      </c>
      <c r="H33" s="90">
        <f>신규투자계획!D9</f>
        <v>0</v>
      </c>
      <c r="I33" s="90">
        <f>신규투자계획!E9</f>
        <v>0</v>
      </c>
      <c r="J33" s="90">
        <f>신규투자계획!F9</f>
        <v>0</v>
      </c>
      <c r="K33" s="90">
        <f>신규투자계획!G9</f>
        <v>0</v>
      </c>
      <c r="L33" s="930">
        <f>신규투자계획!H9</f>
        <v>0</v>
      </c>
      <c r="R33" s="894"/>
    </row>
    <row r="34" spans="2:18" s="159" customFormat="1" ht="13.5" customHeight="1" x14ac:dyDescent="0.3">
      <c r="B34" s="835" t="s">
        <v>2741</v>
      </c>
      <c r="C34" s="43"/>
      <c r="D34" s="554" t="e">
        <f>D33/C33-1</f>
        <v>#DIV/0!</v>
      </c>
      <c r="E34" s="554" t="e">
        <f>E33/D33-1</f>
        <v>#DIV/0!</v>
      </c>
      <c r="F34" s="554">
        <f>F33/E33-1</f>
        <v>-1</v>
      </c>
      <c r="G34" s="554" t="e">
        <f t="shared" ref="G34" si="28">G33/F33-1</f>
        <v>#DIV/0!</v>
      </c>
      <c r="H34" s="554" t="e">
        <f t="shared" ref="H34" si="29">H33/G33-1</f>
        <v>#DIV/0!</v>
      </c>
      <c r="I34" s="554" t="e">
        <f t="shared" ref="I34" si="30">I33/H33-1</f>
        <v>#DIV/0!</v>
      </c>
      <c r="J34" s="554" t="e">
        <f t="shared" ref="J34" si="31">J33/I33-1</f>
        <v>#DIV/0!</v>
      </c>
      <c r="K34" s="554" t="e">
        <f t="shared" ref="K34:L34" si="32">K33/J33-1</f>
        <v>#DIV/0!</v>
      </c>
      <c r="L34" s="562" t="e">
        <f t="shared" si="32"/>
        <v>#DIV/0!</v>
      </c>
      <c r="R34" s="894"/>
    </row>
    <row r="35" spans="2:18" s="159" customFormat="1" ht="13.5" customHeight="1" x14ac:dyDescent="0.3">
      <c r="B35" s="836" t="s">
        <v>58</v>
      </c>
      <c r="C35" s="43"/>
      <c r="D35" s="43">
        <f>D33/D$18</f>
        <v>0</v>
      </c>
      <c r="E35" s="43">
        <f t="shared" ref="E35:K35" si="33">E33/E$18</f>
        <v>2.9047838121273153E-5</v>
      </c>
      <c r="F35" s="43">
        <f t="shared" si="33"/>
        <v>0</v>
      </c>
      <c r="G35" s="43">
        <f t="shared" si="33"/>
        <v>0</v>
      </c>
      <c r="H35" s="43">
        <f t="shared" si="33"/>
        <v>0</v>
      </c>
      <c r="I35" s="43">
        <f t="shared" si="33"/>
        <v>0</v>
      </c>
      <c r="J35" s="43">
        <f t="shared" si="33"/>
        <v>0</v>
      </c>
      <c r="K35" s="43">
        <f t="shared" si="33"/>
        <v>0</v>
      </c>
      <c r="L35" s="314">
        <f t="shared" ref="L35" si="34">L33/L$18</f>
        <v>0</v>
      </c>
      <c r="R35" s="894"/>
    </row>
    <row r="36" spans="2:18" s="159" customFormat="1" ht="13.5" customHeight="1" x14ac:dyDescent="0.3">
      <c r="B36" s="834" t="s">
        <v>2693</v>
      </c>
      <c r="C36" s="43"/>
      <c r="D36" s="90">
        <f>'과거 CapEx(주석사항)'!W29/10^3</f>
        <v>423.32499999999999</v>
      </c>
      <c r="E36" s="90">
        <f>'과거 CapEx(주석사항)'!N29/10^3</f>
        <v>65.956999999999994</v>
      </c>
      <c r="F36" s="90">
        <f>'과거 CapEx(주석사항)'!D29/10^3</f>
        <v>918.33500000000004</v>
      </c>
      <c r="G36" s="90">
        <f>'유무형자산명세서(2017.12)'!H308/10^6</f>
        <v>256.70600000000002</v>
      </c>
      <c r="H36" s="90">
        <f>신규투자계획!D11</f>
        <v>1200</v>
      </c>
      <c r="I36" s="90">
        <f>신규투자계획!E11</f>
        <v>1000</v>
      </c>
      <c r="J36" s="90">
        <f>신규투자계획!F11</f>
        <v>3800</v>
      </c>
      <c r="K36" s="90">
        <f>신규투자계획!G11</f>
        <v>3300</v>
      </c>
      <c r="L36" s="267">
        <f>신규투자계획!H11</f>
        <v>1200</v>
      </c>
      <c r="M36" s="159" t="s">
        <v>3182</v>
      </c>
      <c r="R36" s="893"/>
    </row>
    <row r="37" spans="2:18" s="159" customFormat="1" ht="13.5" customHeight="1" x14ac:dyDescent="0.3">
      <c r="B37" s="835" t="s">
        <v>2741</v>
      </c>
      <c r="C37" s="43"/>
      <c r="D37" s="554" t="e">
        <f>D36/C36-1</f>
        <v>#DIV/0!</v>
      </c>
      <c r="E37" s="554">
        <f>E36/D36-1</f>
        <v>-0.84419299592511665</v>
      </c>
      <c r="F37" s="554">
        <f>F36/E36-1</f>
        <v>12.923237867095231</v>
      </c>
      <c r="G37" s="554">
        <f t="shared" ref="G37" si="35">G36/F36-1</f>
        <v>-0.72046584307469497</v>
      </c>
      <c r="H37" s="554">
        <f t="shared" ref="H37" si="36">H36/G36-1</f>
        <v>3.6746083067789606</v>
      </c>
      <c r="I37" s="554">
        <f t="shared" ref="I37" si="37">I36/H36-1</f>
        <v>-0.16666666666666663</v>
      </c>
      <c r="J37" s="554">
        <f t="shared" ref="J37" si="38">J36/I36-1</f>
        <v>2.8</v>
      </c>
      <c r="K37" s="554">
        <f t="shared" ref="K37:L37" si="39">K36/J36-1</f>
        <v>-0.13157894736842102</v>
      </c>
      <c r="L37" s="562">
        <f t="shared" si="39"/>
        <v>-0.63636363636363635</v>
      </c>
      <c r="R37" s="893"/>
    </row>
    <row r="38" spans="2:18" s="159" customFormat="1" ht="13.5" customHeight="1" x14ac:dyDescent="0.3">
      <c r="B38" s="836" t="s">
        <v>58</v>
      </c>
      <c r="C38" s="43"/>
      <c r="D38" s="43">
        <f>D36/D$18</f>
        <v>1.0213470411954874E-2</v>
      </c>
      <c r="E38" s="43">
        <f t="shared" ref="E38:K38" si="40">E36/E$18</f>
        <v>1.0643934772026739E-3</v>
      </c>
      <c r="F38" s="43">
        <f t="shared" si="40"/>
        <v>1.1269541505924323E-2</v>
      </c>
      <c r="G38" s="43">
        <f t="shared" si="40"/>
        <v>2.7801903507598757E-3</v>
      </c>
      <c r="H38" s="43">
        <f t="shared" si="40"/>
        <v>8.6949448446196828E-3</v>
      </c>
      <c r="I38" s="43">
        <f t="shared" si="40"/>
        <v>5.4899496047134929E-3</v>
      </c>
      <c r="J38" s="43">
        <f t="shared" si="40"/>
        <v>1.863249102363854E-2</v>
      </c>
      <c r="K38" s="43">
        <f t="shared" si="40"/>
        <v>1.2633189933875268E-2</v>
      </c>
      <c r="L38" s="314">
        <f t="shared" ref="L38" si="41">L36/L$18</f>
        <v>3.9888786248455967E-3</v>
      </c>
      <c r="R38" s="893"/>
    </row>
    <row r="39" spans="2:18" s="159" customFormat="1" ht="13.5" customHeight="1" x14ac:dyDescent="0.3">
      <c r="B39" s="834" t="s">
        <v>2694</v>
      </c>
      <c r="C39" s="43"/>
      <c r="D39" s="90">
        <f>'과거 CapEx(주석사항)'!W30/10^3</f>
        <v>140.30500000000001</v>
      </c>
      <c r="E39" s="90">
        <f>'과거 CapEx(주석사항)'!N30/10^3</f>
        <v>395.90899999999999</v>
      </c>
      <c r="F39" s="90">
        <f>'과거 CapEx(주석사항)'!D30/10^3</f>
        <v>425.988</v>
      </c>
      <c r="G39" s="90">
        <f>'유무형자산명세서(2017.12)'!H309/10^6</f>
        <v>104.430807</v>
      </c>
      <c r="H39" s="488">
        <f>G70+G101</f>
        <v>135.07092900000001</v>
      </c>
      <c r="I39" s="488">
        <f>H70+H101</f>
        <v>109.86733459999999</v>
      </c>
      <c r="J39" s="488">
        <f t="shared" ref="J39:L39" si="42">I70+I101</f>
        <v>154.16721644</v>
      </c>
      <c r="K39" s="488">
        <f t="shared" si="42"/>
        <v>180.722522924</v>
      </c>
      <c r="L39" s="1303">
        <f t="shared" si="42"/>
        <v>191.53395406039999</v>
      </c>
      <c r="M39" s="159" t="s">
        <v>3239</v>
      </c>
      <c r="R39" s="893"/>
    </row>
    <row r="40" spans="2:18" s="159" customFormat="1" ht="13.5" customHeight="1" x14ac:dyDescent="0.3">
      <c r="B40" s="835" t="s">
        <v>2741</v>
      </c>
      <c r="C40" s="43"/>
      <c r="D40" s="554" t="e">
        <f>D39/C39-1</f>
        <v>#DIV/0!</v>
      </c>
      <c r="E40" s="554">
        <f>E39/D39-1</f>
        <v>1.8217739923737568</v>
      </c>
      <c r="F40" s="554">
        <f>F39/E39-1</f>
        <v>7.5974529500466126E-2</v>
      </c>
      <c r="G40" s="554">
        <f t="shared" ref="G40" si="43">G39/F39-1</f>
        <v>-0.75485035493957575</v>
      </c>
      <c r="H40" s="554">
        <f t="shared" ref="H40" si="44">H39/G39-1</f>
        <v>0.29340117997939053</v>
      </c>
      <c r="I40" s="554">
        <f t="shared" ref="I40" si="45">I39/H39-1</f>
        <v>-0.18659525470502991</v>
      </c>
      <c r="J40" s="554">
        <f t="shared" ref="J40" si="46">J39/I39-1</f>
        <v>0.40321249260560488</v>
      </c>
      <c r="K40" s="554">
        <f t="shared" ref="K40:L40" si="47">K39/J39-1</f>
        <v>0.17225002239263354</v>
      </c>
      <c r="L40" s="562">
        <f t="shared" si="47"/>
        <v>5.9823374317027334E-2</v>
      </c>
      <c r="R40" s="893"/>
    </row>
    <row r="41" spans="2:18" s="159" customFormat="1" ht="13.5" customHeight="1" x14ac:dyDescent="0.3">
      <c r="B41" s="836" t="s">
        <v>58</v>
      </c>
      <c r="C41" s="43"/>
      <c r="D41" s="43">
        <f>D39/D$18</f>
        <v>3.3851082883111761E-3</v>
      </c>
      <c r="E41" s="43">
        <f t="shared" ref="E41:K41" si="48">E39/E$18</f>
        <v>6.3890558570861844E-3</v>
      </c>
      <c r="F41" s="43">
        <f t="shared" si="48"/>
        <v>5.2276015256150421E-3</v>
      </c>
      <c r="G41" s="43">
        <f t="shared" si="48"/>
        <v>1.1310118265387909E-3</v>
      </c>
      <c r="H41" s="43">
        <f t="shared" si="48"/>
        <v>9.7869523147211786E-4</v>
      </c>
      <c r="I41" s="43">
        <f t="shared" si="48"/>
        <v>6.0316613015819502E-4</v>
      </c>
      <c r="J41" s="43">
        <f t="shared" si="48"/>
        <v>7.5592612538358955E-4</v>
      </c>
      <c r="K41" s="43">
        <f t="shared" si="48"/>
        <v>6.9184907800849064E-4</v>
      </c>
      <c r="L41" s="314">
        <f t="shared" ref="L41" si="49">L39/L$18</f>
        <v>6.3667141273640669E-4</v>
      </c>
      <c r="R41" s="893"/>
    </row>
    <row r="42" spans="2:18" s="159" customFormat="1" ht="13.5" customHeight="1" x14ac:dyDescent="0.3">
      <c r="B42" s="834" t="s">
        <v>2740</v>
      </c>
      <c r="C42" s="43"/>
      <c r="D42" s="90">
        <f>'과거 CapEx(주석사항)'!W31/10^3</f>
        <v>7.6020000000000003</v>
      </c>
      <c r="E42" s="90">
        <f>'과거 CapEx(주석사항)'!N31/10^3</f>
        <v>6.76</v>
      </c>
      <c r="F42" s="90">
        <f>'과거 CapEx(주석사항)'!D31/10^3</f>
        <v>7.3</v>
      </c>
      <c r="G42" s="90">
        <f>'유무형자산명세서(2017.12)'!H310/10^6</f>
        <v>3.09</v>
      </c>
      <c r="H42" s="488">
        <f>G71+G108</f>
        <v>14.058945</v>
      </c>
      <c r="I42" s="488">
        <f t="shared" ref="I42:L42" si="50">H71+H108</f>
        <v>5.8024795000000005</v>
      </c>
      <c r="J42" s="488">
        <f t="shared" si="50"/>
        <v>5.3541069500000003</v>
      </c>
      <c r="K42" s="488">
        <f t="shared" si="50"/>
        <v>5.1256955950000007</v>
      </c>
      <c r="L42" s="1488">
        <f t="shared" si="50"/>
        <v>6.1736758495000004</v>
      </c>
      <c r="M42" s="159" t="s">
        <v>3239</v>
      </c>
    </row>
    <row r="43" spans="2:18" s="159" customFormat="1" ht="13.5" customHeight="1" x14ac:dyDescent="0.3">
      <c r="B43" s="835" t="s">
        <v>2741</v>
      </c>
      <c r="C43" s="43"/>
      <c r="D43" s="554" t="e">
        <f>D42/C42-1</f>
        <v>#DIV/0!</v>
      </c>
      <c r="E43" s="554">
        <f>E42/D42-1</f>
        <v>-0.11076032622993959</v>
      </c>
      <c r="F43" s="554">
        <f>F42/E42-1</f>
        <v>7.9881656804733803E-2</v>
      </c>
      <c r="G43" s="554">
        <f t="shared" ref="G43" si="51">G42/F42-1</f>
        <v>-0.57671232876712331</v>
      </c>
      <c r="H43" s="554">
        <f t="shared" ref="H43" si="52">H42/G42-1</f>
        <v>3.5498203883495147</v>
      </c>
      <c r="I43" s="554">
        <f t="shared" ref="I43" si="53">I42/H42-1</f>
        <v>-0.58727489864993421</v>
      </c>
      <c r="J43" s="554">
        <f t="shared" ref="J43" si="54">J42/I42-1</f>
        <v>-7.7272578041852613E-2</v>
      </c>
      <c r="K43" s="554">
        <f t="shared" ref="K43:L43" si="55">K42/J42-1</f>
        <v>-4.2660962347791598E-2</v>
      </c>
      <c r="L43" s="562">
        <f t="shared" si="55"/>
        <v>0.20445620210499449</v>
      </c>
    </row>
    <row r="44" spans="2:18" s="159" customFormat="1" ht="13.5" customHeight="1" x14ac:dyDescent="0.3">
      <c r="B44" s="836" t="s">
        <v>58</v>
      </c>
      <c r="C44" s="43"/>
      <c r="D44" s="43">
        <f>D42/D$18</f>
        <v>1.8341180433870184E-4</v>
      </c>
      <c r="E44" s="43">
        <f t="shared" ref="E44:K44" si="56">E42/E$18</f>
        <v>1.0909076983322583E-4</v>
      </c>
      <c r="F44" s="43">
        <f t="shared" si="56"/>
        <v>8.9583488588856506E-5</v>
      </c>
      <c r="G44" s="43">
        <f t="shared" si="56"/>
        <v>3.3465474838328724E-5</v>
      </c>
      <c r="H44" s="43">
        <f t="shared" si="56"/>
        <v>1.0186812612378472E-4</v>
      </c>
      <c r="I44" s="43">
        <f t="shared" si="56"/>
        <v>3.1855320037383143E-5</v>
      </c>
      <c r="J44" s="43">
        <f t="shared" si="56"/>
        <v>2.6252723601440982E-5</v>
      </c>
      <c r="K44" s="43">
        <f t="shared" si="56"/>
        <v>1.9622389695412973E-5</v>
      </c>
      <c r="L44" s="314">
        <f t="shared" ref="L44" si="57">L42/L$18</f>
        <v>2.0521703027330028E-5</v>
      </c>
    </row>
    <row r="45" spans="2:18" s="159" customFormat="1" ht="13.5" customHeight="1" x14ac:dyDescent="0.3">
      <c r="B45" s="834" t="s">
        <v>2695</v>
      </c>
      <c r="C45" s="43"/>
      <c r="D45" s="90">
        <f>'과거 CapEx(주석사항)'!W32/10^3</f>
        <v>13.635999999999999</v>
      </c>
      <c r="E45" s="90">
        <f>'과거 CapEx(주석사항)'!N32/10^3</f>
        <v>36.494999999999997</v>
      </c>
      <c r="F45" s="90">
        <f>'과거 CapEx(주석사항)'!D32/10^3</f>
        <v>10.130000000000001</v>
      </c>
      <c r="G45" s="90">
        <f>'유무형자산명세서(2017.12)'!H311/10^6</f>
        <v>5.0509089999999999</v>
      </c>
      <c r="H45" s="488">
        <f>G72+G115</f>
        <v>13.311358</v>
      </c>
      <c r="I45" s="488">
        <f t="shared" ref="I45:L45" si="58">H72+H115</f>
        <v>15.979844600000002</v>
      </c>
      <c r="J45" s="488">
        <f t="shared" si="58"/>
        <v>6.8286438599999997</v>
      </c>
      <c r="K45" s="488">
        <f t="shared" si="58"/>
        <v>7.5701497060000014</v>
      </c>
      <c r="L45" s="1488">
        <f t="shared" si="58"/>
        <v>8.9911660626000014</v>
      </c>
      <c r="M45" s="159" t="s">
        <v>3239</v>
      </c>
    </row>
    <row r="46" spans="2:18" s="159" customFormat="1" ht="13.5" customHeight="1" x14ac:dyDescent="0.3">
      <c r="B46" s="835" t="s">
        <v>2741</v>
      </c>
      <c r="C46" s="43"/>
      <c r="D46" s="554" t="e">
        <f>D45/C45-1</f>
        <v>#DIV/0!</v>
      </c>
      <c r="E46" s="554">
        <f>E45/D45-1</f>
        <v>1.6763713699031975</v>
      </c>
      <c r="F46" s="554">
        <f>F45/E45-1</f>
        <v>-0.72242772982600356</v>
      </c>
      <c r="G46" s="554">
        <f t="shared" ref="G46" si="59">G45/F45-1</f>
        <v>-0.50139101678183617</v>
      </c>
      <c r="H46" s="554">
        <f t="shared" ref="H46" si="60">H45/G45-1</f>
        <v>1.6354380963901747</v>
      </c>
      <c r="I46" s="554">
        <f t="shared" ref="I46" si="61">I45/H45-1</f>
        <v>0.20046689451219035</v>
      </c>
      <c r="J46" s="554">
        <f t="shared" ref="J46" si="62">J45/I45-1</f>
        <v>-0.57267144763097388</v>
      </c>
      <c r="K46" s="554">
        <f t="shared" ref="K46:L46" si="63">K45/J45-1</f>
        <v>0.10858757041694678</v>
      </c>
      <c r="L46" s="562">
        <f t="shared" si="63"/>
        <v>0.18771311160117765</v>
      </c>
    </row>
    <row r="47" spans="2:18" s="159" customFormat="1" ht="13.5" customHeight="1" x14ac:dyDescent="0.3">
      <c r="B47" s="836" t="s">
        <v>58</v>
      </c>
      <c r="C47" s="43"/>
      <c r="D47" s="43">
        <f>D45/D$18</f>
        <v>3.2899281293903419E-4</v>
      </c>
      <c r="E47" s="43">
        <f t="shared" ref="E47:K47" si="64">E45/E$18</f>
        <v>5.8894491790881308E-4</v>
      </c>
      <c r="F47" s="43">
        <f t="shared" si="64"/>
        <v>1.243124300554954E-4</v>
      </c>
      <c r="G47" s="43">
        <f t="shared" si="64"/>
        <v>5.4702611019478353E-5</v>
      </c>
      <c r="H47" s="43">
        <f t="shared" si="64"/>
        <v>9.6451269680822475E-5</v>
      </c>
      <c r="I47" s="43">
        <f t="shared" si="64"/>
        <v>8.7728541545153052E-5</v>
      </c>
      <c r="J47" s="43">
        <f t="shared" si="64"/>
        <v>3.3482801427651167E-5</v>
      </c>
      <c r="K47" s="43">
        <f t="shared" si="64"/>
        <v>2.8980345170838798E-5</v>
      </c>
      <c r="L47" s="314">
        <f t="shared" ref="L47" si="65">L45/L$18</f>
        <v>2.9887225099618578E-5</v>
      </c>
    </row>
    <row r="48" spans="2:18" s="159" customFormat="1" ht="13.5" customHeight="1" x14ac:dyDescent="0.3">
      <c r="B48" s="834" t="s">
        <v>2698</v>
      </c>
      <c r="C48" s="43"/>
      <c r="D48" s="90">
        <f>'과거 CapEx(주석사항)'!W33/10^3</f>
        <v>135.37899999999999</v>
      </c>
      <c r="E48" s="90">
        <f>'과거 CapEx(주석사항)'!N33/10^3</f>
        <v>196.18899999999999</v>
      </c>
      <c r="F48" s="90">
        <f>'과거 CapEx(주석사항)'!D33/10^3</f>
        <v>1284.6310000000001</v>
      </c>
      <c r="G48" s="90">
        <v>0</v>
      </c>
      <c r="H48" s="488">
        <v>0</v>
      </c>
      <c r="I48" s="488">
        <v>0</v>
      </c>
      <c r="J48" s="488">
        <v>0</v>
      </c>
      <c r="K48" s="488">
        <v>0</v>
      </c>
      <c r="L48" s="1304">
        <v>0</v>
      </c>
      <c r="M48" s="159" t="s">
        <v>3181</v>
      </c>
    </row>
    <row r="49" spans="2:13" s="159" customFormat="1" ht="13.5" customHeight="1" x14ac:dyDescent="0.3">
      <c r="B49" s="835" t="s">
        <v>2741</v>
      </c>
      <c r="C49" s="43"/>
      <c r="D49" s="554" t="e">
        <f>D48/C48-1</f>
        <v>#DIV/0!</v>
      </c>
      <c r="E49" s="554">
        <f>E48/D48-1</f>
        <v>0.44918340362980969</v>
      </c>
      <c r="F49" s="554">
        <f>F48/E48-1</f>
        <v>5.5479257246838518</v>
      </c>
      <c r="G49" s="554">
        <f t="shared" ref="G49" si="66">G48/F48-1</f>
        <v>-1</v>
      </c>
      <c r="H49" s="554" t="e">
        <f t="shared" ref="H49" si="67">H48/G48-1</f>
        <v>#DIV/0!</v>
      </c>
      <c r="I49" s="554" t="e">
        <f t="shared" ref="I49" si="68">I48/H48-1</f>
        <v>#DIV/0!</v>
      </c>
      <c r="J49" s="554" t="e">
        <f t="shared" ref="J49" si="69">J48/I48-1</f>
        <v>#DIV/0!</v>
      </c>
      <c r="K49" s="554" t="e">
        <f t="shared" ref="K49:L49" si="70">K48/J48-1</f>
        <v>#DIV/0!</v>
      </c>
      <c r="L49" s="562" t="e">
        <f t="shared" si="70"/>
        <v>#DIV/0!</v>
      </c>
    </row>
    <row r="50" spans="2:13" s="159" customFormat="1" ht="13.5" customHeight="1" x14ac:dyDescent="0.3">
      <c r="B50" s="836" t="s">
        <v>58</v>
      </c>
      <c r="C50" s="43"/>
      <c r="D50" s="43">
        <f>D48/D$18</f>
        <v>3.2662597552708646E-3</v>
      </c>
      <c r="E50" s="43">
        <f t="shared" ref="E50:K50" si="71">E48/E$18</f>
        <v>3.1660368406524766E-3</v>
      </c>
      <c r="F50" s="43">
        <f t="shared" si="71"/>
        <v>1.5764620072519362E-2</v>
      </c>
      <c r="G50" s="43">
        <f t="shared" si="71"/>
        <v>0</v>
      </c>
      <c r="H50" s="43">
        <f t="shared" si="71"/>
        <v>0</v>
      </c>
      <c r="I50" s="43">
        <f t="shared" si="71"/>
        <v>0</v>
      </c>
      <c r="J50" s="43">
        <f t="shared" si="71"/>
        <v>0</v>
      </c>
      <c r="K50" s="43">
        <f t="shared" si="71"/>
        <v>0</v>
      </c>
      <c r="L50" s="314">
        <f t="shared" ref="L50" si="72">L48/L$18</f>
        <v>0</v>
      </c>
    </row>
    <row r="51" spans="2:13" s="159" customFormat="1" ht="13.5" customHeight="1" x14ac:dyDescent="0.3">
      <c r="B51" s="834"/>
      <c r="C51" s="43"/>
      <c r="D51" s="43"/>
      <c r="E51" s="43"/>
      <c r="F51" s="43"/>
      <c r="G51" s="43"/>
      <c r="H51" s="43"/>
      <c r="I51" s="43"/>
      <c r="J51" s="43"/>
      <c r="K51" s="43"/>
      <c r="L51" s="930"/>
    </row>
    <row r="52" spans="2:13" s="159" customFormat="1" ht="13.5" customHeight="1" x14ac:dyDescent="0.3">
      <c r="B52" s="929" t="s">
        <v>2699</v>
      </c>
      <c r="C52" s="43"/>
      <c r="D52" s="90">
        <f>D53+D56</f>
        <v>24.05</v>
      </c>
      <c r="E52" s="90">
        <f t="shared" ref="E52:L52" si="73">E53+E56</f>
        <v>129.5</v>
      </c>
      <c r="F52" s="90">
        <f t="shared" si="73"/>
        <v>1516.3879999999999</v>
      </c>
      <c r="G52" s="90">
        <f t="shared" si="73"/>
        <v>12.98</v>
      </c>
      <c r="H52" s="90">
        <f t="shared" si="73"/>
        <v>251.87759299999999</v>
      </c>
      <c r="I52" s="90">
        <f t="shared" si="73"/>
        <v>231.88696041428568</v>
      </c>
      <c r="J52" s="90">
        <f t="shared" si="73"/>
        <v>242.33496204142853</v>
      </c>
      <c r="K52" s="90">
        <f t="shared" si="73"/>
        <v>246.68272645842853</v>
      </c>
      <c r="L52" s="267">
        <f t="shared" si="73"/>
        <v>245.73632279412854</v>
      </c>
    </row>
    <row r="53" spans="2:13" s="159" customFormat="1" ht="13.5" customHeight="1" x14ac:dyDescent="0.3">
      <c r="B53" s="834" t="s">
        <v>2700</v>
      </c>
      <c r="C53" s="43"/>
      <c r="D53" s="90"/>
      <c r="E53" s="90"/>
      <c r="F53" s="90">
        <f>'과거 CapEx(주석사항)'!D48/10^3</f>
        <v>1450</v>
      </c>
      <c r="G53" s="90">
        <v>0</v>
      </c>
      <c r="H53" s="488">
        <f>G76+G130</f>
        <v>205.9</v>
      </c>
      <c r="I53" s="488">
        <f t="shared" ref="I53:L53" si="74">H76+H130</f>
        <v>199.78928571428568</v>
      </c>
      <c r="J53" s="488">
        <f t="shared" si="74"/>
        <v>214.49642857142854</v>
      </c>
      <c r="K53" s="488">
        <f t="shared" si="74"/>
        <v>214.49642857142854</v>
      </c>
      <c r="L53" s="1305">
        <f t="shared" si="74"/>
        <v>214.49642857142854</v>
      </c>
      <c r="M53" s="159" t="s">
        <v>3239</v>
      </c>
    </row>
    <row r="54" spans="2:13" s="159" customFormat="1" ht="13.5" customHeight="1" x14ac:dyDescent="0.3">
      <c r="B54" s="835" t="s">
        <v>2741</v>
      </c>
      <c r="C54" s="43"/>
      <c r="D54" s="554" t="e">
        <f>D53/C53-1</f>
        <v>#DIV/0!</v>
      </c>
      <c r="E54" s="554" t="e">
        <f>E53/D53-1</f>
        <v>#DIV/0!</v>
      </c>
      <c r="F54" s="554" t="e">
        <f>F53/E53-1</f>
        <v>#DIV/0!</v>
      </c>
      <c r="G54" s="554">
        <f t="shared" ref="G54" si="75">G53/F53-1</f>
        <v>-1</v>
      </c>
      <c r="H54" s="554" t="e">
        <f t="shared" ref="H54" si="76">H53/G53-1</f>
        <v>#DIV/0!</v>
      </c>
      <c r="I54" s="554">
        <f t="shared" ref="I54" si="77">I53/H53-1</f>
        <v>-2.9678068410462943E-2</v>
      </c>
      <c r="J54" s="554">
        <f t="shared" ref="J54" si="78">J53/I53-1</f>
        <v>7.3613271124935098E-2</v>
      </c>
      <c r="K54" s="554">
        <f t="shared" ref="K54:L54" si="79">K53/J53-1</f>
        <v>0</v>
      </c>
      <c r="L54" s="562">
        <f t="shared" si="79"/>
        <v>0</v>
      </c>
    </row>
    <row r="55" spans="2:13" s="159" customFormat="1" ht="13.5" customHeight="1" x14ac:dyDescent="0.3">
      <c r="B55" s="836" t="s">
        <v>58</v>
      </c>
      <c r="C55" s="43"/>
      <c r="D55" s="43">
        <f>D53/D$18</f>
        <v>0</v>
      </c>
      <c r="E55" s="43">
        <f t="shared" ref="E55:K55" si="80">E53/E$18</f>
        <v>0</v>
      </c>
      <c r="F55" s="43">
        <f t="shared" si="80"/>
        <v>1.7793980610115334E-2</v>
      </c>
      <c r="G55" s="43">
        <f t="shared" si="80"/>
        <v>0</v>
      </c>
      <c r="H55" s="43">
        <f t="shared" si="80"/>
        <v>1.4919076195893273E-3</v>
      </c>
      <c r="I55" s="43">
        <f t="shared" si="80"/>
        <v>1.0968331101331337E-3</v>
      </c>
      <c r="J55" s="43">
        <f t="shared" si="80"/>
        <v>1.0517375736735968E-3</v>
      </c>
      <c r="K55" s="43">
        <f t="shared" si="80"/>
        <v>8.2114367341841411E-4</v>
      </c>
      <c r="L55" s="314">
        <f t="shared" ref="L55" si="81">L53/L$18</f>
        <v>7.1300018252857644E-4</v>
      </c>
    </row>
    <row r="56" spans="2:13" s="159" customFormat="1" ht="13.5" customHeight="1" x14ac:dyDescent="0.3">
      <c r="B56" s="834" t="s">
        <v>2702</v>
      </c>
      <c r="C56" s="43"/>
      <c r="D56" s="90">
        <f>'과거 CapEx(주석사항)'!W48/10^3</f>
        <v>24.05</v>
      </c>
      <c r="E56" s="90">
        <f>'과거 CapEx(주석사항)'!N48/10^3</f>
        <v>129.5</v>
      </c>
      <c r="F56" s="90">
        <f>'과거 CapEx(주석사항)'!D47/10^3</f>
        <v>66.388000000000005</v>
      </c>
      <c r="G56" s="90">
        <f>'유무형자산명세서(2017.12)'!H312/10^6</f>
        <v>12.98</v>
      </c>
      <c r="H56" s="488">
        <f>G77+G136</f>
        <v>45.977592999999999</v>
      </c>
      <c r="I56" s="488">
        <f t="shared" ref="I56:L56" si="82">H77+H136</f>
        <v>32.097674699999999</v>
      </c>
      <c r="J56" s="488">
        <f t="shared" si="82"/>
        <v>27.838533470000002</v>
      </c>
      <c r="K56" s="488">
        <f t="shared" si="82"/>
        <v>32.186297887000002</v>
      </c>
      <c r="L56" s="1303">
        <f t="shared" si="82"/>
        <v>31.239894222699998</v>
      </c>
      <c r="M56" s="159" t="s">
        <v>3239</v>
      </c>
    </row>
    <row r="57" spans="2:13" s="159" customFormat="1" ht="13.5" customHeight="1" x14ac:dyDescent="0.3">
      <c r="B57" s="835" t="s">
        <v>2741</v>
      </c>
      <c r="C57" s="43"/>
      <c r="D57" s="554" t="e">
        <f>D56/C56-1</f>
        <v>#DIV/0!</v>
      </c>
      <c r="E57" s="554">
        <f>E56/D56-1</f>
        <v>4.3846153846153841</v>
      </c>
      <c r="F57" s="554">
        <f>F56/E56-1</f>
        <v>-0.48735135135135133</v>
      </c>
      <c r="G57" s="554">
        <f t="shared" ref="G57" si="83">G56/F56-1</f>
        <v>-0.80448273784418878</v>
      </c>
      <c r="H57" s="554">
        <f t="shared" ref="H57" si="84">H56/G56-1</f>
        <v>2.5421874422187978</v>
      </c>
      <c r="I57" s="554">
        <f t="shared" ref="I57" si="85">I56/H56-1</f>
        <v>-0.30188440486651835</v>
      </c>
      <c r="J57" s="554">
        <f t="shared" ref="J57" si="86">J56/I56-1</f>
        <v>-0.13269313960615337</v>
      </c>
      <c r="K57" s="554">
        <f t="shared" ref="K57:L57" si="87">K56/J56-1</f>
        <v>0.15617792588411095</v>
      </c>
      <c r="L57" s="562">
        <f t="shared" si="87"/>
        <v>-2.940393044340317E-2</v>
      </c>
    </row>
    <row r="58" spans="2:13" s="159" customFormat="1" ht="13.5" customHeight="1" x14ac:dyDescent="0.3">
      <c r="B58" s="836" t="s">
        <v>58</v>
      </c>
      <c r="C58" s="43"/>
      <c r="D58" s="43">
        <f>D56/D$18</f>
        <v>5.8024913106363837E-4</v>
      </c>
      <c r="E58" s="43">
        <f t="shared" ref="E58:K58" si="88">E56/E$18</f>
        <v>2.0898305759471519E-3</v>
      </c>
      <c r="F58" s="43">
        <f t="shared" si="88"/>
        <v>8.1469433430643922E-4</v>
      </c>
      <c r="G58" s="43">
        <f t="shared" si="88"/>
        <v>1.4057665482249414E-4</v>
      </c>
      <c r="H58" s="43">
        <f t="shared" si="88"/>
        <v>3.3314386268614332E-4</v>
      </c>
      <c r="I58" s="43">
        <f t="shared" si="88"/>
        <v>1.7621461653148727E-4</v>
      </c>
      <c r="J58" s="43">
        <f t="shared" si="88"/>
        <v>1.3650032236606213E-4</v>
      </c>
      <c r="K58" s="43">
        <f t="shared" si="88"/>
        <v>1.2321685287113916E-4</v>
      </c>
      <c r="L58" s="314">
        <f t="shared" ref="L58" si="89">L56/L$18</f>
        <v>1.038434552561379E-4</v>
      </c>
    </row>
    <row r="59" spans="2:13" ht="13.5" customHeight="1" x14ac:dyDescent="0.3">
      <c r="B59" s="289"/>
      <c r="C59" s="448"/>
      <c r="D59" s="448"/>
      <c r="E59" s="448"/>
      <c r="F59" s="448"/>
      <c r="G59" s="448"/>
      <c r="H59" s="448"/>
      <c r="I59" s="448"/>
      <c r="J59" s="448"/>
      <c r="K59" s="448"/>
      <c r="L59" s="1299"/>
    </row>
    <row r="60" spans="2:13" s="159" customFormat="1" ht="13.5" customHeight="1" x14ac:dyDescent="0.3">
      <c r="B60" s="108"/>
      <c r="C60" s="109"/>
      <c r="D60" s="109"/>
      <c r="E60" s="109"/>
      <c r="F60" s="109"/>
      <c r="G60" s="109"/>
      <c r="H60" s="109"/>
      <c r="I60" s="109"/>
      <c r="J60" s="109"/>
      <c r="K60" s="109"/>
      <c r="L60" s="930"/>
      <c r="M60" s="65"/>
    </row>
    <row r="61" spans="2:13" ht="13.5" customHeight="1" x14ac:dyDescent="0.3">
      <c r="C61" s="116"/>
      <c r="D61" s="161"/>
      <c r="E61" s="161"/>
      <c r="F61" s="161"/>
      <c r="G61" s="113"/>
      <c r="H61" s="113"/>
      <c r="I61" s="113"/>
      <c r="J61" s="113"/>
      <c r="K61" s="109"/>
      <c r="L61" s="930"/>
    </row>
    <row r="62" spans="2:13" ht="13.5" customHeight="1" x14ac:dyDescent="0.3">
      <c r="B62" s="421" t="s">
        <v>149</v>
      </c>
      <c r="C62" s="422"/>
      <c r="D62" s="422"/>
      <c r="E62" s="422"/>
      <c r="F62" s="422"/>
      <c r="G62" s="423"/>
      <c r="H62" s="423"/>
      <c r="I62" s="423"/>
      <c r="J62" s="423"/>
      <c r="K62" s="422"/>
      <c r="L62" s="1034"/>
    </row>
    <row r="63" spans="2:13" ht="13.5" customHeight="1" x14ac:dyDescent="0.3">
      <c r="B63" s="425" t="str">
        <f>unit</f>
        <v>KRW Million</v>
      </c>
      <c r="C63" s="426"/>
      <c r="D63" s="299">
        <f t="shared" ref="D63:K63" si="90">D$5</f>
        <v>2014</v>
      </c>
      <c r="E63" s="299">
        <f t="shared" si="90"/>
        <v>2015</v>
      </c>
      <c r="F63" s="299">
        <f t="shared" si="90"/>
        <v>2016</v>
      </c>
      <c r="G63" s="419">
        <f t="shared" si="90"/>
        <v>2017</v>
      </c>
      <c r="H63" s="375">
        <f t="shared" si="90"/>
        <v>2018</v>
      </c>
      <c r="I63" s="375">
        <f t="shared" si="90"/>
        <v>2019</v>
      </c>
      <c r="J63" s="375">
        <f t="shared" si="90"/>
        <v>2020</v>
      </c>
      <c r="K63" s="375">
        <f t="shared" si="90"/>
        <v>2021</v>
      </c>
      <c r="L63" s="376" t="s">
        <v>3021</v>
      </c>
    </row>
    <row r="64" spans="2:13" s="65" customFormat="1" ht="13.5" customHeight="1" x14ac:dyDescent="0.3">
      <c r="B64" s="449" t="s">
        <v>77</v>
      </c>
      <c r="C64" s="306"/>
      <c r="D64" s="306">
        <f>D66+D75+D79</f>
        <v>726.53199999999993</v>
      </c>
      <c r="E64" s="306">
        <f t="shared" ref="E64:L64" si="91">E66+E75+E79</f>
        <v>746.81399999999996</v>
      </c>
      <c r="F64" s="306">
        <f t="shared" si="91"/>
        <v>1082.779</v>
      </c>
      <c r="G64" s="305">
        <f t="shared" si="91"/>
        <v>1159.673888</v>
      </c>
      <c r="H64" s="306">
        <f t="shared" si="91"/>
        <v>1099.3241781892855</v>
      </c>
      <c r="I64" s="306">
        <f t="shared" si="91"/>
        <v>1174.6995040317347</v>
      </c>
      <c r="J64" s="306">
        <f t="shared" si="91"/>
        <v>1432.5498773584286</v>
      </c>
      <c r="K64" s="306">
        <f t="shared" si="91"/>
        <v>1899.2471421804044</v>
      </c>
      <c r="L64" s="961">
        <f t="shared" si="91"/>
        <v>2179.9705785498991</v>
      </c>
    </row>
    <row r="65" spans="2:13" ht="13.5" customHeight="1" x14ac:dyDescent="0.3">
      <c r="B65" s="388" t="s">
        <v>58</v>
      </c>
      <c r="C65" s="43"/>
      <c r="D65" s="43">
        <f>D64/D$18</f>
        <v>1.7528879903947081E-2</v>
      </c>
      <c r="E65" s="43">
        <f t="shared" ref="E65:L65" si="92">E64/E$18</f>
        <v>1.205185121038916E-2</v>
      </c>
      <c r="F65" s="43">
        <f t="shared" si="92"/>
        <v>1.3287550711062119E-2</v>
      </c>
      <c r="G65" s="43">
        <f t="shared" si="92"/>
        <v>1.2559559003084418E-2</v>
      </c>
      <c r="H65" s="43">
        <f t="shared" si="92"/>
        <v>7.9654692464272477E-3</v>
      </c>
      <c r="I65" s="43">
        <f t="shared" si="92"/>
        <v>6.449041077816158E-3</v>
      </c>
      <c r="J65" s="43">
        <f t="shared" si="92"/>
        <v>7.0242033502093196E-3</v>
      </c>
      <c r="K65" s="43">
        <f t="shared" si="92"/>
        <v>7.270772690465107E-3</v>
      </c>
      <c r="L65" s="930">
        <f t="shared" si="92"/>
        <v>7.2463650363083186E-3</v>
      </c>
      <c r="M65" s="110"/>
    </row>
    <row r="66" spans="2:13" s="159" customFormat="1" ht="13.5" customHeight="1" x14ac:dyDescent="0.3">
      <c r="B66" s="929" t="s">
        <v>2743</v>
      </c>
      <c r="C66" s="43"/>
      <c r="D66" s="90">
        <f t="shared" ref="D66:L66" si="93">SUM(D67:D73)</f>
        <v>716.00199999999995</v>
      </c>
      <c r="E66" s="90">
        <f t="shared" si="93"/>
        <v>715.79</v>
      </c>
      <c r="F66" s="90">
        <f t="shared" si="93"/>
        <v>773.92900000000009</v>
      </c>
      <c r="G66" s="90">
        <f t="shared" si="93"/>
        <v>907.79629499999999</v>
      </c>
      <c r="H66" s="90">
        <f t="shared" si="93"/>
        <v>769.56100167499994</v>
      </c>
      <c r="I66" s="90">
        <f t="shared" si="93"/>
        <v>620.96628027500003</v>
      </c>
      <c r="J66" s="90">
        <f t="shared" si="93"/>
        <v>451.36688947499999</v>
      </c>
      <c r="K66" s="90">
        <f t="shared" si="93"/>
        <v>407.01637747500001</v>
      </c>
      <c r="L66" s="267">
        <f t="shared" si="93"/>
        <v>378.95663547499998</v>
      </c>
    </row>
    <row r="67" spans="2:13" s="159" customFormat="1" ht="13.5" customHeight="1" x14ac:dyDescent="0.3">
      <c r="B67" s="834" t="s">
        <v>2692</v>
      </c>
      <c r="C67" s="43"/>
      <c r="D67" s="90">
        <f>-'과거 CapEx(주석사항)'!Z27/10^3</f>
        <v>197.209</v>
      </c>
      <c r="E67" s="90">
        <f>-'과거 CapEx(주석사항)'!Q27/10^3</f>
        <v>201.46</v>
      </c>
      <c r="F67" s="90">
        <f>-'과거 CapEx(주석사항)'!G27/10^3</f>
        <v>220.26300000000001</v>
      </c>
      <c r="G67" s="488">
        <f>'기존(정액)'!T2/10^6</f>
        <v>245.74181899999999</v>
      </c>
      <c r="H67" s="90">
        <f>'기존(정액)'!U2/10^6</f>
        <v>245.74183314999996</v>
      </c>
      <c r="I67" s="90">
        <f>'기존(정액)'!V2/10^6</f>
        <v>245.74183314999996</v>
      </c>
      <c r="J67" s="90">
        <f>'기존(정액)'!W2/10^6</f>
        <v>245.74183314999996</v>
      </c>
      <c r="K67" s="90">
        <f>'기존(정액)'!X2/10^6</f>
        <v>245.74183314999996</v>
      </c>
      <c r="L67" s="267">
        <f>'기존(정액)'!Y2/10^6</f>
        <v>245.74183314999996</v>
      </c>
    </row>
    <row r="68" spans="2:13" s="159" customFormat="1" ht="13.5" customHeight="1" x14ac:dyDescent="0.3">
      <c r="B68" s="834" t="s">
        <v>2696</v>
      </c>
      <c r="C68" s="43"/>
      <c r="D68" s="90">
        <f>-'과거 CapEx(주석사항)'!Z28/10^3</f>
        <v>8.7420000000000009</v>
      </c>
      <c r="E68" s="90">
        <f>-'과거 CapEx(주석사항)'!Q28/10^3</f>
        <v>9.0960000000000001</v>
      </c>
      <c r="F68" s="90">
        <f>-'과거 CapEx(주석사항)'!G28/10^3</f>
        <v>9.5890000000000004</v>
      </c>
      <c r="G68" s="488">
        <f>'기존(정액)'!T3/10^6</f>
        <v>9.5888690000000008</v>
      </c>
      <c r="H68" s="90">
        <f>'기존(정액)'!U3/10^6</f>
        <v>9.5888714250000007</v>
      </c>
      <c r="I68" s="90">
        <f>'기존(정액)'!V3/10^6</f>
        <v>9.5888714250000007</v>
      </c>
      <c r="J68" s="90">
        <f>'기존(정액)'!W3/10^6</f>
        <v>9.5888714250000007</v>
      </c>
      <c r="K68" s="90">
        <f>'기존(정액)'!X3/10^6</f>
        <v>9.5888714250000007</v>
      </c>
      <c r="L68" s="267">
        <f>'기존(정액)'!Y3/10^6</f>
        <v>9.5888714250000007</v>
      </c>
    </row>
    <row r="69" spans="2:13" s="159" customFormat="1" ht="13.5" customHeight="1" x14ac:dyDescent="0.3">
      <c r="B69" s="834" t="s">
        <v>2693</v>
      </c>
      <c r="C69" s="43"/>
      <c r="D69" s="90">
        <f>-'과거 CapEx(주석사항)'!Z29/10^3</f>
        <v>389.32400000000001</v>
      </c>
      <c r="E69" s="90">
        <f>-'과거 CapEx(주석사항)'!Q29/10^3</f>
        <v>356.60500000000002</v>
      </c>
      <c r="F69" s="90">
        <f>-'과거 CapEx(주석사항)'!G29/10^3</f>
        <v>365.76299999999998</v>
      </c>
      <c r="G69" s="488">
        <f>'기존(정액)'!T4/10^6</f>
        <v>490.02437500000002</v>
      </c>
      <c r="H69" s="90">
        <f>'기존(정액)'!U4/10^6</f>
        <v>412.33185450000002</v>
      </c>
      <c r="I69" s="90">
        <f>'기존(정액)'!V4/10^6</f>
        <v>304.91320689999998</v>
      </c>
      <c r="J69" s="90">
        <f>'기존(정액)'!W4/10^6</f>
        <v>171.00557810000001</v>
      </c>
      <c r="K69" s="90">
        <f>'기존(정액)'!X4/10^6</f>
        <v>149.35147190000001</v>
      </c>
      <c r="L69" s="267">
        <f>'기존(정액)'!Y4/10^6</f>
        <v>123.06979509999999</v>
      </c>
    </row>
    <row r="70" spans="2:13" s="159" customFormat="1" ht="13.5" customHeight="1" x14ac:dyDescent="0.3">
      <c r="B70" s="834" t="s">
        <v>2694</v>
      </c>
      <c r="C70" s="43"/>
      <c r="D70" s="90">
        <f>-'과거 CapEx(주석사항)'!Z30/10^3</f>
        <v>78.888000000000005</v>
      </c>
      <c r="E70" s="90">
        <f>-'과거 CapEx(주석사항)'!Q30/10^3</f>
        <v>107.714</v>
      </c>
      <c r="F70" s="90">
        <f>-'과거 CapEx(주석사항)'!G30/10^3</f>
        <v>144.322</v>
      </c>
      <c r="G70" s="488">
        <f>'기존(정액)'!T5/10^6</f>
        <v>135.07092900000001</v>
      </c>
      <c r="H70" s="90">
        <f>'기존(정액)'!U5/10^6</f>
        <v>82.8531488</v>
      </c>
      <c r="I70" s="90">
        <f>'기존(정액)'!V5/10^6</f>
        <v>56.191910999999998</v>
      </c>
      <c r="J70" s="90">
        <f>'기존(정액)'!W5/10^6</f>
        <v>23.383562000000001</v>
      </c>
      <c r="K70" s="90">
        <f>'기존(정액)'!X5/10^6</f>
        <v>0.70601919999999974</v>
      </c>
      <c r="L70" s="267">
        <f>'기존(정액)'!Y5/10^6</f>
        <v>0</v>
      </c>
    </row>
    <row r="71" spans="2:13" s="159" customFormat="1" ht="13.5" customHeight="1" x14ac:dyDescent="0.3">
      <c r="B71" s="834" t="s">
        <v>2740</v>
      </c>
      <c r="C71" s="43"/>
      <c r="D71" s="90">
        <f>-'과거 CapEx(주석사항)'!Z31/10^3</f>
        <v>30.587</v>
      </c>
      <c r="E71" s="90">
        <f>-'과거 CapEx(주석사항)'!Q31/10^3</f>
        <v>18.821999999999999</v>
      </c>
      <c r="F71" s="90">
        <f>-'과거 CapEx(주석사항)'!G31/10^3</f>
        <v>15.33</v>
      </c>
      <c r="G71" s="488">
        <f>'기존(정액)'!T6/10^6</f>
        <v>14.058945</v>
      </c>
      <c r="H71" s="90">
        <f>'기존(정액)'!U6/10^6</f>
        <v>4.396585</v>
      </c>
      <c r="I71" s="90">
        <f>'기존(정액)'!V6/10^6</f>
        <v>1.96207</v>
      </c>
      <c r="J71" s="90">
        <f>'기존(정액)'!W6/10^6</f>
        <v>0.61799999999999999</v>
      </c>
      <c r="K71" s="90">
        <f>'기존(정액)'!X6/10^6</f>
        <v>0.61799999999999999</v>
      </c>
      <c r="L71" s="267">
        <f>'기존(정액)'!Y6/10^6</f>
        <v>0.26960299999999998</v>
      </c>
    </row>
    <row r="72" spans="2:13" s="159" customFormat="1" ht="13.5" customHeight="1" x14ac:dyDescent="0.3">
      <c r="B72" s="834" t="s">
        <v>2695</v>
      </c>
      <c r="C72" s="43"/>
      <c r="D72" s="90">
        <f>-'과거 CapEx(주석사항)'!Z32/10^3</f>
        <v>11.252000000000001</v>
      </c>
      <c r="E72" s="90">
        <f>-'과거 CapEx(주석사항)'!Q32/10^3</f>
        <v>22.093</v>
      </c>
      <c r="F72" s="90">
        <f>-'과거 CapEx(주석사항)'!G32/10^3</f>
        <v>18.661999999999999</v>
      </c>
      <c r="G72" s="488">
        <f>'기존(정액)'!T7/10^6</f>
        <v>13.311358</v>
      </c>
      <c r="H72" s="90">
        <f>'기존(정액)'!U7/10^6</f>
        <v>14.648708800000001</v>
      </c>
      <c r="I72" s="90">
        <f>'기존(정액)'!V7/10^6</f>
        <v>2.5683878</v>
      </c>
      <c r="J72" s="90">
        <f>'기존(정액)'!W7/10^6</f>
        <v>1.0290448000000001</v>
      </c>
      <c r="K72" s="90">
        <f>'기존(정액)'!X7/10^6</f>
        <v>1.0101818</v>
      </c>
      <c r="L72" s="267">
        <f>'기존(정액)'!Y7/10^6</f>
        <v>0.28653279999999981</v>
      </c>
    </row>
    <row r="73" spans="2:13" s="159" customFormat="1" ht="13.5" customHeight="1" x14ac:dyDescent="0.3">
      <c r="B73" s="834" t="s">
        <v>2698</v>
      </c>
      <c r="C73" s="43"/>
      <c r="D73" s="90">
        <f>IFERROR(-'과거 CapEx(주석사항)'!Z33/10^3,0)</f>
        <v>0</v>
      </c>
      <c r="E73" s="90">
        <f>IFERROR(-'과거 CapEx(주석사항)'!Q33/10^3,0)</f>
        <v>0</v>
      </c>
      <c r="F73" s="90">
        <f>IFERROR(-'과거 CapEx(주석사항)'!G33/10^3,0)</f>
        <v>0</v>
      </c>
      <c r="G73" s="90"/>
      <c r="H73" s="90"/>
      <c r="I73" s="90"/>
      <c r="J73" s="90"/>
      <c r="K73" s="90"/>
      <c r="L73" s="930"/>
    </row>
    <row r="74" spans="2:13" s="159" customFormat="1" ht="13.5" customHeight="1" x14ac:dyDescent="0.3">
      <c r="B74" s="388"/>
      <c r="C74" s="43"/>
      <c r="D74" s="43"/>
      <c r="E74" s="43"/>
      <c r="F74" s="43"/>
      <c r="G74" s="43"/>
      <c r="H74" s="43"/>
      <c r="I74" s="43"/>
      <c r="J74" s="43"/>
      <c r="K74" s="43"/>
      <c r="L74" s="930"/>
    </row>
    <row r="75" spans="2:13" s="159" customFormat="1" ht="13.5" customHeight="1" x14ac:dyDescent="0.3">
      <c r="B75" s="929" t="s">
        <v>2742</v>
      </c>
      <c r="C75" s="43"/>
      <c r="D75" s="90">
        <f>SUM(D76:D77)</f>
        <v>10.53</v>
      </c>
      <c r="E75" s="90">
        <f t="shared" ref="E75:L75" si="94">SUM(E76:E77)</f>
        <v>31.024000000000001</v>
      </c>
      <c r="F75" s="90">
        <f t="shared" si="94"/>
        <v>308.85000000000002</v>
      </c>
      <c r="G75" s="90">
        <f t="shared" si="94"/>
        <v>251.87759299999999</v>
      </c>
      <c r="H75" s="90">
        <f t="shared" si="94"/>
        <v>212.58205825714282</v>
      </c>
      <c r="I75" s="90">
        <f t="shared" si="94"/>
        <v>200.51539025714283</v>
      </c>
      <c r="J75" s="90">
        <f t="shared" si="94"/>
        <v>198.86953385714284</v>
      </c>
      <c r="K75" s="90">
        <f t="shared" si="94"/>
        <v>191.92064705714282</v>
      </c>
      <c r="L75" s="267">
        <f t="shared" si="94"/>
        <v>185.08214285714283</v>
      </c>
    </row>
    <row r="76" spans="2:13" s="159" customFormat="1" ht="13.5" customHeight="1" x14ac:dyDescent="0.3">
      <c r="B76" s="834" t="s">
        <v>2557</v>
      </c>
      <c r="C76" s="43"/>
      <c r="D76" s="90"/>
      <c r="E76" s="90"/>
      <c r="F76" s="90">
        <f>-'과거 CapEx(주석사항)'!G48/10^3</f>
        <v>154.42500000000001</v>
      </c>
      <c r="G76" s="90">
        <f>'기존(정액)'!T8/10^6</f>
        <v>205.9</v>
      </c>
      <c r="H76" s="90">
        <f>'기존(정액)'!U8/10^6</f>
        <v>185.08214285714283</v>
      </c>
      <c r="I76" s="90">
        <f>'기존(정액)'!V8/10^6</f>
        <v>185.08214285714283</v>
      </c>
      <c r="J76" s="90">
        <f>'기존(정액)'!W8/10^6</f>
        <v>185.08214285714283</v>
      </c>
      <c r="K76" s="90">
        <f>'기존(정액)'!X8/10^6</f>
        <v>185.08214285714283</v>
      </c>
      <c r="L76" s="267">
        <f>'기존(정액)'!Y8/10^6</f>
        <v>185.08214285714283</v>
      </c>
    </row>
    <row r="77" spans="2:13" s="159" customFormat="1" ht="13.5" customHeight="1" x14ac:dyDescent="0.3">
      <c r="B77" s="834" t="s">
        <v>2600</v>
      </c>
      <c r="C77" s="43"/>
      <c r="D77" s="90">
        <f>-'과거 CapEx(주석사항)'!Z48/10^3</f>
        <v>10.53</v>
      </c>
      <c r="E77" s="90">
        <f>-'과거 CapEx(주석사항)'!Q48/10^3</f>
        <v>31.024000000000001</v>
      </c>
      <c r="F77" s="90">
        <f>-'과거 CapEx(주석사항)'!G48/10^3</f>
        <v>154.42500000000001</v>
      </c>
      <c r="G77" s="90">
        <f>'기존(정액)'!T9/10^6</f>
        <v>45.977592999999999</v>
      </c>
      <c r="H77" s="90">
        <f>'기존(정액)'!U9/10^6</f>
        <v>27.499915400000003</v>
      </c>
      <c r="I77" s="90">
        <f>'기존(정액)'!V9/10^6</f>
        <v>15.433247400000001</v>
      </c>
      <c r="J77" s="90">
        <f>'기존(정액)'!W9/10^6</f>
        <v>13.787391000000001</v>
      </c>
      <c r="K77" s="90">
        <f>'기존(정액)'!X9/10^6</f>
        <v>6.8385041999999991</v>
      </c>
      <c r="L77" s="267">
        <f>'기존(정액)'!Y9/10^6</f>
        <v>0</v>
      </c>
    </row>
    <row r="78" spans="2:13" s="159" customFormat="1" ht="13.5" customHeight="1" x14ac:dyDescent="0.3">
      <c r="B78" s="388"/>
      <c r="C78" s="43"/>
      <c r="D78" s="43"/>
      <c r="E78" s="43"/>
      <c r="F78" s="43"/>
      <c r="G78" s="43"/>
      <c r="H78" s="43"/>
      <c r="I78" s="43"/>
      <c r="J78" s="43"/>
      <c r="K78" s="43"/>
      <c r="L78" s="930"/>
    </row>
    <row r="79" spans="2:13" s="159" customFormat="1" ht="13.5" customHeight="1" x14ac:dyDescent="0.3">
      <c r="B79" s="929" t="s">
        <v>3215</v>
      </c>
      <c r="C79" s="43"/>
      <c r="D79" s="90">
        <f>SUM(D80:D96)</f>
        <v>0</v>
      </c>
      <c r="E79" s="90">
        <f t="shared" ref="E79:G79" si="95">SUM(E80:E96)</f>
        <v>0</v>
      </c>
      <c r="F79" s="90">
        <f t="shared" si="95"/>
        <v>0</v>
      </c>
      <c r="G79" s="90">
        <f t="shared" si="95"/>
        <v>0</v>
      </c>
      <c r="H79" s="90">
        <f>H80+H87+H94+H101+H108+H115+H122+H129+H136</f>
        <v>117.18111825714286</v>
      </c>
      <c r="I79" s="90">
        <f t="shared" ref="I79:L79" si="96">I80+I87+I94+I101+I108+I115+I122+I129+I136</f>
        <v>353.21783349959185</v>
      </c>
      <c r="J79" s="90">
        <f t="shared" si="96"/>
        <v>782.31345402628563</v>
      </c>
      <c r="K79" s="90">
        <f t="shared" si="96"/>
        <v>1300.3101176482614</v>
      </c>
      <c r="L79" s="267">
        <f t="shared" si="96"/>
        <v>1615.9318002177565</v>
      </c>
    </row>
    <row r="80" spans="2:13" s="159" customFormat="1" ht="13.5" customHeight="1" x14ac:dyDescent="0.3">
      <c r="B80" s="834" t="s">
        <v>2692</v>
      </c>
      <c r="C80" s="1455">
        <f>'기존(정액)'!E20</f>
        <v>40</v>
      </c>
      <c r="D80" s="43"/>
      <c r="E80" s="43"/>
      <c r="F80" s="43"/>
      <c r="G80" s="43"/>
      <c r="H80" s="90">
        <f>SUM(H81:H85)</f>
        <v>8.125</v>
      </c>
      <c r="I80" s="90">
        <f t="shared" ref="I80:K80" si="97">SUM(I81:I85)</f>
        <v>21.5</v>
      </c>
      <c r="J80" s="90">
        <f t="shared" si="97"/>
        <v>112.25</v>
      </c>
      <c r="K80" s="90">
        <f t="shared" si="97"/>
        <v>202.625</v>
      </c>
      <c r="L80" s="267">
        <f>SUM(L81:L85)</f>
        <v>216.25</v>
      </c>
    </row>
    <row r="81" spans="2:12" s="159" customFormat="1" ht="13.5" customHeight="1" x14ac:dyDescent="0.3">
      <c r="B81" s="1306" t="s">
        <v>3183</v>
      </c>
      <c r="C81" s="1307">
        <f>H30</f>
        <v>650</v>
      </c>
      <c r="D81" s="43"/>
      <c r="E81" s="43"/>
      <c r="F81" s="43"/>
      <c r="G81" s="43"/>
      <c r="H81" s="90">
        <f>C81*1/$C$80/2</f>
        <v>8.125</v>
      </c>
      <c r="I81" s="90">
        <f>H81*2</f>
        <v>16.25</v>
      </c>
      <c r="J81" s="90">
        <f>I81</f>
        <v>16.25</v>
      </c>
      <c r="K81" s="90">
        <f t="shared" ref="K81:L81" si="98">J81</f>
        <v>16.25</v>
      </c>
      <c r="L81" s="267">
        <f t="shared" si="98"/>
        <v>16.25</v>
      </c>
    </row>
    <row r="82" spans="2:12" s="159" customFormat="1" ht="13.5" customHeight="1" x14ac:dyDescent="0.3">
      <c r="B82" s="1306" t="s">
        <v>3184</v>
      </c>
      <c r="C82" s="1307">
        <f>I30</f>
        <v>420</v>
      </c>
      <c r="D82" s="43"/>
      <c r="E82" s="43"/>
      <c r="F82" s="43"/>
      <c r="G82" s="43"/>
      <c r="H82" s="90"/>
      <c r="I82" s="90">
        <f>C82*1/$C$80/2</f>
        <v>5.25</v>
      </c>
      <c r="J82" s="90">
        <f>I82*2</f>
        <v>10.5</v>
      </c>
      <c r="K82" s="90">
        <f t="shared" ref="K82:L82" si="99">J82</f>
        <v>10.5</v>
      </c>
      <c r="L82" s="267">
        <f t="shared" si="99"/>
        <v>10.5</v>
      </c>
    </row>
    <row r="83" spans="2:12" s="159" customFormat="1" ht="13.5" customHeight="1" x14ac:dyDescent="0.3">
      <c r="B83" s="1306" t="s">
        <v>3185</v>
      </c>
      <c r="C83" s="1307">
        <f>J30</f>
        <v>6840</v>
      </c>
      <c r="D83" s="43"/>
      <c r="E83" s="43"/>
      <c r="F83" s="43"/>
      <c r="G83" s="43"/>
      <c r="H83" s="108"/>
      <c r="I83" s="90"/>
      <c r="J83" s="90">
        <f>C83*1/$C$80/2</f>
        <v>85.5</v>
      </c>
      <c r="K83" s="90">
        <f>J83*2</f>
        <v>171</v>
      </c>
      <c r="L83" s="267">
        <f>K83</f>
        <v>171</v>
      </c>
    </row>
    <row r="84" spans="2:12" s="159" customFormat="1" ht="13.5" customHeight="1" x14ac:dyDescent="0.3">
      <c r="B84" s="1306" t="s">
        <v>3186</v>
      </c>
      <c r="C84" s="1307">
        <f>K30</f>
        <v>390</v>
      </c>
      <c r="D84" s="43"/>
      <c r="E84" s="43"/>
      <c r="F84" s="43"/>
      <c r="G84" s="43"/>
      <c r="H84" s="108"/>
      <c r="I84" s="90"/>
      <c r="J84" s="90"/>
      <c r="K84" s="90">
        <f>C84*1/$C$80/2</f>
        <v>4.875</v>
      </c>
      <c r="L84" s="267">
        <f>K84*2</f>
        <v>9.75</v>
      </c>
    </row>
    <row r="85" spans="2:12" s="159" customFormat="1" ht="13.5" customHeight="1" x14ac:dyDescent="0.3">
      <c r="B85" s="1306" t="s">
        <v>3187</v>
      </c>
      <c r="C85" s="1307">
        <f>L30</f>
        <v>700</v>
      </c>
      <c r="D85" s="43"/>
      <c r="E85" s="43"/>
      <c r="F85" s="43"/>
      <c r="G85" s="43"/>
      <c r="H85" s="108"/>
      <c r="I85" s="90"/>
      <c r="J85" s="90"/>
      <c r="K85" s="90"/>
      <c r="L85" s="267">
        <f>C85*1/$C$80/2</f>
        <v>8.75</v>
      </c>
    </row>
    <row r="86" spans="2:12" s="159" customFormat="1" ht="13.5" customHeight="1" x14ac:dyDescent="0.3">
      <c r="B86" s="834"/>
      <c r="C86" s="43"/>
      <c r="D86" s="43"/>
      <c r="E86" s="43"/>
      <c r="F86" s="43"/>
      <c r="G86" s="43"/>
      <c r="H86" s="90"/>
      <c r="I86" s="90"/>
      <c r="J86" s="90"/>
      <c r="K86" s="90"/>
      <c r="L86" s="267"/>
    </row>
    <row r="87" spans="2:12" s="159" customFormat="1" ht="13.5" customHeight="1" x14ac:dyDescent="0.3">
      <c r="B87" s="834" t="s">
        <v>2998</v>
      </c>
      <c r="C87" s="1455">
        <f>'기존(정액)'!E49</f>
        <v>40</v>
      </c>
      <c r="D87" s="43"/>
      <c r="E87" s="43"/>
      <c r="F87" s="43"/>
      <c r="G87" s="43"/>
      <c r="H87" s="90">
        <f>SUM(H88:H92)</f>
        <v>0</v>
      </c>
      <c r="I87" s="90">
        <f t="shared" ref="I87" si="100">SUM(I88:I92)</f>
        <v>0</v>
      </c>
      <c r="J87" s="90">
        <f t="shared" ref="J87" si="101">SUM(J88:J92)</f>
        <v>0</v>
      </c>
      <c r="K87" s="90">
        <f t="shared" ref="K87" si="102">SUM(K88:K92)</f>
        <v>0</v>
      </c>
      <c r="L87" s="267">
        <f>SUM(L88:L92)</f>
        <v>0</v>
      </c>
    </row>
    <row r="88" spans="2:12" s="159" customFormat="1" ht="13.5" customHeight="1" x14ac:dyDescent="0.3">
      <c r="B88" s="1306" t="s">
        <v>3183</v>
      </c>
      <c r="C88" s="1307">
        <f>H33</f>
        <v>0</v>
      </c>
      <c r="D88" s="43"/>
      <c r="E88" s="43"/>
      <c r="F88" s="43"/>
      <c r="G88" s="43"/>
      <c r="H88" s="90">
        <f>C88*1/$C$87/2</f>
        <v>0</v>
      </c>
      <c r="I88" s="90">
        <f>H88*2</f>
        <v>0</v>
      </c>
      <c r="J88" s="90">
        <f>I88</f>
        <v>0</v>
      </c>
      <c r="K88" s="90">
        <f t="shared" ref="K88:L88" si="103">J88</f>
        <v>0</v>
      </c>
      <c r="L88" s="267">
        <f t="shared" si="103"/>
        <v>0</v>
      </c>
    </row>
    <row r="89" spans="2:12" s="159" customFormat="1" ht="13.5" customHeight="1" x14ac:dyDescent="0.3">
      <c r="B89" s="1306" t="s">
        <v>3184</v>
      </c>
      <c r="C89" s="1307">
        <f>I33</f>
        <v>0</v>
      </c>
      <c r="D89" s="43"/>
      <c r="E89" s="43"/>
      <c r="F89" s="43"/>
      <c r="G89" s="43"/>
      <c r="H89" s="108"/>
      <c r="I89" s="90">
        <f>C89*1/$C$87/2</f>
        <v>0</v>
      </c>
      <c r="J89" s="90">
        <f>I89*2</f>
        <v>0</v>
      </c>
      <c r="K89" s="90">
        <f>J89</f>
        <v>0</v>
      </c>
      <c r="L89" s="267">
        <f>K89</f>
        <v>0</v>
      </c>
    </row>
    <row r="90" spans="2:12" s="159" customFormat="1" ht="13.5" customHeight="1" x14ac:dyDescent="0.3">
      <c r="B90" s="1306" t="s">
        <v>3185</v>
      </c>
      <c r="C90" s="1307">
        <f>J33</f>
        <v>0</v>
      </c>
      <c r="D90" s="43"/>
      <c r="E90" s="43"/>
      <c r="F90" s="43"/>
      <c r="G90" s="43"/>
      <c r="H90" s="108"/>
      <c r="I90" s="90"/>
      <c r="J90" s="90">
        <f>C90*1/$C$87/2</f>
        <v>0</v>
      </c>
      <c r="K90" s="90">
        <f>J90*2</f>
        <v>0</v>
      </c>
      <c r="L90" s="267">
        <f>K90</f>
        <v>0</v>
      </c>
    </row>
    <row r="91" spans="2:12" s="159" customFormat="1" ht="13.5" customHeight="1" x14ac:dyDescent="0.3">
      <c r="B91" s="1306" t="s">
        <v>3186</v>
      </c>
      <c r="C91" s="1307">
        <f>K33</f>
        <v>0</v>
      </c>
      <c r="D91" s="43"/>
      <c r="E91" s="43"/>
      <c r="F91" s="43"/>
      <c r="G91" s="43"/>
      <c r="H91" s="108"/>
      <c r="I91" s="90"/>
      <c r="J91" s="90"/>
      <c r="K91" s="90">
        <f>C91*1/$C$87/2</f>
        <v>0</v>
      </c>
      <c r="L91" s="267">
        <f>K91*2</f>
        <v>0</v>
      </c>
    </row>
    <row r="92" spans="2:12" s="159" customFormat="1" ht="13.5" customHeight="1" x14ac:dyDescent="0.3">
      <c r="B92" s="1306" t="s">
        <v>3187</v>
      </c>
      <c r="C92" s="1307">
        <f>L33</f>
        <v>0</v>
      </c>
      <c r="D92" s="43"/>
      <c r="E92" s="43"/>
      <c r="F92" s="43"/>
      <c r="G92" s="43"/>
      <c r="H92" s="108"/>
      <c r="I92" s="90"/>
      <c r="J92" s="90"/>
      <c r="K92" s="90"/>
      <c r="L92" s="267">
        <f>C92*1/$C$87/2</f>
        <v>0</v>
      </c>
    </row>
    <row r="93" spans="2:12" s="159" customFormat="1" ht="13.5" customHeight="1" x14ac:dyDescent="0.3">
      <c r="B93" s="834"/>
      <c r="C93" s="43"/>
      <c r="D93" s="43"/>
      <c r="E93" s="43"/>
      <c r="F93" s="43"/>
      <c r="G93" s="43"/>
      <c r="H93" s="90"/>
      <c r="I93" s="90"/>
      <c r="J93" s="90"/>
      <c r="K93" s="90"/>
      <c r="L93" s="267"/>
    </row>
    <row r="94" spans="2:12" s="159" customFormat="1" ht="13.5" customHeight="1" x14ac:dyDescent="0.3">
      <c r="B94" s="834" t="s">
        <v>3188</v>
      </c>
      <c r="C94" s="1455">
        <f>'기존(정액)'!E56</f>
        <v>10</v>
      </c>
      <c r="D94" s="43"/>
      <c r="E94" s="43"/>
      <c r="F94" s="43"/>
      <c r="G94" s="43"/>
      <c r="H94" s="90">
        <f>SUM(H95:H99)</f>
        <v>60</v>
      </c>
      <c r="I94" s="90">
        <f t="shared" ref="I94" si="104">SUM(I95:I99)</f>
        <v>170</v>
      </c>
      <c r="J94" s="90">
        <f t="shared" ref="J94" si="105">SUM(J95:J99)</f>
        <v>410</v>
      </c>
      <c r="K94" s="90">
        <f t="shared" ref="K94" si="106">SUM(K95:K99)</f>
        <v>765</v>
      </c>
      <c r="L94" s="267">
        <f>SUM(L95:L99)</f>
        <v>990</v>
      </c>
    </row>
    <row r="95" spans="2:12" s="159" customFormat="1" ht="13.5" customHeight="1" x14ac:dyDescent="0.3">
      <c r="B95" s="1306" t="s">
        <v>3183</v>
      </c>
      <c r="C95" s="1307">
        <f>H36</f>
        <v>1200</v>
      </c>
      <c r="D95" s="43"/>
      <c r="E95" s="43"/>
      <c r="F95" s="43"/>
      <c r="G95" s="43"/>
      <c r="H95" s="90">
        <f>C95*1/$C$94/2</f>
        <v>60</v>
      </c>
      <c r="I95" s="90">
        <f>H95*2</f>
        <v>120</v>
      </c>
      <c r="J95" s="90">
        <f>I95</f>
        <v>120</v>
      </c>
      <c r="K95" s="90">
        <f t="shared" ref="K95:L95" si="107">J95</f>
        <v>120</v>
      </c>
      <c r="L95" s="267">
        <f t="shared" si="107"/>
        <v>120</v>
      </c>
    </row>
    <row r="96" spans="2:12" s="159" customFormat="1" ht="13.5" customHeight="1" x14ac:dyDescent="0.3">
      <c r="B96" s="1306" t="s">
        <v>3184</v>
      </c>
      <c r="C96" s="1307">
        <f>I36</f>
        <v>1000</v>
      </c>
      <c r="D96" s="43"/>
      <c r="E96" s="43"/>
      <c r="F96" s="43"/>
      <c r="G96" s="43"/>
      <c r="H96" s="108"/>
      <c r="I96" s="108">
        <f>C96*1/$C$94/2</f>
        <v>50</v>
      </c>
      <c r="J96" s="90">
        <f>I96*2</f>
        <v>100</v>
      </c>
      <c r="K96" s="90">
        <f>J96</f>
        <v>100</v>
      </c>
      <c r="L96" s="267">
        <f>K96</f>
        <v>100</v>
      </c>
    </row>
    <row r="97" spans="2:12" s="159" customFormat="1" ht="13.5" customHeight="1" x14ac:dyDescent="0.3">
      <c r="B97" s="1306" t="s">
        <v>3185</v>
      </c>
      <c r="C97" s="1307">
        <f>J36</f>
        <v>3800</v>
      </c>
      <c r="D97" s="43"/>
      <c r="E97" s="43"/>
      <c r="F97" s="43"/>
      <c r="G97" s="43"/>
      <c r="H97" s="108"/>
      <c r="I97" s="90"/>
      <c r="J97" s="108">
        <f>C97*1/$C$94/2</f>
        <v>190</v>
      </c>
      <c r="K97" s="90">
        <f>J97*2</f>
        <v>380</v>
      </c>
      <c r="L97" s="267">
        <f>K97</f>
        <v>380</v>
      </c>
    </row>
    <row r="98" spans="2:12" s="159" customFormat="1" ht="13.5" customHeight="1" x14ac:dyDescent="0.3">
      <c r="B98" s="1306" t="s">
        <v>3186</v>
      </c>
      <c r="C98" s="1307">
        <f>K36</f>
        <v>3300</v>
      </c>
      <c r="D98" s="43"/>
      <c r="E98" s="43"/>
      <c r="F98" s="43"/>
      <c r="G98" s="43"/>
      <c r="H98" s="108"/>
      <c r="I98" s="90"/>
      <c r="J98" s="90"/>
      <c r="K98" s="108">
        <f>C98*1/$C$94/2</f>
        <v>165</v>
      </c>
      <c r="L98" s="267">
        <f>K98*2</f>
        <v>330</v>
      </c>
    </row>
    <row r="99" spans="2:12" s="159" customFormat="1" ht="13.5" customHeight="1" x14ac:dyDescent="0.3">
      <c r="B99" s="1306" t="s">
        <v>3187</v>
      </c>
      <c r="C99" s="1307">
        <f>L36</f>
        <v>1200</v>
      </c>
      <c r="D99" s="43"/>
      <c r="E99" s="43"/>
      <c r="F99" s="43"/>
      <c r="G99" s="43"/>
      <c r="H99" s="108"/>
      <c r="I99" s="90"/>
      <c r="J99" s="90"/>
      <c r="K99" s="90"/>
      <c r="L99" s="930">
        <f>C99*1/$C$94/2</f>
        <v>60</v>
      </c>
    </row>
    <row r="100" spans="2:12" s="159" customFormat="1" ht="13.5" customHeight="1" x14ac:dyDescent="0.3">
      <c r="B100" s="834"/>
      <c r="C100" s="43"/>
      <c r="D100" s="43"/>
      <c r="E100" s="43"/>
      <c r="F100" s="43"/>
      <c r="G100" s="43"/>
      <c r="H100" s="90"/>
      <c r="I100" s="90"/>
      <c r="J100" s="90"/>
      <c r="K100" s="90"/>
      <c r="L100" s="267"/>
    </row>
    <row r="101" spans="2:12" s="159" customFormat="1" ht="13.5" customHeight="1" x14ac:dyDescent="0.3">
      <c r="B101" s="834" t="s">
        <v>3012</v>
      </c>
      <c r="C101" s="1455">
        <f>'기존(정액)'!E204</f>
        <v>5</v>
      </c>
      <c r="D101" s="43"/>
      <c r="E101" s="43"/>
      <c r="F101" s="43"/>
      <c r="G101" s="43"/>
      <c r="H101" s="90">
        <f>SUM(H102:H106)</f>
        <v>27.0141858</v>
      </c>
      <c r="I101" s="90">
        <f t="shared" ref="I101" si="108">SUM(I102:I106)</f>
        <v>97.97530544</v>
      </c>
      <c r="J101" s="90">
        <f t="shared" ref="J101" si="109">SUM(J102:J106)</f>
        <v>157.33896092399999</v>
      </c>
      <c r="K101" s="90">
        <f t="shared" ref="K101" si="110">SUM(K102:K106)</f>
        <v>190.82793486040001</v>
      </c>
      <c r="L101" s="267">
        <f>SUM(L102:L106)</f>
        <v>228.05358255884002</v>
      </c>
    </row>
    <row r="102" spans="2:12" s="159" customFormat="1" ht="13.5" customHeight="1" x14ac:dyDescent="0.3">
      <c r="B102" s="1306" t="s">
        <v>3183</v>
      </c>
      <c r="C102" s="1307">
        <f>H39</f>
        <v>135.07092900000001</v>
      </c>
      <c r="D102" s="43"/>
      <c r="E102" s="43"/>
      <c r="F102" s="43"/>
      <c r="G102" s="43"/>
      <c r="H102" s="90">
        <f>C102*1/$C$101</f>
        <v>27.0141858</v>
      </c>
      <c r="I102" s="90">
        <f>H102*2</f>
        <v>54.0283716</v>
      </c>
      <c r="J102" s="90">
        <f>I102</f>
        <v>54.0283716</v>
      </c>
      <c r="K102" s="90">
        <f>J102</f>
        <v>54.0283716</v>
      </c>
      <c r="L102" s="267">
        <f>K102</f>
        <v>54.0283716</v>
      </c>
    </row>
    <row r="103" spans="2:12" s="159" customFormat="1" ht="13.5" customHeight="1" x14ac:dyDescent="0.3">
      <c r="B103" s="1306" t="s">
        <v>3184</v>
      </c>
      <c r="C103" s="1307">
        <f>I39</f>
        <v>109.86733459999999</v>
      </c>
      <c r="D103" s="43"/>
      <c r="E103" s="43"/>
      <c r="F103" s="43"/>
      <c r="G103" s="43"/>
      <c r="H103" s="90"/>
      <c r="I103" s="90">
        <f>C103*1/$C$101*2</f>
        <v>43.94693384</v>
      </c>
      <c r="J103" s="90">
        <f>I103*2</f>
        <v>87.89386768</v>
      </c>
      <c r="K103" s="90">
        <f>J103</f>
        <v>87.89386768</v>
      </c>
      <c r="L103" s="267">
        <f>K103</f>
        <v>87.89386768</v>
      </c>
    </row>
    <row r="104" spans="2:12" s="159" customFormat="1" ht="13.5" customHeight="1" x14ac:dyDescent="0.3">
      <c r="B104" s="1306" t="s">
        <v>3185</v>
      </c>
      <c r="C104" s="1307">
        <f>J39</f>
        <v>154.16721644</v>
      </c>
      <c r="D104" s="43"/>
      <c r="E104" s="43"/>
      <c r="F104" s="43"/>
      <c r="G104" s="43"/>
      <c r="H104" s="90"/>
      <c r="I104" s="90"/>
      <c r="J104" s="90">
        <f>C104/1/$C$101/2</f>
        <v>15.416721644000001</v>
      </c>
      <c r="K104" s="90">
        <f>J104*2</f>
        <v>30.833443288000002</v>
      </c>
      <c r="L104" s="267">
        <f>K104</f>
        <v>30.833443288000002</v>
      </c>
    </row>
    <row r="105" spans="2:12" s="159" customFormat="1" ht="13.5" customHeight="1" x14ac:dyDescent="0.3">
      <c r="B105" s="1306" t="s">
        <v>3186</v>
      </c>
      <c r="C105" s="1307">
        <f>K39</f>
        <v>180.722522924</v>
      </c>
      <c r="D105" s="43"/>
      <c r="E105" s="43"/>
      <c r="F105" s="43"/>
      <c r="G105" s="43"/>
      <c r="H105" s="90"/>
      <c r="I105" s="90"/>
      <c r="J105" s="90"/>
      <c r="K105" s="90">
        <f>C105*1/$C$101/2</f>
        <v>18.072252292400002</v>
      </c>
      <c r="L105" s="267">
        <f>K105*2</f>
        <v>36.144504584800003</v>
      </c>
    </row>
    <row r="106" spans="2:12" s="159" customFormat="1" ht="13.5" customHeight="1" x14ac:dyDescent="0.3">
      <c r="B106" s="1306" t="s">
        <v>3187</v>
      </c>
      <c r="C106" s="1307">
        <f>L39</f>
        <v>191.53395406039999</v>
      </c>
      <c r="D106" s="43"/>
      <c r="E106" s="43"/>
      <c r="F106" s="43"/>
      <c r="G106" s="43"/>
      <c r="H106" s="90"/>
      <c r="I106" s="90"/>
      <c r="J106" s="90"/>
      <c r="K106" s="90"/>
      <c r="L106" s="267">
        <f>C106*1/$C$101/2</f>
        <v>19.153395406039998</v>
      </c>
    </row>
    <row r="107" spans="2:12" s="159" customFormat="1" ht="13.5" customHeight="1" x14ac:dyDescent="0.3">
      <c r="B107" s="1306"/>
      <c r="C107" s="43"/>
      <c r="D107" s="43"/>
      <c r="E107" s="43"/>
      <c r="F107" s="43"/>
      <c r="G107" s="43"/>
      <c r="H107" s="90"/>
      <c r="I107" s="90"/>
      <c r="J107" s="90"/>
      <c r="K107" s="90"/>
      <c r="L107" s="267"/>
    </row>
    <row r="108" spans="2:12" s="159" customFormat="1" ht="13.5" customHeight="1" x14ac:dyDescent="0.3">
      <c r="B108" s="834" t="s">
        <v>3001</v>
      </c>
      <c r="C108" s="1455">
        <f>'기존(정액)'!E249</f>
        <v>5</v>
      </c>
      <c r="D108" s="43"/>
      <c r="E108" s="43"/>
      <c r="F108" s="43"/>
      <c r="G108" s="43"/>
      <c r="H108" s="90">
        <f>SUM(H109:H113)</f>
        <v>1.4058945</v>
      </c>
      <c r="I108" s="90">
        <f t="shared" ref="I108" si="111">SUM(I109:I113)</f>
        <v>3.3920369500000001</v>
      </c>
      <c r="J108" s="90">
        <f t="shared" ref="J108" si="112">SUM(J109:J113)</f>
        <v>4.5076955950000004</v>
      </c>
      <c r="K108" s="90">
        <f t="shared" ref="K108" si="113">SUM(K109:K113)</f>
        <v>5.5556758495</v>
      </c>
      <c r="L108" s="267">
        <f>SUM(L109:L113)</f>
        <v>6.6856129939500004</v>
      </c>
    </row>
    <row r="109" spans="2:12" s="159" customFormat="1" ht="13.5" customHeight="1" x14ac:dyDescent="0.3">
      <c r="B109" s="1306" t="s">
        <v>3183</v>
      </c>
      <c r="C109" s="1307">
        <f>H42</f>
        <v>14.058945</v>
      </c>
      <c r="D109" s="43"/>
      <c r="E109" s="43"/>
      <c r="F109" s="43"/>
      <c r="G109" s="43"/>
      <c r="H109" s="90">
        <f>C109*1/$C$108/2</f>
        <v>1.4058945</v>
      </c>
      <c r="I109" s="90">
        <f>H109*2</f>
        <v>2.8117890000000001</v>
      </c>
      <c r="J109" s="90">
        <f>I109</f>
        <v>2.8117890000000001</v>
      </c>
      <c r="K109" s="90">
        <f t="shared" ref="K109:L109" si="114">J109</f>
        <v>2.8117890000000001</v>
      </c>
      <c r="L109" s="267">
        <f t="shared" si="114"/>
        <v>2.8117890000000001</v>
      </c>
    </row>
    <row r="110" spans="2:12" s="159" customFormat="1" ht="13.5" customHeight="1" x14ac:dyDescent="0.3">
      <c r="B110" s="1306" t="s">
        <v>3184</v>
      </c>
      <c r="C110" s="1307">
        <f>I42</f>
        <v>5.8024795000000005</v>
      </c>
      <c r="D110" s="43"/>
      <c r="E110" s="43"/>
      <c r="F110" s="43"/>
      <c r="G110" s="43"/>
      <c r="H110" s="90"/>
      <c r="I110" s="90">
        <f>C110*1/$C$108/2</f>
        <v>0.58024795000000007</v>
      </c>
      <c r="J110" s="90">
        <f>I110*2</f>
        <v>1.1604959000000001</v>
      </c>
      <c r="K110" s="90">
        <f>J110</f>
        <v>1.1604959000000001</v>
      </c>
      <c r="L110" s="267">
        <f>K110</f>
        <v>1.1604959000000001</v>
      </c>
    </row>
    <row r="111" spans="2:12" s="159" customFormat="1" ht="13.5" customHeight="1" x14ac:dyDescent="0.3">
      <c r="B111" s="1306" t="s">
        <v>3185</v>
      </c>
      <c r="C111" s="1307">
        <f>J42</f>
        <v>5.3541069500000003</v>
      </c>
      <c r="D111" s="43"/>
      <c r="E111" s="43"/>
      <c r="F111" s="43"/>
      <c r="G111" s="43"/>
      <c r="H111" s="90"/>
      <c r="I111" s="90"/>
      <c r="J111" s="90">
        <f>C111*1/$C$108/2</f>
        <v>0.53541069500000005</v>
      </c>
      <c r="K111" s="90">
        <f>J111*2</f>
        <v>1.0708213900000001</v>
      </c>
      <c r="L111" s="267">
        <f>K111</f>
        <v>1.0708213900000001</v>
      </c>
    </row>
    <row r="112" spans="2:12" s="159" customFormat="1" ht="13.5" customHeight="1" x14ac:dyDescent="0.3">
      <c r="B112" s="1306" t="s">
        <v>3186</v>
      </c>
      <c r="C112" s="1307">
        <f>K42</f>
        <v>5.1256955950000007</v>
      </c>
      <c r="D112" s="43"/>
      <c r="E112" s="43"/>
      <c r="F112" s="43"/>
      <c r="G112" s="43"/>
      <c r="H112" s="90"/>
      <c r="I112" s="90"/>
      <c r="J112" s="90"/>
      <c r="K112" s="90">
        <f>C112*1/$C$108/2</f>
        <v>0.51256955950000005</v>
      </c>
      <c r="L112" s="267">
        <f>K112*2</f>
        <v>1.0251391190000001</v>
      </c>
    </row>
    <row r="113" spans="2:12" s="159" customFormat="1" ht="13.5" customHeight="1" x14ac:dyDescent="0.3">
      <c r="B113" s="1306" t="s">
        <v>3187</v>
      </c>
      <c r="C113" s="1307">
        <f>L42</f>
        <v>6.1736758495000004</v>
      </c>
      <c r="D113" s="43"/>
      <c r="E113" s="43"/>
      <c r="F113" s="43"/>
      <c r="G113" s="43"/>
      <c r="H113" s="90"/>
      <c r="I113" s="90"/>
      <c r="J113" s="90"/>
      <c r="K113" s="90"/>
      <c r="L113" s="267">
        <f>C113*1/$C$108/2</f>
        <v>0.61736758494999999</v>
      </c>
    </row>
    <row r="114" spans="2:12" s="159" customFormat="1" ht="13.5" customHeight="1" x14ac:dyDescent="0.3">
      <c r="B114" s="1306"/>
      <c r="C114" s="43"/>
      <c r="D114" s="43"/>
      <c r="E114" s="43"/>
      <c r="F114" s="43"/>
      <c r="G114" s="43"/>
      <c r="H114" s="90"/>
      <c r="I114" s="90"/>
      <c r="J114" s="90"/>
      <c r="K114" s="90"/>
      <c r="L114" s="267"/>
    </row>
    <row r="115" spans="2:12" s="159" customFormat="1" ht="13.5" customHeight="1" x14ac:dyDescent="0.3">
      <c r="B115" s="834" t="s">
        <v>3189</v>
      </c>
      <c r="C115" s="1455">
        <f>'기존(정액)'!E266</f>
        <v>5</v>
      </c>
      <c r="D115" s="43"/>
      <c r="E115" s="43"/>
      <c r="F115" s="43"/>
      <c r="G115" s="43"/>
      <c r="H115" s="90">
        <f>SUM(H116:H120)</f>
        <v>1.3311358</v>
      </c>
      <c r="I115" s="90">
        <f t="shared" ref="I115" si="115">SUM(I116:I120)</f>
        <v>4.2602560599999997</v>
      </c>
      <c r="J115" s="90">
        <f t="shared" ref="J115" si="116">SUM(J116:J120)</f>
        <v>6.5411049060000011</v>
      </c>
      <c r="K115" s="90">
        <f t="shared" ref="K115" si="117">SUM(K116:K120)</f>
        <v>7.9809842626000007</v>
      </c>
      <c r="L115" s="267">
        <f>SUM(L116:L120)</f>
        <v>9.6371158394599998</v>
      </c>
    </row>
    <row r="116" spans="2:12" s="159" customFormat="1" ht="13.5" customHeight="1" x14ac:dyDescent="0.3">
      <c r="B116" s="1306" t="s">
        <v>3183</v>
      </c>
      <c r="C116" s="1307">
        <f>H45</f>
        <v>13.311358</v>
      </c>
      <c r="D116" s="43"/>
      <c r="E116" s="43"/>
      <c r="F116" s="43"/>
      <c r="G116" s="43"/>
      <c r="H116" s="90">
        <f>C116*1/$C$115/2</f>
        <v>1.3311358</v>
      </c>
      <c r="I116" s="90">
        <f>H116*2</f>
        <v>2.6622716</v>
      </c>
      <c r="J116" s="90">
        <f>I116</f>
        <v>2.6622716</v>
      </c>
      <c r="K116" s="90">
        <f t="shared" ref="K116:L116" si="118">J116</f>
        <v>2.6622716</v>
      </c>
      <c r="L116" s="267">
        <f t="shared" si="118"/>
        <v>2.6622716</v>
      </c>
    </row>
    <row r="117" spans="2:12" s="159" customFormat="1" ht="13.5" customHeight="1" x14ac:dyDescent="0.3">
      <c r="B117" s="1306" t="s">
        <v>3184</v>
      </c>
      <c r="C117" s="1307">
        <f>I45</f>
        <v>15.979844600000002</v>
      </c>
      <c r="D117" s="43"/>
      <c r="E117" s="43"/>
      <c r="F117" s="43"/>
      <c r="G117" s="43"/>
      <c r="H117" s="90"/>
      <c r="I117" s="90">
        <f>C117*1/$C$115/2</f>
        <v>1.5979844600000002</v>
      </c>
      <c r="J117" s="90">
        <f>I117*2</f>
        <v>3.1959689200000003</v>
      </c>
      <c r="K117" s="90">
        <f>J117</f>
        <v>3.1959689200000003</v>
      </c>
      <c r="L117" s="267">
        <f>K117</f>
        <v>3.1959689200000003</v>
      </c>
    </row>
    <row r="118" spans="2:12" s="159" customFormat="1" ht="13.5" customHeight="1" x14ac:dyDescent="0.3">
      <c r="B118" s="1306" t="s">
        <v>3185</v>
      </c>
      <c r="C118" s="1307">
        <f>J45</f>
        <v>6.8286438599999997</v>
      </c>
      <c r="D118" s="43"/>
      <c r="E118" s="43"/>
      <c r="F118" s="43"/>
      <c r="G118" s="43"/>
      <c r="H118" s="90"/>
      <c r="I118" s="90"/>
      <c r="J118" s="90">
        <f>C118*1/$C$115/2</f>
        <v>0.68286438599999999</v>
      </c>
      <c r="K118" s="90">
        <f>J118*2</f>
        <v>1.365728772</v>
      </c>
      <c r="L118" s="267">
        <f>K118</f>
        <v>1.365728772</v>
      </c>
    </row>
    <row r="119" spans="2:12" s="159" customFormat="1" ht="13.5" customHeight="1" x14ac:dyDescent="0.3">
      <c r="B119" s="1306" t="s">
        <v>3186</v>
      </c>
      <c r="C119" s="1307">
        <f>K45</f>
        <v>7.5701497060000014</v>
      </c>
      <c r="D119" s="43"/>
      <c r="E119" s="43"/>
      <c r="F119" s="43"/>
      <c r="G119" s="43"/>
      <c r="H119" s="90"/>
      <c r="I119" s="90"/>
      <c r="J119" s="90"/>
      <c r="K119" s="90">
        <f>C119*1/$C$115/2</f>
        <v>0.75701497060000011</v>
      </c>
      <c r="L119" s="267">
        <f>K119*2</f>
        <v>1.5140299412000002</v>
      </c>
    </row>
    <row r="120" spans="2:12" s="159" customFormat="1" ht="13.5" customHeight="1" x14ac:dyDescent="0.3">
      <c r="B120" s="1306" t="s">
        <v>3187</v>
      </c>
      <c r="C120" s="1307">
        <f>L45</f>
        <v>8.9911660626000014</v>
      </c>
      <c r="D120" s="43"/>
      <c r="E120" s="43"/>
      <c r="F120" s="43"/>
      <c r="G120" s="43"/>
      <c r="H120" s="90"/>
      <c r="I120" s="90"/>
      <c r="J120" s="90"/>
      <c r="K120" s="90"/>
      <c r="L120" s="267">
        <f>C120*1/$C$115/2</f>
        <v>0.89911660626000012</v>
      </c>
    </row>
    <row r="121" spans="2:12" s="159" customFormat="1" ht="13.5" customHeight="1" x14ac:dyDescent="0.3">
      <c r="B121" s="1306"/>
      <c r="C121" s="43"/>
      <c r="D121" s="43"/>
      <c r="E121" s="43"/>
      <c r="F121" s="43"/>
      <c r="G121" s="43"/>
      <c r="H121" s="90"/>
      <c r="I121" s="90"/>
      <c r="J121" s="90"/>
      <c r="K121" s="90"/>
      <c r="L121" s="267"/>
    </row>
    <row r="122" spans="2:12" s="159" customFormat="1" ht="13.5" customHeight="1" x14ac:dyDescent="0.3">
      <c r="B122" s="834" t="s">
        <v>3017</v>
      </c>
      <c r="C122" s="43"/>
      <c r="D122" s="43"/>
      <c r="E122" s="43"/>
      <c r="F122" s="43"/>
      <c r="G122" s="43"/>
      <c r="H122" s="90">
        <f>SUM(H123:H127)</f>
        <v>0</v>
      </c>
      <c r="I122" s="90">
        <f t="shared" ref="I122" si="119">SUM(I123:I127)</f>
        <v>0</v>
      </c>
      <c r="J122" s="90">
        <f t="shared" ref="J122" si="120">SUM(J123:J127)</f>
        <v>0</v>
      </c>
      <c r="K122" s="90">
        <f t="shared" ref="K122" si="121">SUM(K123:K127)</f>
        <v>0</v>
      </c>
      <c r="L122" s="267">
        <f>SUM(L123:L127)</f>
        <v>0</v>
      </c>
    </row>
    <row r="123" spans="2:12" s="159" customFormat="1" ht="13.5" customHeight="1" x14ac:dyDescent="0.3">
      <c r="B123" s="1306" t="s">
        <v>3183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930"/>
    </row>
    <row r="124" spans="2:12" s="159" customFormat="1" ht="13.5" customHeight="1" x14ac:dyDescent="0.3">
      <c r="B124" s="1306" t="s">
        <v>3184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930"/>
    </row>
    <row r="125" spans="2:12" s="159" customFormat="1" ht="13.5" customHeight="1" x14ac:dyDescent="0.3">
      <c r="B125" s="1306" t="s">
        <v>3185</v>
      </c>
      <c r="C125" s="43"/>
      <c r="D125" s="43"/>
      <c r="E125" s="43"/>
      <c r="F125" s="43"/>
      <c r="G125" s="43"/>
      <c r="H125" s="90"/>
      <c r="I125" s="90"/>
      <c r="J125" s="90"/>
      <c r="K125" s="90"/>
      <c r="L125" s="267"/>
    </row>
    <row r="126" spans="2:12" s="159" customFormat="1" ht="13.5" customHeight="1" x14ac:dyDescent="0.3">
      <c r="B126" s="1306" t="s">
        <v>3186</v>
      </c>
      <c r="C126" s="43"/>
      <c r="D126" s="43"/>
      <c r="E126" s="43"/>
      <c r="F126" s="43"/>
      <c r="G126" s="43"/>
      <c r="H126" s="90"/>
      <c r="I126" s="90"/>
      <c r="J126" s="90"/>
      <c r="K126" s="90"/>
      <c r="L126" s="267"/>
    </row>
    <row r="127" spans="2:12" s="159" customFormat="1" ht="13.5" customHeight="1" x14ac:dyDescent="0.3">
      <c r="B127" s="1306" t="s">
        <v>3187</v>
      </c>
      <c r="C127" s="43"/>
      <c r="D127" s="43"/>
      <c r="E127" s="43"/>
      <c r="F127" s="43"/>
      <c r="G127" s="43"/>
      <c r="H127" s="90"/>
      <c r="I127" s="90"/>
      <c r="J127" s="90"/>
      <c r="K127" s="90"/>
      <c r="L127" s="267"/>
    </row>
    <row r="128" spans="2:12" s="159" customFormat="1" ht="13.5" customHeight="1" x14ac:dyDescent="0.3">
      <c r="B128" s="1306"/>
      <c r="C128" s="43"/>
      <c r="D128" s="43"/>
      <c r="E128" s="43"/>
      <c r="F128" s="43"/>
      <c r="G128" s="43"/>
      <c r="H128" s="90"/>
      <c r="I128" s="90"/>
      <c r="J128" s="90"/>
      <c r="K128" s="90"/>
      <c r="L128" s="267"/>
    </row>
    <row r="129" spans="2:12" s="159" customFormat="1" ht="13.5" customHeight="1" x14ac:dyDescent="0.3">
      <c r="B129" s="834" t="s">
        <v>3019</v>
      </c>
      <c r="C129" s="1455">
        <f>'기존(정액)'!E292</f>
        <v>7</v>
      </c>
      <c r="D129" s="43"/>
      <c r="E129" s="43"/>
      <c r="F129" s="43"/>
      <c r="G129" s="43"/>
      <c r="H129" s="90">
        <f>SUM(H130:H134)</f>
        <v>14.707142857142857</v>
      </c>
      <c r="I129" s="90">
        <f t="shared" ref="I129" si="122">SUM(I130:I134)</f>
        <v>43.684948979591837</v>
      </c>
      <c r="J129" s="90">
        <f t="shared" ref="J129" si="123">SUM(J130:J134)</f>
        <v>73.276785714285708</v>
      </c>
      <c r="K129" s="90">
        <f t="shared" ref="K129" si="124">SUM(K130:K134)</f>
        <v>103.91913265306123</v>
      </c>
      <c r="L129" s="267">
        <f>SUM(L130:L134)</f>
        <v>134.56147959183673</v>
      </c>
    </row>
    <row r="130" spans="2:12" s="159" customFormat="1" ht="13.5" customHeight="1" x14ac:dyDescent="0.3">
      <c r="B130" s="1306" t="s">
        <v>3183</v>
      </c>
      <c r="C130" s="1307">
        <f>H53</f>
        <v>205.9</v>
      </c>
      <c r="D130" s="43"/>
      <c r="E130" s="43"/>
      <c r="F130" s="43"/>
      <c r="G130" s="43"/>
      <c r="H130" s="90">
        <f>C130*1/$C$129/2</f>
        <v>14.707142857142857</v>
      </c>
      <c r="I130" s="90">
        <f>H130*2</f>
        <v>29.414285714285715</v>
      </c>
      <c r="J130" s="90">
        <f>I130</f>
        <v>29.414285714285715</v>
      </c>
      <c r="K130" s="90">
        <f t="shared" ref="K130:L130" si="125">J130</f>
        <v>29.414285714285715</v>
      </c>
      <c r="L130" s="267">
        <f t="shared" si="125"/>
        <v>29.414285714285715</v>
      </c>
    </row>
    <row r="131" spans="2:12" s="159" customFormat="1" ht="13.5" customHeight="1" x14ac:dyDescent="0.3">
      <c r="B131" s="1306" t="s">
        <v>3184</v>
      </c>
      <c r="C131" s="1307">
        <f>I53</f>
        <v>199.78928571428568</v>
      </c>
      <c r="D131" s="43"/>
      <c r="E131" s="43"/>
      <c r="F131" s="43"/>
      <c r="G131" s="43"/>
      <c r="H131" s="90"/>
      <c r="I131" s="90">
        <f>C131*1/$C$129/2</f>
        <v>14.270663265306121</v>
      </c>
      <c r="J131" s="90">
        <f>I131*2</f>
        <v>28.541326530612242</v>
      </c>
      <c r="K131" s="90">
        <f>J131</f>
        <v>28.541326530612242</v>
      </c>
      <c r="L131" s="267">
        <f>K131</f>
        <v>28.541326530612242</v>
      </c>
    </row>
    <row r="132" spans="2:12" s="159" customFormat="1" ht="13.5" customHeight="1" x14ac:dyDescent="0.3">
      <c r="B132" s="1306" t="s">
        <v>3185</v>
      </c>
      <c r="C132" s="1307">
        <f>J53</f>
        <v>214.49642857142854</v>
      </c>
      <c r="D132" s="43"/>
      <c r="E132" s="43"/>
      <c r="F132" s="43"/>
      <c r="G132" s="43"/>
      <c r="H132" s="90"/>
      <c r="I132" s="90"/>
      <c r="J132" s="90">
        <f>C132*1/$C$129/2</f>
        <v>15.321173469387753</v>
      </c>
      <c r="K132" s="90">
        <f>J132*2</f>
        <v>30.642346938775507</v>
      </c>
      <c r="L132" s="267">
        <f>K132</f>
        <v>30.642346938775507</v>
      </c>
    </row>
    <row r="133" spans="2:12" s="159" customFormat="1" ht="13.5" customHeight="1" x14ac:dyDescent="0.3">
      <c r="B133" s="1306" t="s">
        <v>3186</v>
      </c>
      <c r="C133" s="1307">
        <f>K53</f>
        <v>214.49642857142854</v>
      </c>
      <c r="D133" s="43"/>
      <c r="E133" s="43"/>
      <c r="F133" s="43"/>
      <c r="G133" s="43"/>
      <c r="H133" s="90"/>
      <c r="I133" s="90"/>
      <c r="J133" s="90"/>
      <c r="K133" s="90">
        <f>C133*1/$C$129/2</f>
        <v>15.321173469387753</v>
      </c>
      <c r="L133" s="267">
        <f>K133*2</f>
        <v>30.642346938775507</v>
      </c>
    </row>
    <row r="134" spans="2:12" s="159" customFormat="1" ht="13.5" customHeight="1" x14ac:dyDescent="0.3">
      <c r="B134" s="1306" t="s">
        <v>3187</v>
      </c>
      <c r="C134" s="1307">
        <f>L53</f>
        <v>214.49642857142854</v>
      </c>
      <c r="D134" s="43"/>
      <c r="E134" s="43"/>
      <c r="F134" s="43"/>
      <c r="G134" s="43"/>
      <c r="H134" s="90"/>
      <c r="I134" s="90"/>
      <c r="J134" s="90"/>
      <c r="K134" s="90"/>
      <c r="L134" s="267">
        <f>C134*1/$C$129/2</f>
        <v>15.321173469387753</v>
      </c>
    </row>
    <row r="135" spans="2:12" s="159" customFormat="1" ht="13.5" customHeight="1" x14ac:dyDescent="0.3">
      <c r="B135" s="1306"/>
      <c r="C135" s="43"/>
      <c r="D135" s="43"/>
      <c r="E135" s="43"/>
      <c r="F135" s="43"/>
      <c r="G135" s="43"/>
      <c r="H135" s="90"/>
      <c r="I135" s="90"/>
      <c r="J135" s="90"/>
      <c r="K135" s="90"/>
      <c r="L135" s="267"/>
    </row>
    <row r="136" spans="2:12" s="159" customFormat="1" ht="13.5" customHeight="1" x14ac:dyDescent="0.3">
      <c r="B136" s="834" t="s">
        <v>3020</v>
      </c>
      <c r="C136" s="1455">
        <f>'기존(정액)'!E296</f>
        <v>5</v>
      </c>
      <c r="D136" s="43"/>
      <c r="E136" s="43"/>
      <c r="F136" s="43"/>
      <c r="G136" s="43"/>
      <c r="H136" s="90">
        <f>SUM(H137:H141)</f>
        <v>4.5977592999999999</v>
      </c>
      <c r="I136" s="90">
        <f t="shared" ref="I136" si="126">SUM(I137:I141)</f>
        <v>12.405286069999999</v>
      </c>
      <c r="J136" s="90">
        <f t="shared" ref="J136" si="127">SUM(J137:J141)</f>
        <v>18.398906886999999</v>
      </c>
      <c r="K136" s="90">
        <f t="shared" ref="K136" si="128">SUM(K137:K141)</f>
        <v>24.401390022699999</v>
      </c>
      <c r="L136" s="267">
        <f>SUM(L137:L141)</f>
        <v>30.744009233669999</v>
      </c>
    </row>
    <row r="137" spans="2:12" s="159" customFormat="1" ht="13.5" customHeight="1" x14ac:dyDescent="0.3">
      <c r="B137" s="1306" t="s">
        <v>3183</v>
      </c>
      <c r="C137" s="1307">
        <f>H56</f>
        <v>45.977592999999999</v>
      </c>
      <c r="D137" s="43"/>
      <c r="E137" s="43"/>
      <c r="F137" s="43"/>
      <c r="G137" s="43"/>
      <c r="H137" s="90">
        <f>C137*1/$C$136/2</f>
        <v>4.5977592999999999</v>
      </c>
      <c r="I137" s="90">
        <f>H137*2</f>
        <v>9.1955185999999998</v>
      </c>
      <c r="J137" s="90">
        <f>I137</f>
        <v>9.1955185999999998</v>
      </c>
      <c r="K137" s="90">
        <f t="shared" ref="K137:L137" si="129">J137</f>
        <v>9.1955185999999998</v>
      </c>
      <c r="L137" s="267">
        <f t="shared" si="129"/>
        <v>9.1955185999999998</v>
      </c>
    </row>
    <row r="138" spans="2:12" s="159" customFormat="1" ht="13.5" customHeight="1" x14ac:dyDescent="0.3">
      <c r="B138" s="1306" t="s">
        <v>3184</v>
      </c>
      <c r="C138" s="1307">
        <f>I56</f>
        <v>32.097674699999999</v>
      </c>
      <c r="D138" s="43"/>
      <c r="E138" s="43"/>
      <c r="F138" s="43"/>
      <c r="G138" s="43"/>
      <c r="H138" s="90"/>
      <c r="I138" s="90">
        <f>C138*1/$C$136/2</f>
        <v>3.2097674700000001</v>
      </c>
      <c r="J138" s="90">
        <f>I138*2</f>
        <v>6.4195349400000001</v>
      </c>
      <c r="K138" s="90">
        <f>J138</f>
        <v>6.4195349400000001</v>
      </c>
      <c r="L138" s="267">
        <f>K138</f>
        <v>6.4195349400000001</v>
      </c>
    </row>
    <row r="139" spans="2:12" s="159" customFormat="1" ht="13.5" customHeight="1" x14ac:dyDescent="0.3">
      <c r="B139" s="1306" t="s">
        <v>3185</v>
      </c>
      <c r="C139" s="1307">
        <f>J56</f>
        <v>27.838533470000002</v>
      </c>
      <c r="D139" s="43"/>
      <c r="E139" s="43"/>
      <c r="F139" s="43"/>
      <c r="G139" s="43"/>
      <c r="H139" s="90"/>
      <c r="I139" s="90"/>
      <c r="J139" s="90">
        <f>C139*1/$C$136/2</f>
        <v>2.783853347</v>
      </c>
      <c r="K139" s="90">
        <f>J139*2</f>
        <v>5.567706694</v>
      </c>
      <c r="L139" s="267">
        <f>K139</f>
        <v>5.567706694</v>
      </c>
    </row>
    <row r="140" spans="2:12" s="159" customFormat="1" ht="13.5" customHeight="1" x14ac:dyDescent="0.3">
      <c r="B140" s="1306" t="s">
        <v>3186</v>
      </c>
      <c r="C140" s="1307">
        <f>K56</f>
        <v>32.186297887000002</v>
      </c>
      <c r="D140" s="43"/>
      <c r="E140" s="43"/>
      <c r="F140" s="43"/>
      <c r="G140" s="43"/>
      <c r="H140" s="90"/>
      <c r="I140" s="90"/>
      <c r="J140" s="90"/>
      <c r="K140" s="90">
        <f>C140*1/$C$136/2</f>
        <v>3.2186297887000004</v>
      </c>
      <c r="L140" s="267">
        <f>K140*2</f>
        <v>6.4372595774000008</v>
      </c>
    </row>
    <row r="141" spans="2:12" s="159" customFormat="1" ht="13.5" customHeight="1" x14ac:dyDescent="0.3">
      <c r="B141" s="1306" t="s">
        <v>3187</v>
      </c>
      <c r="C141" s="1307">
        <f>L56</f>
        <v>31.239894222699998</v>
      </c>
      <c r="D141" s="43"/>
      <c r="E141" s="43"/>
      <c r="F141" s="43"/>
      <c r="G141" s="43"/>
      <c r="H141" s="90"/>
      <c r="I141" s="90"/>
      <c r="J141" s="90"/>
      <c r="K141" s="90"/>
      <c r="L141" s="267">
        <f>C141*1/$C$136/2</f>
        <v>3.1239894222699998</v>
      </c>
    </row>
    <row r="142" spans="2:12" s="159" customFormat="1" ht="13.5" customHeight="1" x14ac:dyDescent="0.3">
      <c r="B142" s="1306"/>
      <c r="C142" s="43"/>
      <c r="D142" s="43"/>
      <c r="E142" s="43"/>
      <c r="F142" s="43"/>
      <c r="G142" s="43"/>
      <c r="H142" s="90"/>
      <c r="I142" s="90"/>
      <c r="J142" s="90"/>
      <c r="K142" s="90"/>
      <c r="L142" s="267"/>
    </row>
    <row r="143" spans="2:12" s="159" customFormat="1" ht="13.5" customHeight="1" x14ac:dyDescent="0.3">
      <c r="B143" s="1306"/>
      <c r="C143" s="43"/>
      <c r="D143" s="43"/>
      <c r="E143" s="43"/>
      <c r="F143" s="43"/>
      <c r="G143" s="43"/>
      <c r="H143" s="90"/>
      <c r="I143" s="90"/>
      <c r="J143" s="90"/>
      <c r="K143" s="90"/>
      <c r="L143" s="267"/>
    </row>
    <row r="144" spans="2:12" s="159" customFormat="1" ht="13.5" customHeight="1" x14ac:dyDescent="0.3">
      <c r="B144" s="1306"/>
      <c r="C144" s="43"/>
      <c r="D144" s="43"/>
      <c r="E144" s="43"/>
      <c r="F144" s="43"/>
      <c r="G144" s="43"/>
      <c r="H144" s="90"/>
      <c r="I144" s="90"/>
      <c r="J144" s="90"/>
      <c r="K144" s="90"/>
      <c r="L144" s="267"/>
    </row>
    <row r="145" spans="2:12" s="159" customFormat="1" ht="13.5" customHeight="1" x14ac:dyDescent="0.3">
      <c r="B145" s="834"/>
      <c r="C145" s="43"/>
      <c r="D145" s="43"/>
      <c r="E145" s="43"/>
      <c r="F145" s="43"/>
      <c r="G145" s="43"/>
      <c r="H145" s="109"/>
      <c r="I145" s="109"/>
      <c r="J145" s="109"/>
      <c r="K145" s="109"/>
      <c r="L145" s="1032"/>
    </row>
    <row r="146" spans="2:12" ht="13.5" customHeight="1" x14ac:dyDescent="0.3">
      <c r="B146" s="289"/>
      <c r="C146" s="448"/>
      <c r="D146" s="448"/>
      <c r="E146" s="448"/>
      <c r="F146" s="448"/>
      <c r="G146" s="448"/>
      <c r="H146" s="448"/>
      <c r="I146" s="448"/>
      <c r="J146" s="448"/>
      <c r="K146" s="448"/>
      <c r="L146" s="1299"/>
    </row>
    <row r="147" spans="2:12" ht="13.5" customHeight="1" x14ac:dyDescent="0.3">
      <c r="C147" s="113"/>
      <c r="D147" s="113"/>
      <c r="E147" s="113"/>
      <c r="F147" s="113"/>
      <c r="G147" s="113"/>
      <c r="H147" s="113"/>
      <c r="I147" s="113"/>
      <c r="J147" s="113"/>
      <c r="K147" s="109"/>
    </row>
    <row r="148" spans="2:12" ht="13.5" customHeight="1" x14ac:dyDescent="0.3">
      <c r="C148" s="113"/>
      <c r="D148" s="113"/>
      <c r="E148" s="113"/>
      <c r="F148" s="113"/>
      <c r="G148" s="113"/>
      <c r="H148" s="113"/>
      <c r="I148" s="113"/>
      <c r="J148" s="113"/>
      <c r="K148" s="109"/>
    </row>
    <row r="149" spans="2:12" ht="13.5" customHeight="1" x14ac:dyDescent="0.3">
      <c r="C149" s="113"/>
      <c r="D149" s="113"/>
      <c r="E149" s="113"/>
      <c r="F149" s="113"/>
      <c r="G149" s="113"/>
      <c r="H149" s="113"/>
      <c r="I149" s="113"/>
      <c r="J149" s="113"/>
      <c r="K149" s="109"/>
    </row>
    <row r="150" spans="2:12" ht="13.5" customHeight="1" x14ac:dyDescent="0.3">
      <c r="C150" s="113"/>
      <c r="D150" s="113"/>
      <c r="E150" s="113"/>
      <c r="F150" s="113"/>
      <c r="G150" s="113"/>
      <c r="H150" s="113"/>
      <c r="I150" s="113"/>
      <c r="J150" s="113"/>
      <c r="K150" s="109"/>
    </row>
    <row r="151" spans="2:12" ht="13.5" customHeight="1" x14ac:dyDescent="0.3">
      <c r="C151" s="113"/>
      <c r="D151" s="113"/>
      <c r="E151" s="113"/>
      <c r="F151" s="113"/>
      <c r="G151" s="113"/>
      <c r="H151" s="113"/>
      <c r="I151" s="113"/>
      <c r="J151" s="113"/>
      <c r="K151" s="109"/>
    </row>
    <row r="152" spans="2:12" ht="13.5" customHeight="1" x14ac:dyDescent="0.3">
      <c r="C152" s="113"/>
      <c r="D152" s="113"/>
      <c r="E152" s="113"/>
      <c r="F152" s="113"/>
      <c r="G152" s="113"/>
      <c r="H152" s="113"/>
      <c r="I152" s="113"/>
      <c r="J152" s="113"/>
      <c r="K152" s="109"/>
    </row>
    <row r="153" spans="2:12" ht="13.5" customHeight="1" x14ac:dyDescent="0.3">
      <c r="C153" s="113"/>
      <c r="D153" s="113"/>
      <c r="E153" s="113"/>
      <c r="F153" s="113"/>
      <c r="G153" s="113"/>
      <c r="H153" s="113"/>
      <c r="I153" s="113"/>
      <c r="J153" s="113"/>
      <c r="K153" s="109"/>
    </row>
    <row r="154" spans="2:12" ht="13.5" customHeight="1" x14ac:dyDescent="0.3">
      <c r="C154" s="113"/>
      <c r="D154" s="113"/>
      <c r="E154" s="113"/>
      <c r="F154" s="113"/>
      <c r="G154" s="113"/>
      <c r="H154" s="113"/>
      <c r="I154" s="113"/>
      <c r="J154" s="113"/>
      <c r="K154" s="109"/>
    </row>
    <row r="155" spans="2:12" ht="13.5" customHeight="1" x14ac:dyDescent="0.3">
      <c r="C155" s="113"/>
      <c r="D155" s="113"/>
      <c r="E155" s="113"/>
      <c r="F155" s="113"/>
      <c r="G155" s="113"/>
      <c r="H155" s="113"/>
      <c r="I155" s="113"/>
      <c r="J155" s="113"/>
      <c r="K155" s="109"/>
    </row>
    <row r="156" spans="2:12" ht="13.5" customHeight="1" x14ac:dyDescent="0.3">
      <c r="C156" s="113"/>
      <c r="D156" s="113"/>
      <c r="E156" s="113"/>
      <c r="F156" s="113"/>
      <c r="G156" s="113"/>
      <c r="H156" s="113"/>
      <c r="I156" s="113"/>
      <c r="J156" s="113"/>
      <c r="K156" s="109"/>
    </row>
    <row r="157" spans="2:12" ht="13.5" customHeight="1" x14ac:dyDescent="0.3">
      <c r="C157" s="113"/>
      <c r="D157" s="113"/>
      <c r="E157" s="113"/>
      <c r="F157" s="113"/>
      <c r="G157" s="113"/>
      <c r="H157" s="113"/>
      <c r="I157" s="113"/>
      <c r="J157" s="113"/>
      <c r="K157" s="109"/>
    </row>
    <row r="158" spans="2:12" ht="13.5" customHeight="1" x14ac:dyDescent="0.3">
      <c r="C158" s="113"/>
      <c r="D158" s="113"/>
      <c r="E158" s="113"/>
      <c r="F158" s="113"/>
      <c r="G158" s="113"/>
      <c r="H158" s="113"/>
      <c r="I158" s="113"/>
      <c r="J158" s="113"/>
      <c r="K158" s="109"/>
    </row>
    <row r="159" spans="2:12" ht="13.5" customHeight="1" x14ac:dyDescent="0.3">
      <c r="C159" s="113"/>
      <c r="D159" s="113"/>
      <c r="E159" s="113"/>
      <c r="F159" s="113"/>
      <c r="G159" s="113"/>
      <c r="H159" s="113"/>
      <c r="I159" s="113"/>
      <c r="J159" s="113"/>
      <c r="K159" s="109"/>
    </row>
    <row r="160" spans="2:12" ht="13.5" customHeight="1" x14ac:dyDescent="0.3">
      <c r="C160" s="113"/>
      <c r="D160" s="113"/>
      <c r="E160" s="113"/>
      <c r="F160" s="113"/>
      <c r="G160" s="113"/>
      <c r="H160" s="113"/>
      <c r="I160" s="113"/>
      <c r="J160" s="113"/>
      <c r="K160" s="109"/>
    </row>
    <row r="161" spans="3:11" ht="13.5" customHeight="1" x14ac:dyDescent="0.3">
      <c r="C161" s="113"/>
      <c r="D161" s="113"/>
      <c r="E161" s="113"/>
      <c r="F161" s="113"/>
      <c r="G161" s="113"/>
      <c r="H161" s="113"/>
      <c r="I161" s="113"/>
      <c r="J161" s="113"/>
      <c r="K161" s="109"/>
    </row>
    <row r="162" spans="3:11" ht="13.5" customHeight="1" x14ac:dyDescent="0.3">
      <c r="C162" s="113"/>
      <c r="D162" s="113"/>
      <c r="E162" s="113"/>
      <c r="F162" s="113"/>
      <c r="G162" s="113"/>
      <c r="H162" s="113"/>
      <c r="I162" s="113"/>
      <c r="J162" s="113"/>
      <c r="K162" s="109"/>
    </row>
    <row r="163" spans="3:11" ht="13.5" customHeight="1" x14ac:dyDescent="0.3">
      <c r="C163" s="113"/>
      <c r="D163" s="113"/>
      <c r="E163" s="113"/>
      <c r="F163" s="113"/>
      <c r="G163" s="113"/>
      <c r="H163" s="113"/>
      <c r="I163" s="113"/>
      <c r="J163" s="113"/>
      <c r="K163" s="109"/>
    </row>
    <row r="164" spans="3:11" ht="13.5" customHeight="1" x14ac:dyDescent="0.3">
      <c r="C164" s="113"/>
      <c r="D164" s="113"/>
      <c r="E164" s="113"/>
      <c r="F164" s="113"/>
      <c r="G164" s="113"/>
      <c r="H164" s="113"/>
      <c r="I164" s="113"/>
      <c r="J164" s="113"/>
      <c r="K164" s="109"/>
    </row>
    <row r="165" spans="3:11" ht="13.5" customHeight="1" x14ac:dyDescent="0.3">
      <c r="C165" s="113"/>
      <c r="D165" s="113"/>
      <c r="E165" s="113"/>
      <c r="F165" s="113"/>
      <c r="G165" s="113"/>
      <c r="H165" s="113"/>
      <c r="I165" s="113"/>
      <c r="J165" s="113"/>
      <c r="K165" s="109"/>
    </row>
    <row r="166" spans="3:11" ht="13.5" customHeight="1" x14ac:dyDescent="0.3">
      <c r="C166" s="113"/>
      <c r="D166" s="113"/>
      <c r="E166" s="113"/>
      <c r="F166" s="113"/>
      <c r="G166" s="113"/>
      <c r="H166" s="113"/>
      <c r="I166" s="113"/>
      <c r="J166" s="113"/>
      <c r="K166" s="109"/>
    </row>
    <row r="167" spans="3:11" ht="13.5" customHeight="1" x14ac:dyDescent="0.3">
      <c r="C167" s="113"/>
      <c r="D167" s="113"/>
      <c r="E167" s="113"/>
      <c r="F167" s="113"/>
      <c r="G167" s="113"/>
      <c r="H167" s="113"/>
      <c r="I167" s="113"/>
      <c r="J167" s="113"/>
      <c r="K167" s="109"/>
    </row>
    <row r="168" spans="3:11" ht="13.5" customHeight="1" x14ac:dyDescent="0.3">
      <c r="C168" s="113"/>
      <c r="D168" s="113"/>
      <c r="E168" s="113"/>
      <c r="F168" s="113"/>
      <c r="G168" s="113"/>
      <c r="H168" s="113"/>
      <c r="I168" s="113"/>
      <c r="J168" s="113"/>
      <c r="K168" s="109"/>
    </row>
    <row r="169" spans="3:11" ht="13.5" customHeight="1" x14ac:dyDescent="0.3">
      <c r="C169" s="113"/>
      <c r="D169" s="113"/>
      <c r="E169" s="113"/>
      <c r="F169" s="113"/>
      <c r="G169" s="113"/>
      <c r="H169" s="113"/>
      <c r="I169" s="113"/>
      <c r="J169" s="113"/>
      <c r="K169" s="109"/>
    </row>
    <row r="170" spans="3:11" ht="13.5" customHeight="1" x14ac:dyDescent="0.3">
      <c r="C170" s="113"/>
      <c r="D170" s="113"/>
      <c r="E170" s="113"/>
      <c r="F170" s="113"/>
      <c r="G170" s="113"/>
      <c r="H170" s="113"/>
      <c r="I170" s="113"/>
      <c r="J170" s="113"/>
      <c r="K170" s="109"/>
    </row>
    <row r="171" spans="3:11" ht="13.5" customHeight="1" x14ac:dyDescent="0.3">
      <c r="C171" s="113"/>
      <c r="D171" s="113"/>
      <c r="E171" s="113"/>
      <c r="F171" s="113"/>
      <c r="G171" s="113"/>
      <c r="H171" s="113"/>
      <c r="I171" s="113"/>
      <c r="J171" s="113"/>
      <c r="K171" s="109"/>
    </row>
    <row r="172" spans="3:11" ht="13.5" customHeight="1" x14ac:dyDescent="0.3">
      <c r="C172" s="113"/>
      <c r="D172" s="113"/>
      <c r="E172" s="113"/>
      <c r="F172" s="113"/>
      <c r="G172" s="113"/>
      <c r="H172" s="113"/>
      <c r="I172" s="113"/>
      <c r="J172" s="113"/>
      <c r="K172" s="109"/>
    </row>
    <row r="173" spans="3:11" ht="13.5" customHeight="1" x14ac:dyDescent="0.3">
      <c r="C173" s="113"/>
      <c r="D173" s="113"/>
      <c r="E173" s="113"/>
      <c r="F173" s="113"/>
      <c r="G173" s="113"/>
      <c r="H173" s="113"/>
      <c r="I173" s="113"/>
      <c r="J173" s="113"/>
      <c r="K173" s="109"/>
    </row>
    <row r="174" spans="3:11" ht="13.5" customHeight="1" x14ac:dyDescent="0.3">
      <c r="C174" s="113"/>
      <c r="D174" s="113"/>
      <c r="E174" s="113"/>
      <c r="F174" s="113"/>
      <c r="G174" s="113"/>
      <c r="H174" s="113"/>
      <c r="I174" s="113"/>
      <c r="J174" s="113"/>
      <c r="K174" s="109"/>
    </row>
    <row r="175" spans="3:11" ht="13.5" customHeight="1" x14ac:dyDescent="0.3">
      <c r="C175" s="113"/>
      <c r="D175" s="113"/>
      <c r="E175" s="113"/>
      <c r="F175" s="113"/>
      <c r="G175" s="113"/>
      <c r="H175" s="113"/>
      <c r="I175" s="113"/>
      <c r="J175" s="113"/>
      <c r="K175" s="109"/>
    </row>
    <row r="176" spans="3:11" ht="13.5" customHeight="1" x14ac:dyDescent="0.3">
      <c r="C176" s="113"/>
      <c r="D176" s="113"/>
      <c r="E176" s="113"/>
      <c r="F176" s="113"/>
      <c r="G176" s="113"/>
      <c r="H176" s="113"/>
      <c r="I176" s="113"/>
      <c r="J176" s="113"/>
      <c r="K176" s="109"/>
    </row>
    <row r="177" spans="3:11" ht="13.5" customHeight="1" x14ac:dyDescent="0.3">
      <c r="C177" s="113"/>
      <c r="D177" s="113"/>
      <c r="E177" s="113"/>
      <c r="F177" s="113"/>
      <c r="G177" s="113"/>
      <c r="H177" s="113"/>
      <c r="I177" s="113"/>
      <c r="J177" s="113"/>
      <c r="K177" s="109"/>
    </row>
    <row r="178" spans="3:11" ht="13.5" customHeight="1" x14ac:dyDescent="0.3">
      <c r="C178" s="113"/>
      <c r="D178" s="113"/>
      <c r="E178" s="113"/>
      <c r="F178" s="113"/>
      <c r="G178" s="113"/>
      <c r="H178" s="113"/>
      <c r="I178" s="113"/>
      <c r="J178" s="113"/>
      <c r="K178" s="109"/>
    </row>
    <row r="179" spans="3:11" ht="13.5" customHeight="1" x14ac:dyDescent="0.3">
      <c r="C179" s="113"/>
      <c r="D179" s="113"/>
      <c r="E179" s="113"/>
      <c r="F179" s="113"/>
      <c r="G179" s="113"/>
      <c r="H179" s="113"/>
      <c r="I179" s="113"/>
      <c r="J179" s="113"/>
      <c r="K179" s="109"/>
    </row>
    <row r="180" spans="3:11" ht="13.5" customHeight="1" x14ac:dyDescent="0.3">
      <c r="C180" s="113"/>
      <c r="D180" s="113"/>
      <c r="E180" s="113"/>
      <c r="F180" s="113"/>
      <c r="G180" s="113"/>
      <c r="H180" s="113"/>
      <c r="I180" s="113"/>
      <c r="J180" s="113"/>
      <c r="K180" s="109"/>
    </row>
    <row r="181" spans="3:11" ht="13.5" customHeight="1" x14ac:dyDescent="0.3">
      <c r="C181" s="113"/>
      <c r="D181" s="113"/>
      <c r="E181" s="113"/>
      <c r="F181" s="113"/>
      <c r="G181" s="113"/>
      <c r="H181" s="113"/>
      <c r="I181" s="113"/>
      <c r="J181" s="113"/>
      <c r="K181" s="109"/>
    </row>
    <row r="182" spans="3:11" ht="13.5" customHeight="1" x14ac:dyDescent="0.3">
      <c r="C182" s="113"/>
      <c r="D182" s="113"/>
      <c r="E182" s="113"/>
      <c r="F182" s="113"/>
      <c r="G182" s="113"/>
      <c r="H182" s="113"/>
      <c r="I182" s="113"/>
      <c r="J182" s="113"/>
      <c r="K182" s="109"/>
    </row>
    <row r="183" spans="3:11" ht="13.5" customHeight="1" x14ac:dyDescent="0.3">
      <c r="C183" s="113"/>
      <c r="D183" s="113"/>
      <c r="E183" s="113"/>
      <c r="F183" s="113"/>
      <c r="G183" s="113"/>
      <c r="H183" s="113"/>
      <c r="I183" s="113"/>
      <c r="J183" s="113"/>
      <c r="K183" s="109"/>
    </row>
    <row r="184" spans="3:11" ht="13.5" customHeight="1" x14ac:dyDescent="0.3">
      <c r="C184" s="113"/>
      <c r="D184" s="113"/>
      <c r="E184" s="113"/>
      <c r="F184" s="113"/>
      <c r="G184" s="113"/>
      <c r="H184" s="113"/>
      <c r="I184" s="113"/>
      <c r="J184" s="113"/>
      <c r="K184" s="109"/>
    </row>
    <row r="185" spans="3:11" ht="13.5" customHeight="1" x14ac:dyDescent="0.3">
      <c r="C185" s="113"/>
      <c r="D185" s="113"/>
      <c r="E185" s="113"/>
      <c r="F185" s="113"/>
      <c r="G185" s="113"/>
      <c r="H185" s="113"/>
      <c r="I185" s="113"/>
      <c r="J185" s="113"/>
      <c r="K185" s="109"/>
    </row>
    <row r="186" spans="3:11" ht="13.5" customHeight="1" x14ac:dyDescent="0.3">
      <c r="C186" s="113"/>
      <c r="D186" s="113"/>
      <c r="E186" s="113"/>
      <c r="F186" s="113"/>
      <c r="G186" s="113"/>
      <c r="H186" s="113"/>
      <c r="I186" s="113"/>
      <c r="J186" s="113"/>
      <c r="K186" s="109"/>
    </row>
    <row r="187" spans="3:11" ht="13.5" customHeight="1" x14ac:dyDescent="0.3">
      <c r="C187" s="113"/>
      <c r="D187" s="113"/>
      <c r="E187" s="113"/>
      <c r="F187" s="113"/>
      <c r="G187" s="113"/>
      <c r="H187" s="113"/>
      <c r="I187" s="113"/>
      <c r="J187" s="113"/>
      <c r="K187" s="109"/>
    </row>
    <row r="188" spans="3:11" ht="13.5" customHeight="1" x14ac:dyDescent="0.3">
      <c r="C188" s="113"/>
      <c r="D188" s="113"/>
      <c r="E188" s="113"/>
      <c r="F188" s="113"/>
      <c r="G188" s="113"/>
      <c r="H188" s="113"/>
      <c r="I188" s="113"/>
      <c r="J188" s="113"/>
      <c r="K188" s="109"/>
    </row>
    <row r="189" spans="3:11" ht="13.5" customHeight="1" x14ac:dyDescent="0.3">
      <c r="C189" s="113"/>
      <c r="D189" s="113"/>
      <c r="E189" s="113"/>
      <c r="F189" s="113"/>
      <c r="G189" s="113"/>
      <c r="H189" s="113"/>
      <c r="I189" s="113"/>
      <c r="J189" s="113"/>
      <c r="K189" s="109"/>
    </row>
    <row r="190" spans="3:11" ht="13.5" customHeight="1" x14ac:dyDescent="0.3">
      <c r="C190" s="113"/>
      <c r="D190" s="113"/>
      <c r="E190" s="113"/>
      <c r="F190" s="113"/>
      <c r="G190" s="113"/>
      <c r="H190" s="113"/>
      <c r="I190" s="113"/>
      <c r="J190" s="113"/>
      <c r="K190" s="109"/>
    </row>
    <row r="191" spans="3:11" ht="13.5" customHeight="1" x14ac:dyDescent="0.3">
      <c r="C191" s="113"/>
      <c r="D191" s="113"/>
      <c r="E191" s="113"/>
      <c r="F191" s="113"/>
      <c r="G191" s="113"/>
      <c r="H191" s="113"/>
      <c r="I191" s="113"/>
      <c r="J191" s="113"/>
      <c r="K191" s="109"/>
    </row>
    <row r="192" spans="3:11" ht="13.5" customHeight="1" x14ac:dyDescent="0.3">
      <c r="C192" s="113"/>
      <c r="D192" s="113"/>
      <c r="E192" s="113"/>
      <c r="F192" s="113"/>
      <c r="G192" s="113"/>
      <c r="H192" s="113"/>
      <c r="I192" s="113"/>
      <c r="J192" s="113"/>
      <c r="K192" s="109"/>
    </row>
    <row r="193" spans="3:11" ht="13.5" customHeight="1" x14ac:dyDescent="0.3">
      <c r="C193" s="113"/>
      <c r="D193" s="113"/>
      <c r="E193" s="113"/>
      <c r="F193" s="113"/>
      <c r="G193" s="113"/>
      <c r="H193" s="113"/>
      <c r="I193" s="113"/>
      <c r="J193" s="113"/>
      <c r="K193" s="109"/>
    </row>
    <row r="194" spans="3:11" ht="13.5" customHeight="1" x14ac:dyDescent="0.3">
      <c r="C194" s="113"/>
      <c r="D194" s="113"/>
      <c r="E194" s="113"/>
      <c r="F194" s="113"/>
      <c r="G194" s="113"/>
      <c r="H194" s="113"/>
      <c r="I194" s="113"/>
      <c r="J194" s="113"/>
      <c r="K194" s="109"/>
    </row>
    <row r="195" spans="3:11" ht="13.5" customHeight="1" x14ac:dyDescent="0.3">
      <c r="C195" s="113"/>
      <c r="D195" s="113"/>
      <c r="E195" s="113"/>
      <c r="F195" s="113"/>
      <c r="G195" s="113"/>
      <c r="H195" s="113"/>
      <c r="I195" s="113"/>
      <c r="J195" s="113"/>
      <c r="K195" s="109"/>
    </row>
    <row r="196" spans="3:11" ht="13.5" customHeight="1" x14ac:dyDescent="0.3">
      <c r="C196" s="113"/>
      <c r="D196" s="113"/>
      <c r="E196" s="113"/>
      <c r="F196" s="113"/>
      <c r="G196" s="113"/>
      <c r="H196" s="113"/>
      <c r="I196" s="113"/>
      <c r="J196" s="113"/>
      <c r="K196" s="109"/>
    </row>
    <row r="197" spans="3:11" ht="13.5" customHeight="1" x14ac:dyDescent="0.3">
      <c r="C197" s="113"/>
      <c r="D197" s="113"/>
      <c r="E197" s="113"/>
      <c r="F197" s="113"/>
      <c r="G197" s="113"/>
      <c r="H197" s="113"/>
      <c r="I197" s="113"/>
      <c r="J197" s="113"/>
      <c r="K197" s="109"/>
    </row>
    <row r="198" spans="3:11" ht="13.5" customHeight="1" x14ac:dyDescent="0.3">
      <c r="C198" s="113"/>
      <c r="D198" s="113"/>
      <c r="E198" s="113"/>
      <c r="F198" s="113"/>
      <c r="G198" s="113"/>
      <c r="H198" s="113"/>
      <c r="I198" s="113"/>
      <c r="J198" s="113"/>
      <c r="K198" s="109"/>
    </row>
    <row r="199" spans="3:11" ht="13.5" customHeight="1" x14ac:dyDescent="0.3">
      <c r="C199" s="113"/>
      <c r="D199" s="113"/>
      <c r="E199" s="113"/>
      <c r="F199" s="113"/>
      <c r="G199" s="113"/>
      <c r="H199" s="113"/>
      <c r="I199" s="113"/>
      <c r="J199" s="113"/>
      <c r="K199" s="109"/>
    </row>
    <row r="200" spans="3:11" ht="13.5" customHeight="1" x14ac:dyDescent="0.3">
      <c r="C200" s="113"/>
      <c r="D200" s="113"/>
      <c r="E200" s="113"/>
      <c r="F200" s="113"/>
      <c r="G200" s="113"/>
      <c r="H200" s="113"/>
      <c r="I200" s="113"/>
      <c r="J200" s="113"/>
      <c r="K200" s="109"/>
    </row>
    <row r="201" spans="3:11" ht="13.5" customHeight="1" x14ac:dyDescent="0.3">
      <c r="C201" s="113"/>
      <c r="D201" s="113"/>
      <c r="E201" s="113"/>
      <c r="F201" s="113"/>
      <c r="G201" s="113"/>
      <c r="H201" s="113"/>
      <c r="I201" s="113"/>
      <c r="J201" s="113"/>
      <c r="K201" s="109"/>
    </row>
    <row r="202" spans="3:11" ht="13.5" customHeight="1" x14ac:dyDescent="0.3">
      <c r="C202" s="113"/>
      <c r="D202" s="113"/>
      <c r="E202" s="113"/>
      <c r="F202" s="113"/>
      <c r="G202" s="113"/>
      <c r="H202" s="113"/>
      <c r="I202" s="113"/>
      <c r="J202" s="113"/>
      <c r="K202" s="109"/>
    </row>
    <row r="203" spans="3:11" ht="13.5" customHeight="1" x14ac:dyDescent="0.3">
      <c r="C203" s="113"/>
      <c r="D203" s="113"/>
      <c r="E203" s="113"/>
      <c r="F203" s="113"/>
      <c r="G203" s="113"/>
      <c r="H203" s="113"/>
      <c r="I203" s="113"/>
      <c r="J203" s="113"/>
      <c r="K203" s="109"/>
    </row>
    <row r="204" spans="3:11" ht="13.5" customHeight="1" x14ac:dyDescent="0.3">
      <c r="C204" s="113"/>
      <c r="D204" s="113"/>
      <c r="E204" s="113"/>
      <c r="F204" s="113"/>
      <c r="G204" s="113"/>
      <c r="H204" s="113"/>
      <c r="I204" s="113"/>
      <c r="J204" s="113"/>
      <c r="K204" s="109"/>
    </row>
    <row r="205" spans="3:11" ht="13.5" customHeight="1" x14ac:dyDescent="0.3">
      <c r="C205" s="113"/>
      <c r="D205" s="113"/>
      <c r="E205" s="113"/>
      <c r="F205" s="113"/>
      <c r="G205" s="113"/>
      <c r="H205" s="113"/>
      <c r="I205" s="113"/>
      <c r="J205" s="113"/>
      <c r="K205" s="109"/>
    </row>
    <row r="206" spans="3:11" ht="13.5" customHeight="1" x14ac:dyDescent="0.3">
      <c r="C206" s="113"/>
      <c r="D206" s="113"/>
      <c r="E206" s="113"/>
      <c r="F206" s="113"/>
      <c r="G206" s="113"/>
      <c r="H206" s="113"/>
      <c r="I206" s="113"/>
      <c r="J206" s="113"/>
      <c r="K206" s="109"/>
    </row>
    <row r="207" spans="3:11" ht="13.5" customHeight="1" x14ac:dyDescent="0.3">
      <c r="C207" s="113"/>
      <c r="D207" s="113"/>
      <c r="E207" s="113"/>
      <c r="F207" s="113"/>
      <c r="G207" s="113"/>
      <c r="H207" s="113"/>
      <c r="I207" s="113"/>
      <c r="J207" s="113"/>
      <c r="K207" s="109"/>
    </row>
    <row r="208" spans="3:11" ht="13.5" customHeight="1" x14ac:dyDescent="0.3">
      <c r="C208" s="113"/>
      <c r="D208" s="113"/>
      <c r="E208" s="113"/>
      <c r="F208" s="113"/>
      <c r="G208" s="113"/>
      <c r="H208" s="113"/>
      <c r="I208" s="113"/>
      <c r="J208" s="113"/>
      <c r="K208" s="109"/>
    </row>
    <row r="209" spans="3:11" ht="13.5" customHeight="1" x14ac:dyDescent="0.3">
      <c r="C209" s="113"/>
      <c r="D209" s="113"/>
      <c r="E209" s="113"/>
      <c r="F209" s="113"/>
      <c r="G209" s="113"/>
      <c r="H209" s="113"/>
      <c r="I209" s="113"/>
      <c r="J209" s="113"/>
      <c r="K209" s="109"/>
    </row>
    <row r="210" spans="3:11" ht="13.5" customHeight="1" x14ac:dyDescent="0.3">
      <c r="C210" s="113"/>
      <c r="D210" s="113"/>
      <c r="E210" s="113"/>
      <c r="F210" s="113"/>
      <c r="G210" s="113"/>
      <c r="H210" s="113"/>
      <c r="I210" s="113"/>
      <c r="J210" s="113"/>
      <c r="K210" s="109"/>
    </row>
    <row r="211" spans="3:11" ht="13.5" customHeight="1" x14ac:dyDescent="0.3">
      <c r="C211" s="113"/>
      <c r="D211" s="113"/>
      <c r="E211" s="113"/>
      <c r="F211" s="113"/>
      <c r="G211" s="113"/>
      <c r="H211" s="113"/>
      <c r="I211" s="113"/>
      <c r="J211" s="113"/>
      <c r="K211" s="109"/>
    </row>
    <row r="212" spans="3:11" ht="13.5" customHeight="1" x14ac:dyDescent="0.3">
      <c r="C212" s="113"/>
      <c r="D212" s="113"/>
      <c r="E212" s="113"/>
      <c r="F212" s="113"/>
      <c r="G212" s="113"/>
      <c r="H212" s="113"/>
      <c r="I212" s="113"/>
      <c r="J212" s="113"/>
      <c r="K212" s="109"/>
    </row>
    <row r="213" spans="3:11" ht="13.5" customHeight="1" x14ac:dyDescent="0.3">
      <c r="C213" s="113"/>
      <c r="D213" s="113"/>
      <c r="E213" s="113"/>
      <c r="F213" s="113"/>
      <c r="G213" s="113"/>
      <c r="H213" s="113"/>
      <c r="I213" s="113"/>
      <c r="J213" s="113"/>
      <c r="K213" s="109"/>
    </row>
    <row r="214" spans="3:11" ht="13.5" customHeight="1" x14ac:dyDescent="0.3">
      <c r="C214" s="113"/>
      <c r="D214" s="113"/>
      <c r="E214" s="113"/>
      <c r="F214" s="113"/>
      <c r="G214" s="113"/>
      <c r="H214" s="113"/>
      <c r="I214" s="113"/>
      <c r="J214" s="113"/>
      <c r="K214" s="109"/>
    </row>
    <row r="215" spans="3:11" ht="13.5" customHeight="1" x14ac:dyDescent="0.3">
      <c r="C215" s="113"/>
      <c r="D215" s="113"/>
      <c r="E215" s="113"/>
      <c r="F215" s="113"/>
      <c r="G215" s="113"/>
      <c r="H215" s="113"/>
      <c r="I215" s="113"/>
      <c r="J215" s="113"/>
      <c r="K215" s="109"/>
    </row>
    <row r="216" spans="3:11" ht="13.5" customHeight="1" x14ac:dyDescent="0.3">
      <c r="C216" s="113"/>
      <c r="D216" s="113"/>
      <c r="E216" s="113"/>
      <c r="F216" s="113"/>
      <c r="G216" s="113"/>
      <c r="H216" s="113"/>
      <c r="I216" s="113"/>
      <c r="J216" s="113"/>
      <c r="K216" s="109"/>
    </row>
    <row r="217" spans="3:11" ht="13.5" customHeight="1" x14ac:dyDescent="0.3">
      <c r="C217" s="113"/>
      <c r="D217" s="113"/>
      <c r="E217" s="113"/>
      <c r="F217" s="113"/>
      <c r="G217" s="113"/>
      <c r="H217" s="113"/>
      <c r="I217" s="113"/>
      <c r="J217" s="113"/>
      <c r="K217" s="109"/>
    </row>
    <row r="218" spans="3:11" ht="13.5" customHeight="1" x14ac:dyDescent="0.3">
      <c r="C218" s="113"/>
      <c r="D218" s="113"/>
      <c r="E218" s="113"/>
      <c r="F218" s="113"/>
      <c r="G218" s="113"/>
      <c r="H218" s="113"/>
      <c r="I218" s="113"/>
      <c r="J218" s="113"/>
      <c r="K218" s="109"/>
    </row>
    <row r="219" spans="3:11" ht="13.5" customHeight="1" x14ac:dyDescent="0.3">
      <c r="C219" s="113"/>
      <c r="D219" s="113"/>
      <c r="E219" s="113"/>
      <c r="F219" s="113"/>
      <c r="G219" s="113"/>
      <c r="H219" s="113"/>
      <c r="I219" s="113"/>
      <c r="J219" s="113"/>
      <c r="K219" s="109"/>
    </row>
    <row r="220" spans="3:11" ht="13.5" customHeight="1" x14ac:dyDescent="0.3">
      <c r="C220" s="113"/>
      <c r="D220" s="113"/>
      <c r="E220" s="113"/>
      <c r="F220" s="113"/>
      <c r="G220" s="113"/>
      <c r="H220" s="113"/>
      <c r="I220" s="113"/>
      <c r="J220" s="113"/>
      <c r="K220" s="109"/>
    </row>
    <row r="221" spans="3:11" ht="13.5" customHeight="1" x14ac:dyDescent="0.3">
      <c r="C221" s="113"/>
      <c r="D221" s="113"/>
      <c r="E221" s="113"/>
      <c r="F221" s="113"/>
      <c r="G221" s="113"/>
      <c r="H221" s="113"/>
      <c r="I221" s="113"/>
      <c r="J221" s="113"/>
      <c r="K221" s="109"/>
    </row>
    <row r="222" spans="3:11" ht="13.5" customHeight="1" x14ac:dyDescent="0.3">
      <c r="C222" s="113"/>
      <c r="D222" s="113"/>
      <c r="E222" s="113"/>
      <c r="F222" s="113"/>
      <c r="G222" s="113"/>
      <c r="H222" s="113"/>
      <c r="I222" s="113"/>
      <c r="J222" s="113"/>
      <c r="K222" s="109"/>
    </row>
    <row r="223" spans="3:11" ht="13.5" customHeight="1" x14ac:dyDescent="0.3">
      <c r="C223" s="113"/>
      <c r="D223" s="113"/>
      <c r="E223" s="113"/>
      <c r="F223" s="113"/>
      <c r="G223" s="113"/>
      <c r="H223" s="113"/>
      <c r="I223" s="113"/>
      <c r="J223" s="113"/>
      <c r="K223" s="109"/>
    </row>
    <row r="224" spans="3:11" ht="13.5" customHeight="1" x14ac:dyDescent="0.3">
      <c r="C224" s="113"/>
      <c r="D224" s="113"/>
      <c r="E224" s="113"/>
      <c r="F224" s="113"/>
      <c r="G224" s="113"/>
      <c r="H224" s="113"/>
      <c r="I224" s="113"/>
      <c r="J224" s="113"/>
      <c r="K224" s="109"/>
    </row>
    <row r="225" spans="3:11" ht="13.5" customHeight="1" x14ac:dyDescent="0.3">
      <c r="C225" s="113"/>
      <c r="D225" s="113"/>
      <c r="E225" s="113"/>
      <c r="F225" s="113"/>
      <c r="G225" s="113"/>
      <c r="H225" s="113"/>
      <c r="I225" s="113"/>
      <c r="J225" s="113"/>
      <c r="K225" s="109"/>
    </row>
    <row r="226" spans="3:11" ht="13.5" customHeight="1" x14ac:dyDescent="0.3">
      <c r="C226" s="113"/>
      <c r="D226" s="113"/>
      <c r="E226" s="113"/>
      <c r="F226" s="113"/>
      <c r="G226" s="113"/>
      <c r="H226" s="113"/>
      <c r="I226" s="113"/>
      <c r="J226" s="113"/>
      <c r="K226" s="109"/>
    </row>
    <row r="227" spans="3:11" ht="13.5" customHeight="1" x14ac:dyDescent="0.3">
      <c r="C227" s="113"/>
      <c r="D227" s="113"/>
      <c r="E227" s="113"/>
      <c r="F227" s="113"/>
      <c r="G227" s="113"/>
      <c r="H227" s="113"/>
      <c r="I227" s="113"/>
      <c r="J227" s="113"/>
      <c r="K227" s="109"/>
    </row>
    <row r="228" spans="3:11" ht="13.5" customHeight="1" x14ac:dyDescent="0.3">
      <c r="C228" s="113"/>
      <c r="D228" s="113"/>
      <c r="E228" s="113"/>
      <c r="F228" s="113"/>
      <c r="G228" s="113"/>
      <c r="H228" s="113"/>
      <c r="I228" s="113"/>
      <c r="J228" s="113"/>
      <c r="K228" s="109"/>
    </row>
    <row r="229" spans="3:11" ht="13.5" customHeight="1" x14ac:dyDescent="0.3">
      <c r="C229" s="113"/>
      <c r="D229" s="113"/>
      <c r="E229" s="113"/>
      <c r="F229" s="113"/>
      <c r="G229" s="113"/>
      <c r="H229" s="113"/>
      <c r="I229" s="113"/>
      <c r="J229" s="113"/>
      <c r="K229" s="109"/>
    </row>
    <row r="230" spans="3:11" ht="13.5" customHeight="1" x14ac:dyDescent="0.3">
      <c r="C230" s="113"/>
      <c r="D230" s="113"/>
      <c r="E230" s="113"/>
      <c r="F230" s="113"/>
      <c r="G230" s="113"/>
      <c r="H230" s="113"/>
      <c r="I230" s="113"/>
      <c r="J230" s="113"/>
      <c r="K230" s="109"/>
    </row>
    <row r="231" spans="3:11" ht="13.5" customHeight="1" x14ac:dyDescent="0.3">
      <c r="C231" s="113"/>
      <c r="D231" s="113"/>
      <c r="E231" s="113"/>
      <c r="F231" s="113"/>
      <c r="G231" s="113"/>
      <c r="H231" s="113"/>
      <c r="I231" s="113"/>
      <c r="J231" s="113"/>
      <c r="K231" s="109"/>
    </row>
    <row r="232" spans="3:11" ht="13.5" customHeight="1" x14ac:dyDescent="0.3">
      <c r="C232" s="113"/>
      <c r="D232" s="113"/>
      <c r="E232" s="113"/>
      <c r="F232" s="113"/>
      <c r="G232" s="113"/>
      <c r="H232" s="113"/>
      <c r="I232" s="113"/>
      <c r="J232" s="113"/>
      <c r="K232" s="109"/>
    </row>
    <row r="233" spans="3:11" ht="13.5" customHeight="1" x14ac:dyDescent="0.3">
      <c r="C233" s="113"/>
      <c r="D233" s="113"/>
      <c r="E233" s="113"/>
      <c r="F233" s="113"/>
      <c r="G233" s="113"/>
      <c r="H233" s="113"/>
      <c r="I233" s="113"/>
      <c r="J233" s="113"/>
      <c r="K233" s="109"/>
    </row>
    <row r="234" spans="3:11" ht="13.5" customHeight="1" x14ac:dyDescent="0.3">
      <c r="C234" s="113"/>
      <c r="D234" s="113"/>
      <c r="E234" s="113"/>
      <c r="F234" s="113"/>
      <c r="G234" s="113"/>
      <c r="H234" s="113"/>
      <c r="I234" s="113"/>
      <c r="J234" s="113"/>
      <c r="K234" s="109"/>
    </row>
    <row r="235" spans="3:11" ht="13.5" customHeight="1" x14ac:dyDescent="0.3">
      <c r="C235" s="113"/>
      <c r="D235" s="113"/>
      <c r="E235" s="113"/>
      <c r="F235" s="113"/>
      <c r="G235" s="113"/>
      <c r="H235" s="113"/>
      <c r="I235" s="113"/>
      <c r="J235" s="113"/>
      <c r="K235" s="109"/>
    </row>
    <row r="236" spans="3:11" ht="13.5" customHeight="1" x14ac:dyDescent="0.3">
      <c r="C236" s="113"/>
      <c r="D236" s="113"/>
      <c r="E236" s="113"/>
      <c r="F236" s="113"/>
      <c r="G236" s="113"/>
      <c r="H236" s="113"/>
      <c r="I236" s="113"/>
      <c r="J236" s="113"/>
      <c r="K236" s="109"/>
    </row>
    <row r="237" spans="3:11" ht="13.5" customHeight="1" x14ac:dyDescent="0.3">
      <c r="C237" s="113"/>
      <c r="D237" s="113"/>
      <c r="E237" s="113"/>
      <c r="F237" s="113"/>
      <c r="G237" s="113"/>
      <c r="H237" s="113"/>
      <c r="I237" s="113"/>
      <c r="J237" s="113"/>
      <c r="K237" s="109"/>
    </row>
    <row r="238" spans="3:11" ht="13.5" customHeight="1" x14ac:dyDescent="0.3">
      <c r="C238" s="113"/>
      <c r="D238" s="113"/>
      <c r="E238" s="113"/>
      <c r="F238" s="113"/>
      <c r="G238" s="113"/>
      <c r="H238" s="113"/>
      <c r="I238" s="113"/>
      <c r="J238" s="113"/>
      <c r="K238" s="109"/>
    </row>
    <row r="239" spans="3:11" ht="13.5" customHeight="1" x14ac:dyDescent="0.3">
      <c r="C239" s="113"/>
      <c r="D239" s="113"/>
      <c r="E239" s="113"/>
      <c r="F239" s="113"/>
      <c r="G239" s="113"/>
      <c r="H239" s="113"/>
      <c r="I239" s="113"/>
      <c r="J239" s="113"/>
      <c r="K239" s="109"/>
    </row>
    <row r="240" spans="3:11" ht="13.5" customHeight="1" x14ac:dyDescent="0.3">
      <c r="C240" s="113"/>
      <c r="D240" s="113"/>
      <c r="E240" s="113"/>
      <c r="F240" s="113"/>
      <c r="G240" s="113"/>
      <c r="H240" s="113"/>
      <c r="I240" s="113"/>
      <c r="J240" s="113"/>
      <c r="K240" s="109"/>
    </row>
    <row r="241" spans="3:11" ht="13.5" customHeight="1" x14ac:dyDescent="0.3">
      <c r="C241" s="113"/>
      <c r="D241" s="113"/>
      <c r="E241" s="113"/>
      <c r="F241" s="113"/>
      <c r="G241" s="113"/>
      <c r="H241" s="113"/>
      <c r="I241" s="113"/>
      <c r="J241" s="113"/>
      <c r="K241" s="109"/>
    </row>
    <row r="242" spans="3:11" ht="13.5" customHeight="1" x14ac:dyDescent="0.3">
      <c r="C242" s="113"/>
      <c r="D242" s="113"/>
      <c r="E242" s="113"/>
      <c r="F242" s="113"/>
      <c r="G242" s="113"/>
      <c r="H242" s="113"/>
      <c r="I242" s="113"/>
      <c r="J242" s="113"/>
      <c r="K242" s="109"/>
    </row>
    <row r="243" spans="3:11" ht="13.5" customHeight="1" x14ac:dyDescent="0.3">
      <c r="C243" s="113"/>
      <c r="D243" s="113"/>
      <c r="E243" s="113"/>
      <c r="F243" s="113"/>
      <c r="G243" s="113"/>
      <c r="H243" s="113"/>
      <c r="I243" s="113"/>
      <c r="J243" s="113"/>
      <c r="K243" s="109"/>
    </row>
    <row r="244" spans="3:11" ht="13.5" customHeight="1" x14ac:dyDescent="0.3">
      <c r="C244" s="113"/>
      <c r="D244" s="113"/>
      <c r="E244" s="113"/>
      <c r="F244" s="113"/>
      <c r="G244" s="113"/>
      <c r="H244" s="113"/>
      <c r="I244" s="113"/>
      <c r="J244" s="113"/>
      <c r="K244" s="109"/>
    </row>
    <row r="245" spans="3:11" ht="13.5" customHeight="1" x14ac:dyDescent="0.3">
      <c r="C245" s="113"/>
      <c r="D245" s="113"/>
      <c r="E245" s="113"/>
      <c r="F245" s="113"/>
      <c r="G245" s="113"/>
      <c r="H245" s="113"/>
      <c r="I245" s="113"/>
      <c r="J245" s="113"/>
      <c r="K245" s="109"/>
    </row>
    <row r="246" spans="3:11" ht="13.5" customHeight="1" x14ac:dyDescent="0.3">
      <c r="C246" s="113"/>
      <c r="D246" s="113"/>
      <c r="E246" s="113"/>
      <c r="F246" s="113"/>
      <c r="G246" s="113"/>
      <c r="H246" s="113"/>
      <c r="I246" s="113"/>
      <c r="J246" s="113"/>
      <c r="K246" s="109"/>
    </row>
    <row r="247" spans="3:11" ht="13.5" customHeight="1" x14ac:dyDescent="0.3">
      <c r="C247" s="113"/>
      <c r="D247" s="113"/>
      <c r="E247" s="113"/>
      <c r="F247" s="113"/>
      <c r="G247" s="113"/>
      <c r="H247" s="113"/>
      <c r="I247" s="113"/>
      <c r="J247" s="113"/>
      <c r="K247" s="109"/>
    </row>
    <row r="248" spans="3:11" ht="13.5" customHeight="1" x14ac:dyDescent="0.3">
      <c r="C248" s="113"/>
      <c r="D248" s="113"/>
      <c r="E248" s="113"/>
      <c r="F248" s="113"/>
      <c r="G248" s="113"/>
      <c r="H248" s="113"/>
      <c r="I248" s="113"/>
      <c r="J248" s="113"/>
      <c r="K248" s="109"/>
    </row>
    <row r="249" spans="3:11" ht="13.5" customHeight="1" x14ac:dyDescent="0.3">
      <c r="C249" s="113"/>
      <c r="D249" s="113"/>
      <c r="E249" s="113"/>
      <c r="F249" s="113"/>
      <c r="G249" s="113"/>
      <c r="H249" s="113"/>
      <c r="I249" s="113"/>
      <c r="J249" s="113"/>
      <c r="K249" s="109"/>
    </row>
    <row r="250" spans="3:11" ht="13.5" customHeight="1" x14ac:dyDescent="0.3">
      <c r="C250" s="113"/>
      <c r="D250" s="113"/>
      <c r="E250" s="113"/>
      <c r="F250" s="113"/>
      <c r="G250" s="113"/>
      <c r="H250" s="113"/>
      <c r="I250" s="113"/>
      <c r="J250" s="113"/>
      <c r="K250" s="109"/>
    </row>
    <row r="251" spans="3:11" ht="13.5" customHeight="1" x14ac:dyDescent="0.3">
      <c r="C251" s="113"/>
      <c r="D251" s="113"/>
      <c r="E251" s="113"/>
      <c r="F251" s="113"/>
      <c r="G251" s="113"/>
      <c r="H251" s="113"/>
      <c r="I251" s="113"/>
      <c r="J251" s="113"/>
      <c r="K251" s="109"/>
    </row>
    <row r="252" spans="3:11" ht="13.5" customHeight="1" x14ac:dyDescent="0.3">
      <c r="C252" s="113"/>
      <c r="D252" s="113"/>
      <c r="E252" s="113"/>
      <c r="F252" s="113"/>
      <c r="G252" s="113"/>
      <c r="H252" s="113"/>
      <c r="I252" s="113"/>
      <c r="J252" s="113"/>
      <c r="K252" s="109"/>
    </row>
    <row r="253" spans="3:11" ht="13.5" customHeight="1" x14ac:dyDescent="0.3">
      <c r="C253" s="113"/>
      <c r="D253" s="113"/>
      <c r="E253" s="113"/>
      <c r="F253" s="113"/>
      <c r="G253" s="113"/>
      <c r="H253" s="113"/>
      <c r="I253" s="113"/>
      <c r="J253" s="113"/>
      <c r="K253" s="109"/>
    </row>
    <row r="254" spans="3:11" ht="13.5" customHeight="1" x14ac:dyDescent="0.3">
      <c r="C254" s="113"/>
      <c r="D254" s="113"/>
      <c r="E254" s="113"/>
      <c r="F254" s="113"/>
      <c r="G254" s="113"/>
      <c r="H254" s="113"/>
      <c r="I254" s="113"/>
      <c r="J254" s="113"/>
      <c r="K254" s="109"/>
    </row>
    <row r="255" spans="3:11" ht="13.5" customHeight="1" x14ac:dyDescent="0.3">
      <c r="C255" s="113"/>
      <c r="D255" s="113"/>
      <c r="E255" s="113"/>
      <c r="F255" s="113"/>
      <c r="G255" s="113"/>
      <c r="H255" s="113"/>
      <c r="I255" s="113"/>
      <c r="J255" s="113"/>
      <c r="K255" s="109"/>
    </row>
    <row r="256" spans="3:11" ht="13.5" customHeight="1" x14ac:dyDescent="0.3">
      <c r="C256" s="113"/>
      <c r="D256" s="113"/>
      <c r="E256" s="113"/>
      <c r="F256" s="113"/>
      <c r="G256" s="113"/>
      <c r="H256" s="113"/>
      <c r="I256" s="113"/>
      <c r="J256" s="113"/>
      <c r="K256" s="109"/>
    </row>
    <row r="257" spans="3:11" ht="13.5" customHeight="1" x14ac:dyDescent="0.3">
      <c r="C257" s="113"/>
      <c r="D257" s="113"/>
      <c r="E257" s="113"/>
      <c r="F257" s="113"/>
      <c r="G257" s="113"/>
      <c r="H257" s="113"/>
      <c r="I257" s="113"/>
      <c r="J257" s="113"/>
      <c r="K257" s="109"/>
    </row>
    <row r="258" spans="3:11" ht="13.5" customHeight="1" x14ac:dyDescent="0.3">
      <c r="C258" s="113"/>
      <c r="D258" s="113"/>
      <c r="E258" s="113"/>
      <c r="F258" s="113"/>
      <c r="G258" s="113"/>
      <c r="H258" s="113"/>
      <c r="I258" s="113"/>
      <c r="J258" s="113"/>
      <c r="K258" s="109"/>
    </row>
    <row r="259" spans="3:11" ht="13.5" customHeight="1" x14ac:dyDescent="0.3">
      <c r="C259" s="113"/>
      <c r="D259" s="113"/>
      <c r="E259" s="113"/>
      <c r="F259" s="113"/>
      <c r="G259" s="113"/>
      <c r="H259" s="113"/>
      <c r="I259" s="113"/>
      <c r="J259" s="113"/>
      <c r="K259" s="109"/>
    </row>
    <row r="260" spans="3:11" ht="13.5" customHeight="1" x14ac:dyDescent="0.3">
      <c r="C260" s="113"/>
      <c r="D260" s="113"/>
      <c r="E260" s="113"/>
      <c r="F260" s="113"/>
      <c r="G260" s="113"/>
      <c r="H260" s="113"/>
      <c r="I260" s="113"/>
      <c r="J260" s="113"/>
      <c r="K260" s="109"/>
    </row>
    <row r="261" spans="3:11" ht="13.5" customHeight="1" x14ac:dyDescent="0.3">
      <c r="C261" s="113"/>
      <c r="D261" s="113"/>
      <c r="E261" s="113"/>
      <c r="F261" s="113"/>
      <c r="G261" s="113"/>
      <c r="H261" s="113"/>
      <c r="I261" s="113"/>
      <c r="J261" s="113"/>
      <c r="K261" s="109"/>
    </row>
    <row r="262" spans="3:11" ht="13.5" customHeight="1" x14ac:dyDescent="0.3">
      <c r="C262" s="113"/>
      <c r="D262" s="113"/>
      <c r="E262" s="113"/>
      <c r="F262" s="113"/>
      <c r="G262" s="113"/>
      <c r="H262" s="113"/>
      <c r="I262" s="113"/>
      <c r="J262" s="113"/>
      <c r="K262" s="109"/>
    </row>
    <row r="263" spans="3:11" ht="13.5" customHeight="1" x14ac:dyDescent="0.3">
      <c r="C263" s="113"/>
      <c r="D263" s="113"/>
      <c r="E263" s="113"/>
      <c r="F263" s="113"/>
      <c r="G263" s="113"/>
      <c r="H263" s="113"/>
      <c r="I263" s="113"/>
      <c r="J263" s="113"/>
      <c r="K263" s="109"/>
    </row>
    <row r="264" spans="3:11" ht="13.5" customHeight="1" x14ac:dyDescent="0.3">
      <c r="C264" s="113"/>
      <c r="D264" s="113"/>
      <c r="E264" s="113"/>
      <c r="F264" s="113"/>
      <c r="G264" s="113"/>
      <c r="H264" s="113"/>
      <c r="I264" s="113"/>
      <c r="J264" s="113"/>
      <c r="K264" s="109"/>
    </row>
    <row r="265" spans="3:11" ht="13.5" customHeight="1" x14ac:dyDescent="0.3">
      <c r="C265" s="113"/>
      <c r="D265" s="113"/>
      <c r="E265" s="113"/>
      <c r="F265" s="113"/>
      <c r="G265" s="113"/>
      <c r="H265" s="113"/>
      <c r="I265" s="113"/>
      <c r="J265" s="113"/>
      <c r="K265" s="109"/>
    </row>
    <row r="266" spans="3:11" ht="13.5" customHeight="1" x14ac:dyDescent="0.3">
      <c r="C266" s="113"/>
      <c r="D266" s="113"/>
      <c r="E266" s="113"/>
      <c r="F266" s="113"/>
      <c r="G266" s="113"/>
      <c r="H266" s="113"/>
      <c r="I266" s="113"/>
      <c r="J266" s="113"/>
      <c r="K266" s="109"/>
    </row>
    <row r="267" spans="3:11" ht="13.5" customHeight="1" x14ac:dyDescent="0.3">
      <c r="C267" s="113"/>
      <c r="D267" s="113"/>
      <c r="E267" s="113"/>
      <c r="F267" s="113"/>
      <c r="G267" s="113"/>
      <c r="H267" s="113"/>
      <c r="I267" s="113"/>
      <c r="J267" s="113"/>
      <c r="K267" s="109"/>
    </row>
    <row r="268" spans="3:11" ht="13.5" customHeight="1" x14ac:dyDescent="0.3">
      <c r="C268" s="113"/>
      <c r="D268" s="113"/>
      <c r="E268" s="113"/>
      <c r="F268" s="113"/>
      <c r="G268" s="113"/>
      <c r="H268" s="113"/>
      <c r="I268" s="113"/>
      <c r="J268" s="113"/>
      <c r="K268" s="109"/>
    </row>
    <row r="269" spans="3:11" ht="13.5" customHeight="1" x14ac:dyDescent="0.3">
      <c r="C269" s="113"/>
      <c r="D269" s="113"/>
      <c r="E269" s="113"/>
      <c r="F269" s="113"/>
      <c r="G269" s="113"/>
      <c r="H269" s="113"/>
      <c r="I269" s="113"/>
      <c r="J269" s="113"/>
      <c r="K269" s="109"/>
    </row>
    <row r="270" spans="3:11" ht="13.5" customHeight="1" x14ac:dyDescent="0.3">
      <c r="C270" s="113"/>
      <c r="D270" s="113"/>
      <c r="E270" s="113"/>
      <c r="F270" s="113"/>
      <c r="G270" s="113"/>
      <c r="H270" s="113"/>
      <c r="I270" s="113"/>
      <c r="J270" s="113"/>
      <c r="K270" s="109"/>
    </row>
    <row r="271" spans="3:11" ht="13.5" customHeight="1" x14ac:dyDescent="0.3">
      <c r="C271" s="113"/>
      <c r="D271" s="113"/>
      <c r="E271" s="113"/>
      <c r="F271" s="113"/>
      <c r="G271" s="113"/>
      <c r="H271" s="113"/>
      <c r="I271" s="113"/>
      <c r="J271" s="113"/>
      <c r="K271" s="109"/>
    </row>
    <row r="272" spans="3:11" ht="13.5" customHeight="1" x14ac:dyDescent="0.3">
      <c r="C272" s="113"/>
      <c r="D272" s="113"/>
      <c r="E272" s="113"/>
      <c r="F272" s="113"/>
      <c r="G272" s="113"/>
      <c r="H272" s="113"/>
      <c r="I272" s="113"/>
      <c r="J272" s="113"/>
      <c r="K272" s="109"/>
    </row>
    <row r="273" spans="3:11" ht="13.5" customHeight="1" x14ac:dyDescent="0.3">
      <c r="C273" s="113"/>
      <c r="D273" s="113"/>
      <c r="E273" s="113"/>
      <c r="F273" s="113"/>
      <c r="G273" s="113"/>
      <c r="H273" s="113"/>
      <c r="I273" s="113"/>
      <c r="J273" s="113"/>
      <c r="K273" s="109"/>
    </row>
    <row r="274" spans="3:11" ht="13.5" customHeight="1" x14ac:dyDescent="0.3">
      <c r="C274" s="113"/>
      <c r="D274" s="113"/>
      <c r="E274" s="113"/>
      <c r="F274" s="113"/>
      <c r="G274" s="113"/>
      <c r="H274" s="113"/>
      <c r="I274" s="113"/>
      <c r="J274" s="113"/>
      <c r="K274" s="109"/>
    </row>
    <row r="275" spans="3:11" ht="13.5" customHeight="1" x14ac:dyDescent="0.3">
      <c r="C275" s="113"/>
      <c r="D275" s="113"/>
      <c r="E275" s="113"/>
      <c r="F275" s="113"/>
      <c r="G275" s="113"/>
      <c r="H275" s="113"/>
      <c r="I275" s="113"/>
      <c r="J275" s="113"/>
      <c r="K275" s="109"/>
    </row>
    <row r="276" spans="3:11" ht="13.5" customHeight="1" x14ac:dyDescent="0.3">
      <c r="C276" s="113"/>
      <c r="D276" s="113"/>
      <c r="E276" s="113"/>
      <c r="F276" s="113"/>
      <c r="G276" s="113"/>
      <c r="H276" s="113"/>
      <c r="I276" s="113"/>
      <c r="J276" s="113"/>
      <c r="K276" s="109"/>
    </row>
    <row r="277" spans="3:11" ht="13.5" customHeight="1" x14ac:dyDescent="0.3">
      <c r="C277" s="113"/>
      <c r="D277" s="113"/>
      <c r="E277" s="113"/>
      <c r="F277" s="113"/>
      <c r="G277" s="113"/>
      <c r="H277" s="113"/>
      <c r="I277" s="113"/>
      <c r="J277" s="113"/>
      <c r="K277" s="109"/>
    </row>
    <row r="278" spans="3:11" ht="13.5" customHeight="1" x14ac:dyDescent="0.3">
      <c r="C278" s="113"/>
      <c r="D278" s="113"/>
      <c r="E278" s="113"/>
      <c r="F278" s="113"/>
      <c r="G278" s="113"/>
      <c r="H278" s="113"/>
      <c r="I278" s="113"/>
      <c r="J278" s="113"/>
      <c r="K278" s="109"/>
    </row>
    <row r="279" spans="3:11" ht="13.5" customHeight="1" x14ac:dyDescent="0.3">
      <c r="C279" s="113"/>
      <c r="D279" s="113"/>
      <c r="E279" s="113"/>
      <c r="F279" s="113"/>
      <c r="G279" s="113"/>
      <c r="H279" s="113"/>
      <c r="I279" s="113"/>
      <c r="J279" s="113"/>
      <c r="K279" s="109"/>
    </row>
    <row r="280" spans="3:11" ht="13.5" customHeight="1" x14ac:dyDescent="0.3">
      <c r="C280" s="113"/>
      <c r="D280" s="113"/>
      <c r="E280" s="113"/>
      <c r="F280" s="113"/>
      <c r="G280" s="113"/>
      <c r="H280" s="113"/>
      <c r="I280" s="113"/>
      <c r="J280" s="113"/>
      <c r="K280" s="109"/>
    </row>
    <row r="281" spans="3:11" ht="13.5" customHeight="1" x14ac:dyDescent="0.3">
      <c r="C281" s="113"/>
      <c r="D281" s="113"/>
      <c r="E281" s="113"/>
      <c r="F281" s="113"/>
      <c r="G281" s="113"/>
      <c r="H281" s="113"/>
      <c r="I281" s="113"/>
      <c r="J281" s="113"/>
      <c r="K281" s="109"/>
    </row>
    <row r="282" spans="3:11" ht="13.5" customHeight="1" x14ac:dyDescent="0.3">
      <c r="C282" s="113"/>
      <c r="D282" s="113"/>
      <c r="E282" s="113"/>
      <c r="F282" s="113"/>
      <c r="G282" s="113"/>
      <c r="H282" s="113"/>
      <c r="I282" s="113"/>
      <c r="J282" s="113"/>
      <c r="K282" s="109"/>
    </row>
    <row r="283" spans="3:11" ht="13.5" customHeight="1" x14ac:dyDescent="0.3">
      <c r="C283" s="113"/>
      <c r="D283" s="113"/>
      <c r="E283" s="113"/>
      <c r="F283" s="113"/>
      <c r="G283" s="113"/>
      <c r="H283" s="113"/>
      <c r="I283" s="113"/>
      <c r="J283" s="113"/>
      <c r="K283" s="109"/>
    </row>
    <row r="284" spans="3:11" ht="13.5" customHeight="1" x14ac:dyDescent="0.3">
      <c r="C284" s="113"/>
      <c r="D284" s="113"/>
      <c r="E284" s="113"/>
      <c r="F284" s="113"/>
      <c r="G284" s="113"/>
      <c r="H284" s="113"/>
      <c r="I284" s="113"/>
      <c r="J284" s="113"/>
      <c r="K284" s="109"/>
    </row>
    <row r="285" spans="3:11" ht="13.5" customHeight="1" x14ac:dyDescent="0.3">
      <c r="C285" s="113"/>
      <c r="D285" s="113"/>
      <c r="E285" s="113"/>
      <c r="F285" s="113"/>
      <c r="G285" s="113"/>
      <c r="H285" s="113"/>
      <c r="I285" s="113"/>
      <c r="J285" s="113"/>
      <c r="K285" s="109"/>
    </row>
    <row r="286" spans="3:11" ht="13.5" customHeight="1" x14ac:dyDescent="0.3">
      <c r="C286" s="113"/>
      <c r="D286" s="113"/>
      <c r="E286" s="113"/>
      <c r="F286" s="113"/>
      <c r="G286" s="113"/>
      <c r="H286" s="113"/>
      <c r="I286" s="113"/>
      <c r="J286" s="113"/>
      <c r="K286" s="109"/>
    </row>
    <row r="287" spans="3:11" ht="13.5" customHeight="1" x14ac:dyDescent="0.3">
      <c r="C287" s="113"/>
      <c r="D287" s="113"/>
      <c r="E287" s="113"/>
      <c r="F287" s="113"/>
      <c r="G287" s="113"/>
      <c r="H287" s="113"/>
      <c r="I287" s="113"/>
      <c r="J287" s="113"/>
      <c r="K287" s="109"/>
    </row>
    <row r="288" spans="3:11" ht="13.5" customHeight="1" x14ac:dyDescent="0.3">
      <c r="C288" s="113"/>
      <c r="D288" s="113"/>
      <c r="E288" s="113"/>
      <c r="F288" s="113"/>
      <c r="G288" s="113"/>
      <c r="H288" s="113"/>
      <c r="I288" s="113"/>
      <c r="J288" s="113"/>
      <c r="K288" s="109"/>
    </row>
    <row r="289" spans="3:11" ht="13.5" customHeight="1" x14ac:dyDescent="0.3">
      <c r="C289" s="113"/>
      <c r="D289" s="113"/>
      <c r="E289" s="113"/>
      <c r="F289" s="113"/>
      <c r="G289" s="113"/>
      <c r="H289" s="113"/>
      <c r="I289" s="113"/>
      <c r="J289" s="113"/>
      <c r="K289" s="109"/>
    </row>
    <row r="290" spans="3:11" ht="13.5" customHeight="1" x14ac:dyDescent="0.3">
      <c r="C290" s="113"/>
      <c r="D290" s="113"/>
      <c r="E290" s="113"/>
      <c r="F290" s="113"/>
      <c r="G290" s="113"/>
      <c r="H290" s="113"/>
      <c r="I290" s="113"/>
      <c r="J290" s="113"/>
      <c r="K290" s="109"/>
    </row>
    <row r="291" spans="3:11" ht="13.5" customHeight="1" x14ac:dyDescent="0.3">
      <c r="C291" s="113"/>
      <c r="D291" s="113"/>
      <c r="E291" s="113"/>
      <c r="F291" s="113"/>
      <c r="G291" s="113"/>
      <c r="H291" s="113"/>
      <c r="I291" s="113"/>
      <c r="J291" s="113"/>
      <c r="K291" s="109"/>
    </row>
    <row r="292" spans="3:11" ht="13.5" customHeight="1" x14ac:dyDescent="0.3">
      <c r="C292" s="113"/>
      <c r="D292" s="113"/>
      <c r="E292" s="113"/>
      <c r="F292" s="113"/>
      <c r="G292" s="113"/>
      <c r="H292" s="113"/>
      <c r="I292" s="113"/>
      <c r="J292" s="113"/>
      <c r="K292" s="109"/>
    </row>
    <row r="293" spans="3:11" ht="13.5" customHeight="1" x14ac:dyDescent="0.3">
      <c r="C293" s="113"/>
      <c r="D293" s="113"/>
      <c r="E293" s="113"/>
      <c r="F293" s="113"/>
      <c r="G293" s="113"/>
      <c r="H293" s="113"/>
      <c r="I293" s="113"/>
      <c r="J293" s="113"/>
      <c r="K293" s="109"/>
    </row>
    <row r="294" spans="3:11" ht="13.5" customHeight="1" x14ac:dyDescent="0.3">
      <c r="C294" s="113"/>
      <c r="D294" s="113"/>
      <c r="E294" s="113"/>
      <c r="F294" s="113"/>
      <c r="G294" s="113"/>
      <c r="H294" s="113"/>
      <c r="I294" s="113"/>
      <c r="J294" s="113"/>
      <c r="K294" s="109"/>
    </row>
    <row r="295" spans="3:11" ht="13.5" customHeight="1" x14ac:dyDescent="0.3">
      <c r="C295" s="113"/>
      <c r="D295" s="113"/>
      <c r="E295" s="113"/>
      <c r="F295" s="113"/>
      <c r="G295" s="113"/>
      <c r="H295" s="113"/>
      <c r="I295" s="113"/>
      <c r="J295" s="113"/>
      <c r="K295" s="109"/>
    </row>
    <row r="296" spans="3:11" ht="13.5" customHeight="1" x14ac:dyDescent="0.3">
      <c r="C296" s="113"/>
      <c r="D296" s="113"/>
      <c r="E296" s="113"/>
      <c r="F296" s="113"/>
      <c r="G296" s="113"/>
      <c r="H296" s="113"/>
      <c r="I296" s="113"/>
      <c r="J296" s="113"/>
      <c r="K296" s="109"/>
    </row>
    <row r="297" spans="3:11" ht="13.5" customHeight="1" x14ac:dyDescent="0.3">
      <c r="C297" s="113"/>
      <c r="D297" s="113"/>
      <c r="E297" s="113"/>
      <c r="F297" s="113"/>
      <c r="G297" s="113"/>
      <c r="H297" s="113"/>
      <c r="I297" s="113"/>
      <c r="J297" s="113"/>
      <c r="K297" s="109"/>
    </row>
    <row r="298" spans="3:11" ht="13.5" customHeight="1" x14ac:dyDescent="0.3">
      <c r="C298" s="113"/>
      <c r="D298" s="113"/>
      <c r="E298" s="113"/>
      <c r="F298" s="113"/>
      <c r="G298" s="113"/>
      <c r="H298" s="113"/>
      <c r="I298" s="113"/>
      <c r="J298" s="113"/>
      <c r="K298" s="109"/>
    </row>
    <row r="299" spans="3:11" ht="13.5" customHeight="1" x14ac:dyDescent="0.3">
      <c r="C299" s="113"/>
      <c r="D299" s="113"/>
      <c r="E299" s="113"/>
      <c r="F299" s="113"/>
      <c r="G299" s="113"/>
      <c r="H299" s="113"/>
      <c r="I299" s="113"/>
      <c r="J299" s="113"/>
      <c r="K299" s="109"/>
    </row>
    <row r="300" spans="3:11" ht="13.5" customHeight="1" x14ac:dyDescent="0.3">
      <c r="C300" s="113"/>
      <c r="D300" s="113"/>
      <c r="E300" s="113"/>
      <c r="F300" s="113"/>
      <c r="G300" s="113"/>
      <c r="H300" s="113"/>
      <c r="I300" s="113"/>
      <c r="J300" s="113"/>
      <c r="K300" s="109"/>
    </row>
    <row r="301" spans="3:11" ht="13.5" customHeight="1" x14ac:dyDescent="0.3">
      <c r="C301" s="113"/>
      <c r="D301" s="113"/>
      <c r="E301" s="113"/>
      <c r="F301" s="113"/>
      <c r="G301" s="113"/>
      <c r="H301" s="113"/>
      <c r="I301" s="113"/>
      <c r="J301" s="113"/>
      <c r="K301" s="109"/>
    </row>
    <row r="302" spans="3:11" ht="13.5" customHeight="1" x14ac:dyDescent="0.3">
      <c r="C302" s="113"/>
      <c r="D302" s="113"/>
      <c r="E302" s="113"/>
      <c r="F302" s="113"/>
      <c r="G302" s="113"/>
      <c r="H302" s="113"/>
      <c r="I302" s="113"/>
      <c r="J302" s="113"/>
      <c r="K302" s="109"/>
    </row>
    <row r="303" spans="3:11" ht="13.5" customHeight="1" x14ac:dyDescent="0.3">
      <c r="C303" s="113"/>
      <c r="D303" s="113"/>
      <c r="E303" s="113"/>
      <c r="F303" s="113"/>
      <c r="G303" s="113"/>
      <c r="H303" s="113"/>
      <c r="I303" s="113"/>
      <c r="J303" s="113"/>
      <c r="K303" s="109"/>
    </row>
    <row r="304" spans="3:11" ht="13.5" customHeight="1" x14ac:dyDescent="0.3">
      <c r="C304" s="113"/>
      <c r="D304" s="113"/>
      <c r="E304" s="113"/>
      <c r="F304" s="113"/>
      <c r="G304" s="113"/>
      <c r="H304" s="113"/>
      <c r="I304" s="113"/>
      <c r="J304" s="113"/>
      <c r="K304" s="109"/>
    </row>
    <row r="305" spans="3:11" ht="13.5" customHeight="1" x14ac:dyDescent="0.3">
      <c r="C305" s="113"/>
      <c r="D305" s="113"/>
      <c r="E305" s="113"/>
      <c r="F305" s="113"/>
      <c r="G305" s="113"/>
      <c r="H305" s="113"/>
      <c r="I305" s="113"/>
      <c r="J305" s="113"/>
      <c r="K305" s="109"/>
    </row>
    <row r="306" spans="3:11" ht="13.5" customHeight="1" x14ac:dyDescent="0.3">
      <c r="C306" s="113"/>
      <c r="D306" s="113"/>
      <c r="E306" s="113"/>
      <c r="F306" s="113"/>
      <c r="G306" s="113"/>
      <c r="H306" s="113"/>
      <c r="I306" s="113"/>
      <c r="J306" s="113"/>
      <c r="K306" s="109"/>
    </row>
    <row r="307" spans="3:11" ht="13.5" customHeight="1" x14ac:dyDescent="0.3">
      <c r="C307" s="113"/>
      <c r="D307" s="113"/>
      <c r="E307" s="113"/>
      <c r="F307" s="113"/>
      <c r="G307" s="113"/>
      <c r="H307" s="113"/>
      <c r="I307" s="113"/>
      <c r="J307" s="113"/>
      <c r="K307" s="109"/>
    </row>
    <row r="308" spans="3:11" ht="13.5" customHeight="1" x14ac:dyDescent="0.3">
      <c r="C308" s="113"/>
      <c r="D308" s="113"/>
      <c r="E308" s="113"/>
      <c r="F308" s="113"/>
      <c r="G308" s="113"/>
      <c r="H308" s="113"/>
      <c r="I308" s="113"/>
      <c r="J308" s="113"/>
      <c r="K308" s="109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1" fitToHeight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00338D"/>
    <pageSetUpPr fitToPage="1"/>
  </sheetPr>
  <dimension ref="B1:W28"/>
  <sheetViews>
    <sheetView showGridLines="0" topLeftCell="B6" zoomScale="85" zoomScaleNormal="85" workbookViewId="0">
      <selection activeCell="J30" sqref="J30"/>
    </sheetView>
  </sheetViews>
  <sheetFormatPr defaultColWidth="9" defaultRowHeight="13.5" customHeight="1" x14ac:dyDescent="0.3"/>
  <cols>
    <col min="1" max="1" width="1.625" style="110" customWidth="1"/>
    <col min="2" max="2" width="20.625" style="110" customWidth="1"/>
    <col min="3" max="11" width="9.625" style="110" customWidth="1"/>
    <col min="12" max="12" width="9.625" style="159" customWidth="1"/>
    <col min="13" max="13" width="9.625" style="108" customWidth="1"/>
    <col min="14" max="14" width="2.625" style="110" customWidth="1"/>
    <col min="15" max="16384" width="9" style="110"/>
  </cols>
  <sheetData>
    <row r="1" spans="2:23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255"/>
      <c r="H1" s="255"/>
      <c r="I1" s="255"/>
      <c r="J1" s="255"/>
      <c r="K1" s="256"/>
      <c r="L1" s="256"/>
      <c r="M1" s="256" t="str">
        <f>Des!C12</f>
        <v>DRAFT - For Discussion Purposes Only</v>
      </c>
    </row>
    <row r="2" spans="2:23" customFormat="1" ht="20.100000000000001" customHeight="1" x14ac:dyDescent="0.3">
      <c r="B2" s="321" t="s">
        <v>29</v>
      </c>
      <c r="C2" s="321"/>
      <c r="D2" s="321"/>
      <c r="E2" s="321"/>
      <c r="F2" s="321"/>
      <c r="G2" s="257"/>
      <c r="H2" s="257"/>
      <c r="I2" s="257"/>
      <c r="J2" s="257"/>
      <c r="K2" s="257"/>
      <c r="L2" s="257"/>
      <c r="M2" s="257"/>
    </row>
    <row r="3" spans="2:23" customFormat="1" ht="14.1" customHeight="1" x14ac:dyDescent="0.3">
      <c r="C3" s="40"/>
      <c r="D3" s="40"/>
      <c r="E3" s="40"/>
      <c r="L3" s="153"/>
      <c r="M3" s="37"/>
    </row>
    <row r="4" spans="2:23" s="65" customFormat="1" ht="13.5" customHeight="1" x14ac:dyDescent="0.3">
      <c r="B4" s="258" t="s">
        <v>29</v>
      </c>
      <c r="C4" s="295"/>
      <c r="D4" s="295"/>
      <c r="E4" s="295"/>
      <c r="F4" s="295"/>
      <c r="G4" s="450"/>
      <c r="H4" s="295"/>
      <c r="I4" s="295"/>
      <c r="J4" s="295"/>
      <c r="K4" s="295"/>
      <c r="L4" s="295"/>
      <c r="M4" s="297"/>
    </row>
    <row r="5" spans="2:23" s="65" customFormat="1" ht="13.5" customHeight="1" x14ac:dyDescent="0.3">
      <c r="B5" s="298" t="s">
        <v>12</v>
      </c>
      <c r="C5" s="299"/>
      <c r="D5" s="299">
        <f>'Pro forma'!D$5</f>
        <v>2014</v>
      </c>
      <c r="E5" s="299">
        <f>'Pro forma'!E$5</f>
        <v>2015</v>
      </c>
      <c r="F5" s="299">
        <f>'Pro forma'!F$5</f>
        <v>2016</v>
      </c>
      <c r="G5" s="419">
        <f>'Pro forma'!G$5</f>
        <v>2017</v>
      </c>
      <c r="H5" s="375">
        <f>'Pro forma'!H$5</f>
        <v>2018</v>
      </c>
      <c r="I5" s="375">
        <f>'Pro forma'!I$5</f>
        <v>2019</v>
      </c>
      <c r="J5" s="375">
        <f>'Pro forma'!J$5</f>
        <v>2020</v>
      </c>
      <c r="K5" s="375">
        <f>'Pro forma'!K$5</f>
        <v>2021</v>
      </c>
      <c r="L5" s="375">
        <f>'Pro forma'!L$5</f>
        <v>2022</v>
      </c>
      <c r="M5" s="376" t="s">
        <v>40</v>
      </c>
      <c r="R5" s="672" t="s">
        <v>692</v>
      </c>
      <c r="T5" s="159" t="s">
        <v>689</v>
      </c>
      <c r="W5" s="159">
        <v>2</v>
      </c>
    </row>
    <row r="6" spans="2:23" s="65" customFormat="1" ht="15" customHeight="1" x14ac:dyDescent="0.3">
      <c r="B6" s="268" t="s">
        <v>41</v>
      </c>
      <c r="C6" s="101"/>
      <c r="D6" s="101">
        <f t="shared" ref="D6:M6" si="0">D7+D10+D11</f>
        <v>6708.2092159999993</v>
      </c>
      <c r="E6" s="101">
        <f t="shared" si="0"/>
        <v>9436.1737119999998</v>
      </c>
      <c r="F6" s="101">
        <f t="shared" si="0"/>
        <v>9639.3753729999989</v>
      </c>
      <c r="G6" s="90">
        <f t="shared" si="0"/>
        <v>10919.191376999999</v>
      </c>
      <c r="H6" s="101">
        <f t="shared" si="0"/>
        <v>15205.603874438839</v>
      </c>
      <c r="I6" s="101">
        <f t="shared" si="0"/>
        <v>20216.395464727117</v>
      </c>
      <c r="J6" s="101">
        <f t="shared" si="0"/>
        <v>22507.61134536608</v>
      </c>
      <c r="K6" s="101">
        <f t="shared" si="0"/>
        <v>28547.532147974423</v>
      </c>
      <c r="L6" s="101">
        <f t="shared" si="0"/>
        <v>32784.113004043415</v>
      </c>
      <c r="M6" s="316">
        <f t="shared" si="0"/>
        <v>33111.954134083848</v>
      </c>
      <c r="T6" s="159" t="s">
        <v>690</v>
      </c>
    </row>
    <row r="7" spans="2:23" ht="15" customHeight="1" x14ac:dyDescent="0.3">
      <c r="B7" s="451" t="s">
        <v>42</v>
      </c>
      <c r="C7" s="102"/>
      <c r="D7" s="102">
        <f>(BS!C12+BS!C13+BS!C14)/10^6</f>
        <v>2103.139275</v>
      </c>
      <c r="E7" s="102">
        <f>(BS!D12+BS!D13+BS!D14)/10^6</f>
        <v>1489.846454</v>
      </c>
      <c r="F7" s="102">
        <f>(BS!E12+BS!E13+BS!E14)/10^6</f>
        <v>768.17499399999997</v>
      </c>
      <c r="G7" s="1496">
        <f>(BS!F12+BS!F13+BS!F14)/10^6</f>
        <v>4458.6296339999999</v>
      </c>
      <c r="H7" s="103">
        <f t="shared" ref="H7:M7" si="1">H$27/H8</f>
        <v>2458.8944202007715</v>
      </c>
      <c r="I7" s="103">
        <f t="shared" si="1"/>
        <v>3245.3168823311648</v>
      </c>
      <c r="J7" s="103">
        <f t="shared" si="1"/>
        <v>3633.6085834329933</v>
      </c>
      <c r="K7" s="103">
        <f t="shared" si="1"/>
        <v>4654.0000232968641</v>
      </c>
      <c r="L7" s="103">
        <f t="shared" si="1"/>
        <v>5359.8901779610769</v>
      </c>
      <c r="M7" s="452">
        <f t="shared" si="1"/>
        <v>5413.4890797406879</v>
      </c>
      <c r="O7" s="95"/>
      <c r="T7" s="159" t="s">
        <v>691</v>
      </c>
      <c r="U7" s="80"/>
      <c r="V7" s="80"/>
      <c r="W7" s="80"/>
    </row>
    <row r="8" spans="2:23" ht="15" customHeight="1" x14ac:dyDescent="0.3">
      <c r="B8" s="453" t="s">
        <v>87</v>
      </c>
      <c r="C8" s="561">
        <f>CHOOSE($W$5,AVERAGE(D8:G8),AVERAGE(E8:G8),AVERAGE(F8:G8))</f>
        <v>56.127349387287047</v>
      </c>
      <c r="D8" s="61">
        <f>D$27/D7</f>
        <v>19.707545969821709</v>
      </c>
      <c r="E8" s="61">
        <f>E$27/E7</f>
        <v>41.59270614943518</v>
      </c>
      <c r="F8" s="61">
        <f>F$27/F7</f>
        <v>106.08029616100731</v>
      </c>
      <c r="G8" s="1497">
        <f>G$27/G7</f>
        <v>20.709045851418661</v>
      </c>
      <c r="H8" s="61">
        <f>C8</f>
        <v>56.127349387287047</v>
      </c>
      <c r="I8" s="61">
        <f t="shared" ref="I8:K8" si="2">H8</f>
        <v>56.127349387287047</v>
      </c>
      <c r="J8" s="61">
        <f t="shared" si="2"/>
        <v>56.127349387287047</v>
      </c>
      <c r="K8" s="61">
        <f t="shared" si="2"/>
        <v>56.127349387287047</v>
      </c>
      <c r="L8" s="61">
        <f t="shared" ref="L8" si="3">K8</f>
        <v>56.127349387287047</v>
      </c>
      <c r="M8" s="454">
        <f t="shared" ref="M8" si="4">L8</f>
        <v>56.127349387287047</v>
      </c>
      <c r="O8" s="95"/>
    </row>
    <row r="9" spans="2:23" ht="15" customHeight="1" x14ac:dyDescent="0.3">
      <c r="B9" s="453" t="s">
        <v>89</v>
      </c>
      <c r="C9" s="673"/>
      <c r="D9" s="62">
        <f t="shared" ref="D9:F9" si="5">365/D8</f>
        <v>18.520824488189795</v>
      </c>
      <c r="E9" s="62">
        <f t="shared" si="5"/>
        <v>8.7755771093282569</v>
      </c>
      <c r="F9" s="62">
        <f t="shared" si="5"/>
        <v>3.4407897904621958</v>
      </c>
      <c r="G9" s="673">
        <f t="shared" ref="G9:M9" si="6">365/G8</f>
        <v>17.62514809319406</v>
      </c>
      <c r="H9" s="62">
        <f t="shared" si="6"/>
        <v>6.5030685393932606</v>
      </c>
      <c r="I9" s="62">
        <f t="shared" si="6"/>
        <v>6.5030685393932606</v>
      </c>
      <c r="J9" s="62">
        <f t="shared" si="6"/>
        <v>6.5030685393932606</v>
      </c>
      <c r="K9" s="62">
        <f t="shared" si="6"/>
        <v>6.5030685393932606</v>
      </c>
      <c r="L9" s="62">
        <f t="shared" si="6"/>
        <v>6.5030685393932606</v>
      </c>
      <c r="M9" s="455">
        <f t="shared" si="6"/>
        <v>6.5030685393932606</v>
      </c>
    </row>
    <row r="10" spans="2:23" ht="15" customHeight="1" x14ac:dyDescent="0.3">
      <c r="B10" s="451"/>
      <c r="C10" s="102"/>
      <c r="D10" s="102"/>
      <c r="E10" s="102"/>
      <c r="F10" s="102"/>
      <c r="G10" s="102"/>
      <c r="H10" s="103"/>
      <c r="I10" s="103"/>
      <c r="J10" s="103"/>
      <c r="K10" s="103"/>
      <c r="L10" s="103"/>
      <c r="M10" s="452"/>
      <c r="O10" s="97"/>
    </row>
    <row r="11" spans="2:23" s="159" customFormat="1" ht="15" customHeight="1" x14ac:dyDescent="0.3">
      <c r="B11" s="451" t="s">
        <v>2159</v>
      </c>
      <c r="C11" s="673"/>
      <c r="D11" s="102">
        <f>BS!C23/10^6</f>
        <v>4605.0699409999997</v>
      </c>
      <c r="E11" s="102">
        <f>BS!D23/10^6</f>
        <v>7946.3272580000003</v>
      </c>
      <c r="F11" s="102">
        <f>BS!E23/10^6</f>
        <v>8871.2003789999999</v>
      </c>
      <c r="G11" s="102">
        <f>BS!F23/10^6</f>
        <v>6460.5617430000002</v>
      </c>
      <c r="H11" s="103">
        <f>H$28/H12</f>
        <v>12746.709454238067</v>
      </c>
      <c r="I11" s="103">
        <f t="shared" ref="I11:M11" si="7">I$28/I12</f>
        <v>16971.078582395952</v>
      </c>
      <c r="J11" s="103">
        <f t="shared" si="7"/>
        <v>18874.002761933087</v>
      </c>
      <c r="K11" s="103">
        <f t="shared" si="7"/>
        <v>23893.53212467756</v>
      </c>
      <c r="L11" s="103">
        <f t="shared" si="7"/>
        <v>27424.222826082336</v>
      </c>
      <c r="M11" s="452">
        <f t="shared" si="7"/>
        <v>27698.46505434316</v>
      </c>
    </row>
    <row r="12" spans="2:23" s="159" customFormat="1" ht="15" customHeight="1" x14ac:dyDescent="0.3">
      <c r="B12" s="453" t="s">
        <v>87</v>
      </c>
      <c r="C12" s="561">
        <f>CHOOSE($W$5,AVERAGE(D12:G12),AVERAGE(E12:G12),AVERAGE(F12:G12))</f>
        <v>7.4586275486913545</v>
      </c>
      <c r="D12" s="61">
        <f t="shared" ref="D12:G12" si="8">D$28/D11</f>
        <v>6.3179396199750366</v>
      </c>
      <c r="E12" s="61">
        <f t="shared" si="8"/>
        <v>5.3690486169000415</v>
      </c>
      <c r="F12" s="61">
        <f t="shared" si="8"/>
        <v>6.7518164010575328</v>
      </c>
      <c r="G12" s="1497">
        <f t="shared" si="8"/>
        <v>10.255017628116491</v>
      </c>
      <c r="H12" s="61">
        <f>C12</f>
        <v>7.4586275486913545</v>
      </c>
      <c r="I12" s="61">
        <f>H12</f>
        <v>7.4586275486913545</v>
      </c>
      <c r="J12" s="61">
        <f t="shared" ref="J12:K12" si="9">I12</f>
        <v>7.4586275486913545</v>
      </c>
      <c r="K12" s="61">
        <f t="shared" si="9"/>
        <v>7.4586275486913545</v>
      </c>
      <c r="L12" s="61">
        <f t="shared" ref="L12" si="10">K12</f>
        <v>7.4586275486913545</v>
      </c>
      <c r="M12" s="454">
        <f t="shared" ref="M12" si="11">L12</f>
        <v>7.4586275486913545</v>
      </c>
    </row>
    <row r="13" spans="2:23" s="159" customFormat="1" ht="15" customHeight="1" x14ac:dyDescent="0.3">
      <c r="B13" s="453" t="s">
        <v>89</v>
      </c>
      <c r="C13" s="673"/>
      <c r="D13" s="62">
        <f t="shared" ref="D13:M13" si="12">365/D12</f>
        <v>57.771998777259945</v>
      </c>
      <c r="E13" s="62">
        <f t="shared" si="12"/>
        <v>67.982249006108304</v>
      </c>
      <c r="F13" s="62">
        <f t="shared" si="12"/>
        <v>54.059526847150387</v>
      </c>
      <c r="G13" s="673">
        <f t="shared" si="12"/>
        <v>35.592332771741759</v>
      </c>
      <c r="H13" s="62">
        <f t="shared" si="12"/>
        <v>48.936617040763842</v>
      </c>
      <c r="I13" s="62">
        <f t="shared" si="12"/>
        <v>48.936617040763842</v>
      </c>
      <c r="J13" s="62">
        <f t="shared" si="12"/>
        <v>48.936617040763842</v>
      </c>
      <c r="K13" s="62">
        <f t="shared" si="12"/>
        <v>48.936617040763842</v>
      </c>
      <c r="L13" s="62">
        <f t="shared" si="12"/>
        <v>48.936617040763842</v>
      </c>
      <c r="M13" s="455">
        <f t="shared" si="12"/>
        <v>48.936617040763842</v>
      </c>
    </row>
    <row r="14" spans="2:23" ht="15" customHeight="1" x14ac:dyDescent="0.3">
      <c r="B14" s="453"/>
      <c r="C14" s="62"/>
      <c r="D14" s="62"/>
      <c r="E14" s="62"/>
      <c r="F14" s="62"/>
      <c r="G14" s="673"/>
      <c r="H14" s="62"/>
      <c r="I14" s="62"/>
      <c r="J14" s="62"/>
      <c r="K14" s="62"/>
      <c r="L14" s="62"/>
      <c r="M14" s="455"/>
    </row>
    <row r="15" spans="2:23" s="65" customFormat="1" ht="15" customHeight="1" x14ac:dyDescent="0.3">
      <c r="B15" s="268" t="s">
        <v>43</v>
      </c>
      <c r="C15" s="104"/>
      <c r="D15" s="104">
        <f t="shared" ref="D15:M15" si="13">D16+D19</f>
        <v>2672.647058</v>
      </c>
      <c r="E15" s="104">
        <f t="shared" si="13"/>
        <v>3450.4179249999997</v>
      </c>
      <c r="F15" s="104">
        <f t="shared" si="13"/>
        <v>4801.8693960000001</v>
      </c>
      <c r="G15" s="1498">
        <f t="shared" si="13"/>
        <v>3768.560066</v>
      </c>
      <c r="H15" s="104">
        <f t="shared" si="13"/>
        <v>6396.4730750365679</v>
      </c>
      <c r="I15" s="104">
        <f t="shared" si="13"/>
        <v>8507.628816555507</v>
      </c>
      <c r="J15" s="104">
        <f t="shared" si="13"/>
        <v>9469.0149485010697</v>
      </c>
      <c r="K15" s="104">
        <f t="shared" si="13"/>
        <v>12003.784255620261</v>
      </c>
      <c r="L15" s="104">
        <f t="shared" si="13"/>
        <v>13783.103125017122</v>
      </c>
      <c r="M15" s="671">
        <f t="shared" si="13"/>
        <v>13920.934156267293</v>
      </c>
    </row>
    <row r="16" spans="2:23" ht="15" customHeight="1" x14ac:dyDescent="0.3">
      <c r="B16" s="451" t="s">
        <v>44</v>
      </c>
      <c r="C16" s="102"/>
      <c r="D16" s="102">
        <f>(BS!C54+BS!C55)/10^6</f>
        <v>2125.04864</v>
      </c>
      <c r="E16" s="102">
        <f>(BS!D54+BS!D55)/10^6</f>
        <v>3086.1303939999998</v>
      </c>
      <c r="F16" s="102">
        <f>(BS!E54+BS!E55)/10^6</f>
        <v>3337.8387790000002</v>
      </c>
      <c r="G16" s="102">
        <f>(BS!F54+BS!F55)/10^6</f>
        <v>3534.0400450000002</v>
      </c>
      <c r="H16" s="103">
        <f t="shared" ref="H16:M16" si="14">H28/H17</f>
        <v>5646.0636619873403</v>
      </c>
      <c r="I16" s="103">
        <f t="shared" si="14"/>
        <v>7517.2177127595032</v>
      </c>
      <c r="J16" s="103">
        <f t="shared" si="14"/>
        <v>8360.1043495165268</v>
      </c>
      <c r="K16" s="103">
        <f t="shared" si="14"/>
        <v>10583.468931333937</v>
      </c>
      <c r="L16" s="103">
        <f t="shared" si="14"/>
        <v>12147.363091037265</v>
      </c>
      <c r="M16" s="452">
        <f t="shared" si="14"/>
        <v>12268.836721947637</v>
      </c>
      <c r="O16" s="95"/>
    </row>
    <row r="17" spans="2:15" ht="15" customHeight="1" x14ac:dyDescent="0.3">
      <c r="B17" s="453" t="s">
        <v>87</v>
      </c>
      <c r="C17" s="561">
        <f>CHOOSE($W$5,AVERAGE(D17:G17),AVERAGE(E17:G17),AVERAGE(F17:G17))</f>
        <v>16.838803807798396</v>
      </c>
      <c r="D17" s="61">
        <f t="shared" ref="D17:G17" si="15">D$28/D16</f>
        <v>13.691241360480108</v>
      </c>
      <c r="E17" s="61">
        <f t="shared" si="15"/>
        <v>13.824502508690825</v>
      </c>
      <c r="F17" s="61">
        <f t="shared" si="15"/>
        <v>17.944760122280311</v>
      </c>
      <c r="G17" s="1497">
        <f t="shared" si="15"/>
        <v>18.747148792424053</v>
      </c>
      <c r="H17" s="61">
        <f>C17</f>
        <v>16.838803807798396</v>
      </c>
      <c r="I17" s="61">
        <f>H17</f>
        <v>16.838803807798396</v>
      </c>
      <c r="J17" s="61">
        <f t="shared" ref="J17:K17" si="16">I17</f>
        <v>16.838803807798396</v>
      </c>
      <c r="K17" s="61">
        <f t="shared" si="16"/>
        <v>16.838803807798396</v>
      </c>
      <c r="L17" s="61">
        <f t="shared" ref="L17" si="17">K17</f>
        <v>16.838803807798396</v>
      </c>
      <c r="M17" s="454">
        <f t="shared" ref="M17" si="18">L17</f>
        <v>16.838803807798396</v>
      </c>
    </row>
    <row r="18" spans="2:15" ht="15" customHeight="1" x14ac:dyDescent="0.3">
      <c r="B18" s="453" t="s">
        <v>89</v>
      </c>
      <c r="C18" s="673"/>
      <c r="D18" s="62">
        <f t="shared" ref="D18:F18" si="19">365/D17</f>
        <v>26.659379554404453</v>
      </c>
      <c r="E18" s="62">
        <f t="shared" si="19"/>
        <v>26.402396742345079</v>
      </c>
      <c r="F18" s="62">
        <f t="shared" si="19"/>
        <v>20.340199451694762</v>
      </c>
      <c r="G18" s="673">
        <f t="shared" ref="G18" si="20">365/G17</f>
        <v>19.469627303939728</v>
      </c>
      <c r="H18" s="62">
        <f t="shared" ref="H18" si="21">365/H17</f>
        <v>21.676124038630405</v>
      </c>
      <c r="I18" s="62">
        <f t="shared" ref="I18" si="22">365/I17</f>
        <v>21.676124038630405</v>
      </c>
      <c r="J18" s="62">
        <f t="shared" ref="J18" si="23">365/J17</f>
        <v>21.676124038630405</v>
      </c>
      <c r="K18" s="62">
        <f t="shared" ref="K18:M18" si="24">365/K17</f>
        <v>21.676124038630405</v>
      </c>
      <c r="L18" s="62">
        <f t="shared" si="24"/>
        <v>21.676124038630405</v>
      </c>
      <c r="M18" s="455">
        <f t="shared" si="24"/>
        <v>21.676124038630405</v>
      </c>
      <c r="O18" s="97"/>
    </row>
    <row r="19" spans="2:15" ht="15" customHeight="1" x14ac:dyDescent="0.3">
      <c r="B19" s="451" t="s">
        <v>3310</v>
      </c>
      <c r="C19" s="102"/>
      <c r="D19" s="102">
        <f>BS!C58/10^6</f>
        <v>547.59841800000004</v>
      </c>
      <c r="E19" s="102">
        <f>BS!D58/10^6</f>
        <v>364.287531</v>
      </c>
      <c r="F19" s="102">
        <f>BS!E58/10^6</f>
        <v>1464.0306169999999</v>
      </c>
      <c r="G19" s="102">
        <f>BS!F58/10^6</f>
        <v>234.52002100000001</v>
      </c>
      <c r="H19" s="103">
        <f>H$27/H20</f>
        <v>750.40941304922762</v>
      </c>
      <c r="I19" s="103">
        <f t="shared" ref="I19:M19" si="25">I$27/I20</f>
        <v>990.41110379600298</v>
      </c>
      <c r="J19" s="103">
        <f t="shared" si="25"/>
        <v>1108.9105989845432</v>
      </c>
      <c r="K19" s="103">
        <f t="shared" si="25"/>
        <v>1420.3153242863241</v>
      </c>
      <c r="L19" s="103">
        <f t="shared" si="25"/>
        <v>1635.7400339798576</v>
      </c>
      <c r="M19" s="452">
        <f t="shared" si="25"/>
        <v>1652.0974343196563</v>
      </c>
      <c r="O19" s="95"/>
    </row>
    <row r="20" spans="2:15" ht="15" customHeight="1" x14ac:dyDescent="0.3">
      <c r="B20" s="453" t="s">
        <v>86</v>
      </c>
      <c r="C20" s="561">
        <f>CHOOSE($W$5,AVERAGE(D20:G20),AVERAGE(E20:G20),AVERAGE(F20:G20))</f>
        <v>183.91457227097126</v>
      </c>
      <c r="D20" s="61">
        <f t="shared" ref="D20:F20" si="26">D$28/D19</f>
        <v>53.131186790609028</v>
      </c>
      <c r="E20" s="61">
        <f t="shared" si="26"/>
        <v>117.11687538929242</v>
      </c>
      <c r="F20" s="61">
        <f t="shared" si="26"/>
        <v>40.912201917427524</v>
      </c>
      <c r="G20" s="1497">
        <f t="shared" ref="G20" si="27">G$27/G19</f>
        <v>393.71463950619381</v>
      </c>
      <c r="H20" s="61">
        <f>C20</f>
        <v>183.91457227097126</v>
      </c>
      <c r="I20" s="61">
        <f t="shared" ref="I20" si="28">H20</f>
        <v>183.91457227097126</v>
      </c>
      <c r="J20" s="61">
        <f t="shared" ref="J20" si="29">I20</f>
        <v>183.91457227097126</v>
      </c>
      <c r="K20" s="61">
        <f t="shared" ref="K20" si="30">J20</f>
        <v>183.91457227097126</v>
      </c>
      <c r="L20" s="61">
        <f t="shared" ref="L20" si="31">K20</f>
        <v>183.91457227097126</v>
      </c>
      <c r="M20" s="454">
        <f t="shared" ref="M20" si="32">L20</f>
        <v>183.91457227097126</v>
      </c>
      <c r="O20" s="95"/>
    </row>
    <row r="21" spans="2:15" ht="15" customHeight="1" x14ac:dyDescent="0.3">
      <c r="B21" s="453" t="s">
        <v>88</v>
      </c>
      <c r="C21" s="62"/>
      <c r="D21" s="62">
        <f t="shared" ref="D21:F21" si="33">365/D20</f>
        <v>6.8697881987554998</v>
      </c>
      <c r="E21" s="62">
        <f t="shared" si="33"/>
        <v>3.1165448940364291</v>
      </c>
      <c r="F21" s="62">
        <f t="shared" si="33"/>
        <v>8.9215437667391733</v>
      </c>
      <c r="G21" s="673">
        <f t="shared" ref="G21:M21" si="34">365/G20</f>
        <v>0.92706738174072378</v>
      </c>
      <c r="H21" s="62">
        <f t="shared" si="34"/>
        <v>1.9846170724428829</v>
      </c>
      <c r="I21" s="62">
        <f t="shared" si="34"/>
        <v>1.9846170724428829</v>
      </c>
      <c r="J21" s="62">
        <f t="shared" si="34"/>
        <v>1.9846170724428829</v>
      </c>
      <c r="K21" s="62">
        <f t="shared" si="34"/>
        <v>1.9846170724428829</v>
      </c>
      <c r="L21" s="62">
        <f t="shared" si="34"/>
        <v>1.9846170724428829</v>
      </c>
      <c r="M21" s="455">
        <f t="shared" si="34"/>
        <v>1.9846170724428829</v>
      </c>
      <c r="O21" s="95"/>
    </row>
    <row r="22" spans="2:15" s="65" customFormat="1" ht="15" customHeight="1" x14ac:dyDescent="0.3">
      <c r="B22" s="458" t="s">
        <v>45</v>
      </c>
      <c r="C22" s="306"/>
      <c r="D22" s="306">
        <f t="shared" ref="D22:M22" si="35">D6-D15</f>
        <v>4035.5621579999993</v>
      </c>
      <c r="E22" s="306">
        <f t="shared" si="35"/>
        <v>5985.7557870000001</v>
      </c>
      <c r="F22" s="306">
        <f t="shared" si="35"/>
        <v>4837.5059769999989</v>
      </c>
      <c r="G22" s="305">
        <f t="shared" si="35"/>
        <v>7150.6313109999992</v>
      </c>
      <c r="H22" s="305">
        <f t="shared" si="35"/>
        <v>8809.1307994022718</v>
      </c>
      <c r="I22" s="305">
        <f t="shared" si="35"/>
        <v>11708.76664817161</v>
      </c>
      <c r="J22" s="305">
        <f t="shared" si="35"/>
        <v>13038.59639686501</v>
      </c>
      <c r="K22" s="305">
        <f t="shared" si="35"/>
        <v>16543.747892354164</v>
      </c>
      <c r="L22" s="305">
        <f t="shared" si="35"/>
        <v>19001.009879026293</v>
      </c>
      <c r="M22" s="307">
        <f t="shared" si="35"/>
        <v>19191.019977816555</v>
      </c>
    </row>
    <row r="23" spans="2:15" s="65" customFormat="1" ht="15" customHeight="1" x14ac:dyDescent="0.3">
      <c r="B23" s="294" t="s">
        <v>46</v>
      </c>
      <c r="C23" s="456"/>
      <c r="D23" s="456">
        <f t="shared" ref="D23" si="36">D22-C22</f>
        <v>4035.5621579999993</v>
      </c>
      <c r="E23" s="456">
        <f>E22-D22</f>
        <v>1950.1936290000008</v>
      </c>
      <c r="F23" s="456">
        <f>F22-E22</f>
        <v>-1148.2498100000012</v>
      </c>
      <c r="G23" s="275">
        <f t="shared" ref="G23:K23" si="37">G22-F22</f>
        <v>2313.1253340000003</v>
      </c>
      <c r="H23" s="456">
        <f t="shared" si="37"/>
        <v>1658.4994884022726</v>
      </c>
      <c r="I23" s="456">
        <f t="shared" si="37"/>
        <v>2899.6358487693378</v>
      </c>
      <c r="J23" s="456">
        <f t="shared" si="37"/>
        <v>1329.8297486934007</v>
      </c>
      <c r="K23" s="456">
        <f t="shared" si="37"/>
        <v>3505.1514954891536</v>
      </c>
      <c r="L23" s="456">
        <f t="shared" ref="L23" si="38">L22-K22</f>
        <v>2457.2619866721288</v>
      </c>
      <c r="M23" s="457">
        <f t="shared" ref="M23" si="39">M22-L22</f>
        <v>190.01009879026242</v>
      </c>
    </row>
    <row r="24" spans="2:15" ht="13.5" customHeight="1" x14ac:dyDescent="0.3">
      <c r="D24" s="72"/>
      <c r="E24" s="72"/>
      <c r="F24" s="72"/>
      <c r="G24" s="76"/>
      <c r="H24" s="72"/>
      <c r="I24" s="72"/>
      <c r="J24" s="72"/>
      <c r="K24" s="72"/>
      <c r="L24" s="72"/>
      <c r="M24" s="77"/>
    </row>
    <row r="25" spans="2:15" s="159" customFormat="1" ht="13.5" customHeight="1" x14ac:dyDescent="0.3">
      <c r="B25" s="382" t="s">
        <v>135</v>
      </c>
      <c r="C25" s="383"/>
      <c r="D25" s="383"/>
      <c r="E25" s="383"/>
      <c r="F25" s="383"/>
      <c r="G25" s="383"/>
      <c r="H25" s="383"/>
      <c r="I25" s="383"/>
      <c r="J25" s="383"/>
      <c r="K25" s="459"/>
      <c r="L25" s="459"/>
      <c r="M25" s="384"/>
    </row>
    <row r="26" spans="2:15" ht="13.5" customHeight="1" x14ac:dyDescent="0.3">
      <c r="B26" s="378" t="s">
        <v>136</v>
      </c>
      <c r="C26" s="379"/>
      <c r="D26" s="379">
        <f t="shared" ref="D26:M26" si="40">D$5</f>
        <v>2014</v>
      </c>
      <c r="E26" s="379">
        <f t="shared" si="40"/>
        <v>2015</v>
      </c>
      <c r="F26" s="379">
        <f t="shared" si="40"/>
        <v>2016</v>
      </c>
      <c r="G26" s="380">
        <f t="shared" si="40"/>
        <v>2017</v>
      </c>
      <c r="H26" s="380">
        <f t="shared" si="40"/>
        <v>2018</v>
      </c>
      <c r="I26" s="380">
        <f t="shared" si="40"/>
        <v>2019</v>
      </c>
      <c r="J26" s="380">
        <f t="shared" si="40"/>
        <v>2020</v>
      </c>
      <c r="K26" s="460">
        <f t="shared" si="40"/>
        <v>2021</v>
      </c>
      <c r="L26" s="460">
        <f t="shared" si="40"/>
        <v>2022</v>
      </c>
      <c r="M26" s="381" t="str">
        <f t="shared" si="40"/>
        <v>Terminal</v>
      </c>
    </row>
    <row r="27" spans="2:15" ht="13.5" customHeight="1" x14ac:dyDescent="0.3">
      <c r="B27" s="362" t="s">
        <v>57</v>
      </c>
      <c r="C27" s="461"/>
      <c r="D27" s="461">
        <f>'Pro forma'!D6</f>
        <v>41447.713943000002</v>
      </c>
      <c r="E27" s="461">
        <f>'Pro forma'!E6</f>
        <v>61966.745769000001</v>
      </c>
      <c r="F27" s="461">
        <f>'Pro forma'!F6</f>
        <v>81488.230867000006</v>
      </c>
      <c r="G27" s="461">
        <f>'Pro forma'!G6</f>
        <v>92333.965525000007</v>
      </c>
      <c r="H27" s="461">
        <f>'Pro forma'!H6</f>
        <v>138011.22622905931</v>
      </c>
      <c r="I27" s="461">
        <f>'Pro forma'!I6</f>
        <v>182151.03452706241</v>
      </c>
      <c r="J27" s="461">
        <f>'Pro forma'!J6</f>
        <v>203944.81849898878</v>
      </c>
      <c r="K27" s="461">
        <f>'Pro forma'!K6</f>
        <v>261216.68535602515</v>
      </c>
      <c r="L27" s="1520">
        <f>'Pro forma'!L6</f>
        <v>300836.4286959095</v>
      </c>
      <c r="M27" s="105">
        <f>L27*(1+g)</f>
        <v>303844.79298286862</v>
      </c>
    </row>
    <row r="28" spans="2:15" ht="13.5" customHeight="1" x14ac:dyDescent="0.3">
      <c r="B28" s="79" t="s">
        <v>64</v>
      </c>
      <c r="C28" s="106"/>
      <c r="D28" s="106">
        <f>'Pro forma'!D9</f>
        <v>29094.553833000002</v>
      </c>
      <c r="E28" s="106">
        <f>'Pro forma'!E9</f>
        <v>42664.217374</v>
      </c>
      <c r="F28" s="106">
        <f>'Pro forma'!F9</f>
        <v>59896.716216000001</v>
      </c>
      <c r="G28" s="106">
        <f>'Pro forma'!G9</f>
        <v>66253.174562</v>
      </c>
      <c r="H28" s="106">
        <f>'Pro forma'!H9</f>
        <v>95072.958290544586</v>
      </c>
      <c r="I28" s="106">
        <f>'Pro forma'!I9</f>
        <v>126580.95424566427</v>
      </c>
      <c r="J28" s="106">
        <f>'Pro forma'!J9</f>
        <v>140774.15695423083</v>
      </c>
      <c r="K28" s="106">
        <f>'Pro forma'!K9</f>
        <v>178212.95694066191</v>
      </c>
      <c r="L28" s="106">
        <f>'Pro forma'!L9</f>
        <v>204547.06387206799</v>
      </c>
      <c r="M28" s="107">
        <f>L28*(1+g)</f>
        <v>206592.53451078865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6956" r:id="rId4" name="Drop Down 12">
              <controlPr defaultSize="0" autoLine="0" autoPict="0">
                <anchor moveWithCells="1">
                  <from>
                    <xdr:col>13</xdr:col>
                    <xdr:colOff>161925</xdr:colOff>
                    <xdr:row>3</xdr:row>
                    <xdr:rowOff>142875</xdr:rowOff>
                  </from>
                  <to>
                    <xdr:col>16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338D"/>
    <pageSetUpPr fitToPage="1"/>
  </sheetPr>
  <dimension ref="B1:O19"/>
  <sheetViews>
    <sheetView showGridLines="0" zoomScale="85" zoomScaleNormal="85" workbookViewId="0">
      <selection activeCell="K20" sqref="K20"/>
    </sheetView>
  </sheetViews>
  <sheetFormatPr defaultColWidth="9" defaultRowHeight="13.5" customHeight="1" x14ac:dyDescent="0.3"/>
  <cols>
    <col min="1" max="1" width="1.625" style="110" customWidth="1"/>
    <col min="2" max="2" width="20.625" style="110" customWidth="1"/>
    <col min="3" max="4" width="12.125" style="110" customWidth="1"/>
    <col min="5" max="5" width="9.875" style="110" customWidth="1"/>
    <col min="6" max="6" width="0.5" style="110" customWidth="1"/>
    <col min="7" max="7" width="11.875" style="110" customWidth="1"/>
    <col min="8" max="8" width="10.125" style="110" customWidth="1"/>
    <col min="9" max="9" width="17.75" style="110" customWidth="1"/>
    <col min="10" max="10" width="2.875" style="110" customWidth="1"/>
    <col min="11" max="16384" width="9" style="110"/>
  </cols>
  <sheetData>
    <row r="1" spans="2:13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374"/>
      <c r="H1" s="255"/>
      <c r="I1" s="256" t="str">
        <f>Des!C12</f>
        <v>DRAFT - For Discussion Purposes Only</v>
      </c>
      <c r="J1" s="385"/>
      <c r="K1" s="385"/>
      <c r="L1" s="385"/>
      <c r="M1" s="386"/>
    </row>
    <row r="2" spans="2:13" customFormat="1" ht="20.100000000000001" customHeight="1" x14ac:dyDescent="0.3">
      <c r="B2" s="321" t="s">
        <v>138</v>
      </c>
      <c r="C2" s="321"/>
      <c r="D2" s="321"/>
      <c r="E2" s="321"/>
      <c r="F2" s="321"/>
      <c r="G2" s="321"/>
      <c r="H2" s="257"/>
      <c r="I2" s="257"/>
      <c r="J2" s="387"/>
      <c r="K2" s="387"/>
      <c r="L2" s="387"/>
      <c r="M2" s="387"/>
    </row>
    <row r="3" spans="2:13" customFormat="1" ht="14.1" customHeight="1" x14ac:dyDescent="0.3"/>
    <row r="4" spans="2:13" ht="13.5" customHeight="1" x14ac:dyDescent="0.3">
      <c r="B4" s="258" t="s">
        <v>81</v>
      </c>
      <c r="C4" s="259"/>
      <c r="D4" s="259"/>
      <c r="E4" s="259"/>
      <c r="F4" s="259"/>
      <c r="G4" s="462"/>
      <c r="H4" s="462"/>
      <c r="I4" s="463" t="str">
        <f>unit</f>
        <v>KRW Million</v>
      </c>
    </row>
    <row r="5" spans="2:13" ht="13.5" customHeight="1" x14ac:dyDescent="0.3">
      <c r="B5" s="468" t="s">
        <v>32</v>
      </c>
      <c r="C5" s="469" t="s">
        <v>25</v>
      </c>
      <c r="D5" s="470" t="s">
        <v>91</v>
      </c>
      <c r="E5" s="469" t="s">
        <v>26</v>
      </c>
      <c r="F5" s="1891" t="s">
        <v>27</v>
      </c>
      <c r="G5" s="1891"/>
      <c r="H5" s="1891"/>
      <c r="I5" s="1892"/>
    </row>
    <row r="6" spans="2:13" s="65" customFormat="1" ht="13.5" customHeight="1" x14ac:dyDescent="0.3">
      <c r="B6" s="465" t="s">
        <v>33</v>
      </c>
      <c r="C6" s="101"/>
      <c r="D6" s="466"/>
      <c r="E6" s="101"/>
      <c r="F6" s="154"/>
      <c r="G6" s="154"/>
      <c r="H6" s="154"/>
      <c r="I6" s="467"/>
    </row>
    <row r="7" spans="2:13" ht="13.5" customHeight="1" x14ac:dyDescent="0.3">
      <c r="B7" s="451" t="s">
        <v>71</v>
      </c>
      <c r="C7" s="103">
        <f>SUM('2017년 가결산 BS'!E14:E16,'2017년 가결산 BS'!E26,'2017년 가결산 BS'!E35)/10^6</f>
        <v>46315.428310000003</v>
      </c>
      <c r="D7" s="157">
        <v>0</v>
      </c>
      <c r="E7" s="103">
        <f>C7</f>
        <v>46315.428310000003</v>
      </c>
      <c r="F7" s="155"/>
      <c r="G7" s="34"/>
      <c r="H7" s="34"/>
      <c r="I7" s="464"/>
    </row>
    <row r="8" spans="2:13" s="159" customFormat="1" ht="13.5" customHeight="1" x14ac:dyDescent="0.3">
      <c r="B8" s="451"/>
      <c r="C8" s="103"/>
      <c r="D8" s="157"/>
      <c r="E8" s="103"/>
      <c r="F8" s="155"/>
      <c r="G8" s="34"/>
      <c r="H8" s="34"/>
      <c r="I8" s="464"/>
    </row>
    <row r="9" spans="2:13" s="159" customFormat="1" ht="13.5" customHeight="1" x14ac:dyDescent="0.3">
      <c r="B9" s="451"/>
      <c r="C9" s="103"/>
      <c r="D9" s="157"/>
      <c r="E9" s="103"/>
      <c r="F9" s="155"/>
      <c r="G9" s="34"/>
      <c r="H9" s="34"/>
      <c r="I9" s="464"/>
    </row>
    <row r="10" spans="2:13" ht="13.5" customHeight="1" x14ac:dyDescent="0.3">
      <c r="B10" s="451"/>
      <c r="C10" s="103"/>
      <c r="D10" s="115"/>
      <c r="E10" s="103"/>
      <c r="F10" s="155"/>
      <c r="G10" s="34"/>
      <c r="H10" s="34"/>
      <c r="I10" s="464"/>
    </row>
    <row r="11" spans="2:13" ht="13.5" customHeight="1" x14ac:dyDescent="0.3">
      <c r="B11" s="471" t="s">
        <v>28</v>
      </c>
      <c r="C11" s="478">
        <f>C7</f>
        <v>46315.428310000003</v>
      </c>
      <c r="D11" s="472">
        <f>D7</f>
        <v>0</v>
      </c>
      <c r="E11" s="478">
        <f>E7</f>
        <v>46315.428310000003</v>
      </c>
      <c r="F11" s="473"/>
      <c r="G11" s="473"/>
      <c r="H11" s="473"/>
      <c r="I11" s="474"/>
    </row>
    <row r="12" spans="2:13" ht="13.5" customHeight="1" x14ac:dyDescent="0.3">
      <c r="C12" s="96"/>
      <c r="D12" s="72"/>
      <c r="E12" s="121" t="e">
        <f>E11/(#REF!/1000000)</f>
        <v>#REF!</v>
      </c>
      <c r="F12" s="84"/>
      <c r="G12" s="122" t="s">
        <v>80</v>
      </c>
    </row>
    <row r="13" spans="2:13" ht="13.5" customHeight="1" x14ac:dyDescent="0.3">
      <c r="B13" s="258" t="s">
        <v>36</v>
      </c>
      <c r="C13" s="259"/>
      <c r="D13" s="462"/>
      <c r="E13" s="462"/>
      <c r="F13" s="259"/>
      <c r="G13" s="462"/>
      <c r="H13" s="462"/>
      <c r="I13" s="463" t="str">
        <f>unit</f>
        <v>KRW Million</v>
      </c>
    </row>
    <row r="14" spans="2:13" ht="13.5" customHeight="1" x14ac:dyDescent="0.3">
      <c r="B14" s="468" t="s">
        <v>32</v>
      </c>
      <c r="C14" s="469" t="s">
        <v>25</v>
      </c>
      <c r="D14" s="470" t="s">
        <v>91</v>
      </c>
      <c r="E14" s="469" t="s">
        <v>26</v>
      </c>
      <c r="F14" s="1891" t="s">
        <v>27</v>
      </c>
      <c r="G14" s="1891"/>
      <c r="H14" s="1891"/>
      <c r="I14" s="1892"/>
    </row>
    <row r="15" spans="2:13" ht="13.5" customHeight="1" x14ac:dyDescent="0.3">
      <c r="B15" s="465" t="s">
        <v>59</v>
      </c>
      <c r="C15" s="101"/>
      <c r="D15" s="115"/>
      <c r="E15" s="101"/>
      <c r="F15" s="154"/>
      <c r="G15" s="154"/>
      <c r="H15" s="154"/>
      <c r="I15" s="467"/>
    </row>
    <row r="16" spans="2:13" ht="13.5" customHeight="1" x14ac:dyDescent="0.3">
      <c r="B16" s="271"/>
      <c r="C16" s="103"/>
      <c r="D16" s="115"/>
      <c r="E16" s="103"/>
      <c r="F16" s="156"/>
      <c r="G16" s="1889"/>
      <c r="H16" s="1889"/>
      <c r="I16" s="1890"/>
    </row>
    <row r="17" spans="2:15" ht="13.5" customHeight="1" x14ac:dyDescent="0.3">
      <c r="B17" s="271"/>
      <c r="C17" s="103"/>
      <c r="D17" s="115"/>
      <c r="E17" s="103"/>
      <c r="F17" s="156"/>
      <c r="G17" s="1889"/>
      <c r="H17" s="1889"/>
      <c r="I17" s="1890"/>
    </row>
    <row r="18" spans="2:15" ht="13.5" customHeight="1" x14ac:dyDescent="0.3">
      <c r="B18" s="471" t="s">
        <v>28</v>
      </c>
      <c r="C18" s="478">
        <v>0</v>
      </c>
      <c r="D18" s="475">
        <v>0</v>
      </c>
      <c r="E18" s="478">
        <v>0</v>
      </c>
      <c r="F18" s="473"/>
      <c r="G18" s="473"/>
      <c r="H18" s="473"/>
      <c r="I18" s="474"/>
    </row>
    <row r="19" spans="2:15" ht="13.5" customHeight="1" x14ac:dyDescent="0.3">
      <c r="D19" s="72"/>
      <c r="E19" s="72"/>
      <c r="O19" s="110" t="s">
        <v>82</v>
      </c>
    </row>
  </sheetData>
  <mergeCells count="4">
    <mergeCell ref="G17:I17"/>
    <mergeCell ref="F5:I5"/>
    <mergeCell ref="F14:I14"/>
    <mergeCell ref="G16:I1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P175"/>
  <sheetViews>
    <sheetView showGridLines="0" zoomScale="85" zoomScaleNormal="85" workbookViewId="0">
      <selection activeCell="F7" sqref="F7"/>
    </sheetView>
  </sheetViews>
  <sheetFormatPr defaultColWidth="8.75" defaultRowHeight="12" x14ac:dyDescent="0.3"/>
  <cols>
    <col min="1" max="1" width="1.625" style="159" customWidth="1"/>
    <col min="2" max="2" width="6.5" style="72" customWidth="1"/>
    <col min="3" max="3" width="25.75" style="159" customWidth="1"/>
    <col min="4" max="7" width="15.625" style="159" customWidth="1"/>
    <col min="8" max="8" width="1.75" style="159" customWidth="1"/>
    <col min="9" max="13" width="9.625" style="159" customWidth="1"/>
    <col min="14" max="14" width="9.625" style="108" customWidth="1"/>
    <col min="15" max="15" width="3" style="159" customWidth="1"/>
    <col min="16" max="16" width="13" style="65" bestFit="1" customWidth="1"/>
    <col min="17" max="16384" width="8.75" style="159"/>
  </cols>
  <sheetData>
    <row r="1" spans="2:16" s="153" customFormat="1" ht="30" customHeight="1" x14ac:dyDescent="0.3">
      <c r="B1" s="536"/>
      <c r="C1" s="373" t="str">
        <f>"Project"&amp;" "&amp;Title!L6</f>
        <v>Project SVG1</v>
      </c>
      <c r="D1" s="374"/>
      <c r="E1" s="374"/>
      <c r="F1" s="374"/>
      <c r="G1" s="374"/>
      <c r="H1" s="374"/>
      <c r="I1" s="255"/>
      <c r="J1" s="255"/>
      <c r="K1" s="255"/>
      <c r="L1" s="255"/>
      <c r="M1" s="255"/>
      <c r="N1" s="256" t="str">
        <f>Des!C12</f>
        <v>DRAFT - For Discussion Purposes Only</v>
      </c>
      <c r="P1" s="51"/>
    </row>
    <row r="2" spans="2:16" s="153" customFormat="1" ht="20.100000000000001" customHeight="1" x14ac:dyDescent="0.3">
      <c r="B2" s="536"/>
      <c r="C2" s="321" t="s">
        <v>380</v>
      </c>
      <c r="D2" s="321"/>
      <c r="E2" s="321"/>
      <c r="F2" s="321"/>
      <c r="G2" s="321"/>
      <c r="H2" s="321"/>
      <c r="I2" s="257"/>
      <c r="J2" s="257"/>
      <c r="K2" s="257"/>
      <c r="L2" s="257"/>
      <c r="M2" s="257"/>
      <c r="N2" s="257"/>
      <c r="P2" s="51"/>
    </row>
    <row r="3" spans="2:16" s="153" customFormat="1" ht="14.1" customHeight="1" thickBot="1" x14ac:dyDescent="0.35">
      <c r="B3" s="536"/>
      <c r="G3" s="537" t="s">
        <v>458</v>
      </c>
      <c r="N3" s="37"/>
      <c r="P3" s="51"/>
    </row>
    <row r="4" spans="2:16" ht="13.5" customHeight="1" x14ac:dyDescent="0.3">
      <c r="C4" s="523" t="s">
        <v>381</v>
      </c>
      <c r="D4" s="524" t="s">
        <v>382</v>
      </c>
      <c r="E4" s="524" t="s">
        <v>383</v>
      </c>
      <c r="F4" s="524" t="s">
        <v>384</v>
      </c>
      <c r="G4" s="525" t="s">
        <v>2790</v>
      </c>
      <c r="H4" s="535"/>
      <c r="I4" s="505"/>
      <c r="J4" s="505"/>
      <c r="K4" s="505"/>
      <c r="L4" s="505"/>
      <c r="M4" s="505"/>
      <c r="N4" s="506"/>
    </row>
    <row r="5" spans="2:16" s="65" customFormat="1" ht="13.5" customHeight="1" x14ac:dyDescent="0.3">
      <c r="B5" s="88"/>
      <c r="C5" s="526" t="s">
        <v>319</v>
      </c>
      <c r="D5" s="509">
        <v>41447713943</v>
      </c>
      <c r="E5" s="519">
        <v>61966745769</v>
      </c>
      <c r="F5" s="510">
        <v>81488230867</v>
      </c>
      <c r="G5" s="1006">
        <f>'2017 가결산IS'!C10</f>
        <v>92333965525</v>
      </c>
      <c r="H5" s="103"/>
      <c r="I5" s="90"/>
      <c r="J5" s="90"/>
      <c r="K5" s="90"/>
      <c r="L5" s="90"/>
      <c r="M5" s="90"/>
      <c r="N5" s="90"/>
    </row>
    <row r="6" spans="2:16" s="65" customFormat="1" ht="13.5" customHeight="1" x14ac:dyDescent="0.3">
      <c r="B6" s="88"/>
      <c r="C6" s="527" t="s">
        <v>320</v>
      </c>
      <c r="D6" s="511">
        <v>37735445080</v>
      </c>
      <c r="E6" s="511">
        <v>58302450848</v>
      </c>
      <c r="F6" s="518">
        <v>78125032016</v>
      </c>
      <c r="G6" s="528">
        <f>'2017 가결산IS'!B11</f>
        <v>88429795106</v>
      </c>
      <c r="H6" s="103"/>
      <c r="I6" s="90"/>
      <c r="J6" s="90"/>
      <c r="K6" s="90"/>
      <c r="L6" s="90"/>
      <c r="M6" s="90"/>
      <c r="N6" s="90"/>
    </row>
    <row r="7" spans="2:16" ht="13.5" customHeight="1" x14ac:dyDescent="0.3">
      <c r="C7" s="527" t="s">
        <v>321</v>
      </c>
      <c r="D7" s="511">
        <v>3712268863</v>
      </c>
      <c r="E7" s="511">
        <v>3664294921</v>
      </c>
      <c r="F7" s="518">
        <v>3363198851</v>
      </c>
      <c r="G7" s="528">
        <f>'2017 가결산IS'!B12</f>
        <v>3904170419</v>
      </c>
      <c r="H7" s="507"/>
      <c r="I7" s="507"/>
      <c r="J7" s="507"/>
      <c r="K7" s="507"/>
      <c r="L7" s="507"/>
      <c r="M7" s="507"/>
      <c r="N7" s="507"/>
    </row>
    <row r="8" spans="2:16" x14ac:dyDescent="0.3">
      <c r="C8" s="526" t="s">
        <v>322</v>
      </c>
      <c r="D8" s="509">
        <v>29094553833</v>
      </c>
      <c r="E8" s="509">
        <v>42664217374</v>
      </c>
      <c r="F8" s="520">
        <v>59896716216</v>
      </c>
      <c r="G8" s="1521">
        <f>'2017 가결산IS'!C13</f>
        <v>66253174562</v>
      </c>
    </row>
    <row r="9" spans="2:16" ht="13.5" customHeight="1" x14ac:dyDescent="0.3">
      <c r="C9" s="526" t="s">
        <v>323</v>
      </c>
      <c r="D9" s="509">
        <v>29094553833</v>
      </c>
      <c r="E9" s="509">
        <v>42664217374</v>
      </c>
      <c r="F9" s="520">
        <v>59896716216</v>
      </c>
      <c r="G9" s="529">
        <f>'2017 가결산IS'!C14</f>
        <v>66253174562</v>
      </c>
      <c r="H9" s="113"/>
      <c r="I9" s="113"/>
      <c r="J9" s="113"/>
      <c r="K9" s="113"/>
      <c r="L9" s="113"/>
      <c r="M9" s="113"/>
      <c r="N9" s="109"/>
    </row>
    <row r="10" spans="2:16" ht="13.5" customHeight="1" x14ac:dyDescent="0.3">
      <c r="C10" s="527" t="s">
        <v>324</v>
      </c>
      <c r="D10" s="511">
        <v>1653023727</v>
      </c>
      <c r="E10" s="511">
        <v>2149415800</v>
      </c>
      <c r="F10" s="518">
        <v>2182546835</v>
      </c>
      <c r="G10" s="529">
        <f>'2017 가결산IS'!B15</f>
        <v>3760997894</v>
      </c>
      <c r="H10" s="113"/>
      <c r="I10" s="113"/>
      <c r="J10" s="113"/>
      <c r="K10" s="113"/>
      <c r="L10" s="113"/>
      <c r="M10" s="113"/>
      <c r="N10" s="109"/>
    </row>
    <row r="11" spans="2:16" ht="13.5" customHeight="1" x14ac:dyDescent="0.3">
      <c r="C11" s="527" t="s">
        <v>325</v>
      </c>
      <c r="D11" s="511">
        <v>29590945906</v>
      </c>
      <c r="E11" s="511">
        <v>42697348409</v>
      </c>
      <c r="F11" s="518">
        <v>61475167275</v>
      </c>
      <c r="G11" s="529">
        <f>'2017 가결산IS'!B16</f>
        <v>65901658367</v>
      </c>
      <c r="H11" s="113"/>
      <c r="I11" s="113"/>
      <c r="J11" s="113"/>
      <c r="K11" s="113"/>
      <c r="L11" s="113"/>
      <c r="M11" s="113"/>
      <c r="N11" s="109"/>
    </row>
    <row r="12" spans="2:16" ht="13.5" customHeight="1" x14ac:dyDescent="0.3">
      <c r="C12" s="527" t="s">
        <v>326</v>
      </c>
      <c r="D12" s="511">
        <v>2149415800</v>
      </c>
      <c r="E12" s="511">
        <v>2182546835</v>
      </c>
      <c r="F12" s="518">
        <v>3760997894</v>
      </c>
      <c r="G12" s="529">
        <f>'2017 가결산IS'!B17</f>
        <v>3409481699</v>
      </c>
      <c r="H12" s="113"/>
      <c r="I12" s="113"/>
      <c r="J12" s="113"/>
      <c r="K12" s="113"/>
      <c r="L12" s="113"/>
      <c r="M12" s="113"/>
      <c r="N12" s="109"/>
    </row>
    <row r="13" spans="2:16" ht="13.5" customHeight="1" x14ac:dyDescent="0.3">
      <c r="C13" s="526" t="s">
        <v>327</v>
      </c>
      <c r="D13" s="509">
        <v>12353160110</v>
      </c>
      <c r="E13" s="509">
        <v>19302528395</v>
      </c>
      <c r="F13" s="520">
        <v>21591514651</v>
      </c>
      <c r="G13" s="529">
        <f>'2017 가결산IS'!C18</f>
        <v>26080790963</v>
      </c>
      <c r="H13" s="113"/>
      <c r="I13" s="113"/>
      <c r="J13" s="113"/>
      <c r="K13" s="113"/>
      <c r="L13" s="113"/>
      <c r="M13" s="113"/>
      <c r="N13" s="109"/>
    </row>
    <row r="14" spans="2:16" ht="13.5" customHeight="1" x14ac:dyDescent="0.3">
      <c r="C14" s="526" t="s">
        <v>328</v>
      </c>
      <c r="D14" s="509">
        <v>6260383169</v>
      </c>
      <c r="E14" s="509">
        <v>7139891806</v>
      </c>
      <c r="F14" s="520">
        <v>7407696959</v>
      </c>
      <c r="G14" s="1013">
        <f>'2017 가결산IS'!C19</f>
        <v>10368970548</v>
      </c>
      <c r="H14" s="113"/>
      <c r="I14" s="1298">
        <f>D46/D5</f>
        <v>0.14699910710103214</v>
      </c>
      <c r="J14" s="1298">
        <f t="shared" ref="J14:L14" si="0">E46/E5</f>
        <v>0.19627683264730325</v>
      </c>
      <c r="K14" s="1298">
        <f t="shared" si="0"/>
        <v>0.17405970826817851</v>
      </c>
      <c r="L14" s="1298">
        <f t="shared" si="0"/>
        <v>0.17016295493932757</v>
      </c>
      <c r="M14" s="113"/>
      <c r="N14" s="109"/>
    </row>
    <row r="15" spans="2:16" ht="13.5" customHeight="1" x14ac:dyDescent="0.3">
      <c r="B15" s="548" t="s">
        <v>459</v>
      </c>
      <c r="C15" s="527" t="s">
        <v>329</v>
      </c>
      <c r="D15" s="511">
        <v>463262600</v>
      </c>
      <c r="E15" s="511">
        <v>520152800</v>
      </c>
      <c r="F15" s="518">
        <v>578571100</v>
      </c>
      <c r="G15" s="529">
        <f>'2017 가결산IS'!B20</f>
        <v>636336620</v>
      </c>
      <c r="H15" s="538"/>
      <c r="I15" s="113"/>
      <c r="J15" s="113"/>
      <c r="K15" s="113"/>
      <c r="L15" s="113"/>
      <c r="M15" s="113"/>
      <c r="N15" s="109"/>
    </row>
    <row r="16" spans="2:16" ht="13.5" customHeight="1" x14ac:dyDescent="0.3">
      <c r="B16" s="548" t="s">
        <v>459</v>
      </c>
      <c r="C16" s="527" t="s">
        <v>330</v>
      </c>
      <c r="D16" s="511">
        <v>2204106443</v>
      </c>
      <c r="E16" s="511">
        <v>2314534324</v>
      </c>
      <c r="F16" s="518">
        <v>2641385743</v>
      </c>
      <c r="G16" s="529">
        <f>'2017 가결산IS'!B21</f>
        <v>2908308745</v>
      </c>
      <c r="H16" s="538"/>
      <c r="I16" s="113" t="s">
        <v>7537</v>
      </c>
      <c r="J16" s="113"/>
      <c r="K16" s="113"/>
      <c r="L16" s="113"/>
      <c r="M16" s="113"/>
      <c r="N16" s="109"/>
    </row>
    <row r="17" spans="2:14" ht="13.5" customHeight="1" x14ac:dyDescent="0.3">
      <c r="B17" s="548" t="s">
        <v>459</v>
      </c>
      <c r="C17" s="527" t="s">
        <v>331</v>
      </c>
      <c r="D17" s="511">
        <v>623278350</v>
      </c>
      <c r="E17" s="511">
        <v>998626330</v>
      </c>
      <c r="F17" s="518">
        <v>990653330</v>
      </c>
      <c r="G17" s="529">
        <f>'2017 가결산IS'!B22</f>
        <v>1561634570</v>
      </c>
      <c r="H17" s="538"/>
      <c r="I17" s="113"/>
      <c r="J17" s="113"/>
      <c r="K17" s="113"/>
      <c r="L17" s="113"/>
      <c r="M17" s="113"/>
      <c r="N17" s="109"/>
    </row>
    <row r="18" spans="2:14" ht="13.5" customHeight="1" x14ac:dyDescent="0.3">
      <c r="B18" s="548" t="s">
        <v>459</v>
      </c>
      <c r="C18" s="527" t="s">
        <v>332</v>
      </c>
      <c r="D18" s="511">
        <v>3700000</v>
      </c>
      <c r="E18" s="511">
        <v>507780</v>
      </c>
      <c r="F18" s="512">
        <v>11894370</v>
      </c>
      <c r="G18" s="529">
        <f>'2017 가결산IS'!B23</f>
        <v>271920</v>
      </c>
      <c r="H18" s="113"/>
      <c r="I18" s="113"/>
      <c r="J18" s="113"/>
      <c r="K18" s="113"/>
      <c r="L18" s="113"/>
      <c r="M18" s="113"/>
      <c r="N18" s="109"/>
    </row>
    <row r="19" spans="2:14" ht="13.5" customHeight="1" x14ac:dyDescent="0.3">
      <c r="B19" s="548" t="s">
        <v>459</v>
      </c>
      <c r="C19" s="527" t="s">
        <v>333</v>
      </c>
      <c r="D19" s="511">
        <v>174843530</v>
      </c>
      <c r="E19" s="511">
        <v>196850850</v>
      </c>
      <c r="F19" s="512">
        <v>209055100</v>
      </c>
      <c r="G19" s="529">
        <f>'2017 가결산IS'!B24</f>
        <v>237352190</v>
      </c>
      <c r="H19" s="113"/>
      <c r="I19" s="113"/>
      <c r="J19" s="113"/>
      <c r="K19" s="113"/>
      <c r="L19" s="113"/>
      <c r="M19" s="113"/>
      <c r="N19" s="109"/>
    </row>
    <row r="20" spans="2:14" ht="13.5" customHeight="1" x14ac:dyDescent="0.3">
      <c r="B20" s="548" t="s">
        <v>459</v>
      </c>
      <c r="C20" s="527" t="s">
        <v>334</v>
      </c>
      <c r="D20" s="511">
        <v>192567925</v>
      </c>
      <c r="E20" s="511">
        <v>204282707</v>
      </c>
      <c r="F20" s="512">
        <v>240865737</v>
      </c>
      <c r="G20" s="529">
        <f>'2017 가결산IS'!B25</f>
        <v>243461307</v>
      </c>
      <c r="H20" s="113"/>
      <c r="I20" s="113"/>
      <c r="J20" s="113"/>
      <c r="K20" s="113"/>
      <c r="L20" s="113"/>
      <c r="M20" s="113"/>
      <c r="N20" s="109"/>
    </row>
    <row r="21" spans="2:14" ht="13.5" customHeight="1" x14ac:dyDescent="0.3">
      <c r="B21" s="549" t="s">
        <v>461</v>
      </c>
      <c r="C21" s="527" t="s">
        <v>335</v>
      </c>
      <c r="D21" s="511">
        <v>299332856</v>
      </c>
      <c r="E21" s="511">
        <v>226305993</v>
      </c>
      <c r="F21" s="512">
        <v>262407224</v>
      </c>
      <c r="G21" s="529">
        <f>'2017 가결산IS'!B26</f>
        <v>318168713</v>
      </c>
      <c r="H21" s="113"/>
      <c r="I21" s="113"/>
      <c r="J21" s="113"/>
      <c r="K21" s="113"/>
      <c r="L21" s="113"/>
      <c r="M21" s="113"/>
      <c r="N21" s="109"/>
    </row>
    <row r="22" spans="2:14" ht="13.5" customHeight="1" x14ac:dyDescent="0.3">
      <c r="B22" s="549" t="s">
        <v>461</v>
      </c>
      <c r="C22" s="527" t="s">
        <v>336</v>
      </c>
      <c r="D22" s="511">
        <v>16809680</v>
      </c>
      <c r="E22" s="511">
        <v>17736404</v>
      </c>
      <c r="F22" s="512">
        <v>14208300</v>
      </c>
      <c r="G22" s="529">
        <f>'2017 가결산IS'!B27</f>
        <v>14699910</v>
      </c>
      <c r="H22" s="113"/>
      <c r="I22" s="113"/>
      <c r="J22" s="113"/>
      <c r="K22" s="113"/>
      <c r="L22" s="113"/>
      <c r="M22" s="113"/>
      <c r="N22" s="109"/>
    </row>
    <row r="23" spans="2:14" ht="13.5" customHeight="1" x14ac:dyDescent="0.3">
      <c r="B23" s="549" t="s">
        <v>461</v>
      </c>
      <c r="C23" s="527" t="s">
        <v>337</v>
      </c>
      <c r="D23" s="511">
        <v>88381894</v>
      </c>
      <c r="E23" s="511">
        <v>79730134</v>
      </c>
      <c r="F23" s="512">
        <v>74973654</v>
      </c>
      <c r="G23" s="529">
        <f>'2017 가결산IS'!B28</f>
        <v>78848519</v>
      </c>
      <c r="H23" s="113"/>
      <c r="I23" s="113"/>
      <c r="J23" s="113"/>
      <c r="K23" s="113"/>
      <c r="L23" s="113"/>
      <c r="M23" s="113"/>
      <c r="N23" s="109"/>
    </row>
    <row r="24" spans="2:14" ht="13.5" customHeight="1" x14ac:dyDescent="0.3">
      <c r="B24" s="549" t="s">
        <v>461</v>
      </c>
      <c r="C24" s="527" t="s">
        <v>338</v>
      </c>
      <c r="D24" s="511">
        <v>8942602</v>
      </c>
      <c r="E24" s="511">
        <v>5456358</v>
      </c>
      <c r="F24" s="512">
        <v>8061839</v>
      </c>
      <c r="G24" s="529">
        <f>'2017 가결산IS'!B29</f>
        <v>7837416</v>
      </c>
      <c r="H24" s="113"/>
      <c r="I24" s="113"/>
      <c r="J24" s="113"/>
      <c r="K24" s="113"/>
      <c r="L24" s="113"/>
      <c r="M24" s="113"/>
      <c r="N24" s="109"/>
    </row>
    <row r="25" spans="2:14" ht="13.5" customHeight="1" x14ac:dyDescent="0.3">
      <c r="B25" s="549" t="s">
        <v>461</v>
      </c>
      <c r="C25" s="527" t="s">
        <v>339</v>
      </c>
      <c r="D25" s="511">
        <v>92963855</v>
      </c>
      <c r="E25" s="511">
        <v>73104813</v>
      </c>
      <c r="F25" s="512">
        <v>89962703</v>
      </c>
      <c r="G25" s="529">
        <f>'2017 가결산IS'!B30</f>
        <v>81198489</v>
      </c>
      <c r="H25" s="113"/>
      <c r="I25" s="113"/>
      <c r="J25" s="113"/>
      <c r="K25" s="113"/>
      <c r="L25" s="113"/>
      <c r="M25" s="113"/>
      <c r="N25" s="109"/>
    </row>
    <row r="26" spans="2:14" ht="13.5" customHeight="1" x14ac:dyDescent="0.3">
      <c r="B26" s="549" t="s">
        <v>461</v>
      </c>
      <c r="C26" s="527" t="s">
        <v>340</v>
      </c>
      <c r="D26" s="511">
        <v>161842310</v>
      </c>
      <c r="E26" s="511">
        <v>186171902</v>
      </c>
      <c r="F26" s="512">
        <v>210776776</v>
      </c>
      <c r="G26" s="529">
        <f>'2017 가결산IS'!B31</f>
        <v>231436166</v>
      </c>
      <c r="H26" s="113"/>
      <c r="I26" s="113"/>
      <c r="J26" s="113"/>
      <c r="K26" s="113"/>
      <c r="L26" s="113"/>
      <c r="M26" s="113"/>
      <c r="N26" s="109"/>
    </row>
    <row r="27" spans="2:14" ht="13.5" customHeight="1" x14ac:dyDescent="0.3">
      <c r="B27" s="72" t="s">
        <v>462</v>
      </c>
      <c r="C27" s="527" t="s">
        <v>341</v>
      </c>
      <c r="D27" s="511">
        <v>196159651</v>
      </c>
      <c r="E27" s="511">
        <v>201249378</v>
      </c>
      <c r="F27" s="512">
        <v>253220085</v>
      </c>
      <c r="G27" s="529">
        <f>'2017 가결산IS'!B32</f>
        <v>288339491</v>
      </c>
      <c r="H27" s="113"/>
      <c r="I27" s="113"/>
      <c r="J27" s="113"/>
      <c r="K27" s="113"/>
      <c r="L27" s="113"/>
      <c r="M27" s="113"/>
      <c r="N27" s="109"/>
    </row>
    <row r="28" spans="2:14" ht="13.5" customHeight="1" x14ac:dyDescent="0.3">
      <c r="B28" s="549" t="s">
        <v>461</v>
      </c>
      <c r="C28" s="527" t="s">
        <v>342</v>
      </c>
      <c r="D28" s="511">
        <v>63220033</v>
      </c>
      <c r="E28" s="511">
        <v>33745490</v>
      </c>
      <c r="F28" s="512">
        <v>23566706</v>
      </c>
      <c r="G28" s="529">
        <f>'2017 가결산IS'!B33</f>
        <v>42356860</v>
      </c>
      <c r="H28" s="113"/>
      <c r="I28" s="550" t="s">
        <v>463</v>
      </c>
      <c r="J28" s="113"/>
      <c r="K28" s="113"/>
      <c r="L28" s="113"/>
      <c r="M28" s="113"/>
      <c r="N28" s="109"/>
    </row>
    <row r="29" spans="2:14" ht="13.5" customHeight="1" x14ac:dyDescent="0.3">
      <c r="B29" s="549" t="s">
        <v>461</v>
      </c>
      <c r="C29" s="527" t="s">
        <v>343</v>
      </c>
      <c r="D29" s="511">
        <v>27743929</v>
      </c>
      <c r="E29" s="511">
        <v>38432264</v>
      </c>
      <c r="F29" s="512">
        <v>16287404</v>
      </c>
      <c r="G29" s="529">
        <f>'2017 가결산IS'!B34</f>
        <v>41606155</v>
      </c>
      <c r="H29" s="113"/>
      <c r="I29" s="113"/>
      <c r="J29" s="113"/>
      <c r="K29" s="113"/>
      <c r="L29" s="113"/>
      <c r="M29" s="113"/>
      <c r="N29" s="109"/>
    </row>
    <row r="30" spans="2:14" ht="13.5" customHeight="1" x14ac:dyDescent="0.3">
      <c r="B30" s="549" t="s">
        <v>461</v>
      </c>
      <c r="C30" s="527" t="s">
        <v>344</v>
      </c>
      <c r="D30" s="511">
        <v>171519408</v>
      </c>
      <c r="E30" s="511">
        <v>128521151</v>
      </c>
      <c r="F30" s="512">
        <v>157962628</v>
      </c>
      <c r="G30" s="529">
        <f>'2017 가결산IS'!B35</f>
        <v>145510717</v>
      </c>
      <c r="H30" s="113"/>
      <c r="I30" s="113"/>
      <c r="J30" s="113"/>
      <c r="K30" s="113"/>
      <c r="L30" s="113"/>
      <c r="M30" s="113"/>
      <c r="N30" s="109"/>
    </row>
    <row r="31" spans="2:14" ht="13.5" customHeight="1" x14ac:dyDescent="0.3">
      <c r="B31" s="549" t="s">
        <v>461</v>
      </c>
      <c r="C31" s="527" t="s">
        <v>345</v>
      </c>
      <c r="D31" s="511">
        <v>30115171</v>
      </c>
      <c r="E31" s="511">
        <v>26720154</v>
      </c>
      <c r="F31" s="512">
        <v>29790707</v>
      </c>
      <c r="G31" s="529">
        <f>'2017 가결산IS'!B36</f>
        <v>30609744</v>
      </c>
      <c r="H31" s="113"/>
      <c r="I31" s="113"/>
      <c r="J31" s="113"/>
      <c r="K31" s="113"/>
      <c r="L31" s="113"/>
      <c r="M31" s="113"/>
      <c r="N31" s="109"/>
    </row>
    <row r="32" spans="2:14" ht="13.5" customHeight="1" x14ac:dyDescent="0.3">
      <c r="B32" s="551" t="s">
        <v>464</v>
      </c>
      <c r="C32" s="527" t="s">
        <v>346</v>
      </c>
      <c r="D32" s="511">
        <v>112390479</v>
      </c>
      <c r="E32" s="511">
        <v>126949994</v>
      </c>
      <c r="F32" s="512">
        <v>166875161</v>
      </c>
      <c r="G32" s="529">
        <f>'2017 가결산IS'!B37</f>
        <v>201546728</v>
      </c>
      <c r="H32" s="113"/>
      <c r="I32" s="113"/>
      <c r="J32" s="113"/>
      <c r="K32" s="113"/>
      <c r="L32" s="113"/>
      <c r="M32" s="113"/>
      <c r="N32" s="109"/>
    </row>
    <row r="33" spans="2:14" ht="13.5" customHeight="1" x14ac:dyDescent="0.3">
      <c r="B33" s="549" t="s">
        <v>461</v>
      </c>
      <c r="C33" s="527" t="s">
        <v>347</v>
      </c>
      <c r="D33" s="511">
        <v>5371186</v>
      </c>
      <c r="E33" s="511">
        <v>3509150</v>
      </c>
      <c r="F33" s="512">
        <v>1055000</v>
      </c>
      <c r="G33" s="529">
        <f>'2017 가결산IS'!B38</f>
        <v>2017500</v>
      </c>
      <c r="H33" s="113"/>
      <c r="I33" s="113"/>
      <c r="J33" s="113"/>
      <c r="K33" s="113"/>
      <c r="L33" s="113"/>
      <c r="M33" s="113"/>
      <c r="N33" s="109"/>
    </row>
    <row r="34" spans="2:14" ht="13.5" customHeight="1" x14ac:dyDescent="0.3">
      <c r="B34" s="549" t="s">
        <v>461</v>
      </c>
      <c r="C34" s="527" t="s">
        <v>348</v>
      </c>
      <c r="D34" s="511">
        <v>51397488</v>
      </c>
      <c r="E34" s="511">
        <v>41474913</v>
      </c>
      <c r="F34" s="512">
        <v>55511367</v>
      </c>
      <c r="G34" s="529">
        <f>'2017 가결산IS'!B39</f>
        <v>24837911</v>
      </c>
      <c r="H34" s="113"/>
      <c r="I34" s="113"/>
      <c r="J34" s="113"/>
      <c r="K34" s="113"/>
      <c r="L34" s="113"/>
      <c r="M34" s="113"/>
      <c r="N34" s="109"/>
    </row>
    <row r="35" spans="2:14" ht="13.5" customHeight="1" x14ac:dyDescent="0.3">
      <c r="B35" s="549" t="s">
        <v>461</v>
      </c>
      <c r="C35" s="527" t="s">
        <v>349</v>
      </c>
      <c r="D35" s="511">
        <v>7226014</v>
      </c>
      <c r="E35" s="511">
        <v>8656750</v>
      </c>
      <c r="F35" s="512">
        <v>5706910</v>
      </c>
      <c r="G35" s="529">
        <f>'2017 가결산IS'!B40</f>
        <v>5272858</v>
      </c>
      <c r="H35" s="113"/>
      <c r="I35" s="113"/>
      <c r="J35" s="113"/>
      <c r="K35" s="113"/>
      <c r="L35" s="113"/>
      <c r="M35" s="113"/>
      <c r="N35" s="109"/>
    </row>
    <row r="36" spans="2:14" ht="13.5" customHeight="1" x14ac:dyDescent="0.3">
      <c r="B36" s="549" t="s">
        <v>461</v>
      </c>
      <c r="C36" s="527" t="s">
        <v>350</v>
      </c>
      <c r="D36" s="511">
        <v>352293119</v>
      </c>
      <c r="E36" s="511">
        <v>279768484</v>
      </c>
      <c r="F36" s="512">
        <v>459159638</v>
      </c>
      <c r="G36" s="529">
        <f>'2017 가결산IS'!B41</f>
        <v>262648074</v>
      </c>
      <c r="H36" s="113"/>
      <c r="I36" s="113"/>
      <c r="J36" s="113"/>
      <c r="K36" s="113"/>
      <c r="L36" s="113"/>
      <c r="M36" s="113"/>
      <c r="N36" s="109"/>
    </row>
    <row r="37" spans="2:14" ht="13.5" customHeight="1" x14ac:dyDescent="0.3">
      <c r="B37" s="551" t="s">
        <v>465</v>
      </c>
      <c r="C37" s="527" t="s">
        <v>351</v>
      </c>
      <c r="D37" s="511">
        <v>120204596</v>
      </c>
      <c r="E37" s="511">
        <v>157913275</v>
      </c>
      <c r="F37" s="512">
        <v>160339374</v>
      </c>
      <c r="G37" s="529">
        <f>'2017 가결산IS'!B42</f>
        <v>171393984</v>
      </c>
      <c r="H37" s="113"/>
      <c r="I37" s="113"/>
      <c r="J37" s="113"/>
      <c r="K37" s="113"/>
      <c r="L37" s="113"/>
      <c r="M37" s="113"/>
      <c r="N37" s="109"/>
    </row>
    <row r="38" spans="2:14" ht="13.5" customHeight="1" x14ac:dyDescent="0.3">
      <c r="B38" s="551" t="s">
        <v>465</v>
      </c>
      <c r="C38" s="527" t="s">
        <v>352</v>
      </c>
      <c r="D38" s="511">
        <v>68590875</v>
      </c>
      <c r="E38" s="511">
        <v>70543764</v>
      </c>
      <c r="F38" s="512">
        <v>30088509</v>
      </c>
      <c r="G38" s="529">
        <f>'2017 가결산IS'!B43</f>
        <v>71411271</v>
      </c>
      <c r="H38" s="113"/>
      <c r="I38" s="113"/>
      <c r="J38" s="113"/>
      <c r="K38" s="113"/>
      <c r="L38" s="113"/>
      <c r="M38" s="113"/>
      <c r="N38" s="109"/>
    </row>
    <row r="39" spans="2:14" ht="13.5" customHeight="1" x14ac:dyDescent="0.3">
      <c r="B39" s="549" t="s">
        <v>461</v>
      </c>
      <c r="C39" s="527" t="s">
        <v>353</v>
      </c>
      <c r="D39" s="511">
        <v>25205850</v>
      </c>
      <c r="E39" s="511">
        <v>3480041</v>
      </c>
      <c r="F39" s="512">
        <v>21744555</v>
      </c>
      <c r="G39" s="529">
        <f>'2017 가결산IS'!B44</f>
        <v>40277329</v>
      </c>
      <c r="H39" s="113"/>
      <c r="I39" s="113"/>
      <c r="J39" s="113"/>
      <c r="K39" s="113"/>
      <c r="L39" s="113"/>
      <c r="M39" s="113"/>
      <c r="N39" s="109"/>
    </row>
    <row r="40" spans="2:14" ht="13.5" customHeight="1" x14ac:dyDescent="0.3">
      <c r="B40" s="551" t="s">
        <v>464</v>
      </c>
      <c r="C40" s="527" t="s">
        <v>354</v>
      </c>
      <c r="D40" s="511">
        <v>115642189</v>
      </c>
      <c r="E40" s="511">
        <v>55719403</v>
      </c>
      <c r="F40" s="512">
        <v>63433520</v>
      </c>
      <c r="G40" s="529">
        <f>'2017 가결산IS'!B45</f>
        <v>169043849</v>
      </c>
      <c r="H40" s="113"/>
      <c r="I40" s="113" t="s">
        <v>7541</v>
      </c>
      <c r="J40" s="113"/>
      <c r="K40" s="113"/>
      <c r="L40" s="113"/>
      <c r="M40" s="113"/>
      <c r="N40" s="109"/>
    </row>
    <row r="41" spans="2:14" ht="13.5" customHeight="1" x14ac:dyDescent="0.3">
      <c r="B41" s="551" t="s">
        <v>464</v>
      </c>
      <c r="C41" s="527" t="s">
        <v>355</v>
      </c>
      <c r="D41" s="511">
        <v>476547052</v>
      </c>
      <c r="E41" s="511">
        <v>956966945</v>
      </c>
      <c r="F41" s="512">
        <v>235465363</v>
      </c>
      <c r="G41" s="1692">
        <f>'2017 가결산IS'!B46</f>
        <v>2139497377</v>
      </c>
      <c r="H41" s="113"/>
      <c r="I41" s="113" t="s">
        <v>7538</v>
      </c>
      <c r="J41" s="113"/>
      <c r="K41" s="113"/>
      <c r="L41" s="113"/>
      <c r="M41" s="113"/>
      <c r="N41" s="109"/>
    </row>
    <row r="42" spans="2:14" ht="13.5" customHeight="1" x14ac:dyDescent="0.3">
      <c r="B42" s="72" t="s">
        <v>462</v>
      </c>
      <c r="C42" s="527" t="s">
        <v>356</v>
      </c>
      <c r="D42" s="511">
        <v>10529733</v>
      </c>
      <c r="E42" s="511">
        <v>31023732</v>
      </c>
      <c r="F42" s="512">
        <v>191939982</v>
      </c>
      <c r="G42" s="529">
        <f>'2017 가결산IS'!B47</f>
        <v>251877593</v>
      </c>
      <c r="H42" s="113"/>
      <c r="I42" s="113" t="s">
        <v>7539</v>
      </c>
      <c r="J42" s="113"/>
      <c r="K42" s="113"/>
      <c r="L42" s="113"/>
      <c r="M42" s="113"/>
      <c r="N42" s="109"/>
    </row>
    <row r="43" spans="2:14" ht="13.5" customHeight="1" x14ac:dyDescent="0.3">
      <c r="B43" s="551" t="s">
        <v>465</v>
      </c>
      <c r="C43" s="527" t="s">
        <v>7536</v>
      </c>
      <c r="D43" s="511">
        <v>452200</v>
      </c>
      <c r="E43" s="511">
        <v>1334238</v>
      </c>
      <c r="F43" s="512">
        <v>6403596</v>
      </c>
      <c r="G43" s="529">
        <f>'2017 가결산IS'!B48</f>
        <v>3437222</v>
      </c>
      <c r="H43" s="113"/>
      <c r="I43" s="550" t="s">
        <v>7540</v>
      </c>
      <c r="J43" s="113"/>
      <c r="K43" s="113"/>
      <c r="L43" s="113"/>
      <c r="M43" s="113"/>
      <c r="N43" s="109"/>
    </row>
    <row r="44" spans="2:14" ht="13.5" customHeight="1" x14ac:dyDescent="0.3">
      <c r="B44" s="549" t="s">
        <v>461</v>
      </c>
      <c r="C44" s="527" t="s">
        <v>358</v>
      </c>
      <c r="D44" s="511">
        <v>11574770</v>
      </c>
      <c r="E44" s="511">
        <v>15450740</v>
      </c>
      <c r="F44" s="512">
        <v>6215778</v>
      </c>
      <c r="G44" s="529">
        <f>'2017 가결산IS'!B49</f>
        <v>1293320</v>
      </c>
      <c r="H44" s="113"/>
      <c r="I44" s="113"/>
      <c r="J44" s="113"/>
      <c r="K44" s="113"/>
      <c r="L44" s="113"/>
      <c r="M44" s="113"/>
      <c r="N44" s="109"/>
    </row>
    <row r="45" spans="2:14" ht="13.5" customHeight="1" x14ac:dyDescent="0.3">
      <c r="B45" s="549" t="s">
        <v>461</v>
      </c>
      <c r="C45" s="527" t="s">
        <v>359</v>
      </c>
      <c r="D45" s="511">
        <v>84167381</v>
      </c>
      <c r="E45" s="511">
        <v>134971545</v>
      </c>
      <c r="F45" s="512">
        <v>190114800</v>
      </c>
      <c r="G45" s="529">
        <f>'2017 가결산IS'!B50</f>
        <v>156438000</v>
      </c>
      <c r="H45" s="113"/>
      <c r="I45" s="113"/>
      <c r="J45" s="113"/>
      <c r="K45" s="113"/>
      <c r="L45" s="113"/>
      <c r="M45" s="113"/>
      <c r="N45" s="109"/>
    </row>
    <row r="46" spans="2:14" ht="13.5" customHeight="1" x14ac:dyDescent="0.3">
      <c r="C46" s="526" t="s">
        <v>360</v>
      </c>
      <c r="D46" s="513">
        <v>6092776941</v>
      </c>
      <c r="E46" s="514">
        <v>12162636589</v>
      </c>
      <c r="F46" s="515">
        <v>14183817692</v>
      </c>
      <c r="G46" s="529">
        <f>'2017 가결산IS'!C51</f>
        <v>15711820415</v>
      </c>
      <c r="H46" s="113"/>
      <c r="I46" s="113"/>
      <c r="J46" s="113"/>
      <c r="K46" s="113"/>
      <c r="L46" s="113"/>
      <c r="M46" s="113"/>
      <c r="N46" s="109"/>
    </row>
    <row r="47" spans="2:14" ht="13.5" customHeight="1" x14ac:dyDescent="0.3">
      <c r="C47" s="526" t="s">
        <v>361</v>
      </c>
      <c r="D47" s="508">
        <v>942658750</v>
      </c>
      <c r="E47" s="509">
        <v>923754581</v>
      </c>
      <c r="F47" s="510">
        <v>1067030938</v>
      </c>
      <c r="G47" s="529">
        <f>'2017 가결산IS'!C52</f>
        <v>1446325258</v>
      </c>
      <c r="H47" s="113"/>
      <c r="I47" s="113"/>
      <c r="J47" s="113"/>
      <c r="K47" s="113"/>
      <c r="L47" s="113"/>
      <c r="M47" s="113"/>
      <c r="N47" s="109"/>
    </row>
    <row r="48" spans="2:14" ht="13.5" customHeight="1" x14ac:dyDescent="0.3">
      <c r="C48" s="527" t="s">
        <v>362</v>
      </c>
      <c r="D48" s="511">
        <v>660955905</v>
      </c>
      <c r="E48" s="511">
        <v>499723680</v>
      </c>
      <c r="F48" s="512">
        <v>550687241</v>
      </c>
      <c r="G48" s="529">
        <f>'2017 가결산IS'!B53</f>
        <v>684216185</v>
      </c>
      <c r="H48" s="113"/>
      <c r="I48" s="113"/>
      <c r="J48" s="113"/>
      <c r="K48" s="113"/>
      <c r="L48" s="113"/>
      <c r="M48" s="113"/>
      <c r="N48" s="109"/>
    </row>
    <row r="49" spans="3:14" ht="13.5" customHeight="1" x14ac:dyDescent="0.3">
      <c r="C49" s="527" t="s">
        <v>363</v>
      </c>
      <c r="D49" s="511">
        <v>100086666</v>
      </c>
      <c r="E49" s="511">
        <v>118488738</v>
      </c>
      <c r="F49" s="512">
        <v>100513252</v>
      </c>
      <c r="G49" s="529">
        <f>'2017 가결산IS'!B54</f>
        <v>114990914</v>
      </c>
      <c r="H49" s="113"/>
      <c r="I49" s="113"/>
      <c r="J49" s="113"/>
      <c r="K49" s="113"/>
      <c r="L49" s="113"/>
      <c r="M49" s="113"/>
      <c r="N49" s="109"/>
    </row>
    <row r="50" spans="3:14" ht="13.5" customHeight="1" x14ac:dyDescent="0.3">
      <c r="C50" s="527" t="s">
        <v>364</v>
      </c>
      <c r="D50" s="511">
        <v>118950574</v>
      </c>
      <c r="E50" s="511">
        <v>127494204</v>
      </c>
      <c r="F50" s="512">
        <v>79434417</v>
      </c>
      <c r="G50" s="529">
        <f>'2017 가결산IS'!B55</f>
        <v>3031500</v>
      </c>
      <c r="H50" s="113"/>
      <c r="I50" s="113"/>
      <c r="J50" s="113"/>
      <c r="K50" s="113"/>
      <c r="L50" s="113"/>
      <c r="M50" s="113"/>
      <c r="N50" s="109"/>
    </row>
    <row r="51" spans="3:14" ht="13.5" customHeight="1" x14ac:dyDescent="0.3">
      <c r="C51" s="527" t="s">
        <v>365</v>
      </c>
      <c r="D51" s="511">
        <v>11966</v>
      </c>
      <c r="E51" s="511">
        <v>16000</v>
      </c>
      <c r="F51" s="512">
        <v>28134186</v>
      </c>
      <c r="G51" s="529">
        <f>'2017 가결산IS'!B56</f>
        <v>70399458</v>
      </c>
      <c r="H51" s="113"/>
      <c r="I51" s="113"/>
      <c r="J51" s="113"/>
      <c r="K51" s="113"/>
      <c r="L51" s="113"/>
      <c r="M51" s="113"/>
      <c r="N51" s="109"/>
    </row>
    <row r="52" spans="3:14" ht="13.5" customHeight="1" x14ac:dyDescent="0.3">
      <c r="C52" s="527" t="s">
        <v>366</v>
      </c>
      <c r="D52" s="511">
        <v>9359229</v>
      </c>
      <c r="E52" s="511">
        <v>70127238</v>
      </c>
      <c r="F52" s="512">
        <v>226068345</v>
      </c>
      <c r="G52" s="529">
        <f>'2017 가결산IS'!B57</f>
        <v>1002727</v>
      </c>
      <c r="H52" s="113"/>
      <c r="I52" s="113"/>
      <c r="J52" s="113"/>
      <c r="K52" s="113"/>
      <c r="L52" s="113"/>
      <c r="M52" s="113"/>
      <c r="N52" s="109"/>
    </row>
    <row r="53" spans="3:14" ht="13.5" customHeight="1" x14ac:dyDescent="0.3">
      <c r="C53" s="527" t="s">
        <v>385</v>
      </c>
      <c r="D53" s="504"/>
      <c r="E53" s="504"/>
      <c r="F53" s="522">
        <v>8284000</v>
      </c>
      <c r="G53" s="529">
        <f>'2017 가결산IS'!B58</f>
        <v>0</v>
      </c>
      <c r="H53" s="113"/>
      <c r="I53" s="113"/>
      <c r="J53" s="113"/>
      <c r="K53" s="113"/>
      <c r="L53" s="113"/>
      <c r="M53" s="113"/>
      <c r="N53" s="109"/>
    </row>
    <row r="54" spans="3:14" ht="13.5" customHeight="1" x14ac:dyDescent="0.3">
      <c r="C54" s="527" t="s">
        <v>367</v>
      </c>
      <c r="D54" s="504">
        <v>315000</v>
      </c>
      <c r="E54" s="504">
        <v>21300000</v>
      </c>
      <c r="F54" s="522">
        <v>0</v>
      </c>
      <c r="G54" s="529">
        <f>'2017 가결산IS'!B59</f>
        <v>16343415</v>
      </c>
      <c r="H54" s="113"/>
      <c r="I54" s="113"/>
      <c r="J54" s="113"/>
      <c r="K54" s="113"/>
      <c r="L54" s="113"/>
      <c r="M54" s="113"/>
      <c r="N54" s="109"/>
    </row>
    <row r="55" spans="3:14" ht="13.5" customHeight="1" x14ac:dyDescent="0.3">
      <c r="C55" s="527" t="s">
        <v>368</v>
      </c>
      <c r="D55" s="504">
        <v>52979410</v>
      </c>
      <c r="E55" s="504">
        <v>86604721</v>
      </c>
      <c r="F55" s="522">
        <v>73909497</v>
      </c>
      <c r="G55" s="529">
        <f>'2017 가결산IS'!B60</f>
        <v>24000000</v>
      </c>
      <c r="H55" s="113"/>
      <c r="I55" s="113"/>
      <c r="J55" s="113"/>
      <c r="K55" s="113"/>
      <c r="L55" s="113"/>
      <c r="M55" s="113"/>
      <c r="N55" s="109"/>
    </row>
    <row r="56" spans="3:14" ht="13.5" customHeight="1" x14ac:dyDescent="0.3">
      <c r="C56" s="526" t="s">
        <v>369</v>
      </c>
      <c r="D56" s="503">
        <v>111844267</v>
      </c>
      <c r="E56" s="502">
        <v>128724455</v>
      </c>
      <c r="F56" s="521">
        <v>125560769</v>
      </c>
      <c r="G56" s="529">
        <f>'2017 가결산IS'!C63</f>
        <v>0</v>
      </c>
      <c r="H56" s="113"/>
      <c r="I56" s="113"/>
      <c r="J56" s="113"/>
      <c r="K56" s="113"/>
      <c r="L56" s="113"/>
      <c r="M56" s="113"/>
      <c r="N56" s="109"/>
    </row>
    <row r="57" spans="3:14" ht="13.5" customHeight="1" x14ac:dyDescent="0.3">
      <c r="C57" s="527" t="s">
        <v>370</v>
      </c>
      <c r="D57" s="504">
        <v>65947603</v>
      </c>
      <c r="E57" s="504">
        <v>30415791</v>
      </c>
      <c r="F57" s="522">
        <v>4328014</v>
      </c>
      <c r="G57" s="529">
        <f>'2017 가결산IS'!B64</f>
        <v>204119423</v>
      </c>
      <c r="H57" s="113"/>
      <c r="I57" s="113"/>
      <c r="J57" s="113"/>
      <c r="K57" s="113"/>
      <c r="L57" s="113"/>
      <c r="M57" s="113"/>
      <c r="N57" s="109"/>
    </row>
    <row r="58" spans="3:14" ht="13.5" customHeight="1" x14ac:dyDescent="0.3">
      <c r="C58" s="527" t="s">
        <v>371</v>
      </c>
      <c r="D58" s="504">
        <v>27851435</v>
      </c>
      <c r="E58" s="504">
        <v>29385113</v>
      </c>
      <c r="F58" s="522">
        <v>64362469</v>
      </c>
      <c r="G58" s="529">
        <f>'2017 가결산IS'!B65</f>
        <v>0</v>
      </c>
      <c r="H58" s="113"/>
      <c r="I58" s="113"/>
      <c r="J58" s="113"/>
      <c r="K58" s="113"/>
      <c r="L58" s="113"/>
      <c r="M58" s="113"/>
      <c r="N58" s="109"/>
    </row>
    <row r="59" spans="3:14" ht="13.5" customHeight="1" x14ac:dyDescent="0.3">
      <c r="C59" s="527" t="s">
        <v>372</v>
      </c>
      <c r="D59" s="504">
        <v>5075000</v>
      </c>
      <c r="E59" s="504">
        <v>12900000</v>
      </c>
      <c r="F59" s="522">
        <v>13950000</v>
      </c>
      <c r="G59" s="529">
        <f>'2017 가결산IS'!B66</f>
        <v>2010</v>
      </c>
      <c r="H59" s="113"/>
      <c r="I59" s="113"/>
      <c r="J59" s="113"/>
      <c r="K59" s="113"/>
      <c r="L59" s="113"/>
      <c r="M59" s="113"/>
      <c r="N59" s="109"/>
    </row>
    <row r="60" spans="3:14" ht="13.5" customHeight="1" x14ac:dyDescent="0.3">
      <c r="C60" s="527" t="s">
        <v>373</v>
      </c>
      <c r="D60" s="504">
        <v>0</v>
      </c>
      <c r="E60" s="504">
        <v>527777</v>
      </c>
      <c r="F60" s="522">
        <v>0</v>
      </c>
      <c r="G60" s="529">
        <f>'2017 가결산IS'!B67</f>
        <v>271744989</v>
      </c>
      <c r="H60" s="113"/>
      <c r="I60" s="113"/>
      <c r="J60" s="113"/>
      <c r="K60" s="113"/>
      <c r="L60" s="113"/>
      <c r="M60" s="113"/>
      <c r="N60" s="109"/>
    </row>
    <row r="61" spans="3:14" ht="13.5" customHeight="1" x14ac:dyDescent="0.3">
      <c r="C61" s="1012" t="s">
        <v>2975</v>
      </c>
      <c r="D61" s="504"/>
      <c r="E61" s="504"/>
      <c r="F61" s="522"/>
      <c r="G61" s="529">
        <f>'2017 가결산IS'!B68</f>
        <v>17500000</v>
      </c>
      <c r="H61" s="113"/>
      <c r="I61" s="113"/>
      <c r="J61" s="113"/>
      <c r="K61" s="113"/>
      <c r="L61" s="113"/>
      <c r="M61" s="113"/>
      <c r="N61" s="109"/>
    </row>
    <row r="62" spans="3:14" ht="13.5" customHeight="1" x14ac:dyDescent="0.3">
      <c r="C62" s="527" t="s">
        <v>374</v>
      </c>
      <c r="D62" s="504">
        <v>7582500</v>
      </c>
      <c r="E62" s="504">
        <v>54103110</v>
      </c>
      <c r="F62" s="522">
        <v>1221900</v>
      </c>
      <c r="G62" s="529">
        <f>'2017 가결산IS'!B69</f>
        <v>150238410</v>
      </c>
      <c r="H62" s="113"/>
      <c r="I62" s="113"/>
      <c r="J62" s="113"/>
      <c r="K62" s="113"/>
      <c r="L62" s="113"/>
      <c r="M62" s="113"/>
      <c r="N62" s="109"/>
    </row>
    <row r="63" spans="3:14" ht="13.5" customHeight="1" x14ac:dyDescent="0.3">
      <c r="C63" s="527" t="s">
        <v>386</v>
      </c>
      <c r="D63" s="504"/>
      <c r="E63" s="504"/>
      <c r="F63" s="522">
        <v>40806000</v>
      </c>
      <c r="G63" s="529">
        <f>'2017 가결산IS'!B70</f>
        <v>1616000</v>
      </c>
      <c r="H63" s="113"/>
      <c r="I63" s="113"/>
      <c r="J63" s="113"/>
      <c r="K63" s="113"/>
      <c r="L63" s="113"/>
      <c r="M63" s="113"/>
      <c r="N63" s="109"/>
    </row>
    <row r="64" spans="3:14" ht="13.5" customHeight="1" x14ac:dyDescent="0.3">
      <c r="C64" s="527" t="s">
        <v>375</v>
      </c>
      <c r="D64" s="504">
        <v>5387729</v>
      </c>
      <c r="E64" s="504">
        <v>1392664</v>
      </c>
      <c r="F64" s="522">
        <v>892386</v>
      </c>
      <c r="G64" s="529">
        <f>'2017 가결산IS'!B71</f>
        <v>2942427</v>
      </c>
      <c r="H64" s="113"/>
      <c r="I64" s="113"/>
      <c r="J64" s="113"/>
      <c r="K64" s="113"/>
      <c r="L64" s="113"/>
      <c r="M64" s="113"/>
      <c r="N64" s="109"/>
    </row>
    <row r="65" spans="3:14" ht="13.5" customHeight="1" x14ac:dyDescent="0.3">
      <c r="C65" s="526" t="s">
        <v>376</v>
      </c>
      <c r="D65" s="503">
        <v>6923591424</v>
      </c>
      <c r="E65" s="502">
        <v>12957666715</v>
      </c>
      <c r="F65" s="521">
        <v>15125287861</v>
      </c>
      <c r="G65" s="529">
        <f>'2017 가결산IS'!C72</f>
        <v>0</v>
      </c>
      <c r="H65" s="113"/>
      <c r="I65" s="113"/>
      <c r="J65" s="113"/>
      <c r="K65" s="113"/>
      <c r="L65" s="113"/>
      <c r="M65" s="113"/>
      <c r="N65" s="109"/>
    </row>
    <row r="66" spans="3:14" ht="13.5" customHeight="1" x14ac:dyDescent="0.3">
      <c r="C66" s="526" t="s">
        <v>377</v>
      </c>
      <c r="D66" s="503">
        <v>1177149608</v>
      </c>
      <c r="E66" s="502">
        <v>2037642584</v>
      </c>
      <c r="F66" s="521">
        <v>2618700003</v>
      </c>
      <c r="G66" s="529">
        <f>'2017 가결산IS'!C73</f>
        <v>0</v>
      </c>
      <c r="H66" s="113"/>
      <c r="I66" s="113"/>
      <c r="J66" s="113"/>
      <c r="K66" s="113"/>
      <c r="L66" s="113"/>
      <c r="M66" s="113"/>
      <c r="N66" s="109"/>
    </row>
    <row r="67" spans="3:14" ht="13.5" customHeight="1" x14ac:dyDescent="0.3">
      <c r="C67" s="527" t="s">
        <v>378</v>
      </c>
      <c r="D67" s="504">
        <v>1177149608</v>
      </c>
      <c r="E67" s="504">
        <v>2037642584</v>
      </c>
      <c r="F67" s="522">
        <v>2618700003</v>
      </c>
      <c r="G67" s="529">
        <f>'2017 가결산IS'!B74</f>
        <v>0</v>
      </c>
      <c r="H67" s="113"/>
      <c r="I67" s="113"/>
      <c r="J67" s="113"/>
      <c r="K67" s="113"/>
      <c r="L67" s="113"/>
      <c r="M67" s="113"/>
      <c r="N67" s="109"/>
    </row>
    <row r="68" spans="3:14" ht="13.5" customHeight="1" x14ac:dyDescent="0.3">
      <c r="C68" s="1012" t="s">
        <v>2977</v>
      </c>
      <c r="D68" s="1014"/>
      <c r="E68" s="504"/>
      <c r="F68" s="522"/>
      <c r="G68" s="529">
        <f>'2017 가결산IS'!B75</f>
        <v>0</v>
      </c>
      <c r="H68" s="113"/>
      <c r="I68" s="113"/>
      <c r="J68" s="113"/>
      <c r="K68" s="113"/>
      <c r="L68" s="113"/>
      <c r="M68" s="113"/>
      <c r="N68" s="109"/>
    </row>
    <row r="69" spans="3:14" ht="13.5" customHeight="1" thickBot="1" x14ac:dyDescent="0.35">
      <c r="C69" s="530" t="s">
        <v>379</v>
      </c>
      <c r="D69" s="531">
        <v>5746441816</v>
      </c>
      <c r="E69" s="532">
        <v>10920024131</v>
      </c>
      <c r="F69" s="533">
        <v>12506587858</v>
      </c>
      <c r="G69" s="534">
        <f>'2017 가결산IS'!C76</f>
        <v>0</v>
      </c>
      <c r="H69" s="113"/>
      <c r="I69" s="113"/>
      <c r="J69" s="113"/>
      <c r="K69" s="113"/>
      <c r="L69" s="113"/>
      <c r="M69" s="113"/>
      <c r="N69" s="109"/>
    </row>
    <row r="70" spans="3:14" ht="13.5" customHeight="1" x14ac:dyDescent="0.3"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09"/>
    </row>
    <row r="71" spans="3:14" ht="13.5" customHeight="1" x14ac:dyDescent="0.3"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09"/>
    </row>
    <row r="72" spans="3:14" ht="13.5" customHeight="1" x14ac:dyDescent="0.3"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09"/>
    </row>
    <row r="73" spans="3:14" ht="13.5" customHeight="1" x14ac:dyDescent="0.3"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09"/>
    </row>
    <row r="74" spans="3:14" ht="13.5" customHeight="1" x14ac:dyDescent="0.3"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09"/>
    </row>
    <row r="75" spans="3:14" ht="13.5" customHeight="1" x14ac:dyDescent="0.3"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09"/>
    </row>
    <row r="76" spans="3:14" ht="13.5" customHeight="1" x14ac:dyDescent="0.3"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09"/>
    </row>
    <row r="77" spans="3:14" ht="13.5" customHeight="1" x14ac:dyDescent="0.3"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09"/>
    </row>
    <row r="78" spans="3:14" ht="13.5" customHeight="1" x14ac:dyDescent="0.3"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09"/>
    </row>
    <row r="79" spans="3:14" ht="13.5" customHeight="1" x14ac:dyDescent="0.3"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09"/>
    </row>
    <row r="80" spans="3:14" ht="13.5" customHeight="1" x14ac:dyDescent="0.3"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09"/>
    </row>
    <row r="81" spans="4:14" ht="13.5" customHeight="1" x14ac:dyDescent="0.3"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09"/>
    </row>
    <row r="82" spans="4:14" ht="13.5" customHeight="1" x14ac:dyDescent="0.3"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09"/>
    </row>
    <row r="83" spans="4:14" ht="13.5" customHeight="1" x14ac:dyDescent="0.3"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09"/>
    </row>
    <row r="84" spans="4:14" ht="13.5" customHeight="1" x14ac:dyDescent="0.3"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09"/>
    </row>
    <row r="85" spans="4:14" ht="13.5" customHeight="1" x14ac:dyDescent="0.3"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09"/>
    </row>
    <row r="86" spans="4:14" ht="13.5" customHeight="1" x14ac:dyDescent="0.3"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09"/>
    </row>
    <row r="87" spans="4:14" ht="13.5" customHeight="1" x14ac:dyDescent="0.3"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09"/>
    </row>
    <row r="88" spans="4:14" ht="13.5" customHeight="1" x14ac:dyDescent="0.3"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09"/>
    </row>
    <row r="89" spans="4:14" ht="13.5" customHeight="1" x14ac:dyDescent="0.3"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09"/>
    </row>
    <row r="90" spans="4:14" ht="13.5" customHeight="1" x14ac:dyDescent="0.3"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09"/>
    </row>
    <row r="91" spans="4:14" ht="13.5" customHeight="1" x14ac:dyDescent="0.3"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09"/>
    </row>
    <row r="92" spans="4:14" ht="13.5" customHeight="1" x14ac:dyDescent="0.3"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09"/>
    </row>
    <row r="93" spans="4:14" ht="13.5" customHeight="1" x14ac:dyDescent="0.3"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09"/>
    </row>
    <row r="94" spans="4:14" ht="13.5" customHeight="1" x14ac:dyDescent="0.3"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09"/>
    </row>
    <row r="95" spans="4:14" ht="13.5" customHeight="1" x14ac:dyDescent="0.3"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09"/>
    </row>
    <row r="96" spans="4:14" ht="13.5" customHeight="1" x14ac:dyDescent="0.3"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09"/>
    </row>
    <row r="97" spans="4:14" ht="13.5" customHeight="1" x14ac:dyDescent="0.3"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09"/>
    </row>
    <row r="98" spans="4:14" ht="13.5" customHeight="1" x14ac:dyDescent="0.3"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09"/>
    </row>
    <row r="99" spans="4:14" ht="13.5" customHeight="1" x14ac:dyDescent="0.3"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09"/>
    </row>
    <row r="100" spans="4:14" ht="13.5" customHeight="1" x14ac:dyDescent="0.3"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09"/>
    </row>
    <row r="101" spans="4:14" ht="13.5" customHeight="1" x14ac:dyDescent="0.3"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09"/>
    </row>
    <row r="102" spans="4:14" ht="13.5" customHeight="1" x14ac:dyDescent="0.3"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09"/>
    </row>
    <row r="103" spans="4:14" ht="13.5" customHeight="1" x14ac:dyDescent="0.3"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09"/>
    </row>
    <row r="104" spans="4:14" ht="13.5" customHeight="1" x14ac:dyDescent="0.3"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09"/>
    </row>
    <row r="105" spans="4:14" ht="13.5" customHeight="1" x14ac:dyDescent="0.3"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09"/>
    </row>
    <row r="106" spans="4:14" ht="13.5" customHeight="1" x14ac:dyDescent="0.3"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09"/>
    </row>
    <row r="107" spans="4:14" ht="13.5" customHeight="1" x14ac:dyDescent="0.3"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09"/>
    </row>
    <row r="108" spans="4:14" ht="13.5" customHeight="1" x14ac:dyDescent="0.3"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09"/>
    </row>
    <row r="109" spans="4:14" ht="13.5" customHeight="1" x14ac:dyDescent="0.3"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09"/>
    </row>
    <row r="110" spans="4:14" ht="13.5" customHeight="1" x14ac:dyDescent="0.3"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09"/>
    </row>
    <row r="111" spans="4:14" ht="13.5" customHeight="1" x14ac:dyDescent="0.3"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09"/>
    </row>
    <row r="112" spans="4:14" ht="13.5" customHeight="1" x14ac:dyDescent="0.3"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09"/>
    </row>
    <row r="113" spans="4:14" ht="13.5" customHeight="1" x14ac:dyDescent="0.3"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09"/>
    </row>
    <row r="114" spans="4:14" ht="13.5" customHeight="1" x14ac:dyDescent="0.3"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09"/>
    </row>
    <row r="115" spans="4:14" ht="13.5" customHeight="1" x14ac:dyDescent="0.3"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09"/>
    </row>
    <row r="116" spans="4:14" ht="13.5" customHeight="1" x14ac:dyDescent="0.3"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09"/>
    </row>
    <row r="117" spans="4:14" ht="13.5" customHeight="1" x14ac:dyDescent="0.3"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09"/>
    </row>
    <row r="118" spans="4:14" ht="13.5" customHeight="1" x14ac:dyDescent="0.3"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09"/>
    </row>
    <row r="119" spans="4:14" ht="13.5" customHeight="1" x14ac:dyDescent="0.3"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09"/>
    </row>
    <row r="120" spans="4:14" ht="13.5" customHeight="1" x14ac:dyDescent="0.3"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09"/>
    </row>
    <row r="121" spans="4:14" ht="13.5" customHeight="1" x14ac:dyDescent="0.3"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09"/>
    </row>
    <row r="122" spans="4:14" ht="13.5" customHeight="1" x14ac:dyDescent="0.3"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09"/>
    </row>
    <row r="123" spans="4:14" ht="13.5" customHeight="1" x14ac:dyDescent="0.3"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09"/>
    </row>
    <row r="124" spans="4:14" ht="13.5" customHeight="1" x14ac:dyDescent="0.3"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09"/>
    </row>
    <row r="125" spans="4:14" ht="13.5" customHeight="1" x14ac:dyDescent="0.3"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09"/>
    </row>
    <row r="126" spans="4:14" ht="13.5" customHeight="1" x14ac:dyDescent="0.3"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09"/>
    </row>
    <row r="127" spans="4:14" ht="13.5" customHeight="1" x14ac:dyDescent="0.3"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09"/>
    </row>
    <row r="128" spans="4:14" ht="13.5" customHeight="1" x14ac:dyDescent="0.3"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09"/>
    </row>
    <row r="129" spans="4:14" ht="13.5" customHeight="1" x14ac:dyDescent="0.3"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09"/>
    </row>
    <row r="130" spans="4:14" ht="13.5" customHeight="1" x14ac:dyDescent="0.3"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09"/>
    </row>
    <row r="131" spans="4:14" ht="13.5" customHeight="1" x14ac:dyDescent="0.3"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09"/>
    </row>
    <row r="132" spans="4:14" ht="13.5" customHeight="1" x14ac:dyDescent="0.3"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09"/>
    </row>
    <row r="133" spans="4:14" ht="13.5" customHeight="1" x14ac:dyDescent="0.3"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09"/>
    </row>
    <row r="134" spans="4:14" ht="13.5" customHeight="1" x14ac:dyDescent="0.3"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09"/>
    </row>
    <row r="135" spans="4:14" ht="13.5" customHeight="1" x14ac:dyDescent="0.3"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09"/>
    </row>
    <row r="136" spans="4:14" ht="13.5" customHeight="1" x14ac:dyDescent="0.3"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09"/>
    </row>
    <row r="137" spans="4:14" ht="13.5" customHeight="1" x14ac:dyDescent="0.3"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09"/>
    </row>
    <row r="138" spans="4:14" ht="13.5" customHeight="1" x14ac:dyDescent="0.3"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09"/>
    </row>
    <row r="139" spans="4:14" ht="13.5" customHeight="1" x14ac:dyDescent="0.3"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09"/>
    </row>
    <row r="140" spans="4:14" ht="13.5" customHeight="1" x14ac:dyDescent="0.3"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09"/>
    </row>
    <row r="141" spans="4:14" ht="13.5" customHeight="1" x14ac:dyDescent="0.3"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09"/>
    </row>
    <row r="142" spans="4:14" ht="13.5" customHeight="1" x14ac:dyDescent="0.3"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09"/>
    </row>
    <row r="143" spans="4:14" ht="13.5" customHeight="1" x14ac:dyDescent="0.3"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09"/>
    </row>
    <row r="144" spans="4:14" ht="13.5" customHeight="1" x14ac:dyDescent="0.3"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09"/>
    </row>
    <row r="145" spans="4:14" ht="13.5" customHeight="1" x14ac:dyDescent="0.3"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09"/>
    </row>
    <row r="146" spans="4:14" ht="13.5" customHeight="1" x14ac:dyDescent="0.3"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09"/>
    </row>
    <row r="147" spans="4:14" ht="13.5" customHeight="1" x14ac:dyDescent="0.3"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09"/>
    </row>
    <row r="148" spans="4:14" ht="13.5" customHeight="1" x14ac:dyDescent="0.3"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09"/>
    </row>
    <row r="149" spans="4:14" ht="13.5" customHeight="1" x14ac:dyDescent="0.3"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09"/>
    </row>
    <row r="150" spans="4:14" ht="13.5" customHeight="1" x14ac:dyDescent="0.3"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09"/>
    </row>
    <row r="151" spans="4:14" ht="13.5" customHeight="1" x14ac:dyDescent="0.3"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09"/>
    </row>
    <row r="152" spans="4:14" ht="13.5" customHeight="1" x14ac:dyDescent="0.3"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09"/>
    </row>
    <row r="153" spans="4:14" ht="13.5" customHeight="1" x14ac:dyDescent="0.3"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09"/>
    </row>
    <row r="154" spans="4:14" ht="13.5" customHeight="1" x14ac:dyDescent="0.3"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09"/>
    </row>
    <row r="155" spans="4:14" ht="13.5" customHeight="1" x14ac:dyDescent="0.3"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09"/>
    </row>
    <row r="156" spans="4:14" ht="13.5" customHeight="1" x14ac:dyDescent="0.3"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09"/>
    </row>
    <row r="157" spans="4:14" ht="13.5" customHeight="1" x14ac:dyDescent="0.3"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09"/>
    </row>
    <row r="158" spans="4:14" ht="13.5" customHeight="1" x14ac:dyDescent="0.3"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09"/>
    </row>
    <row r="159" spans="4:14" ht="13.5" customHeight="1" x14ac:dyDescent="0.3"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09"/>
    </row>
    <row r="160" spans="4:14" ht="13.5" customHeight="1" x14ac:dyDescent="0.3"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09"/>
    </row>
    <row r="161" spans="4:14" ht="13.5" customHeight="1" x14ac:dyDescent="0.3"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09"/>
    </row>
    <row r="162" spans="4:14" ht="13.5" customHeight="1" x14ac:dyDescent="0.3"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09"/>
    </row>
    <row r="163" spans="4:14" ht="13.5" customHeight="1" x14ac:dyDescent="0.3"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09"/>
    </row>
    <row r="164" spans="4:14" ht="13.5" customHeight="1" x14ac:dyDescent="0.3"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09"/>
    </row>
    <row r="165" spans="4:14" ht="13.5" customHeight="1" x14ac:dyDescent="0.3"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09"/>
    </row>
    <row r="166" spans="4:14" ht="13.5" customHeight="1" x14ac:dyDescent="0.3"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09"/>
    </row>
    <row r="167" spans="4:14" ht="13.5" customHeight="1" x14ac:dyDescent="0.3"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09"/>
    </row>
    <row r="168" spans="4:14" ht="13.5" customHeight="1" x14ac:dyDescent="0.3"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09"/>
    </row>
    <row r="169" spans="4:14" ht="13.5" customHeight="1" x14ac:dyDescent="0.3"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09"/>
    </row>
    <row r="170" spans="4:14" ht="13.5" customHeight="1" x14ac:dyDescent="0.3"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09"/>
    </row>
    <row r="171" spans="4:14" ht="13.5" customHeight="1" x14ac:dyDescent="0.3"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09"/>
    </row>
    <row r="172" spans="4:14" ht="13.5" customHeight="1" x14ac:dyDescent="0.3"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09"/>
    </row>
    <row r="173" spans="4:14" ht="13.5" customHeight="1" x14ac:dyDescent="0.3"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09"/>
    </row>
    <row r="174" spans="4:14" ht="13.5" customHeight="1" x14ac:dyDescent="0.3"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09"/>
    </row>
    <row r="175" spans="4:14" ht="13.5" customHeight="1" x14ac:dyDescent="0.3"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09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P158"/>
  <sheetViews>
    <sheetView showGridLines="0" topLeftCell="A48" workbookViewId="0">
      <selection activeCell="D54" sqref="D54"/>
    </sheetView>
  </sheetViews>
  <sheetFormatPr defaultColWidth="8.75" defaultRowHeight="12" x14ac:dyDescent="0.3"/>
  <cols>
    <col min="1" max="1" width="3" style="159" customWidth="1"/>
    <col min="2" max="2" width="6.25" style="159" customWidth="1"/>
    <col min="3" max="3" width="25.75" style="159" customWidth="1"/>
    <col min="4" max="8" width="15.625" style="159" customWidth="1"/>
    <col min="9" max="11" width="13" style="159" bestFit="1" customWidth="1"/>
    <col min="12" max="13" width="9.625" style="159" customWidth="1"/>
    <col min="14" max="14" width="9.625" style="108" customWidth="1"/>
    <col min="15" max="15" width="3" style="159" customWidth="1"/>
    <col min="16" max="16" width="13" style="65" bestFit="1" customWidth="1"/>
    <col min="17" max="16384" width="8.75" style="159"/>
  </cols>
  <sheetData>
    <row r="1" spans="2:16" s="153" customFormat="1" ht="30" customHeight="1" x14ac:dyDescent="0.3">
      <c r="C1" s="373" t="str">
        <f>"Project"&amp;" "&amp;Title!L6</f>
        <v>Project SVG1</v>
      </c>
      <c r="D1" s="374"/>
      <c r="E1" s="374"/>
      <c r="F1" s="374"/>
      <c r="G1" s="374"/>
      <c r="H1" s="374"/>
      <c r="I1" s="255"/>
      <c r="J1" s="255"/>
      <c r="K1" s="255"/>
      <c r="L1" s="255"/>
      <c r="M1" s="255"/>
      <c r="N1" s="256" t="str">
        <f>Des!C12</f>
        <v>DRAFT - For Discussion Purposes Only</v>
      </c>
      <c r="P1" s="51"/>
    </row>
    <row r="2" spans="2:16" s="153" customFormat="1" ht="20.100000000000001" customHeight="1" x14ac:dyDescent="0.3">
      <c r="C2" s="321" t="s">
        <v>650</v>
      </c>
      <c r="D2" s="321"/>
      <c r="E2" s="321"/>
      <c r="F2" s="321"/>
      <c r="G2" s="321"/>
      <c r="H2" s="321"/>
      <c r="I2" s="257"/>
      <c r="J2" s="257"/>
      <c r="K2" s="257"/>
      <c r="L2" s="257"/>
      <c r="M2" s="257"/>
      <c r="N2" s="257"/>
      <c r="P2" s="51"/>
    </row>
    <row r="3" spans="2:16" ht="13.5" customHeight="1" thickBot="1" x14ac:dyDescent="0.35">
      <c r="C3" s="153"/>
      <c r="D3" s="153"/>
      <c r="E3" s="153"/>
      <c r="F3" s="153"/>
      <c r="G3" s="537" t="s">
        <v>458</v>
      </c>
      <c r="H3" s="113"/>
      <c r="I3" s="113"/>
      <c r="J3" s="113"/>
      <c r="K3" s="113"/>
      <c r="L3" s="113"/>
      <c r="M3" s="113"/>
      <c r="N3" s="109"/>
    </row>
    <row r="4" spans="2:16" ht="13.5" customHeight="1" thickBot="1" x14ac:dyDescent="0.35">
      <c r="C4" s="657" t="s">
        <v>381</v>
      </c>
      <c r="D4" s="658" t="s">
        <v>382</v>
      </c>
      <c r="E4" s="658" t="s">
        <v>383</v>
      </c>
      <c r="F4" s="658" t="s">
        <v>384</v>
      </c>
      <c r="G4" s="658" t="s">
        <v>2141</v>
      </c>
      <c r="H4" s="1600" t="s">
        <v>382</v>
      </c>
      <c r="I4" s="1601" t="s">
        <v>383</v>
      </c>
      <c r="J4" s="1601" t="s">
        <v>384</v>
      </c>
      <c r="K4" s="1602" t="s">
        <v>2141</v>
      </c>
      <c r="L4" s="113"/>
      <c r="M4" s="113"/>
      <c r="N4" s="109"/>
    </row>
    <row r="5" spans="2:16" ht="13.5" customHeight="1" x14ac:dyDescent="0.3">
      <c r="C5" s="674" t="s">
        <v>651</v>
      </c>
      <c r="D5" s="660">
        <v>22199671658</v>
      </c>
      <c r="E5" s="660">
        <v>32093692267</v>
      </c>
      <c r="F5" s="661">
        <v>48937325684</v>
      </c>
      <c r="G5" s="1596">
        <f>'2017 가결산 MC'!C10</f>
        <v>51522119099</v>
      </c>
      <c r="H5" s="1603">
        <f>D5/D$39*D$42</f>
        <v>21827269198.503105</v>
      </c>
      <c r="I5" s="109">
        <f t="shared" ref="I5:I36" si="0">E5/E$39*E$42</f>
        <v>32068789145.81337</v>
      </c>
      <c r="J5" s="109">
        <f t="shared" ref="J5:J36" si="1">F5/F$39*F$42</f>
        <v>47680799236.418442</v>
      </c>
      <c r="K5" s="1604">
        <f t="shared" ref="K5:K36" si="2">G5/G$39*G$42</f>
        <v>51796935540.843689</v>
      </c>
      <c r="L5" s="113"/>
      <c r="M5" s="113"/>
      <c r="N5" s="109"/>
    </row>
    <row r="6" spans="2:16" ht="13.5" customHeight="1" x14ac:dyDescent="0.3">
      <c r="C6" s="662" t="s">
        <v>652</v>
      </c>
      <c r="D6" s="511">
        <v>1750789931</v>
      </c>
      <c r="E6" s="511">
        <v>2455654141</v>
      </c>
      <c r="F6" s="512">
        <v>5763780423</v>
      </c>
      <c r="G6" s="1597">
        <f>'2017 가결산 MC'!B11</f>
        <v>5110202485</v>
      </c>
      <c r="H6" s="1603">
        <f t="shared" ref="H6:H36" si="3">D6/D$39*D$42</f>
        <v>1721420195.8790824</v>
      </c>
      <c r="I6" s="109">
        <f t="shared" si="0"/>
        <v>2453748674.5875654</v>
      </c>
      <c r="J6" s="109">
        <f t="shared" si="1"/>
        <v>5615788221.9893064</v>
      </c>
      <c r="K6" s="1604">
        <f t="shared" si="2"/>
        <v>5137460052.9841509</v>
      </c>
      <c r="L6" s="113"/>
      <c r="M6" s="113"/>
      <c r="N6" s="109"/>
    </row>
    <row r="7" spans="2:16" ht="13.5" customHeight="1" x14ac:dyDescent="0.3">
      <c r="C7" s="662" t="s">
        <v>653</v>
      </c>
      <c r="D7" s="511">
        <v>22904535868</v>
      </c>
      <c r="E7" s="511">
        <v>35401818549</v>
      </c>
      <c r="F7" s="512">
        <v>48283747746</v>
      </c>
      <c r="G7" s="1597">
        <f>'2017 가결산 MC'!B12</f>
        <v>49462996658</v>
      </c>
      <c r="H7" s="1603">
        <f t="shared" si="3"/>
        <v>22520309217.161034</v>
      </c>
      <c r="I7" s="109">
        <f t="shared" si="0"/>
        <v>35374348485.094032</v>
      </c>
      <c r="J7" s="109">
        <f t="shared" si="1"/>
        <v>47044002721.456467</v>
      </c>
      <c r="K7" s="1604">
        <f t="shared" si="2"/>
        <v>49726829842.313675</v>
      </c>
      <c r="L7" s="113"/>
      <c r="M7" s="113"/>
      <c r="N7" s="109"/>
    </row>
    <row r="8" spans="2:16" ht="13.5" customHeight="1" x14ac:dyDescent="0.3">
      <c r="C8" s="662" t="s">
        <v>654</v>
      </c>
      <c r="D8" s="511">
        <v>2455654141</v>
      </c>
      <c r="E8" s="511">
        <v>5763780423</v>
      </c>
      <c r="F8" s="512">
        <v>5110202485</v>
      </c>
      <c r="G8" s="1597">
        <f>'2017 가결산 MC'!B13</f>
        <v>3051080044</v>
      </c>
      <c r="H8" s="1603">
        <f t="shared" si="3"/>
        <v>2414460214.5370121</v>
      </c>
      <c r="I8" s="109">
        <f t="shared" si="0"/>
        <v>5759308013.8682308</v>
      </c>
      <c r="J8" s="109">
        <f t="shared" si="1"/>
        <v>4978991707.0273314</v>
      </c>
      <c r="K8" s="1604">
        <f t="shared" si="2"/>
        <v>3067354354.4541411</v>
      </c>
      <c r="L8" s="113"/>
      <c r="M8" s="113"/>
      <c r="N8" s="109"/>
    </row>
    <row r="9" spans="2:16" ht="13.5" customHeight="1" x14ac:dyDescent="0.3">
      <c r="C9" s="675" t="s">
        <v>655</v>
      </c>
      <c r="D9" s="509">
        <v>3504031157</v>
      </c>
      <c r="E9" s="509">
        <v>3893296451</v>
      </c>
      <c r="F9" s="510">
        <v>3942678148</v>
      </c>
      <c r="G9" s="1598">
        <f>'2017 가결산 MC'!C14</f>
        <v>4409659128</v>
      </c>
      <c r="H9" s="1603">
        <f t="shared" si="3"/>
        <v>3445250565.9568753</v>
      </c>
      <c r="I9" s="109">
        <f t="shared" si="0"/>
        <v>3890275445.1111131</v>
      </c>
      <c r="J9" s="109">
        <f t="shared" si="1"/>
        <v>3841445003.4008536</v>
      </c>
      <c r="K9" s="1604">
        <f t="shared" si="2"/>
        <v>4433180032.2735987</v>
      </c>
      <c r="L9" s="113"/>
      <c r="M9" s="113"/>
      <c r="N9" s="109"/>
    </row>
    <row r="10" spans="2:16" ht="13.5" customHeight="1" x14ac:dyDescent="0.3">
      <c r="B10" s="548" t="s">
        <v>459</v>
      </c>
      <c r="C10" s="662" t="s">
        <v>656</v>
      </c>
      <c r="D10" s="511">
        <v>3008215867</v>
      </c>
      <c r="E10" s="511">
        <v>3193886301</v>
      </c>
      <c r="F10" s="512">
        <v>3313858848</v>
      </c>
      <c r="G10" s="1599">
        <f>'2017 가결산 MC'!B15</f>
        <v>3568789238</v>
      </c>
      <c r="H10" s="1603">
        <f t="shared" si="3"/>
        <v>2957752643.7223406</v>
      </c>
      <c r="I10" s="109">
        <f t="shared" si="0"/>
        <v>3191408002.8675065</v>
      </c>
      <c r="J10" s="109">
        <f t="shared" si="1"/>
        <v>3228771417.7437625</v>
      </c>
      <c r="K10" s="1604">
        <f t="shared" si="2"/>
        <v>3587824983.7579079</v>
      </c>
      <c r="L10" s="113"/>
      <c r="M10" s="113"/>
      <c r="N10" s="109"/>
    </row>
    <row r="11" spans="2:16" ht="13.5" customHeight="1" x14ac:dyDescent="0.3">
      <c r="B11" s="548" t="s">
        <v>459</v>
      </c>
      <c r="C11" s="662" t="s">
        <v>657</v>
      </c>
      <c r="D11" s="511">
        <v>241332430</v>
      </c>
      <c r="E11" s="511">
        <v>421501640</v>
      </c>
      <c r="F11" s="512">
        <v>356700000</v>
      </c>
      <c r="G11" s="1599">
        <f>'2017 가결산 MC'!B16</f>
        <v>534400000</v>
      </c>
      <c r="H11" s="1603">
        <f t="shared" si="3"/>
        <v>237284046.2278024</v>
      </c>
      <c r="I11" s="109">
        <f t="shared" si="0"/>
        <v>421174575.53094608</v>
      </c>
      <c r="J11" s="109">
        <f t="shared" si="1"/>
        <v>347541285.71417052</v>
      </c>
      <c r="K11" s="1604">
        <f t="shared" si="2"/>
        <v>537250463.23966348</v>
      </c>
      <c r="L11" s="113"/>
      <c r="M11" s="113"/>
      <c r="N11" s="109"/>
    </row>
    <row r="12" spans="2:16" ht="13.5" customHeight="1" x14ac:dyDescent="0.3">
      <c r="B12" s="548" t="s">
        <v>459</v>
      </c>
      <c r="C12" s="662" t="s">
        <v>658</v>
      </c>
      <c r="D12" s="511">
        <v>5370640</v>
      </c>
      <c r="E12" s="511">
        <v>3227580</v>
      </c>
      <c r="F12" s="512">
        <v>3632160</v>
      </c>
      <c r="G12" s="1599">
        <f>'2017 가결산 MC'!B17</f>
        <v>2440090</v>
      </c>
      <c r="H12" s="1603">
        <f t="shared" si="3"/>
        <v>5280546.7961056232</v>
      </c>
      <c r="I12" s="109">
        <f t="shared" si="0"/>
        <v>3225075.5572200646</v>
      </c>
      <c r="J12" s="109">
        <f t="shared" si="1"/>
        <v>3538899.7934386921</v>
      </c>
      <c r="K12" s="1604">
        <f t="shared" si="2"/>
        <v>2453105.3196977372</v>
      </c>
      <c r="L12" s="113"/>
      <c r="M12" s="113"/>
      <c r="N12" s="109"/>
    </row>
    <row r="13" spans="2:16" ht="13.5" customHeight="1" x14ac:dyDescent="0.3">
      <c r="B13" s="548" t="s">
        <v>459</v>
      </c>
      <c r="C13" s="662" t="s">
        <v>659</v>
      </c>
      <c r="D13" s="511">
        <v>249112220</v>
      </c>
      <c r="E13" s="511">
        <v>274680930</v>
      </c>
      <c r="F13" s="512">
        <v>268487140</v>
      </c>
      <c r="G13" s="1599">
        <f>'2017 가결산 MC'!B18</f>
        <v>304029800</v>
      </c>
      <c r="H13" s="1603">
        <f t="shared" si="3"/>
        <v>244933329.21062651</v>
      </c>
      <c r="I13" s="109">
        <f t="shared" si="0"/>
        <v>274467791.15544015</v>
      </c>
      <c r="J13" s="109">
        <f t="shared" si="1"/>
        <v>261593400.14948276</v>
      </c>
      <c r="K13" s="1604">
        <f t="shared" si="2"/>
        <v>305651479.95632905</v>
      </c>
      <c r="L13" s="113"/>
      <c r="M13" s="113"/>
      <c r="N13" s="109"/>
    </row>
    <row r="14" spans="2:16" ht="13.5" customHeight="1" x14ac:dyDescent="0.3">
      <c r="C14" s="675" t="s">
        <v>660</v>
      </c>
      <c r="D14" s="509">
        <v>3887243091</v>
      </c>
      <c r="E14" s="509">
        <v>6710359691</v>
      </c>
      <c r="F14" s="510">
        <v>8595163443</v>
      </c>
      <c r="G14" s="1598">
        <f>'2017 가결산 MC'!C19</f>
        <v>9969880140</v>
      </c>
      <c r="H14" s="1603">
        <f t="shared" si="3"/>
        <v>3822034068.54002</v>
      </c>
      <c r="I14" s="109">
        <f t="shared" si="0"/>
        <v>6705152783.0755196</v>
      </c>
      <c r="J14" s="109">
        <f t="shared" si="1"/>
        <v>8374471976.1807032</v>
      </c>
      <c r="K14" s="1604">
        <f t="shared" si="2"/>
        <v>10023058988.882713</v>
      </c>
      <c r="L14" s="113"/>
      <c r="M14" s="113"/>
      <c r="N14" s="109"/>
    </row>
    <row r="15" spans="2:16" ht="13.5" customHeight="1" x14ac:dyDescent="0.3">
      <c r="B15" s="548" t="s">
        <v>459</v>
      </c>
      <c r="C15" s="662" t="s">
        <v>661</v>
      </c>
      <c r="D15" s="511">
        <v>314689496</v>
      </c>
      <c r="E15" s="511">
        <v>401493153</v>
      </c>
      <c r="F15" s="512">
        <v>396537191</v>
      </c>
      <c r="G15" s="1599">
        <f>'2017 가결산 MC'!B20</f>
        <v>437861526</v>
      </c>
      <c r="H15" s="1603">
        <f t="shared" si="3"/>
        <v>309410537.6400007</v>
      </c>
      <c r="I15" s="109">
        <f t="shared" si="0"/>
        <v>401181614.12932158</v>
      </c>
      <c r="J15" s="109">
        <f t="shared" si="1"/>
        <v>386355607.49544603</v>
      </c>
      <c r="K15" s="1604">
        <f t="shared" si="2"/>
        <v>440197057.78129864</v>
      </c>
      <c r="L15" s="113"/>
      <c r="M15" s="113"/>
      <c r="N15" s="109"/>
    </row>
    <row r="16" spans="2:16" ht="13.5" customHeight="1" x14ac:dyDescent="0.3">
      <c r="B16" s="549" t="s">
        <v>461</v>
      </c>
      <c r="C16" s="662" t="s">
        <v>662</v>
      </c>
      <c r="D16" s="511">
        <v>29771253</v>
      </c>
      <c r="E16" s="511">
        <v>34046228</v>
      </c>
      <c r="F16" s="512">
        <v>20901803</v>
      </c>
      <c r="G16" s="1599">
        <f>'2017 가결산 MC'!B21</f>
        <v>11934796</v>
      </c>
      <c r="H16" s="1603">
        <f t="shared" si="3"/>
        <v>29271836.251396466</v>
      </c>
      <c r="I16" s="109">
        <f t="shared" si="0"/>
        <v>34019809.807453685</v>
      </c>
      <c r="J16" s="109">
        <f t="shared" si="1"/>
        <v>20365123.320337277</v>
      </c>
      <c r="K16" s="1604">
        <f t="shared" si="2"/>
        <v>11998455.613156592</v>
      </c>
      <c r="L16" s="113"/>
      <c r="M16" s="113"/>
      <c r="N16" s="109"/>
    </row>
    <row r="17" spans="2:14" ht="13.5" customHeight="1" x14ac:dyDescent="0.3">
      <c r="B17" s="549" t="s">
        <v>461</v>
      </c>
      <c r="C17" s="662" t="s">
        <v>663</v>
      </c>
      <c r="D17" s="511">
        <v>214484004</v>
      </c>
      <c r="E17" s="511">
        <v>232462486</v>
      </c>
      <c r="F17" s="512">
        <v>213136289</v>
      </c>
      <c r="G17" s="1599">
        <f>'2017 가결산 MC'!B22</f>
        <v>264649929</v>
      </c>
      <c r="H17" s="1603">
        <f t="shared" si="3"/>
        <v>210886006.16278613</v>
      </c>
      <c r="I17" s="109">
        <f t="shared" si="0"/>
        <v>232282106.58425555</v>
      </c>
      <c r="J17" s="109">
        <f t="shared" si="1"/>
        <v>207663750.80293527</v>
      </c>
      <c r="K17" s="1604">
        <f t="shared" si="2"/>
        <v>266061558.66690505</v>
      </c>
      <c r="L17" s="113"/>
      <c r="M17" s="113"/>
      <c r="N17" s="109"/>
    </row>
    <row r="18" spans="2:14" ht="13.5" customHeight="1" x14ac:dyDescent="0.3">
      <c r="B18" s="549" t="s">
        <v>461</v>
      </c>
      <c r="C18" s="662" t="s">
        <v>664</v>
      </c>
      <c r="D18" s="511">
        <v>131246640</v>
      </c>
      <c r="E18" s="511">
        <v>149617120</v>
      </c>
      <c r="F18" s="512">
        <v>154959800</v>
      </c>
      <c r="G18" s="1599">
        <f>'2017 가결산 MC'!B23</f>
        <v>168817990</v>
      </c>
      <c r="H18" s="1603">
        <f t="shared" si="3"/>
        <v>129044960.07023898</v>
      </c>
      <c r="I18" s="109">
        <f t="shared" si="0"/>
        <v>149501024.49936527</v>
      </c>
      <c r="J18" s="109">
        <f t="shared" si="1"/>
        <v>150981015.21169251</v>
      </c>
      <c r="K18" s="1604">
        <f t="shared" si="2"/>
        <v>169718456.83137891</v>
      </c>
      <c r="L18" s="113"/>
      <c r="M18" s="113"/>
      <c r="N18" s="109"/>
    </row>
    <row r="19" spans="2:14" ht="13.5" customHeight="1" x14ac:dyDescent="0.3">
      <c r="B19" s="72" t="s">
        <v>462</v>
      </c>
      <c r="C19" s="662" t="s">
        <v>665</v>
      </c>
      <c r="D19" s="511">
        <v>519842643</v>
      </c>
      <c r="E19" s="511">
        <v>514541151</v>
      </c>
      <c r="F19" s="512">
        <v>520708142</v>
      </c>
      <c r="G19" s="1599">
        <f>'2017 가결산 MC'!B24</f>
        <v>629698435</v>
      </c>
      <c r="H19" s="1603">
        <f t="shared" si="3"/>
        <v>511122213.17621917</v>
      </c>
      <c r="I19" s="109">
        <f t="shared" si="0"/>
        <v>514141892.46245748</v>
      </c>
      <c r="J19" s="109">
        <f t="shared" si="1"/>
        <v>507338315.53831476</v>
      </c>
      <c r="K19" s="1604">
        <f t="shared" si="2"/>
        <v>633057215.39116991</v>
      </c>
      <c r="L19" s="113"/>
      <c r="M19" s="113"/>
      <c r="N19" s="109"/>
    </row>
    <row r="20" spans="2:14" ht="13.5" customHeight="1" x14ac:dyDescent="0.3">
      <c r="B20" s="549" t="s">
        <v>461</v>
      </c>
      <c r="C20" s="662" t="s">
        <v>666</v>
      </c>
      <c r="D20" s="511">
        <v>94522100</v>
      </c>
      <c r="E20" s="511">
        <v>136790500</v>
      </c>
      <c r="F20" s="512">
        <v>114095700</v>
      </c>
      <c r="G20" s="1599">
        <f>'2017 가결산 MC'!B25</f>
        <v>89058000</v>
      </c>
      <c r="H20" s="1603">
        <f t="shared" si="3"/>
        <v>92936479.137714565</v>
      </c>
      <c r="I20" s="109">
        <f t="shared" si="0"/>
        <v>136684357.32341608</v>
      </c>
      <c r="J20" s="109">
        <f t="shared" si="1"/>
        <v>111166151.59085587</v>
      </c>
      <c r="K20" s="1604">
        <f t="shared" si="2"/>
        <v>89533030.979038104</v>
      </c>
      <c r="L20" s="113"/>
      <c r="M20" s="113"/>
      <c r="N20" s="109"/>
    </row>
    <row r="21" spans="2:14" ht="13.5" customHeight="1" x14ac:dyDescent="0.3">
      <c r="B21" s="549" t="s">
        <v>461</v>
      </c>
      <c r="C21" s="662" t="s">
        <v>667</v>
      </c>
      <c r="D21" s="511">
        <v>88510991</v>
      </c>
      <c r="E21" s="511">
        <v>125223624</v>
      </c>
      <c r="F21" s="512">
        <v>104368280</v>
      </c>
      <c r="G21" s="1599">
        <f>'2017 가결산 MC'!B26</f>
        <v>93667365</v>
      </c>
      <c r="H21" s="1603">
        <f t="shared" si="3"/>
        <v>87026207.294695556</v>
      </c>
      <c r="I21" s="109">
        <f t="shared" si="0"/>
        <v>125126456.64829868</v>
      </c>
      <c r="J21" s="109">
        <f t="shared" si="1"/>
        <v>101688495.14711677</v>
      </c>
      <c r="K21" s="1604">
        <f t="shared" si="2"/>
        <v>94166982.104582056</v>
      </c>
      <c r="L21" s="113"/>
      <c r="M21" s="113"/>
      <c r="N21" s="109"/>
    </row>
    <row r="22" spans="2:14" ht="13.5" customHeight="1" x14ac:dyDescent="0.3">
      <c r="B22" s="549" t="s">
        <v>461</v>
      </c>
      <c r="C22" s="662" t="s">
        <v>668</v>
      </c>
      <c r="D22" s="511">
        <v>107486397</v>
      </c>
      <c r="E22" s="511">
        <v>163345006</v>
      </c>
      <c r="F22" s="512">
        <v>176768492</v>
      </c>
      <c r="G22" s="1599">
        <f>'2017 가결산 MC'!B27</f>
        <v>162496309</v>
      </c>
      <c r="H22" s="1603">
        <f t="shared" si="3"/>
        <v>105683298.32259975</v>
      </c>
      <c r="I22" s="109">
        <f t="shared" si="0"/>
        <v>163218258.33738121</v>
      </c>
      <c r="J22" s="109">
        <f t="shared" si="1"/>
        <v>172229742.03374001</v>
      </c>
      <c r="K22" s="1604">
        <f t="shared" si="2"/>
        <v>163363056.29675433</v>
      </c>
      <c r="L22" s="113"/>
      <c r="M22" s="113"/>
      <c r="N22" s="109"/>
    </row>
    <row r="23" spans="2:14" ht="13.5" customHeight="1" x14ac:dyDescent="0.3">
      <c r="B23" s="549" t="s">
        <v>461</v>
      </c>
      <c r="C23" s="662" t="s">
        <v>669</v>
      </c>
      <c r="D23" s="511">
        <v>9676234</v>
      </c>
      <c r="E23" s="511">
        <v>2948700</v>
      </c>
      <c r="F23" s="512">
        <v>3180000</v>
      </c>
      <c r="G23" s="1599">
        <f>'2017 가결산 MC'!B28</f>
        <v>6420320</v>
      </c>
      <c r="H23" s="1603">
        <f t="shared" si="3"/>
        <v>9513913.8812261298</v>
      </c>
      <c r="I23" s="109">
        <f t="shared" si="0"/>
        <v>2946411.9543356961</v>
      </c>
      <c r="J23" s="109">
        <f t="shared" si="1"/>
        <v>3098349.5614551785</v>
      </c>
      <c r="K23" s="1604">
        <f t="shared" si="2"/>
        <v>6454565.6701850239</v>
      </c>
      <c r="L23" s="113"/>
      <c r="M23" s="113"/>
      <c r="N23" s="109"/>
    </row>
    <row r="24" spans="2:14" ht="13.5" customHeight="1" x14ac:dyDescent="0.3">
      <c r="B24" s="551" t="s">
        <v>464</v>
      </c>
      <c r="C24" s="662" t="s">
        <v>670</v>
      </c>
      <c r="D24" s="511">
        <v>1371395717</v>
      </c>
      <c r="E24" s="511">
        <v>2665613702</v>
      </c>
      <c r="F24" s="512">
        <v>1852010860</v>
      </c>
      <c r="G24" s="1599">
        <f>'2017 가결산 MC'!B29</f>
        <v>2625405380</v>
      </c>
      <c r="H24" s="1603">
        <f t="shared" si="3"/>
        <v>1348390370.5326226</v>
      </c>
      <c r="I24" s="109">
        <f t="shared" si="0"/>
        <v>2663545317.3309693</v>
      </c>
      <c r="J24" s="109">
        <f t="shared" si="1"/>
        <v>1804458187.3871787</v>
      </c>
      <c r="K24" s="1604">
        <f t="shared" si="2"/>
        <v>2639409162.7936096</v>
      </c>
      <c r="L24" s="113"/>
      <c r="M24" s="113"/>
      <c r="N24" s="109"/>
    </row>
    <row r="25" spans="2:14" ht="13.5" customHeight="1" x14ac:dyDescent="0.3">
      <c r="B25" s="551" t="s">
        <v>464</v>
      </c>
      <c r="C25" s="662" t="s">
        <v>671</v>
      </c>
      <c r="D25" s="511">
        <v>44881616</v>
      </c>
      <c r="E25" s="511">
        <v>57223595</v>
      </c>
      <c r="F25" s="512">
        <v>55251383</v>
      </c>
      <c r="G25" s="1599">
        <f>'2017 가결산 MC'!B30</f>
        <v>62267990</v>
      </c>
      <c r="H25" s="1603">
        <f t="shared" si="3"/>
        <v>44128720.892266639</v>
      </c>
      <c r="I25" s="109">
        <f t="shared" si="0"/>
        <v>57179192.314601131</v>
      </c>
      <c r="J25" s="109">
        <f t="shared" si="1"/>
        <v>53832735.310642175</v>
      </c>
      <c r="K25" s="1604">
        <f t="shared" si="2"/>
        <v>62600124.387168296</v>
      </c>
      <c r="L25" s="113"/>
      <c r="M25" s="113"/>
      <c r="N25" s="109"/>
    </row>
    <row r="26" spans="2:14" ht="13.5" customHeight="1" x14ac:dyDescent="0.3">
      <c r="B26" s="549" t="s">
        <v>461</v>
      </c>
      <c r="C26" s="662" t="s">
        <v>672</v>
      </c>
      <c r="D26" s="511">
        <v>2313000</v>
      </c>
      <c r="E26" s="511">
        <v>4408192</v>
      </c>
      <c r="F26" s="512">
        <v>1400000</v>
      </c>
      <c r="G26" s="1599">
        <f>'2017 가결산 MC'!B31</f>
        <v>4306500</v>
      </c>
      <c r="H26" s="1603">
        <f t="shared" si="3"/>
        <v>2274199.1158208908</v>
      </c>
      <c r="I26" s="109">
        <f t="shared" si="0"/>
        <v>4404771.4605782144</v>
      </c>
      <c r="J26" s="109">
        <f t="shared" si="1"/>
        <v>1364053.2660494498</v>
      </c>
      <c r="K26" s="1604">
        <f t="shared" si="2"/>
        <v>4329470.6585733742</v>
      </c>
      <c r="L26" s="113"/>
      <c r="M26" s="113"/>
      <c r="N26" s="109"/>
    </row>
    <row r="27" spans="2:14" ht="13.5" customHeight="1" x14ac:dyDescent="0.3">
      <c r="B27" s="549" t="s">
        <v>461</v>
      </c>
      <c r="C27" s="662" t="s">
        <v>673</v>
      </c>
      <c r="D27" s="511">
        <v>1031300</v>
      </c>
      <c r="E27" s="511">
        <v>453800</v>
      </c>
      <c r="F27" s="512">
        <v>3887361</v>
      </c>
      <c r="G27" s="1599">
        <f>'2017 가결산 MC'!B32</f>
        <v>1710954</v>
      </c>
      <c r="H27" s="1603">
        <f t="shared" si="3"/>
        <v>1013999.8046459509</v>
      </c>
      <c r="I27" s="109">
        <f t="shared" si="0"/>
        <v>453447.87359770027</v>
      </c>
      <c r="J27" s="109">
        <f t="shared" si="1"/>
        <v>3787548.1916880393</v>
      </c>
      <c r="K27" s="1604">
        <f t="shared" si="2"/>
        <v>1720080.1442398115</v>
      </c>
      <c r="L27" s="113"/>
      <c r="M27" s="113"/>
      <c r="N27" s="109"/>
    </row>
    <row r="28" spans="2:14" ht="13.5" customHeight="1" x14ac:dyDescent="0.3">
      <c r="B28" s="551" t="s">
        <v>464</v>
      </c>
      <c r="C28" s="662" t="s">
        <v>674</v>
      </c>
      <c r="D28" s="511">
        <v>27142153</v>
      </c>
      <c r="E28" s="511">
        <v>27657074</v>
      </c>
      <c r="F28" s="512">
        <v>21131998</v>
      </c>
      <c r="G28" s="1599">
        <f>'2017 가결산 MC'!B33</f>
        <v>15800850</v>
      </c>
      <c r="H28" s="1603">
        <f t="shared" si="3"/>
        <v>26686839.755328719</v>
      </c>
      <c r="I28" s="109">
        <f t="shared" si="0"/>
        <v>27635613.475615345</v>
      </c>
      <c r="J28" s="109">
        <f t="shared" si="1"/>
        <v>20589407.778607454</v>
      </c>
      <c r="K28" s="1604">
        <f t="shared" si="2"/>
        <v>15885130.954491837</v>
      </c>
      <c r="L28" s="113"/>
      <c r="M28" s="113"/>
      <c r="N28" s="109"/>
    </row>
    <row r="29" spans="2:14" ht="13.5" customHeight="1" x14ac:dyDescent="0.3">
      <c r="B29" s="549" t="s">
        <v>461</v>
      </c>
      <c r="C29" s="662" t="s">
        <v>675</v>
      </c>
      <c r="D29" s="511">
        <v>4365623</v>
      </c>
      <c r="E29" s="511">
        <v>5812224</v>
      </c>
      <c r="F29" s="512">
        <v>3548178</v>
      </c>
      <c r="G29" s="1599">
        <f>'2017 가결산 MC'!B34</f>
        <v>3890851</v>
      </c>
      <c r="H29" s="1603">
        <f t="shared" si="3"/>
        <v>4292389.0906214193</v>
      </c>
      <c r="I29" s="109">
        <f t="shared" si="0"/>
        <v>5807714.0010434538</v>
      </c>
      <c r="J29" s="109">
        <f t="shared" si="1"/>
        <v>3457074.1353034317</v>
      </c>
      <c r="K29" s="1604">
        <f t="shared" si="2"/>
        <v>3911604.6073100828</v>
      </c>
      <c r="L29" s="113"/>
      <c r="M29" s="113"/>
      <c r="N29" s="109"/>
    </row>
    <row r="30" spans="2:14" ht="13.5" customHeight="1" x14ac:dyDescent="0.3">
      <c r="B30" s="549" t="s">
        <v>461</v>
      </c>
      <c r="C30" s="662" t="s">
        <v>676</v>
      </c>
      <c r="D30" s="511">
        <v>312464756</v>
      </c>
      <c r="E30" s="511">
        <v>329480311</v>
      </c>
      <c r="F30" s="512">
        <v>538776529</v>
      </c>
      <c r="G30" s="1599">
        <f>'2017 가결산 MC'!B35</f>
        <v>366499517</v>
      </c>
      <c r="H30" s="1603">
        <f t="shared" si="3"/>
        <v>307223117.95088208</v>
      </c>
      <c r="I30" s="109">
        <f t="shared" si="0"/>
        <v>329224650.54045606</v>
      </c>
      <c r="J30" s="109">
        <f t="shared" si="1"/>
        <v>524942774.32374007</v>
      </c>
      <c r="K30" s="1604">
        <f t="shared" si="2"/>
        <v>368454407.34536481</v>
      </c>
      <c r="L30" s="113"/>
      <c r="M30" s="113"/>
      <c r="N30" s="109"/>
    </row>
    <row r="31" spans="2:14" ht="13.5" customHeight="1" x14ac:dyDescent="0.3">
      <c r="B31" s="551" t="s">
        <v>464</v>
      </c>
      <c r="C31" s="662" t="s">
        <v>677</v>
      </c>
      <c r="D31" s="511">
        <v>132684453</v>
      </c>
      <c r="E31" s="511">
        <v>164746883</v>
      </c>
      <c r="F31" s="512">
        <v>234287650</v>
      </c>
      <c r="G31" s="1599">
        <f>'2017 가결산 MC'!B36</f>
        <v>213235767</v>
      </c>
      <c r="H31" s="1603">
        <f t="shared" si="3"/>
        <v>130458653.56497125</v>
      </c>
      <c r="I31" s="109">
        <f t="shared" si="0"/>
        <v>164619047.5500201</v>
      </c>
      <c r="J31" s="109">
        <f t="shared" si="1"/>
        <v>228272024.41253597</v>
      </c>
      <c r="K31" s="1604">
        <f t="shared" si="2"/>
        <v>214373156.06290224</v>
      </c>
      <c r="L31" s="113"/>
      <c r="M31" s="113"/>
      <c r="N31" s="109"/>
    </row>
    <row r="32" spans="2:14" ht="13.5" customHeight="1" x14ac:dyDescent="0.3">
      <c r="B32" s="551" t="s">
        <v>464</v>
      </c>
      <c r="C32" s="662" t="s">
        <v>678</v>
      </c>
      <c r="D32" s="511">
        <v>398821235</v>
      </c>
      <c r="E32" s="511">
        <v>1430892145</v>
      </c>
      <c r="F32" s="512">
        <v>3623062638</v>
      </c>
      <c r="G32" s="1599">
        <f>'2017 가결산 MC'!B37</f>
        <v>4614012270</v>
      </c>
      <c r="H32" s="1603">
        <f t="shared" si="3"/>
        <v>392130955.47237164</v>
      </c>
      <c r="I32" s="109">
        <f t="shared" si="0"/>
        <v>1429781843.3184268</v>
      </c>
      <c r="J32" s="109">
        <f t="shared" si="1"/>
        <v>3530036017.4754534</v>
      </c>
      <c r="K32" s="1604">
        <f t="shared" si="2"/>
        <v>4638623183.8529034</v>
      </c>
      <c r="L32" s="113"/>
      <c r="M32" s="113"/>
      <c r="N32" s="109"/>
    </row>
    <row r="33" spans="2:14" ht="13.5" customHeight="1" x14ac:dyDescent="0.3">
      <c r="B33" s="551" t="s">
        <v>464</v>
      </c>
      <c r="C33" s="662" t="s">
        <v>679</v>
      </c>
      <c r="D33" s="511">
        <v>240000</v>
      </c>
      <c r="E33" s="511">
        <v>2000000</v>
      </c>
      <c r="F33" s="512">
        <v>120000</v>
      </c>
      <c r="G33" s="1599">
        <f>'2017 가결산 MC'!B38</f>
        <v>3548000</v>
      </c>
      <c r="H33" s="1603">
        <f t="shared" si="3"/>
        <v>235973.96791915852</v>
      </c>
      <c r="I33" s="109">
        <f t="shared" si="0"/>
        <v>1998448.0987117684</v>
      </c>
      <c r="J33" s="109">
        <f t="shared" si="1"/>
        <v>116918.85137566712</v>
      </c>
      <c r="K33" s="1604">
        <f t="shared" si="2"/>
        <v>3566924.8569878861</v>
      </c>
      <c r="L33" s="113"/>
      <c r="M33" s="113"/>
      <c r="N33" s="109"/>
    </row>
    <row r="34" spans="2:14" ht="13.5" customHeight="1" x14ac:dyDescent="0.3">
      <c r="B34" s="549" t="s">
        <v>461</v>
      </c>
      <c r="C34" s="662" t="s">
        <v>680</v>
      </c>
      <c r="D34" s="511">
        <v>67528918</v>
      </c>
      <c r="E34" s="511">
        <v>93006708</v>
      </c>
      <c r="F34" s="512">
        <v>95066478</v>
      </c>
      <c r="G34" s="1599">
        <f>'2017 가결산 MC'!B39</f>
        <v>131571153</v>
      </c>
      <c r="H34" s="1603">
        <f t="shared" si="3"/>
        <v>66396111.373947866</v>
      </c>
      <c r="I34" s="109">
        <f t="shared" si="0"/>
        <v>92934539.385020316</v>
      </c>
      <c r="J34" s="109">
        <f t="shared" si="1"/>
        <v>92625528.434084401</v>
      </c>
      <c r="K34" s="1604">
        <f t="shared" si="2"/>
        <v>132272947.04009476</v>
      </c>
      <c r="L34" s="113"/>
      <c r="M34" s="113"/>
      <c r="N34" s="109"/>
    </row>
    <row r="35" spans="2:14" ht="13.5" customHeight="1" x14ac:dyDescent="0.3">
      <c r="B35" s="551" t="s">
        <v>464</v>
      </c>
      <c r="C35" s="662" t="s">
        <v>681</v>
      </c>
      <c r="D35" s="511">
        <v>8800000</v>
      </c>
      <c r="E35" s="511">
        <v>163250000</v>
      </c>
      <c r="F35" s="512">
        <v>458410000</v>
      </c>
      <c r="G35" s="1599">
        <f>'2017 가결산 MC'!B40</f>
        <v>55400000</v>
      </c>
      <c r="H35" s="1603">
        <f t="shared" si="3"/>
        <v>8652378.8237024806</v>
      </c>
      <c r="I35" s="109">
        <f t="shared" si="0"/>
        <v>163123326.0573481</v>
      </c>
      <c r="J35" s="109">
        <f t="shared" si="1"/>
        <v>446639755.49266303</v>
      </c>
      <c r="K35" s="1604">
        <f t="shared" si="2"/>
        <v>55695500.867285483</v>
      </c>
      <c r="L35" s="113"/>
      <c r="M35" s="113"/>
      <c r="N35" s="109"/>
    </row>
    <row r="36" spans="2:14" ht="13.5" customHeight="1" x14ac:dyDescent="0.3">
      <c r="B36" s="549" t="s">
        <v>461</v>
      </c>
      <c r="C36" s="662" t="s">
        <v>682</v>
      </c>
      <c r="D36" s="511">
        <v>5344562</v>
      </c>
      <c r="E36" s="511">
        <v>5347089</v>
      </c>
      <c r="F36" s="512">
        <v>3554671</v>
      </c>
      <c r="G36" s="1599">
        <f>'2017 가결산 MC'!B41</f>
        <v>7626238</v>
      </c>
      <c r="H36" s="1603">
        <f t="shared" si="3"/>
        <v>5254906.258041474</v>
      </c>
      <c r="I36" s="109">
        <f t="shared" si="0"/>
        <v>5342939.9228463052</v>
      </c>
      <c r="J36" s="109">
        <f t="shared" si="1"/>
        <v>3463400.4194866167</v>
      </c>
      <c r="K36" s="1604">
        <f t="shared" si="2"/>
        <v>7666915.9773127344</v>
      </c>
      <c r="L36" s="113"/>
      <c r="M36" s="113"/>
      <c r="N36" s="109"/>
    </row>
    <row r="37" spans="2:14" ht="13.5" customHeight="1" x14ac:dyDescent="0.3">
      <c r="C37" s="662" t="s">
        <v>683</v>
      </c>
      <c r="D37" s="514">
        <v>29590945906</v>
      </c>
      <c r="E37" s="514">
        <v>42697348409</v>
      </c>
      <c r="F37" s="515">
        <v>61475167275</v>
      </c>
      <c r="G37" s="1598">
        <f>'2017 가결산 MC'!C42</f>
        <v>65901658367</v>
      </c>
      <c r="H37" s="1605">
        <f>SUM(H15:H36,H10:H13,H5)</f>
        <v>29094553833</v>
      </c>
      <c r="I37" s="1606">
        <f t="shared" ref="I37:K37" si="4">SUM(I15:I36,I10:I13,I5)</f>
        <v>42664217374</v>
      </c>
      <c r="J37" s="1606">
        <f t="shared" si="4"/>
        <v>59896716216</v>
      </c>
      <c r="K37" s="1607">
        <f t="shared" si="4"/>
        <v>66253174562</v>
      </c>
      <c r="L37" s="113"/>
      <c r="M37" s="113"/>
      <c r="N37" s="109"/>
    </row>
    <row r="38" spans="2:14" ht="13.5" customHeight="1" x14ac:dyDescent="0.3">
      <c r="C38" s="662" t="s">
        <v>684</v>
      </c>
      <c r="D38" s="509">
        <f>MC!D5/10^6</f>
        <v>22199.671657999999</v>
      </c>
      <c r="E38" s="509">
        <f>MC!E5/10^6</f>
        <v>32093.692266999999</v>
      </c>
      <c r="F38" s="509">
        <f>MC!F5/10^6</f>
        <v>48937.325684000003</v>
      </c>
      <c r="G38" s="541"/>
      <c r="H38" s="113"/>
      <c r="I38" s="113"/>
      <c r="J38" s="113"/>
      <c r="K38" s="113"/>
      <c r="L38" s="113"/>
      <c r="M38" s="113"/>
      <c r="N38" s="109"/>
    </row>
    <row r="39" spans="2:14" ht="13.5" customHeight="1" x14ac:dyDescent="0.3">
      <c r="C39" s="662" t="s">
        <v>685</v>
      </c>
      <c r="D39" s="514">
        <v>29590945906</v>
      </c>
      <c r="E39" s="514">
        <v>42697348409</v>
      </c>
      <c r="F39" s="515">
        <v>61475167275</v>
      </c>
      <c r="G39" s="541">
        <f>'2017 가결산 MC'!C44</f>
        <v>65901658367</v>
      </c>
      <c r="H39" s="113"/>
      <c r="I39" s="113"/>
      <c r="J39" s="113"/>
      <c r="K39" s="113"/>
      <c r="L39" s="113"/>
      <c r="M39" s="113"/>
      <c r="N39" s="109"/>
    </row>
    <row r="40" spans="2:14" ht="13.5" customHeight="1" x14ac:dyDescent="0.3">
      <c r="C40" s="662" t="s">
        <v>686</v>
      </c>
      <c r="D40" s="509">
        <v>0</v>
      </c>
      <c r="E40" s="509">
        <v>0</v>
      </c>
      <c r="F40" s="510">
        <v>0</v>
      </c>
      <c r="G40" s="541"/>
      <c r="H40" s="113"/>
      <c r="I40" s="113"/>
      <c r="J40" s="113"/>
      <c r="K40" s="113"/>
      <c r="L40" s="113"/>
      <c r="M40" s="113"/>
      <c r="N40" s="109"/>
    </row>
    <row r="41" spans="2:14" ht="13.5" customHeight="1" x14ac:dyDescent="0.3">
      <c r="C41" s="662" t="s">
        <v>687</v>
      </c>
      <c r="D41" s="509">
        <v>0</v>
      </c>
      <c r="E41" s="509">
        <v>0</v>
      </c>
      <c r="F41" s="510">
        <v>0</v>
      </c>
      <c r="G41" s="541"/>
      <c r="H41" s="113"/>
      <c r="I41" s="113"/>
      <c r="J41" s="113"/>
      <c r="K41" s="113"/>
      <c r="L41" s="113"/>
      <c r="M41" s="113"/>
      <c r="N41" s="109"/>
    </row>
    <row r="42" spans="2:14" ht="13.5" customHeight="1" x14ac:dyDescent="0.3">
      <c r="D42" s="113">
        <v>29094553833</v>
      </c>
      <c r="E42" s="113">
        <v>42664217374</v>
      </c>
      <c r="F42" s="113">
        <v>59896716216</v>
      </c>
      <c r="G42" s="113">
        <f>IS!G8</f>
        <v>66253174562</v>
      </c>
      <c r="H42" s="113"/>
      <c r="I42" s="113"/>
      <c r="J42" s="113"/>
      <c r="K42" s="113"/>
      <c r="L42" s="113"/>
      <c r="M42" s="113"/>
      <c r="N42" s="109"/>
    </row>
    <row r="43" spans="2:14" ht="13.5" customHeight="1" x14ac:dyDescent="0.3">
      <c r="C43" s="159" t="s">
        <v>3268</v>
      </c>
      <c r="D43" s="1524">
        <f>D5/D$39</f>
        <v>0.75021838533044971</v>
      </c>
      <c r="E43" s="1524">
        <f>E5/E$39</f>
        <v>0.75165539460607589</v>
      </c>
      <c r="F43" s="1524">
        <f>F5/F$39</f>
        <v>0.79605030540358135</v>
      </c>
      <c r="G43" s="1524">
        <f>G5/G$39</f>
        <v>0.78180307409076522</v>
      </c>
      <c r="H43" s="113"/>
      <c r="I43" s="113"/>
      <c r="J43" s="113"/>
      <c r="K43" s="113"/>
      <c r="L43" s="113"/>
      <c r="M43" s="113"/>
      <c r="N43" s="109"/>
    </row>
    <row r="44" spans="2:14" ht="13.5" customHeight="1" x14ac:dyDescent="0.3">
      <c r="C44" s="159" t="s">
        <v>3269</v>
      </c>
      <c r="D44" s="1524">
        <f>(D9+D15)/D$39</f>
        <v>0.12905030698007183</v>
      </c>
      <c r="E44" s="1524">
        <f t="shared" ref="E44:G44" si="5">(E9+E15)/E$39</f>
        <v>0.10058679904100834</v>
      </c>
      <c r="F44" s="1524">
        <f t="shared" si="5"/>
        <v>7.0584848018211438E-2</v>
      </c>
      <c r="G44" s="1524">
        <f t="shared" si="5"/>
        <v>7.3556884213817855E-2</v>
      </c>
      <c r="H44" s="113"/>
      <c r="I44" s="113"/>
      <c r="J44" s="113"/>
      <c r="K44" s="113"/>
      <c r="L44" s="113"/>
      <c r="M44" s="113"/>
      <c r="N44" s="109"/>
    </row>
    <row r="45" spans="2:14" ht="13.5" customHeight="1" x14ac:dyDescent="0.3">
      <c r="C45" s="159" t="s">
        <v>3270</v>
      </c>
      <c r="D45" s="1524">
        <f>(D14-D15)/D$39</f>
        <v>0.1207313076894785</v>
      </c>
      <c r="E45" s="1524">
        <f t="shared" ref="E45:G45" si="6">(E14-E15)/E$39</f>
        <v>0.1477578063529158</v>
      </c>
      <c r="F45" s="1524">
        <f t="shared" si="6"/>
        <v>0.13336484657820721</v>
      </c>
      <c r="G45" s="1524">
        <f t="shared" si="6"/>
        <v>0.14464004169541689</v>
      </c>
      <c r="H45" s="113"/>
      <c r="I45" s="113"/>
      <c r="J45" s="113"/>
      <c r="K45" s="113"/>
      <c r="L45" s="113"/>
      <c r="M45" s="113"/>
      <c r="N45" s="109"/>
    </row>
    <row r="46" spans="2:14" ht="13.5" customHeight="1" x14ac:dyDescent="0.3">
      <c r="C46" s="159" t="s">
        <v>3271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09"/>
    </row>
    <row r="47" spans="2:14" ht="13.5" customHeight="1" x14ac:dyDescent="0.3">
      <c r="C47" s="159" t="s">
        <v>3268</v>
      </c>
      <c r="D47" s="113">
        <f>D$42*D43</f>
        <v>21827269198.503105</v>
      </c>
      <c r="E47" s="113">
        <f t="shared" ref="E47:G47" si="7">E$42*E43</f>
        <v>32068789145.81337</v>
      </c>
      <c r="F47" s="113">
        <f t="shared" si="7"/>
        <v>47680799236.418442</v>
      </c>
      <c r="G47" s="113">
        <f t="shared" si="7"/>
        <v>51796935540.843689</v>
      </c>
      <c r="H47" s="113"/>
      <c r="I47" s="113"/>
      <c r="J47" s="113"/>
      <c r="K47" s="113"/>
      <c r="L47" s="113"/>
      <c r="M47" s="113"/>
      <c r="N47" s="109"/>
    </row>
    <row r="48" spans="2:14" ht="13.5" customHeight="1" x14ac:dyDescent="0.3">
      <c r="C48" s="159" t="s">
        <v>3269</v>
      </c>
      <c r="D48" s="113">
        <f t="shared" ref="D48:G49" si="8">D$42*D44</f>
        <v>3754661103.5968757</v>
      </c>
      <c r="E48" s="113">
        <f t="shared" si="8"/>
        <v>4291457059.2404346</v>
      </c>
      <c r="F48" s="113">
        <f t="shared" si="8"/>
        <v>4227800610.8963003</v>
      </c>
      <c r="G48" s="113">
        <f t="shared" si="8"/>
        <v>4873377090.0548964</v>
      </c>
      <c r="H48" s="113"/>
      <c r="I48" s="113"/>
      <c r="J48" s="113"/>
      <c r="K48" s="113"/>
      <c r="L48" s="113"/>
      <c r="M48" s="113"/>
      <c r="N48" s="109"/>
    </row>
    <row r="49" spans="3:14" ht="13.5" customHeight="1" x14ac:dyDescent="0.3">
      <c r="C49" s="159" t="s">
        <v>3270</v>
      </c>
      <c r="D49" s="113">
        <f>D$42*D45</f>
        <v>3512623530.9000192</v>
      </c>
      <c r="E49" s="113">
        <f t="shared" si="8"/>
        <v>6303971168.9461975</v>
      </c>
      <c r="F49" s="113">
        <f t="shared" si="8"/>
        <v>7988116368.685256</v>
      </c>
      <c r="G49" s="113">
        <f t="shared" si="8"/>
        <v>9582861931.1014137</v>
      </c>
      <c r="H49" s="113"/>
      <c r="I49" s="113"/>
      <c r="J49" s="113"/>
      <c r="K49" s="113"/>
      <c r="L49" s="113"/>
      <c r="M49" s="113"/>
      <c r="N49" s="109"/>
    </row>
    <row r="50" spans="3:14" ht="13.5" customHeight="1" x14ac:dyDescent="0.3">
      <c r="D50" s="113">
        <f>SUM(D47:D49)-D42</f>
        <v>0</v>
      </c>
      <c r="E50" s="113">
        <f t="shared" ref="E50:G50" si="9">SUM(E47:E49)-E42</f>
        <v>0</v>
      </c>
      <c r="F50" s="113">
        <f t="shared" si="9"/>
        <v>0</v>
      </c>
      <c r="G50" s="113">
        <f t="shared" si="9"/>
        <v>0</v>
      </c>
      <c r="H50" s="113"/>
      <c r="I50" s="113"/>
      <c r="J50" s="113"/>
      <c r="K50" s="113"/>
      <c r="L50" s="113"/>
      <c r="M50" s="113"/>
      <c r="N50" s="109"/>
    </row>
    <row r="51" spans="3:14" ht="13.5" customHeight="1" x14ac:dyDescent="0.3">
      <c r="C51" s="159" t="s">
        <v>3272</v>
      </c>
      <c r="D51" s="113">
        <f>D49*D58</f>
        <v>1950683893.0091827</v>
      </c>
      <c r="E51" s="113">
        <f t="shared" ref="E51:G51" si="10">E49*E58</f>
        <v>4507882788.1456919</v>
      </c>
      <c r="F51" s="113">
        <f t="shared" si="10"/>
        <v>6083945046.708457</v>
      </c>
      <c r="G51" s="113">
        <f t="shared" si="10"/>
        <v>7630153183.7753487</v>
      </c>
      <c r="H51" s="113"/>
      <c r="I51" s="113"/>
      <c r="J51" s="113"/>
      <c r="K51" s="113"/>
      <c r="L51" s="113"/>
      <c r="M51" s="113"/>
      <c r="N51" s="109"/>
    </row>
    <row r="52" spans="3:14" ht="13.5" customHeight="1" x14ac:dyDescent="0.3">
      <c r="C52" s="159" t="s">
        <v>3273</v>
      </c>
      <c r="D52" s="113">
        <f>D49*D60</f>
        <v>1050817424.7146174</v>
      </c>
      <c r="E52" s="113">
        <f t="shared" ref="E52:G52" si="11">E49*E60</f>
        <v>1281946488.3380482</v>
      </c>
      <c r="F52" s="113">
        <f t="shared" si="11"/>
        <v>1396833006.4384849</v>
      </c>
      <c r="G52" s="113">
        <f t="shared" si="11"/>
        <v>1319651531.9348955</v>
      </c>
      <c r="H52" s="113"/>
      <c r="I52" s="113"/>
      <c r="J52" s="113"/>
      <c r="K52" s="113"/>
      <c r="L52" s="113"/>
      <c r="M52" s="113"/>
      <c r="N52" s="109"/>
    </row>
    <row r="53" spans="3:14" ht="13.5" customHeight="1" x14ac:dyDescent="0.3">
      <c r="C53" s="159" t="s">
        <v>462</v>
      </c>
      <c r="D53" s="113">
        <f>D49*D62</f>
        <v>511122213.17621917</v>
      </c>
      <c r="E53" s="113">
        <f t="shared" ref="E53:G53" si="12">E49*E62</f>
        <v>514141892.46245742</v>
      </c>
      <c r="F53" s="113">
        <f t="shared" si="12"/>
        <v>507338315.5383147</v>
      </c>
      <c r="G53" s="113">
        <f t="shared" si="12"/>
        <v>633057215.39116991</v>
      </c>
      <c r="H53" s="113"/>
      <c r="I53" s="113"/>
      <c r="J53" s="113"/>
      <c r="K53" s="113"/>
      <c r="L53" s="113"/>
      <c r="M53" s="113"/>
      <c r="N53" s="109"/>
    </row>
    <row r="54" spans="3:14" ht="13.5" customHeight="1" x14ac:dyDescent="0.3">
      <c r="D54" s="1525">
        <f>SUM(D51:D53)</f>
        <v>3512623530.9000192</v>
      </c>
      <c r="E54" s="1525">
        <f t="shared" ref="E54:G54" si="13">SUM(E51:E53)</f>
        <v>6303971168.9461975</v>
      </c>
      <c r="F54" s="1525">
        <f t="shared" si="13"/>
        <v>7988116368.685257</v>
      </c>
      <c r="G54" s="1525">
        <f t="shared" si="13"/>
        <v>9582861931.1014137</v>
      </c>
      <c r="H54" s="113"/>
      <c r="I54" s="113"/>
      <c r="J54" s="113"/>
      <c r="K54" s="113"/>
      <c r="L54" s="113"/>
      <c r="M54" s="113"/>
      <c r="N54" s="109"/>
    </row>
    <row r="55" spans="3:14" ht="13.5" customHeight="1" x14ac:dyDescent="0.3">
      <c r="D55" s="1714">
        <f>D47/IS!D5</f>
        <v>0.52662178735648835</v>
      </c>
      <c r="E55" s="1714">
        <f>E47/IS!E5</f>
        <v>0.51751610880712684</v>
      </c>
      <c r="F55" s="1714">
        <f>F47/IS!F5</f>
        <v>0.58512497730181512</v>
      </c>
      <c r="G55" s="1714">
        <f>G47/IS!G5</f>
        <v>0.56097380033807109</v>
      </c>
      <c r="H55" s="113"/>
      <c r="I55" s="113"/>
      <c r="J55" s="113"/>
      <c r="K55" s="113"/>
      <c r="L55" s="113"/>
      <c r="M55" s="113"/>
      <c r="N55" s="109"/>
    </row>
    <row r="56" spans="3:14" ht="13.5" customHeight="1" x14ac:dyDescent="0.3"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09"/>
    </row>
    <row r="57" spans="3:14" ht="13.5" customHeight="1" x14ac:dyDescent="0.3">
      <c r="C57" s="1526" t="s">
        <v>3272</v>
      </c>
      <c r="D57" s="113">
        <f>SUMIF($B$15:$B$36,$C$57,D15:D36)</f>
        <v>1983965174</v>
      </c>
      <c r="E57" s="113">
        <f t="shared" ref="E57:G57" si="14">SUMIF($B$15:$B$36,$C$57,E15:E36)</f>
        <v>4511383399</v>
      </c>
      <c r="F57" s="113">
        <f t="shared" si="14"/>
        <v>6244274529</v>
      </c>
      <c r="G57" s="113">
        <f t="shared" si="14"/>
        <v>7589670257</v>
      </c>
      <c r="H57" s="113"/>
      <c r="I57" s="113"/>
      <c r="J57" s="113"/>
      <c r="K57" s="113"/>
      <c r="L57" s="113"/>
      <c r="M57" s="113"/>
      <c r="N57" s="109"/>
    </row>
    <row r="58" spans="3:14" ht="13.5" customHeight="1" x14ac:dyDescent="0.3">
      <c r="C58" s="1527" t="s">
        <v>3274</v>
      </c>
      <c r="D58" s="1298">
        <f>D57/(D$14-D$15)</f>
        <v>0.55533531443074124</v>
      </c>
      <c r="E58" s="1298">
        <f t="shared" ref="E58:G58" si="15">E57/(E$14-E$15)</f>
        <v>0.71508620000545653</v>
      </c>
      <c r="F58" s="1298">
        <f t="shared" si="15"/>
        <v>0.76162448891687817</v>
      </c>
      <c r="G58" s="1298">
        <f t="shared" si="15"/>
        <v>0.79622906378432723</v>
      </c>
      <c r="H58" s="113"/>
      <c r="I58" s="113"/>
      <c r="J58" s="113"/>
      <c r="K58" s="113"/>
      <c r="L58" s="113"/>
      <c r="M58" s="113"/>
      <c r="N58" s="109"/>
    </row>
    <row r="59" spans="3:14" ht="13.5" customHeight="1" x14ac:dyDescent="0.3">
      <c r="C59" s="1526" t="s">
        <v>3273</v>
      </c>
      <c r="D59" s="113">
        <f>SUMIF($B$15:$B$36,$C$59,D15:D36)</f>
        <v>1068745778</v>
      </c>
      <c r="E59" s="113">
        <f t="shared" ref="E59:G59" si="16">SUMIF($B$15:$B$36,$C$59,E15:E36)</f>
        <v>1282941988</v>
      </c>
      <c r="F59" s="113">
        <f t="shared" si="16"/>
        <v>1433643581</v>
      </c>
      <c r="G59" s="113">
        <f t="shared" si="16"/>
        <v>1312649922</v>
      </c>
      <c r="H59" s="113"/>
      <c r="I59" s="113"/>
      <c r="J59" s="113"/>
      <c r="K59" s="113"/>
      <c r="L59" s="113"/>
      <c r="M59" s="113"/>
      <c r="N59" s="109"/>
    </row>
    <row r="60" spans="3:14" ht="13.5" customHeight="1" x14ac:dyDescent="0.3">
      <c r="C60" s="1527" t="s">
        <v>3275</v>
      </c>
      <c r="D60" s="1298">
        <f t="shared" ref="D60:G60" si="17">D59/(D$14-D$15)</f>
        <v>0.29915458217219554</v>
      </c>
      <c r="E60" s="1298">
        <f t="shared" si="17"/>
        <v>0.20335538567387587</v>
      </c>
      <c r="F60" s="1298">
        <f t="shared" si="17"/>
        <v>0.17486387803691775</v>
      </c>
      <c r="G60" s="1298">
        <f t="shared" si="17"/>
        <v>0.13770954245431985</v>
      </c>
      <c r="H60" s="113"/>
      <c r="I60" s="113"/>
      <c r="J60" s="113"/>
      <c r="K60" s="113"/>
      <c r="L60" s="113"/>
      <c r="M60" s="113"/>
      <c r="N60" s="109"/>
    </row>
    <row r="61" spans="3:14" ht="13.5" customHeight="1" x14ac:dyDescent="0.3">
      <c r="C61" s="1526" t="s">
        <v>462</v>
      </c>
      <c r="D61" s="1528">
        <f>SUMIF($B$15:$B$36,$C$61,D15:D36)</f>
        <v>519842643</v>
      </c>
      <c r="E61" s="1528">
        <f t="shared" ref="E61:G61" si="18">SUMIF($B$15:$B$36,$C$61,E15:E36)</f>
        <v>514541151</v>
      </c>
      <c r="F61" s="1528">
        <f t="shared" si="18"/>
        <v>520708142</v>
      </c>
      <c r="G61" s="1528">
        <f t="shared" si="18"/>
        <v>629698435</v>
      </c>
      <c r="H61" s="113"/>
      <c r="I61" s="113"/>
      <c r="J61" s="113"/>
      <c r="K61" s="113"/>
      <c r="L61" s="113"/>
      <c r="M61" s="113"/>
      <c r="N61" s="109"/>
    </row>
    <row r="62" spans="3:14" ht="13.5" customHeight="1" x14ac:dyDescent="0.3">
      <c r="C62" s="1527" t="s">
        <v>3276</v>
      </c>
      <c r="D62" s="1298">
        <f t="shared" ref="D62:G62" si="19">D61/(D$14-D$15)</f>
        <v>0.14551010339706325</v>
      </c>
      <c r="E62" s="1298">
        <f t="shared" si="19"/>
        <v>8.1558414320667627E-2</v>
      </c>
      <c r="F62" s="1298">
        <f t="shared" si="19"/>
        <v>6.3511633046204136E-2</v>
      </c>
      <c r="G62" s="1298">
        <f t="shared" si="19"/>
        <v>6.6061393761352977E-2</v>
      </c>
      <c r="H62" s="113"/>
      <c r="I62" s="113"/>
      <c r="J62" s="113"/>
      <c r="K62" s="113"/>
      <c r="L62" s="113"/>
      <c r="M62" s="113"/>
      <c r="N62" s="109"/>
    </row>
    <row r="63" spans="3:14" x14ac:dyDescent="0.3">
      <c r="C63" s="1526" t="s">
        <v>601</v>
      </c>
      <c r="D63" s="113"/>
      <c r="E63" s="113"/>
      <c r="F63" s="113"/>
      <c r="G63" s="113"/>
    </row>
    <row r="101" spans="16:16" x14ac:dyDescent="0.3">
      <c r="P101" s="810"/>
    </row>
    <row r="102" spans="16:16" x14ac:dyDescent="0.3">
      <c r="P102" s="810"/>
    </row>
    <row r="103" spans="16:16" x14ac:dyDescent="0.3">
      <c r="P103" s="810"/>
    </row>
    <row r="104" spans="16:16" x14ac:dyDescent="0.3">
      <c r="P104" s="810"/>
    </row>
    <row r="105" spans="16:16" x14ac:dyDescent="0.3">
      <c r="P105" s="810"/>
    </row>
    <row r="106" spans="16:16" x14ac:dyDescent="0.3">
      <c r="P106" s="810"/>
    </row>
    <row r="107" spans="16:16" x14ac:dyDescent="0.3">
      <c r="P107" s="810"/>
    </row>
    <row r="108" spans="16:16" x14ac:dyDescent="0.3">
      <c r="P108" s="810"/>
    </row>
    <row r="109" spans="16:16" x14ac:dyDescent="0.3">
      <c r="P109" s="810"/>
    </row>
    <row r="110" spans="16:16" x14ac:dyDescent="0.3">
      <c r="P110" s="810"/>
    </row>
    <row r="111" spans="16:16" x14ac:dyDescent="0.3">
      <c r="P111" s="810"/>
    </row>
    <row r="112" spans="16:16" x14ac:dyDescent="0.3">
      <c r="P112" s="810"/>
    </row>
    <row r="113" spans="16:16" x14ac:dyDescent="0.3">
      <c r="P113" s="810"/>
    </row>
    <row r="150" spans="2:6" x14ac:dyDescent="0.3">
      <c r="B150" s="159" t="s">
        <v>2020</v>
      </c>
    </row>
    <row r="152" spans="2:6" x14ac:dyDescent="0.3">
      <c r="D152" s="159">
        <f>MC!D19/10^6</f>
        <v>519.84264299999995</v>
      </c>
      <c r="E152" s="159">
        <f>MC!E19/10^6</f>
        <v>514.54115100000001</v>
      </c>
      <c r="F152" s="159">
        <f>MC!F19/10^6</f>
        <v>520.70814199999995</v>
      </c>
    </row>
    <row r="154" spans="2:6" x14ac:dyDescent="0.3">
      <c r="B154" s="159" t="s">
        <v>2020</v>
      </c>
    </row>
    <row r="158" spans="2:6" x14ac:dyDescent="0.3">
      <c r="B158" s="159" t="s">
        <v>2020</v>
      </c>
    </row>
  </sheetData>
  <autoFilter ref="B4:K54"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B2:AU185"/>
  <sheetViews>
    <sheetView showGridLines="0" topLeftCell="A247" zoomScale="95" zoomScaleNormal="95" workbookViewId="0">
      <pane xSplit="5" topLeftCell="V1" activePane="topRight" state="frozen"/>
      <selection activeCell="AB160" sqref="AB160:AD295"/>
      <selection pane="topRight" activeCell="AB160" sqref="AB160:AD295"/>
    </sheetView>
  </sheetViews>
  <sheetFormatPr defaultColWidth="8.875" defaultRowHeight="12" x14ac:dyDescent="0.3"/>
  <cols>
    <col min="1" max="1" width="1" style="1716" customWidth="1"/>
    <col min="2" max="2" width="23.75" style="1716" customWidth="1"/>
    <col min="3" max="3" width="13.75" style="1716" customWidth="1"/>
    <col min="4" max="5" width="9.5" style="1716" customWidth="1"/>
    <col min="6" max="6" width="6" style="1716" customWidth="1"/>
    <col min="7" max="7" width="9.125" style="1716" customWidth="1"/>
    <col min="8" max="8" width="13.875" style="1716" customWidth="1"/>
    <col min="9" max="9" width="11.125" style="1716" customWidth="1"/>
    <col min="10" max="10" width="6.5" style="1716" customWidth="1"/>
    <col min="11" max="11" width="12.875" style="1716" customWidth="1"/>
    <col min="12" max="12" width="11.25" style="1716" customWidth="1"/>
    <col min="13" max="13" width="8.875" style="1716" customWidth="1"/>
    <col min="14" max="15" width="13" style="1716" customWidth="1"/>
    <col min="16" max="16" width="7.875" style="1716" customWidth="1"/>
    <col min="17" max="17" width="13.875" style="1716" customWidth="1"/>
    <col min="18" max="18" width="13.125" style="1716" customWidth="1"/>
    <col min="19" max="19" width="9" style="1716" customWidth="1"/>
    <col min="20" max="20" width="13.875" style="1716" customWidth="1"/>
    <col min="21" max="21" width="11.5" style="1716" customWidth="1"/>
    <col min="22" max="22" width="9" style="1716" customWidth="1"/>
    <col min="23" max="23" width="13.875" style="1716" customWidth="1"/>
    <col min="24" max="24" width="11.5" style="1716" customWidth="1"/>
    <col min="25" max="25" width="9" style="1716" customWidth="1"/>
    <col min="26" max="26" width="13.875" style="1716" customWidth="1"/>
    <col min="27" max="27" width="11.5" style="1716" customWidth="1"/>
    <col min="28" max="28" width="9" style="1716" customWidth="1"/>
    <col min="29" max="29" width="14" style="1716" customWidth="1"/>
    <col min="30" max="42" width="13.875" style="1716" customWidth="1"/>
    <col min="43" max="45" width="13.875" style="1716" bestFit="1" customWidth="1"/>
    <col min="46" max="47" width="9" style="1716" bestFit="1" customWidth="1"/>
    <col min="48" max="16384" width="8.875" style="1716"/>
  </cols>
  <sheetData>
    <row r="2" spans="2:45" x14ac:dyDescent="0.3">
      <c r="B2" s="1715" t="s">
        <v>7595</v>
      </c>
    </row>
    <row r="3" spans="2:45" ht="12.75" thickBot="1" x14ac:dyDescent="0.35"/>
    <row r="4" spans="2:45" x14ac:dyDescent="0.3">
      <c r="B4" s="1717" t="s">
        <v>7596</v>
      </c>
      <c r="C4" s="1718"/>
      <c r="D4" s="1718" t="s">
        <v>7597</v>
      </c>
      <c r="E4" s="1719" t="s">
        <v>7598</v>
      </c>
      <c r="F4" s="1720"/>
      <c r="G4" s="1884" t="s">
        <v>7599</v>
      </c>
      <c r="H4" s="1885"/>
      <c r="I4" s="1886"/>
      <c r="J4" s="1884" t="s">
        <v>7600</v>
      </c>
      <c r="K4" s="1885"/>
      <c r="L4" s="1886"/>
      <c r="M4" s="1884" t="s">
        <v>7601</v>
      </c>
      <c r="N4" s="1885"/>
      <c r="O4" s="1886"/>
      <c r="P4" s="1884" t="s">
        <v>7602</v>
      </c>
      <c r="Q4" s="1885"/>
      <c r="R4" s="1886"/>
      <c r="S4" s="1884" t="s">
        <v>7603</v>
      </c>
      <c r="T4" s="1885"/>
      <c r="U4" s="1886"/>
      <c r="V4" s="1884" t="s">
        <v>7604</v>
      </c>
      <c r="W4" s="1885"/>
      <c r="X4" s="1886"/>
      <c r="Y4" s="1884" t="s">
        <v>7605</v>
      </c>
      <c r="Z4" s="1885"/>
      <c r="AA4" s="1886"/>
      <c r="AB4" s="1884" t="s">
        <v>2992</v>
      </c>
      <c r="AC4" s="1885"/>
      <c r="AD4" s="1887"/>
      <c r="AE4" s="1884" t="s">
        <v>7606</v>
      </c>
      <c r="AF4" s="1885"/>
      <c r="AG4" s="1885"/>
      <c r="AH4" s="1885"/>
      <c r="AI4" s="1885"/>
      <c r="AJ4" s="1885"/>
      <c r="AK4" s="1885"/>
      <c r="AL4" s="1886"/>
      <c r="AM4" s="1721"/>
      <c r="AN4" s="1721"/>
      <c r="AO4" s="1721"/>
      <c r="AP4" s="1721"/>
    </row>
    <row r="5" spans="2:45" x14ac:dyDescent="0.3">
      <c r="B5" s="1722" t="s">
        <v>7607</v>
      </c>
      <c r="C5" s="1723" t="s">
        <v>7608</v>
      </c>
      <c r="D5" s="1723" t="s">
        <v>7609</v>
      </c>
      <c r="E5" s="1724" t="s">
        <v>7610</v>
      </c>
      <c r="F5" s="1725" t="s">
        <v>7611</v>
      </c>
      <c r="G5" s="1726" t="s">
        <v>7612</v>
      </c>
      <c r="H5" s="1727" t="s">
        <v>7613</v>
      </c>
      <c r="I5" s="1728" t="s">
        <v>7614</v>
      </c>
      <c r="J5" s="1726" t="s">
        <v>7593</v>
      </c>
      <c r="K5" s="1727" t="s">
        <v>7613</v>
      </c>
      <c r="L5" s="1728" t="s">
        <v>7614</v>
      </c>
      <c r="M5" s="1726" t="s">
        <v>7593</v>
      </c>
      <c r="N5" s="1729" t="s">
        <v>7613</v>
      </c>
      <c r="O5" s="1730" t="s">
        <v>7614</v>
      </c>
      <c r="P5" s="1726" t="s">
        <v>7612</v>
      </c>
      <c r="Q5" s="1729" t="s">
        <v>7613</v>
      </c>
      <c r="R5" s="1730" t="s">
        <v>7614</v>
      </c>
      <c r="S5" s="1726" t="s">
        <v>7612</v>
      </c>
      <c r="T5" s="1729" t="s">
        <v>7613</v>
      </c>
      <c r="U5" s="1730" t="s">
        <v>7614</v>
      </c>
      <c r="V5" s="1726" t="s">
        <v>7612</v>
      </c>
      <c r="W5" s="1729" t="s">
        <v>7615</v>
      </c>
      <c r="X5" s="1730" t="s">
        <v>7614</v>
      </c>
      <c r="Y5" s="1726" t="s">
        <v>7593</v>
      </c>
      <c r="Z5" s="1729" t="s">
        <v>7613</v>
      </c>
      <c r="AA5" s="1730" t="s">
        <v>7614</v>
      </c>
      <c r="AB5" s="1726" t="s">
        <v>7612</v>
      </c>
      <c r="AC5" s="1729" t="s">
        <v>7613</v>
      </c>
      <c r="AD5" s="1731" t="s">
        <v>7614</v>
      </c>
      <c r="AE5" s="1726">
        <v>2015</v>
      </c>
      <c r="AF5" s="1729">
        <v>2016</v>
      </c>
      <c r="AG5" s="1729">
        <v>2017</v>
      </c>
      <c r="AH5" s="1729">
        <v>2018</v>
      </c>
      <c r="AI5" s="1729">
        <v>2019</v>
      </c>
      <c r="AJ5" s="1729">
        <v>2020</v>
      </c>
      <c r="AK5" s="1729">
        <v>2021</v>
      </c>
      <c r="AL5" s="1730">
        <v>2022</v>
      </c>
      <c r="AM5" s="1721"/>
      <c r="AN5" s="1721"/>
      <c r="AO5" s="1721"/>
      <c r="AP5" s="1721"/>
      <c r="AQ5" s="1716" t="s">
        <v>7775</v>
      </c>
      <c r="AS5" s="1716" t="s">
        <v>2067</v>
      </c>
    </row>
    <row r="6" spans="2:45" x14ac:dyDescent="0.3">
      <c r="B6" s="1732" t="s">
        <v>7616</v>
      </c>
      <c r="C6" s="1733"/>
      <c r="D6" s="1733"/>
      <c r="E6" s="1734"/>
      <c r="F6" s="1735"/>
      <c r="G6" s="1736">
        <v>0</v>
      </c>
      <c r="H6" s="1727">
        <v>0</v>
      </c>
      <c r="I6" s="1728">
        <f>IFERROR(H6/G6,)</f>
        <v>0</v>
      </c>
      <c r="J6" s="1737">
        <v>0</v>
      </c>
      <c r="K6" s="1738">
        <v>0</v>
      </c>
      <c r="L6" s="1739">
        <f>IFERROR(K6/J6,)</f>
        <v>0</v>
      </c>
      <c r="M6" s="1737">
        <v>0</v>
      </c>
      <c r="N6" s="1738">
        <v>0</v>
      </c>
      <c r="O6" s="1739">
        <f>IFERROR(N6/M6,)</f>
        <v>0</v>
      </c>
      <c r="P6" s="1737">
        <v>0</v>
      </c>
      <c r="Q6" s="1738">
        <f>P6*R6</f>
        <v>0</v>
      </c>
      <c r="R6" s="1739">
        <v>0</v>
      </c>
      <c r="S6" s="1740">
        <v>0</v>
      </c>
      <c r="T6" s="1738">
        <f>S6*U6</f>
        <v>0</v>
      </c>
      <c r="U6" s="1739">
        <f>R6*1.05</f>
        <v>0</v>
      </c>
      <c r="V6" s="1740">
        <v>0</v>
      </c>
      <c r="W6" s="1738">
        <f t="shared" ref="W6:W76" si="0">V6*X6</f>
        <v>0</v>
      </c>
      <c r="X6" s="1739">
        <f t="shared" ref="X6:X76" si="1">U6*1.05</f>
        <v>0</v>
      </c>
      <c r="Y6" s="1740">
        <v>0</v>
      </c>
      <c r="Z6" s="1738">
        <f t="shared" ref="Z6:Z76" si="2">Y6*AA6</f>
        <v>0</v>
      </c>
      <c r="AA6" s="1739">
        <f t="shared" ref="AA6:AA76" si="3">X6*1.05</f>
        <v>0</v>
      </c>
      <c r="AB6" s="1740">
        <v>0</v>
      </c>
      <c r="AC6" s="1738">
        <f t="shared" ref="AC6:AC76" si="4">AB6*AD6</f>
        <v>0</v>
      </c>
      <c r="AD6" s="1741">
        <f t="shared" ref="AD6:AD76" si="5">AA6*1.05</f>
        <v>0</v>
      </c>
      <c r="AE6" s="1740">
        <v>0</v>
      </c>
      <c r="AF6" s="1738">
        <v>0</v>
      </c>
      <c r="AG6" s="1738">
        <v>0</v>
      </c>
      <c r="AH6" s="1738">
        <f>Q6*$AP$93</f>
        <v>0</v>
      </c>
      <c r="AI6" s="1738">
        <f>T6*$AP$93</f>
        <v>0</v>
      </c>
      <c r="AJ6" s="1738">
        <f>W6*$AP$93</f>
        <v>0</v>
      </c>
      <c r="AK6" s="1738">
        <f>Z6*$AP$93</f>
        <v>0</v>
      </c>
      <c r="AL6" s="1739">
        <f>AC6*$AP$93</f>
        <v>0</v>
      </c>
      <c r="AM6" s="1742"/>
      <c r="AN6" s="1742"/>
      <c r="AO6" s="1742"/>
      <c r="AP6" s="1742"/>
      <c r="AS6" s="1716" t="s">
        <v>2820</v>
      </c>
    </row>
    <row r="7" spans="2:45" x14ac:dyDescent="0.3">
      <c r="B7" s="1732" t="s">
        <v>7617</v>
      </c>
      <c r="C7" s="1733" t="s">
        <v>2024</v>
      </c>
      <c r="D7" s="1733" t="s">
        <v>3040</v>
      </c>
      <c r="E7" s="1734" t="s">
        <v>3293</v>
      </c>
      <c r="F7" s="1735"/>
      <c r="G7" s="1736">
        <v>2</v>
      </c>
      <c r="H7" s="1727">
        <v>192181820</v>
      </c>
      <c r="I7" s="1728">
        <f t="shared" ref="I7:I70" si="6">IFERROR(H7/G7,)</f>
        <v>96090910</v>
      </c>
      <c r="J7" s="1737">
        <v>4</v>
      </c>
      <c r="K7" s="1738">
        <v>397566366</v>
      </c>
      <c r="L7" s="1739">
        <f t="shared" ref="L7:L77" si="7">IFERROR(K7/J7,)</f>
        <v>99391591.5</v>
      </c>
      <c r="M7" s="1737">
        <v>5</v>
      </c>
      <c r="N7" s="1738">
        <v>384502275</v>
      </c>
      <c r="O7" s="1739">
        <f t="shared" ref="O7:O77" si="8">IFERROR(N7/M7,)</f>
        <v>76900455</v>
      </c>
      <c r="P7" s="1737">
        <v>7</v>
      </c>
      <c r="Q7" s="1738">
        <f t="shared" ref="Q7:Q77" si="9">P7*R7</f>
        <v>695741140.5</v>
      </c>
      <c r="R7" s="1739">
        <f>L7</f>
        <v>99391591.5</v>
      </c>
      <c r="S7" s="1740">
        <v>8</v>
      </c>
      <c r="T7" s="1738">
        <f t="shared" ref="T7:T77" si="10">S7*U7</f>
        <v>818986713.96000004</v>
      </c>
      <c r="U7" s="1739">
        <f>R7*1.03</f>
        <v>102373339.245</v>
      </c>
      <c r="V7" s="1740">
        <v>9</v>
      </c>
      <c r="W7" s="1738">
        <f t="shared" si="0"/>
        <v>949000854.80115008</v>
      </c>
      <c r="X7" s="1739">
        <f t="shared" ref="X7:X9" si="11">U7*1.03</f>
        <v>105444539.42235</v>
      </c>
      <c r="Y7" s="1740">
        <v>10</v>
      </c>
      <c r="Z7" s="1738">
        <f t="shared" si="2"/>
        <v>1086078756.050205</v>
      </c>
      <c r="AA7" s="1739">
        <f t="shared" ref="AA7:AA9" si="12">X7*1.03</f>
        <v>108607875.60502051</v>
      </c>
      <c r="AB7" s="1740">
        <v>12</v>
      </c>
      <c r="AC7" s="1738">
        <f t="shared" si="4"/>
        <v>1342393342.4780536</v>
      </c>
      <c r="AD7" s="1739">
        <f t="shared" ref="AD7:AD9" si="13">AA7*1.03</f>
        <v>111866111.87317112</v>
      </c>
      <c r="AE7" s="1740">
        <v>68265203</v>
      </c>
      <c r="AF7" s="1738">
        <v>74023184</v>
      </c>
      <c r="AG7" s="1738">
        <v>75404547</v>
      </c>
      <c r="AH7" s="1738">
        <f t="shared" ref="AH7:AH70" si="14">Q7*$AP$93</f>
        <v>391153689.4709146</v>
      </c>
      <c r="AI7" s="1738">
        <f t="shared" ref="AI7:AI70" si="15">T7*$AP$93</f>
        <v>460443771.6057623</v>
      </c>
      <c r="AJ7" s="1738">
        <f t="shared" ref="AJ7:AJ70" si="16">W7*$AP$93</f>
        <v>533539220.34817713</v>
      </c>
      <c r="AK7" s="1738">
        <f t="shared" ref="AK7:AK70" si="17">Z7*$AP$93</f>
        <v>610605996.62069154</v>
      </c>
      <c r="AL7" s="1739">
        <f t="shared" ref="AL7:AL70" si="18">AC7*$AP$93</f>
        <v>754709011.82317483</v>
      </c>
      <c r="AM7" s="1743">
        <f>IFERROR(AE7/I7,)</f>
        <v>0.71042310869987602</v>
      </c>
      <c r="AN7" s="1743">
        <f>IFERROR(AF7/L7,)</f>
        <v>0.74476304165025875</v>
      </c>
      <c r="AO7" s="1743">
        <f>IFERROR(AG7/O7,)</f>
        <v>0.98054747530427488</v>
      </c>
      <c r="AP7" s="1742"/>
      <c r="AQ7" s="489">
        <f>Q7*0.09</f>
        <v>62616702.644999996</v>
      </c>
      <c r="AR7" s="489">
        <f>T7*0.09</f>
        <v>73708804.256400004</v>
      </c>
      <c r="AS7" s="1716" t="s">
        <v>2846</v>
      </c>
    </row>
    <row r="8" spans="2:45" x14ac:dyDescent="0.3">
      <c r="B8" s="1732" t="s">
        <v>7618</v>
      </c>
      <c r="C8" s="1733" t="s">
        <v>2024</v>
      </c>
      <c r="D8" s="1733" t="s">
        <v>3040</v>
      </c>
      <c r="E8" s="1734" t="s">
        <v>3293</v>
      </c>
      <c r="F8" s="1735"/>
      <c r="G8" s="1736">
        <v>6</v>
      </c>
      <c r="H8" s="1727">
        <v>275732546</v>
      </c>
      <c r="I8" s="1728">
        <f t="shared" si="6"/>
        <v>45955424.333333336</v>
      </c>
      <c r="J8" s="1737">
        <v>0</v>
      </c>
      <c r="K8" s="1738">
        <v>0</v>
      </c>
      <c r="L8" s="1739">
        <f t="shared" si="7"/>
        <v>0</v>
      </c>
      <c r="M8" s="1737">
        <v>1</v>
      </c>
      <c r="N8" s="1738">
        <v>22120910</v>
      </c>
      <c r="O8" s="1739">
        <f t="shared" si="8"/>
        <v>22120910</v>
      </c>
      <c r="P8" s="1737">
        <v>4</v>
      </c>
      <c r="Q8" s="1738">
        <f t="shared" si="9"/>
        <v>183821697.33333334</v>
      </c>
      <c r="R8" s="1739">
        <f>I8</f>
        <v>45955424.333333336</v>
      </c>
      <c r="S8" s="1740">
        <v>5</v>
      </c>
      <c r="T8" s="1738">
        <f t="shared" si="10"/>
        <v>236670435.31666669</v>
      </c>
      <c r="U8" s="1739">
        <f t="shared" ref="U8:U9" si="19">R8*1.03</f>
        <v>47334087.06333334</v>
      </c>
      <c r="V8" s="1740">
        <v>6</v>
      </c>
      <c r="W8" s="1738">
        <f t="shared" si="0"/>
        <v>292524658.05140007</v>
      </c>
      <c r="X8" s="1739">
        <f t="shared" si="11"/>
        <v>48754109.675233342</v>
      </c>
      <c r="Y8" s="1740">
        <v>7</v>
      </c>
      <c r="Z8" s="1738">
        <f t="shared" si="2"/>
        <v>351517130.75843239</v>
      </c>
      <c r="AA8" s="1739">
        <f t="shared" si="12"/>
        <v>50216732.965490341</v>
      </c>
      <c r="AB8" s="1740">
        <v>9</v>
      </c>
      <c r="AC8" s="1738">
        <f t="shared" si="4"/>
        <v>465509114.59009552</v>
      </c>
      <c r="AD8" s="1739">
        <f t="shared" si="13"/>
        <v>51723234.954455055</v>
      </c>
      <c r="AE8" s="1740">
        <v>46025143</v>
      </c>
      <c r="AF8" s="1738">
        <v>0</v>
      </c>
      <c r="AG8" s="1738">
        <v>9964234</v>
      </c>
      <c r="AH8" s="1738">
        <f t="shared" si="14"/>
        <v>103346677.27865824</v>
      </c>
      <c r="AI8" s="1738">
        <f t="shared" si="15"/>
        <v>133058846.99627249</v>
      </c>
      <c r="AJ8" s="1738">
        <f t="shared" si="16"/>
        <v>164460734.88739282</v>
      </c>
      <c r="AK8" s="1738">
        <f t="shared" si="17"/>
        <v>197626983.08968368</v>
      </c>
      <c r="AL8" s="1739">
        <f t="shared" si="18"/>
        <v>261714590.46305257</v>
      </c>
      <c r="AM8" s="1743">
        <f t="shared" ref="AM8:AM71" si="20">IFERROR(AE8/I8,)</f>
        <v>1.0015170933067872</v>
      </c>
      <c r="AN8" s="1743">
        <f t="shared" ref="AN8:AN71" si="21">IFERROR(AF8/L8,)</f>
        <v>0</v>
      </c>
      <c r="AO8" s="1743">
        <f t="shared" ref="AO8:AO71" si="22">IFERROR(AG8/O8,)</f>
        <v>0.45044412729856048</v>
      </c>
      <c r="AP8" s="1742"/>
      <c r="AQ8" s="489">
        <f>Q8*0.09</f>
        <v>16543952.76</v>
      </c>
      <c r="AR8" s="489">
        <f>T8*0.09</f>
        <v>21300339.1785</v>
      </c>
      <c r="AS8" s="1716" t="s">
        <v>7377</v>
      </c>
    </row>
    <row r="9" spans="2:45" x14ac:dyDescent="0.3">
      <c r="B9" s="1732" t="s">
        <v>7619</v>
      </c>
      <c r="C9" s="1733" t="s">
        <v>2024</v>
      </c>
      <c r="D9" s="1733" t="s">
        <v>3041</v>
      </c>
      <c r="E9" s="1734" t="s">
        <v>7620</v>
      </c>
      <c r="F9" s="1735"/>
      <c r="G9" s="1736">
        <v>0</v>
      </c>
      <c r="H9" s="1727">
        <v>0</v>
      </c>
      <c r="I9" s="1728">
        <f t="shared" si="6"/>
        <v>0</v>
      </c>
      <c r="J9" s="1737">
        <v>0</v>
      </c>
      <c r="K9" s="1738">
        <v>0</v>
      </c>
      <c r="L9" s="1739">
        <f t="shared" si="7"/>
        <v>0</v>
      </c>
      <c r="M9" s="1737">
        <v>1</v>
      </c>
      <c r="N9" s="1738">
        <v>130446004</v>
      </c>
      <c r="O9" s="1739">
        <f t="shared" si="8"/>
        <v>130446004</v>
      </c>
      <c r="P9" s="1737">
        <v>0</v>
      </c>
      <c r="Q9" s="1738">
        <f t="shared" si="9"/>
        <v>0</v>
      </c>
      <c r="R9" s="1739">
        <v>135000000</v>
      </c>
      <c r="S9" s="1740">
        <v>0</v>
      </c>
      <c r="T9" s="1738">
        <f t="shared" si="10"/>
        <v>0</v>
      </c>
      <c r="U9" s="1739">
        <f t="shared" si="19"/>
        <v>139050000</v>
      </c>
      <c r="V9" s="1740">
        <v>0</v>
      </c>
      <c r="W9" s="1738">
        <f t="shared" si="0"/>
        <v>0</v>
      </c>
      <c r="X9" s="1739">
        <f t="shared" si="11"/>
        <v>143221500</v>
      </c>
      <c r="Y9" s="1740">
        <v>0</v>
      </c>
      <c r="Z9" s="1738">
        <f t="shared" si="2"/>
        <v>0</v>
      </c>
      <c r="AA9" s="1739">
        <f t="shared" si="12"/>
        <v>147518145</v>
      </c>
      <c r="AB9" s="1740">
        <v>0</v>
      </c>
      <c r="AC9" s="1738">
        <f t="shared" si="4"/>
        <v>0</v>
      </c>
      <c r="AD9" s="1739">
        <f t="shared" si="13"/>
        <v>151943689.34999999</v>
      </c>
      <c r="AE9" s="1740">
        <v>0</v>
      </c>
      <c r="AF9" s="1738">
        <v>0</v>
      </c>
      <c r="AG9" s="1738">
        <v>0</v>
      </c>
      <c r="AH9" s="1738">
        <f t="shared" si="14"/>
        <v>0</v>
      </c>
      <c r="AI9" s="1738">
        <f t="shared" si="15"/>
        <v>0</v>
      </c>
      <c r="AJ9" s="1738">
        <f t="shared" si="16"/>
        <v>0</v>
      </c>
      <c r="AK9" s="1738">
        <f t="shared" si="17"/>
        <v>0</v>
      </c>
      <c r="AL9" s="1739">
        <f t="shared" si="18"/>
        <v>0</v>
      </c>
      <c r="AM9" s="1743">
        <f t="shared" si="20"/>
        <v>0</v>
      </c>
      <c r="AN9" s="1743">
        <f t="shared" si="21"/>
        <v>0</v>
      </c>
      <c r="AO9" s="1743">
        <f t="shared" si="22"/>
        <v>0</v>
      </c>
      <c r="AP9" s="1742"/>
      <c r="AS9" s="1716" t="s">
        <v>7392</v>
      </c>
    </row>
    <row r="10" spans="2:45" x14ac:dyDescent="0.3">
      <c r="B10" s="1732" t="s">
        <v>7621</v>
      </c>
      <c r="C10" s="1733"/>
      <c r="D10" s="1733"/>
      <c r="E10" s="1734"/>
      <c r="F10" s="1735"/>
      <c r="G10" s="1736">
        <v>0</v>
      </c>
      <c r="H10" s="1727">
        <v>0</v>
      </c>
      <c r="I10" s="1728">
        <f t="shared" si="6"/>
        <v>0</v>
      </c>
      <c r="J10" s="1737">
        <v>0</v>
      </c>
      <c r="K10" s="1738">
        <v>0</v>
      </c>
      <c r="L10" s="1739">
        <f t="shared" si="7"/>
        <v>0</v>
      </c>
      <c r="M10" s="1737">
        <v>0</v>
      </c>
      <c r="N10" s="1738">
        <v>0</v>
      </c>
      <c r="O10" s="1739">
        <f t="shared" si="8"/>
        <v>0</v>
      </c>
      <c r="P10" s="1737">
        <v>0</v>
      </c>
      <c r="Q10" s="1738">
        <f t="shared" si="9"/>
        <v>0</v>
      </c>
      <c r="R10" s="1739">
        <v>0</v>
      </c>
      <c r="S10" s="1740">
        <v>0</v>
      </c>
      <c r="T10" s="1738">
        <f t="shared" si="10"/>
        <v>0</v>
      </c>
      <c r="U10" s="1739">
        <f t="shared" ref="U10:U77" si="23">R10*1.05</f>
        <v>0</v>
      </c>
      <c r="V10" s="1740">
        <v>0</v>
      </c>
      <c r="W10" s="1738">
        <f t="shared" si="0"/>
        <v>0</v>
      </c>
      <c r="X10" s="1739">
        <f t="shared" si="1"/>
        <v>0</v>
      </c>
      <c r="Y10" s="1740">
        <v>0</v>
      </c>
      <c r="Z10" s="1738">
        <f t="shared" si="2"/>
        <v>0</v>
      </c>
      <c r="AA10" s="1739">
        <f t="shared" si="3"/>
        <v>0</v>
      </c>
      <c r="AB10" s="1740">
        <v>0</v>
      </c>
      <c r="AC10" s="1738">
        <f t="shared" si="4"/>
        <v>0</v>
      </c>
      <c r="AD10" s="1741">
        <f t="shared" si="5"/>
        <v>0</v>
      </c>
      <c r="AE10" s="1740">
        <v>0</v>
      </c>
      <c r="AF10" s="1738">
        <v>0</v>
      </c>
      <c r="AG10" s="1738">
        <v>0</v>
      </c>
      <c r="AH10" s="1738">
        <f t="shared" si="14"/>
        <v>0</v>
      </c>
      <c r="AI10" s="1738">
        <f t="shared" si="15"/>
        <v>0</v>
      </c>
      <c r="AJ10" s="1738">
        <f t="shared" si="16"/>
        <v>0</v>
      </c>
      <c r="AK10" s="1738">
        <f t="shared" si="17"/>
        <v>0</v>
      </c>
      <c r="AL10" s="1739">
        <f t="shared" si="18"/>
        <v>0</v>
      </c>
      <c r="AM10" s="1743">
        <f t="shared" si="20"/>
        <v>0</v>
      </c>
      <c r="AN10" s="1743">
        <f t="shared" si="21"/>
        <v>0</v>
      </c>
      <c r="AO10" s="1743">
        <f t="shared" si="22"/>
        <v>0</v>
      </c>
      <c r="AP10" s="1742"/>
    </row>
    <row r="11" spans="2:45" x14ac:dyDescent="0.3">
      <c r="B11" s="1732" t="s">
        <v>7622</v>
      </c>
      <c r="C11" s="1733"/>
      <c r="D11" s="1733"/>
      <c r="E11" s="1734"/>
      <c r="F11" s="1735"/>
      <c r="G11" s="1736">
        <v>0</v>
      </c>
      <c r="H11" s="1727">
        <v>0</v>
      </c>
      <c r="I11" s="1728">
        <f t="shared" si="6"/>
        <v>0</v>
      </c>
      <c r="J11" s="1737">
        <v>0</v>
      </c>
      <c r="K11" s="1738">
        <v>0</v>
      </c>
      <c r="L11" s="1739">
        <f t="shared" si="7"/>
        <v>0</v>
      </c>
      <c r="M11" s="1737">
        <v>0</v>
      </c>
      <c r="N11" s="1738">
        <v>0</v>
      </c>
      <c r="O11" s="1739">
        <f t="shared" si="8"/>
        <v>0</v>
      </c>
      <c r="P11" s="1737">
        <v>0</v>
      </c>
      <c r="Q11" s="1738">
        <f t="shared" si="9"/>
        <v>0</v>
      </c>
      <c r="R11" s="1739">
        <v>0</v>
      </c>
      <c r="S11" s="1740">
        <v>0</v>
      </c>
      <c r="T11" s="1738">
        <f t="shared" si="10"/>
        <v>0</v>
      </c>
      <c r="U11" s="1739">
        <f t="shared" si="23"/>
        <v>0</v>
      </c>
      <c r="V11" s="1740">
        <v>0</v>
      </c>
      <c r="W11" s="1738">
        <f t="shared" si="0"/>
        <v>0</v>
      </c>
      <c r="X11" s="1739">
        <f t="shared" si="1"/>
        <v>0</v>
      </c>
      <c r="Y11" s="1740">
        <v>0</v>
      </c>
      <c r="Z11" s="1738">
        <f t="shared" si="2"/>
        <v>0</v>
      </c>
      <c r="AA11" s="1739">
        <f t="shared" si="3"/>
        <v>0</v>
      </c>
      <c r="AB11" s="1740">
        <v>0</v>
      </c>
      <c r="AC11" s="1738">
        <f t="shared" si="4"/>
        <v>0</v>
      </c>
      <c r="AD11" s="1741">
        <f t="shared" si="5"/>
        <v>0</v>
      </c>
      <c r="AE11" s="1740">
        <v>0</v>
      </c>
      <c r="AF11" s="1738">
        <v>0</v>
      </c>
      <c r="AG11" s="1738">
        <v>0</v>
      </c>
      <c r="AH11" s="1738">
        <f t="shared" si="14"/>
        <v>0</v>
      </c>
      <c r="AI11" s="1738">
        <f t="shared" si="15"/>
        <v>0</v>
      </c>
      <c r="AJ11" s="1738">
        <f t="shared" si="16"/>
        <v>0</v>
      </c>
      <c r="AK11" s="1738">
        <f t="shared" si="17"/>
        <v>0</v>
      </c>
      <c r="AL11" s="1739">
        <f t="shared" si="18"/>
        <v>0</v>
      </c>
      <c r="AM11" s="1743">
        <f t="shared" si="20"/>
        <v>0</v>
      </c>
      <c r="AN11" s="1743">
        <f t="shared" si="21"/>
        <v>0</v>
      </c>
      <c r="AO11" s="1743">
        <f t="shared" si="22"/>
        <v>0</v>
      </c>
      <c r="AP11" s="1742"/>
    </row>
    <row r="12" spans="2:45" x14ac:dyDescent="0.3">
      <c r="B12" s="1732" t="s">
        <v>7623</v>
      </c>
      <c r="C12" s="1733" t="s">
        <v>7624</v>
      </c>
      <c r="D12" s="1733" t="s">
        <v>7625</v>
      </c>
      <c r="E12" s="1734" t="s">
        <v>7626</v>
      </c>
      <c r="F12" s="1735"/>
      <c r="G12" s="1736">
        <v>6</v>
      </c>
      <c r="H12" s="1727">
        <v>255126360</v>
      </c>
      <c r="I12" s="1728">
        <f t="shared" si="6"/>
        <v>42521060</v>
      </c>
      <c r="J12" s="1737">
        <v>3</v>
      </c>
      <c r="K12" s="1738">
        <v>124778183</v>
      </c>
      <c r="L12" s="1739">
        <f t="shared" si="7"/>
        <v>41592727.666666664</v>
      </c>
      <c r="M12" s="1737">
        <v>6</v>
      </c>
      <c r="N12" s="1738">
        <v>124579177</v>
      </c>
      <c r="O12" s="1739">
        <f t="shared" si="8"/>
        <v>20763196.166666668</v>
      </c>
      <c r="P12" s="1737">
        <v>0</v>
      </c>
      <c r="Q12" s="1738">
        <f t="shared" si="9"/>
        <v>0</v>
      </c>
      <c r="R12" s="1739">
        <v>0</v>
      </c>
      <c r="S12" s="1740">
        <v>0</v>
      </c>
      <c r="T12" s="1738">
        <f t="shared" si="10"/>
        <v>0</v>
      </c>
      <c r="U12" s="1739">
        <f t="shared" si="23"/>
        <v>0</v>
      </c>
      <c r="V12" s="1740">
        <v>0</v>
      </c>
      <c r="W12" s="1738">
        <f t="shared" si="0"/>
        <v>0</v>
      </c>
      <c r="X12" s="1739">
        <f t="shared" si="1"/>
        <v>0</v>
      </c>
      <c r="Y12" s="1740">
        <v>0</v>
      </c>
      <c r="Z12" s="1738">
        <f t="shared" si="2"/>
        <v>0</v>
      </c>
      <c r="AA12" s="1739">
        <f t="shared" si="3"/>
        <v>0</v>
      </c>
      <c r="AB12" s="1740">
        <v>0</v>
      </c>
      <c r="AC12" s="1738">
        <f t="shared" si="4"/>
        <v>0</v>
      </c>
      <c r="AD12" s="1741">
        <f t="shared" si="5"/>
        <v>0</v>
      </c>
      <c r="AE12" s="1740">
        <v>20594205</v>
      </c>
      <c r="AF12" s="1738">
        <v>22336046</v>
      </c>
      <c r="AG12" s="1738">
        <v>22389884</v>
      </c>
      <c r="AH12" s="1738">
        <f t="shared" si="14"/>
        <v>0</v>
      </c>
      <c r="AI12" s="1738">
        <f t="shared" si="15"/>
        <v>0</v>
      </c>
      <c r="AJ12" s="1738">
        <f t="shared" si="16"/>
        <v>0</v>
      </c>
      <c r="AK12" s="1738">
        <f t="shared" si="17"/>
        <v>0</v>
      </c>
      <c r="AL12" s="1739">
        <f t="shared" si="18"/>
        <v>0</v>
      </c>
      <c r="AM12" s="1743">
        <f t="shared" si="20"/>
        <v>0.48432952988472067</v>
      </c>
      <c r="AN12" s="1743">
        <f t="shared" si="21"/>
        <v>0.53701806188346246</v>
      </c>
      <c r="AO12" s="1743">
        <f t="shared" si="22"/>
        <v>1.0783447702500073</v>
      </c>
      <c r="AP12" s="1742"/>
    </row>
    <row r="13" spans="2:45" x14ac:dyDescent="0.3">
      <c r="B13" s="1732" t="s">
        <v>7627</v>
      </c>
      <c r="C13" s="1733" t="s">
        <v>2802</v>
      </c>
      <c r="D13" s="1733" t="s">
        <v>7628</v>
      </c>
      <c r="E13" s="1734" t="s">
        <v>3293</v>
      </c>
      <c r="F13" s="1735"/>
      <c r="G13" s="1736">
        <v>0</v>
      </c>
      <c r="H13" s="1727">
        <v>0</v>
      </c>
      <c r="I13" s="1728">
        <f t="shared" si="6"/>
        <v>0</v>
      </c>
      <c r="J13" s="1737">
        <v>8</v>
      </c>
      <c r="K13" s="1738">
        <v>360986182</v>
      </c>
      <c r="L13" s="1739">
        <f t="shared" si="7"/>
        <v>45123272.75</v>
      </c>
      <c r="M13" s="1737">
        <v>15</v>
      </c>
      <c r="N13" s="1738">
        <v>688768299</v>
      </c>
      <c r="O13" s="1739">
        <f t="shared" si="8"/>
        <v>45917886.600000001</v>
      </c>
      <c r="P13" s="1737">
        <v>50</v>
      </c>
      <c r="Q13" s="1738">
        <f t="shared" si="9"/>
        <v>2425000000</v>
      </c>
      <c r="R13" s="1739">
        <v>48500000</v>
      </c>
      <c r="S13" s="1740">
        <v>70</v>
      </c>
      <c r="T13" s="1738">
        <f t="shared" si="10"/>
        <v>3564750000</v>
      </c>
      <c r="U13" s="1739">
        <f t="shared" si="23"/>
        <v>50925000</v>
      </c>
      <c r="V13" s="1740">
        <v>80</v>
      </c>
      <c r="W13" s="1738">
        <f t="shared" si="0"/>
        <v>4277700000</v>
      </c>
      <c r="X13" s="1739">
        <f t="shared" si="1"/>
        <v>53471250</v>
      </c>
      <c r="Y13" s="1740">
        <v>90</v>
      </c>
      <c r="Z13" s="1738">
        <f t="shared" si="2"/>
        <v>5053033125</v>
      </c>
      <c r="AA13" s="1739">
        <f t="shared" si="3"/>
        <v>56144812.5</v>
      </c>
      <c r="AB13" s="1740">
        <v>100</v>
      </c>
      <c r="AC13" s="1738">
        <f t="shared" si="4"/>
        <v>5895205312.5</v>
      </c>
      <c r="AD13" s="1741">
        <f t="shared" si="5"/>
        <v>58952053.125</v>
      </c>
      <c r="AE13" s="1740">
        <v>0</v>
      </c>
      <c r="AF13" s="1738">
        <v>22796106</v>
      </c>
      <c r="AG13" s="1738">
        <v>8085046</v>
      </c>
      <c r="AH13" s="1738">
        <f t="shared" si="14"/>
        <v>1363362954.6260357</v>
      </c>
      <c r="AI13" s="1738">
        <f t="shared" si="15"/>
        <v>2004143543.3002725</v>
      </c>
      <c r="AJ13" s="1738">
        <f t="shared" si="16"/>
        <v>2404972251.9603271</v>
      </c>
      <c r="AK13" s="1738">
        <f t="shared" si="17"/>
        <v>2840873472.6281362</v>
      </c>
      <c r="AL13" s="1739">
        <f t="shared" si="18"/>
        <v>3314352384.7328258</v>
      </c>
      <c r="AM13" s="1743">
        <f t="shared" si="20"/>
        <v>0</v>
      </c>
      <c r="AN13" s="1743">
        <f t="shared" si="21"/>
        <v>0.50519620166513746</v>
      </c>
      <c r="AO13" s="1743">
        <f t="shared" si="22"/>
        <v>0.17607617855827015</v>
      </c>
      <c r="AP13" s="1742"/>
    </row>
    <row r="14" spans="2:45" x14ac:dyDescent="0.3">
      <c r="B14" s="1732" t="s">
        <v>7629</v>
      </c>
      <c r="C14" s="1733" t="s">
        <v>2802</v>
      </c>
      <c r="D14" s="1733" t="s">
        <v>7628</v>
      </c>
      <c r="E14" s="1734" t="s">
        <v>3293</v>
      </c>
      <c r="F14" s="1735"/>
      <c r="G14" s="1736">
        <v>0</v>
      </c>
      <c r="H14" s="1727">
        <v>0</v>
      </c>
      <c r="I14" s="1728">
        <f t="shared" si="6"/>
        <v>0</v>
      </c>
      <c r="J14" s="1737">
        <v>0</v>
      </c>
      <c r="K14" s="1738">
        <v>0</v>
      </c>
      <c r="L14" s="1739">
        <f t="shared" si="7"/>
        <v>0</v>
      </c>
      <c r="M14" s="1737">
        <v>4</v>
      </c>
      <c r="N14" s="1738">
        <v>176726364</v>
      </c>
      <c r="O14" s="1739">
        <f t="shared" si="8"/>
        <v>44181591</v>
      </c>
      <c r="P14" s="1737">
        <v>4</v>
      </c>
      <c r="Q14" s="1738">
        <f t="shared" si="9"/>
        <v>178000000</v>
      </c>
      <c r="R14" s="1739">
        <v>44500000</v>
      </c>
      <c r="S14" s="1740">
        <v>10</v>
      </c>
      <c r="T14" s="1738">
        <f t="shared" si="10"/>
        <v>467250000</v>
      </c>
      <c r="U14" s="1739">
        <f t="shared" si="23"/>
        <v>46725000</v>
      </c>
      <c r="V14" s="1740">
        <v>15</v>
      </c>
      <c r="W14" s="1738">
        <f t="shared" si="0"/>
        <v>735918750</v>
      </c>
      <c r="X14" s="1739">
        <f t="shared" si="1"/>
        <v>49061250</v>
      </c>
      <c r="Y14" s="1740">
        <v>20</v>
      </c>
      <c r="Z14" s="1738">
        <f t="shared" si="2"/>
        <v>1030286250</v>
      </c>
      <c r="AA14" s="1739">
        <f t="shared" si="3"/>
        <v>51514312.5</v>
      </c>
      <c r="AB14" s="1740">
        <v>25</v>
      </c>
      <c r="AC14" s="1738">
        <f t="shared" si="4"/>
        <v>1352250703.125</v>
      </c>
      <c r="AD14" s="1741">
        <f t="shared" si="5"/>
        <v>54090028.125</v>
      </c>
      <c r="AE14" s="1740">
        <v>0</v>
      </c>
      <c r="AF14" s="1738">
        <v>0</v>
      </c>
      <c r="AG14" s="1738">
        <v>22985124</v>
      </c>
      <c r="AH14" s="1738">
        <f t="shared" si="14"/>
        <v>100073651.92718942</v>
      </c>
      <c r="AI14" s="1738">
        <f t="shared" si="15"/>
        <v>262693336.30887225</v>
      </c>
      <c r="AJ14" s="1738">
        <f t="shared" si="16"/>
        <v>413742004.68647379</v>
      </c>
      <c r="AK14" s="1738">
        <f t="shared" si="17"/>
        <v>579238806.56106329</v>
      </c>
      <c r="AL14" s="1739">
        <f t="shared" si="18"/>
        <v>760250933.6113956</v>
      </c>
      <c r="AM14" s="1743">
        <f t="shared" si="20"/>
        <v>0</v>
      </c>
      <c r="AN14" s="1743">
        <f t="shared" si="21"/>
        <v>0</v>
      </c>
      <c r="AO14" s="1743">
        <f t="shared" si="22"/>
        <v>0.52024210717083497</v>
      </c>
      <c r="AP14" s="1742"/>
    </row>
    <row r="15" spans="2:45" x14ac:dyDescent="0.3">
      <c r="B15" s="1732" t="s">
        <v>7630</v>
      </c>
      <c r="C15" s="1733" t="s">
        <v>7631</v>
      </c>
      <c r="D15" s="1733" t="s">
        <v>2073</v>
      </c>
      <c r="E15" s="1734" t="s">
        <v>2073</v>
      </c>
      <c r="F15" s="1735"/>
      <c r="G15" s="1736">
        <v>0</v>
      </c>
      <c r="H15" s="1727">
        <v>0</v>
      </c>
      <c r="I15" s="1728">
        <f t="shared" si="6"/>
        <v>0</v>
      </c>
      <c r="J15" s="1737">
        <v>1</v>
      </c>
      <c r="K15" s="1738">
        <v>40000000</v>
      </c>
      <c r="L15" s="1739">
        <f t="shared" si="7"/>
        <v>40000000</v>
      </c>
      <c r="M15" s="1737">
        <v>2</v>
      </c>
      <c r="N15" s="1738">
        <v>119390909</v>
      </c>
      <c r="O15" s="1739">
        <f t="shared" si="8"/>
        <v>59695454.5</v>
      </c>
      <c r="P15" s="1737">
        <v>0</v>
      </c>
      <c r="Q15" s="1738">
        <f t="shared" si="9"/>
        <v>0</v>
      </c>
      <c r="R15" s="1739">
        <v>0</v>
      </c>
      <c r="S15" s="1740">
        <v>0</v>
      </c>
      <c r="T15" s="1738">
        <f t="shared" si="10"/>
        <v>0</v>
      </c>
      <c r="U15" s="1739">
        <f t="shared" si="23"/>
        <v>0</v>
      </c>
      <c r="V15" s="1740">
        <v>0</v>
      </c>
      <c r="W15" s="1738">
        <f t="shared" si="0"/>
        <v>0</v>
      </c>
      <c r="X15" s="1739">
        <f t="shared" si="1"/>
        <v>0</v>
      </c>
      <c r="Y15" s="1740">
        <v>0</v>
      </c>
      <c r="Z15" s="1738">
        <f t="shared" si="2"/>
        <v>0</v>
      </c>
      <c r="AA15" s="1739">
        <f t="shared" si="3"/>
        <v>0</v>
      </c>
      <c r="AB15" s="1740">
        <v>0</v>
      </c>
      <c r="AC15" s="1738">
        <f t="shared" si="4"/>
        <v>0</v>
      </c>
      <c r="AD15" s="1741">
        <f t="shared" si="5"/>
        <v>0</v>
      </c>
      <c r="AE15" s="1740">
        <v>0</v>
      </c>
      <c r="AF15" s="1738">
        <v>9520484</v>
      </c>
      <c r="AG15" s="1738">
        <v>24006894</v>
      </c>
      <c r="AH15" s="1738">
        <f t="shared" si="14"/>
        <v>0</v>
      </c>
      <c r="AI15" s="1738">
        <f t="shared" si="15"/>
        <v>0</v>
      </c>
      <c r="AJ15" s="1738">
        <f t="shared" si="16"/>
        <v>0</v>
      </c>
      <c r="AK15" s="1738">
        <f t="shared" si="17"/>
        <v>0</v>
      </c>
      <c r="AL15" s="1739">
        <f t="shared" si="18"/>
        <v>0</v>
      </c>
      <c r="AM15" s="1743">
        <f t="shared" si="20"/>
        <v>0</v>
      </c>
      <c r="AN15" s="1743">
        <f t="shared" si="21"/>
        <v>0.2380121</v>
      </c>
      <c r="AO15" s="1743">
        <f t="shared" si="22"/>
        <v>0.40215614741655081</v>
      </c>
      <c r="AP15" s="1742"/>
    </row>
    <row r="16" spans="2:45" x14ac:dyDescent="0.3">
      <c r="B16" s="1732" t="s">
        <v>7632</v>
      </c>
      <c r="C16" s="1733" t="s">
        <v>7633</v>
      </c>
      <c r="D16" s="1733" t="s">
        <v>2073</v>
      </c>
      <c r="E16" s="1734" t="s">
        <v>2073</v>
      </c>
      <c r="F16" s="1735"/>
      <c r="G16" s="1736">
        <v>1</v>
      </c>
      <c r="H16" s="1727">
        <v>3500000</v>
      </c>
      <c r="I16" s="1728">
        <f t="shared" si="6"/>
        <v>3500000</v>
      </c>
      <c r="J16" s="1737">
        <v>0</v>
      </c>
      <c r="K16" s="1738">
        <v>0</v>
      </c>
      <c r="L16" s="1739">
        <f t="shared" si="7"/>
        <v>0</v>
      </c>
      <c r="M16" s="1737">
        <v>2</v>
      </c>
      <c r="N16" s="1738">
        <v>42000000</v>
      </c>
      <c r="O16" s="1739">
        <f t="shared" si="8"/>
        <v>21000000</v>
      </c>
      <c r="P16" s="1737">
        <v>2</v>
      </c>
      <c r="Q16" s="1738">
        <f t="shared" si="9"/>
        <v>44100000</v>
      </c>
      <c r="R16" s="1739">
        <f>O16*1.05</f>
        <v>22050000</v>
      </c>
      <c r="S16" s="1737">
        <v>2</v>
      </c>
      <c r="T16" s="1738">
        <f t="shared" si="10"/>
        <v>46305000</v>
      </c>
      <c r="U16" s="1739">
        <f>R16*1.05</f>
        <v>23152500</v>
      </c>
      <c r="V16" s="1737">
        <v>2</v>
      </c>
      <c r="W16" s="1738">
        <f t="shared" si="0"/>
        <v>48620250</v>
      </c>
      <c r="X16" s="1739">
        <f>U16*1.05</f>
        <v>24310125</v>
      </c>
      <c r="Y16" s="1737">
        <v>2</v>
      </c>
      <c r="Z16" s="1738">
        <f t="shared" si="2"/>
        <v>51051262.5</v>
      </c>
      <c r="AA16" s="1739">
        <f>X16*1.05</f>
        <v>25525631.25</v>
      </c>
      <c r="AB16" s="1737">
        <v>4</v>
      </c>
      <c r="AC16" s="1738">
        <f t="shared" si="4"/>
        <v>107207651.25</v>
      </c>
      <c r="AD16" s="1739">
        <f>AA16*1.05</f>
        <v>26801912.8125</v>
      </c>
      <c r="AE16" s="1740">
        <v>0</v>
      </c>
      <c r="AF16" s="1738">
        <v>0</v>
      </c>
      <c r="AG16" s="1738">
        <v>8645432</v>
      </c>
      <c r="AH16" s="1738">
        <f t="shared" si="14"/>
        <v>24793528.370725021</v>
      </c>
      <c r="AI16" s="1738">
        <f t="shared" si="15"/>
        <v>26033204.789261274</v>
      </c>
      <c r="AJ16" s="1738">
        <f t="shared" si="16"/>
        <v>27334865.028724335</v>
      </c>
      <c r="AK16" s="1738">
        <f t="shared" si="17"/>
        <v>28701608.280160554</v>
      </c>
      <c r="AL16" s="1739">
        <f t="shared" si="18"/>
        <v>60273377.388337158</v>
      </c>
      <c r="AM16" s="1743">
        <f t="shared" si="20"/>
        <v>0</v>
      </c>
      <c r="AN16" s="1743">
        <f t="shared" si="21"/>
        <v>0</v>
      </c>
      <c r="AO16" s="1743">
        <f t="shared" si="22"/>
        <v>0.41168723809523811</v>
      </c>
      <c r="AP16" s="1742"/>
    </row>
    <row r="17" spans="2:42" x14ac:dyDescent="0.3">
      <c r="B17" s="1732" t="s">
        <v>7634</v>
      </c>
      <c r="C17" s="1733" t="s">
        <v>7635</v>
      </c>
      <c r="D17" s="1733" t="s">
        <v>2073</v>
      </c>
      <c r="E17" s="1734" t="s">
        <v>2073</v>
      </c>
      <c r="F17" s="1735"/>
      <c r="G17" s="1736">
        <v>1</v>
      </c>
      <c r="H17" s="1727">
        <v>25400000</v>
      </c>
      <c r="I17" s="1728">
        <f t="shared" si="6"/>
        <v>25400000</v>
      </c>
      <c r="J17" s="1737">
        <v>0</v>
      </c>
      <c r="K17" s="1738">
        <v>0</v>
      </c>
      <c r="L17" s="1739">
        <f t="shared" si="7"/>
        <v>0</v>
      </c>
      <c r="M17" s="1737">
        <v>3</v>
      </c>
      <c r="N17" s="1738">
        <v>73500000</v>
      </c>
      <c r="O17" s="1739">
        <f t="shared" si="8"/>
        <v>24500000</v>
      </c>
      <c r="P17" s="1737">
        <v>3</v>
      </c>
      <c r="Q17" s="1738">
        <f t="shared" si="9"/>
        <v>77175000</v>
      </c>
      <c r="R17" s="1739">
        <f>O17*1.05</f>
        <v>25725000</v>
      </c>
      <c r="S17" s="1737">
        <v>3</v>
      </c>
      <c r="T17" s="1738">
        <f t="shared" si="10"/>
        <v>81033750</v>
      </c>
      <c r="U17" s="1739">
        <f>R17*1.05</f>
        <v>27011250</v>
      </c>
      <c r="V17" s="1737">
        <v>3</v>
      </c>
      <c r="W17" s="1738">
        <f t="shared" si="0"/>
        <v>85085437.5</v>
      </c>
      <c r="X17" s="1739">
        <f>U17*1.05</f>
        <v>28361812.5</v>
      </c>
      <c r="Y17" s="1737">
        <v>3</v>
      </c>
      <c r="Z17" s="1738">
        <f t="shared" si="2"/>
        <v>89339709.375</v>
      </c>
      <c r="AA17" s="1739">
        <f>X17*1.05</f>
        <v>29779903.125</v>
      </c>
      <c r="AB17" s="1737">
        <v>4</v>
      </c>
      <c r="AC17" s="1738">
        <f t="shared" si="4"/>
        <v>125075593.125</v>
      </c>
      <c r="AD17" s="1739">
        <f>AA17*1.05</f>
        <v>31268898.28125</v>
      </c>
      <c r="AE17" s="1740">
        <v>8919499</v>
      </c>
      <c r="AF17" s="1738">
        <v>0</v>
      </c>
      <c r="AG17" s="1738">
        <v>9077703</v>
      </c>
      <c r="AH17" s="1738">
        <f t="shared" si="14"/>
        <v>43388674.64876879</v>
      </c>
      <c r="AI17" s="1738">
        <f t="shared" si="15"/>
        <v>45558108.381207228</v>
      </c>
      <c r="AJ17" s="1738">
        <f t="shared" si="16"/>
        <v>47836013.800267585</v>
      </c>
      <c r="AK17" s="1738">
        <f t="shared" si="17"/>
        <v>50227814.490280971</v>
      </c>
      <c r="AL17" s="1739">
        <f t="shared" si="18"/>
        <v>70318940.286393359</v>
      </c>
      <c r="AM17" s="1743">
        <f t="shared" si="20"/>
        <v>0.35116137795275593</v>
      </c>
      <c r="AN17" s="1743">
        <f t="shared" si="21"/>
        <v>0</v>
      </c>
      <c r="AO17" s="1743">
        <f t="shared" si="22"/>
        <v>0.37051848979591839</v>
      </c>
      <c r="AP17" s="1742"/>
    </row>
    <row r="18" spans="2:42" x14ac:dyDescent="0.3">
      <c r="B18" s="1732" t="s">
        <v>7636</v>
      </c>
      <c r="C18" s="1733" t="s">
        <v>2802</v>
      </c>
      <c r="D18" s="1733" t="s">
        <v>7628</v>
      </c>
      <c r="E18" s="1734" t="s">
        <v>7626</v>
      </c>
      <c r="F18" s="1735"/>
      <c r="G18" s="1736">
        <v>17</v>
      </c>
      <c r="H18" s="1727">
        <v>693033635</v>
      </c>
      <c r="I18" s="1728">
        <f t="shared" si="6"/>
        <v>40766684.411764704</v>
      </c>
      <c r="J18" s="1737">
        <v>10</v>
      </c>
      <c r="K18" s="1738">
        <v>415018182</v>
      </c>
      <c r="L18" s="1739">
        <f t="shared" si="7"/>
        <v>41501818.200000003</v>
      </c>
      <c r="M18" s="1737">
        <v>5</v>
      </c>
      <c r="N18" s="1738">
        <v>191700000</v>
      </c>
      <c r="O18" s="1739">
        <f t="shared" si="8"/>
        <v>38340000</v>
      </c>
      <c r="P18" s="1737">
        <v>0</v>
      </c>
      <c r="Q18" s="1738">
        <f t="shared" si="9"/>
        <v>0</v>
      </c>
      <c r="R18" s="1739">
        <v>0</v>
      </c>
      <c r="S18" s="1740">
        <v>0</v>
      </c>
      <c r="T18" s="1738">
        <f t="shared" si="10"/>
        <v>0</v>
      </c>
      <c r="U18" s="1739">
        <f t="shared" si="23"/>
        <v>0</v>
      </c>
      <c r="V18" s="1740">
        <v>0</v>
      </c>
      <c r="W18" s="1738">
        <f t="shared" si="0"/>
        <v>0</v>
      </c>
      <c r="X18" s="1739">
        <f t="shared" si="1"/>
        <v>0</v>
      </c>
      <c r="Y18" s="1740">
        <v>0</v>
      </c>
      <c r="Z18" s="1738">
        <f t="shared" si="2"/>
        <v>0</v>
      </c>
      <c r="AA18" s="1739">
        <f t="shared" si="3"/>
        <v>0</v>
      </c>
      <c r="AB18" s="1740">
        <v>0</v>
      </c>
      <c r="AC18" s="1738">
        <f t="shared" si="4"/>
        <v>0</v>
      </c>
      <c r="AD18" s="1741">
        <f t="shared" si="5"/>
        <v>0</v>
      </c>
      <c r="AE18" s="1740">
        <v>21828057</v>
      </c>
      <c r="AF18" s="1738">
        <v>23115393</v>
      </c>
      <c r="AG18" s="1738">
        <v>24229575</v>
      </c>
      <c r="AH18" s="1738">
        <f t="shared" si="14"/>
        <v>0</v>
      </c>
      <c r="AI18" s="1738">
        <f t="shared" si="15"/>
        <v>0</v>
      </c>
      <c r="AJ18" s="1738">
        <f t="shared" si="16"/>
        <v>0</v>
      </c>
      <c r="AK18" s="1738">
        <f t="shared" si="17"/>
        <v>0</v>
      </c>
      <c r="AL18" s="1739">
        <f t="shared" si="18"/>
        <v>0</v>
      </c>
      <c r="AM18" s="1743">
        <f t="shared" si="20"/>
        <v>0.53543861402917337</v>
      </c>
      <c r="AN18" s="1743">
        <f t="shared" si="21"/>
        <v>0.55697301955797196</v>
      </c>
      <c r="AO18" s="1743">
        <f t="shared" si="22"/>
        <v>0.63196596244131453</v>
      </c>
      <c r="AP18" s="1742"/>
    </row>
    <row r="19" spans="2:42" x14ac:dyDescent="0.3">
      <c r="B19" s="1744" t="s">
        <v>7637</v>
      </c>
      <c r="C19" s="1733" t="s">
        <v>2802</v>
      </c>
      <c r="D19" s="1733" t="s">
        <v>7628</v>
      </c>
      <c r="E19" s="1734" t="s">
        <v>3293</v>
      </c>
      <c r="F19" s="1735"/>
      <c r="G19" s="1736">
        <v>0</v>
      </c>
      <c r="H19" s="1727">
        <v>0</v>
      </c>
      <c r="I19" s="1728">
        <f t="shared" si="6"/>
        <v>0</v>
      </c>
      <c r="J19" s="1737">
        <v>1</v>
      </c>
      <c r="K19" s="1738">
        <v>37772727</v>
      </c>
      <c r="L19" s="1739">
        <f t="shared" si="7"/>
        <v>37772727</v>
      </c>
      <c r="M19" s="1737">
        <v>9</v>
      </c>
      <c r="N19" s="1738">
        <v>349409092</v>
      </c>
      <c r="O19" s="1739">
        <f t="shared" si="8"/>
        <v>38823232.444444448</v>
      </c>
      <c r="P19" s="1737">
        <v>10</v>
      </c>
      <c r="Q19" s="1738">
        <f t="shared" si="9"/>
        <v>395000000</v>
      </c>
      <c r="R19" s="1739">
        <v>39500000</v>
      </c>
      <c r="S19" s="1740">
        <v>15</v>
      </c>
      <c r="T19" s="1738">
        <f t="shared" si="10"/>
        <v>622125000</v>
      </c>
      <c r="U19" s="1739">
        <f t="shared" si="23"/>
        <v>41475000</v>
      </c>
      <c r="V19" s="1740">
        <v>20</v>
      </c>
      <c r="W19" s="1738">
        <f t="shared" si="0"/>
        <v>870975000</v>
      </c>
      <c r="X19" s="1739">
        <f t="shared" si="1"/>
        <v>43548750</v>
      </c>
      <c r="Y19" s="1740">
        <v>25</v>
      </c>
      <c r="Z19" s="1738">
        <f t="shared" si="2"/>
        <v>1143154687.5</v>
      </c>
      <c r="AA19" s="1739">
        <f t="shared" si="3"/>
        <v>45726187.5</v>
      </c>
      <c r="AB19" s="1740">
        <v>30</v>
      </c>
      <c r="AC19" s="1738">
        <f t="shared" si="4"/>
        <v>1440374906.25</v>
      </c>
      <c r="AD19" s="1741">
        <f t="shared" si="5"/>
        <v>48012496.875</v>
      </c>
      <c r="AE19" s="1740">
        <v>0</v>
      </c>
      <c r="AF19" s="1738">
        <v>27057058</v>
      </c>
      <c r="AG19" s="1738">
        <v>25769993</v>
      </c>
      <c r="AH19" s="1738">
        <f t="shared" si="14"/>
        <v>222073553.43393159</v>
      </c>
      <c r="AI19" s="1738">
        <f t="shared" si="15"/>
        <v>349765846.65844226</v>
      </c>
      <c r="AJ19" s="1738">
        <f t="shared" si="16"/>
        <v>489672185.32181919</v>
      </c>
      <c r="AK19" s="1738">
        <f t="shared" si="17"/>
        <v>642694743.23488772</v>
      </c>
      <c r="AL19" s="1739">
        <f t="shared" si="18"/>
        <v>809795376.47595847</v>
      </c>
      <c r="AM19" s="1743">
        <f t="shared" si="20"/>
        <v>0</v>
      </c>
      <c r="AN19" s="1743">
        <f t="shared" si="21"/>
        <v>0.71631200998540556</v>
      </c>
      <c r="AO19" s="1743">
        <f t="shared" si="22"/>
        <v>0.66377762430978748</v>
      </c>
      <c r="AP19" s="1742"/>
    </row>
    <row r="20" spans="2:42" x14ac:dyDescent="0.3">
      <c r="B20" s="1732" t="s">
        <v>7638</v>
      </c>
      <c r="C20" s="1733" t="s">
        <v>2802</v>
      </c>
      <c r="D20" s="1733" t="s">
        <v>7628</v>
      </c>
      <c r="E20" s="1734" t="s">
        <v>7639</v>
      </c>
      <c r="F20" s="1735"/>
      <c r="G20" s="1736">
        <v>0</v>
      </c>
      <c r="H20" s="1727">
        <v>0</v>
      </c>
      <c r="I20" s="1728">
        <f t="shared" si="6"/>
        <v>0</v>
      </c>
      <c r="J20" s="1737">
        <v>0</v>
      </c>
      <c r="K20" s="1738">
        <v>0</v>
      </c>
      <c r="L20" s="1739">
        <f t="shared" si="7"/>
        <v>0</v>
      </c>
      <c r="M20" s="1737">
        <v>10</v>
      </c>
      <c r="N20" s="1738">
        <v>571862000</v>
      </c>
      <c r="O20" s="1739">
        <f t="shared" si="8"/>
        <v>57186200</v>
      </c>
      <c r="P20" s="1737">
        <v>0</v>
      </c>
      <c r="Q20" s="1738">
        <f t="shared" si="9"/>
        <v>0</v>
      </c>
      <c r="R20" s="1739">
        <v>0</v>
      </c>
      <c r="S20" s="1740">
        <v>0</v>
      </c>
      <c r="T20" s="1738">
        <f t="shared" si="10"/>
        <v>0</v>
      </c>
      <c r="U20" s="1739">
        <f t="shared" si="23"/>
        <v>0</v>
      </c>
      <c r="V20" s="1740">
        <v>0</v>
      </c>
      <c r="W20" s="1738">
        <f t="shared" si="0"/>
        <v>0</v>
      </c>
      <c r="X20" s="1739">
        <f t="shared" si="1"/>
        <v>0</v>
      </c>
      <c r="Y20" s="1740">
        <v>0</v>
      </c>
      <c r="Z20" s="1738">
        <f t="shared" si="2"/>
        <v>0</v>
      </c>
      <c r="AA20" s="1739">
        <f t="shared" si="3"/>
        <v>0</v>
      </c>
      <c r="AB20" s="1740">
        <v>0</v>
      </c>
      <c r="AC20" s="1738">
        <f t="shared" si="4"/>
        <v>0</v>
      </c>
      <c r="AD20" s="1741">
        <f t="shared" si="5"/>
        <v>0</v>
      </c>
      <c r="AE20" s="1740">
        <v>0</v>
      </c>
      <c r="AF20" s="1738">
        <v>27538989</v>
      </c>
      <c r="AG20" s="1738">
        <v>24355475</v>
      </c>
      <c r="AH20" s="1738">
        <f t="shared" si="14"/>
        <v>0</v>
      </c>
      <c r="AI20" s="1738">
        <f t="shared" si="15"/>
        <v>0</v>
      </c>
      <c r="AJ20" s="1738">
        <f t="shared" si="16"/>
        <v>0</v>
      </c>
      <c r="AK20" s="1738">
        <f t="shared" si="17"/>
        <v>0</v>
      </c>
      <c r="AL20" s="1739">
        <f t="shared" si="18"/>
        <v>0</v>
      </c>
      <c r="AM20" s="1743">
        <f t="shared" si="20"/>
        <v>0</v>
      </c>
      <c r="AN20" s="1743">
        <f t="shared" si="21"/>
        <v>0</v>
      </c>
      <c r="AO20" s="1743">
        <f t="shared" si="22"/>
        <v>0.42589776904218152</v>
      </c>
      <c r="AP20" s="1742"/>
    </row>
    <row r="21" spans="2:42" x14ac:dyDescent="0.3">
      <c r="B21" s="1732" t="s">
        <v>7640</v>
      </c>
      <c r="C21" s="1733" t="s">
        <v>2802</v>
      </c>
      <c r="D21" s="1733" t="s">
        <v>7641</v>
      </c>
      <c r="E21" s="1734" t="s">
        <v>3293</v>
      </c>
      <c r="F21" s="1735"/>
      <c r="G21" s="1736">
        <v>107</v>
      </c>
      <c r="H21" s="1727">
        <v>4630154365</v>
      </c>
      <c r="I21" s="1728">
        <f t="shared" si="6"/>
        <v>43272470.700934581</v>
      </c>
      <c r="J21" s="1737">
        <v>155</v>
      </c>
      <c r="K21" s="1738">
        <v>6300595090</v>
      </c>
      <c r="L21" s="1739">
        <f t="shared" si="7"/>
        <v>40649000.580645159</v>
      </c>
      <c r="M21" s="1737">
        <v>216</v>
      </c>
      <c r="N21" s="1738">
        <v>8816713774.545454</v>
      </c>
      <c r="O21" s="1739">
        <f t="shared" si="8"/>
        <v>40818119.326599322</v>
      </c>
      <c r="P21" s="1737">
        <v>240</v>
      </c>
      <c r="Q21" s="1738">
        <f t="shared" si="9"/>
        <v>9960000000</v>
      </c>
      <c r="R21" s="1739">
        <v>41500000</v>
      </c>
      <c r="S21" s="1740">
        <v>250</v>
      </c>
      <c r="T21" s="1738">
        <f t="shared" si="10"/>
        <v>10893750000</v>
      </c>
      <c r="U21" s="1739">
        <f t="shared" si="23"/>
        <v>43575000</v>
      </c>
      <c r="V21" s="1740">
        <v>260</v>
      </c>
      <c r="W21" s="1738">
        <f t="shared" si="0"/>
        <v>11895975000</v>
      </c>
      <c r="X21" s="1739">
        <f t="shared" si="1"/>
        <v>45753750</v>
      </c>
      <c r="Y21" s="1740">
        <v>265</v>
      </c>
      <c r="Z21" s="1738">
        <f t="shared" si="2"/>
        <v>12730980937.5</v>
      </c>
      <c r="AA21" s="1739">
        <f t="shared" si="3"/>
        <v>48041437.5</v>
      </c>
      <c r="AB21" s="1740">
        <v>275</v>
      </c>
      <c r="AC21" s="1738">
        <f t="shared" si="4"/>
        <v>13871965078.125</v>
      </c>
      <c r="AD21" s="1741">
        <f t="shared" si="5"/>
        <v>50443509.375</v>
      </c>
      <c r="AE21" s="1740">
        <v>25404429</v>
      </c>
      <c r="AF21" s="1738">
        <v>27538989</v>
      </c>
      <c r="AG21" s="1738">
        <v>24355475</v>
      </c>
      <c r="AH21" s="1738">
        <f t="shared" si="14"/>
        <v>5599626815.7011614</v>
      </c>
      <c r="AI21" s="1738">
        <f t="shared" si="15"/>
        <v>6124591829.6731453</v>
      </c>
      <c r="AJ21" s="1738">
        <f t="shared" si="16"/>
        <v>6688054278.0030746</v>
      </c>
      <c r="AK21" s="1738">
        <f t="shared" si="17"/>
        <v>7157504241.7475214</v>
      </c>
      <c r="AL21" s="1739">
        <f t="shared" si="18"/>
        <v>7798978678.5079117</v>
      </c>
      <c r="AM21" s="1743">
        <f t="shared" si="20"/>
        <v>0.58708062166303177</v>
      </c>
      <c r="AN21" s="1743">
        <f t="shared" si="21"/>
        <v>0.67748256061952394</v>
      </c>
      <c r="AO21" s="1743">
        <f t="shared" si="22"/>
        <v>0.59668292909635934</v>
      </c>
      <c r="AP21" s="1742"/>
    </row>
    <row r="22" spans="2:42" x14ac:dyDescent="0.3">
      <c r="B22" s="1732" t="s">
        <v>7642</v>
      </c>
      <c r="C22" s="1733" t="s">
        <v>2802</v>
      </c>
      <c r="D22" s="1733" t="s">
        <v>7628</v>
      </c>
      <c r="E22" s="1734" t="s">
        <v>3293</v>
      </c>
      <c r="F22" s="1735"/>
      <c r="G22" s="1736">
        <v>0</v>
      </c>
      <c r="H22" s="1727">
        <v>0</v>
      </c>
      <c r="I22" s="1728">
        <f t="shared" si="6"/>
        <v>0</v>
      </c>
      <c r="J22" s="1737">
        <v>0</v>
      </c>
      <c r="K22" s="1738">
        <v>0</v>
      </c>
      <c r="L22" s="1739">
        <f t="shared" si="7"/>
        <v>0</v>
      </c>
      <c r="M22" s="1737">
        <v>3</v>
      </c>
      <c r="N22" s="1738">
        <v>60916000</v>
      </c>
      <c r="O22" s="1739">
        <f t="shared" si="8"/>
        <v>20305333.333333332</v>
      </c>
      <c r="P22" s="1737">
        <v>0</v>
      </c>
      <c r="Q22" s="1738">
        <f t="shared" si="9"/>
        <v>0</v>
      </c>
      <c r="R22" s="1739">
        <v>0</v>
      </c>
      <c r="S22" s="1740">
        <v>0</v>
      </c>
      <c r="T22" s="1738">
        <f t="shared" si="10"/>
        <v>0</v>
      </c>
      <c r="U22" s="1739">
        <f t="shared" si="23"/>
        <v>0</v>
      </c>
      <c r="V22" s="1740">
        <v>0</v>
      </c>
      <c r="W22" s="1738">
        <f t="shared" si="0"/>
        <v>0</v>
      </c>
      <c r="X22" s="1739">
        <f t="shared" si="1"/>
        <v>0</v>
      </c>
      <c r="Y22" s="1740">
        <v>0</v>
      </c>
      <c r="Z22" s="1738">
        <f t="shared" si="2"/>
        <v>0</v>
      </c>
      <c r="AA22" s="1739">
        <f t="shared" si="3"/>
        <v>0</v>
      </c>
      <c r="AB22" s="1740">
        <v>0</v>
      </c>
      <c r="AC22" s="1738">
        <f t="shared" si="4"/>
        <v>0</v>
      </c>
      <c r="AD22" s="1741">
        <f t="shared" si="5"/>
        <v>0</v>
      </c>
      <c r="AE22" s="1740">
        <v>0</v>
      </c>
      <c r="AF22" s="1738">
        <v>0</v>
      </c>
      <c r="AG22" s="1738">
        <v>14709091</v>
      </c>
      <c r="AH22" s="1738">
        <f t="shared" si="14"/>
        <v>0</v>
      </c>
      <c r="AI22" s="1738">
        <f t="shared" si="15"/>
        <v>0</v>
      </c>
      <c r="AJ22" s="1738">
        <f t="shared" si="16"/>
        <v>0</v>
      </c>
      <c r="AK22" s="1738">
        <f t="shared" si="17"/>
        <v>0</v>
      </c>
      <c r="AL22" s="1739">
        <f t="shared" si="18"/>
        <v>0</v>
      </c>
      <c r="AM22" s="1743">
        <f t="shared" si="20"/>
        <v>0</v>
      </c>
      <c r="AN22" s="1743">
        <f t="shared" si="21"/>
        <v>0</v>
      </c>
      <c r="AO22" s="1743">
        <f t="shared" si="22"/>
        <v>0.72439544618819363</v>
      </c>
      <c r="AP22" s="1742"/>
    </row>
    <row r="23" spans="2:42" x14ac:dyDescent="0.3">
      <c r="B23" s="1732" t="s">
        <v>7643</v>
      </c>
      <c r="C23" s="1733" t="s">
        <v>2802</v>
      </c>
      <c r="D23" s="1733" t="s">
        <v>7628</v>
      </c>
      <c r="E23" s="1734" t="s">
        <v>7644</v>
      </c>
      <c r="F23" s="1735"/>
      <c r="G23" s="1736">
        <v>0</v>
      </c>
      <c r="H23" s="1727">
        <v>0</v>
      </c>
      <c r="I23" s="1728">
        <f t="shared" si="6"/>
        <v>0</v>
      </c>
      <c r="J23" s="1737">
        <v>0</v>
      </c>
      <c r="K23" s="1738">
        <v>0</v>
      </c>
      <c r="L23" s="1739">
        <f t="shared" si="7"/>
        <v>0</v>
      </c>
      <c r="M23" s="1737">
        <v>15</v>
      </c>
      <c r="N23" s="1738">
        <v>627631500</v>
      </c>
      <c r="O23" s="1739">
        <f t="shared" si="8"/>
        <v>41842100</v>
      </c>
      <c r="P23" s="1737">
        <v>60</v>
      </c>
      <c r="Q23" s="1738">
        <f t="shared" si="9"/>
        <v>2520000000</v>
      </c>
      <c r="R23" s="1739">
        <v>42000000</v>
      </c>
      <c r="S23" s="1740">
        <f>P23*1.1</f>
        <v>66</v>
      </c>
      <c r="T23" s="1738">
        <f t="shared" si="10"/>
        <v>2910600000</v>
      </c>
      <c r="U23" s="1739">
        <f t="shared" si="23"/>
        <v>44100000</v>
      </c>
      <c r="V23" s="1740">
        <f>S23*1.1</f>
        <v>72.600000000000009</v>
      </c>
      <c r="W23" s="1738">
        <f t="shared" si="0"/>
        <v>3361743000.0000005</v>
      </c>
      <c r="X23" s="1739">
        <f t="shared" si="1"/>
        <v>46305000</v>
      </c>
      <c r="Y23" s="1740">
        <f>V23*1.1</f>
        <v>79.860000000000014</v>
      </c>
      <c r="Z23" s="1738">
        <f t="shared" si="2"/>
        <v>3882813165.0000005</v>
      </c>
      <c r="AA23" s="1739">
        <f t="shared" si="3"/>
        <v>48620250</v>
      </c>
      <c r="AB23" s="1740">
        <v>90</v>
      </c>
      <c r="AC23" s="1738">
        <f t="shared" si="4"/>
        <v>4594613625</v>
      </c>
      <c r="AD23" s="1741">
        <f t="shared" si="5"/>
        <v>51051262.5</v>
      </c>
      <c r="AE23" s="1740">
        <v>0</v>
      </c>
      <c r="AF23" s="1738">
        <v>0</v>
      </c>
      <c r="AG23" s="1738">
        <v>24355475</v>
      </c>
      <c r="AH23" s="1738">
        <f t="shared" si="14"/>
        <v>1416773049.7557156</v>
      </c>
      <c r="AI23" s="1738">
        <f t="shared" si="15"/>
        <v>1636372872.4678514</v>
      </c>
      <c r="AJ23" s="1738">
        <f t="shared" si="16"/>
        <v>1890010667.7003686</v>
      </c>
      <c r="AK23" s="1738">
        <f t="shared" si="17"/>
        <v>2182962321.1939259</v>
      </c>
      <c r="AL23" s="1739">
        <f t="shared" si="18"/>
        <v>2583144745.2144499</v>
      </c>
      <c r="AM23" s="1743">
        <f t="shared" si="20"/>
        <v>0</v>
      </c>
      <c r="AN23" s="1743">
        <f t="shared" si="21"/>
        <v>0</v>
      </c>
      <c r="AO23" s="1743">
        <f t="shared" si="22"/>
        <v>0.58208060780888149</v>
      </c>
      <c r="AP23" s="1742"/>
    </row>
    <row r="24" spans="2:42" x14ac:dyDescent="0.3">
      <c r="B24" s="1732" t="s">
        <v>7645</v>
      </c>
      <c r="C24" s="1733" t="s">
        <v>2802</v>
      </c>
      <c r="D24" s="1733" t="s">
        <v>7641</v>
      </c>
      <c r="E24" s="1734" t="s">
        <v>7626</v>
      </c>
      <c r="F24" s="1735"/>
      <c r="G24" s="1736">
        <v>13</v>
      </c>
      <c r="H24" s="1727">
        <v>560789090</v>
      </c>
      <c r="I24" s="1728">
        <f t="shared" si="6"/>
        <v>43137622.307692304</v>
      </c>
      <c r="J24" s="1737">
        <v>10</v>
      </c>
      <c r="K24" s="1738">
        <v>447030000</v>
      </c>
      <c r="L24" s="1739">
        <f t="shared" si="7"/>
        <v>44703000</v>
      </c>
      <c r="M24" s="1737">
        <v>8</v>
      </c>
      <c r="N24" s="1738">
        <v>334572726</v>
      </c>
      <c r="O24" s="1739">
        <f t="shared" si="8"/>
        <v>41821590.75</v>
      </c>
      <c r="P24" s="1737">
        <v>0</v>
      </c>
      <c r="Q24" s="1738">
        <f t="shared" si="9"/>
        <v>0</v>
      </c>
      <c r="R24" s="1739">
        <v>0</v>
      </c>
      <c r="S24" s="1740">
        <v>0</v>
      </c>
      <c r="T24" s="1738">
        <f t="shared" si="10"/>
        <v>0</v>
      </c>
      <c r="U24" s="1739">
        <f t="shared" si="23"/>
        <v>0</v>
      </c>
      <c r="V24" s="1740">
        <v>0</v>
      </c>
      <c r="W24" s="1738">
        <f t="shared" si="0"/>
        <v>0</v>
      </c>
      <c r="X24" s="1739">
        <f t="shared" si="1"/>
        <v>0</v>
      </c>
      <c r="Y24" s="1740">
        <v>0</v>
      </c>
      <c r="Z24" s="1738">
        <f t="shared" si="2"/>
        <v>0</v>
      </c>
      <c r="AA24" s="1739">
        <f t="shared" si="3"/>
        <v>0</v>
      </c>
      <c r="AB24" s="1740">
        <v>0</v>
      </c>
      <c r="AC24" s="1738">
        <f t="shared" si="4"/>
        <v>0</v>
      </c>
      <c r="AD24" s="1741">
        <f t="shared" si="5"/>
        <v>0</v>
      </c>
      <c r="AE24" s="1740">
        <v>22691752</v>
      </c>
      <c r="AF24" s="1738">
        <v>24067442</v>
      </c>
      <c r="AG24" s="1738">
        <v>24209745</v>
      </c>
      <c r="AH24" s="1738">
        <f t="shared" si="14"/>
        <v>0</v>
      </c>
      <c r="AI24" s="1738">
        <f t="shared" si="15"/>
        <v>0</v>
      </c>
      <c r="AJ24" s="1738">
        <f t="shared" si="16"/>
        <v>0</v>
      </c>
      <c r="AK24" s="1738">
        <f t="shared" si="17"/>
        <v>0</v>
      </c>
      <c r="AL24" s="1739">
        <f t="shared" si="18"/>
        <v>0</v>
      </c>
      <c r="AM24" s="1743">
        <f t="shared" si="20"/>
        <v>0.52603158880997491</v>
      </c>
      <c r="AN24" s="1743">
        <f t="shared" si="21"/>
        <v>0.53838538800527924</v>
      </c>
      <c r="AO24" s="1743">
        <f t="shared" si="22"/>
        <v>0.57888149555860691</v>
      </c>
      <c r="AP24" s="1742"/>
    </row>
    <row r="25" spans="2:42" x14ac:dyDescent="0.3">
      <c r="B25" s="1744" t="s">
        <v>7646</v>
      </c>
      <c r="C25" s="1733" t="s">
        <v>2802</v>
      </c>
      <c r="D25" s="1733" t="s">
        <v>7628</v>
      </c>
      <c r="E25" s="1734" t="s">
        <v>3293</v>
      </c>
      <c r="F25" s="1735"/>
      <c r="G25" s="1736">
        <v>0</v>
      </c>
      <c r="H25" s="1727">
        <v>0</v>
      </c>
      <c r="I25" s="1728">
        <f t="shared" si="6"/>
        <v>0</v>
      </c>
      <c r="J25" s="1737">
        <v>4</v>
      </c>
      <c r="K25" s="1738">
        <v>166600000</v>
      </c>
      <c r="L25" s="1739">
        <f t="shared" si="7"/>
        <v>41650000</v>
      </c>
      <c r="M25" s="1737">
        <v>10</v>
      </c>
      <c r="N25" s="1738">
        <v>434219999</v>
      </c>
      <c r="O25" s="1739">
        <f t="shared" si="8"/>
        <v>43421999.899999999</v>
      </c>
      <c r="P25" s="1737">
        <v>11</v>
      </c>
      <c r="Q25" s="1738">
        <f t="shared" si="9"/>
        <v>456500000</v>
      </c>
      <c r="R25" s="1739">
        <v>41500000</v>
      </c>
      <c r="S25" s="1740">
        <v>15</v>
      </c>
      <c r="T25" s="1738">
        <f t="shared" si="10"/>
        <v>653625000</v>
      </c>
      <c r="U25" s="1739">
        <f t="shared" si="23"/>
        <v>43575000</v>
      </c>
      <c r="V25" s="1740">
        <v>20</v>
      </c>
      <c r="W25" s="1738">
        <f t="shared" si="0"/>
        <v>915075000</v>
      </c>
      <c r="X25" s="1739">
        <f t="shared" si="1"/>
        <v>45753750</v>
      </c>
      <c r="Y25" s="1740">
        <v>25</v>
      </c>
      <c r="Z25" s="1738">
        <f t="shared" si="2"/>
        <v>1201035937.5</v>
      </c>
      <c r="AA25" s="1739">
        <f t="shared" si="3"/>
        <v>48041437.5</v>
      </c>
      <c r="AB25" s="1740">
        <v>25</v>
      </c>
      <c r="AC25" s="1738">
        <f t="shared" si="4"/>
        <v>1261087734.375</v>
      </c>
      <c r="AD25" s="1741">
        <f t="shared" si="5"/>
        <v>50443509.375</v>
      </c>
      <c r="AE25" s="1740">
        <v>0</v>
      </c>
      <c r="AF25" s="1738">
        <v>28106673</v>
      </c>
      <c r="AG25" s="1738">
        <v>26627275</v>
      </c>
      <c r="AH25" s="1738">
        <f t="shared" si="14"/>
        <v>256649562.38630322</v>
      </c>
      <c r="AI25" s="1738">
        <f t="shared" si="15"/>
        <v>367475509.78038871</v>
      </c>
      <c r="AJ25" s="1738">
        <f t="shared" si="16"/>
        <v>514465713.69254416</v>
      </c>
      <c r="AK25" s="1738">
        <f t="shared" si="17"/>
        <v>675236249.22146428</v>
      </c>
      <c r="AL25" s="1739">
        <f t="shared" si="18"/>
        <v>708998061.68253744</v>
      </c>
      <c r="AM25" s="1743">
        <f t="shared" si="20"/>
        <v>0</v>
      </c>
      <c r="AN25" s="1743">
        <f t="shared" si="21"/>
        <v>0.67483008403361344</v>
      </c>
      <c r="AO25" s="1743">
        <f t="shared" si="22"/>
        <v>0.61322083416982365</v>
      </c>
      <c r="AP25" s="1742"/>
    </row>
    <row r="26" spans="2:42" x14ac:dyDescent="0.3">
      <c r="B26" s="1732" t="s">
        <v>7647</v>
      </c>
      <c r="C26" s="1733" t="s">
        <v>2802</v>
      </c>
      <c r="D26" s="1733" t="s">
        <v>7628</v>
      </c>
      <c r="E26" s="1734" t="s">
        <v>7639</v>
      </c>
      <c r="F26" s="1735"/>
      <c r="G26" s="1736">
        <v>0</v>
      </c>
      <c r="H26" s="1727">
        <v>0</v>
      </c>
      <c r="I26" s="1728">
        <f t="shared" si="6"/>
        <v>0</v>
      </c>
      <c r="J26" s="1737">
        <v>0</v>
      </c>
      <c r="K26" s="1738">
        <v>0</v>
      </c>
      <c r="L26" s="1739">
        <f t="shared" si="7"/>
        <v>0</v>
      </c>
      <c r="M26" s="1737">
        <v>1</v>
      </c>
      <c r="N26" s="1738">
        <v>68487300</v>
      </c>
      <c r="O26" s="1739">
        <f t="shared" si="8"/>
        <v>68487300</v>
      </c>
      <c r="P26" s="1737">
        <v>0</v>
      </c>
      <c r="Q26" s="1738">
        <f t="shared" si="9"/>
        <v>0</v>
      </c>
      <c r="R26" s="1739">
        <v>65000000</v>
      </c>
      <c r="S26" s="1740">
        <v>0</v>
      </c>
      <c r="T26" s="1738">
        <f t="shared" si="10"/>
        <v>0</v>
      </c>
      <c r="U26" s="1739">
        <f t="shared" si="23"/>
        <v>68250000</v>
      </c>
      <c r="V26" s="1740">
        <v>0</v>
      </c>
      <c r="W26" s="1738">
        <f t="shared" si="0"/>
        <v>0</v>
      </c>
      <c r="X26" s="1739">
        <f t="shared" si="1"/>
        <v>71662500</v>
      </c>
      <c r="Y26" s="1740">
        <v>0</v>
      </c>
      <c r="Z26" s="1738">
        <f t="shared" si="2"/>
        <v>0</v>
      </c>
      <c r="AA26" s="1739">
        <f t="shared" si="3"/>
        <v>75245625</v>
      </c>
      <c r="AB26" s="1740">
        <v>0</v>
      </c>
      <c r="AC26" s="1738">
        <f t="shared" si="4"/>
        <v>0</v>
      </c>
      <c r="AD26" s="1741">
        <f t="shared" si="5"/>
        <v>79007906.25</v>
      </c>
      <c r="AE26" s="1740">
        <v>0</v>
      </c>
      <c r="AF26" s="1738">
        <v>42010733</v>
      </c>
      <c r="AG26" s="1738">
        <v>0</v>
      </c>
      <c r="AH26" s="1738">
        <f t="shared" si="14"/>
        <v>0</v>
      </c>
      <c r="AI26" s="1738">
        <f t="shared" si="15"/>
        <v>0</v>
      </c>
      <c r="AJ26" s="1738">
        <f t="shared" si="16"/>
        <v>0</v>
      </c>
      <c r="AK26" s="1738">
        <f t="shared" si="17"/>
        <v>0</v>
      </c>
      <c r="AL26" s="1739">
        <f t="shared" si="18"/>
        <v>0</v>
      </c>
      <c r="AM26" s="1743">
        <f t="shared" si="20"/>
        <v>0</v>
      </c>
      <c r="AN26" s="1743">
        <f t="shared" si="21"/>
        <v>0</v>
      </c>
      <c r="AO26" s="1743">
        <f t="shared" si="22"/>
        <v>0</v>
      </c>
      <c r="AP26" s="1742"/>
    </row>
    <row r="27" spans="2:42" s="1759" customFormat="1" x14ac:dyDescent="0.3">
      <c r="B27" s="1745" t="s">
        <v>7648</v>
      </c>
      <c r="C27" s="1746" t="s">
        <v>2802</v>
      </c>
      <c r="D27" s="1746" t="s">
        <v>7649</v>
      </c>
      <c r="E27" s="1747" t="s">
        <v>3293</v>
      </c>
      <c r="F27" s="1748" t="s">
        <v>7650</v>
      </c>
      <c r="G27" s="1749">
        <v>76</v>
      </c>
      <c r="H27" s="1750">
        <v>3808209453</v>
      </c>
      <c r="I27" s="1751">
        <f t="shared" si="6"/>
        <v>50108019.118421055</v>
      </c>
      <c r="J27" s="1752">
        <v>111</v>
      </c>
      <c r="K27" s="1753">
        <v>5531341271</v>
      </c>
      <c r="L27" s="1754">
        <f t="shared" si="7"/>
        <v>49831903.342342339</v>
      </c>
      <c r="M27" s="1752">
        <v>156</v>
      </c>
      <c r="N27" s="1753">
        <v>7904761186.818182</v>
      </c>
      <c r="O27" s="1754">
        <f t="shared" si="8"/>
        <v>50671546.069347322</v>
      </c>
      <c r="P27" s="1755">
        <f>(1+RATE(2,0,-G27,M27))*M27</f>
        <v>223.50132461635022</v>
      </c>
      <c r="Q27" s="1753">
        <f t="shared" si="9"/>
        <v>11510318217.742037</v>
      </c>
      <c r="R27" s="1754">
        <v>51500000</v>
      </c>
      <c r="S27" s="1755">
        <f>P27*1.1</f>
        <v>245.85145707798526</v>
      </c>
      <c r="T27" s="1753">
        <f t="shared" si="10"/>
        <v>13294417541.492052</v>
      </c>
      <c r="U27" s="1754">
        <f t="shared" si="23"/>
        <v>54075000</v>
      </c>
      <c r="V27" s="1755">
        <v>190</v>
      </c>
      <c r="W27" s="1753">
        <f t="shared" si="0"/>
        <v>10787962500</v>
      </c>
      <c r="X27" s="1754">
        <f t="shared" si="1"/>
        <v>56778750</v>
      </c>
      <c r="Y27" s="1755">
        <v>210</v>
      </c>
      <c r="Z27" s="1753">
        <f t="shared" si="2"/>
        <v>12519714375</v>
      </c>
      <c r="AA27" s="1754">
        <f t="shared" si="3"/>
        <v>59617687.5</v>
      </c>
      <c r="AB27" s="1755">
        <v>220</v>
      </c>
      <c r="AC27" s="1753">
        <f t="shared" si="4"/>
        <v>13771685812.5</v>
      </c>
      <c r="AD27" s="1756">
        <f t="shared" si="5"/>
        <v>62598571.875</v>
      </c>
      <c r="AE27" s="1755">
        <v>25245801</v>
      </c>
      <c r="AF27" s="1753">
        <v>29250378</v>
      </c>
      <c r="AG27" s="1753">
        <v>28347344</v>
      </c>
      <c r="AH27" s="1753">
        <f t="shared" si="14"/>
        <v>6471233589.2893486</v>
      </c>
      <c r="AI27" s="1753">
        <f t="shared" si="15"/>
        <v>7474274795.6291971</v>
      </c>
      <c r="AJ27" s="1753">
        <f t="shared" si="16"/>
        <v>6065116877.6886082</v>
      </c>
      <c r="AK27" s="1753">
        <f t="shared" si="17"/>
        <v>7038727744.8965168</v>
      </c>
      <c r="AL27" s="1754">
        <f t="shared" si="18"/>
        <v>7742600519.3861685</v>
      </c>
      <c r="AM27" s="1757">
        <f t="shared" si="20"/>
        <v>0.50382755982303373</v>
      </c>
      <c r="AN27" s="1757">
        <f t="shared" si="21"/>
        <v>0.58698095071848988</v>
      </c>
      <c r="AO27" s="1757">
        <f t="shared" si="22"/>
        <v>0.55943317697874873</v>
      </c>
      <c r="AP27" s="1758"/>
    </row>
    <row r="28" spans="2:42" s="1759" customFormat="1" x14ac:dyDescent="0.3">
      <c r="B28" s="1745" t="s">
        <v>7651</v>
      </c>
      <c r="C28" s="1746" t="s">
        <v>2802</v>
      </c>
      <c r="D28" s="1746" t="s">
        <v>7649</v>
      </c>
      <c r="E28" s="1747" t="s">
        <v>3293</v>
      </c>
      <c r="F28" s="1748" t="s">
        <v>7650</v>
      </c>
      <c r="G28" s="1749">
        <v>21</v>
      </c>
      <c r="H28" s="1750">
        <v>1124013636</v>
      </c>
      <c r="I28" s="1751">
        <f t="shared" si="6"/>
        <v>53524458.857142858</v>
      </c>
      <c r="J28" s="1752">
        <v>12</v>
      </c>
      <c r="K28" s="1753">
        <v>639618181</v>
      </c>
      <c r="L28" s="1754">
        <f t="shared" si="7"/>
        <v>53301515.083333336</v>
      </c>
      <c r="M28" s="1752">
        <v>45</v>
      </c>
      <c r="N28" s="1753">
        <v>2703129532.272727</v>
      </c>
      <c r="O28" s="1754">
        <f t="shared" si="8"/>
        <v>60069545.161616154</v>
      </c>
      <c r="P28" s="1755">
        <f>(1+RATE(2,0,-G28,M28))*M28</f>
        <v>65.873254924025986</v>
      </c>
      <c r="Q28" s="1753">
        <f t="shared" si="9"/>
        <v>3662552973.7758446</v>
      </c>
      <c r="R28" s="1754">
        <v>55600000</v>
      </c>
      <c r="S28" s="1755">
        <f>P28*1.1</f>
        <v>72.460580416428584</v>
      </c>
      <c r="T28" s="1753">
        <f t="shared" si="10"/>
        <v>4230248684.7111006</v>
      </c>
      <c r="U28" s="1754">
        <f t="shared" si="23"/>
        <v>58380000</v>
      </c>
      <c r="V28" s="1755">
        <v>60</v>
      </c>
      <c r="W28" s="1753">
        <f t="shared" si="0"/>
        <v>3677940000</v>
      </c>
      <c r="X28" s="1754">
        <f t="shared" si="1"/>
        <v>61299000</v>
      </c>
      <c r="Y28" s="1755">
        <v>60</v>
      </c>
      <c r="Z28" s="1753">
        <f t="shared" si="2"/>
        <v>3861837000</v>
      </c>
      <c r="AA28" s="1754">
        <f t="shared" si="3"/>
        <v>64363950</v>
      </c>
      <c r="AB28" s="1755">
        <v>70</v>
      </c>
      <c r="AC28" s="1753">
        <f t="shared" si="4"/>
        <v>4730750325</v>
      </c>
      <c r="AD28" s="1756">
        <f t="shared" si="5"/>
        <v>67582147.5</v>
      </c>
      <c r="AE28" s="1755">
        <v>26113208</v>
      </c>
      <c r="AF28" s="1753">
        <v>30400159</v>
      </c>
      <c r="AG28" s="1753">
        <v>29357650</v>
      </c>
      <c r="AH28" s="1753">
        <f t="shared" si="14"/>
        <v>2059129502.5985193</v>
      </c>
      <c r="AI28" s="1753">
        <f t="shared" si="15"/>
        <v>2378294575.5012898</v>
      </c>
      <c r="AJ28" s="1753">
        <f t="shared" si="16"/>
        <v>2067780266.1184669</v>
      </c>
      <c r="AK28" s="1753">
        <f t="shared" si="17"/>
        <v>2171169279.4243903</v>
      </c>
      <c r="AL28" s="1754">
        <f t="shared" si="18"/>
        <v>2659682367.294878</v>
      </c>
      <c r="AM28" s="1757">
        <f t="shared" si="20"/>
        <v>0.48787430190926973</v>
      </c>
      <c r="AN28" s="1757">
        <f t="shared" si="21"/>
        <v>0.57034324357330923</v>
      </c>
      <c r="AO28" s="1757">
        <f t="shared" si="22"/>
        <v>0.48872768923110221</v>
      </c>
      <c r="AP28" s="1758"/>
    </row>
    <row r="29" spans="2:42" x14ac:dyDescent="0.3">
      <c r="B29" s="1732" t="s">
        <v>7652</v>
      </c>
      <c r="C29" s="1733" t="s">
        <v>2802</v>
      </c>
      <c r="D29" s="1733" t="s">
        <v>3040</v>
      </c>
      <c r="E29" s="1734" t="s">
        <v>3293</v>
      </c>
      <c r="F29" s="1735"/>
      <c r="G29" s="1736">
        <v>2</v>
      </c>
      <c r="H29" s="1727">
        <v>179627273</v>
      </c>
      <c r="I29" s="1728">
        <f t="shared" si="6"/>
        <v>89813636.5</v>
      </c>
      <c r="J29" s="1737">
        <v>3</v>
      </c>
      <c r="K29" s="1738">
        <v>195693637</v>
      </c>
      <c r="L29" s="1739">
        <f t="shared" si="7"/>
        <v>65231212.333333336</v>
      </c>
      <c r="M29" s="1737">
        <v>5</v>
      </c>
      <c r="N29" s="1738">
        <v>360228664</v>
      </c>
      <c r="O29" s="1739">
        <f t="shared" si="8"/>
        <v>72045732.799999997</v>
      </c>
      <c r="P29" s="1737">
        <v>6</v>
      </c>
      <c r="Q29" s="1738">
        <f t="shared" si="9"/>
        <v>554400000</v>
      </c>
      <c r="R29" s="1739">
        <v>92400000</v>
      </c>
      <c r="S29" s="1740">
        <v>10</v>
      </c>
      <c r="T29" s="1738">
        <f t="shared" si="10"/>
        <v>970200000</v>
      </c>
      <c r="U29" s="1739">
        <f t="shared" si="23"/>
        <v>97020000</v>
      </c>
      <c r="V29" s="1740">
        <v>15</v>
      </c>
      <c r="W29" s="1738">
        <f t="shared" si="0"/>
        <v>1528065000</v>
      </c>
      <c r="X29" s="1739">
        <f t="shared" si="1"/>
        <v>101871000</v>
      </c>
      <c r="Y29" s="1740">
        <v>20</v>
      </c>
      <c r="Z29" s="1738">
        <f t="shared" si="2"/>
        <v>2139291000</v>
      </c>
      <c r="AA29" s="1739">
        <f t="shared" si="3"/>
        <v>106964550</v>
      </c>
      <c r="AB29" s="1740">
        <v>25</v>
      </c>
      <c r="AC29" s="1738">
        <f t="shared" si="4"/>
        <v>2807819437.5</v>
      </c>
      <c r="AD29" s="1741">
        <f t="shared" si="5"/>
        <v>112312777.5</v>
      </c>
      <c r="AE29" s="1740">
        <v>45577662</v>
      </c>
      <c r="AF29" s="1738">
        <v>45577662</v>
      </c>
      <c r="AG29" s="1738">
        <v>36641987</v>
      </c>
      <c r="AH29" s="1738">
        <f t="shared" si="14"/>
        <v>311690070.94625741</v>
      </c>
      <c r="AI29" s="1738">
        <f t="shared" si="15"/>
        <v>545457624.15595043</v>
      </c>
      <c r="AJ29" s="1738">
        <f t="shared" si="16"/>
        <v>859095758.04562199</v>
      </c>
      <c r="AK29" s="1738">
        <f t="shared" si="17"/>
        <v>1202734061.2638707</v>
      </c>
      <c r="AL29" s="1739">
        <f t="shared" si="18"/>
        <v>1578588455.4088304</v>
      </c>
      <c r="AM29" s="1743">
        <f t="shared" si="20"/>
        <v>0.5074692861367438</v>
      </c>
      <c r="AN29" s="1743">
        <f t="shared" si="21"/>
        <v>0.69870941179349633</v>
      </c>
      <c r="AO29" s="1743">
        <f t="shared" si="22"/>
        <v>0.5085934388608232</v>
      </c>
      <c r="AP29" s="1742"/>
    </row>
    <row r="30" spans="2:42" x14ac:dyDescent="0.3">
      <c r="B30" s="1732" t="s">
        <v>7653</v>
      </c>
      <c r="C30" s="1733" t="s">
        <v>2802</v>
      </c>
      <c r="D30" s="1733" t="s">
        <v>3040</v>
      </c>
      <c r="E30" s="1734" t="s">
        <v>3293</v>
      </c>
      <c r="F30" s="1735"/>
      <c r="G30" s="1736">
        <v>1</v>
      </c>
      <c r="H30" s="1727">
        <v>43500000</v>
      </c>
      <c r="I30" s="1728">
        <f t="shared" si="6"/>
        <v>43500000</v>
      </c>
      <c r="J30" s="1737"/>
      <c r="K30" s="1738"/>
      <c r="L30" s="1739"/>
      <c r="M30" s="1737"/>
      <c r="N30" s="1738"/>
      <c r="O30" s="1739"/>
      <c r="P30" s="1737"/>
      <c r="Q30" s="1738"/>
      <c r="R30" s="1739"/>
      <c r="S30" s="1740"/>
      <c r="T30" s="1738"/>
      <c r="U30" s="1739"/>
      <c r="V30" s="1740"/>
      <c r="W30" s="1738"/>
      <c r="X30" s="1739"/>
      <c r="Y30" s="1740"/>
      <c r="Z30" s="1738"/>
      <c r="AA30" s="1739"/>
      <c r="AB30" s="1740"/>
      <c r="AC30" s="1738"/>
      <c r="AD30" s="1741"/>
      <c r="AE30" s="1740">
        <v>31768060</v>
      </c>
      <c r="AF30" s="1738">
        <v>0</v>
      </c>
      <c r="AG30" s="1738">
        <v>0</v>
      </c>
      <c r="AH30" s="1738">
        <f t="shared" si="14"/>
        <v>0</v>
      </c>
      <c r="AI30" s="1738">
        <f t="shared" si="15"/>
        <v>0</v>
      </c>
      <c r="AJ30" s="1738">
        <f t="shared" si="16"/>
        <v>0</v>
      </c>
      <c r="AK30" s="1738">
        <f t="shared" si="17"/>
        <v>0</v>
      </c>
      <c r="AL30" s="1739">
        <f t="shared" si="18"/>
        <v>0</v>
      </c>
      <c r="AM30" s="1743">
        <f t="shared" si="20"/>
        <v>0.73030022988505749</v>
      </c>
      <c r="AN30" s="1743">
        <f t="shared" si="21"/>
        <v>0</v>
      </c>
      <c r="AO30" s="1743">
        <f t="shared" si="22"/>
        <v>0</v>
      </c>
      <c r="AP30" s="1742"/>
    </row>
    <row r="31" spans="2:42" s="1772" customFormat="1" x14ac:dyDescent="0.3">
      <c r="B31" s="1744" t="s">
        <v>7654</v>
      </c>
      <c r="C31" s="1760" t="s">
        <v>7655</v>
      </c>
      <c r="D31" s="1760" t="s">
        <v>7656</v>
      </c>
      <c r="E31" s="1761" t="s">
        <v>3293</v>
      </c>
      <c r="F31" s="1762"/>
      <c r="G31" s="1763">
        <v>14</v>
      </c>
      <c r="H31" s="1764">
        <v>860527274</v>
      </c>
      <c r="I31" s="1765">
        <f t="shared" si="6"/>
        <v>61466233.857142858</v>
      </c>
      <c r="J31" s="1766">
        <v>10</v>
      </c>
      <c r="K31" s="1767">
        <v>603877272</v>
      </c>
      <c r="L31" s="1768">
        <f t="shared" si="7"/>
        <v>60387727.200000003</v>
      </c>
      <c r="M31" s="1766">
        <v>19</v>
      </c>
      <c r="N31" s="1767">
        <v>1147550818</v>
      </c>
      <c r="O31" s="1768">
        <f t="shared" si="8"/>
        <v>60397411.473684214</v>
      </c>
      <c r="P31" s="1766">
        <v>38</v>
      </c>
      <c r="Q31" s="1767">
        <f t="shared" si="9"/>
        <v>2375000000</v>
      </c>
      <c r="R31" s="1768">
        <v>62500000</v>
      </c>
      <c r="S31" s="1769">
        <v>45</v>
      </c>
      <c r="T31" s="1767">
        <f t="shared" si="10"/>
        <v>2953125000</v>
      </c>
      <c r="U31" s="1768">
        <f t="shared" si="23"/>
        <v>65625000</v>
      </c>
      <c r="V31" s="1769">
        <v>55</v>
      </c>
      <c r="W31" s="1767">
        <f t="shared" si="0"/>
        <v>3789843750</v>
      </c>
      <c r="X31" s="1768">
        <f t="shared" si="1"/>
        <v>68906250</v>
      </c>
      <c r="Y31" s="1769">
        <v>65</v>
      </c>
      <c r="Z31" s="1767">
        <f t="shared" si="2"/>
        <v>4702851562.5</v>
      </c>
      <c r="AA31" s="1768">
        <f t="shared" si="3"/>
        <v>72351562.5</v>
      </c>
      <c r="AB31" s="1769">
        <v>70</v>
      </c>
      <c r="AC31" s="1767">
        <f t="shared" si="4"/>
        <v>5317839843.75</v>
      </c>
      <c r="AD31" s="1770">
        <f t="shared" si="5"/>
        <v>75969140.625</v>
      </c>
      <c r="AE31" s="1740">
        <v>29645766</v>
      </c>
      <c r="AF31" s="1738">
        <v>29161173</v>
      </c>
      <c r="AG31" s="1738">
        <v>29797435</v>
      </c>
      <c r="AH31" s="1767">
        <f t="shared" si="14"/>
        <v>1335252378.2419937</v>
      </c>
      <c r="AI31" s="1767">
        <f t="shared" si="15"/>
        <v>1660280917.6824791</v>
      </c>
      <c r="AJ31" s="1767">
        <f t="shared" si="16"/>
        <v>2130693844.3591814</v>
      </c>
      <c r="AK31" s="1767">
        <f t="shared" si="17"/>
        <v>2643997361.409348</v>
      </c>
      <c r="AL31" s="1768">
        <f t="shared" si="18"/>
        <v>2989750862.5167241</v>
      </c>
      <c r="AM31" s="1743">
        <f t="shared" si="20"/>
        <v>0.48230978440783273</v>
      </c>
      <c r="AN31" s="1743">
        <f t="shared" si="21"/>
        <v>0.48289899872237613</v>
      </c>
      <c r="AO31" s="1743">
        <f t="shared" si="22"/>
        <v>0.49335616002323301</v>
      </c>
      <c r="AP31" s="1771"/>
    </row>
    <row r="32" spans="2:42" s="1772" customFormat="1" x14ac:dyDescent="0.3">
      <c r="B32" s="1744" t="s">
        <v>7657</v>
      </c>
      <c r="C32" s="1760" t="s">
        <v>2802</v>
      </c>
      <c r="D32" s="1760" t="s">
        <v>7628</v>
      </c>
      <c r="E32" s="1761" t="s">
        <v>7639</v>
      </c>
      <c r="F32" s="1762"/>
      <c r="G32" s="1763">
        <v>0</v>
      </c>
      <c r="H32" s="1764">
        <v>0</v>
      </c>
      <c r="I32" s="1765">
        <f t="shared" si="6"/>
        <v>0</v>
      </c>
      <c r="J32" s="1766">
        <v>0</v>
      </c>
      <c r="K32" s="1767">
        <v>0</v>
      </c>
      <c r="L32" s="1768">
        <f t="shared" si="7"/>
        <v>0</v>
      </c>
      <c r="M32" s="1766">
        <v>0</v>
      </c>
      <c r="N32" s="1767">
        <v>0</v>
      </c>
      <c r="O32" s="1768">
        <f t="shared" si="8"/>
        <v>0</v>
      </c>
      <c r="P32" s="1766">
        <v>0</v>
      </c>
      <c r="Q32" s="1767">
        <f t="shared" si="9"/>
        <v>0</v>
      </c>
      <c r="R32" s="1768">
        <v>0</v>
      </c>
      <c r="S32" s="1769">
        <v>0</v>
      </c>
      <c r="T32" s="1767">
        <f t="shared" si="10"/>
        <v>0</v>
      </c>
      <c r="U32" s="1768">
        <f t="shared" si="23"/>
        <v>0</v>
      </c>
      <c r="V32" s="1769">
        <v>0</v>
      </c>
      <c r="W32" s="1767">
        <f t="shared" si="0"/>
        <v>0</v>
      </c>
      <c r="X32" s="1768">
        <f t="shared" si="1"/>
        <v>0</v>
      </c>
      <c r="Y32" s="1769">
        <v>0</v>
      </c>
      <c r="Z32" s="1767">
        <f t="shared" si="2"/>
        <v>0</v>
      </c>
      <c r="AA32" s="1768">
        <f t="shared" si="3"/>
        <v>0</v>
      </c>
      <c r="AB32" s="1769">
        <v>0</v>
      </c>
      <c r="AC32" s="1767">
        <f t="shared" si="4"/>
        <v>0</v>
      </c>
      <c r="AD32" s="1770">
        <f t="shared" si="5"/>
        <v>0</v>
      </c>
      <c r="AE32" s="1740">
        <v>0</v>
      </c>
      <c r="AF32" s="1738">
        <v>9542299</v>
      </c>
      <c r="AG32" s="1738">
        <v>0</v>
      </c>
      <c r="AH32" s="1767">
        <f t="shared" si="14"/>
        <v>0</v>
      </c>
      <c r="AI32" s="1767">
        <f t="shared" si="15"/>
        <v>0</v>
      </c>
      <c r="AJ32" s="1767">
        <f t="shared" si="16"/>
        <v>0</v>
      </c>
      <c r="AK32" s="1767">
        <f t="shared" si="17"/>
        <v>0</v>
      </c>
      <c r="AL32" s="1768">
        <f t="shared" si="18"/>
        <v>0</v>
      </c>
      <c r="AM32" s="1743">
        <f t="shared" si="20"/>
        <v>0</v>
      </c>
      <c r="AN32" s="1743">
        <f t="shared" si="21"/>
        <v>0</v>
      </c>
      <c r="AO32" s="1743">
        <f t="shared" si="22"/>
        <v>0</v>
      </c>
      <c r="AP32" s="1771"/>
    </row>
    <row r="33" spans="2:44" s="1772" customFormat="1" x14ac:dyDescent="0.3">
      <c r="B33" s="1744" t="s">
        <v>7658</v>
      </c>
      <c r="C33" s="1760" t="s">
        <v>7655</v>
      </c>
      <c r="D33" s="1760" t="s">
        <v>7656</v>
      </c>
      <c r="E33" s="1761"/>
      <c r="F33" s="1762"/>
      <c r="G33" s="1763">
        <v>0</v>
      </c>
      <c r="H33" s="1764">
        <v>0</v>
      </c>
      <c r="I33" s="1765">
        <f t="shared" si="6"/>
        <v>0</v>
      </c>
      <c r="J33" s="1766">
        <v>0</v>
      </c>
      <c r="K33" s="1767">
        <v>0</v>
      </c>
      <c r="L33" s="1768">
        <f t="shared" si="7"/>
        <v>0</v>
      </c>
      <c r="M33" s="1766">
        <v>0</v>
      </c>
      <c r="N33" s="1767">
        <v>0</v>
      </c>
      <c r="O33" s="1768">
        <f t="shared" si="8"/>
        <v>0</v>
      </c>
      <c r="P33" s="1766">
        <v>100</v>
      </c>
      <c r="Q33" s="1767">
        <f t="shared" si="9"/>
        <v>11000000000</v>
      </c>
      <c r="R33" s="1768">
        <v>110000000</v>
      </c>
      <c r="S33" s="1769">
        <v>110</v>
      </c>
      <c r="T33" s="1767">
        <f t="shared" si="10"/>
        <v>12705000000</v>
      </c>
      <c r="U33" s="1768">
        <f t="shared" si="23"/>
        <v>115500000</v>
      </c>
      <c r="V33" s="1769">
        <v>140</v>
      </c>
      <c r="W33" s="1767">
        <f t="shared" si="0"/>
        <v>16978500000</v>
      </c>
      <c r="X33" s="1768">
        <f t="shared" si="1"/>
        <v>121275000</v>
      </c>
      <c r="Y33" s="1769">
        <v>140</v>
      </c>
      <c r="Z33" s="1767">
        <f t="shared" si="2"/>
        <v>17827425000</v>
      </c>
      <c r="AA33" s="1768">
        <f t="shared" si="3"/>
        <v>127338750</v>
      </c>
      <c r="AB33" s="1769">
        <v>160</v>
      </c>
      <c r="AC33" s="1767">
        <f t="shared" si="4"/>
        <v>21392910000</v>
      </c>
      <c r="AD33" s="1770">
        <f t="shared" si="5"/>
        <v>133705687.5</v>
      </c>
      <c r="AE33" s="1740">
        <v>0</v>
      </c>
      <c r="AF33" s="1738">
        <v>0</v>
      </c>
      <c r="AG33" s="1738">
        <v>0</v>
      </c>
      <c r="AH33" s="1767">
        <f t="shared" si="14"/>
        <v>6184326804.489234</v>
      </c>
      <c r="AI33" s="1767">
        <f t="shared" si="15"/>
        <v>7142897459.1850653</v>
      </c>
      <c r="AJ33" s="1767">
        <f t="shared" si="16"/>
        <v>9545508422.7291336</v>
      </c>
      <c r="AK33" s="1767">
        <f t="shared" si="17"/>
        <v>10022783843.865589</v>
      </c>
      <c r="AL33" s="1768">
        <f t="shared" si="18"/>
        <v>12027340612.638708</v>
      </c>
      <c r="AM33" s="1743">
        <f t="shared" si="20"/>
        <v>0</v>
      </c>
      <c r="AN33" s="1743">
        <f t="shared" si="21"/>
        <v>0</v>
      </c>
      <c r="AO33" s="1743">
        <f t="shared" si="22"/>
        <v>0</v>
      </c>
      <c r="AP33" s="1772" t="s">
        <v>7659</v>
      </c>
      <c r="AQ33" s="489">
        <f>Q33*0.09</f>
        <v>990000000</v>
      </c>
      <c r="AR33" s="489">
        <f>T33*0.09</f>
        <v>1143450000</v>
      </c>
    </row>
    <row r="34" spans="2:44" s="1772" customFormat="1" x14ac:dyDescent="0.3">
      <c r="B34" s="1744" t="s">
        <v>7660</v>
      </c>
      <c r="C34" s="1760" t="s">
        <v>7655</v>
      </c>
      <c r="D34" s="1760" t="s">
        <v>7656</v>
      </c>
      <c r="E34" s="1761" t="s">
        <v>7661</v>
      </c>
      <c r="F34" s="1762"/>
      <c r="G34" s="1763">
        <v>0</v>
      </c>
      <c r="H34" s="1764">
        <v>0</v>
      </c>
      <c r="I34" s="1765">
        <f t="shared" si="6"/>
        <v>0</v>
      </c>
      <c r="J34" s="1766">
        <v>0</v>
      </c>
      <c r="K34" s="1767">
        <v>0</v>
      </c>
      <c r="L34" s="1768">
        <f t="shared" si="7"/>
        <v>0</v>
      </c>
      <c r="M34" s="1766">
        <v>0</v>
      </c>
      <c r="N34" s="1767">
        <v>0</v>
      </c>
      <c r="O34" s="1768">
        <f t="shared" si="8"/>
        <v>0</v>
      </c>
      <c r="P34" s="1766">
        <v>0</v>
      </c>
      <c r="Q34" s="1767">
        <f t="shared" si="9"/>
        <v>0</v>
      </c>
      <c r="R34" s="1768">
        <v>0</v>
      </c>
      <c r="S34" s="1769">
        <v>0</v>
      </c>
      <c r="T34" s="1767">
        <f t="shared" si="10"/>
        <v>0</v>
      </c>
      <c r="U34" s="1768">
        <f t="shared" si="23"/>
        <v>0</v>
      </c>
      <c r="V34" s="1769">
        <v>0</v>
      </c>
      <c r="W34" s="1767">
        <f t="shared" si="0"/>
        <v>0</v>
      </c>
      <c r="X34" s="1768">
        <f t="shared" si="1"/>
        <v>0</v>
      </c>
      <c r="Y34" s="1769">
        <v>0</v>
      </c>
      <c r="Z34" s="1767">
        <f t="shared" si="2"/>
        <v>0</v>
      </c>
      <c r="AA34" s="1768">
        <f t="shared" si="3"/>
        <v>0</v>
      </c>
      <c r="AB34" s="1769">
        <v>0</v>
      </c>
      <c r="AC34" s="1767">
        <f t="shared" si="4"/>
        <v>0</v>
      </c>
      <c r="AD34" s="1770">
        <f t="shared" si="5"/>
        <v>0</v>
      </c>
      <c r="AE34" s="1740">
        <v>23622554</v>
      </c>
      <c r="AF34" s="1738">
        <v>23622554</v>
      </c>
      <c r="AG34" s="1738">
        <v>0</v>
      </c>
      <c r="AH34" s="1767">
        <f t="shared" si="14"/>
        <v>0</v>
      </c>
      <c r="AI34" s="1767">
        <f t="shared" si="15"/>
        <v>0</v>
      </c>
      <c r="AJ34" s="1767">
        <f t="shared" si="16"/>
        <v>0</v>
      </c>
      <c r="AK34" s="1767">
        <f t="shared" si="17"/>
        <v>0</v>
      </c>
      <c r="AL34" s="1768">
        <f t="shared" si="18"/>
        <v>0</v>
      </c>
      <c r="AM34" s="1743">
        <f t="shared" si="20"/>
        <v>0</v>
      </c>
      <c r="AN34" s="1743">
        <f t="shared" si="21"/>
        <v>0</v>
      </c>
      <c r="AO34" s="1743">
        <f t="shared" si="22"/>
        <v>0</v>
      </c>
    </row>
    <row r="35" spans="2:44" s="1772" customFormat="1" x14ac:dyDescent="0.3">
      <c r="B35" s="1744" t="s">
        <v>7662</v>
      </c>
      <c r="C35" s="1760" t="s">
        <v>7655</v>
      </c>
      <c r="D35" s="1760" t="s">
        <v>7656</v>
      </c>
      <c r="E35" s="1761" t="s">
        <v>7545</v>
      </c>
      <c r="F35" s="1762"/>
      <c r="G35" s="1763">
        <v>0</v>
      </c>
      <c r="H35" s="1764">
        <v>0</v>
      </c>
      <c r="I35" s="1765">
        <f t="shared" si="6"/>
        <v>0</v>
      </c>
      <c r="J35" s="1766">
        <v>2</v>
      </c>
      <c r="K35" s="1767">
        <v>117640000</v>
      </c>
      <c r="L35" s="1768">
        <f t="shared" si="7"/>
        <v>58820000</v>
      </c>
      <c r="M35" s="1766">
        <v>3</v>
      </c>
      <c r="N35" s="1767">
        <v>339419310</v>
      </c>
      <c r="O35" s="1768">
        <f t="shared" si="8"/>
        <v>113139770</v>
      </c>
      <c r="P35" s="1766">
        <v>0</v>
      </c>
      <c r="Q35" s="1767">
        <f t="shared" si="9"/>
        <v>0</v>
      </c>
      <c r="R35" s="1768">
        <v>113500000</v>
      </c>
      <c r="S35" s="1769">
        <v>0</v>
      </c>
      <c r="T35" s="1767">
        <f t="shared" si="10"/>
        <v>0</v>
      </c>
      <c r="U35" s="1768">
        <f t="shared" si="23"/>
        <v>119175000</v>
      </c>
      <c r="V35" s="1769">
        <v>0</v>
      </c>
      <c r="W35" s="1767">
        <f t="shared" si="0"/>
        <v>0</v>
      </c>
      <c r="X35" s="1768">
        <f t="shared" si="1"/>
        <v>125133750</v>
      </c>
      <c r="Y35" s="1769">
        <v>0</v>
      </c>
      <c r="Z35" s="1767">
        <f t="shared" si="2"/>
        <v>0</v>
      </c>
      <c r="AA35" s="1768">
        <f t="shared" si="3"/>
        <v>131390437.5</v>
      </c>
      <c r="AB35" s="1769">
        <v>0</v>
      </c>
      <c r="AC35" s="1767">
        <f t="shared" si="4"/>
        <v>0</v>
      </c>
      <c r="AD35" s="1770">
        <f t="shared" si="5"/>
        <v>137959959.375</v>
      </c>
      <c r="AE35" s="1740">
        <v>74490843</v>
      </c>
      <c r="AF35" s="1738">
        <v>32113571</v>
      </c>
      <c r="AG35" s="1738">
        <v>84718008</v>
      </c>
      <c r="AH35" s="1767">
        <f t="shared" si="14"/>
        <v>0</v>
      </c>
      <c r="AI35" s="1767">
        <f t="shared" si="15"/>
        <v>0</v>
      </c>
      <c r="AJ35" s="1767">
        <f t="shared" si="16"/>
        <v>0</v>
      </c>
      <c r="AK35" s="1767">
        <f t="shared" si="17"/>
        <v>0</v>
      </c>
      <c r="AL35" s="1768">
        <f t="shared" si="18"/>
        <v>0</v>
      </c>
      <c r="AM35" s="1743">
        <f t="shared" si="20"/>
        <v>0</v>
      </c>
      <c r="AN35" s="1743">
        <f t="shared" si="21"/>
        <v>0.54596346480788849</v>
      </c>
      <c r="AO35" s="1743">
        <f t="shared" si="22"/>
        <v>0.74879070374634848</v>
      </c>
      <c r="AP35" s="1772" t="s">
        <v>7663</v>
      </c>
    </row>
    <row r="36" spans="2:44" s="1772" customFormat="1" x14ac:dyDescent="0.3">
      <c r="B36" s="1744" t="s">
        <v>7664</v>
      </c>
      <c r="C36" s="1760" t="s">
        <v>7665</v>
      </c>
      <c r="D36" s="1760" t="s">
        <v>7666</v>
      </c>
      <c r="E36" s="1761" t="s">
        <v>7626</v>
      </c>
      <c r="F36" s="1762"/>
      <c r="G36" s="1763">
        <v>0</v>
      </c>
      <c r="H36" s="1764">
        <v>0</v>
      </c>
      <c r="I36" s="1765">
        <f t="shared" si="6"/>
        <v>0</v>
      </c>
      <c r="J36" s="1766">
        <v>0</v>
      </c>
      <c r="K36" s="1767">
        <v>0</v>
      </c>
      <c r="L36" s="1768">
        <f t="shared" si="7"/>
        <v>0</v>
      </c>
      <c r="M36" s="1766">
        <v>1</v>
      </c>
      <c r="N36" s="1767">
        <v>17727273</v>
      </c>
      <c r="O36" s="1768">
        <f t="shared" si="8"/>
        <v>17727273</v>
      </c>
      <c r="P36" s="1766">
        <v>0</v>
      </c>
      <c r="Q36" s="1767">
        <f t="shared" si="9"/>
        <v>0</v>
      </c>
      <c r="R36" s="1768">
        <v>0</v>
      </c>
      <c r="S36" s="1769">
        <v>0</v>
      </c>
      <c r="T36" s="1767">
        <f t="shared" si="10"/>
        <v>0</v>
      </c>
      <c r="U36" s="1739">
        <f>R36*1.03</f>
        <v>0</v>
      </c>
      <c r="V36" s="1769">
        <v>0</v>
      </c>
      <c r="W36" s="1767">
        <f t="shared" si="0"/>
        <v>0</v>
      </c>
      <c r="X36" s="1739">
        <f>U36*1.03</f>
        <v>0</v>
      </c>
      <c r="Y36" s="1769">
        <v>0</v>
      </c>
      <c r="Z36" s="1767">
        <f t="shared" si="2"/>
        <v>0</v>
      </c>
      <c r="AA36" s="1739">
        <f>X36*1.03</f>
        <v>0</v>
      </c>
      <c r="AB36" s="1769">
        <v>0</v>
      </c>
      <c r="AC36" s="1767">
        <f t="shared" si="4"/>
        <v>0</v>
      </c>
      <c r="AD36" s="1739">
        <f>AA36*1.03</f>
        <v>0</v>
      </c>
      <c r="AE36" s="1740">
        <v>0</v>
      </c>
      <c r="AF36" s="1738">
        <v>0</v>
      </c>
      <c r="AG36" s="1738">
        <v>6435211</v>
      </c>
      <c r="AH36" s="1767">
        <f t="shared" si="14"/>
        <v>0</v>
      </c>
      <c r="AI36" s="1767">
        <f t="shared" si="15"/>
        <v>0</v>
      </c>
      <c r="AJ36" s="1767">
        <f t="shared" si="16"/>
        <v>0</v>
      </c>
      <c r="AK36" s="1767">
        <f t="shared" si="17"/>
        <v>0</v>
      </c>
      <c r="AL36" s="1768">
        <f t="shared" si="18"/>
        <v>0</v>
      </c>
      <c r="AM36" s="1743">
        <f t="shared" si="20"/>
        <v>0</v>
      </c>
      <c r="AN36" s="1743">
        <f t="shared" si="21"/>
        <v>0</v>
      </c>
      <c r="AO36" s="1743">
        <f t="shared" si="22"/>
        <v>0.36301189697930414</v>
      </c>
    </row>
    <row r="37" spans="2:44" s="1772" customFormat="1" x14ac:dyDescent="0.3">
      <c r="B37" s="1744" t="s">
        <v>7667</v>
      </c>
      <c r="C37" s="1760" t="s">
        <v>7655</v>
      </c>
      <c r="D37" s="1760" t="s">
        <v>7656</v>
      </c>
      <c r="E37" s="1761"/>
      <c r="F37" s="1762"/>
      <c r="G37" s="1763">
        <v>0</v>
      </c>
      <c r="H37" s="1764">
        <v>0</v>
      </c>
      <c r="I37" s="1765">
        <f t="shared" si="6"/>
        <v>0</v>
      </c>
      <c r="J37" s="1766">
        <v>0</v>
      </c>
      <c r="K37" s="1767">
        <v>0</v>
      </c>
      <c r="L37" s="1768">
        <f t="shared" si="7"/>
        <v>0</v>
      </c>
      <c r="M37" s="1766">
        <v>0</v>
      </c>
      <c r="N37" s="1767">
        <v>0</v>
      </c>
      <c r="O37" s="1768">
        <f t="shared" si="8"/>
        <v>0</v>
      </c>
      <c r="P37" s="1766">
        <v>10</v>
      </c>
      <c r="Q37" s="1767">
        <f t="shared" si="9"/>
        <v>1250000000</v>
      </c>
      <c r="R37" s="1768">
        <v>125000000</v>
      </c>
      <c r="S37" s="1769">
        <v>50</v>
      </c>
      <c r="T37" s="1767">
        <f t="shared" si="10"/>
        <v>6562500000</v>
      </c>
      <c r="U37" s="1768">
        <f t="shared" si="23"/>
        <v>131250000</v>
      </c>
      <c r="V37" s="1769">
        <v>60</v>
      </c>
      <c r="W37" s="1767">
        <f t="shared" si="0"/>
        <v>8268750000</v>
      </c>
      <c r="X37" s="1768">
        <f t="shared" si="1"/>
        <v>137812500</v>
      </c>
      <c r="Y37" s="1769">
        <v>60</v>
      </c>
      <c r="Z37" s="1767">
        <f t="shared" si="2"/>
        <v>8682187500</v>
      </c>
      <c r="AA37" s="1768">
        <f t="shared" si="3"/>
        <v>144703125</v>
      </c>
      <c r="AB37" s="1769">
        <v>80</v>
      </c>
      <c r="AC37" s="1767">
        <f t="shared" si="4"/>
        <v>12155062500</v>
      </c>
      <c r="AD37" s="1770">
        <f t="shared" si="5"/>
        <v>151938281.25</v>
      </c>
      <c r="AE37" s="1740">
        <v>0</v>
      </c>
      <c r="AF37" s="1738">
        <v>0</v>
      </c>
      <c r="AG37" s="1738">
        <v>0</v>
      </c>
      <c r="AH37" s="1767">
        <f t="shared" si="14"/>
        <v>702764409.6010493</v>
      </c>
      <c r="AI37" s="1767">
        <f t="shared" si="15"/>
        <v>3689513150.405509</v>
      </c>
      <c r="AJ37" s="1767">
        <f t="shared" si="16"/>
        <v>4648786569.5109415</v>
      </c>
      <c r="AK37" s="1767">
        <f t="shared" si="17"/>
        <v>4881225897.9864883</v>
      </c>
      <c r="AL37" s="1768">
        <f t="shared" si="18"/>
        <v>6833716257.1810837</v>
      </c>
      <c r="AM37" s="1743">
        <f t="shared" si="20"/>
        <v>0</v>
      </c>
      <c r="AN37" s="1743">
        <f t="shared" si="21"/>
        <v>0</v>
      </c>
      <c r="AO37" s="1743">
        <f t="shared" si="22"/>
        <v>0</v>
      </c>
      <c r="AQ37" s="489">
        <f>Q37*0.09</f>
        <v>112500000</v>
      </c>
      <c r="AR37" s="489">
        <f>T37*0.09</f>
        <v>590625000</v>
      </c>
    </row>
    <row r="38" spans="2:44" s="1772" customFormat="1" x14ac:dyDescent="0.3">
      <c r="B38" s="1744" t="s">
        <v>7668</v>
      </c>
      <c r="C38" s="1760" t="s">
        <v>2024</v>
      </c>
      <c r="D38" s="1760" t="s">
        <v>7669</v>
      </c>
      <c r="E38" s="1761" t="s">
        <v>3293</v>
      </c>
      <c r="F38" s="1762"/>
      <c r="G38" s="1763">
        <v>1</v>
      </c>
      <c r="H38" s="1764">
        <v>33000000</v>
      </c>
      <c r="I38" s="1765">
        <f t="shared" si="6"/>
        <v>33000000</v>
      </c>
      <c r="J38" s="1766"/>
      <c r="K38" s="1767"/>
      <c r="L38" s="1768"/>
      <c r="M38" s="1766"/>
      <c r="N38" s="1767"/>
      <c r="O38" s="1768"/>
      <c r="P38" s="1766"/>
      <c r="Q38" s="1767"/>
      <c r="R38" s="1768"/>
      <c r="S38" s="1769"/>
      <c r="T38" s="1767"/>
      <c r="U38" s="1739">
        <f t="shared" ref="U38:U43" si="24">R38*1.03</f>
        <v>0</v>
      </c>
      <c r="V38" s="1769"/>
      <c r="W38" s="1767"/>
      <c r="X38" s="1739">
        <f t="shared" ref="X38:X43" si="25">U38*1.03</f>
        <v>0</v>
      </c>
      <c r="Y38" s="1769"/>
      <c r="Z38" s="1767"/>
      <c r="AA38" s="1739">
        <f t="shared" ref="AA38:AA43" si="26">X38*1.03</f>
        <v>0</v>
      </c>
      <c r="AB38" s="1769"/>
      <c r="AC38" s="1767"/>
      <c r="AD38" s="1739">
        <f t="shared" ref="AD38:AD43" si="27">AA38*1.03</f>
        <v>0</v>
      </c>
      <c r="AE38" s="1740">
        <v>9624500</v>
      </c>
      <c r="AF38" s="1738">
        <v>0</v>
      </c>
      <c r="AG38" s="1738">
        <v>0</v>
      </c>
      <c r="AH38" s="1767">
        <f t="shared" si="14"/>
        <v>0</v>
      </c>
      <c r="AI38" s="1767">
        <f t="shared" si="15"/>
        <v>0</v>
      </c>
      <c r="AJ38" s="1767">
        <f t="shared" si="16"/>
        <v>0</v>
      </c>
      <c r="AK38" s="1767">
        <f t="shared" si="17"/>
        <v>0</v>
      </c>
      <c r="AL38" s="1768">
        <f t="shared" si="18"/>
        <v>0</v>
      </c>
      <c r="AM38" s="1743">
        <f t="shared" si="20"/>
        <v>0.29165151515151516</v>
      </c>
      <c r="AN38" s="1743">
        <f t="shared" si="21"/>
        <v>0</v>
      </c>
      <c r="AO38" s="1743">
        <f t="shared" si="22"/>
        <v>0</v>
      </c>
    </row>
    <row r="39" spans="2:44" s="1772" customFormat="1" x14ac:dyDescent="0.3">
      <c r="B39" s="1744" t="s">
        <v>7670</v>
      </c>
      <c r="C39" s="1760" t="s">
        <v>2024</v>
      </c>
      <c r="D39" s="1760" t="s">
        <v>7669</v>
      </c>
      <c r="E39" s="1761" t="s">
        <v>3293</v>
      </c>
      <c r="F39" s="1762"/>
      <c r="G39" s="1763">
        <v>7</v>
      </c>
      <c r="H39" s="1764">
        <v>94323455</v>
      </c>
      <c r="I39" s="1765">
        <f t="shared" si="6"/>
        <v>13474779.285714285</v>
      </c>
      <c r="J39" s="1766">
        <v>1</v>
      </c>
      <c r="K39" s="1767">
        <v>5978000</v>
      </c>
      <c r="L39" s="1768">
        <f t="shared" si="7"/>
        <v>5978000</v>
      </c>
      <c r="M39" s="1766">
        <v>1</v>
      </c>
      <c r="N39" s="1767">
        <v>6575800</v>
      </c>
      <c r="O39" s="1768">
        <f t="shared" si="8"/>
        <v>6575800</v>
      </c>
      <c r="P39" s="1766">
        <v>0</v>
      </c>
      <c r="Q39" s="1767">
        <f t="shared" si="9"/>
        <v>0</v>
      </c>
      <c r="R39" s="1768">
        <v>0</v>
      </c>
      <c r="S39" s="1769">
        <v>0</v>
      </c>
      <c r="T39" s="1767">
        <f t="shared" si="10"/>
        <v>0</v>
      </c>
      <c r="U39" s="1739">
        <f t="shared" si="24"/>
        <v>0</v>
      </c>
      <c r="V39" s="1769">
        <v>0</v>
      </c>
      <c r="W39" s="1767">
        <f t="shared" si="0"/>
        <v>0</v>
      </c>
      <c r="X39" s="1739">
        <f t="shared" si="25"/>
        <v>0</v>
      </c>
      <c r="Y39" s="1769">
        <v>0</v>
      </c>
      <c r="Z39" s="1767">
        <f t="shared" si="2"/>
        <v>0</v>
      </c>
      <c r="AA39" s="1739">
        <f t="shared" si="26"/>
        <v>0</v>
      </c>
      <c r="AB39" s="1769">
        <v>0</v>
      </c>
      <c r="AC39" s="1767">
        <f t="shared" si="4"/>
        <v>0</v>
      </c>
      <c r="AD39" s="1739">
        <f t="shared" si="27"/>
        <v>0</v>
      </c>
      <c r="AE39" s="1740">
        <v>3984243</v>
      </c>
      <c r="AF39" s="1738">
        <v>4369687</v>
      </c>
      <c r="AG39" s="1738">
        <v>3839622</v>
      </c>
      <c r="AH39" s="1767">
        <f t="shared" si="14"/>
        <v>0</v>
      </c>
      <c r="AI39" s="1767">
        <f t="shared" si="15"/>
        <v>0</v>
      </c>
      <c r="AJ39" s="1767">
        <f t="shared" si="16"/>
        <v>0</v>
      </c>
      <c r="AK39" s="1767">
        <f t="shared" si="17"/>
        <v>0</v>
      </c>
      <c r="AL39" s="1768">
        <f t="shared" si="18"/>
        <v>0</v>
      </c>
      <c r="AM39" s="1743">
        <f t="shared" si="20"/>
        <v>0.29568150360904399</v>
      </c>
      <c r="AN39" s="1743">
        <f t="shared" si="21"/>
        <v>0.73096135831381737</v>
      </c>
      <c r="AO39" s="1743">
        <f t="shared" si="22"/>
        <v>0.58390188266066489</v>
      </c>
    </row>
    <row r="40" spans="2:44" s="1772" customFormat="1" x14ac:dyDescent="0.3">
      <c r="B40" s="1744" t="s">
        <v>7671</v>
      </c>
      <c r="C40" s="1760" t="s">
        <v>2024</v>
      </c>
      <c r="D40" s="1760" t="s">
        <v>7669</v>
      </c>
      <c r="E40" s="1761" t="s">
        <v>3293</v>
      </c>
      <c r="F40" s="1762"/>
      <c r="G40" s="1763">
        <v>8</v>
      </c>
      <c r="H40" s="1764">
        <v>94000000</v>
      </c>
      <c r="I40" s="1765">
        <f t="shared" si="6"/>
        <v>11750000</v>
      </c>
      <c r="J40" s="1766">
        <v>2</v>
      </c>
      <c r="K40" s="1767">
        <v>16800000</v>
      </c>
      <c r="L40" s="1768">
        <f t="shared" si="7"/>
        <v>8400000</v>
      </c>
      <c r="M40" s="1766">
        <v>2</v>
      </c>
      <c r="N40" s="1767">
        <v>16800000</v>
      </c>
      <c r="O40" s="1768">
        <f t="shared" si="8"/>
        <v>8400000</v>
      </c>
      <c r="P40" s="1766">
        <v>0</v>
      </c>
      <c r="Q40" s="1767">
        <f t="shared" si="9"/>
        <v>0</v>
      </c>
      <c r="R40" s="1768">
        <v>0</v>
      </c>
      <c r="S40" s="1769">
        <v>0</v>
      </c>
      <c r="T40" s="1767">
        <f t="shared" si="10"/>
        <v>0</v>
      </c>
      <c r="U40" s="1739">
        <f t="shared" si="24"/>
        <v>0</v>
      </c>
      <c r="V40" s="1769">
        <v>0</v>
      </c>
      <c r="W40" s="1767">
        <f t="shared" si="0"/>
        <v>0</v>
      </c>
      <c r="X40" s="1739">
        <f t="shared" si="25"/>
        <v>0</v>
      </c>
      <c r="Y40" s="1769">
        <v>0</v>
      </c>
      <c r="Z40" s="1767">
        <f t="shared" si="2"/>
        <v>0</v>
      </c>
      <c r="AA40" s="1739">
        <f t="shared" si="26"/>
        <v>0</v>
      </c>
      <c r="AB40" s="1769">
        <v>0</v>
      </c>
      <c r="AC40" s="1767">
        <f t="shared" si="4"/>
        <v>0</v>
      </c>
      <c r="AD40" s="1739">
        <f t="shared" si="27"/>
        <v>0</v>
      </c>
      <c r="AE40" s="1740">
        <v>3984243</v>
      </c>
      <c r="AF40" s="1738">
        <v>4369687</v>
      </c>
      <c r="AG40" s="1738">
        <v>3839622</v>
      </c>
      <c r="AH40" s="1767">
        <f t="shared" si="14"/>
        <v>0</v>
      </c>
      <c r="AI40" s="1767">
        <f t="shared" si="15"/>
        <v>0</v>
      </c>
      <c r="AJ40" s="1767">
        <f t="shared" si="16"/>
        <v>0</v>
      </c>
      <c r="AK40" s="1767">
        <f t="shared" si="17"/>
        <v>0</v>
      </c>
      <c r="AL40" s="1768">
        <f t="shared" si="18"/>
        <v>0</v>
      </c>
      <c r="AM40" s="1743">
        <f t="shared" si="20"/>
        <v>0.33908451063829786</v>
      </c>
      <c r="AN40" s="1743">
        <f t="shared" si="21"/>
        <v>0.52020083333333333</v>
      </c>
      <c r="AO40" s="1743">
        <f t="shared" si="22"/>
        <v>0.45709785714285717</v>
      </c>
    </row>
    <row r="41" spans="2:44" x14ac:dyDescent="0.3">
      <c r="B41" s="1732" t="s">
        <v>7672</v>
      </c>
      <c r="C41" s="1733" t="s">
        <v>2024</v>
      </c>
      <c r="D41" s="1733" t="s">
        <v>7669</v>
      </c>
      <c r="E41" s="1734" t="s">
        <v>3293</v>
      </c>
      <c r="F41" s="1735"/>
      <c r="G41" s="1736">
        <v>103</v>
      </c>
      <c r="H41" s="1727">
        <v>1959061270</v>
      </c>
      <c r="I41" s="1728">
        <f t="shared" si="6"/>
        <v>19020012.330097087</v>
      </c>
      <c r="J41" s="1737">
        <v>131</v>
      </c>
      <c r="K41" s="1738">
        <v>2739601002</v>
      </c>
      <c r="L41" s="1739">
        <f t="shared" si="7"/>
        <v>20912984.748091605</v>
      </c>
      <c r="M41" s="1737">
        <v>116</v>
      </c>
      <c r="N41" s="1738">
        <v>1992327365.7272727</v>
      </c>
      <c r="O41" s="1739">
        <f t="shared" si="8"/>
        <v>17175235.911442008</v>
      </c>
      <c r="P41" s="1737">
        <v>225</v>
      </c>
      <c r="Q41" s="1738">
        <f t="shared" si="9"/>
        <v>3375000000</v>
      </c>
      <c r="R41" s="1739">
        <v>15000000</v>
      </c>
      <c r="S41" s="1740">
        <v>250</v>
      </c>
      <c r="T41" s="1738">
        <f t="shared" si="10"/>
        <v>3862500000</v>
      </c>
      <c r="U41" s="1739">
        <f t="shared" si="24"/>
        <v>15450000</v>
      </c>
      <c r="V41" s="1740">
        <v>280</v>
      </c>
      <c r="W41" s="1738">
        <f t="shared" si="0"/>
        <v>4455780000</v>
      </c>
      <c r="X41" s="1739">
        <f t="shared" si="25"/>
        <v>15913500</v>
      </c>
      <c r="Y41" s="1740">
        <v>310</v>
      </c>
      <c r="Z41" s="1738">
        <f t="shared" si="2"/>
        <v>5081180550</v>
      </c>
      <c r="AA41" s="1739">
        <f t="shared" si="26"/>
        <v>16390905</v>
      </c>
      <c r="AB41" s="1740">
        <v>330</v>
      </c>
      <c r="AC41" s="1738">
        <f t="shared" si="4"/>
        <v>5571268609.500001</v>
      </c>
      <c r="AD41" s="1739">
        <f t="shared" si="27"/>
        <v>16882632.150000002</v>
      </c>
      <c r="AE41" s="1740">
        <v>3984243</v>
      </c>
      <c r="AF41" s="1738">
        <v>4369687</v>
      </c>
      <c r="AG41" s="1738">
        <v>3839622</v>
      </c>
      <c r="AH41" s="1738">
        <f t="shared" si="14"/>
        <v>1897463905.9228332</v>
      </c>
      <c r="AI41" s="1738">
        <f t="shared" si="15"/>
        <v>2171542025.6672425</v>
      </c>
      <c r="AJ41" s="1738">
        <f t="shared" si="16"/>
        <v>2505090880.809731</v>
      </c>
      <c r="AK41" s="1738">
        <f t="shared" si="17"/>
        <v>2856698279.4376683</v>
      </c>
      <c r="AL41" s="1739">
        <f t="shared" si="18"/>
        <v>3132231436.0673018</v>
      </c>
      <c r="AM41" s="1743">
        <f t="shared" si="20"/>
        <v>0.20947636262545274</v>
      </c>
      <c r="AN41" s="1743">
        <f t="shared" si="21"/>
        <v>0.20894611900861026</v>
      </c>
      <c r="AO41" s="1743">
        <f t="shared" si="22"/>
        <v>0.22355570658811585</v>
      </c>
    </row>
    <row r="42" spans="2:44" x14ac:dyDescent="0.3">
      <c r="B42" s="1732" t="s">
        <v>7673</v>
      </c>
      <c r="C42" s="1733" t="s">
        <v>2024</v>
      </c>
      <c r="D42" s="1733" t="s">
        <v>7666</v>
      </c>
      <c r="E42" s="1734" t="s">
        <v>3293</v>
      </c>
      <c r="F42" s="1735"/>
      <c r="G42" s="1736">
        <v>19</v>
      </c>
      <c r="H42" s="1727">
        <v>266949727</v>
      </c>
      <c r="I42" s="1728">
        <f t="shared" si="6"/>
        <v>14049985.631578946</v>
      </c>
      <c r="J42" s="1737"/>
      <c r="K42" s="1738"/>
      <c r="L42" s="1739"/>
      <c r="M42" s="1737"/>
      <c r="N42" s="1738"/>
      <c r="O42" s="1739"/>
      <c r="P42" s="1737"/>
      <c r="Q42" s="1738"/>
      <c r="R42" s="1739"/>
      <c r="S42" s="1740"/>
      <c r="T42" s="1738"/>
      <c r="U42" s="1739">
        <f t="shared" si="24"/>
        <v>0</v>
      </c>
      <c r="V42" s="1740"/>
      <c r="W42" s="1738"/>
      <c r="X42" s="1739">
        <f t="shared" si="25"/>
        <v>0</v>
      </c>
      <c r="Y42" s="1740"/>
      <c r="Z42" s="1738"/>
      <c r="AA42" s="1739">
        <f t="shared" si="26"/>
        <v>0</v>
      </c>
      <c r="AB42" s="1740"/>
      <c r="AC42" s="1738"/>
      <c r="AD42" s="1739">
        <f t="shared" si="27"/>
        <v>0</v>
      </c>
      <c r="AE42" s="1740">
        <v>3984243</v>
      </c>
      <c r="AF42" s="1738">
        <v>0</v>
      </c>
      <c r="AG42" s="1738">
        <v>0</v>
      </c>
      <c r="AH42" s="1738">
        <f t="shared" si="14"/>
        <v>0</v>
      </c>
      <c r="AI42" s="1738">
        <f t="shared" si="15"/>
        <v>0</v>
      </c>
      <c r="AJ42" s="1738">
        <f t="shared" si="16"/>
        <v>0</v>
      </c>
      <c r="AK42" s="1738">
        <f t="shared" si="17"/>
        <v>0</v>
      </c>
      <c r="AL42" s="1739">
        <f t="shared" si="18"/>
        <v>0</v>
      </c>
      <c r="AM42" s="1743">
        <f t="shared" si="20"/>
        <v>0.28357630423798863</v>
      </c>
      <c r="AN42" s="1743">
        <f t="shared" si="21"/>
        <v>0</v>
      </c>
      <c r="AO42" s="1743">
        <f t="shared" si="22"/>
        <v>0</v>
      </c>
    </row>
    <row r="43" spans="2:44" x14ac:dyDescent="0.3">
      <c r="B43" s="1732" t="s">
        <v>7674</v>
      </c>
      <c r="C43" s="1733" t="s">
        <v>2024</v>
      </c>
      <c r="D43" s="1733" t="s">
        <v>7669</v>
      </c>
      <c r="E43" s="1734" t="s">
        <v>3293</v>
      </c>
      <c r="F43" s="1735"/>
      <c r="G43" s="1736">
        <v>1</v>
      </c>
      <c r="H43" s="1727">
        <v>18181818</v>
      </c>
      <c r="I43" s="1728">
        <f t="shared" si="6"/>
        <v>18181818</v>
      </c>
      <c r="J43" s="1737">
        <v>1</v>
      </c>
      <c r="K43" s="1738">
        <v>11400000</v>
      </c>
      <c r="L43" s="1739">
        <f t="shared" ref="L43" si="28">IFERROR(K43/J43,)</f>
        <v>11400000</v>
      </c>
      <c r="M43" s="1737"/>
      <c r="N43" s="1738"/>
      <c r="O43" s="1739"/>
      <c r="P43" s="1737"/>
      <c r="Q43" s="1738"/>
      <c r="R43" s="1739"/>
      <c r="S43" s="1740"/>
      <c r="T43" s="1738"/>
      <c r="U43" s="1739">
        <f t="shared" si="24"/>
        <v>0</v>
      </c>
      <c r="V43" s="1740"/>
      <c r="W43" s="1738"/>
      <c r="X43" s="1739">
        <f t="shared" si="25"/>
        <v>0</v>
      </c>
      <c r="Y43" s="1740"/>
      <c r="Z43" s="1738"/>
      <c r="AA43" s="1739">
        <f t="shared" si="26"/>
        <v>0</v>
      </c>
      <c r="AB43" s="1740"/>
      <c r="AC43" s="1738"/>
      <c r="AD43" s="1739">
        <f t="shared" si="27"/>
        <v>0</v>
      </c>
      <c r="AE43" s="1740">
        <v>3984243</v>
      </c>
      <c r="AF43" s="1738">
        <v>4369687</v>
      </c>
      <c r="AG43" s="1738">
        <v>0</v>
      </c>
      <c r="AH43" s="1738">
        <f t="shared" si="14"/>
        <v>0</v>
      </c>
      <c r="AI43" s="1738">
        <f t="shared" si="15"/>
        <v>0</v>
      </c>
      <c r="AJ43" s="1738">
        <f t="shared" si="16"/>
        <v>0</v>
      </c>
      <c r="AK43" s="1738">
        <f t="shared" si="17"/>
        <v>0</v>
      </c>
      <c r="AL43" s="1739">
        <f t="shared" si="18"/>
        <v>0</v>
      </c>
      <c r="AM43" s="1743">
        <f t="shared" si="20"/>
        <v>0.21913336719133367</v>
      </c>
      <c r="AN43" s="1743">
        <f t="shared" si="21"/>
        <v>0.38330587719298248</v>
      </c>
      <c r="AO43" s="1743">
        <f t="shared" si="22"/>
        <v>0</v>
      </c>
    </row>
    <row r="44" spans="2:44" x14ac:dyDescent="0.3">
      <c r="B44" s="1732" t="s">
        <v>7675</v>
      </c>
      <c r="C44" s="1733" t="s">
        <v>7624</v>
      </c>
      <c r="D44" s="1733" t="s">
        <v>7628</v>
      </c>
      <c r="E44" s="1734" t="s">
        <v>3293</v>
      </c>
      <c r="F44" s="1735"/>
      <c r="G44" s="1736">
        <v>0</v>
      </c>
      <c r="H44" s="1727">
        <v>0</v>
      </c>
      <c r="I44" s="1728">
        <f t="shared" si="6"/>
        <v>0</v>
      </c>
      <c r="J44" s="1737">
        <v>0</v>
      </c>
      <c r="K44" s="1738">
        <v>0</v>
      </c>
      <c r="L44" s="1739">
        <f t="shared" si="7"/>
        <v>0</v>
      </c>
      <c r="M44" s="1737">
        <v>6</v>
      </c>
      <c r="N44" s="1738">
        <v>119505909</v>
      </c>
      <c r="O44" s="1739">
        <f t="shared" si="8"/>
        <v>19917651.5</v>
      </c>
      <c r="P44" s="1737">
        <v>0</v>
      </c>
      <c r="Q44" s="1738">
        <f t="shared" si="9"/>
        <v>0</v>
      </c>
      <c r="R44" s="1739">
        <v>0</v>
      </c>
      <c r="S44" s="1740">
        <v>0</v>
      </c>
      <c r="T44" s="1738">
        <f t="shared" si="10"/>
        <v>0</v>
      </c>
      <c r="U44" s="1739">
        <f t="shared" si="23"/>
        <v>0</v>
      </c>
      <c r="V44" s="1740">
        <v>0</v>
      </c>
      <c r="W44" s="1738">
        <f t="shared" si="0"/>
        <v>0</v>
      </c>
      <c r="X44" s="1739">
        <f t="shared" si="1"/>
        <v>0</v>
      </c>
      <c r="Y44" s="1740">
        <v>0</v>
      </c>
      <c r="Z44" s="1738">
        <f t="shared" si="2"/>
        <v>0</v>
      </c>
      <c r="AA44" s="1739">
        <f t="shared" si="3"/>
        <v>0</v>
      </c>
      <c r="AB44" s="1740">
        <v>0</v>
      </c>
      <c r="AC44" s="1738">
        <f t="shared" si="4"/>
        <v>0</v>
      </c>
      <c r="AD44" s="1741">
        <f t="shared" si="5"/>
        <v>0</v>
      </c>
      <c r="AE44" s="1740">
        <v>0</v>
      </c>
      <c r="AF44" s="1738">
        <v>0</v>
      </c>
      <c r="AG44" s="1738">
        <v>14709091</v>
      </c>
      <c r="AH44" s="1738">
        <f t="shared" si="14"/>
        <v>0</v>
      </c>
      <c r="AI44" s="1738">
        <f t="shared" si="15"/>
        <v>0</v>
      </c>
      <c r="AJ44" s="1738">
        <f t="shared" si="16"/>
        <v>0</v>
      </c>
      <c r="AK44" s="1738">
        <f t="shared" si="17"/>
        <v>0</v>
      </c>
      <c r="AL44" s="1739">
        <f t="shared" si="18"/>
        <v>0</v>
      </c>
      <c r="AM44" s="1743">
        <f t="shared" si="20"/>
        <v>0</v>
      </c>
      <c r="AN44" s="1743">
        <f t="shared" si="21"/>
        <v>0</v>
      </c>
      <c r="AO44" s="1743">
        <f t="shared" si="22"/>
        <v>0.73849524879978945</v>
      </c>
    </row>
    <row r="45" spans="2:44" x14ac:dyDescent="0.3">
      <c r="B45" s="1732" t="s">
        <v>7676</v>
      </c>
      <c r="C45" s="1733" t="s">
        <v>2024</v>
      </c>
      <c r="D45" s="1733" t="s">
        <v>7669</v>
      </c>
      <c r="E45" s="1734" t="s">
        <v>3293</v>
      </c>
      <c r="F45" s="1735"/>
      <c r="G45" s="1736">
        <v>14</v>
      </c>
      <c r="H45" s="1727">
        <v>200612272</v>
      </c>
      <c r="I45" s="1728">
        <f t="shared" si="6"/>
        <v>14329448</v>
      </c>
      <c r="J45" s="1737">
        <v>15</v>
      </c>
      <c r="K45" s="1738">
        <v>206870909</v>
      </c>
      <c r="L45" s="1739">
        <f t="shared" si="7"/>
        <v>13791393.933333334</v>
      </c>
      <c r="M45" s="1737">
        <v>25</v>
      </c>
      <c r="N45" s="1738">
        <v>350419091.09090906</v>
      </c>
      <c r="O45" s="1739">
        <f t="shared" si="8"/>
        <v>14016763.643636363</v>
      </c>
      <c r="P45" s="1737">
        <v>49</v>
      </c>
      <c r="Q45" s="1738">
        <f t="shared" si="9"/>
        <v>661500000</v>
      </c>
      <c r="R45" s="1739">
        <v>13500000</v>
      </c>
      <c r="S45" s="1740">
        <v>60</v>
      </c>
      <c r="T45" s="1738">
        <f t="shared" si="10"/>
        <v>834300000</v>
      </c>
      <c r="U45" s="1739">
        <f>R45*1.03</f>
        <v>13905000</v>
      </c>
      <c r="V45" s="1740">
        <v>85</v>
      </c>
      <c r="W45" s="1738">
        <f t="shared" si="0"/>
        <v>1217382750</v>
      </c>
      <c r="X45" s="1739">
        <f>U45*1.03</f>
        <v>14322150</v>
      </c>
      <c r="Y45" s="1740">
        <v>110</v>
      </c>
      <c r="Z45" s="1738">
        <f t="shared" si="2"/>
        <v>1622699595</v>
      </c>
      <c r="AA45" s="1739">
        <f>X45*1.03</f>
        <v>14751814.5</v>
      </c>
      <c r="AB45" s="1740">
        <v>120</v>
      </c>
      <c r="AC45" s="1738">
        <f t="shared" si="4"/>
        <v>1823324272.2</v>
      </c>
      <c r="AD45" s="1739">
        <f>AA45*1.03</f>
        <v>15194368.935000001</v>
      </c>
      <c r="AE45" s="1740">
        <v>4382667</v>
      </c>
      <c r="AF45" s="1738">
        <v>6376479</v>
      </c>
      <c r="AG45" s="1738">
        <v>5602980</v>
      </c>
      <c r="AH45" s="1738">
        <f t="shared" si="14"/>
        <v>371902925.5608753</v>
      </c>
      <c r="AI45" s="1738">
        <f t="shared" si="15"/>
        <v>469053077.54412436</v>
      </c>
      <c r="AJ45" s="1738">
        <f t="shared" si="16"/>
        <v>684426615.64980149</v>
      </c>
      <c r="AK45" s="1738">
        <f t="shared" si="17"/>
        <v>912300418.27202952</v>
      </c>
      <c r="AL45" s="1739">
        <f t="shared" si="18"/>
        <v>1025093924.5311168</v>
      </c>
      <c r="AM45" s="1743">
        <f t="shared" si="20"/>
        <v>0.30585037190546349</v>
      </c>
      <c r="AN45" s="1743">
        <f t="shared" si="21"/>
        <v>0.46235203133370484</v>
      </c>
      <c r="AO45" s="1743">
        <f t="shared" si="22"/>
        <v>0.39973421414891042</v>
      </c>
    </row>
    <row r="46" spans="2:44" x14ac:dyDescent="0.3">
      <c r="B46" s="1732" t="s">
        <v>7677</v>
      </c>
      <c r="C46" s="1733" t="s">
        <v>2802</v>
      </c>
      <c r="D46" s="1733" t="s">
        <v>7628</v>
      </c>
      <c r="E46" s="1734" t="s">
        <v>3293</v>
      </c>
      <c r="F46" s="1735"/>
      <c r="G46" s="1736">
        <v>0</v>
      </c>
      <c r="H46" s="1727">
        <v>0</v>
      </c>
      <c r="I46" s="1728">
        <f t="shared" si="6"/>
        <v>0</v>
      </c>
      <c r="J46" s="1737">
        <v>1</v>
      </c>
      <c r="K46" s="1738">
        <v>30909090</v>
      </c>
      <c r="L46" s="1739">
        <f t="shared" si="7"/>
        <v>30909090</v>
      </c>
      <c r="M46" s="1737">
        <v>159</v>
      </c>
      <c r="N46" s="1738">
        <v>4962307820</v>
      </c>
      <c r="O46" s="1739">
        <f t="shared" si="8"/>
        <v>31209483.144654088</v>
      </c>
      <c r="P46" s="1737">
        <v>173</v>
      </c>
      <c r="Q46" s="1738">
        <f t="shared" si="9"/>
        <v>5622500000</v>
      </c>
      <c r="R46" s="1739">
        <v>32500000</v>
      </c>
      <c r="S46" s="1740">
        <v>200</v>
      </c>
      <c r="T46" s="1738">
        <f t="shared" si="10"/>
        <v>6825000000</v>
      </c>
      <c r="U46" s="1739">
        <f t="shared" si="23"/>
        <v>34125000</v>
      </c>
      <c r="V46" s="1740">
        <v>210</v>
      </c>
      <c r="W46" s="1738">
        <f t="shared" si="0"/>
        <v>7524562500</v>
      </c>
      <c r="X46" s="1739">
        <f t="shared" si="1"/>
        <v>35831250</v>
      </c>
      <c r="Y46" s="1740">
        <v>220</v>
      </c>
      <c r="Z46" s="1738">
        <f t="shared" si="2"/>
        <v>8277018750</v>
      </c>
      <c r="AA46" s="1739">
        <f t="shared" si="3"/>
        <v>37622812.5</v>
      </c>
      <c r="AB46" s="1740">
        <v>250</v>
      </c>
      <c r="AC46" s="1738">
        <f t="shared" si="4"/>
        <v>9875988281.25</v>
      </c>
      <c r="AD46" s="1741">
        <f t="shared" si="5"/>
        <v>39503953.125</v>
      </c>
      <c r="AE46" s="1740">
        <v>0</v>
      </c>
      <c r="AF46" s="1738">
        <v>19971388</v>
      </c>
      <c r="AG46" s="1738">
        <v>20312071</v>
      </c>
      <c r="AH46" s="1738">
        <f t="shared" si="14"/>
        <v>3161034314.38552</v>
      </c>
      <c r="AI46" s="1738">
        <f t="shared" si="15"/>
        <v>3837093676.4217296</v>
      </c>
      <c r="AJ46" s="1738">
        <f t="shared" si="16"/>
        <v>4230395778.2549567</v>
      </c>
      <c r="AK46" s="1738">
        <f t="shared" si="17"/>
        <v>4653435356.080452</v>
      </c>
      <c r="AL46" s="1739">
        <f t="shared" si="18"/>
        <v>5552394458.959631</v>
      </c>
      <c r="AM46" s="1743">
        <f t="shared" si="20"/>
        <v>0</v>
      </c>
      <c r="AN46" s="1743">
        <f t="shared" si="21"/>
        <v>0.64613316018038702</v>
      </c>
      <c r="AO46" s="1743">
        <f t="shared" si="22"/>
        <v>0.65083009884703202</v>
      </c>
    </row>
    <row r="47" spans="2:44" x14ac:dyDescent="0.3">
      <c r="B47" s="1732" t="s">
        <v>7678</v>
      </c>
      <c r="C47" s="1733" t="s">
        <v>2024</v>
      </c>
      <c r="D47" s="1733" t="s">
        <v>7679</v>
      </c>
      <c r="E47" s="1734" t="s">
        <v>3293</v>
      </c>
      <c r="F47" s="1735"/>
      <c r="G47" s="1736">
        <v>1</v>
      </c>
      <c r="H47" s="1727">
        <v>35500000</v>
      </c>
      <c r="I47" s="1728">
        <f t="shared" si="6"/>
        <v>35500000</v>
      </c>
      <c r="J47" s="1737">
        <v>0</v>
      </c>
      <c r="K47" s="1738">
        <v>0</v>
      </c>
      <c r="L47" s="1739">
        <f t="shared" si="7"/>
        <v>0</v>
      </c>
      <c r="M47" s="1737">
        <v>1</v>
      </c>
      <c r="N47" s="1738">
        <v>36900000</v>
      </c>
      <c r="O47" s="1739">
        <f t="shared" si="8"/>
        <v>36900000</v>
      </c>
      <c r="P47" s="1737">
        <v>10</v>
      </c>
      <c r="Q47" s="1738">
        <f t="shared" si="9"/>
        <v>369000000</v>
      </c>
      <c r="R47" s="1739">
        <v>36900000</v>
      </c>
      <c r="S47" s="1740">
        <v>20</v>
      </c>
      <c r="T47" s="1738">
        <f t="shared" si="10"/>
        <v>760140000</v>
      </c>
      <c r="U47" s="1739">
        <f t="shared" ref="U47:U49" si="29">R47*1.03</f>
        <v>38007000</v>
      </c>
      <c r="V47" s="1740">
        <v>30</v>
      </c>
      <c r="W47" s="1738">
        <f t="shared" si="0"/>
        <v>1174416300</v>
      </c>
      <c r="X47" s="1739">
        <f t="shared" ref="X47:X49" si="30">U47*1.03</f>
        <v>39147210</v>
      </c>
      <c r="Y47" s="1740">
        <v>40</v>
      </c>
      <c r="Z47" s="1738">
        <f t="shared" si="2"/>
        <v>1612865052.0000002</v>
      </c>
      <c r="AA47" s="1739">
        <f t="shared" ref="AA47:AA49" si="31">X47*1.03</f>
        <v>40321626.300000004</v>
      </c>
      <c r="AB47" s="1740">
        <v>50</v>
      </c>
      <c r="AC47" s="1738">
        <f t="shared" si="4"/>
        <v>2076563754.4500005</v>
      </c>
      <c r="AD47" s="1739">
        <f t="shared" ref="AD47:AD49" si="32">AA47*1.03</f>
        <v>41531275.089000009</v>
      </c>
      <c r="AE47" s="1740">
        <v>10042300</v>
      </c>
      <c r="AF47" s="1738">
        <v>0</v>
      </c>
      <c r="AG47" s="1738">
        <v>0</v>
      </c>
      <c r="AH47" s="1738">
        <f t="shared" si="14"/>
        <v>207456053.71422976</v>
      </c>
      <c r="AI47" s="1738">
        <f t="shared" si="15"/>
        <v>427359470.6513133</v>
      </c>
      <c r="AJ47" s="1738">
        <f t="shared" si="16"/>
        <v>660270382.15627909</v>
      </c>
      <c r="AK47" s="1738">
        <f t="shared" si="17"/>
        <v>906771324.8279568</v>
      </c>
      <c r="AL47" s="1739">
        <f t="shared" si="18"/>
        <v>1167468080.7159944</v>
      </c>
      <c r="AM47" s="1743">
        <f t="shared" si="20"/>
        <v>0.28288169014084508</v>
      </c>
      <c r="AN47" s="1743">
        <f t="shared" si="21"/>
        <v>0</v>
      </c>
      <c r="AO47" s="1743">
        <f t="shared" si="22"/>
        <v>0</v>
      </c>
      <c r="AP47" s="1716" t="s">
        <v>7680</v>
      </c>
      <c r="AQ47" s="489">
        <f>Q47*0.09</f>
        <v>33210000</v>
      </c>
      <c r="AR47" s="489">
        <f>T47*0.09</f>
        <v>68412600</v>
      </c>
    </row>
    <row r="48" spans="2:44" x14ac:dyDescent="0.3">
      <c r="B48" s="1732" t="s">
        <v>7681</v>
      </c>
      <c r="C48" s="1733" t="s">
        <v>7665</v>
      </c>
      <c r="D48" s="1733" t="s">
        <v>7669</v>
      </c>
      <c r="E48" s="1734" t="s">
        <v>7626</v>
      </c>
      <c r="F48" s="1735"/>
      <c r="G48" s="1736">
        <v>2</v>
      </c>
      <c r="H48" s="1727">
        <v>69600000</v>
      </c>
      <c r="I48" s="1728">
        <f t="shared" si="6"/>
        <v>34800000</v>
      </c>
      <c r="J48" s="1737">
        <v>1</v>
      </c>
      <c r="K48" s="1738">
        <v>39000000</v>
      </c>
      <c r="L48" s="1739">
        <f t="shared" si="7"/>
        <v>39000000</v>
      </c>
      <c r="M48" s="1737">
        <v>0</v>
      </c>
      <c r="N48" s="1738">
        <v>0</v>
      </c>
      <c r="O48" s="1739">
        <f t="shared" si="8"/>
        <v>0</v>
      </c>
      <c r="P48" s="1737">
        <v>0</v>
      </c>
      <c r="Q48" s="1738">
        <f t="shared" si="9"/>
        <v>0</v>
      </c>
      <c r="R48" s="1739">
        <v>0</v>
      </c>
      <c r="S48" s="1740">
        <v>0</v>
      </c>
      <c r="T48" s="1738">
        <f t="shared" si="10"/>
        <v>0</v>
      </c>
      <c r="U48" s="1739">
        <f t="shared" si="29"/>
        <v>0</v>
      </c>
      <c r="V48" s="1740">
        <v>0</v>
      </c>
      <c r="W48" s="1738">
        <f t="shared" si="0"/>
        <v>0</v>
      </c>
      <c r="X48" s="1739">
        <f t="shared" si="30"/>
        <v>0</v>
      </c>
      <c r="Y48" s="1740">
        <v>0</v>
      </c>
      <c r="Z48" s="1738">
        <f t="shared" si="2"/>
        <v>0</v>
      </c>
      <c r="AA48" s="1739">
        <f t="shared" si="31"/>
        <v>0</v>
      </c>
      <c r="AB48" s="1740">
        <v>0</v>
      </c>
      <c r="AC48" s="1738">
        <f t="shared" si="4"/>
        <v>0</v>
      </c>
      <c r="AD48" s="1739">
        <f t="shared" si="32"/>
        <v>0</v>
      </c>
      <c r="AE48" s="1740">
        <v>10082110</v>
      </c>
      <c r="AF48" s="1738">
        <v>10082110</v>
      </c>
      <c r="AG48" s="1738">
        <v>0</v>
      </c>
      <c r="AH48" s="1738">
        <f t="shared" si="14"/>
        <v>0</v>
      </c>
      <c r="AI48" s="1738">
        <f t="shared" si="15"/>
        <v>0</v>
      </c>
      <c r="AJ48" s="1738">
        <f t="shared" si="16"/>
        <v>0</v>
      </c>
      <c r="AK48" s="1738">
        <f t="shared" si="17"/>
        <v>0</v>
      </c>
      <c r="AL48" s="1739">
        <f t="shared" si="18"/>
        <v>0</v>
      </c>
      <c r="AM48" s="1743">
        <f t="shared" si="20"/>
        <v>0.28971580459770113</v>
      </c>
      <c r="AN48" s="1743">
        <f t="shared" si="21"/>
        <v>0.25851564102564101</v>
      </c>
      <c r="AO48" s="1743">
        <f t="shared" si="22"/>
        <v>0</v>
      </c>
      <c r="AP48" s="1742"/>
    </row>
    <row r="49" spans="2:42" x14ac:dyDescent="0.3">
      <c r="B49" s="1732" t="s">
        <v>7682</v>
      </c>
      <c r="C49" s="1733" t="s">
        <v>7665</v>
      </c>
      <c r="D49" s="1733" t="s">
        <v>7669</v>
      </c>
      <c r="E49" s="1734" t="s">
        <v>7626</v>
      </c>
      <c r="F49" s="1735"/>
      <c r="G49" s="1736">
        <v>0</v>
      </c>
      <c r="H49" s="1727">
        <v>0</v>
      </c>
      <c r="I49" s="1728">
        <f t="shared" si="6"/>
        <v>0</v>
      </c>
      <c r="J49" s="1737">
        <v>0</v>
      </c>
      <c r="K49" s="1738">
        <v>0</v>
      </c>
      <c r="L49" s="1739">
        <f t="shared" si="7"/>
        <v>0</v>
      </c>
      <c r="M49" s="1737">
        <v>0</v>
      </c>
      <c r="N49" s="1738">
        <v>0</v>
      </c>
      <c r="O49" s="1739">
        <f t="shared" si="8"/>
        <v>0</v>
      </c>
      <c r="P49" s="1737">
        <v>0</v>
      </c>
      <c r="Q49" s="1738">
        <f t="shared" si="9"/>
        <v>0</v>
      </c>
      <c r="R49" s="1739">
        <v>0</v>
      </c>
      <c r="S49" s="1740">
        <v>0</v>
      </c>
      <c r="T49" s="1738">
        <f t="shared" si="10"/>
        <v>0</v>
      </c>
      <c r="U49" s="1739">
        <f t="shared" si="29"/>
        <v>0</v>
      </c>
      <c r="V49" s="1740">
        <v>0</v>
      </c>
      <c r="W49" s="1738">
        <f t="shared" si="0"/>
        <v>0</v>
      </c>
      <c r="X49" s="1739">
        <f t="shared" si="30"/>
        <v>0</v>
      </c>
      <c r="Y49" s="1740">
        <v>0</v>
      </c>
      <c r="Z49" s="1738">
        <f t="shared" si="2"/>
        <v>0</v>
      </c>
      <c r="AA49" s="1739">
        <f t="shared" si="31"/>
        <v>0</v>
      </c>
      <c r="AB49" s="1740">
        <v>0</v>
      </c>
      <c r="AC49" s="1738">
        <f t="shared" si="4"/>
        <v>0</v>
      </c>
      <c r="AD49" s="1739">
        <f t="shared" si="32"/>
        <v>0</v>
      </c>
      <c r="AE49" s="1740">
        <v>0</v>
      </c>
      <c r="AF49" s="1738">
        <v>20265027</v>
      </c>
      <c r="AG49" s="1738">
        <v>0</v>
      </c>
      <c r="AH49" s="1738">
        <f t="shared" si="14"/>
        <v>0</v>
      </c>
      <c r="AI49" s="1738">
        <f t="shared" si="15"/>
        <v>0</v>
      </c>
      <c r="AJ49" s="1738">
        <f t="shared" si="16"/>
        <v>0</v>
      </c>
      <c r="AK49" s="1738">
        <f t="shared" si="17"/>
        <v>0</v>
      </c>
      <c r="AL49" s="1739">
        <f t="shared" si="18"/>
        <v>0</v>
      </c>
      <c r="AM49" s="1743">
        <f t="shared" si="20"/>
        <v>0</v>
      </c>
      <c r="AN49" s="1743">
        <f t="shared" si="21"/>
        <v>0</v>
      </c>
      <c r="AO49" s="1743">
        <f t="shared" si="22"/>
        <v>0</v>
      </c>
      <c r="AP49" s="1742"/>
    </row>
    <row r="50" spans="2:42" x14ac:dyDescent="0.3">
      <c r="B50" s="1732" t="s">
        <v>7683</v>
      </c>
      <c r="C50" s="1733" t="s">
        <v>2802</v>
      </c>
      <c r="D50" s="1733" t="s">
        <v>7628</v>
      </c>
      <c r="E50" s="1734" t="s">
        <v>3293</v>
      </c>
      <c r="F50" s="1735"/>
      <c r="G50" s="1736">
        <v>3</v>
      </c>
      <c r="H50" s="1727">
        <v>66871500</v>
      </c>
      <c r="I50" s="1728">
        <f t="shared" si="6"/>
        <v>22290500</v>
      </c>
      <c r="J50" s="1737">
        <v>1</v>
      </c>
      <c r="K50" s="1738">
        <v>17250000</v>
      </c>
      <c r="L50" s="1739">
        <f t="shared" si="7"/>
        <v>17250000</v>
      </c>
      <c r="M50" s="1737">
        <v>1</v>
      </c>
      <c r="N50" s="1738">
        <v>27562428</v>
      </c>
      <c r="O50" s="1739">
        <f t="shared" si="8"/>
        <v>27562428</v>
      </c>
      <c r="P50" s="1737">
        <v>0</v>
      </c>
      <c r="Q50" s="1738">
        <f t="shared" si="9"/>
        <v>0</v>
      </c>
      <c r="R50" s="1739">
        <v>0</v>
      </c>
      <c r="S50" s="1740">
        <v>0</v>
      </c>
      <c r="T50" s="1738">
        <f t="shared" si="10"/>
        <v>0</v>
      </c>
      <c r="U50" s="1739">
        <f t="shared" si="23"/>
        <v>0</v>
      </c>
      <c r="V50" s="1740">
        <v>0</v>
      </c>
      <c r="W50" s="1738">
        <f t="shared" si="0"/>
        <v>0</v>
      </c>
      <c r="X50" s="1739">
        <f t="shared" si="1"/>
        <v>0</v>
      </c>
      <c r="Y50" s="1740">
        <v>0</v>
      </c>
      <c r="Z50" s="1738">
        <f t="shared" si="2"/>
        <v>0</v>
      </c>
      <c r="AA50" s="1739">
        <f t="shared" si="3"/>
        <v>0</v>
      </c>
      <c r="AB50" s="1740">
        <v>0</v>
      </c>
      <c r="AC50" s="1738">
        <f t="shared" si="4"/>
        <v>0</v>
      </c>
      <c r="AD50" s="1741">
        <f t="shared" si="5"/>
        <v>0</v>
      </c>
      <c r="AE50" s="1740">
        <v>17573077</v>
      </c>
      <c r="AF50" s="1738">
        <v>17976888</v>
      </c>
      <c r="AG50" s="1738">
        <v>19091070</v>
      </c>
      <c r="AH50" s="1738">
        <f t="shared" si="14"/>
        <v>0</v>
      </c>
      <c r="AI50" s="1738">
        <f t="shared" si="15"/>
        <v>0</v>
      </c>
      <c r="AJ50" s="1738">
        <f t="shared" si="16"/>
        <v>0</v>
      </c>
      <c r="AK50" s="1738">
        <f t="shared" si="17"/>
        <v>0</v>
      </c>
      <c r="AL50" s="1739">
        <f t="shared" si="18"/>
        <v>0</v>
      </c>
      <c r="AM50" s="1743">
        <f t="shared" si="20"/>
        <v>0.78836620982032701</v>
      </c>
      <c r="AN50" s="1743">
        <f t="shared" si="21"/>
        <v>1.0421384347826086</v>
      </c>
      <c r="AO50" s="1743">
        <f t="shared" si="22"/>
        <v>0.69264833997933706</v>
      </c>
      <c r="AP50" s="1742"/>
    </row>
    <row r="51" spans="2:42" x14ac:dyDescent="0.3">
      <c r="B51" s="1732" t="s">
        <v>7684</v>
      </c>
      <c r="C51" s="1733" t="s">
        <v>2802</v>
      </c>
      <c r="D51" s="1733" t="s">
        <v>7628</v>
      </c>
      <c r="E51" s="1734" t="s">
        <v>3293</v>
      </c>
      <c r="F51" s="1735"/>
      <c r="G51" s="1736">
        <v>3</v>
      </c>
      <c r="H51" s="1727">
        <v>125509092</v>
      </c>
      <c r="I51" s="1728">
        <f t="shared" si="6"/>
        <v>41836364</v>
      </c>
      <c r="J51" s="1737">
        <v>4</v>
      </c>
      <c r="K51" s="1738">
        <v>179178184</v>
      </c>
      <c r="L51" s="1739">
        <f t="shared" si="7"/>
        <v>44794546</v>
      </c>
      <c r="M51" s="1737">
        <v>15</v>
      </c>
      <c r="N51" s="1738">
        <v>663980914</v>
      </c>
      <c r="O51" s="1739">
        <f t="shared" si="8"/>
        <v>44265394.266666666</v>
      </c>
      <c r="P51" s="1737">
        <v>16</v>
      </c>
      <c r="Q51" s="1738">
        <f t="shared" si="9"/>
        <v>728000000</v>
      </c>
      <c r="R51" s="1739">
        <v>45500000</v>
      </c>
      <c r="S51" s="1740">
        <v>20</v>
      </c>
      <c r="T51" s="1738">
        <f t="shared" si="10"/>
        <v>955500000</v>
      </c>
      <c r="U51" s="1739">
        <f t="shared" si="23"/>
        <v>47775000</v>
      </c>
      <c r="V51" s="1740">
        <v>30</v>
      </c>
      <c r="W51" s="1738">
        <f t="shared" si="0"/>
        <v>1504912500</v>
      </c>
      <c r="X51" s="1739">
        <f t="shared" si="1"/>
        <v>50163750</v>
      </c>
      <c r="Y51" s="1740">
        <v>35</v>
      </c>
      <c r="Z51" s="1738">
        <f t="shared" si="2"/>
        <v>1843517812.5</v>
      </c>
      <c r="AA51" s="1739">
        <f t="shared" si="3"/>
        <v>52671937.5</v>
      </c>
      <c r="AB51" s="1740">
        <v>40</v>
      </c>
      <c r="AC51" s="1738">
        <f t="shared" si="4"/>
        <v>2212221375</v>
      </c>
      <c r="AD51" s="1741">
        <f t="shared" si="5"/>
        <v>55305534.375</v>
      </c>
      <c r="AE51" s="1740">
        <v>23954792</v>
      </c>
      <c r="AF51" s="1738">
        <v>22597755</v>
      </c>
      <c r="AG51" s="1738">
        <v>22241386</v>
      </c>
      <c r="AH51" s="1738">
        <f t="shared" si="14"/>
        <v>409289992.15165114</v>
      </c>
      <c r="AI51" s="1738">
        <f t="shared" si="15"/>
        <v>537193114.69904208</v>
      </c>
      <c r="AJ51" s="1738">
        <f t="shared" si="16"/>
        <v>846079155.65099132</v>
      </c>
      <c r="AK51" s="1738">
        <f t="shared" si="17"/>
        <v>1036446965.6724644</v>
      </c>
      <c r="AL51" s="1739">
        <f t="shared" si="18"/>
        <v>1243736358.8069572</v>
      </c>
      <c r="AM51" s="1743">
        <f t="shared" si="20"/>
        <v>0.57258302848689235</v>
      </c>
      <c r="AN51" s="1743">
        <f t="shared" si="21"/>
        <v>0.50447558950591886</v>
      </c>
      <c r="AO51" s="1743">
        <f t="shared" si="22"/>
        <v>0.50245539136084261</v>
      </c>
      <c r="AP51" s="1742"/>
    </row>
    <row r="52" spans="2:42" x14ac:dyDescent="0.3">
      <c r="B52" s="1732" t="s">
        <v>7685</v>
      </c>
      <c r="C52" s="1733" t="s">
        <v>2802</v>
      </c>
      <c r="D52" s="1733" t="s">
        <v>7686</v>
      </c>
      <c r="E52" s="1734" t="s">
        <v>7687</v>
      </c>
      <c r="F52" s="1735"/>
      <c r="G52" s="1736">
        <v>148</v>
      </c>
      <c r="H52" s="1727">
        <v>4743385309</v>
      </c>
      <c r="I52" s="1728">
        <f t="shared" si="6"/>
        <v>32049900.736486487</v>
      </c>
      <c r="J52" s="1737">
        <v>153</v>
      </c>
      <c r="K52" s="1738">
        <v>4571621271</v>
      </c>
      <c r="L52" s="1739">
        <f t="shared" si="7"/>
        <v>29879877.588235293</v>
      </c>
      <c r="M52" s="1737">
        <v>54</v>
      </c>
      <c r="N52" s="1738">
        <v>1938586361</v>
      </c>
      <c r="O52" s="1739">
        <f t="shared" si="8"/>
        <v>35899747.425925925</v>
      </c>
      <c r="P52" s="1737">
        <v>59</v>
      </c>
      <c r="Q52" s="1738">
        <f t="shared" si="9"/>
        <v>2094500000</v>
      </c>
      <c r="R52" s="1739">
        <v>35500000</v>
      </c>
      <c r="S52" s="1740">
        <v>150</v>
      </c>
      <c r="T52" s="1738">
        <f t="shared" si="10"/>
        <v>5591250000</v>
      </c>
      <c r="U52" s="1739">
        <f t="shared" si="23"/>
        <v>37275000</v>
      </c>
      <c r="V52" s="1740">
        <v>50</v>
      </c>
      <c r="W52" s="1738">
        <f t="shared" si="0"/>
        <v>1956937500</v>
      </c>
      <c r="X52" s="1739">
        <f t="shared" si="1"/>
        <v>39138750</v>
      </c>
      <c r="Y52" s="1740">
        <v>50</v>
      </c>
      <c r="Z52" s="1738">
        <f t="shared" si="2"/>
        <v>2054784375</v>
      </c>
      <c r="AA52" s="1739">
        <f t="shared" si="3"/>
        <v>41095687.5</v>
      </c>
      <c r="AB52" s="1740">
        <v>200</v>
      </c>
      <c r="AC52" s="1738">
        <f t="shared" si="4"/>
        <v>8630094375</v>
      </c>
      <c r="AD52" s="1741">
        <f t="shared" si="5"/>
        <v>43150471.875</v>
      </c>
      <c r="AE52" s="1740">
        <v>20614154</v>
      </c>
      <c r="AF52" s="1738">
        <v>21736087</v>
      </c>
      <c r="AG52" s="1738">
        <v>21862703</v>
      </c>
      <c r="AH52" s="1738">
        <f t="shared" si="14"/>
        <v>1177552044.7275183</v>
      </c>
      <c r="AI52" s="1738">
        <f t="shared" si="15"/>
        <v>3143465204.145494</v>
      </c>
      <c r="AJ52" s="1738">
        <f t="shared" si="16"/>
        <v>1100212821.4509227</v>
      </c>
      <c r="AK52" s="1738">
        <f t="shared" si="17"/>
        <v>1155223462.523469</v>
      </c>
      <c r="AL52" s="1739">
        <f t="shared" si="18"/>
        <v>4851938542.5985699</v>
      </c>
      <c r="AM52" s="1743">
        <f t="shared" si="20"/>
        <v>0.64318932434421805</v>
      </c>
      <c r="AN52" s="1743">
        <f t="shared" si="21"/>
        <v>0.72744899760092141</v>
      </c>
      <c r="AO52" s="1743">
        <f t="shared" si="22"/>
        <v>0.60899322606964323</v>
      </c>
      <c r="AP52" s="1716" t="s">
        <v>7688</v>
      </c>
    </row>
    <row r="53" spans="2:42" x14ac:dyDescent="0.3">
      <c r="B53" s="1732" t="s">
        <v>7689</v>
      </c>
      <c r="C53" s="1733" t="s">
        <v>2802</v>
      </c>
      <c r="D53" s="1733" t="s">
        <v>7628</v>
      </c>
      <c r="E53" s="1734" t="s">
        <v>3293</v>
      </c>
      <c r="F53" s="1735"/>
      <c r="G53" s="1736">
        <v>6</v>
      </c>
      <c r="H53" s="1727">
        <v>111424000</v>
      </c>
      <c r="I53" s="1728">
        <f t="shared" si="6"/>
        <v>18570666.666666668</v>
      </c>
      <c r="J53" s="1737">
        <v>14</v>
      </c>
      <c r="K53" s="1738">
        <v>243256000</v>
      </c>
      <c r="L53" s="1739">
        <f t="shared" si="7"/>
        <v>17375428.571428571</v>
      </c>
      <c r="M53" s="1737">
        <v>39</v>
      </c>
      <c r="N53" s="1738">
        <v>724136727</v>
      </c>
      <c r="O53" s="1739">
        <f t="shared" si="8"/>
        <v>18567608.384615384</v>
      </c>
      <c r="P53" s="1737">
        <v>30</v>
      </c>
      <c r="Q53" s="1738">
        <f t="shared" si="9"/>
        <v>557028251.53846157</v>
      </c>
      <c r="R53" s="1739">
        <f>O53</f>
        <v>18567608.384615384</v>
      </c>
      <c r="S53" s="1740">
        <v>30</v>
      </c>
      <c r="T53" s="1738">
        <f t="shared" si="10"/>
        <v>584879664.11538458</v>
      </c>
      <c r="U53" s="1739">
        <f t="shared" si="23"/>
        <v>19495988.803846154</v>
      </c>
      <c r="V53" s="1740">
        <v>30</v>
      </c>
      <c r="W53" s="1738">
        <f t="shared" si="0"/>
        <v>614123647.32115388</v>
      </c>
      <c r="X53" s="1739">
        <f t="shared" si="1"/>
        <v>20470788.244038463</v>
      </c>
      <c r="Y53" s="1740">
        <v>30</v>
      </c>
      <c r="Z53" s="1738">
        <f t="shared" si="2"/>
        <v>644829829.68721151</v>
      </c>
      <c r="AA53" s="1739">
        <f t="shared" si="3"/>
        <v>21494327.656240385</v>
      </c>
      <c r="AB53" s="1740">
        <v>30</v>
      </c>
      <c r="AC53" s="1738">
        <f t="shared" si="4"/>
        <v>677071321.17157209</v>
      </c>
      <c r="AD53" s="1741">
        <f t="shared" si="5"/>
        <v>22569044.039052404</v>
      </c>
      <c r="AE53" s="1740">
        <v>13191098</v>
      </c>
      <c r="AF53" s="1738">
        <v>13594909</v>
      </c>
      <c r="AG53" s="1738">
        <v>14709091</v>
      </c>
      <c r="AH53" s="1738">
        <f t="shared" si="14"/>
        <v>313167704.25882542</v>
      </c>
      <c r="AI53" s="1738">
        <f t="shared" si="15"/>
        <v>328826089.47176665</v>
      </c>
      <c r="AJ53" s="1738">
        <f t="shared" si="16"/>
        <v>345267393.945355</v>
      </c>
      <c r="AK53" s="1738">
        <f t="shared" si="17"/>
        <v>362530763.64262271</v>
      </c>
      <c r="AL53" s="1739">
        <f t="shared" si="18"/>
        <v>380657301.82475388</v>
      </c>
      <c r="AM53" s="1743">
        <f t="shared" si="20"/>
        <v>0.71031903360137849</v>
      </c>
      <c r="AN53" s="1743">
        <f t="shared" si="21"/>
        <v>0.7824215065609893</v>
      </c>
      <c r="AO53" s="1743">
        <f t="shared" si="22"/>
        <v>0.79219093247289474</v>
      </c>
    </row>
    <row r="54" spans="2:42" x14ac:dyDescent="0.3">
      <c r="B54" s="1732" t="s">
        <v>7690</v>
      </c>
      <c r="C54" s="1733" t="s">
        <v>2802</v>
      </c>
      <c r="D54" s="1733" t="s">
        <v>7628</v>
      </c>
      <c r="E54" s="1734" t="s">
        <v>3293</v>
      </c>
      <c r="F54" s="1735"/>
      <c r="G54" s="1736">
        <v>353</v>
      </c>
      <c r="H54" s="1727">
        <v>12836156488</v>
      </c>
      <c r="I54" s="1728">
        <f t="shared" si="6"/>
        <v>36363049.541076489</v>
      </c>
      <c r="J54" s="1737">
        <v>369</v>
      </c>
      <c r="K54" s="1738">
        <v>13184198689</v>
      </c>
      <c r="L54" s="1739">
        <f t="shared" si="7"/>
        <v>35729535.742547423</v>
      </c>
      <c r="M54" s="1737">
        <v>286</v>
      </c>
      <c r="N54" s="1738">
        <v>10683930617</v>
      </c>
      <c r="O54" s="1739">
        <f t="shared" si="8"/>
        <v>37356400.75874126</v>
      </c>
      <c r="P54" s="1737">
        <v>270</v>
      </c>
      <c r="Q54" s="1738">
        <f t="shared" si="9"/>
        <v>9855000000</v>
      </c>
      <c r="R54" s="1739">
        <v>36500000</v>
      </c>
      <c r="S54" s="1740">
        <v>260</v>
      </c>
      <c r="T54" s="1738">
        <f t="shared" si="10"/>
        <v>9964500000</v>
      </c>
      <c r="U54" s="1739">
        <f t="shared" si="23"/>
        <v>38325000</v>
      </c>
      <c r="V54" s="1740">
        <v>250</v>
      </c>
      <c r="W54" s="1738">
        <f t="shared" si="0"/>
        <v>10060312500</v>
      </c>
      <c r="X54" s="1739">
        <f t="shared" si="1"/>
        <v>40241250</v>
      </c>
      <c r="Y54" s="1740">
        <v>250</v>
      </c>
      <c r="Z54" s="1738">
        <f t="shared" si="2"/>
        <v>10563328125</v>
      </c>
      <c r="AA54" s="1739">
        <f t="shared" si="3"/>
        <v>42253312.5</v>
      </c>
      <c r="AB54" s="1740">
        <v>250</v>
      </c>
      <c r="AC54" s="1738">
        <f t="shared" si="4"/>
        <v>11091494531.25</v>
      </c>
      <c r="AD54" s="1741">
        <f t="shared" si="5"/>
        <v>44365978.125</v>
      </c>
      <c r="AE54" s="1740">
        <v>21416773</v>
      </c>
      <c r="AF54" s="1738">
        <v>23591241</v>
      </c>
      <c r="AG54" s="1738">
        <v>22873683</v>
      </c>
      <c r="AH54" s="1738">
        <f t="shared" si="14"/>
        <v>5540594605.294673</v>
      </c>
      <c r="AI54" s="1738">
        <f t="shared" si="15"/>
        <v>5602156767.5757246</v>
      </c>
      <c r="AJ54" s="1738">
        <f t="shared" si="16"/>
        <v>5656023659.5716457</v>
      </c>
      <c r="AK54" s="1738">
        <f t="shared" si="17"/>
        <v>5938824842.5502281</v>
      </c>
      <c r="AL54" s="1739">
        <f t="shared" si="18"/>
        <v>6235766084.6777391</v>
      </c>
      <c r="AM54" s="1743">
        <f t="shared" si="20"/>
        <v>0.58897076208658328</v>
      </c>
      <c r="AN54" s="1743">
        <f t="shared" si="21"/>
        <v>0.66027281098721624</v>
      </c>
      <c r="AO54" s="1743">
        <f t="shared" si="22"/>
        <v>0.61230960519256239</v>
      </c>
    </row>
    <row r="55" spans="2:42" x14ac:dyDescent="0.3">
      <c r="B55" s="1732" t="s">
        <v>7691</v>
      </c>
      <c r="C55" s="1733" t="s">
        <v>2802</v>
      </c>
      <c r="D55" s="1733" t="s">
        <v>7628</v>
      </c>
      <c r="E55" s="1734" t="s">
        <v>3293</v>
      </c>
      <c r="F55" s="1735"/>
      <c r="G55" s="1736">
        <v>7</v>
      </c>
      <c r="H55" s="1727">
        <v>119136000</v>
      </c>
      <c r="I55" s="1728">
        <f t="shared" si="6"/>
        <v>17019428.571428571</v>
      </c>
      <c r="J55" s="1737">
        <v>44</v>
      </c>
      <c r="K55" s="1738">
        <v>2084900107</v>
      </c>
      <c r="L55" s="1739">
        <f t="shared" si="7"/>
        <v>47384093.340909094</v>
      </c>
      <c r="M55" s="1737">
        <v>52</v>
      </c>
      <c r="N55" s="1738">
        <v>959605920</v>
      </c>
      <c r="O55" s="1739">
        <f t="shared" si="8"/>
        <v>18453960</v>
      </c>
      <c r="P55" s="1737">
        <v>40</v>
      </c>
      <c r="Q55" s="1738">
        <f t="shared" si="9"/>
        <v>738158400</v>
      </c>
      <c r="R55" s="1739">
        <f>O55</f>
        <v>18453960</v>
      </c>
      <c r="S55" s="1740">
        <v>40</v>
      </c>
      <c r="T55" s="1738">
        <f t="shared" si="10"/>
        <v>775066320</v>
      </c>
      <c r="U55" s="1739">
        <f t="shared" si="23"/>
        <v>19376658</v>
      </c>
      <c r="V55" s="1740">
        <v>40</v>
      </c>
      <c r="W55" s="1738">
        <f t="shared" si="0"/>
        <v>813819636.00000012</v>
      </c>
      <c r="X55" s="1739">
        <f t="shared" si="1"/>
        <v>20345490.900000002</v>
      </c>
      <c r="Y55" s="1740">
        <v>40</v>
      </c>
      <c r="Z55" s="1738">
        <f t="shared" si="2"/>
        <v>854510617.80000019</v>
      </c>
      <c r="AA55" s="1739">
        <f t="shared" si="3"/>
        <v>21362765.445000004</v>
      </c>
      <c r="AB55" s="1740">
        <v>40</v>
      </c>
      <c r="AC55" s="1738">
        <f t="shared" si="4"/>
        <v>897236148.69000018</v>
      </c>
      <c r="AD55" s="1741">
        <f t="shared" si="5"/>
        <v>22430903.717250004</v>
      </c>
      <c r="AE55" s="1740">
        <v>13191098</v>
      </c>
      <c r="AF55" s="1738">
        <v>13594909</v>
      </c>
      <c r="AG55" s="1738">
        <v>14709091</v>
      </c>
      <c r="AH55" s="1738">
        <f t="shared" si="14"/>
        <v>415001161.7344442</v>
      </c>
      <c r="AI55" s="1738">
        <f t="shared" si="15"/>
        <v>435751219.8211664</v>
      </c>
      <c r="AJ55" s="1738">
        <f t="shared" si="16"/>
        <v>457538780.81222481</v>
      </c>
      <c r="AK55" s="1738">
        <f t="shared" si="17"/>
        <v>480415719.85283607</v>
      </c>
      <c r="AL55" s="1739">
        <f t="shared" si="18"/>
        <v>504436505.84547782</v>
      </c>
      <c r="AM55" s="1743">
        <f t="shared" si="20"/>
        <v>0.77506115699704536</v>
      </c>
      <c r="AN55" s="1743">
        <f t="shared" si="21"/>
        <v>0.2869087079959558</v>
      </c>
      <c r="AO55" s="1743">
        <f t="shared" si="22"/>
        <v>0.79706962624824162</v>
      </c>
    </row>
    <row r="56" spans="2:42" x14ac:dyDescent="0.3">
      <c r="B56" s="1732" t="s">
        <v>7692</v>
      </c>
      <c r="C56" s="1733" t="s">
        <v>2024</v>
      </c>
      <c r="D56" s="1733" t="s">
        <v>3042</v>
      </c>
      <c r="E56" s="1734" t="s">
        <v>7693</v>
      </c>
      <c r="F56" s="1735"/>
      <c r="G56" s="1736">
        <v>35</v>
      </c>
      <c r="H56" s="1727">
        <v>1420930000</v>
      </c>
      <c r="I56" s="1728">
        <f t="shared" si="6"/>
        <v>40598000</v>
      </c>
      <c r="J56" s="1737">
        <v>42</v>
      </c>
      <c r="K56" s="1738">
        <v>3454999968</v>
      </c>
      <c r="L56" s="1739">
        <f t="shared" si="7"/>
        <v>82261904</v>
      </c>
      <c r="M56" s="1737">
        <v>8</v>
      </c>
      <c r="N56" s="1738">
        <v>686701600</v>
      </c>
      <c r="O56" s="1739">
        <f t="shared" si="8"/>
        <v>85837700</v>
      </c>
      <c r="P56" s="1737">
        <v>20</v>
      </c>
      <c r="Q56" s="1738">
        <f t="shared" si="9"/>
        <v>1766000000</v>
      </c>
      <c r="R56" s="1739">
        <v>88300000</v>
      </c>
      <c r="S56" s="1740">
        <v>25</v>
      </c>
      <c r="T56" s="1738">
        <f t="shared" si="10"/>
        <v>2273725000</v>
      </c>
      <c r="U56" s="1739">
        <f t="shared" ref="U56:U57" si="33">R56*1.03</f>
        <v>90949000</v>
      </c>
      <c r="V56" s="1740">
        <v>35</v>
      </c>
      <c r="W56" s="1738">
        <f t="shared" si="0"/>
        <v>3278711450</v>
      </c>
      <c r="X56" s="1739">
        <f t="shared" ref="X56:X57" si="34">U56*1.03</f>
        <v>93677470</v>
      </c>
      <c r="Y56" s="1740">
        <v>25</v>
      </c>
      <c r="Z56" s="1738">
        <f t="shared" si="2"/>
        <v>2412194852.5</v>
      </c>
      <c r="AA56" s="1739">
        <f t="shared" ref="AA56:AA57" si="35">X56*1.03</f>
        <v>96487794.100000009</v>
      </c>
      <c r="AB56" s="1740">
        <v>25</v>
      </c>
      <c r="AC56" s="1738">
        <f t="shared" si="4"/>
        <v>2484560698.0750003</v>
      </c>
      <c r="AD56" s="1739">
        <f t="shared" ref="AD56:AD57" si="36">AA56*1.03</f>
        <v>99382427.923000008</v>
      </c>
      <c r="AE56" s="1740">
        <v>17150300</v>
      </c>
      <c r="AF56" s="1738">
        <v>59743067</v>
      </c>
      <c r="AG56" s="1738">
        <v>60924885</v>
      </c>
      <c r="AH56" s="1738">
        <f t="shared" si="14"/>
        <v>992865557.88436258</v>
      </c>
      <c r="AI56" s="1738">
        <f t="shared" si="15"/>
        <v>1278314405.7761168</v>
      </c>
      <c r="AJ56" s="1738">
        <f t="shared" si="16"/>
        <v>1843329373.1291604</v>
      </c>
      <c r="AK56" s="1738">
        <f t="shared" si="17"/>
        <v>1356163753.0878823</v>
      </c>
      <c r="AL56" s="1739">
        <f t="shared" si="18"/>
        <v>1396848665.6805189</v>
      </c>
      <c r="AM56" s="1743">
        <f t="shared" si="20"/>
        <v>0.42244199221636536</v>
      </c>
      <c r="AN56" s="1743">
        <f t="shared" si="21"/>
        <v>0.72625436678441091</v>
      </c>
      <c r="AO56" s="1743">
        <f t="shared" si="22"/>
        <v>0.70976837683209126</v>
      </c>
      <c r="AP56" s="1716" t="s">
        <v>7694</v>
      </c>
    </row>
    <row r="57" spans="2:42" x14ac:dyDescent="0.3">
      <c r="B57" s="1732" t="s">
        <v>7695</v>
      </c>
      <c r="C57" s="1733" t="s">
        <v>2024</v>
      </c>
      <c r="D57" s="1733" t="s">
        <v>3042</v>
      </c>
      <c r="E57" s="1734" t="s">
        <v>7693</v>
      </c>
      <c r="F57" s="1735"/>
      <c r="G57" s="1736">
        <v>0</v>
      </c>
      <c r="H57" s="1727">
        <v>0</v>
      </c>
      <c r="I57" s="1728">
        <f t="shared" si="6"/>
        <v>0</v>
      </c>
      <c r="J57" s="1737">
        <v>72</v>
      </c>
      <c r="K57" s="1738">
        <v>6485027040</v>
      </c>
      <c r="L57" s="1739">
        <f t="shared" si="7"/>
        <v>90069820</v>
      </c>
      <c r="M57" s="1737">
        <v>0</v>
      </c>
      <c r="N57" s="1738">
        <v>0</v>
      </c>
      <c r="O57" s="1739">
        <f t="shared" si="8"/>
        <v>0</v>
      </c>
      <c r="P57" s="1737">
        <v>0</v>
      </c>
      <c r="Q57" s="1738">
        <f t="shared" si="9"/>
        <v>0</v>
      </c>
      <c r="R57" s="1739">
        <v>0</v>
      </c>
      <c r="S57" s="1740">
        <v>0</v>
      </c>
      <c r="T57" s="1738">
        <f t="shared" si="10"/>
        <v>0</v>
      </c>
      <c r="U57" s="1739">
        <f t="shared" si="33"/>
        <v>0</v>
      </c>
      <c r="V57" s="1740">
        <v>0</v>
      </c>
      <c r="W57" s="1738">
        <f t="shared" si="0"/>
        <v>0</v>
      </c>
      <c r="X57" s="1739">
        <f t="shared" si="34"/>
        <v>0</v>
      </c>
      <c r="Y57" s="1740">
        <v>0</v>
      </c>
      <c r="Z57" s="1738">
        <f t="shared" si="2"/>
        <v>0</v>
      </c>
      <c r="AA57" s="1739">
        <f t="shared" si="35"/>
        <v>0</v>
      </c>
      <c r="AB57" s="1740">
        <v>0</v>
      </c>
      <c r="AC57" s="1738">
        <f t="shared" si="4"/>
        <v>0</v>
      </c>
      <c r="AD57" s="1739">
        <f t="shared" si="36"/>
        <v>0</v>
      </c>
      <c r="AE57" s="1740">
        <v>0</v>
      </c>
      <c r="AF57" s="1738">
        <v>16560909</v>
      </c>
      <c r="AG57" s="1738">
        <v>0</v>
      </c>
      <c r="AH57" s="1738">
        <f t="shared" si="14"/>
        <v>0</v>
      </c>
      <c r="AI57" s="1738">
        <f t="shared" si="15"/>
        <v>0</v>
      </c>
      <c r="AJ57" s="1738">
        <f t="shared" si="16"/>
        <v>0</v>
      </c>
      <c r="AK57" s="1738">
        <f t="shared" si="17"/>
        <v>0</v>
      </c>
      <c r="AL57" s="1739">
        <f t="shared" si="18"/>
        <v>0</v>
      </c>
      <c r="AM57" s="1743">
        <f t="shared" si="20"/>
        <v>0</v>
      </c>
      <c r="AN57" s="1743">
        <f t="shared" si="21"/>
        <v>0.18386745971069998</v>
      </c>
      <c r="AO57" s="1743">
        <f t="shared" si="22"/>
        <v>0</v>
      </c>
      <c r="AP57" s="1716" t="s">
        <v>7696</v>
      </c>
    </row>
    <row r="58" spans="2:42" x14ac:dyDescent="0.3">
      <c r="B58" s="1732" t="s">
        <v>7697</v>
      </c>
      <c r="C58" s="1733" t="s">
        <v>2023</v>
      </c>
      <c r="D58" s="1733" t="s">
        <v>3041</v>
      </c>
      <c r="E58" s="1734" t="s">
        <v>7644</v>
      </c>
      <c r="F58" s="1735"/>
      <c r="G58" s="1736">
        <v>10</v>
      </c>
      <c r="H58" s="1727">
        <v>948100000</v>
      </c>
      <c r="I58" s="1728">
        <f t="shared" si="6"/>
        <v>94810000</v>
      </c>
      <c r="J58" s="1737">
        <v>82</v>
      </c>
      <c r="K58" s="1738">
        <v>7718008190</v>
      </c>
      <c r="L58" s="1739">
        <f t="shared" si="7"/>
        <v>94122051.097560972</v>
      </c>
      <c r="M58" s="1737">
        <v>11</v>
      </c>
      <c r="N58" s="1738">
        <v>1091440918</v>
      </c>
      <c r="O58" s="1739">
        <f t="shared" si="8"/>
        <v>99221901.63636364</v>
      </c>
      <c r="P58" s="1737">
        <v>11</v>
      </c>
      <c r="Q58" s="1738">
        <f t="shared" si="9"/>
        <v>1265000000</v>
      </c>
      <c r="R58" s="1739">
        <v>115000000</v>
      </c>
      <c r="S58" s="1740">
        <v>10</v>
      </c>
      <c r="T58" s="1738">
        <f t="shared" si="10"/>
        <v>1207500000</v>
      </c>
      <c r="U58" s="1739">
        <f t="shared" si="23"/>
        <v>120750000</v>
      </c>
      <c r="V58" s="1740">
        <v>10</v>
      </c>
      <c r="W58" s="1738">
        <f t="shared" si="0"/>
        <v>1267875000</v>
      </c>
      <c r="X58" s="1739">
        <f t="shared" si="1"/>
        <v>126787500</v>
      </c>
      <c r="Y58" s="1740">
        <v>10</v>
      </c>
      <c r="Z58" s="1738">
        <f t="shared" si="2"/>
        <v>1331268750</v>
      </c>
      <c r="AA58" s="1739">
        <f t="shared" si="3"/>
        <v>133126875</v>
      </c>
      <c r="AB58" s="1740">
        <v>10</v>
      </c>
      <c r="AC58" s="1738">
        <f t="shared" si="4"/>
        <v>1397832187.5</v>
      </c>
      <c r="AD58" s="1741">
        <f t="shared" si="5"/>
        <v>139783218.75</v>
      </c>
      <c r="AE58" s="1740">
        <v>62457316</v>
      </c>
      <c r="AF58" s="1738">
        <v>85107906</v>
      </c>
      <c r="AG58" s="1738">
        <v>80167154</v>
      </c>
      <c r="AH58" s="1738">
        <f t="shared" si="14"/>
        <v>711197582.51626194</v>
      </c>
      <c r="AI58" s="1738">
        <f t="shared" si="15"/>
        <v>678870419.67461371</v>
      </c>
      <c r="AJ58" s="1738">
        <f t="shared" si="16"/>
        <v>712813940.65834439</v>
      </c>
      <c r="AK58" s="1738">
        <f t="shared" si="17"/>
        <v>748454637.69126153</v>
      </c>
      <c r="AL58" s="1739">
        <f t="shared" si="18"/>
        <v>785877369.57582462</v>
      </c>
      <c r="AM58" s="1743">
        <f t="shared" si="20"/>
        <v>0.65876295749393521</v>
      </c>
      <c r="AN58" s="1743">
        <f t="shared" si="21"/>
        <v>0.90422918973347188</v>
      </c>
      <c r="AO58" s="1743">
        <f t="shared" si="22"/>
        <v>0.80795824992150422</v>
      </c>
      <c r="AP58" s="1716" t="s">
        <v>7698</v>
      </c>
    </row>
    <row r="59" spans="2:42" x14ac:dyDescent="0.3">
      <c r="B59" s="1732" t="s">
        <v>7699</v>
      </c>
      <c r="C59" s="1733" t="s">
        <v>2023</v>
      </c>
      <c r="D59" s="1733" t="s">
        <v>3041</v>
      </c>
      <c r="E59" s="1734" t="s">
        <v>7700</v>
      </c>
      <c r="F59" s="1735"/>
      <c r="G59" s="1736">
        <v>0</v>
      </c>
      <c r="H59" s="1727">
        <v>0</v>
      </c>
      <c r="I59" s="1728">
        <f t="shared" si="6"/>
        <v>0</v>
      </c>
      <c r="J59" s="1737">
        <v>0</v>
      </c>
      <c r="K59" s="1738">
        <v>0</v>
      </c>
      <c r="L59" s="1739">
        <f t="shared" si="7"/>
        <v>0</v>
      </c>
      <c r="M59" s="1737">
        <v>22</v>
      </c>
      <c r="N59" s="1738">
        <v>2414000000</v>
      </c>
      <c r="O59" s="1739">
        <f t="shared" si="8"/>
        <v>109727272.72727273</v>
      </c>
      <c r="P59" s="1737">
        <v>26</v>
      </c>
      <c r="Q59" s="1738">
        <f t="shared" si="9"/>
        <v>2990000000</v>
      </c>
      <c r="R59" s="1739">
        <v>115000000</v>
      </c>
      <c r="S59" s="1740">
        <v>35</v>
      </c>
      <c r="T59" s="1738">
        <f t="shared" si="10"/>
        <v>4226250000</v>
      </c>
      <c r="U59" s="1739">
        <f t="shared" si="23"/>
        <v>120750000</v>
      </c>
      <c r="V59" s="1740">
        <v>40</v>
      </c>
      <c r="W59" s="1738">
        <f t="shared" si="0"/>
        <v>5071500000</v>
      </c>
      <c r="X59" s="1739">
        <f t="shared" si="1"/>
        <v>126787500</v>
      </c>
      <c r="Y59" s="1740">
        <v>40</v>
      </c>
      <c r="Z59" s="1738">
        <f t="shared" si="2"/>
        <v>5325075000</v>
      </c>
      <c r="AA59" s="1739">
        <f t="shared" si="3"/>
        <v>133126875</v>
      </c>
      <c r="AB59" s="1740">
        <v>40</v>
      </c>
      <c r="AC59" s="1738">
        <f t="shared" si="4"/>
        <v>5591328750</v>
      </c>
      <c r="AD59" s="1741">
        <f t="shared" si="5"/>
        <v>139783218.75</v>
      </c>
      <c r="AE59" s="1740">
        <v>0</v>
      </c>
      <c r="AF59" s="1738">
        <v>0</v>
      </c>
      <c r="AG59" s="1738">
        <v>88964806</v>
      </c>
      <c r="AH59" s="1738">
        <f t="shared" si="14"/>
        <v>1681012467.7657101</v>
      </c>
      <c r="AI59" s="1738">
        <f t="shared" si="15"/>
        <v>2376046468.8611479</v>
      </c>
      <c r="AJ59" s="1738">
        <f t="shared" si="16"/>
        <v>2851255762.6333776</v>
      </c>
      <c r="AK59" s="1738">
        <f t="shared" si="17"/>
        <v>2993818550.7650461</v>
      </c>
      <c r="AL59" s="1739">
        <f t="shared" si="18"/>
        <v>3143509478.3032985</v>
      </c>
      <c r="AM59" s="1743">
        <f t="shared" si="20"/>
        <v>0</v>
      </c>
      <c r="AN59" s="1743">
        <f t="shared" si="21"/>
        <v>0</v>
      </c>
      <c r="AO59" s="1743">
        <f t="shared" si="22"/>
        <v>0.81078116487158236</v>
      </c>
    </row>
    <row r="60" spans="2:42" x14ac:dyDescent="0.3">
      <c r="B60" s="1732" t="s">
        <v>7701</v>
      </c>
      <c r="C60" s="1733" t="s">
        <v>2023</v>
      </c>
      <c r="D60" s="1733" t="s">
        <v>3041</v>
      </c>
      <c r="E60" s="1734" t="s">
        <v>7644</v>
      </c>
      <c r="F60" s="1735"/>
      <c r="G60" s="1736">
        <v>3</v>
      </c>
      <c r="H60" s="1727">
        <v>444000000</v>
      </c>
      <c r="I60" s="1728">
        <f t="shared" si="6"/>
        <v>148000000</v>
      </c>
      <c r="J60" s="1737"/>
      <c r="K60" s="1738"/>
      <c r="L60" s="1739"/>
      <c r="M60" s="1737"/>
      <c r="N60" s="1738"/>
      <c r="O60" s="1739"/>
      <c r="P60" s="1737"/>
      <c r="Q60" s="1738"/>
      <c r="R60" s="1739"/>
      <c r="S60" s="1740"/>
      <c r="T60" s="1738"/>
      <c r="U60" s="1739"/>
      <c r="V60" s="1740"/>
      <c r="W60" s="1738"/>
      <c r="X60" s="1739"/>
      <c r="Y60" s="1740"/>
      <c r="Z60" s="1738"/>
      <c r="AA60" s="1739"/>
      <c r="AB60" s="1740"/>
      <c r="AC60" s="1738"/>
      <c r="AD60" s="1741"/>
      <c r="AE60" s="1740">
        <v>91963427</v>
      </c>
      <c r="AF60" s="1738">
        <v>0</v>
      </c>
      <c r="AG60" s="1738">
        <v>0</v>
      </c>
      <c r="AH60" s="1738">
        <f t="shared" si="14"/>
        <v>0</v>
      </c>
      <c r="AI60" s="1738">
        <f t="shared" si="15"/>
        <v>0</v>
      </c>
      <c r="AJ60" s="1738">
        <f t="shared" si="16"/>
        <v>0</v>
      </c>
      <c r="AK60" s="1738">
        <f t="shared" si="17"/>
        <v>0</v>
      </c>
      <c r="AL60" s="1739">
        <f t="shared" si="18"/>
        <v>0</v>
      </c>
      <c r="AM60" s="1743">
        <f t="shared" si="20"/>
        <v>0.62137450675675676</v>
      </c>
      <c r="AN60" s="1743">
        <f t="shared" si="21"/>
        <v>0</v>
      </c>
      <c r="AO60" s="1743">
        <f t="shared" si="22"/>
        <v>0</v>
      </c>
    </row>
    <row r="61" spans="2:42" x14ac:dyDescent="0.3">
      <c r="B61" s="1732" t="s">
        <v>7702</v>
      </c>
      <c r="C61" s="1733" t="s">
        <v>2023</v>
      </c>
      <c r="D61" s="1733" t="s">
        <v>3041</v>
      </c>
      <c r="E61" s="1734" t="s">
        <v>7644</v>
      </c>
      <c r="F61" s="1735"/>
      <c r="G61" s="1736">
        <v>2</v>
      </c>
      <c r="H61" s="1727">
        <v>284218182</v>
      </c>
      <c r="I61" s="1728">
        <f t="shared" si="6"/>
        <v>142109091</v>
      </c>
      <c r="J61" s="1737"/>
      <c r="K61" s="1738"/>
      <c r="L61" s="1739"/>
      <c r="M61" s="1737"/>
      <c r="N61" s="1738"/>
      <c r="O61" s="1739"/>
      <c r="P61" s="1737"/>
      <c r="Q61" s="1738"/>
      <c r="R61" s="1739"/>
      <c r="S61" s="1740"/>
      <c r="T61" s="1738"/>
      <c r="U61" s="1739"/>
      <c r="V61" s="1740"/>
      <c r="W61" s="1738"/>
      <c r="X61" s="1739"/>
      <c r="Y61" s="1740"/>
      <c r="Z61" s="1738"/>
      <c r="AA61" s="1739"/>
      <c r="AB61" s="1740"/>
      <c r="AC61" s="1738"/>
      <c r="AD61" s="1741"/>
      <c r="AE61" s="1740">
        <v>77273640</v>
      </c>
      <c r="AF61" s="1738">
        <v>0</v>
      </c>
      <c r="AG61" s="1738">
        <v>0</v>
      </c>
      <c r="AH61" s="1738">
        <f t="shared" si="14"/>
        <v>0</v>
      </c>
      <c r="AI61" s="1738">
        <f t="shared" si="15"/>
        <v>0</v>
      </c>
      <c r="AJ61" s="1738">
        <f t="shared" si="16"/>
        <v>0</v>
      </c>
      <c r="AK61" s="1738">
        <f t="shared" si="17"/>
        <v>0</v>
      </c>
      <c r="AL61" s="1739">
        <f t="shared" si="18"/>
        <v>0</v>
      </c>
      <c r="AM61" s="1743">
        <f t="shared" si="20"/>
        <v>0.54376281950885186</v>
      </c>
      <c r="AN61" s="1743">
        <f t="shared" si="21"/>
        <v>0</v>
      </c>
      <c r="AO61" s="1743">
        <f t="shared" si="22"/>
        <v>0</v>
      </c>
    </row>
    <row r="62" spans="2:42" x14ac:dyDescent="0.3">
      <c r="B62" s="1732" t="s">
        <v>7703</v>
      </c>
      <c r="C62" s="1733" t="s">
        <v>2023</v>
      </c>
      <c r="D62" s="1733" t="s">
        <v>3041</v>
      </c>
      <c r="E62" s="1734" t="s">
        <v>7704</v>
      </c>
      <c r="F62" s="1735"/>
      <c r="G62" s="1736">
        <v>14</v>
      </c>
      <c r="H62" s="1727">
        <v>2246072727</v>
      </c>
      <c r="I62" s="1728">
        <f t="shared" si="6"/>
        <v>160433766.2142857</v>
      </c>
      <c r="J62" s="1737">
        <v>21</v>
      </c>
      <c r="K62" s="1738">
        <v>3320409091</v>
      </c>
      <c r="L62" s="1739">
        <f t="shared" si="7"/>
        <v>158114718.61904761</v>
      </c>
      <c r="M62" s="1737">
        <v>22</v>
      </c>
      <c r="N62" s="1738">
        <v>3635672726</v>
      </c>
      <c r="O62" s="1739">
        <f t="shared" si="8"/>
        <v>165257851.18181819</v>
      </c>
      <c r="P62" s="1737">
        <v>45</v>
      </c>
      <c r="Q62" s="1738">
        <f t="shared" si="9"/>
        <v>7425000000</v>
      </c>
      <c r="R62" s="1739">
        <v>165000000</v>
      </c>
      <c r="S62" s="1740">
        <f>P62*1.15</f>
        <v>51.749999999999993</v>
      </c>
      <c r="T62" s="1738">
        <f t="shared" si="10"/>
        <v>8965687499.9999981</v>
      </c>
      <c r="U62" s="1739">
        <f t="shared" si="23"/>
        <v>173250000</v>
      </c>
      <c r="V62" s="1740">
        <f>P62*1.15</f>
        <v>51.749999999999993</v>
      </c>
      <c r="W62" s="1738">
        <f t="shared" si="0"/>
        <v>9413971874.9999981</v>
      </c>
      <c r="X62" s="1739">
        <f t="shared" si="1"/>
        <v>181912500</v>
      </c>
      <c r="Y62" s="1740">
        <f>S62*1.15</f>
        <v>59.512499999999989</v>
      </c>
      <c r="Z62" s="1738">
        <f t="shared" si="2"/>
        <v>11367371039.062498</v>
      </c>
      <c r="AA62" s="1739">
        <f t="shared" si="3"/>
        <v>191008125</v>
      </c>
      <c r="AB62" s="1740">
        <v>70</v>
      </c>
      <c r="AC62" s="1738">
        <f t="shared" si="4"/>
        <v>14039097187.5</v>
      </c>
      <c r="AD62" s="1741">
        <f t="shared" si="5"/>
        <v>200558531.25</v>
      </c>
      <c r="AE62" s="1740">
        <v>79610939</v>
      </c>
      <c r="AF62" s="1738">
        <v>117579348</v>
      </c>
      <c r="AG62" s="1738">
        <v>91557534</v>
      </c>
      <c r="AH62" s="1738">
        <f t="shared" si="14"/>
        <v>4174420593.0302334</v>
      </c>
      <c r="AI62" s="1738">
        <f t="shared" si="15"/>
        <v>5040612866.0840054</v>
      </c>
      <c r="AJ62" s="1738">
        <f t="shared" si="16"/>
        <v>5292643509.3882055</v>
      </c>
      <c r="AK62" s="1738">
        <f t="shared" si="17"/>
        <v>6390867037.5862589</v>
      </c>
      <c r="AL62" s="1739">
        <f t="shared" si="18"/>
        <v>7892942277.0441523</v>
      </c>
      <c r="AM62" s="1743">
        <f t="shared" si="20"/>
        <v>0.49622308868362841</v>
      </c>
      <c r="AN62" s="1743">
        <f t="shared" si="21"/>
        <v>0.74363316095378085</v>
      </c>
      <c r="AO62" s="1743">
        <f t="shared" si="22"/>
        <v>0.5540283462797031</v>
      </c>
    </row>
    <row r="63" spans="2:42" x14ac:dyDescent="0.3">
      <c r="B63" s="1732" t="s">
        <v>7705</v>
      </c>
      <c r="C63" s="1733" t="s">
        <v>2023</v>
      </c>
      <c r="D63" s="1733" t="s">
        <v>3041</v>
      </c>
      <c r="E63" s="1734" t="s">
        <v>7704</v>
      </c>
      <c r="F63" s="1735"/>
      <c r="G63" s="1736">
        <v>3</v>
      </c>
      <c r="H63" s="1727">
        <v>511000000</v>
      </c>
      <c r="I63" s="1728">
        <f t="shared" si="6"/>
        <v>170333333.33333334</v>
      </c>
      <c r="J63" s="1737"/>
      <c r="K63" s="1738"/>
      <c r="L63" s="1739"/>
      <c r="M63" s="1737"/>
      <c r="N63" s="1738"/>
      <c r="O63" s="1739"/>
      <c r="P63" s="1737"/>
      <c r="Q63" s="1738"/>
      <c r="R63" s="1739"/>
      <c r="S63" s="1740"/>
      <c r="T63" s="1738"/>
      <c r="U63" s="1739"/>
      <c r="V63" s="1740"/>
      <c r="W63" s="1738"/>
      <c r="X63" s="1739"/>
      <c r="Y63" s="1740"/>
      <c r="Z63" s="1738"/>
      <c r="AA63" s="1739"/>
      <c r="AB63" s="1740"/>
      <c r="AC63" s="1738"/>
      <c r="AD63" s="1741"/>
      <c r="AE63" s="1740">
        <v>82025783</v>
      </c>
      <c r="AF63" s="1738">
        <v>0</v>
      </c>
      <c r="AG63" s="1738">
        <v>0</v>
      </c>
      <c r="AH63" s="1738">
        <f t="shared" si="14"/>
        <v>0</v>
      </c>
      <c r="AI63" s="1738">
        <f t="shared" si="15"/>
        <v>0</v>
      </c>
      <c r="AJ63" s="1738">
        <f t="shared" si="16"/>
        <v>0</v>
      </c>
      <c r="AK63" s="1738">
        <f t="shared" si="17"/>
        <v>0</v>
      </c>
      <c r="AL63" s="1739">
        <f t="shared" si="18"/>
        <v>0</v>
      </c>
      <c r="AM63" s="1743">
        <f t="shared" si="20"/>
        <v>0.48156036986301365</v>
      </c>
      <c r="AN63" s="1743">
        <f t="shared" si="21"/>
        <v>0</v>
      </c>
      <c r="AO63" s="1743">
        <f t="shared" si="22"/>
        <v>0</v>
      </c>
    </row>
    <row r="64" spans="2:42" x14ac:dyDescent="0.3">
      <c r="B64" s="1732" t="s">
        <v>7706</v>
      </c>
      <c r="C64" s="1733" t="s">
        <v>2023</v>
      </c>
      <c r="D64" s="1733" t="s">
        <v>3041</v>
      </c>
      <c r="E64" s="1734" t="s">
        <v>7644</v>
      </c>
      <c r="F64" s="1735"/>
      <c r="G64" s="1736">
        <v>35</v>
      </c>
      <c r="H64" s="1727">
        <v>4781459094</v>
      </c>
      <c r="I64" s="1728">
        <f t="shared" si="6"/>
        <v>136613116.97142857</v>
      </c>
      <c r="J64" s="1737">
        <v>27</v>
      </c>
      <c r="K64" s="1738">
        <v>3934604545</v>
      </c>
      <c r="L64" s="1739">
        <f t="shared" si="7"/>
        <v>145726094.25925925</v>
      </c>
      <c r="M64" s="1737">
        <v>23</v>
      </c>
      <c r="N64" s="1738">
        <v>3392527272</v>
      </c>
      <c r="O64" s="1739">
        <f t="shared" si="8"/>
        <v>147501185.73913044</v>
      </c>
      <c r="P64" s="1737">
        <v>20</v>
      </c>
      <c r="Q64" s="1738">
        <f t="shared" si="9"/>
        <v>2970000000</v>
      </c>
      <c r="R64" s="1739">
        <v>148500000</v>
      </c>
      <c r="S64" s="1740">
        <f>M64*1.15</f>
        <v>26.45</v>
      </c>
      <c r="T64" s="1738">
        <f t="shared" si="10"/>
        <v>4124216250</v>
      </c>
      <c r="U64" s="1739">
        <f t="shared" si="23"/>
        <v>155925000</v>
      </c>
      <c r="V64" s="1740">
        <f>P64*1.15</f>
        <v>23</v>
      </c>
      <c r="W64" s="1738">
        <f t="shared" si="0"/>
        <v>3765588750</v>
      </c>
      <c r="X64" s="1739">
        <f t="shared" si="1"/>
        <v>163721250</v>
      </c>
      <c r="Y64" s="1740">
        <f>S64*1.15</f>
        <v>30.417499999999997</v>
      </c>
      <c r="Z64" s="1738">
        <f t="shared" si="2"/>
        <v>5228990677.968749</v>
      </c>
      <c r="AA64" s="1739">
        <f t="shared" si="3"/>
        <v>171907312.5</v>
      </c>
      <c r="AB64" s="1740">
        <v>22</v>
      </c>
      <c r="AC64" s="1738">
        <f t="shared" si="4"/>
        <v>3971058918.75</v>
      </c>
      <c r="AD64" s="1741">
        <f t="shared" si="5"/>
        <v>180502678.125</v>
      </c>
      <c r="AE64" s="1740">
        <v>78650627</v>
      </c>
      <c r="AF64" s="1738">
        <v>92197248</v>
      </c>
      <c r="AG64" s="1738">
        <v>87023081</v>
      </c>
      <c r="AH64" s="1738">
        <f t="shared" si="14"/>
        <v>1669768237.2120934</v>
      </c>
      <c r="AI64" s="1738">
        <f t="shared" si="15"/>
        <v>2318681918.398643</v>
      </c>
      <c r="AJ64" s="1738">
        <f t="shared" si="16"/>
        <v>2117057403.7552826</v>
      </c>
      <c r="AK64" s="1738">
        <f t="shared" si="17"/>
        <v>2939798837.2896791</v>
      </c>
      <c r="AL64" s="1739">
        <f t="shared" si="18"/>
        <v>2232575101.2210603</v>
      </c>
      <c r="AM64" s="1743">
        <f t="shared" si="20"/>
        <v>0.5757179745518074</v>
      </c>
      <c r="AN64" s="1743">
        <f t="shared" si="21"/>
        <v>0.63267494039861638</v>
      </c>
      <c r="AO64" s="1743">
        <f t="shared" si="22"/>
        <v>0.58998224701670132</v>
      </c>
    </row>
    <row r="65" spans="2:43" x14ac:dyDescent="0.3">
      <c r="B65" s="1732" t="s">
        <v>7707</v>
      </c>
      <c r="C65" s="1733" t="s">
        <v>2023</v>
      </c>
      <c r="D65" s="1733" t="s">
        <v>3041</v>
      </c>
      <c r="E65" s="1734" t="s">
        <v>3293</v>
      </c>
      <c r="F65" s="1735"/>
      <c r="G65" s="1736">
        <v>0</v>
      </c>
      <c r="H65" s="1727">
        <v>0</v>
      </c>
      <c r="I65" s="1728">
        <f t="shared" si="6"/>
        <v>0</v>
      </c>
      <c r="J65" s="1737">
        <v>0</v>
      </c>
      <c r="K65" s="1738">
        <v>0</v>
      </c>
      <c r="L65" s="1739">
        <f t="shared" si="7"/>
        <v>0</v>
      </c>
      <c r="M65" s="1737">
        <v>4</v>
      </c>
      <c r="N65" s="1738">
        <v>501818182</v>
      </c>
      <c r="O65" s="1739">
        <f t="shared" si="8"/>
        <v>125454545.5</v>
      </c>
      <c r="P65" s="1752">
        <v>4</v>
      </c>
      <c r="Q65" s="1753">
        <f t="shared" si="9"/>
        <v>501818182</v>
      </c>
      <c r="R65" s="1739">
        <f>O65</f>
        <v>125454545.5</v>
      </c>
      <c r="S65" s="1740">
        <f>M65*1.15</f>
        <v>4.5999999999999996</v>
      </c>
      <c r="T65" s="1738">
        <f t="shared" si="10"/>
        <v>605945454.76499999</v>
      </c>
      <c r="U65" s="1739">
        <f t="shared" si="23"/>
        <v>131727272.77500001</v>
      </c>
      <c r="V65" s="1740">
        <f>P65*1.15</f>
        <v>4.5999999999999996</v>
      </c>
      <c r="W65" s="1738">
        <f t="shared" si="0"/>
        <v>636242727.50325</v>
      </c>
      <c r="X65" s="1739">
        <f t="shared" si="1"/>
        <v>138313636.41375002</v>
      </c>
      <c r="Y65" s="1740">
        <f>S65*1.15</f>
        <v>5.2899999999999991</v>
      </c>
      <c r="Z65" s="1738">
        <f t="shared" si="2"/>
        <v>768263093.46017444</v>
      </c>
      <c r="AA65" s="1739">
        <f t="shared" si="3"/>
        <v>145229318.23443753</v>
      </c>
      <c r="AB65" s="1740">
        <f>V65*1.15</f>
        <v>5.2899999999999991</v>
      </c>
      <c r="AC65" s="1738">
        <f t="shared" si="4"/>
        <v>806676248.13318312</v>
      </c>
      <c r="AD65" s="1741">
        <f t="shared" si="5"/>
        <v>152490784.14615941</v>
      </c>
      <c r="AE65" s="1740">
        <v>0</v>
      </c>
      <c r="AF65" s="1738">
        <v>0</v>
      </c>
      <c r="AG65" s="1738">
        <v>87023081</v>
      </c>
      <c r="AH65" s="1738">
        <f t="shared" si="14"/>
        <v>282127966.72024155</v>
      </c>
      <c r="AI65" s="1738">
        <f t="shared" si="15"/>
        <v>340669519.81469166</v>
      </c>
      <c r="AJ65" s="1738">
        <f t="shared" si="16"/>
        <v>357702995.80542624</v>
      </c>
      <c r="AK65" s="1738">
        <f t="shared" si="17"/>
        <v>431926367.43505222</v>
      </c>
      <c r="AL65" s="1739">
        <f t="shared" si="18"/>
        <v>453522685.80680484</v>
      </c>
      <c r="AM65" s="1743">
        <f t="shared" si="20"/>
        <v>0</v>
      </c>
      <c r="AN65" s="1743">
        <f t="shared" si="21"/>
        <v>0</v>
      </c>
      <c r="AO65" s="1743">
        <f t="shared" si="22"/>
        <v>0.69366223960374551</v>
      </c>
    </row>
    <row r="66" spans="2:43" x14ac:dyDescent="0.3">
      <c r="B66" s="1732" t="s">
        <v>7708</v>
      </c>
      <c r="C66" s="1733" t="s">
        <v>2023</v>
      </c>
      <c r="D66" s="1733" t="s">
        <v>3041</v>
      </c>
      <c r="E66" s="1734" t="s">
        <v>3293</v>
      </c>
      <c r="F66" s="1735"/>
      <c r="G66" s="1736">
        <v>26</v>
      </c>
      <c r="H66" s="1727">
        <v>4340581819</v>
      </c>
      <c r="I66" s="1728">
        <f t="shared" si="6"/>
        <v>166945454.57692307</v>
      </c>
      <c r="J66" s="1737">
        <v>30</v>
      </c>
      <c r="K66" s="1738">
        <v>5136950000</v>
      </c>
      <c r="L66" s="1739">
        <f t="shared" si="7"/>
        <v>171231666.66666666</v>
      </c>
      <c r="M66" s="1737">
        <v>56</v>
      </c>
      <c r="N66" s="1738">
        <v>9751427272</v>
      </c>
      <c r="O66" s="1739">
        <f t="shared" si="8"/>
        <v>174132629.85714287</v>
      </c>
      <c r="P66" s="1766">
        <v>40</v>
      </c>
      <c r="Q66" s="1738">
        <f t="shared" si="9"/>
        <v>7000000000</v>
      </c>
      <c r="R66" s="1739">
        <v>175000000</v>
      </c>
      <c r="S66" s="1740">
        <f>M66*1.15</f>
        <v>64.399999999999991</v>
      </c>
      <c r="T66" s="1738">
        <f t="shared" si="10"/>
        <v>11833499999.999998</v>
      </c>
      <c r="U66" s="1739">
        <f t="shared" si="23"/>
        <v>183750000</v>
      </c>
      <c r="V66" s="1740">
        <f>P66*1.15</f>
        <v>46</v>
      </c>
      <c r="W66" s="1738">
        <f t="shared" si="0"/>
        <v>8875125000</v>
      </c>
      <c r="X66" s="1739">
        <f t="shared" si="1"/>
        <v>192937500</v>
      </c>
      <c r="Y66" s="1740">
        <f>S66*1.15</f>
        <v>74.059999999999988</v>
      </c>
      <c r="Z66" s="1738">
        <f t="shared" si="2"/>
        <v>15003398812.499998</v>
      </c>
      <c r="AA66" s="1739">
        <f t="shared" si="3"/>
        <v>202584375</v>
      </c>
      <c r="AB66" s="1740">
        <f>V66*1.15</f>
        <v>52.9</v>
      </c>
      <c r="AC66" s="1738">
        <f t="shared" si="4"/>
        <v>11252549109.375</v>
      </c>
      <c r="AD66" s="1741">
        <f t="shared" si="5"/>
        <v>212713593.75</v>
      </c>
      <c r="AE66" s="1740">
        <v>83748014</v>
      </c>
      <c r="AF66" s="1738">
        <v>100382818</v>
      </c>
      <c r="AG66" s="1738">
        <v>93827936</v>
      </c>
      <c r="AH66" s="1738">
        <f t="shared" si="14"/>
        <v>3935480693.7658763</v>
      </c>
      <c r="AI66" s="1738">
        <f t="shared" si="15"/>
        <v>6652930112.8112125</v>
      </c>
      <c r="AJ66" s="1738">
        <f t="shared" si="16"/>
        <v>4989697584.6084108</v>
      </c>
      <c r="AK66" s="1738">
        <f t="shared" si="17"/>
        <v>8435083766.7805166</v>
      </c>
      <c r="AL66" s="1739">
        <f t="shared" si="18"/>
        <v>6326312825.0853882</v>
      </c>
      <c r="AM66" s="1743">
        <f t="shared" si="20"/>
        <v>0.5016489620052017</v>
      </c>
      <c r="AN66" s="1743">
        <f t="shared" si="21"/>
        <v>0.58623979988125252</v>
      </c>
      <c r="AO66" s="1743">
        <f t="shared" si="22"/>
        <v>0.53883029319074638</v>
      </c>
    </row>
    <row r="67" spans="2:43" x14ac:dyDescent="0.3">
      <c r="B67" s="1732" t="s">
        <v>7709</v>
      </c>
      <c r="C67" s="1733" t="s">
        <v>2023</v>
      </c>
      <c r="D67" s="1733" t="s">
        <v>3041</v>
      </c>
      <c r="E67" s="1734" t="s">
        <v>3293</v>
      </c>
      <c r="F67" s="1735"/>
      <c r="G67" s="1736">
        <v>15</v>
      </c>
      <c r="H67" s="1727">
        <v>2216500000</v>
      </c>
      <c r="I67" s="1728">
        <f t="shared" si="6"/>
        <v>147766666.66666666</v>
      </c>
      <c r="J67" s="1737">
        <v>18</v>
      </c>
      <c r="K67" s="1738">
        <v>2810677273</v>
      </c>
      <c r="L67" s="1739">
        <f t="shared" si="7"/>
        <v>156148737.3888889</v>
      </c>
      <c r="M67" s="1737">
        <v>45</v>
      </c>
      <c r="N67" s="1738">
        <v>7095150000</v>
      </c>
      <c r="O67" s="1739">
        <f t="shared" si="8"/>
        <v>157670000</v>
      </c>
      <c r="P67" s="1766">
        <v>40</v>
      </c>
      <c r="Q67" s="1738">
        <f t="shared" si="9"/>
        <v>6320000000</v>
      </c>
      <c r="R67" s="1739">
        <v>158000000</v>
      </c>
      <c r="S67" s="1740">
        <f>M67*1.15</f>
        <v>51.749999999999993</v>
      </c>
      <c r="T67" s="1738">
        <f t="shared" si="10"/>
        <v>8585324999.999999</v>
      </c>
      <c r="U67" s="1739">
        <f t="shared" si="23"/>
        <v>165900000</v>
      </c>
      <c r="V67" s="1740">
        <f>P67*1.15</f>
        <v>46</v>
      </c>
      <c r="W67" s="1738">
        <f t="shared" si="0"/>
        <v>8012970000</v>
      </c>
      <c r="X67" s="1739">
        <f t="shared" si="1"/>
        <v>174195000</v>
      </c>
      <c r="Y67" s="1740">
        <f>S67*1.15</f>
        <v>59.512499999999989</v>
      </c>
      <c r="Z67" s="1738">
        <f t="shared" si="2"/>
        <v>10885118934.374998</v>
      </c>
      <c r="AA67" s="1739">
        <f t="shared" si="3"/>
        <v>182904750</v>
      </c>
      <c r="AB67" s="1740">
        <f>V67*1.15</f>
        <v>52.9</v>
      </c>
      <c r="AC67" s="1738">
        <f t="shared" si="4"/>
        <v>10159444338.75</v>
      </c>
      <c r="AD67" s="1741">
        <f t="shared" si="5"/>
        <v>192049987.5</v>
      </c>
      <c r="AE67" s="1740">
        <v>82741000</v>
      </c>
      <c r="AF67" s="1738">
        <v>97076719</v>
      </c>
      <c r="AG67" s="1738">
        <v>90945262</v>
      </c>
      <c r="AH67" s="1738">
        <f t="shared" si="14"/>
        <v>3553176854.9429054</v>
      </c>
      <c r="AI67" s="1738">
        <f t="shared" si="15"/>
        <v>4826768683.8865023</v>
      </c>
      <c r="AJ67" s="1738">
        <f t="shared" si="16"/>
        <v>4504984104.9607363</v>
      </c>
      <c r="AK67" s="1738">
        <f t="shared" si="17"/>
        <v>6119739345.0825996</v>
      </c>
      <c r="AL67" s="1739">
        <f t="shared" si="18"/>
        <v>5711756722.0770941</v>
      </c>
      <c r="AM67" s="1743">
        <f t="shared" si="20"/>
        <v>0.55994360478231453</v>
      </c>
      <c r="AN67" s="1743">
        <f t="shared" si="21"/>
        <v>0.6216939094309174</v>
      </c>
      <c r="AO67" s="1743">
        <f t="shared" si="22"/>
        <v>0.57680764888691571</v>
      </c>
    </row>
    <row r="68" spans="2:43" x14ac:dyDescent="0.3">
      <c r="B68" s="1732" t="s">
        <v>7710</v>
      </c>
      <c r="C68" s="1733" t="s">
        <v>7711</v>
      </c>
      <c r="D68" s="1733" t="s">
        <v>3041</v>
      </c>
      <c r="E68" s="1734" t="s">
        <v>3293</v>
      </c>
      <c r="F68" s="1735"/>
      <c r="G68" s="1736">
        <v>0</v>
      </c>
      <c r="H68" s="1727">
        <v>0</v>
      </c>
      <c r="I68" s="1728">
        <f t="shared" si="6"/>
        <v>0</v>
      </c>
      <c r="J68" s="1737">
        <v>1</v>
      </c>
      <c r="K68" s="1738">
        <v>202000000</v>
      </c>
      <c r="L68" s="1739">
        <f t="shared" si="7"/>
        <v>202000000</v>
      </c>
      <c r="M68" s="1737">
        <v>8</v>
      </c>
      <c r="N68" s="1738">
        <v>1638000000</v>
      </c>
      <c r="O68" s="1739">
        <f t="shared" si="8"/>
        <v>204750000</v>
      </c>
      <c r="P68" s="1737">
        <v>8</v>
      </c>
      <c r="Q68" s="1738">
        <f t="shared" si="9"/>
        <v>1640000000</v>
      </c>
      <c r="R68" s="1739">
        <v>205000000</v>
      </c>
      <c r="S68" s="1740">
        <f>M68*1.15</f>
        <v>9.1999999999999993</v>
      </c>
      <c r="T68" s="1738">
        <f t="shared" si="10"/>
        <v>1980299999.9999998</v>
      </c>
      <c r="U68" s="1739">
        <f t="shared" si="23"/>
        <v>215250000</v>
      </c>
      <c r="V68" s="1740">
        <f>P68*1.15</f>
        <v>9.1999999999999993</v>
      </c>
      <c r="W68" s="1738">
        <f t="shared" si="0"/>
        <v>2079314999.9999998</v>
      </c>
      <c r="X68" s="1739">
        <f t="shared" si="1"/>
        <v>226012500</v>
      </c>
      <c r="Y68" s="1740">
        <f>S68*1.15</f>
        <v>10.579999999999998</v>
      </c>
      <c r="Z68" s="1738">
        <f t="shared" si="2"/>
        <v>2510772862.4999995</v>
      </c>
      <c r="AA68" s="1739">
        <f t="shared" si="3"/>
        <v>237313125</v>
      </c>
      <c r="AB68" s="1740">
        <f>V68*1.15</f>
        <v>10.579999999999998</v>
      </c>
      <c r="AC68" s="1738">
        <f t="shared" si="4"/>
        <v>2636311505.6249995</v>
      </c>
      <c r="AD68" s="1741">
        <f t="shared" si="5"/>
        <v>249178781.25</v>
      </c>
      <c r="AE68" s="1740">
        <v>0</v>
      </c>
      <c r="AF68" s="1738">
        <v>132825501</v>
      </c>
      <c r="AG68" s="1738">
        <v>124021340</v>
      </c>
      <c r="AH68" s="1738">
        <f t="shared" si="14"/>
        <v>922026905.39657676</v>
      </c>
      <c r="AI68" s="1738">
        <f t="shared" si="15"/>
        <v>1113347488.2663662</v>
      </c>
      <c r="AJ68" s="1738">
        <f t="shared" si="16"/>
        <v>1169014862.6796846</v>
      </c>
      <c r="AK68" s="1738">
        <f t="shared" si="17"/>
        <v>1411585446.685719</v>
      </c>
      <c r="AL68" s="1739">
        <f t="shared" si="18"/>
        <v>1482164719.020005</v>
      </c>
      <c r="AM68" s="1743">
        <f t="shared" si="20"/>
        <v>0</v>
      </c>
      <c r="AN68" s="1743">
        <f t="shared" si="21"/>
        <v>0.65755198514851487</v>
      </c>
      <c r="AO68" s="1743">
        <f t="shared" si="22"/>
        <v>0.60572083028083024</v>
      </c>
      <c r="AP68" s="1742"/>
    </row>
    <row r="69" spans="2:43" x14ac:dyDescent="0.3">
      <c r="B69" s="1732" t="s">
        <v>7712</v>
      </c>
      <c r="C69" s="1733" t="s">
        <v>2023</v>
      </c>
      <c r="D69" s="1733" t="s">
        <v>3041</v>
      </c>
      <c r="E69" s="1734" t="s">
        <v>3293</v>
      </c>
      <c r="F69" s="1735"/>
      <c r="G69" s="1736">
        <v>0</v>
      </c>
      <c r="H69" s="1727">
        <v>0</v>
      </c>
      <c r="I69" s="1728">
        <f t="shared" si="6"/>
        <v>0</v>
      </c>
      <c r="J69" s="1737">
        <v>0</v>
      </c>
      <c r="K69" s="1738">
        <v>0</v>
      </c>
      <c r="L69" s="1739">
        <f t="shared" si="7"/>
        <v>0</v>
      </c>
      <c r="M69" s="1737">
        <v>0</v>
      </c>
      <c r="N69" s="1738">
        <v>0</v>
      </c>
      <c r="O69" s="1739">
        <f t="shared" si="8"/>
        <v>0</v>
      </c>
      <c r="P69" s="1737">
        <v>0</v>
      </c>
      <c r="Q69" s="1738">
        <f t="shared" si="9"/>
        <v>0</v>
      </c>
      <c r="R69" s="1739">
        <v>183500000</v>
      </c>
      <c r="S69" s="1740">
        <v>0</v>
      </c>
      <c r="T69" s="1738">
        <f t="shared" si="10"/>
        <v>0</v>
      </c>
      <c r="U69" s="1739">
        <f t="shared" si="23"/>
        <v>192675000</v>
      </c>
      <c r="V69" s="1740">
        <v>0</v>
      </c>
      <c r="W69" s="1738">
        <f t="shared" si="0"/>
        <v>0</v>
      </c>
      <c r="X69" s="1739">
        <f t="shared" si="1"/>
        <v>202308750</v>
      </c>
      <c r="Y69" s="1755">
        <v>100</v>
      </c>
      <c r="Z69" s="1753">
        <f t="shared" si="2"/>
        <v>21242418750</v>
      </c>
      <c r="AA69" s="1754">
        <f t="shared" si="3"/>
        <v>212424187.5</v>
      </c>
      <c r="AB69" s="1755">
        <v>100</v>
      </c>
      <c r="AC69" s="1753">
        <f t="shared" si="4"/>
        <v>22304539687.5</v>
      </c>
      <c r="AD69" s="1756">
        <f t="shared" si="5"/>
        <v>223045396.875</v>
      </c>
      <c r="AE69" s="1740">
        <v>0</v>
      </c>
      <c r="AF69" s="1738">
        <v>0</v>
      </c>
      <c r="AG69" s="1738">
        <v>113511287</v>
      </c>
      <c r="AH69" s="1738">
        <f t="shared" si="14"/>
        <v>0</v>
      </c>
      <c r="AI69" s="1738">
        <f t="shared" si="15"/>
        <v>0</v>
      </c>
      <c r="AJ69" s="1738">
        <f t="shared" si="16"/>
        <v>0</v>
      </c>
      <c r="AK69" s="1738">
        <f t="shared" si="17"/>
        <v>11942732697.073608</v>
      </c>
      <c r="AL69" s="1739">
        <f t="shared" si="18"/>
        <v>12539869331.92729</v>
      </c>
      <c r="AM69" s="1743">
        <f t="shared" si="20"/>
        <v>0</v>
      </c>
      <c r="AN69" s="1743">
        <f t="shared" si="21"/>
        <v>0</v>
      </c>
      <c r="AO69" s="1743">
        <f t="shared" si="22"/>
        <v>0</v>
      </c>
      <c r="AP69" s="1742"/>
      <c r="AQ69" s="1716" t="s">
        <v>7661</v>
      </c>
    </row>
    <row r="70" spans="2:43" x14ac:dyDescent="0.3">
      <c r="B70" s="1732" t="s">
        <v>7713</v>
      </c>
      <c r="C70" s="1733" t="s">
        <v>7714</v>
      </c>
      <c r="D70" s="1733" t="s">
        <v>2073</v>
      </c>
      <c r="E70" s="1734" t="s">
        <v>7644</v>
      </c>
      <c r="F70" s="1735"/>
      <c r="G70" s="1736">
        <v>0</v>
      </c>
      <c r="H70" s="1727">
        <v>0</v>
      </c>
      <c r="I70" s="1728">
        <f t="shared" si="6"/>
        <v>0</v>
      </c>
      <c r="J70" s="1737">
        <v>1</v>
      </c>
      <c r="K70" s="1738">
        <v>4400000</v>
      </c>
      <c r="L70" s="1739">
        <f t="shared" si="7"/>
        <v>4400000</v>
      </c>
      <c r="M70" s="1737">
        <v>0</v>
      </c>
      <c r="N70" s="1738">
        <v>0</v>
      </c>
      <c r="O70" s="1739">
        <f t="shared" si="8"/>
        <v>0</v>
      </c>
      <c r="P70" s="1737">
        <v>0</v>
      </c>
      <c r="Q70" s="1738">
        <f t="shared" si="9"/>
        <v>0</v>
      </c>
      <c r="R70" s="1739">
        <v>0</v>
      </c>
      <c r="S70" s="1740">
        <v>0</v>
      </c>
      <c r="T70" s="1738">
        <f t="shared" si="10"/>
        <v>0</v>
      </c>
      <c r="U70" s="1739">
        <f t="shared" si="23"/>
        <v>0</v>
      </c>
      <c r="V70" s="1740">
        <v>0</v>
      </c>
      <c r="W70" s="1738">
        <f t="shared" si="0"/>
        <v>0</v>
      </c>
      <c r="X70" s="1739">
        <f t="shared" si="1"/>
        <v>0</v>
      </c>
      <c r="Y70" s="1740">
        <v>0</v>
      </c>
      <c r="Z70" s="1738">
        <f t="shared" si="2"/>
        <v>0</v>
      </c>
      <c r="AA70" s="1739">
        <f t="shared" si="3"/>
        <v>0</v>
      </c>
      <c r="AB70" s="1740">
        <v>0</v>
      </c>
      <c r="AC70" s="1738">
        <f t="shared" si="4"/>
        <v>0</v>
      </c>
      <c r="AD70" s="1741">
        <f t="shared" si="5"/>
        <v>0</v>
      </c>
      <c r="AE70" s="1740">
        <v>0</v>
      </c>
      <c r="AF70" s="1738">
        <v>0</v>
      </c>
      <c r="AG70" s="1738">
        <v>0</v>
      </c>
      <c r="AH70" s="1738">
        <f t="shared" si="14"/>
        <v>0</v>
      </c>
      <c r="AI70" s="1738">
        <f t="shared" si="15"/>
        <v>0</v>
      </c>
      <c r="AJ70" s="1738">
        <f t="shared" si="16"/>
        <v>0</v>
      </c>
      <c r="AK70" s="1738">
        <f t="shared" si="17"/>
        <v>0</v>
      </c>
      <c r="AL70" s="1739">
        <f t="shared" si="18"/>
        <v>0</v>
      </c>
      <c r="AM70" s="1743">
        <f t="shared" si="20"/>
        <v>0</v>
      </c>
      <c r="AN70" s="1743">
        <f t="shared" si="21"/>
        <v>0</v>
      </c>
      <c r="AO70" s="1743">
        <f t="shared" si="22"/>
        <v>0</v>
      </c>
      <c r="AP70" s="1742"/>
    </row>
    <row r="71" spans="2:43" x14ac:dyDescent="0.3">
      <c r="B71" s="1732" t="s">
        <v>2850</v>
      </c>
      <c r="C71" s="1733"/>
      <c r="D71" s="1733"/>
      <c r="E71" s="1734"/>
      <c r="F71" s="1735"/>
      <c r="G71" s="1736">
        <v>0</v>
      </c>
      <c r="H71" s="1727">
        <v>0</v>
      </c>
      <c r="I71" s="1728">
        <f t="shared" ref="I71:I92" si="37">IFERROR(H71/G71,)</f>
        <v>0</v>
      </c>
      <c r="J71" s="1737">
        <v>0</v>
      </c>
      <c r="K71" s="1738">
        <v>0</v>
      </c>
      <c r="L71" s="1739">
        <f t="shared" si="7"/>
        <v>0</v>
      </c>
      <c r="M71" s="1737">
        <v>0</v>
      </c>
      <c r="N71" s="1738">
        <v>0</v>
      </c>
      <c r="O71" s="1739">
        <f t="shared" si="8"/>
        <v>0</v>
      </c>
      <c r="P71" s="1737">
        <v>0</v>
      </c>
      <c r="Q71" s="1738">
        <f t="shared" si="9"/>
        <v>0</v>
      </c>
      <c r="R71" s="1739">
        <v>0</v>
      </c>
      <c r="S71" s="1740">
        <v>0</v>
      </c>
      <c r="T71" s="1738">
        <f t="shared" si="10"/>
        <v>0</v>
      </c>
      <c r="U71" s="1739">
        <f t="shared" si="23"/>
        <v>0</v>
      </c>
      <c r="V71" s="1740">
        <v>0</v>
      </c>
      <c r="W71" s="1738">
        <f t="shared" si="0"/>
        <v>0</v>
      </c>
      <c r="X71" s="1739">
        <f t="shared" si="1"/>
        <v>0</v>
      </c>
      <c r="Y71" s="1740">
        <v>0</v>
      </c>
      <c r="Z71" s="1738">
        <f t="shared" si="2"/>
        <v>0</v>
      </c>
      <c r="AA71" s="1739">
        <f t="shared" si="3"/>
        <v>0</v>
      </c>
      <c r="AB71" s="1740">
        <v>0</v>
      </c>
      <c r="AC71" s="1738">
        <f t="shared" si="4"/>
        <v>0</v>
      </c>
      <c r="AD71" s="1741">
        <f t="shared" si="5"/>
        <v>0</v>
      </c>
      <c r="AE71" s="1740">
        <v>0</v>
      </c>
      <c r="AF71" s="1738">
        <v>0</v>
      </c>
      <c r="AG71" s="1738">
        <v>0</v>
      </c>
      <c r="AH71" s="1738">
        <f t="shared" ref="AH71:AH92" si="38">Q71*$AP$93</f>
        <v>0</v>
      </c>
      <c r="AI71" s="1738">
        <f t="shared" ref="AI71:AI92" si="39">T71*$AP$93</f>
        <v>0</v>
      </c>
      <c r="AJ71" s="1738">
        <f t="shared" ref="AJ71:AJ92" si="40">W71*$AP$93</f>
        <v>0</v>
      </c>
      <c r="AK71" s="1738">
        <f t="shared" ref="AK71:AK92" si="41">Z71*$AP$93</f>
        <v>0</v>
      </c>
      <c r="AL71" s="1739">
        <f t="shared" ref="AL71:AL92" si="42">AC71*$AP$93</f>
        <v>0</v>
      </c>
      <c r="AM71" s="1743">
        <f t="shared" si="20"/>
        <v>0</v>
      </c>
      <c r="AN71" s="1743">
        <f t="shared" si="21"/>
        <v>0</v>
      </c>
      <c r="AO71" s="1743">
        <f t="shared" si="22"/>
        <v>0</v>
      </c>
      <c r="AP71" s="1742"/>
    </row>
    <row r="72" spans="2:43" x14ac:dyDescent="0.3">
      <c r="B72" s="1732" t="s">
        <v>7715</v>
      </c>
      <c r="C72" s="1733"/>
      <c r="D72" s="1733"/>
      <c r="E72" s="1734"/>
      <c r="F72" s="1735"/>
      <c r="G72" s="1736">
        <v>0</v>
      </c>
      <c r="H72" s="1727">
        <v>0</v>
      </c>
      <c r="I72" s="1728">
        <f t="shared" si="37"/>
        <v>0</v>
      </c>
      <c r="J72" s="1737">
        <v>0</v>
      </c>
      <c r="K72" s="1738">
        <v>0</v>
      </c>
      <c r="L72" s="1739">
        <f t="shared" si="7"/>
        <v>0</v>
      </c>
      <c r="M72" s="1737">
        <v>0</v>
      </c>
      <c r="N72" s="1738">
        <v>0</v>
      </c>
      <c r="O72" s="1739">
        <f t="shared" si="8"/>
        <v>0</v>
      </c>
      <c r="P72" s="1737">
        <v>0</v>
      </c>
      <c r="Q72" s="1738">
        <f t="shared" si="9"/>
        <v>0</v>
      </c>
      <c r="R72" s="1739">
        <v>0</v>
      </c>
      <c r="S72" s="1740">
        <v>0</v>
      </c>
      <c r="T72" s="1738">
        <f t="shared" si="10"/>
        <v>0</v>
      </c>
      <c r="U72" s="1739">
        <f t="shared" si="23"/>
        <v>0</v>
      </c>
      <c r="V72" s="1740">
        <v>0</v>
      </c>
      <c r="W72" s="1738">
        <f t="shared" si="0"/>
        <v>0</v>
      </c>
      <c r="X72" s="1739">
        <f t="shared" si="1"/>
        <v>0</v>
      </c>
      <c r="Y72" s="1740">
        <v>0</v>
      </c>
      <c r="Z72" s="1738">
        <f t="shared" si="2"/>
        <v>0</v>
      </c>
      <c r="AA72" s="1739">
        <f t="shared" si="3"/>
        <v>0</v>
      </c>
      <c r="AB72" s="1740">
        <v>0</v>
      </c>
      <c r="AC72" s="1738">
        <f t="shared" si="4"/>
        <v>0</v>
      </c>
      <c r="AD72" s="1741">
        <f t="shared" si="5"/>
        <v>0</v>
      </c>
      <c r="AE72" s="1740">
        <v>0</v>
      </c>
      <c r="AF72" s="1738">
        <v>0</v>
      </c>
      <c r="AG72" s="1738">
        <v>0</v>
      </c>
      <c r="AH72" s="1738">
        <f t="shared" si="38"/>
        <v>0</v>
      </c>
      <c r="AI72" s="1738">
        <f t="shared" si="39"/>
        <v>0</v>
      </c>
      <c r="AJ72" s="1738">
        <f t="shared" si="40"/>
        <v>0</v>
      </c>
      <c r="AK72" s="1738">
        <f t="shared" si="41"/>
        <v>0</v>
      </c>
      <c r="AL72" s="1739">
        <f t="shared" si="42"/>
        <v>0</v>
      </c>
      <c r="AM72" s="1743">
        <f t="shared" ref="AM72:AM92" si="43">IFERROR(AE72/I72,)</f>
        <v>0</v>
      </c>
      <c r="AN72" s="1743">
        <f t="shared" ref="AN72:AN92" si="44">IFERROR(AF72/L72,)</f>
        <v>0</v>
      </c>
      <c r="AO72" s="1743">
        <f t="shared" ref="AO72:AO92" si="45">IFERROR(AG72/O72,)</f>
        <v>0</v>
      </c>
      <c r="AP72" s="1742"/>
    </row>
    <row r="73" spans="2:43" x14ac:dyDescent="0.3">
      <c r="B73" s="1732" t="s">
        <v>2834</v>
      </c>
      <c r="C73" s="1733"/>
      <c r="D73" s="1733"/>
      <c r="E73" s="1734"/>
      <c r="F73" s="1735"/>
      <c r="G73" s="1736">
        <v>0</v>
      </c>
      <c r="H73" s="1727">
        <v>0</v>
      </c>
      <c r="I73" s="1728">
        <f t="shared" si="37"/>
        <v>0</v>
      </c>
      <c r="J73" s="1737">
        <v>0</v>
      </c>
      <c r="K73" s="1738">
        <v>0</v>
      </c>
      <c r="L73" s="1739">
        <f t="shared" si="7"/>
        <v>0</v>
      </c>
      <c r="M73" s="1737">
        <v>0</v>
      </c>
      <c r="N73" s="1738">
        <v>0</v>
      </c>
      <c r="O73" s="1739">
        <f t="shared" si="8"/>
        <v>0</v>
      </c>
      <c r="P73" s="1737">
        <v>0</v>
      </c>
      <c r="Q73" s="1738">
        <f t="shared" si="9"/>
        <v>0</v>
      </c>
      <c r="R73" s="1739">
        <v>0</v>
      </c>
      <c r="S73" s="1740">
        <v>0</v>
      </c>
      <c r="T73" s="1738">
        <f t="shared" si="10"/>
        <v>0</v>
      </c>
      <c r="U73" s="1739">
        <f t="shared" si="23"/>
        <v>0</v>
      </c>
      <c r="V73" s="1740">
        <v>0</v>
      </c>
      <c r="W73" s="1738">
        <f t="shared" si="0"/>
        <v>0</v>
      </c>
      <c r="X73" s="1739">
        <f t="shared" si="1"/>
        <v>0</v>
      </c>
      <c r="Y73" s="1740">
        <v>0</v>
      </c>
      <c r="Z73" s="1738">
        <f t="shared" si="2"/>
        <v>0</v>
      </c>
      <c r="AA73" s="1739">
        <f t="shared" si="3"/>
        <v>0</v>
      </c>
      <c r="AB73" s="1740">
        <v>0</v>
      </c>
      <c r="AC73" s="1738">
        <f t="shared" si="4"/>
        <v>0</v>
      </c>
      <c r="AD73" s="1741">
        <f t="shared" si="5"/>
        <v>0</v>
      </c>
      <c r="AE73" s="1740">
        <v>0</v>
      </c>
      <c r="AF73" s="1738">
        <v>0</v>
      </c>
      <c r="AG73" s="1738">
        <v>0</v>
      </c>
      <c r="AH73" s="1738">
        <f t="shared" si="38"/>
        <v>0</v>
      </c>
      <c r="AI73" s="1738">
        <f t="shared" si="39"/>
        <v>0</v>
      </c>
      <c r="AJ73" s="1738">
        <f t="shared" si="40"/>
        <v>0</v>
      </c>
      <c r="AK73" s="1738">
        <f t="shared" si="41"/>
        <v>0</v>
      </c>
      <c r="AL73" s="1739">
        <f t="shared" si="42"/>
        <v>0</v>
      </c>
      <c r="AM73" s="1743">
        <f t="shared" si="43"/>
        <v>0</v>
      </c>
      <c r="AN73" s="1743">
        <f t="shared" si="44"/>
        <v>0</v>
      </c>
      <c r="AO73" s="1743">
        <f t="shared" si="45"/>
        <v>0</v>
      </c>
      <c r="AP73" s="1742"/>
    </row>
    <row r="74" spans="2:43" x14ac:dyDescent="0.3">
      <c r="B74" s="1732" t="s">
        <v>7716</v>
      </c>
      <c r="C74" s="1733"/>
      <c r="D74" s="1733"/>
      <c r="E74" s="1734"/>
      <c r="F74" s="1735"/>
      <c r="G74" s="1736">
        <v>0</v>
      </c>
      <c r="H74" s="1727">
        <v>0</v>
      </c>
      <c r="I74" s="1728">
        <f t="shared" si="37"/>
        <v>0</v>
      </c>
      <c r="J74" s="1737">
        <v>0</v>
      </c>
      <c r="K74" s="1738">
        <v>0</v>
      </c>
      <c r="L74" s="1739">
        <f t="shared" si="7"/>
        <v>0</v>
      </c>
      <c r="M74" s="1737">
        <v>0</v>
      </c>
      <c r="N74" s="1738">
        <v>0</v>
      </c>
      <c r="O74" s="1739">
        <f t="shared" si="8"/>
        <v>0</v>
      </c>
      <c r="P74" s="1737">
        <v>0</v>
      </c>
      <c r="Q74" s="1738">
        <f t="shared" si="9"/>
        <v>0</v>
      </c>
      <c r="R74" s="1739">
        <v>0</v>
      </c>
      <c r="S74" s="1740">
        <v>0</v>
      </c>
      <c r="T74" s="1738">
        <f t="shared" si="10"/>
        <v>0</v>
      </c>
      <c r="U74" s="1739">
        <f t="shared" si="23"/>
        <v>0</v>
      </c>
      <c r="V74" s="1740">
        <v>0</v>
      </c>
      <c r="W74" s="1738">
        <f t="shared" si="0"/>
        <v>0</v>
      </c>
      <c r="X74" s="1739">
        <f t="shared" si="1"/>
        <v>0</v>
      </c>
      <c r="Y74" s="1740">
        <v>0</v>
      </c>
      <c r="Z74" s="1738">
        <f t="shared" si="2"/>
        <v>0</v>
      </c>
      <c r="AA74" s="1739">
        <f t="shared" si="3"/>
        <v>0</v>
      </c>
      <c r="AB74" s="1740">
        <v>0</v>
      </c>
      <c r="AC74" s="1738">
        <f t="shared" si="4"/>
        <v>0</v>
      </c>
      <c r="AD74" s="1741">
        <f t="shared" si="5"/>
        <v>0</v>
      </c>
      <c r="AE74" s="1740">
        <v>0</v>
      </c>
      <c r="AF74" s="1738">
        <v>0</v>
      </c>
      <c r="AG74" s="1738">
        <v>0</v>
      </c>
      <c r="AH74" s="1738">
        <f t="shared" si="38"/>
        <v>0</v>
      </c>
      <c r="AI74" s="1738">
        <f t="shared" si="39"/>
        <v>0</v>
      </c>
      <c r="AJ74" s="1738">
        <f t="shared" si="40"/>
        <v>0</v>
      </c>
      <c r="AK74" s="1738">
        <f t="shared" si="41"/>
        <v>0</v>
      </c>
      <c r="AL74" s="1739">
        <f t="shared" si="42"/>
        <v>0</v>
      </c>
      <c r="AM74" s="1743">
        <f t="shared" si="43"/>
        <v>0</v>
      </c>
      <c r="AN74" s="1743">
        <f t="shared" si="44"/>
        <v>0</v>
      </c>
      <c r="AO74" s="1743">
        <f t="shared" si="45"/>
        <v>0</v>
      </c>
      <c r="AP74" s="1742"/>
    </row>
    <row r="75" spans="2:43" x14ac:dyDescent="0.3">
      <c r="B75" s="1732" t="s">
        <v>7717</v>
      </c>
      <c r="C75" s="1733"/>
      <c r="D75" s="1733"/>
      <c r="E75" s="1734"/>
      <c r="F75" s="1735"/>
      <c r="G75" s="1736">
        <v>0</v>
      </c>
      <c r="H75" s="1727">
        <v>0</v>
      </c>
      <c r="I75" s="1728">
        <f t="shared" si="37"/>
        <v>0</v>
      </c>
      <c r="J75" s="1737">
        <v>0</v>
      </c>
      <c r="K75" s="1738">
        <v>0</v>
      </c>
      <c r="L75" s="1739">
        <f t="shared" si="7"/>
        <v>0</v>
      </c>
      <c r="M75" s="1737">
        <v>0</v>
      </c>
      <c r="N75" s="1738">
        <v>0</v>
      </c>
      <c r="O75" s="1739">
        <f t="shared" si="8"/>
        <v>0</v>
      </c>
      <c r="P75" s="1737">
        <v>0</v>
      </c>
      <c r="Q75" s="1738">
        <f t="shared" si="9"/>
        <v>0</v>
      </c>
      <c r="R75" s="1739">
        <v>0</v>
      </c>
      <c r="S75" s="1740">
        <v>0</v>
      </c>
      <c r="T75" s="1738">
        <f t="shared" si="10"/>
        <v>0</v>
      </c>
      <c r="U75" s="1739">
        <f t="shared" si="23"/>
        <v>0</v>
      </c>
      <c r="V75" s="1740">
        <v>0</v>
      </c>
      <c r="W75" s="1738">
        <f t="shared" si="0"/>
        <v>0</v>
      </c>
      <c r="X75" s="1739">
        <f t="shared" si="1"/>
        <v>0</v>
      </c>
      <c r="Y75" s="1740">
        <v>0</v>
      </c>
      <c r="Z75" s="1738">
        <f t="shared" si="2"/>
        <v>0</v>
      </c>
      <c r="AA75" s="1739">
        <f t="shared" si="3"/>
        <v>0</v>
      </c>
      <c r="AB75" s="1740">
        <v>0</v>
      </c>
      <c r="AC75" s="1738">
        <f t="shared" si="4"/>
        <v>0</v>
      </c>
      <c r="AD75" s="1741">
        <f t="shared" si="5"/>
        <v>0</v>
      </c>
      <c r="AE75" s="1740">
        <v>0</v>
      </c>
      <c r="AF75" s="1738">
        <v>0</v>
      </c>
      <c r="AG75" s="1738">
        <v>0</v>
      </c>
      <c r="AH75" s="1738">
        <f t="shared" si="38"/>
        <v>0</v>
      </c>
      <c r="AI75" s="1738">
        <f t="shared" si="39"/>
        <v>0</v>
      </c>
      <c r="AJ75" s="1738">
        <f t="shared" si="40"/>
        <v>0</v>
      </c>
      <c r="AK75" s="1738">
        <f t="shared" si="41"/>
        <v>0</v>
      </c>
      <c r="AL75" s="1739">
        <f t="shared" si="42"/>
        <v>0</v>
      </c>
      <c r="AM75" s="1743">
        <f t="shared" si="43"/>
        <v>0</v>
      </c>
      <c r="AN75" s="1743">
        <f t="shared" si="44"/>
        <v>0</v>
      </c>
      <c r="AO75" s="1743">
        <f t="shared" si="45"/>
        <v>0</v>
      </c>
      <c r="AP75" s="1742"/>
    </row>
    <row r="76" spans="2:43" x14ac:dyDescent="0.3">
      <c r="B76" s="1732" t="s">
        <v>2833</v>
      </c>
      <c r="C76" s="1733"/>
      <c r="D76" s="1733"/>
      <c r="E76" s="1734"/>
      <c r="F76" s="1735"/>
      <c r="G76" s="1736">
        <v>0</v>
      </c>
      <c r="H76" s="1727">
        <v>0</v>
      </c>
      <c r="I76" s="1728">
        <f t="shared" si="37"/>
        <v>0</v>
      </c>
      <c r="J76" s="1737">
        <v>0</v>
      </c>
      <c r="K76" s="1738">
        <v>0</v>
      </c>
      <c r="L76" s="1739">
        <f t="shared" si="7"/>
        <v>0</v>
      </c>
      <c r="M76" s="1737">
        <v>0</v>
      </c>
      <c r="N76" s="1738">
        <v>0</v>
      </c>
      <c r="O76" s="1739">
        <f t="shared" si="8"/>
        <v>0</v>
      </c>
      <c r="P76" s="1737">
        <v>0</v>
      </c>
      <c r="Q76" s="1738">
        <f t="shared" si="9"/>
        <v>0</v>
      </c>
      <c r="R76" s="1739">
        <v>0</v>
      </c>
      <c r="S76" s="1740">
        <v>0</v>
      </c>
      <c r="T76" s="1738">
        <f t="shared" si="10"/>
        <v>0</v>
      </c>
      <c r="U76" s="1739">
        <f t="shared" si="23"/>
        <v>0</v>
      </c>
      <c r="V76" s="1740">
        <v>0</v>
      </c>
      <c r="W76" s="1738">
        <f t="shared" si="0"/>
        <v>0</v>
      </c>
      <c r="X76" s="1739">
        <f t="shared" si="1"/>
        <v>0</v>
      </c>
      <c r="Y76" s="1740">
        <v>0</v>
      </c>
      <c r="Z76" s="1738">
        <f t="shared" si="2"/>
        <v>0</v>
      </c>
      <c r="AA76" s="1739">
        <f t="shared" si="3"/>
        <v>0</v>
      </c>
      <c r="AB76" s="1740">
        <v>0</v>
      </c>
      <c r="AC76" s="1738">
        <f t="shared" si="4"/>
        <v>0</v>
      </c>
      <c r="AD76" s="1741">
        <f t="shared" si="5"/>
        <v>0</v>
      </c>
      <c r="AE76" s="1740">
        <v>0</v>
      </c>
      <c r="AF76" s="1738">
        <v>0</v>
      </c>
      <c r="AG76" s="1738">
        <v>0</v>
      </c>
      <c r="AH76" s="1738">
        <f t="shared" si="38"/>
        <v>0</v>
      </c>
      <c r="AI76" s="1738">
        <f t="shared" si="39"/>
        <v>0</v>
      </c>
      <c r="AJ76" s="1738">
        <f t="shared" si="40"/>
        <v>0</v>
      </c>
      <c r="AK76" s="1738">
        <f t="shared" si="41"/>
        <v>0</v>
      </c>
      <c r="AL76" s="1739">
        <f t="shared" si="42"/>
        <v>0</v>
      </c>
      <c r="AM76" s="1743">
        <f t="shared" si="43"/>
        <v>0</v>
      </c>
      <c r="AN76" s="1743">
        <f t="shared" si="44"/>
        <v>0</v>
      </c>
      <c r="AO76" s="1743">
        <f t="shared" si="45"/>
        <v>0</v>
      </c>
      <c r="AP76" s="1742"/>
    </row>
    <row r="77" spans="2:43" x14ac:dyDescent="0.3">
      <c r="B77" s="1732" t="s">
        <v>2830</v>
      </c>
      <c r="C77" s="1733"/>
      <c r="D77" s="1733"/>
      <c r="E77" s="1734"/>
      <c r="F77" s="1735"/>
      <c r="G77" s="1736">
        <v>0</v>
      </c>
      <c r="H77" s="1727">
        <v>0</v>
      </c>
      <c r="I77" s="1728">
        <f t="shared" si="37"/>
        <v>0</v>
      </c>
      <c r="J77" s="1737">
        <v>0</v>
      </c>
      <c r="K77" s="1738">
        <v>0</v>
      </c>
      <c r="L77" s="1739">
        <f t="shared" si="7"/>
        <v>0</v>
      </c>
      <c r="M77" s="1737">
        <v>0</v>
      </c>
      <c r="N77" s="1738">
        <v>0</v>
      </c>
      <c r="O77" s="1739">
        <f t="shared" si="8"/>
        <v>0</v>
      </c>
      <c r="P77" s="1737">
        <v>0</v>
      </c>
      <c r="Q77" s="1738">
        <f t="shared" si="9"/>
        <v>0</v>
      </c>
      <c r="R77" s="1739">
        <v>0</v>
      </c>
      <c r="S77" s="1740">
        <v>0</v>
      </c>
      <c r="T77" s="1738">
        <f t="shared" si="10"/>
        <v>0</v>
      </c>
      <c r="U77" s="1739">
        <f t="shared" si="23"/>
        <v>0</v>
      </c>
      <c r="V77" s="1740">
        <v>0</v>
      </c>
      <c r="W77" s="1738">
        <f t="shared" ref="W77:W92" si="46">V77*X77</f>
        <v>0</v>
      </c>
      <c r="X77" s="1739">
        <f t="shared" ref="X77:X92" si="47">U77*1.05</f>
        <v>0</v>
      </c>
      <c r="Y77" s="1740">
        <v>0</v>
      </c>
      <c r="Z77" s="1738">
        <f t="shared" ref="Z77:Z92" si="48">Y77*AA77</f>
        <v>0</v>
      </c>
      <c r="AA77" s="1739">
        <f t="shared" ref="AA77:AA92" si="49">X77*1.05</f>
        <v>0</v>
      </c>
      <c r="AB77" s="1740">
        <v>0</v>
      </c>
      <c r="AC77" s="1738">
        <f t="shared" ref="AC77:AC92" si="50">AB77*AD77</f>
        <v>0</v>
      </c>
      <c r="AD77" s="1741">
        <f t="shared" ref="AD77:AD92" si="51">AA77*1.05</f>
        <v>0</v>
      </c>
      <c r="AE77" s="1740">
        <v>0</v>
      </c>
      <c r="AF77" s="1738">
        <v>0</v>
      </c>
      <c r="AG77" s="1738">
        <v>0</v>
      </c>
      <c r="AH77" s="1738">
        <f t="shared" si="38"/>
        <v>0</v>
      </c>
      <c r="AI77" s="1738">
        <f t="shared" si="39"/>
        <v>0</v>
      </c>
      <c r="AJ77" s="1738">
        <f t="shared" si="40"/>
        <v>0</v>
      </c>
      <c r="AK77" s="1738">
        <f t="shared" si="41"/>
        <v>0</v>
      </c>
      <c r="AL77" s="1739">
        <f t="shared" si="42"/>
        <v>0</v>
      </c>
      <c r="AM77" s="1743">
        <f t="shared" si="43"/>
        <v>0</v>
      </c>
      <c r="AN77" s="1743">
        <f t="shared" si="44"/>
        <v>0</v>
      </c>
      <c r="AO77" s="1743">
        <f t="shared" si="45"/>
        <v>0</v>
      </c>
      <c r="AP77" s="1742"/>
    </row>
    <row r="78" spans="2:43" x14ac:dyDescent="0.3">
      <c r="B78" s="1732" t="s">
        <v>2948</v>
      </c>
      <c r="C78" s="1733"/>
      <c r="D78" s="1733"/>
      <c r="E78" s="1734"/>
      <c r="F78" s="1735"/>
      <c r="G78" s="1736">
        <v>0</v>
      </c>
      <c r="H78" s="1727">
        <v>0</v>
      </c>
      <c r="I78" s="1728">
        <f t="shared" si="37"/>
        <v>0</v>
      </c>
      <c r="J78" s="1737">
        <v>0</v>
      </c>
      <c r="K78" s="1738">
        <v>0</v>
      </c>
      <c r="L78" s="1739">
        <f t="shared" ref="L78:L93" si="52">IFERROR(K78/J78,)</f>
        <v>0</v>
      </c>
      <c r="M78" s="1737">
        <v>0</v>
      </c>
      <c r="N78" s="1738">
        <v>0</v>
      </c>
      <c r="O78" s="1739">
        <f t="shared" ref="O78:O93" si="53">IFERROR(N78/M78,)</f>
        <v>0</v>
      </c>
      <c r="P78" s="1737">
        <v>0</v>
      </c>
      <c r="Q78" s="1738">
        <f t="shared" ref="Q78:Q92" si="54">P78*R78</f>
        <v>0</v>
      </c>
      <c r="R78" s="1739">
        <v>0</v>
      </c>
      <c r="S78" s="1740">
        <v>0</v>
      </c>
      <c r="T78" s="1738">
        <f t="shared" ref="T78:T92" si="55">S78*U78</f>
        <v>0</v>
      </c>
      <c r="U78" s="1739">
        <f t="shared" ref="U78:U91" si="56">R78*1.05</f>
        <v>0</v>
      </c>
      <c r="V78" s="1740">
        <v>0</v>
      </c>
      <c r="W78" s="1738">
        <f t="shared" si="46"/>
        <v>0</v>
      </c>
      <c r="X78" s="1739">
        <f t="shared" si="47"/>
        <v>0</v>
      </c>
      <c r="Y78" s="1740">
        <v>0</v>
      </c>
      <c r="Z78" s="1738">
        <f t="shared" si="48"/>
        <v>0</v>
      </c>
      <c r="AA78" s="1739">
        <f t="shared" si="49"/>
        <v>0</v>
      </c>
      <c r="AB78" s="1740">
        <v>0</v>
      </c>
      <c r="AC78" s="1738">
        <f t="shared" si="50"/>
        <v>0</v>
      </c>
      <c r="AD78" s="1741">
        <f t="shared" si="51"/>
        <v>0</v>
      </c>
      <c r="AE78" s="1740">
        <v>0</v>
      </c>
      <c r="AF78" s="1738">
        <v>0</v>
      </c>
      <c r="AG78" s="1738">
        <v>0</v>
      </c>
      <c r="AH78" s="1738">
        <f t="shared" si="38"/>
        <v>0</v>
      </c>
      <c r="AI78" s="1738">
        <f t="shared" si="39"/>
        <v>0</v>
      </c>
      <c r="AJ78" s="1738">
        <f t="shared" si="40"/>
        <v>0</v>
      </c>
      <c r="AK78" s="1738">
        <f t="shared" si="41"/>
        <v>0</v>
      </c>
      <c r="AL78" s="1739">
        <f t="shared" si="42"/>
        <v>0</v>
      </c>
      <c r="AM78" s="1743">
        <f t="shared" si="43"/>
        <v>0</v>
      </c>
      <c r="AN78" s="1743">
        <f t="shared" si="44"/>
        <v>0</v>
      </c>
      <c r="AO78" s="1743">
        <f t="shared" si="45"/>
        <v>0</v>
      </c>
      <c r="AP78" s="1742"/>
    </row>
    <row r="79" spans="2:43" x14ac:dyDescent="0.3">
      <c r="B79" s="1732" t="s">
        <v>2945</v>
      </c>
      <c r="C79" s="1733"/>
      <c r="D79" s="1733"/>
      <c r="E79" s="1734"/>
      <c r="F79" s="1735"/>
      <c r="G79" s="1736">
        <v>0</v>
      </c>
      <c r="H79" s="1727">
        <v>0</v>
      </c>
      <c r="I79" s="1728">
        <f t="shared" si="37"/>
        <v>0</v>
      </c>
      <c r="J79" s="1737">
        <v>0</v>
      </c>
      <c r="K79" s="1738">
        <v>0</v>
      </c>
      <c r="L79" s="1739">
        <f t="shared" si="52"/>
        <v>0</v>
      </c>
      <c r="M79" s="1737">
        <v>0</v>
      </c>
      <c r="N79" s="1738">
        <v>0</v>
      </c>
      <c r="O79" s="1739">
        <f t="shared" si="53"/>
        <v>0</v>
      </c>
      <c r="P79" s="1737">
        <v>0</v>
      </c>
      <c r="Q79" s="1738">
        <f t="shared" si="54"/>
        <v>0</v>
      </c>
      <c r="R79" s="1739">
        <v>0</v>
      </c>
      <c r="S79" s="1740">
        <v>0</v>
      </c>
      <c r="T79" s="1738">
        <f t="shared" si="55"/>
        <v>0</v>
      </c>
      <c r="U79" s="1739">
        <f t="shared" si="56"/>
        <v>0</v>
      </c>
      <c r="V79" s="1740">
        <v>0</v>
      </c>
      <c r="W79" s="1738">
        <f t="shared" si="46"/>
        <v>0</v>
      </c>
      <c r="X79" s="1739">
        <f t="shared" si="47"/>
        <v>0</v>
      </c>
      <c r="Y79" s="1740">
        <v>0</v>
      </c>
      <c r="Z79" s="1738">
        <f t="shared" si="48"/>
        <v>0</v>
      </c>
      <c r="AA79" s="1739">
        <f t="shared" si="49"/>
        <v>0</v>
      </c>
      <c r="AB79" s="1740">
        <v>0</v>
      </c>
      <c r="AC79" s="1738">
        <f t="shared" si="50"/>
        <v>0</v>
      </c>
      <c r="AD79" s="1741">
        <f t="shared" si="51"/>
        <v>0</v>
      </c>
      <c r="AE79" s="1740">
        <v>0</v>
      </c>
      <c r="AF79" s="1738">
        <v>0</v>
      </c>
      <c r="AG79" s="1738">
        <v>0</v>
      </c>
      <c r="AH79" s="1738">
        <f t="shared" si="38"/>
        <v>0</v>
      </c>
      <c r="AI79" s="1738">
        <f t="shared" si="39"/>
        <v>0</v>
      </c>
      <c r="AJ79" s="1738">
        <f t="shared" si="40"/>
        <v>0</v>
      </c>
      <c r="AK79" s="1738">
        <f t="shared" si="41"/>
        <v>0</v>
      </c>
      <c r="AL79" s="1739">
        <f t="shared" si="42"/>
        <v>0</v>
      </c>
      <c r="AM79" s="1743">
        <f t="shared" si="43"/>
        <v>0</v>
      </c>
      <c r="AN79" s="1743">
        <f t="shared" si="44"/>
        <v>0</v>
      </c>
      <c r="AO79" s="1743">
        <f t="shared" si="45"/>
        <v>0</v>
      </c>
      <c r="AP79" s="1742"/>
    </row>
    <row r="80" spans="2:43" x14ac:dyDescent="0.3">
      <c r="B80" s="1732" t="s">
        <v>7718</v>
      </c>
      <c r="C80" s="1733"/>
      <c r="D80" s="1733"/>
      <c r="E80" s="1734"/>
      <c r="F80" s="1735"/>
      <c r="G80" s="1736">
        <v>0</v>
      </c>
      <c r="H80" s="1727">
        <v>0</v>
      </c>
      <c r="I80" s="1728">
        <f t="shared" si="37"/>
        <v>0</v>
      </c>
      <c r="J80" s="1737">
        <v>0</v>
      </c>
      <c r="K80" s="1738">
        <v>0</v>
      </c>
      <c r="L80" s="1739">
        <f t="shared" si="52"/>
        <v>0</v>
      </c>
      <c r="M80" s="1737">
        <v>0</v>
      </c>
      <c r="N80" s="1738">
        <v>0</v>
      </c>
      <c r="O80" s="1739">
        <f t="shared" si="53"/>
        <v>0</v>
      </c>
      <c r="P80" s="1737">
        <v>0</v>
      </c>
      <c r="Q80" s="1738">
        <f t="shared" si="54"/>
        <v>0</v>
      </c>
      <c r="R80" s="1739">
        <v>0</v>
      </c>
      <c r="S80" s="1740">
        <v>0</v>
      </c>
      <c r="T80" s="1738">
        <f t="shared" si="55"/>
        <v>0</v>
      </c>
      <c r="U80" s="1739">
        <f t="shared" si="56"/>
        <v>0</v>
      </c>
      <c r="V80" s="1740">
        <v>0</v>
      </c>
      <c r="W80" s="1738">
        <f t="shared" si="46"/>
        <v>0</v>
      </c>
      <c r="X80" s="1739">
        <f t="shared" si="47"/>
        <v>0</v>
      </c>
      <c r="Y80" s="1740">
        <v>0</v>
      </c>
      <c r="Z80" s="1738">
        <f t="shared" si="48"/>
        <v>0</v>
      </c>
      <c r="AA80" s="1739">
        <f t="shared" si="49"/>
        <v>0</v>
      </c>
      <c r="AB80" s="1740">
        <v>0</v>
      </c>
      <c r="AC80" s="1738">
        <f t="shared" si="50"/>
        <v>0</v>
      </c>
      <c r="AD80" s="1741">
        <f t="shared" si="51"/>
        <v>0</v>
      </c>
      <c r="AE80" s="1740">
        <v>0</v>
      </c>
      <c r="AF80" s="1738">
        <v>0</v>
      </c>
      <c r="AG80" s="1738">
        <v>0</v>
      </c>
      <c r="AH80" s="1738">
        <f t="shared" si="38"/>
        <v>0</v>
      </c>
      <c r="AI80" s="1738">
        <f t="shared" si="39"/>
        <v>0</v>
      </c>
      <c r="AJ80" s="1738">
        <f t="shared" si="40"/>
        <v>0</v>
      </c>
      <c r="AK80" s="1738">
        <f t="shared" si="41"/>
        <v>0</v>
      </c>
      <c r="AL80" s="1739">
        <f t="shared" si="42"/>
        <v>0</v>
      </c>
      <c r="AM80" s="1743">
        <f t="shared" si="43"/>
        <v>0</v>
      </c>
      <c r="AN80" s="1743">
        <f t="shared" si="44"/>
        <v>0</v>
      </c>
      <c r="AO80" s="1743">
        <f t="shared" si="45"/>
        <v>0</v>
      </c>
      <c r="AP80" s="1742"/>
    </row>
    <row r="81" spans="2:44" x14ac:dyDescent="0.3">
      <c r="B81" s="1732" t="s">
        <v>7719</v>
      </c>
      <c r="C81" s="1733"/>
      <c r="D81" s="1733"/>
      <c r="E81" s="1734"/>
      <c r="F81" s="1735"/>
      <c r="G81" s="1736">
        <v>0</v>
      </c>
      <c r="H81" s="1727">
        <v>0</v>
      </c>
      <c r="I81" s="1728">
        <f t="shared" si="37"/>
        <v>0</v>
      </c>
      <c r="J81" s="1737">
        <v>0</v>
      </c>
      <c r="K81" s="1738">
        <v>0</v>
      </c>
      <c r="L81" s="1739">
        <f t="shared" si="52"/>
        <v>0</v>
      </c>
      <c r="M81" s="1737">
        <v>0</v>
      </c>
      <c r="N81" s="1738">
        <v>0</v>
      </c>
      <c r="O81" s="1739">
        <f t="shared" si="53"/>
        <v>0</v>
      </c>
      <c r="P81" s="1737">
        <v>0</v>
      </c>
      <c r="Q81" s="1738">
        <f t="shared" si="54"/>
        <v>0</v>
      </c>
      <c r="R81" s="1739">
        <v>0</v>
      </c>
      <c r="S81" s="1740">
        <v>0</v>
      </c>
      <c r="T81" s="1738">
        <f t="shared" si="55"/>
        <v>0</v>
      </c>
      <c r="U81" s="1739">
        <f t="shared" si="56"/>
        <v>0</v>
      </c>
      <c r="V81" s="1740">
        <v>0</v>
      </c>
      <c r="W81" s="1738">
        <f t="shared" si="46"/>
        <v>0</v>
      </c>
      <c r="X81" s="1739">
        <f t="shared" si="47"/>
        <v>0</v>
      </c>
      <c r="Y81" s="1740">
        <v>0</v>
      </c>
      <c r="Z81" s="1738">
        <f t="shared" si="48"/>
        <v>0</v>
      </c>
      <c r="AA81" s="1739">
        <f t="shared" si="49"/>
        <v>0</v>
      </c>
      <c r="AB81" s="1740">
        <v>0</v>
      </c>
      <c r="AC81" s="1738">
        <f t="shared" si="50"/>
        <v>0</v>
      </c>
      <c r="AD81" s="1741">
        <f t="shared" si="51"/>
        <v>0</v>
      </c>
      <c r="AE81" s="1740">
        <v>0</v>
      </c>
      <c r="AF81" s="1738">
        <v>0</v>
      </c>
      <c r="AG81" s="1738">
        <v>0</v>
      </c>
      <c r="AH81" s="1738">
        <f t="shared" si="38"/>
        <v>0</v>
      </c>
      <c r="AI81" s="1738">
        <f t="shared" si="39"/>
        <v>0</v>
      </c>
      <c r="AJ81" s="1738">
        <f t="shared" si="40"/>
        <v>0</v>
      </c>
      <c r="AK81" s="1738">
        <f t="shared" si="41"/>
        <v>0</v>
      </c>
      <c r="AL81" s="1739">
        <f t="shared" si="42"/>
        <v>0</v>
      </c>
      <c r="AM81" s="1743">
        <f t="shared" si="43"/>
        <v>0</v>
      </c>
      <c r="AN81" s="1743">
        <f t="shared" si="44"/>
        <v>0</v>
      </c>
      <c r="AO81" s="1743">
        <f t="shared" si="45"/>
        <v>0</v>
      </c>
      <c r="AP81" s="1742"/>
    </row>
    <row r="82" spans="2:44" x14ac:dyDescent="0.3">
      <c r="B82" s="1732" t="s">
        <v>2875</v>
      </c>
      <c r="C82" s="1733"/>
      <c r="D82" s="1733"/>
      <c r="E82" s="1734"/>
      <c r="F82" s="1735"/>
      <c r="G82" s="1736">
        <v>0</v>
      </c>
      <c r="H82" s="1727">
        <v>0</v>
      </c>
      <c r="I82" s="1728">
        <f t="shared" si="37"/>
        <v>0</v>
      </c>
      <c r="J82" s="1737">
        <v>0</v>
      </c>
      <c r="K82" s="1738">
        <v>0</v>
      </c>
      <c r="L82" s="1739">
        <f t="shared" si="52"/>
        <v>0</v>
      </c>
      <c r="M82" s="1737">
        <v>0</v>
      </c>
      <c r="N82" s="1738">
        <v>0</v>
      </c>
      <c r="O82" s="1739">
        <f t="shared" si="53"/>
        <v>0</v>
      </c>
      <c r="P82" s="1737">
        <v>0</v>
      </c>
      <c r="Q82" s="1738">
        <f t="shared" si="54"/>
        <v>0</v>
      </c>
      <c r="R82" s="1739">
        <v>0</v>
      </c>
      <c r="S82" s="1740">
        <v>0</v>
      </c>
      <c r="T82" s="1738">
        <f t="shared" si="55"/>
        <v>0</v>
      </c>
      <c r="U82" s="1739">
        <f t="shared" si="56"/>
        <v>0</v>
      </c>
      <c r="V82" s="1740">
        <v>0</v>
      </c>
      <c r="W82" s="1738">
        <f t="shared" si="46"/>
        <v>0</v>
      </c>
      <c r="X82" s="1739">
        <f t="shared" si="47"/>
        <v>0</v>
      </c>
      <c r="Y82" s="1740">
        <v>0</v>
      </c>
      <c r="Z82" s="1738">
        <f t="shared" si="48"/>
        <v>0</v>
      </c>
      <c r="AA82" s="1739">
        <f t="shared" si="49"/>
        <v>0</v>
      </c>
      <c r="AB82" s="1740">
        <v>0</v>
      </c>
      <c r="AC82" s="1738">
        <f t="shared" si="50"/>
        <v>0</v>
      </c>
      <c r="AD82" s="1741">
        <f t="shared" si="51"/>
        <v>0</v>
      </c>
      <c r="AE82" s="1740">
        <v>0</v>
      </c>
      <c r="AF82" s="1738">
        <v>0</v>
      </c>
      <c r="AG82" s="1738">
        <v>0</v>
      </c>
      <c r="AH82" s="1738">
        <f t="shared" si="38"/>
        <v>0</v>
      </c>
      <c r="AI82" s="1738">
        <f t="shared" si="39"/>
        <v>0</v>
      </c>
      <c r="AJ82" s="1738">
        <f t="shared" si="40"/>
        <v>0</v>
      </c>
      <c r="AK82" s="1738">
        <f t="shared" si="41"/>
        <v>0</v>
      </c>
      <c r="AL82" s="1739">
        <f t="shared" si="42"/>
        <v>0</v>
      </c>
      <c r="AM82" s="1743">
        <f t="shared" si="43"/>
        <v>0</v>
      </c>
      <c r="AN82" s="1743">
        <f t="shared" si="44"/>
        <v>0</v>
      </c>
      <c r="AO82" s="1743">
        <f t="shared" si="45"/>
        <v>0</v>
      </c>
      <c r="AP82" s="1742"/>
    </row>
    <row r="83" spans="2:44" x14ac:dyDescent="0.3">
      <c r="B83" s="1732" t="s">
        <v>2875</v>
      </c>
      <c r="C83" s="1733"/>
      <c r="D83" s="1733"/>
      <c r="E83" s="1734"/>
      <c r="F83" s="1735"/>
      <c r="G83" s="1736">
        <v>0</v>
      </c>
      <c r="H83" s="1727">
        <v>0</v>
      </c>
      <c r="I83" s="1728">
        <f t="shared" si="37"/>
        <v>0</v>
      </c>
      <c r="J83" s="1737">
        <v>0</v>
      </c>
      <c r="K83" s="1738">
        <v>0</v>
      </c>
      <c r="L83" s="1739">
        <f t="shared" si="52"/>
        <v>0</v>
      </c>
      <c r="M83" s="1737">
        <v>0</v>
      </c>
      <c r="N83" s="1738">
        <v>0</v>
      </c>
      <c r="O83" s="1739">
        <f t="shared" si="53"/>
        <v>0</v>
      </c>
      <c r="P83" s="1737">
        <v>0</v>
      </c>
      <c r="Q83" s="1738">
        <f t="shared" si="54"/>
        <v>0</v>
      </c>
      <c r="R83" s="1739">
        <v>0</v>
      </c>
      <c r="S83" s="1740">
        <v>0</v>
      </c>
      <c r="T83" s="1738">
        <f t="shared" si="55"/>
        <v>0</v>
      </c>
      <c r="U83" s="1739">
        <f t="shared" si="56"/>
        <v>0</v>
      </c>
      <c r="V83" s="1740">
        <v>0</v>
      </c>
      <c r="W83" s="1738">
        <f t="shared" si="46"/>
        <v>0</v>
      </c>
      <c r="X83" s="1739">
        <f t="shared" si="47"/>
        <v>0</v>
      </c>
      <c r="Y83" s="1740">
        <v>0</v>
      </c>
      <c r="Z83" s="1738">
        <f t="shared" si="48"/>
        <v>0</v>
      </c>
      <c r="AA83" s="1739">
        <f t="shared" si="49"/>
        <v>0</v>
      </c>
      <c r="AB83" s="1740">
        <v>0</v>
      </c>
      <c r="AC83" s="1738">
        <f t="shared" si="50"/>
        <v>0</v>
      </c>
      <c r="AD83" s="1741">
        <f t="shared" si="51"/>
        <v>0</v>
      </c>
      <c r="AE83" s="1740">
        <v>0</v>
      </c>
      <c r="AF83" s="1738">
        <v>0</v>
      </c>
      <c r="AG83" s="1738">
        <v>0</v>
      </c>
      <c r="AH83" s="1738">
        <f t="shared" si="38"/>
        <v>0</v>
      </c>
      <c r="AI83" s="1738">
        <f t="shared" si="39"/>
        <v>0</v>
      </c>
      <c r="AJ83" s="1738">
        <f t="shared" si="40"/>
        <v>0</v>
      </c>
      <c r="AK83" s="1738">
        <f t="shared" si="41"/>
        <v>0</v>
      </c>
      <c r="AL83" s="1739">
        <f t="shared" si="42"/>
        <v>0</v>
      </c>
      <c r="AM83" s="1743">
        <f t="shared" si="43"/>
        <v>0</v>
      </c>
      <c r="AN83" s="1743">
        <f t="shared" si="44"/>
        <v>0</v>
      </c>
      <c r="AO83" s="1743">
        <f t="shared" si="45"/>
        <v>0</v>
      </c>
      <c r="AP83" s="1742"/>
    </row>
    <row r="84" spans="2:44" x14ac:dyDescent="0.3">
      <c r="B84" s="1732" t="s">
        <v>2835</v>
      </c>
      <c r="C84" s="1733"/>
      <c r="D84" s="1733"/>
      <c r="E84" s="1734"/>
      <c r="F84" s="1735"/>
      <c r="G84" s="1736">
        <v>0</v>
      </c>
      <c r="H84" s="1727">
        <v>0</v>
      </c>
      <c r="I84" s="1728">
        <f t="shared" si="37"/>
        <v>0</v>
      </c>
      <c r="J84" s="1737">
        <v>0</v>
      </c>
      <c r="K84" s="1738">
        <v>0</v>
      </c>
      <c r="L84" s="1739">
        <f t="shared" si="52"/>
        <v>0</v>
      </c>
      <c r="M84" s="1737">
        <v>0</v>
      </c>
      <c r="N84" s="1738">
        <v>0</v>
      </c>
      <c r="O84" s="1739">
        <f t="shared" si="53"/>
        <v>0</v>
      </c>
      <c r="P84" s="1737">
        <v>0</v>
      </c>
      <c r="Q84" s="1738">
        <f t="shared" si="54"/>
        <v>0</v>
      </c>
      <c r="R84" s="1739">
        <v>0</v>
      </c>
      <c r="S84" s="1740">
        <v>0</v>
      </c>
      <c r="T84" s="1738">
        <f t="shared" si="55"/>
        <v>0</v>
      </c>
      <c r="U84" s="1739">
        <f t="shared" si="56"/>
        <v>0</v>
      </c>
      <c r="V84" s="1740">
        <v>0</v>
      </c>
      <c r="W84" s="1738">
        <f t="shared" si="46"/>
        <v>0</v>
      </c>
      <c r="X84" s="1739">
        <f t="shared" si="47"/>
        <v>0</v>
      </c>
      <c r="Y84" s="1740">
        <v>0</v>
      </c>
      <c r="Z84" s="1738">
        <f t="shared" si="48"/>
        <v>0</v>
      </c>
      <c r="AA84" s="1739">
        <f t="shared" si="49"/>
        <v>0</v>
      </c>
      <c r="AB84" s="1740">
        <v>0</v>
      </c>
      <c r="AC84" s="1738">
        <f t="shared" si="50"/>
        <v>0</v>
      </c>
      <c r="AD84" s="1741">
        <f t="shared" si="51"/>
        <v>0</v>
      </c>
      <c r="AE84" s="1740">
        <v>0</v>
      </c>
      <c r="AF84" s="1738">
        <v>0</v>
      </c>
      <c r="AG84" s="1738">
        <v>0</v>
      </c>
      <c r="AH84" s="1738">
        <f t="shared" si="38"/>
        <v>0</v>
      </c>
      <c r="AI84" s="1738">
        <f t="shared" si="39"/>
        <v>0</v>
      </c>
      <c r="AJ84" s="1738">
        <f t="shared" si="40"/>
        <v>0</v>
      </c>
      <c r="AK84" s="1738">
        <f t="shared" si="41"/>
        <v>0</v>
      </c>
      <c r="AL84" s="1739">
        <f t="shared" si="42"/>
        <v>0</v>
      </c>
      <c r="AM84" s="1743">
        <f t="shared" si="43"/>
        <v>0</v>
      </c>
      <c r="AN84" s="1743">
        <f t="shared" si="44"/>
        <v>0</v>
      </c>
      <c r="AO84" s="1743">
        <f t="shared" si="45"/>
        <v>0</v>
      </c>
      <c r="AP84" s="1742"/>
    </row>
    <row r="85" spans="2:44" x14ac:dyDescent="0.3">
      <c r="B85" s="1732" t="s">
        <v>2065</v>
      </c>
      <c r="C85" s="1733"/>
      <c r="D85" s="1733"/>
      <c r="E85" s="1734"/>
      <c r="F85" s="1735"/>
      <c r="G85" s="1736">
        <v>0</v>
      </c>
      <c r="H85" s="1727">
        <v>0</v>
      </c>
      <c r="I85" s="1728">
        <f t="shared" si="37"/>
        <v>0</v>
      </c>
      <c r="J85" s="1737">
        <v>0</v>
      </c>
      <c r="K85" s="1738">
        <v>0</v>
      </c>
      <c r="L85" s="1739">
        <f t="shared" si="52"/>
        <v>0</v>
      </c>
      <c r="M85" s="1737">
        <v>3</v>
      </c>
      <c r="N85" s="1738">
        <v>100577000</v>
      </c>
      <c r="O85" s="1739">
        <f t="shared" si="53"/>
        <v>33525666.666666668</v>
      </c>
      <c r="P85" s="1737">
        <v>0</v>
      </c>
      <c r="Q85" s="1738">
        <f t="shared" si="54"/>
        <v>0</v>
      </c>
      <c r="R85" s="1739">
        <v>0</v>
      </c>
      <c r="S85" s="1740">
        <v>0</v>
      </c>
      <c r="T85" s="1738">
        <f t="shared" si="55"/>
        <v>0</v>
      </c>
      <c r="U85" s="1739">
        <f t="shared" si="56"/>
        <v>0</v>
      </c>
      <c r="V85" s="1740">
        <v>0</v>
      </c>
      <c r="W85" s="1738">
        <f t="shared" si="46"/>
        <v>0</v>
      </c>
      <c r="X85" s="1739">
        <f t="shared" si="47"/>
        <v>0</v>
      </c>
      <c r="Y85" s="1740">
        <v>0</v>
      </c>
      <c r="Z85" s="1738">
        <f t="shared" si="48"/>
        <v>0</v>
      </c>
      <c r="AA85" s="1739">
        <f t="shared" si="49"/>
        <v>0</v>
      </c>
      <c r="AB85" s="1740">
        <v>0</v>
      </c>
      <c r="AC85" s="1738">
        <f t="shared" si="50"/>
        <v>0</v>
      </c>
      <c r="AD85" s="1741">
        <f t="shared" si="51"/>
        <v>0</v>
      </c>
      <c r="AE85" s="1740">
        <v>0</v>
      </c>
      <c r="AF85" s="1738">
        <v>0</v>
      </c>
      <c r="AG85" s="1738">
        <v>18548713</v>
      </c>
      <c r="AH85" s="1738">
        <f t="shared" si="38"/>
        <v>0</v>
      </c>
      <c r="AI85" s="1738">
        <f t="shared" si="39"/>
        <v>0</v>
      </c>
      <c r="AJ85" s="1738">
        <f t="shared" si="40"/>
        <v>0</v>
      </c>
      <c r="AK85" s="1738">
        <f t="shared" si="41"/>
        <v>0</v>
      </c>
      <c r="AL85" s="1739">
        <f t="shared" si="42"/>
        <v>0</v>
      </c>
      <c r="AM85" s="1743">
        <f t="shared" si="43"/>
        <v>0</v>
      </c>
      <c r="AN85" s="1743">
        <f t="shared" si="44"/>
        <v>0</v>
      </c>
      <c r="AO85" s="1743">
        <f t="shared" si="45"/>
        <v>0.55326902771011266</v>
      </c>
      <c r="AP85" s="1742"/>
    </row>
    <row r="86" spans="2:44" x14ac:dyDescent="0.3">
      <c r="B86" s="1732" t="s">
        <v>2886</v>
      </c>
      <c r="C86" s="1733"/>
      <c r="D86" s="1733"/>
      <c r="E86" s="1734"/>
      <c r="F86" s="1735"/>
      <c r="G86" s="1736">
        <v>0</v>
      </c>
      <c r="H86" s="1727">
        <v>0</v>
      </c>
      <c r="I86" s="1728">
        <f t="shared" si="37"/>
        <v>0</v>
      </c>
      <c r="J86" s="1737">
        <v>0</v>
      </c>
      <c r="K86" s="1738">
        <v>0</v>
      </c>
      <c r="L86" s="1739">
        <f t="shared" si="52"/>
        <v>0</v>
      </c>
      <c r="M86" s="1737">
        <v>0</v>
      </c>
      <c r="N86" s="1738">
        <v>0</v>
      </c>
      <c r="O86" s="1739">
        <f t="shared" si="53"/>
        <v>0</v>
      </c>
      <c r="P86" s="1737">
        <v>0</v>
      </c>
      <c r="Q86" s="1738">
        <f t="shared" si="54"/>
        <v>0</v>
      </c>
      <c r="R86" s="1739">
        <v>0</v>
      </c>
      <c r="S86" s="1740">
        <v>0</v>
      </c>
      <c r="T86" s="1738">
        <f t="shared" si="55"/>
        <v>0</v>
      </c>
      <c r="U86" s="1739">
        <f t="shared" si="56"/>
        <v>0</v>
      </c>
      <c r="V86" s="1740">
        <v>0</v>
      </c>
      <c r="W86" s="1738">
        <f t="shared" si="46"/>
        <v>0</v>
      </c>
      <c r="X86" s="1739">
        <f t="shared" si="47"/>
        <v>0</v>
      </c>
      <c r="Y86" s="1740">
        <v>0</v>
      </c>
      <c r="Z86" s="1738">
        <f t="shared" si="48"/>
        <v>0</v>
      </c>
      <c r="AA86" s="1739">
        <f t="shared" si="49"/>
        <v>0</v>
      </c>
      <c r="AB86" s="1740">
        <v>0</v>
      </c>
      <c r="AC86" s="1738">
        <f t="shared" si="50"/>
        <v>0</v>
      </c>
      <c r="AD86" s="1741">
        <f t="shared" si="51"/>
        <v>0</v>
      </c>
      <c r="AE86" s="1740">
        <v>0</v>
      </c>
      <c r="AF86" s="1738">
        <v>0</v>
      </c>
      <c r="AG86" s="1738">
        <v>0</v>
      </c>
      <c r="AH86" s="1738">
        <f t="shared" si="38"/>
        <v>0</v>
      </c>
      <c r="AI86" s="1738">
        <f t="shared" si="39"/>
        <v>0</v>
      </c>
      <c r="AJ86" s="1738">
        <f t="shared" si="40"/>
        <v>0</v>
      </c>
      <c r="AK86" s="1738">
        <f t="shared" si="41"/>
        <v>0</v>
      </c>
      <c r="AL86" s="1739">
        <f t="shared" si="42"/>
        <v>0</v>
      </c>
      <c r="AM86" s="1743">
        <f t="shared" si="43"/>
        <v>0</v>
      </c>
      <c r="AN86" s="1743">
        <f t="shared" si="44"/>
        <v>0</v>
      </c>
      <c r="AO86" s="1743">
        <f t="shared" si="45"/>
        <v>0</v>
      </c>
      <c r="AP86" s="1742"/>
    </row>
    <row r="87" spans="2:44" x14ac:dyDescent="0.3">
      <c r="B87" s="1732" t="s">
        <v>7720</v>
      </c>
      <c r="C87" s="1733"/>
      <c r="D87" s="1733"/>
      <c r="E87" s="1734"/>
      <c r="F87" s="1735"/>
      <c r="G87" s="1736">
        <v>11</v>
      </c>
      <c r="H87" s="1727">
        <v>334334000</v>
      </c>
      <c r="I87" s="1728">
        <f t="shared" si="37"/>
        <v>30394000</v>
      </c>
      <c r="J87" s="1737">
        <v>35</v>
      </c>
      <c r="K87" s="1738">
        <v>1206900000</v>
      </c>
      <c r="L87" s="1739">
        <f t="shared" si="52"/>
        <v>34482857.142857142</v>
      </c>
      <c r="M87" s="1737">
        <v>0</v>
      </c>
      <c r="N87" s="1738">
        <v>0</v>
      </c>
      <c r="O87" s="1739">
        <f t="shared" si="53"/>
        <v>0</v>
      </c>
      <c r="P87" s="1737">
        <v>0</v>
      </c>
      <c r="Q87" s="1738">
        <f t="shared" si="54"/>
        <v>0</v>
      </c>
      <c r="R87" s="1739">
        <v>0</v>
      </c>
      <c r="S87" s="1740">
        <v>0</v>
      </c>
      <c r="T87" s="1738">
        <f t="shared" si="55"/>
        <v>0</v>
      </c>
      <c r="U87" s="1739">
        <f t="shared" si="56"/>
        <v>0</v>
      </c>
      <c r="V87" s="1740">
        <v>0</v>
      </c>
      <c r="W87" s="1738">
        <f t="shared" si="46"/>
        <v>0</v>
      </c>
      <c r="X87" s="1739">
        <f t="shared" si="47"/>
        <v>0</v>
      </c>
      <c r="Y87" s="1740">
        <v>0</v>
      </c>
      <c r="Z87" s="1738">
        <f t="shared" si="48"/>
        <v>0</v>
      </c>
      <c r="AA87" s="1739">
        <f t="shared" si="49"/>
        <v>0</v>
      </c>
      <c r="AB87" s="1740">
        <v>0</v>
      </c>
      <c r="AC87" s="1738">
        <f t="shared" si="50"/>
        <v>0</v>
      </c>
      <c r="AD87" s="1741">
        <f t="shared" si="51"/>
        <v>0</v>
      </c>
      <c r="AE87" s="1740">
        <v>17175341</v>
      </c>
      <c r="AF87" s="1738">
        <v>17964596</v>
      </c>
      <c r="AG87" s="1738">
        <v>0</v>
      </c>
      <c r="AH87" s="1738">
        <f t="shared" si="38"/>
        <v>0</v>
      </c>
      <c r="AI87" s="1738">
        <f t="shared" si="39"/>
        <v>0</v>
      </c>
      <c r="AJ87" s="1738">
        <f t="shared" si="40"/>
        <v>0</v>
      </c>
      <c r="AK87" s="1738">
        <f t="shared" si="41"/>
        <v>0</v>
      </c>
      <c r="AL87" s="1739">
        <f t="shared" si="42"/>
        <v>0</v>
      </c>
      <c r="AM87" s="1743">
        <f t="shared" si="43"/>
        <v>0.56508985326051198</v>
      </c>
      <c r="AN87" s="1743">
        <f t="shared" si="44"/>
        <v>0.52097179550915573</v>
      </c>
      <c r="AO87" s="1743">
        <f t="shared" si="45"/>
        <v>0</v>
      </c>
      <c r="AP87" s="1742"/>
    </row>
    <row r="88" spans="2:44" x14ac:dyDescent="0.3">
      <c r="B88" s="1732" t="s">
        <v>2950</v>
      </c>
      <c r="C88" s="1733"/>
      <c r="D88" s="1733"/>
      <c r="E88" s="1734"/>
      <c r="F88" s="1735"/>
      <c r="G88" s="1736">
        <v>0</v>
      </c>
      <c r="H88" s="1727">
        <v>0</v>
      </c>
      <c r="I88" s="1728">
        <f t="shared" si="37"/>
        <v>0</v>
      </c>
      <c r="J88" s="1737">
        <v>0</v>
      </c>
      <c r="K88" s="1738">
        <v>0</v>
      </c>
      <c r="L88" s="1739">
        <f t="shared" si="52"/>
        <v>0</v>
      </c>
      <c r="M88" s="1737">
        <v>0</v>
      </c>
      <c r="N88" s="1738">
        <v>0</v>
      </c>
      <c r="O88" s="1739">
        <f t="shared" si="53"/>
        <v>0</v>
      </c>
      <c r="P88" s="1737">
        <v>0</v>
      </c>
      <c r="Q88" s="1738">
        <f t="shared" si="54"/>
        <v>0</v>
      </c>
      <c r="R88" s="1739">
        <v>0</v>
      </c>
      <c r="S88" s="1740">
        <v>0</v>
      </c>
      <c r="T88" s="1738">
        <f t="shared" si="55"/>
        <v>0</v>
      </c>
      <c r="U88" s="1739">
        <f t="shared" si="56"/>
        <v>0</v>
      </c>
      <c r="V88" s="1740">
        <v>0</v>
      </c>
      <c r="W88" s="1738">
        <f t="shared" si="46"/>
        <v>0</v>
      </c>
      <c r="X88" s="1739">
        <f t="shared" si="47"/>
        <v>0</v>
      </c>
      <c r="Y88" s="1740">
        <v>0</v>
      </c>
      <c r="Z88" s="1738">
        <f t="shared" si="48"/>
        <v>0</v>
      </c>
      <c r="AA88" s="1739">
        <f t="shared" si="49"/>
        <v>0</v>
      </c>
      <c r="AB88" s="1740">
        <v>0</v>
      </c>
      <c r="AC88" s="1738">
        <f t="shared" si="50"/>
        <v>0</v>
      </c>
      <c r="AD88" s="1741">
        <f t="shared" si="51"/>
        <v>0</v>
      </c>
      <c r="AE88" s="1740">
        <v>0</v>
      </c>
      <c r="AF88" s="1738">
        <v>0</v>
      </c>
      <c r="AG88" s="1738">
        <v>0</v>
      </c>
      <c r="AH88" s="1738">
        <f t="shared" si="38"/>
        <v>0</v>
      </c>
      <c r="AI88" s="1738">
        <f t="shared" si="39"/>
        <v>0</v>
      </c>
      <c r="AJ88" s="1738">
        <f t="shared" si="40"/>
        <v>0</v>
      </c>
      <c r="AK88" s="1738">
        <f t="shared" si="41"/>
        <v>0</v>
      </c>
      <c r="AL88" s="1739">
        <f t="shared" si="42"/>
        <v>0</v>
      </c>
      <c r="AM88" s="1743">
        <f t="shared" si="43"/>
        <v>0</v>
      </c>
      <c r="AN88" s="1743">
        <f t="shared" si="44"/>
        <v>0</v>
      </c>
      <c r="AO88" s="1743">
        <f t="shared" si="45"/>
        <v>0</v>
      </c>
      <c r="AP88" s="1742"/>
    </row>
    <row r="89" spans="2:44" x14ac:dyDescent="0.3">
      <c r="B89" s="1732" t="s">
        <v>2890</v>
      </c>
      <c r="C89" s="1733"/>
      <c r="D89" s="1733"/>
      <c r="E89" s="1734"/>
      <c r="F89" s="1735"/>
      <c r="G89" s="1736">
        <v>0</v>
      </c>
      <c r="H89" s="1727">
        <v>0</v>
      </c>
      <c r="I89" s="1728">
        <f t="shared" si="37"/>
        <v>0</v>
      </c>
      <c r="J89" s="1737">
        <v>0</v>
      </c>
      <c r="K89" s="1738">
        <v>0</v>
      </c>
      <c r="L89" s="1739">
        <f t="shared" si="52"/>
        <v>0</v>
      </c>
      <c r="M89" s="1737">
        <v>0</v>
      </c>
      <c r="N89" s="1738">
        <v>0</v>
      </c>
      <c r="O89" s="1739">
        <f t="shared" si="53"/>
        <v>0</v>
      </c>
      <c r="P89" s="1737">
        <v>0</v>
      </c>
      <c r="Q89" s="1738">
        <f t="shared" si="54"/>
        <v>0</v>
      </c>
      <c r="R89" s="1739">
        <v>0</v>
      </c>
      <c r="S89" s="1740">
        <v>0</v>
      </c>
      <c r="T89" s="1738">
        <f t="shared" si="55"/>
        <v>0</v>
      </c>
      <c r="U89" s="1739">
        <f t="shared" si="56"/>
        <v>0</v>
      </c>
      <c r="V89" s="1740">
        <v>0</v>
      </c>
      <c r="W89" s="1738">
        <f t="shared" si="46"/>
        <v>0</v>
      </c>
      <c r="X89" s="1739">
        <f t="shared" si="47"/>
        <v>0</v>
      </c>
      <c r="Y89" s="1740">
        <v>0</v>
      </c>
      <c r="Z89" s="1738">
        <f t="shared" si="48"/>
        <v>0</v>
      </c>
      <c r="AA89" s="1739">
        <f t="shared" si="49"/>
        <v>0</v>
      </c>
      <c r="AB89" s="1740">
        <v>0</v>
      </c>
      <c r="AC89" s="1738">
        <f t="shared" si="50"/>
        <v>0</v>
      </c>
      <c r="AD89" s="1741">
        <f t="shared" si="51"/>
        <v>0</v>
      </c>
      <c r="AE89" s="1740">
        <v>0</v>
      </c>
      <c r="AF89" s="1738">
        <v>0</v>
      </c>
      <c r="AG89" s="1738">
        <v>0</v>
      </c>
      <c r="AH89" s="1738">
        <f t="shared" si="38"/>
        <v>0</v>
      </c>
      <c r="AI89" s="1738">
        <f t="shared" si="39"/>
        <v>0</v>
      </c>
      <c r="AJ89" s="1738">
        <f t="shared" si="40"/>
        <v>0</v>
      </c>
      <c r="AK89" s="1738">
        <f t="shared" si="41"/>
        <v>0</v>
      </c>
      <c r="AL89" s="1739">
        <f t="shared" si="42"/>
        <v>0</v>
      </c>
      <c r="AM89" s="1743">
        <f t="shared" si="43"/>
        <v>0</v>
      </c>
      <c r="AN89" s="1743">
        <f t="shared" si="44"/>
        <v>0</v>
      </c>
      <c r="AO89" s="1743">
        <f t="shared" si="45"/>
        <v>0</v>
      </c>
      <c r="AP89" s="1742"/>
    </row>
    <row r="90" spans="2:44" x14ac:dyDescent="0.3">
      <c r="B90" s="1732" t="s">
        <v>7721</v>
      </c>
      <c r="C90" s="1733"/>
      <c r="D90" s="1733"/>
      <c r="E90" s="1734"/>
      <c r="F90" s="1735"/>
      <c r="G90" s="1736">
        <v>4</v>
      </c>
      <c r="H90" s="1727">
        <v>13040000</v>
      </c>
      <c r="I90" s="1728">
        <f t="shared" si="37"/>
        <v>3260000</v>
      </c>
      <c r="J90" s="1737">
        <v>6</v>
      </c>
      <c r="K90" s="1738">
        <v>20448546</v>
      </c>
      <c r="L90" s="1739">
        <f t="shared" si="52"/>
        <v>3408091</v>
      </c>
      <c r="M90" s="1737">
        <v>0</v>
      </c>
      <c r="N90" s="1738">
        <v>0</v>
      </c>
      <c r="O90" s="1739">
        <f t="shared" si="53"/>
        <v>0</v>
      </c>
      <c r="P90" s="1737">
        <v>0</v>
      </c>
      <c r="Q90" s="1738">
        <f t="shared" si="54"/>
        <v>0</v>
      </c>
      <c r="R90" s="1739">
        <v>0</v>
      </c>
      <c r="S90" s="1740">
        <v>0</v>
      </c>
      <c r="T90" s="1738">
        <f t="shared" si="55"/>
        <v>0</v>
      </c>
      <c r="U90" s="1739">
        <f t="shared" si="56"/>
        <v>0</v>
      </c>
      <c r="V90" s="1740">
        <v>0</v>
      </c>
      <c r="W90" s="1738">
        <f t="shared" si="46"/>
        <v>0</v>
      </c>
      <c r="X90" s="1739">
        <f t="shared" si="47"/>
        <v>0</v>
      </c>
      <c r="Y90" s="1740">
        <v>0</v>
      </c>
      <c r="Z90" s="1738">
        <f t="shared" si="48"/>
        <v>0</v>
      </c>
      <c r="AA90" s="1739">
        <f t="shared" si="49"/>
        <v>0</v>
      </c>
      <c r="AB90" s="1740">
        <v>0</v>
      </c>
      <c r="AC90" s="1738">
        <f t="shared" si="50"/>
        <v>0</v>
      </c>
      <c r="AD90" s="1741">
        <f t="shared" si="51"/>
        <v>0</v>
      </c>
      <c r="AE90" s="1740">
        <v>0</v>
      </c>
      <c r="AF90" s="1738">
        <v>0</v>
      </c>
      <c r="AG90" s="1738">
        <v>0</v>
      </c>
      <c r="AH90" s="1738">
        <f t="shared" si="38"/>
        <v>0</v>
      </c>
      <c r="AI90" s="1738">
        <f t="shared" si="39"/>
        <v>0</v>
      </c>
      <c r="AJ90" s="1738">
        <f t="shared" si="40"/>
        <v>0</v>
      </c>
      <c r="AK90" s="1738">
        <f t="shared" si="41"/>
        <v>0</v>
      </c>
      <c r="AL90" s="1739">
        <f t="shared" si="42"/>
        <v>0</v>
      </c>
      <c r="AM90" s="1743">
        <f t="shared" si="43"/>
        <v>0</v>
      </c>
      <c r="AN90" s="1743">
        <f t="shared" si="44"/>
        <v>0</v>
      </c>
      <c r="AO90" s="1743">
        <f t="shared" si="45"/>
        <v>0</v>
      </c>
      <c r="AP90" s="1742"/>
    </row>
    <row r="91" spans="2:44" x14ac:dyDescent="0.3">
      <c r="B91" s="1732" t="s">
        <v>7722</v>
      </c>
      <c r="C91" s="1733"/>
      <c r="D91" s="1733"/>
      <c r="E91" s="1734"/>
      <c r="F91" s="1735"/>
      <c r="G91" s="1736">
        <v>0</v>
      </c>
      <c r="H91" s="1727">
        <v>0</v>
      </c>
      <c r="I91" s="1728">
        <f t="shared" si="37"/>
        <v>0</v>
      </c>
      <c r="J91" s="1737">
        <v>0</v>
      </c>
      <c r="K91" s="1738">
        <v>0</v>
      </c>
      <c r="L91" s="1739">
        <f t="shared" si="52"/>
        <v>0</v>
      </c>
      <c r="M91" s="1737">
        <v>0</v>
      </c>
      <c r="N91" s="1738">
        <v>0</v>
      </c>
      <c r="O91" s="1739">
        <f t="shared" si="53"/>
        <v>0</v>
      </c>
      <c r="P91" s="1737">
        <v>0</v>
      </c>
      <c r="Q91" s="1738">
        <f t="shared" si="54"/>
        <v>0</v>
      </c>
      <c r="R91" s="1739">
        <v>0</v>
      </c>
      <c r="S91" s="1740">
        <v>0</v>
      </c>
      <c r="T91" s="1738">
        <f t="shared" si="55"/>
        <v>0</v>
      </c>
      <c r="U91" s="1739">
        <f t="shared" si="56"/>
        <v>0</v>
      </c>
      <c r="V91" s="1740">
        <v>0</v>
      </c>
      <c r="W91" s="1738">
        <f t="shared" si="46"/>
        <v>0</v>
      </c>
      <c r="X91" s="1739">
        <f t="shared" si="47"/>
        <v>0</v>
      </c>
      <c r="Y91" s="1740">
        <v>0</v>
      </c>
      <c r="Z91" s="1738">
        <f t="shared" si="48"/>
        <v>0</v>
      </c>
      <c r="AA91" s="1739">
        <f t="shared" si="49"/>
        <v>0</v>
      </c>
      <c r="AB91" s="1740">
        <v>0</v>
      </c>
      <c r="AC91" s="1738">
        <f t="shared" si="50"/>
        <v>0</v>
      </c>
      <c r="AD91" s="1741">
        <f t="shared" si="51"/>
        <v>0</v>
      </c>
      <c r="AE91" s="1740">
        <v>0</v>
      </c>
      <c r="AF91" s="1738">
        <v>0</v>
      </c>
      <c r="AG91" s="1738">
        <v>0</v>
      </c>
      <c r="AH91" s="1738">
        <f t="shared" si="38"/>
        <v>0</v>
      </c>
      <c r="AI91" s="1738">
        <f t="shared" si="39"/>
        <v>0</v>
      </c>
      <c r="AJ91" s="1738">
        <f t="shared" si="40"/>
        <v>0</v>
      </c>
      <c r="AK91" s="1738">
        <f t="shared" si="41"/>
        <v>0</v>
      </c>
      <c r="AL91" s="1739">
        <f t="shared" si="42"/>
        <v>0</v>
      </c>
      <c r="AM91" s="1743">
        <f t="shared" si="43"/>
        <v>0</v>
      </c>
      <c r="AN91" s="1743">
        <f t="shared" si="44"/>
        <v>0</v>
      </c>
      <c r="AO91" s="1743">
        <f t="shared" si="45"/>
        <v>0</v>
      </c>
      <c r="AP91" s="1742"/>
    </row>
    <row r="92" spans="2:44" x14ac:dyDescent="0.3">
      <c r="B92" s="1732" t="s">
        <v>7723</v>
      </c>
      <c r="C92" s="1733"/>
      <c r="D92" s="1733"/>
      <c r="E92" s="1734"/>
      <c r="F92" s="1735"/>
      <c r="G92" s="1736">
        <v>0</v>
      </c>
      <c r="H92" s="1727">
        <v>0</v>
      </c>
      <c r="I92" s="1728">
        <f t="shared" si="37"/>
        <v>0</v>
      </c>
      <c r="J92" s="1737">
        <v>0</v>
      </c>
      <c r="K92" s="1738">
        <v>0</v>
      </c>
      <c r="L92" s="1739">
        <f t="shared" si="52"/>
        <v>0</v>
      </c>
      <c r="M92" s="1737">
        <v>0</v>
      </c>
      <c r="N92" s="1738">
        <v>0</v>
      </c>
      <c r="O92" s="1739">
        <f t="shared" si="53"/>
        <v>0</v>
      </c>
      <c r="P92" s="1737">
        <v>0</v>
      </c>
      <c r="Q92" s="1738">
        <f t="shared" si="54"/>
        <v>0</v>
      </c>
      <c r="R92" s="1739">
        <v>0</v>
      </c>
      <c r="S92" s="1740">
        <v>5</v>
      </c>
      <c r="T92" s="1738">
        <f t="shared" si="55"/>
        <v>1425000000</v>
      </c>
      <c r="U92" s="1739">
        <v>285000000</v>
      </c>
      <c r="V92" s="1740">
        <v>25</v>
      </c>
      <c r="W92" s="1738">
        <f t="shared" si="46"/>
        <v>7481250000</v>
      </c>
      <c r="X92" s="1739">
        <f t="shared" si="47"/>
        <v>299250000</v>
      </c>
      <c r="Y92" s="1740">
        <v>30</v>
      </c>
      <c r="Z92" s="1738">
        <f t="shared" si="48"/>
        <v>9426375000</v>
      </c>
      <c r="AA92" s="1739">
        <f t="shared" si="49"/>
        <v>314212500</v>
      </c>
      <c r="AB92" s="1740">
        <v>35</v>
      </c>
      <c r="AC92" s="1738">
        <f t="shared" si="50"/>
        <v>11547309375</v>
      </c>
      <c r="AD92" s="1741">
        <f t="shared" si="51"/>
        <v>329923125</v>
      </c>
      <c r="AE92" s="1740">
        <v>0</v>
      </c>
      <c r="AF92" s="1738">
        <v>0</v>
      </c>
      <c r="AG92" s="1738">
        <v>0</v>
      </c>
      <c r="AH92" s="1738">
        <f t="shared" si="38"/>
        <v>0</v>
      </c>
      <c r="AI92" s="1738">
        <f t="shared" si="39"/>
        <v>801151426.94519627</v>
      </c>
      <c r="AJ92" s="1738">
        <f t="shared" si="40"/>
        <v>4206044991.4622803</v>
      </c>
      <c r="AK92" s="1738">
        <f t="shared" si="41"/>
        <v>5299616689.2424736</v>
      </c>
      <c r="AL92" s="1739">
        <f t="shared" si="42"/>
        <v>6492030444.3220301</v>
      </c>
      <c r="AM92" s="1743">
        <f t="shared" si="43"/>
        <v>0</v>
      </c>
      <c r="AN92" s="1743">
        <f t="shared" si="44"/>
        <v>0</v>
      </c>
      <c r="AO92" s="1743">
        <f t="shared" si="45"/>
        <v>0</v>
      </c>
      <c r="AP92" s="1742">
        <v>1</v>
      </c>
    </row>
    <row r="93" spans="2:44" ht="12.75" thickBot="1" x14ac:dyDescent="0.35">
      <c r="B93" s="1773" t="s">
        <v>7724</v>
      </c>
      <c r="C93" s="1774"/>
      <c r="D93" s="1774"/>
      <c r="E93" s="1775"/>
      <c r="F93" s="1776"/>
      <c r="G93" s="1777">
        <f>SUM(G6:G92)</f>
        <v>1101</v>
      </c>
      <c r="H93" s="1778">
        <f>SUM(H6:H92)</f>
        <v>50965742205</v>
      </c>
      <c r="I93" s="1779">
        <f>H93/G93</f>
        <v>46290410.722070843</v>
      </c>
      <c r="J93" s="1773">
        <f>SUM(J6:J92)</f>
        <v>1406</v>
      </c>
      <c r="K93" s="1778">
        <f>SUM(K6:K92)</f>
        <v>73003904996</v>
      </c>
      <c r="L93" s="1779">
        <f t="shared" si="52"/>
        <v>51923118.773826458</v>
      </c>
      <c r="M93" s="1773">
        <f>SUM(M6:M92)</f>
        <v>1504</v>
      </c>
      <c r="N93" s="1778">
        <f>SUM(N6:N92)</f>
        <v>78480317036.454544</v>
      </c>
      <c r="O93" s="1779">
        <f t="shared" si="53"/>
        <v>52181061.859344773</v>
      </c>
      <c r="P93" s="1773">
        <f>SUM(P6:P92)</f>
        <v>1920.3745795403761</v>
      </c>
      <c r="Q93" s="1778">
        <f>SUM(Q6:Q92)</f>
        <v>103166113862.88968</v>
      </c>
      <c r="R93" s="1779">
        <f t="shared" ref="R93" si="57">IFERROR(Q93/P93,)</f>
        <v>53721870.182004564</v>
      </c>
      <c r="S93" s="1773">
        <f>SUM(S6:S92)</f>
        <v>2290.4620374944134</v>
      </c>
      <c r="T93" s="1778">
        <f>SUM(T6:T92)</f>
        <v>136391172314.3602</v>
      </c>
      <c r="U93" s="1779">
        <f t="shared" ref="U93" si="58">IFERROR(T93/S93,)</f>
        <v>59547449.41486194</v>
      </c>
      <c r="V93" s="1773">
        <f>SUM(V6:V92)</f>
        <v>2303.1499999999996</v>
      </c>
      <c r="W93" s="1778">
        <f>SUM(W6:W92)</f>
        <v>147668476336.17694</v>
      </c>
      <c r="X93" s="1779">
        <f t="shared" ref="X93" si="59">IFERROR(W93/V93,)</f>
        <v>64115874.491968378</v>
      </c>
      <c r="Y93" s="1773">
        <f>SUM(Y6:Y92)</f>
        <v>2611.2324999999996</v>
      </c>
      <c r="Z93" s="1778">
        <f>SUM(Z6:Z92)</f>
        <v>194408579878.03726</v>
      </c>
      <c r="AA93" s="1779">
        <f t="shared" ref="AA93" si="60">IFERROR(Z93/Y93,)</f>
        <v>74450888.566237316</v>
      </c>
      <c r="AB93" s="1773">
        <f>SUM(AB6:AB92)</f>
        <v>2932.67</v>
      </c>
      <c r="AC93" s="1778">
        <f>SUM(AC6:AC92)</f>
        <v>219677721654.2879</v>
      </c>
      <c r="AD93" s="1780">
        <f t="shared" ref="AD93" si="61">IFERROR(AC93/AB93,)</f>
        <v>74907071.594924733</v>
      </c>
      <c r="AE93" s="1778">
        <f>SUM(AE6:AE92)</f>
        <v>1306982353</v>
      </c>
      <c r="AF93" s="1778">
        <f>SUM(AF6:AF92)</f>
        <v>1434482546</v>
      </c>
      <c r="AG93" s="1778">
        <f>SUM(AG6:AG92)</f>
        <v>1688613714</v>
      </c>
      <c r="AH93" s="1778">
        <f>SUM(AH6:AH92)</f>
        <v>58001178479.750641</v>
      </c>
      <c r="AI93" s="1778">
        <f t="shared" ref="AI93:AL93" si="62">SUM(AI6:AI92)</f>
        <v>76680689349.037064</v>
      </c>
      <c r="AJ93" s="1778">
        <f t="shared" si="62"/>
        <v>83020919671.263962</v>
      </c>
      <c r="AK93" s="1778">
        <f t="shared" si="62"/>
        <v>109298744687.49384</v>
      </c>
      <c r="AL93" s="1779">
        <f t="shared" si="62"/>
        <v>123505347488.70343</v>
      </c>
      <c r="AM93" s="1781">
        <f>32068789145.8134/(H185-AM104)</f>
        <v>0.52559379038246212</v>
      </c>
      <c r="AN93" s="1781">
        <f>47680799236.4184/(K185-AN104)</f>
        <v>0.58682063238907378</v>
      </c>
      <c r="AO93" s="1781">
        <f>51796935540.8437/(N185-AO104)</f>
        <v>0.57422016027098266</v>
      </c>
      <c r="AP93" s="1782">
        <f>AVERAGE(AM93:AO93)</f>
        <v>0.56221152768083948</v>
      </c>
      <c r="AQ93" s="1742">
        <f t="shared" ref="AQ93:AR93" si="63">SUM(AQ6:AQ92)</f>
        <v>1214870655.405</v>
      </c>
      <c r="AR93" s="1742">
        <f t="shared" si="63"/>
        <v>1897496743.4349</v>
      </c>
    </row>
    <row r="94" spans="2:44" hidden="1" x14ac:dyDescent="0.3">
      <c r="B94" s="1783"/>
      <c r="C94" s="1783"/>
      <c r="D94" s="1783"/>
      <c r="E94" s="1783"/>
      <c r="F94" s="1784"/>
      <c r="G94" s="1783"/>
      <c r="H94" s="1783"/>
      <c r="I94" s="1783"/>
      <c r="J94" s="1783"/>
      <c r="K94" s="1783"/>
      <c r="L94" s="1783"/>
      <c r="M94" s="1783"/>
      <c r="N94" s="1783"/>
      <c r="O94" s="1783"/>
      <c r="P94" s="1783"/>
      <c r="Q94" s="1783"/>
      <c r="R94" s="1783"/>
      <c r="S94" s="1783"/>
      <c r="T94" s="1783"/>
      <c r="U94" s="1783"/>
      <c r="V94" s="1783"/>
      <c r="W94" s="1783"/>
      <c r="X94" s="1783"/>
      <c r="Y94" s="1783"/>
      <c r="Z94" s="1783"/>
      <c r="AA94" s="1783"/>
      <c r="AB94" s="1783"/>
      <c r="AC94" s="1783"/>
      <c r="AD94" s="1783"/>
      <c r="AE94" s="1785"/>
      <c r="AF94" s="1785"/>
      <c r="AG94" s="1785"/>
      <c r="AH94" s="1785"/>
      <c r="AI94" s="1785"/>
      <c r="AJ94" s="1785"/>
      <c r="AK94" s="1785"/>
      <c r="AL94" s="1785"/>
      <c r="AM94" s="1785"/>
      <c r="AN94" s="1785"/>
      <c r="AO94" s="1785"/>
      <c r="AP94" s="1785"/>
    </row>
    <row r="95" spans="2:44" hidden="1" x14ac:dyDescent="0.3">
      <c r="B95" s="1784"/>
      <c r="C95" s="1784"/>
      <c r="D95" s="1784"/>
      <c r="E95" s="1784"/>
      <c r="F95" s="1784"/>
      <c r="G95" s="1784"/>
      <c r="H95" s="1784"/>
      <c r="I95" s="1784"/>
      <c r="J95" s="1784"/>
      <c r="K95" s="1784"/>
      <c r="L95" s="1784"/>
      <c r="M95" s="1784"/>
      <c r="N95" s="1784"/>
      <c r="O95" s="1784"/>
      <c r="P95" s="1784"/>
      <c r="Q95" s="1784"/>
      <c r="R95" s="1784"/>
      <c r="S95" s="1784"/>
      <c r="T95" s="1784"/>
      <c r="U95" s="1784"/>
      <c r="V95" s="1784"/>
      <c r="W95" s="1784"/>
      <c r="X95" s="1784"/>
      <c r="Y95" s="1784"/>
      <c r="Z95" s="1784"/>
      <c r="AA95" s="1784"/>
      <c r="AB95" s="1784"/>
      <c r="AC95" s="1784"/>
      <c r="AD95" s="1784"/>
      <c r="AE95" s="1785"/>
      <c r="AF95" s="1785"/>
      <c r="AG95" s="1785"/>
      <c r="AH95" s="1785"/>
      <c r="AI95" s="1785"/>
      <c r="AJ95" s="1785"/>
      <c r="AK95" s="1785"/>
      <c r="AL95" s="1785"/>
      <c r="AM95" s="1785"/>
      <c r="AN95" s="1785"/>
      <c r="AO95" s="1785"/>
      <c r="AP95" s="1785"/>
    </row>
    <row r="96" spans="2:44" hidden="1" x14ac:dyDescent="0.3">
      <c r="B96" s="1784"/>
      <c r="C96" s="1784"/>
      <c r="D96" s="1784"/>
      <c r="E96" s="1784"/>
      <c r="F96" s="1784"/>
      <c r="G96" s="1784"/>
      <c r="H96" s="1784"/>
      <c r="I96" s="1784"/>
      <c r="J96" s="1784">
        <f>SUBTOTAL(9,J5:J95)</f>
        <v>2812</v>
      </c>
      <c r="K96" s="1784">
        <f>J96*1.05</f>
        <v>2952.6</v>
      </c>
      <c r="L96" s="1784"/>
      <c r="M96" s="1784">
        <f>SUBTOTAL(9,M5:M95)</f>
        <v>3008</v>
      </c>
      <c r="N96" s="1786">
        <f>M96/J96-1</f>
        <v>6.970128022759603E-2</v>
      </c>
      <c r="O96" s="1784"/>
      <c r="P96" s="1784">
        <f>SUBTOTAL(9,P5:P95)</f>
        <v>3840.7491590807522</v>
      </c>
      <c r="Q96" s="1786">
        <f>P96/M96-1</f>
        <v>0.27684480022631397</v>
      </c>
      <c r="R96" s="1784"/>
      <c r="S96" s="1784">
        <f>SUBTOTAL(9,S5:S95)</f>
        <v>4580.9240749888268</v>
      </c>
      <c r="T96" s="1786">
        <f>S96/P96-1</f>
        <v>0.19271628665414542</v>
      </c>
      <c r="U96" s="1784"/>
      <c r="V96" s="1784">
        <f>SUBTOTAL(9,V5:V95)</f>
        <v>4606.2999999999993</v>
      </c>
      <c r="W96" s="1786">
        <f>V96/S96-1</f>
        <v>5.5394773185002411E-3</v>
      </c>
      <c r="X96" s="1784"/>
      <c r="Y96" s="1784">
        <f>SUBTOTAL(9,Y5:Y95)</f>
        <v>5222.4649999999992</v>
      </c>
      <c r="Z96" s="1786">
        <f>Y96/V96-1</f>
        <v>0.13376571217680144</v>
      </c>
      <c r="AA96" s="1784"/>
      <c r="AB96" s="1784">
        <f>SUBTOTAL(9,AB5:AB95)</f>
        <v>5865.34</v>
      </c>
      <c r="AC96" s="1786">
        <f>AB96/Y96-1</f>
        <v>0.12309800065677812</v>
      </c>
      <c r="AD96" s="1784"/>
      <c r="AE96" s="1785"/>
      <c r="AF96" s="1785"/>
      <c r="AG96" s="1785"/>
      <c r="AH96" s="1785"/>
      <c r="AI96" s="1785"/>
      <c r="AJ96" s="1785"/>
      <c r="AK96" s="1785"/>
      <c r="AL96" s="1785"/>
      <c r="AM96" s="1785"/>
      <c r="AN96" s="1785"/>
      <c r="AO96" s="1785"/>
      <c r="AP96" s="1785"/>
    </row>
    <row r="97" spans="2:47" hidden="1" x14ac:dyDescent="0.3">
      <c r="B97" s="1784"/>
      <c r="C97" s="1784"/>
      <c r="D97" s="1784"/>
      <c r="E97" s="1784"/>
      <c r="F97" s="1784"/>
      <c r="G97" s="1784"/>
      <c r="H97" s="1784"/>
      <c r="I97" s="1784"/>
      <c r="J97" s="1784"/>
      <c r="K97" s="1784"/>
      <c r="L97" s="1784"/>
      <c r="M97" s="1784">
        <f>SUM(M58:M69)</f>
        <v>191</v>
      </c>
      <c r="N97" s="1784"/>
      <c r="O97" s="1784"/>
      <c r="P97" s="1784">
        <f>SUM(P58:P69)</f>
        <v>194</v>
      </c>
      <c r="Q97" s="1784"/>
      <c r="R97" s="1784"/>
      <c r="S97" s="1784">
        <f>SUM(S58:S69)</f>
        <v>253.14999999999998</v>
      </c>
      <c r="T97" s="1784"/>
      <c r="U97" s="1784"/>
      <c r="V97" s="1784">
        <f>SUM(V58:V69)</f>
        <v>230.54999999999998</v>
      </c>
      <c r="W97" s="1784"/>
      <c r="X97" s="1784"/>
      <c r="Y97" s="1784">
        <f>SUM(Y58:Y69)</f>
        <v>389.37249999999995</v>
      </c>
      <c r="Z97" s="1784"/>
      <c r="AA97" s="1784"/>
      <c r="AB97" s="1784">
        <f>SUM(AB58:AB69)</f>
        <v>363.67</v>
      </c>
      <c r="AC97" s="1784"/>
      <c r="AD97" s="1784"/>
      <c r="AE97" s="1785"/>
      <c r="AF97" s="1785"/>
      <c r="AG97" s="1785"/>
      <c r="AH97" s="1785"/>
      <c r="AI97" s="1785"/>
      <c r="AJ97" s="1785"/>
      <c r="AK97" s="1785"/>
      <c r="AL97" s="1785"/>
      <c r="AM97" s="1785"/>
      <c r="AN97" s="1785"/>
      <c r="AO97" s="1785"/>
      <c r="AP97" s="1785"/>
    </row>
    <row r="98" spans="2:47" hidden="1" x14ac:dyDescent="0.3">
      <c r="B98" s="1784"/>
      <c r="C98" s="1784"/>
      <c r="D98" s="1784"/>
      <c r="E98" s="1784"/>
      <c r="F98" s="1784"/>
      <c r="G98" s="1784"/>
      <c r="H98" s="1784"/>
      <c r="I98" s="1784"/>
      <c r="J98" s="1784"/>
      <c r="K98" s="1784"/>
      <c r="L98" s="1784"/>
      <c r="M98" s="1784">
        <v>400</v>
      </c>
      <c r="N98" s="1784"/>
      <c r="O98" s="1784"/>
      <c r="P98" s="1784">
        <v>400</v>
      </c>
      <c r="Q98" s="1784"/>
      <c r="R98" s="1784"/>
      <c r="S98" s="1784">
        <v>500</v>
      </c>
      <c r="T98" s="1784"/>
      <c r="U98" s="1784"/>
      <c r="V98" s="1784">
        <f>P98</f>
        <v>400</v>
      </c>
      <c r="W98" s="1784"/>
      <c r="X98" s="1784"/>
      <c r="Y98" s="1784">
        <f>S98</f>
        <v>500</v>
      </c>
      <c r="Z98" s="1784"/>
      <c r="AA98" s="1784"/>
      <c r="AB98" s="1784">
        <f>V98</f>
        <v>400</v>
      </c>
      <c r="AC98" s="1784"/>
      <c r="AD98" s="1784"/>
      <c r="AE98" s="1785"/>
      <c r="AF98" s="1785"/>
      <c r="AG98" s="1785"/>
      <c r="AH98" s="1785"/>
      <c r="AI98" s="1785"/>
      <c r="AJ98" s="1785"/>
      <c r="AK98" s="1785"/>
      <c r="AL98" s="1785"/>
      <c r="AM98" s="1785"/>
      <c r="AN98" s="1785"/>
      <c r="AO98" s="1785"/>
      <c r="AP98" s="1785"/>
    </row>
    <row r="99" spans="2:47" hidden="1" x14ac:dyDescent="0.3">
      <c r="B99" s="1784"/>
      <c r="C99" s="1784"/>
      <c r="D99" s="1784"/>
      <c r="E99" s="1784"/>
      <c r="F99" s="1784"/>
      <c r="G99" s="1784"/>
      <c r="H99" s="1784"/>
      <c r="I99" s="1784"/>
      <c r="J99" s="1784"/>
      <c r="K99" s="1784"/>
      <c r="L99" s="1784"/>
      <c r="M99" s="1784">
        <f>M97/M98</f>
        <v>0.47749999999999998</v>
      </c>
      <c r="N99" s="1784"/>
      <c r="O99" s="1784"/>
      <c r="P99" s="1784">
        <f>P97/P98</f>
        <v>0.48499999999999999</v>
      </c>
      <c r="Q99" s="1784"/>
      <c r="R99" s="1784"/>
      <c r="S99" s="1784">
        <f>S97/S98</f>
        <v>0.50629999999999997</v>
      </c>
      <c r="T99" s="1784"/>
      <c r="U99" s="1784"/>
      <c r="V99" s="1784">
        <f>V97/V98</f>
        <v>0.57637499999999997</v>
      </c>
      <c r="W99" s="1784"/>
      <c r="X99" s="1784"/>
      <c r="Y99" s="1784">
        <f>Y97/Y98</f>
        <v>0.77874499999999991</v>
      </c>
      <c r="Z99" s="1784"/>
      <c r="AA99" s="1784"/>
      <c r="AB99" s="1784">
        <f>AB97/AB98</f>
        <v>0.90917500000000007</v>
      </c>
      <c r="AC99" s="1784"/>
      <c r="AD99" s="1784"/>
      <c r="AE99" s="1785"/>
      <c r="AF99" s="1785"/>
      <c r="AG99" s="1785"/>
      <c r="AH99" s="1785"/>
      <c r="AI99" s="1785"/>
      <c r="AJ99" s="1785"/>
      <c r="AK99" s="1785"/>
      <c r="AL99" s="1785"/>
      <c r="AM99" s="1785"/>
      <c r="AN99" s="1785"/>
      <c r="AO99" s="1785"/>
      <c r="AP99" s="1785"/>
    </row>
    <row r="100" spans="2:47" hidden="1" x14ac:dyDescent="0.3">
      <c r="B100" s="1784"/>
      <c r="C100" s="1784"/>
      <c r="D100" s="1784"/>
      <c r="E100" s="1784"/>
      <c r="F100" s="1784"/>
      <c r="G100" s="1784"/>
      <c r="H100" s="1784"/>
      <c r="I100" s="1784"/>
      <c r="J100" s="1784">
        <v>1100</v>
      </c>
      <c r="K100" s="1784"/>
      <c r="L100" s="1784"/>
      <c r="M100" s="1784">
        <v>1100</v>
      </c>
      <c r="N100" s="1784"/>
      <c r="O100" s="1784"/>
      <c r="P100" s="1784">
        <f>M100</f>
        <v>1100</v>
      </c>
      <c r="Q100" s="1784"/>
      <c r="R100" s="1784"/>
      <c r="S100" s="1784">
        <f>P100</f>
        <v>1100</v>
      </c>
      <c r="T100" s="1784"/>
      <c r="U100" s="1784"/>
      <c r="V100" s="1784">
        <f>S100</f>
        <v>1100</v>
      </c>
      <c r="W100" s="1784"/>
      <c r="X100" s="1784"/>
      <c r="Y100" s="1784">
        <f>V100</f>
        <v>1100</v>
      </c>
      <c r="Z100" s="1784"/>
      <c r="AA100" s="1784"/>
      <c r="AB100" s="1784">
        <f>Y100</f>
        <v>1100</v>
      </c>
      <c r="AC100" s="1784"/>
      <c r="AD100" s="1784"/>
      <c r="AE100" s="1785"/>
      <c r="AF100" s="1785"/>
      <c r="AG100" s="1785"/>
      <c r="AH100" s="1785"/>
      <c r="AI100" s="1785"/>
      <c r="AJ100" s="1785"/>
      <c r="AK100" s="1785"/>
      <c r="AL100" s="1785"/>
      <c r="AM100" s="1785"/>
      <c r="AN100" s="1785"/>
      <c r="AO100" s="1785"/>
      <c r="AP100" s="1785"/>
    </row>
    <row r="101" spans="2:47" hidden="1" x14ac:dyDescent="0.3">
      <c r="B101" s="1784"/>
      <c r="C101" s="1784"/>
      <c r="D101" s="1784"/>
      <c r="E101" s="1784"/>
      <c r="F101" s="1784"/>
      <c r="G101" s="1784"/>
      <c r="H101" s="1784"/>
      <c r="I101" s="1784"/>
      <c r="J101" s="1784"/>
      <c r="K101" s="1784"/>
      <c r="L101" s="1784"/>
      <c r="M101" s="1784"/>
      <c r="N101" s="1784"/>
      <c r="O101" s="1784"/>
      <c r="P101" s="1784"/>
      <c r="Q101" s="1784"/>
      <c r="R101" s="1784"/>
      <c r="S101" s="1784"/>
      <c r="T101" s="1784"/>
      <c r="U101" s="1784"/>
      <c r="V101" s="1784"/>
      <c r="W101" s="1784"/>
      <c r="X101" s="1784"/>
      <c r="Y101" s="1784"/>
      <c r="Z101" s="1784"/>
      <c r="AA101" s="1784"/>
      <c r="AB101" s="1784"/>
      <c r="AC101" s="1784"/>
      <c r="AD101" s="1784"/>
      <c r="AE101" s="1785"/>
      <c r="AF101" s="1785"/>
      <c r="AG101" s="1785"/>
      <c r="AH101" s="1785"/>
      <c r="AI101" s="1785"/>
      <c r="AJ101" s="1785"/>
      <c r="AK101" s="1785"/>
      <c r="AL101" s="1785"/>
      <c r="AM101" s="1785"/>
      <c r="AN101" s="1785"/>
      <c r="AO101" s="1785"/>
      <c r="AP101" s="1785"/>
    </row>
    <row r="102" spans="2:47" hidden="1" x14ac:dyDescent="0.3">
      <c r="B102" s="1784"/>
      <c r="C102" s="1784"/>
      <c r="D102" s="1784"/>
      <c r="E102" s="1784"/>
      <c r="F102" s="1784"/>
      <c r="G102" s="1784"/>
      <c r="H102" s="1784"/>
      <c r="I102" s="1784"/>
      <c r="J102" s="1784"/>
      <c r="K102" s="1784"/>
      <c r="L102" s="1784"/>
      <c r="M102" s="1784"/>
      <c r="N102" s="1784"/>
      <c r="O102" s="1784"/>
      <c r="P102" s="1784"/>
      <c r="Q102" s="1784"/>
      <c r="R102" s="1784"/>
      <c r="S102" s="1784"/>
      <c r="T102" s="1784"/>
      <c r="U102" s="1784"/>
      <c r="V102" s="1784"/>
      <c r="W102" s="1784"/>
      <c r="X102" s="1784"/>
      <c r="Y102" s="1784"/>
      <c r="Z102" s="1784"/>
      <c r="AA102" s="1784"/>
      <c r="AB102" s="1784"/>
      <c r="AC102" s="1784"/>
      <c r="AD102" s="1784"/>
      <c r="AE102" s="1785"/>
      <c r="AF102" s="1785"/>
      <c r="AG102" s="1785"/>
      <c r="AH102" s="1785"/>
      <c r="AI102" s="1785"/>
      <c r="AJ102" s="1785"/>
      <c r="AK102" s="1785"/>
      <c r="AL102" s="1785"/>
      <c r="AM102" s="1785"/>
      <c r="AN102" s="1785"/>
      <c r="AO102" s="1785"/>
      <c r="AP102" s="1785"/>
    </row>
    <row r="103" spans="2:47" hidden="1" x14ac:dyDescent="0.3">
      <c r="B103" s="1784"/>
      <c r="C103" s="1784"/>
      <c r="D103" s="1784"/>
      <c r="E103" s="1784"/>
      <c r="F103" s="1784"/>
      <c r="G103" s="1784"/>
      <c r="H103" s="1784"/>
      <c r="I103" s="1784"/>
      <c r="J103" s="1784"/>
      <c r="K103" s="1784"/>
      <c r="L103" s="1784"/>
      <c r="M103" s="1784"/>
      <c r="N103" s="1784"/>
      <c r="O103" s="1784"/>
      <c r="P103" s="1784"/>
      <c r="Q103" s="1784"/>
      <c r="R103" s="1784"/>
      <c r="S103" s="1784"/>
      <c r="T103" s="1784"/>
      <c r="U103" s="1784"/>
      <c r="V103" s="1784"/>
      <c r="W103" s="1784"/>
      <c r="X103" s="1784"/>
      <c r="Y103" s="1784"/>
      <c r="Z103" s="1784"/>
      <c r="AA103" s="1784"/>
      <c r="AB103" s="1784"/>
      <c r="AC103" s="1784"/>
      <c r="AD103" s="1784"/>
      <c r="AE103" s="1785"/>
      <c r="AF103" s="1785"/>
      <c r="AG103" s="1785"/>
      <c r="AH103" s="1785"/>
      <c r="AI103" s="1785"/>
      <c r="AJ103" s="1785"/>
      <c r="AK103" s="1785"/>
      <c r="AL103" s="1785"/>
      <c r="AM103" s="1785"/>
      <c r="AN103" s="1785"/>
      <c r="AO103" s="1785"/>
      <c r="AP103" s="1785"/>
    </row>
    <row r="104" spans="2:47" s="1785" customFormat="1" x14ac:dyDescent="0.3">
      <c r="K104" s="1785">
        <f>K93/H93-1</f>
        <v>0.43241129899287412</v>
      </c>
      <c r="N104" s="1785">
        <f>N93/K93-1</f>
        <v>7.5015330217672593E-2</v>
      </c>
      <c r="Q104" s="1785">
        <f>Q93/N93-1</f>
        <v>0.31454761854451285</v>
      </c>
      <c r="T104" s="1785">
        <f>T93/Q93-1</f>
        <v>0.32205398853762635</v>
      </c>
      <c r="W104" s="1785">
        <f>W93/T93-1</f>
        <v>8.2683533182223323E-2</v>
      </c>
      <c r="Z104" s="1785">
        <f>Z93/W93-1</f>
        <v>0.31652052422788879</v>
      </c>
      <c r="AC104" s="1785">
        <f>AC93/Z93-1</f>
        <v>0.12997956053227333</v>
      </c>
      <c r="AM104" s="1787">
        <f>매출원가!E48*1000000</f>
        <v>952346945</v>
      </c>
      <c r="AN104" s="1787">
        <f>매출원가!F48*1000000</f>
        <v>235465363</v>
      </c>
      <c r="AO104" s="1787">
        <f>매출원가!G48*1000000</f>
        <v>2130000000</v>
      </c>
    </row>
    <row r="105" spans="2:47" s="1785" customFormat="1" ht="14.25" thickBot="1" x14ac:dyDescent="0.35">
      <c r="J105" s="1787"/>
      <c r="K105" s="1787"/>
      <c r="M105" s="1788"/>
      <c r="N105" s="1788"/>
      <c r="O105" s="1789">
        <f>O93/L93-1</f>
        <v>4.9677887540211518E-3</v>
      </c>
      <c r="R105" s="1789">
        <f>R93/O93-1</f>
        <v>2.9528113605910677E-2</v>
      </c>
      <c r="U105" s="1789">
        <f>U93/R93-1</f>
        <v>0.10843962083078784</v>
      </c>
      <c r="X105" s="1789">
        <f>X93/U93-1</f>
        <v>7.671907230280528E-2</v>
      </c>
      <c r="AA105" s="1789">
        <f>AA93/X93-1</f>
        <v>0.16119274916173176</v>
      </c>
      <c r="AD105" s="1789">
        <f>AD93/AA93-1</f>
        <v>6.1273013320930492E-3</v>
      </c>
      <c r="AE105" s="1789"/>
      <c r="AF105" s="1789"/>
      <c r="AG105" s="1789"/>
      <c r="AH105" s="1789"/>
      <c r="AI105" s="1789"/>
      <c r="AJ105" s="1789"/>
      <c r="AK105" s="1789"/>
      <c r="AL105" s="1789"/>
      <c r="AM105" s="1789"/>
      <c r="AN105" s="1789"/>
      <c r="AO105" s="1789"/>
      <c r="AP105" s="1789"/>
    </row>
    <row r="106" spans="2:47" x14ac:dyDescent="0.3">
      <c r="B106" s="1717" t="s">
        <v>7725</v>
      </c>
      <c r="C106" s="1718"/>
      <c r="D106" s="1718" t="s">
        <v>7597</v>
      </c>
      <c r="E106" s="1719" t="s">
        <v>7726</v>
      </c>
      <c r="F106" s="1720"/>
      <c r="G106" s="1884" t="s">
        <v>7599</v>
      </c>
      <c r="H106" s="1885"/>
      <c r="I106" s="1886"/>
      <c r="J106" s="1884" t="s">
        <v>7600</v>
      </c>
      <c r="K106" s="1885"/>
      <c r="L106" s="1886"/>
      <c r="M106" s="1884" t="s">
        <v>7601</v>
      </c>
      <c r="N106" s="1885"/>
      <c r="O106" s="1886"/>
      <c r="P106" s="1884" t="s">
        <v>7602</v>
      </c>
      <c r="Q106" s="1885"/>
      <c r="R106" s="1886"/>
      <c r="S106" s="1884" t="s">
        <v>7603</v>
      </c>
      <c r="T106" s="1885"/>
      <c r="U106" s="1886"/>
      <c r="V106" s="1884" t="s">
        <v>7727</v>
      </c>
      <c r="W106" s="1885"/>
      <c r="X106" s="1886"/>
      <c r="Y106" s="1884" t="s">
        <v>7605</v>
      </c>
      <c r="Z106" s="1885"/>
      <c r="AA106" s="1886"/>
      <c r="AB106" s="1884" t="s">
        <v>7728</v>
      </c>
      <c r="AC106" s="1885"/>
      <c r="AD106" s="1886"/>
      <c r="AE106" s="1884" t="s">
        <v>7729</v>
      </c>
      <c r="AF106" s="1885"/>
      <c r="AG106" s="1885"/>
      <c r="AH106" s="1885"/>
      <c r="AI106" s="1885"/>
      <c r="AJ106" s="1885"/>
      <c r="AK106" s="1885"/>
      <c r="AL106" s="1886"/>
      <c r="AM106" s="1721"/>
      <c r="AN106" s="1721"/>
      <c r="AO106" s="1721"/>
      <c r="AP106" s="1721"/>
    </row>
    <row r="107" spans="2:47" ht="12.75" thickBot="1" x14ac:dyDescent="0.35">
      <c r="B107" s="1722" t="s">
        <v>7607</v>
      </c>
      <c r="C107" s="1723" t="s">
        <v>7608</v>
      </c>
      <c r="D107" s="1723" t="s">
        <v>7609</v>
      </c>
      <c r="E107" s="1724" t="s">
        <v>7610</v>
      </c>
      <c r="F107" s="1725" t="s">
        <v>7611</v>
      </c>
      <c r="G107" s="1726" t="s">
        <v>7612</v>
      </c>
      <c r="H107" s="1727" t="s">
        <v>7613</v>
      </c>
      <c r="I107" s="1728" t="s">
        <v>7614</v>
      </c>
      <c r="J107" s="1726" t="s">
        <v>7612</v>
      </c>
      <c r="K107" s="1727" t="s">
        <v>7613</v>
      </c>
      <c r="L107" s="1728" t="s">
        <v>7730</v>
      </c>
      <c r="M107" s="1726" t="s">
        <v>7612</v>
      </c>
      <c r="N107" s="1729" t="s">
        <v>7613</v>
      </c>
      <c r="O107" s="1730" t="s">
        <v>7614</v>
      </c>
      <c r="P107" s="1726" t="s">
        <v>7612</v>
      </c>
      <c r="Q107" s="1729" t="s">
        <v>7613</v>
      </c>
      <c r="R107" s="1730" t="s">
        <v>7731</v>
      </c>
      <c r="S107" s="1726" t="s">
        <v>7612</v>
      </c>
      <c r="T107" s="1729" t="s">
        <v>7613</v>
      </c>
      <c r="U107" s="1730" t="s">
        <v>7614</v>
      </c>
      <c r="V107" s="1726" t="s">
        <v>7612</v>
      </c>
      <c r="W107" s="1729" t="s">
        <v>7613</v>
      </c>
      <c r="X107" s="1730" t="s">
        <v>7614</v>
      </c>
      <c r="Y107" s="1726" t="s">
        <v>7612</v>
      </c>
      <c r="Z107" s="1729" t="s">
        <v>7613</v>
      </c>
      <c r="AA107" s="1730" t="s">
        <v>7614</v>
      </c>
      <c r="AB107" s="1726" t="s">
        <v>7612</v>
      </c>
      <c r="AC107" s="1729" t="s">
        <v>7613</v>
      </c>
      <c r="AD107" s="1730" t="s">
        <v>7614</v>
      </c>
      <c r="AE107" s="1790">
        <v>2015</v>
      </c>
      <c r="AF107" s="1791">
        <v>2016</v>
      </c>
      <c r="AG107" s="1791">
        <v>2017</v>
      </c>
      <c r="AH107" s="1791">
        <v>2018</v>
      </c>
      <c r="AI107" s="1791">
        <v>2019</v>
      </c>
      <c r="AJ107" s="1791">
        <v>2020</v>
      </c>
      <c r="AK107" s="1791">
        <v>2021</v>
      </c>
      <c r="AL107" s="1792">
        <v>2022</v>
      </c>
      <c r="AM107" s="1721"/>
      <c r="AN107" s="1721"/>
      <c r="AO107" s="1721"/>
      <c r="AP107" s="1721"/>
    </row>
    <row r="108" spans="2:47" x14ac:dyDescent="0.3">
      <c r="B108" s="1793" t="s">
        <v>2060</v>
      </c>
      <c r="C108" s="1794" t="str">
        <f>IFERROR(VLOOKUP(B108,$B$7:$D$92,2,),)</f>
        <v>활선차</v>
      </c>
      <c r="D108" s="1794"/>
      <c r="E108" s="1795" t="s">
        <v>3295</v>
      </c>
      <c r="F108" s="1776"/>
      <c r="G108" s="1796"/>
      <c r="H108" s="1794"/>
      <c r="I108" s="1797">
        <f t="shared" ref="I108:I161" si="64">IFERROR(H108/G108,)</f>
        <v>0</v>
      </c>
      <c r="J108" s="1796">
        <v>2</v>
      </c>
      <c r="K108" s="1798">
        <v>237591178</v>
      </c>
      <c r="L108" s="1797">
        <f>IFERROR(K108/J108,)</f>
        <v>118795589</v>
      </c>
      <c r="M108" s="1799">
        <v>2</v>
      </c>
      <c r="N108" s="1798">
        <v>220165222</v>
      </c>
      <c r="O108" s="1797">
        <f t="shared" ref="O108:O158" si="65">IFERROR(N108/M108,)</f>
        <v>110082611</v>
      </c>
      <c r="P108" s="1796">
        <v>0</v>
      </c>
      <c r="Q108" s="1798">
        <v>0</v>
      </c>
      <c r="R108" s="1797">
        <f t="shared" ref="R108:R158" si="66">IFERROR(Q108/P108,)</f>
        <v>0</v>
      </c>
      <c r="S108" s="1796">
        <v>0</v>
      </c>
      <c r="T108" s="1798">
        <v>0</v>
      </c>
      <c r="U108" s="1797">
        <f t="shared" ref="U108:U158" si="67">IFERROR(T108/S108,)</f>
        <v>0</v>
      </c>
      <c r="V108" s="1796">
        <v>0</v>
      </c>
      <c r="W108" s="1798">
        <v>0</v>
      </c>
      <c r="X108" s="1797">
        <f t="shared" ref="X108:X158" si="68">IFERROR(W108/V108,)</f>
        <v>0</v>
      </c>
      <c r="Y108" s="1796">
        <v>0</v>
      </c>
      <c r="Z108" s="1798">
        <v>0</v>
      </c>
      <c r="AA108" s="1797">
        <f t="shared" ref="AA108:AA158" si="69">IFERROR(Z108/Y108,)</f>
        <v>0</v>
      </c>
      <c r="AB108" s="1796">
        <v>0</v>
      </c>
      <c r="AC108" s="1798">
        <v>0</v>
      </c>
      <c r="AD108" s="1800">
        <f t="shared" ref="AD108:AD158" si="70">IFERROR(AC108/AB108,)</f>
        <v>0</v>
      </c>
      <c r="AE108" s="1801"/>
      <c r="AF108" s="1802"/>
      <c r="AG108" s="1802"/>
      <c r="AH108" s="1802">
        <f t="shared" ref="AH108:AH161" si="71">Q108*$AP$93</f>
        <v>0</v>
      </c>
      <c r="AI108" s="1802">
        <f t="shared" ref="AI108:AI161" si="72">T108*$AP$93</f>
        <v>0</v>
      </c>
      <c r="AJ108" s="1802">
        <f t="shared" ref="AJ108:AJ161" si="73">W108*$AP$93</f>
        <v>0</v>
      </c>
      <c r="AK108" s="1802">
        <f t="shared" ref="AK108:AK161" si="74">Z108*$AP$93</f>
        <v>0</v>
      </c>
      <c r="AL108" s="1803">
        <f t="shared" ref="AL108:AL161" si="75">AC108*$AP$93</f>
        <v>0</v>
      </c>
      <c r="AM108" s="1742"/>
      <c r="AN108" s="1742"/>
      <c r="AO108" s="1742"/>
      <c r="AP108" s="1742"/>
      <c r="AT108" s="489"/>
      <c r="AU108" s="489"/>
    </row>
    <row r="109" spans="2:47" x14ac:dyDescent="0.3">
      <c r="B109" s="1804" t="s">
        <v>2050</v>
      </c>
      <c r="C109" s="1784" t="str">
        <f t="shared" ref="C109:C161" si="76">IFERROR(VLOOKUP(B109,$B$7:$D$92,2,),)</f>
        <v>고소작업차</v>
      </c>
      <c r="D109" s="1784"/>
      <c r="E109" s="1805" t="s">
        <v>7732</v>
      </c>
      <c r="F109" s="1776"/>
      <c r="G109" s="1737"/>
      <c r="H109" s="1784"/>
      <c r="I109" s="1739">
        <f t="shared" si="64"/>
        <v>0</v>
      </c>
      <c r="J109" s="1737">
        <v>2</v>
      </c>
      <c r="K109" s="1738">
        <v>156313717</v>
      </c>
      <c r="L109" s="1739">
        <f t="shared" ref="L109:L158" si="77">IFERROR(K109/J109,)</f>
        <v>78156858.5</v>
      </c>
      <c r="M109" s="1806"/>
      <c r="N109" s="1738"/>
      <c r="O109" s="1739">
        <f t="shared" si="65"/>
        <v>0</v>
      </c>
      <c r="P109" s="1737">
        <v>0</v>
      </c>
      <c r="Q109" s="1738">
        <v>0</v>
      </c>
      <c r="R109" s="1739">
        <f t="shared" si="66"/>
        <v>0</v>
      </c>
      <c r="S109" s="1737">
        <v>0</v>
      </c>
      <c r="T109" s="1738">
        <v>0</v>
      </c>
      <c r="U109" s="1739">
        <f t="shared" si="67"/>
        <v>0</v>
      </c>
      <c r="V109" s="1737">
        <v>0</v>
      </c>
      <c r="W109" s="1738">
        <v>0</v>
      </c>
      <c r="X109" s="1739">
        <f t="shared" si="68"/>
        <v>0</v>
      </c>
      <c r="Y109" s="1737">
        <v>0</v>
      </c>
      <c r="Z109" s="1738">
        <v>0</v>
      </c>
      <c r="AA109" s="1739">
        <f t="shared" si="69"/>
        <v>0</v>
      </c>
      <c r="AB109" s="1737">
        <v>0</v>
      </c>
      <c r="AC109" s="1738">
        <v>0</v>
      </c>
      <c r="AD109" s="1741">
        <f t="shared" si="70"/>
        <v>0</v>
      </c>
      <c r="AE109" s="1740"/>
      <c r="AF109" s="1738"/>
      <c r="AG109" s="1738"/>
      <c r="AH109" s="1738">
        <f t="shared" si="71"/>
        <v>0</v>
      </c>
      <c r="AI109" s="1738">
        <f t="shared" si="72"/>
        <v>0</v>
      </c>
      <c r="AJ109" s="1738">
        <f t="shared" si="73"/>
        <v>0</v>
      </c>
      <c r="AK109" s="1738">
        <f t="shared" si="74"/>
        <v>0</v>
      </c>
      <c r="AL109" s="1739">
        <f t="shared" si="75"/>
        <v>0</v>
      </c>
      <c r="AM109" s="1742"/>
      <c r="AN109" s="1742"/>
      <c r="AO109" s="1742"/>
      <c r="AP109" s="1742"/>
      <c r="AT109" s="489"/>
      <c r="AU109" s="489"/>
    </row>
    <row r="110" spans="2:47" x14ac:dyDescent="0.3">
      <c r="B110" s="1804" t="s">
        <v>2061</v>
      </c>
      <c r="C110" s="1784" t="str">
        <f t="shared" si="76"/>
        <v>활선차</v>
      </c>
      <c r="D110" s="1784"/>
      <c r="E110" s="1805" t="s">
        <v>7732</v>
      </c>
      <c r="F110" s="1776"/>
      <c r="G110" s="1737"/>
      <c r="H110" s="1784"/>
      <c r="I110" s="1739">
        <f t="shared" si="64"/>
        <v>0</v>
      </c>
      <c r="J110" s="1737">
        <v>1</v>
      </c>
      <c r="K110" s="1738">
        <v>98397915</v>
      </c>
      <c r="L110" s="1739">
        <f t="shared" si="77"/>
        <v>98397915</v>
      </c>
      <c r="M110" s="1806">
        <v>3</v>
      </c>
      <c r="N110" s="1738">
        <v>272224800</v>
      </c>
      <c r="O110" s="1739">
        <f t="shared" si="65"/>
        <v>90741600</v>
      </c>
      <c r="P110" s="1737">
        <v>0</v>
      </c>
      <c r="Q110" s="1738">
        <v>0</v>
      </c>
      <c r="R110" s="1739">
        <f t="shared" si="66"/>
        <v>0</v>
      </c>
      <c r="S110" s="1737">
        <v>0</v>
      </c>
      <c r="T110" s="1738">
        <v>0</v>
      </c>
      <c r="U110" s="1739">
        <f t="shared" si="67"/>
        <v>0</v>
      </c>
      <c r="V110" s="1737">
        <v>0</v>
      </c>
      <c r="W110" s="1738">
        <v>0</v>
      </c>
      <c r="X110" s="1739">
        <f t="shared" si="68"/>
        <v>0</v>
      </c>
      <c r="Y110" s="1737">
        <v>0</v>
      </c>
      <c r="Z110" s="1738">
        <v>0</v>
      </c>
      <c r="AA110" s="1739">
        <f t="shared" si="69"/>
        <v>0</v>
      </c>
      <c r="AB110" s="1737">
        <v>0</v>
      </c>
      <c r="AC110" s="1738">
        <v>0</v>
      </c>
      <c r="AD110" s="1741">
        <f t="shared" si="70"/>
        <v>0</v>
      </c>
      <c r="AE110" s="1740"/>
      <c r="AF110" s="1738"/>
      <c r="AG110" s="1738"/>
      <c r="AH110" s="1738">
        <f t="shared" si="71"/>
        <v>0</v>
      </c>
      <c r="AI110" s="1738">
        <f t="shared" si="72"/>
        <v>0</v>
      </c>
      <c r="AJ110" s="1738">
        <f t="shared" si="73"/>
        <v>0</v>
      </c>
      <c r="AK110" s="1738">
        <f t="shared" si="74"/>
        <v>0</v>
      </c>
      <c r="AL110" s="1739">
        <f t="shared" si="75"/>
        <v>0</v>
      </c>
      <c r="AM110" s="1742"/>
      <c r="AN110" s="1742"/>
      <c r="AO110" s="1742"/>
      <c r="AP110" s="1742"/>
      <c r="AT110" s="489"/>
      <c r="AU110" s="489"/>
    </row>
    <row r="111" spans="2:47" x14ac:dyDescent="0.3">
      <c r="B111" s="1804" t="s">
        <v>2062</v>
      </c>
      <c r="C111" s="1784" t="str">
        <f t="shared" si="76"/>
        <v>활선차</v>
      </c>
      <c r="D111" s="1784"/>
      <c r="E111" s="1805" t="s">
        <v>7732</v>
      </c>
      <c r="F111" s="1776"/>
      <c r="G111" s="1737"/>
      <c r="H111" s="1784"/>
      <c r="I111" s="1739">
        <f t="shared" si="64"/>
        <v>0</v>
      </c>
      <c r="J111" s="1737">
        <v>0</v>
      </c>
      <c r="K111" s="1738">
        <v>0</v>
      </c>
      <c r="L111" s="1739">
        <f t="shared" si="77"/>
        <v>0</v>
      </c>
      <c r="M111" s="1806">
        <v>3</v>
      </c>
      <c r="N111" s="1738">
        <v>359898646</v>
      </c>
      <c r="O111" s="1739">
        <f t="shared" si="65"/>
        <v>119966215.33333333</v>
      </c>
      <c r="P111" s="1737">
        <v>12</v>
      </c>
      <c r="Q111" s="1738">
        <f>P111*R111</f>
        <v>1439594584</v>
      </c>
      <c r="R111" s="1739">
        <f>O111</f>
        <v>119966215.33333333</v>
      </c>
      <c r="S111" s="1737">
        <v>15</v>
      </c>
      <c r="T111" s="1738">
        <f>S111*U111</f>
        <v>1889467891.5</v>
      </c>
      <c r="U111" s="1739">
        <f>R111*1.05</f>
        <v>125964526.09999999</v>
      </c>
      <c r="V111" s="1737">
        <v>15</v>
      </c>
      <c r="W111" s="1738">
        <f>V111*X111</f>
        <v>1983941286.075</v>
      </c>
      <c r="X111" s="1739">
        <f>U111*1.05</f>
        <v>132262752.405</v>
      </c>
      <c r="Y111" s="1737">
        <v>15</v>
      </c>
      <c r="Z111" s="1738">
        <f>Y111*AA111</f>
        <v>2083138350.3787503</v>
      </c>
      <c r="AA111" s="1739">
        <f>X111*1.05</f>
        <v>138875890.02525002</v>
      </c>
      <c r="AB111" s="1737">
        <v>15</v>
      </c>
      <c r="AC111" s="1738">
        <f>AB111*AD111</f>
        <v>2187295267.8976879</v>
      </c>
      <c r="AD111" s="1739">
        <f>AA111*1.05</f>
        <v>145819684.52651253</v>
      </c>
      <c r="AE111" s="1740"/>
      <c r="AF111" s="1738"/>
      <c r="AG111" s="1738"/>
      <c r="AH111" s="1738">
        <f t="shared" si="71"/>
        <v>809356670.31170261</v>
      </c>
      <c r="AI111" s="1738">
        <f t="shared" si="72"/>
        <v>1062280629.7841097</v>
      </c>
      <c r="AJ111" s="1738">
        <f t="shared" si="73"/>
        <v>1115394661.2733152</v>
      </c>
      <c r="AK111" s="1738">
        <f t="shared" si="74"/>
        <v>1171164394.3369811</v>
      </c>
      <c r="AL111" s="1739">
        <f t="shared" si="75"/>
        <v>1229722614.0538301</v>
      </c>
      <c r="AM111" s="1742"/>
      <c r="AN111" s="1742"/>
      <c r="AO111" s="1742"/>
      <c r="AP111" s="1742"/>
      <c r="AT111" s="489"/>
      <c r="AU111" s="489"/>
    </row>
    <row r="112" spans="2:47" x14ac:dyDescent="0.3">
      <c r="B112" s="1804" t="s">
        <v>3601</v>
      </c>
      <c r="C112" s="1784" t="str">
        <f t="shared" si="76"/>
        <v>활선차</v>
      </c>
      <c r="D112" s="1784"/>
      <c r="E112" s="1805" t="s">
        <v>7733</v>
      </c>
      <c r="F112" s="1776"/>
      <c r="G112" s="1807">
        <v>3</v>
      </c>
      <c r="H112" s="1808">
        <v>426709646</v>
      </c>
      <c r="I112" s="1739">
        <f t="shared" si="64"/>
        <v>142236548.66666666</v>
      </c>
      <c r="J112" s="1737"/>
      <c r="K112" s="1784"/>
      <c r="L112" s="1809"/>
      <c r="M112" s="1737"/>
      <c r="N112" s="1784"/>
      <c r="O112" s="1809"/>
      <c r="P112" s="1737"/>
      <c r="Q112" s="1784"/>
      <c r="R112" s="1809"/>
      <c r="S112" s="1737"/>
      <c r="T112" s="1784"/>
      <c r="U112" s="1809"/>
      <c r="V112" s="1737"/>
      <c r="W112" s="1784"/>
      <c r="X112" s="1809"/>
      <c r="Y112" s="1737"/>
      <c r="Z112" s="1784"/>
      <c r="AA112" s="1809"/>
      <c r="AB112" s="1737"/>
      <c r="AC112" s="1784"/>
      <c r="AD112" s="1810"/>
      <c r="AE112" s="1737"/>
      <c r="AF112" s="1784"/>
      <c r="AG112" s="1784"/>
      <c r="AH112" s="1738">
        <f t="shared" si="71"/>
        <v>0</v>
      </c>
      <c r="AI112" s="1738">
        <f t="shared" si="72"/>
        <v>0</v>
      </c>
      <c r="AJ112" s="1738">
        <f t="shared" si="73"/>
        <v>0</v>
      </c>
      <c r="AK112" s="1738">
        <f t="shared" si="74"/>
        <v>0</v>
      </c>
      <c r="AL112" s="1739">
        <f t="shared" si="75"/>
        <v>0</v>
      </c>
      <c r="AM112" s="1785"/>
      <c r="AN112" s="1785"/>
      <c r="AO112" s="1785"/>
      <c r="AP112" s="1785"/>
    </row>
    <row r="113" spans="2:47" x14ac:dyDescent="0.3">
      <c r="B113" s="1804" t="s">
        <v>2064</v>
      </c>
      <c r="C113" s="1784" t="str">
        <f t="shared" si="76"/>
        <v>활선차</v>
      </c>
      <c r="D113" s="1784"/>
      <c r="E113" s="1805" t="s">
        <v>7734</v>
      </c>
      <c r="F113" s="1776"/>
      <c r="G113" s="1737"/>
      <c r="H113" s="1738"/>
      <c r="I113" s="1739">
        <f t="shared" si="64"/>
        <v>0</v>
      </c>
      <c r="J113" s="1737"/>
      <c r="K113" s="1738"/>
      <c r="L113" s="1739"/>
      <c r="M113" s="1806"/>
      <c r="N113" s="1738"/>
      <c r="O113" s="1739">
        <f t="shared" si="65"/>
        <v>0</v>
      </c>
      <c r="P113" s="1737">
        <v>4</v>
      </c>
      <c r="Q113" s="1738">
        <f>P113*R113</f>
        <v>697300000</v>
      </c>
      <c r="R113" s="1739">
        <f>VLOOKUP(B113,$B$6:$R$92,17,)*0.95</f>
        <v>174325000</v>
      </c>
      <c r="S113" s="1737">
        <v>6</v>
      </c>
      <c r="T113" s="1738">
        <f>S113*U113</f>
        <v>1098247500</v>
      </c>
      <c r="U113" s="1739">
        <f>R113*1.05</f>
        <v>183041250</v>
      </c>
      <c r="V113" s="1737">
        <v>8</v>
      </c>
      <c r="W113" s="1738">
        <f>V113*X113</f>
        <v>1537546500</v>
      </c>
      <c r="X113" s="1739">
        <f>U113*1.05</f>
        <v>192193312.5</v>
      </c>
      <c r="Y113" s="1737">
        <f>V113+2</f>
        <v>10</v>
      </c>
      <c r="Z113" s="1738">
        <f>Y113*AA113</f>
        <v>2018029781.25</v>
      </c>
      <c r="AA113" s="1739">
        <f>X113*1.05</f>
        <v>201802978.125</v>
      </c>
      <c r="AB113" s="1737">
        <f>Y113+2</f>
        <v>12</v>
      </c>
      <c r="AC113" s="1738">
        <f>AB113*AD113</f>
        <v>2542717524.375</v>
      </c>
      <c r="AD113" s="1739">
        <f>AA113*1.05</f>
        <v>211893127.03125</v>
      </c>
      <c r="AE113" s="1740"/>
      <c r="AF113" s="1738"/>
      <c r="AG113" s="1738"/>
      <c r="AH113" s="1738">
        <f t="shared" si="71"/>
        <v>392030098.25184935</v>
      </c>
      <c r="AI113" s="1738">
        <f t="shared" si="72"/>
        <v>617447404.74666274</v>
      </c>
      <c r="AJ113" s="1738">
        <f t="shared" si="73"/>
        <v>864426366.64532793</v>
      </c>
      <c r="AK113" s="1738">
        <f t="shared" si="74"/>
        <v>1134559606.2219927</v>
      </c>
      <c r="AL113" s="1739">
        <f t="shared" si="75"/>
        <v>1429545103.839711</v>
      </c>
      <c r="AM113" s="1742"/>
      <c r="AN113" s="1742"/>
      <c r="AO113" s="1742"/>
      <c r="AP113" s="1742"/>
      <c r="AT113" s="489"/>
      <c r="AU113" s="489"/>
    </row>
    <row r="114" spans="2:47" x14ac:dyDescent="0.3">
      <c r="B114" s="1804" t="s">
        <v>2037</v>
      </c>
      <c r="C114" s="1856" t="s">
        <v>7777</v>
      </c>
      <c r="D114" s="1856"/>
      <c r="E114" s="1805" t="s">
        <v>7778</v>
      </c>
      <c r="F114" s="1776"/>
      <c r="G114" s="1737"/>
      <c r="H114" s="1857"/>
      <c r="I114" s="1739"/>
      <c r="J114" s="1737"/>
      <c r="K114" s="1857"/>
      <c r="L114" s="1739"/>
      <c r="M114" s="1806"/>
      <c r="N114" s="1857"/>
      <c r="O114" s="1739"/>
      <c r="P114" s="1737">
        <v>20</v>
      </c>
      <c r="Q114" s="1857">
        <f>P114*R114</f>
        <v>264000000</v>
      </c>
      <c r="R114" s="1739">
        <v>13200000</v>
      </c>
      <c r="S114" s="1737">
        <f>P114</f>
        <v>20</v>
      </c>
      <c r="T114" s="1738">
        <f>S114*U114</f>
        <v>277200000</v>
      </c>
      <c r="U114" s="1739">
        <f>R114*1.05</f>
        <v>13860000</v>
      </c>
      <c r="V114" s="1737">
        <f>S114</f>
        <v>20</v>
      </c>
      <c r="W114" s="1738">
        <f>V114*X114</f>
        <v>291060000</v>
      </c>
      <c r="X114" s="1739">
        <f>U114*1.05</f>
        <v>14553000</v>
      </c>
      <c r="Y114" s="1737">
        <f>V114</f>
        <v>20</v>
      </c>
      <c r="Z114" s="1738">
        <f>Y114*AA114</f>
        <v>305613000</v>
      </c>
      <c r="AA114" s="1739">
        <f>X114*1.05</f>
        <v>15280650</v>
      </c>
      <c r="AB114" s="1737">
        <f>Y114</f>
        <v>20</v>
      </c>
      <c r="AC114" s="1738">
        <f>AB114*AD114</f>
        <v>320893650</v>
      </c>
      <c r="AD114" s="1739">
        <f>AA114*1.05</f>
        <v>16044682.5</v>
      </c>
      <c r="AE114" s="1740"/>
      <c r="AF114" s="1857"/>
      <c r="AG114" s="1857"/>
      <c r="AH114" s="1857"/>
      <c r="AI114" s="1857"/>
      <c r="AJ114" s="1857"/>
      <c r="AK114" s="1857"/>
      <c r="AL114" s="1739"/>
      <c r="AM114" s="1742"/>
      <c r="AN114" s="1742"/>
      <c r="AO114" s="1742"/>
      <c r="AP114" s="1742"/>
      <c r="AT114" s="489"/>
      <c r="AU114" s="489"/>
    </row>
    <row r="115" spans="2:47" x14ac:dyDescent="0.3">
      <c r="B115" s="1804" t="s">
        <v>2843</v>
      </c>
      <c r="C115" s="1784" t="str">
        <f t="shared" si="76"/>
        <v>고소작업차</v>
      </c>
      <c r="D115" s="1784"/>
      <c r="E115" s="1805" t="s">
        <v>7735</v>
      </c>
      <c r="F115" s="1776"/>
      <c r="G115" s="1737"/>
      <c r="H115" s="1738"/>
      <c r="I115" s="1739">
        <f t="shared" si="64"/>
        <v>0</v>
      </c>
      <c r="J115" s="1737">
        <v>3</v>
      </c>
      <c r="K115" s="1738">
        <v>168361950</v>
      </c>
      <c r="L115" s="1739">
        <f t="shared" si="77"/>
        <v>56120650</v>
      </c>
      <c r="M115" s="1737"/>
      <c r="N115" s="1784"/>
      <c r="O115" s="1739">
        <f t="shared" si="65"/>
        <v>0</v>
      </c>
      <c r="P115" s="1737">
        <f>110-P117</f>
        <v>80</v>
      </c>
      <c r="Q115" s="1738">
        <f>P115*R115</f>
        <v>2173075600</v>
      </c>
      <c r="R115" s="1739">
        <f>VLOOKUP(B115,$B$6:$R$92,14,)*0.95/2</f>
        <v>27163445</v>
      </c>
      <c r="S115" s="1737">
        <f>P115+10</f>
        <v>90</v>
      </c>
      <c r="T115" s="1738">
        <f>S115*U115</f>
        <v>2566945552.5</v>
      </c>
      <c r="U115" s="1739">
        <f>R115*1.05</f>
        <v>28521617.25</v>
      </c>
      <c r="V115" s="1737">
        <f>S115+10</f>
        <v>100</v>
      </c>
      <c r="W115" s="1738">
        <f>V115*X115</f>
        <v>2994769811.25</v>
      </c>
      <c r="X115" s="1739">
        <f>U115*1.05</f>
        <v>29947698.112500001</v>
      </c>
      <c r="Y115" s="1737">
        <f>V115+10</f>
        <v>110</v>
      </c>
      <c r="Z115" s="1738">
        <f>Y115*AA115</f>
        <v>3458959131.9937501</v>
      </c>
      <c r="AA115" s="1739">
        <f>X115*1.05</f>
        <v>31445083.018125001</v>
      </c>
      <c r="AB115" s="1737">
        <f>Y115+10</f>
        <v>120</v>
      </c>
      <c r="AC115" s="1738">
        <f>AB115*AD115</f>
        <v>3962080460.2837501</v>
      </c>
      <c r="AD115" s="1739">
        <f>AA115*1.05</f>
        <v>33017337.169031251</v>
      </c>
      <c r="AE115" s="1740"/>
      <c r="AF115" s="1738"/>
      <c r="AG115" s="1738"/>
      <c r="AH115" s="1738">
        <f t="shared" si="71"/>
        <v>1221728152.8419569</v>
      </c>
      <c r="AI115" s="1738">
        <f t="shared" si="72"/>
        <v>1443166380.5445616</v>
      </c>
      <c r="AJ115" s="1738">
        <f t="shared" si="73"/>
        <v>1683694110.6353219</v>
      </c>
      <c r="AK115" s="1738">
        <f t="shared" si="74"/>
        <v>1944666697.7837968</v>
      </c>
      <c r="AL115" s="1739">
        <f t="shared" si="75"/>
        <v>2227527308.3705306</v>
      </c>
      <c r="AM115" s="1742"/>
      <c r="AN115" s="1742"/>
      <c r="AO115" s="1742"/>
      <c r="AP115" s="1742"/>
      <c r="AT115" s="489"/>
      <c r="AU115" s="489"/>
    </row>
    <row r="116" spans="2:47" x14ac:dyDescent="0.3">
      <c r="B116" s="1804" t="s">
        <v>2039</v>
      </c>
      <c r="C116" s="1784" t="str">
        <f t="shared" si="76"/>
        <v>고소작업차</v>
      </c>
      <c r="D116" s="1784"/>
      <c r="E116" s="1805" t="s">
        <v>7735</v>
      </c>
      <c r="F116" s="1776"/>
      <c r="G116" s="1737"/>
      <c r="H116" s="1738"/>
      <c r="I116" s="1739">
        <f t="shared" si="64"/>
        <v>0</v>
      </c>
      <c r="J116" s="1737">
        <v>5</v>
      </c>
      <c r="K116" s="1738">
        <v>287117750</v>
      </c>
      <c r="L116" s="1739">
        <f t="shared" si="77"/>
        <v>57423550</v>
      </c>
      <c r="M116" s="1737"/>
      <c r="N116" s="1784"/>
      <c r="O116" s="1739">
        <f t="shared" si="65"/>
        <v>0</v>
      </c>
      <c r="P116" s="1737"/>
      <c r="Q116" s="1738"/>
      <c r="R116" s="1739"/>
      <c r="S116" s="1737"/>
      <c r="T116" s="1738"/>
      <c r="U116" s="1739"/>
      <c r="V116" s="1737"/>
      <c r="W116" s="1738"/>
      <c r="X116" s="1739"/>
      <c r="Y116" s="1737"/>
      <c r="Z116" s="1738"/>
      <c r="AA116" s="1739"/>
      <c r="AB116" s="1737"/>
      <c r="AC116" s="1738"/>
      <c r="AD116" s="1741"/>
      <c r="AE116" s="1740"/>
      <c r="AF116" s="1738"/>
      <c r="AG116" s="1738"/>
      <c r="AH116" s="1738">
        <f t="shared" si="71"/>
        <v>0</v>
      </c>
      <c r="AI116" s="1738">
        <f t="shared" si="72"/>
        <v>0</v>
      </c>
      <c r="AJ116" s="1738">
        <f t="shared" si="73"/>
        <v>0</v>
      </c>
      <c r="AK116" s="1738">
        <f t="shared" si="74"/>
        <v>0</v>
      </c>
      <c r="AL116" s="1739">
        <f t="shared" si="75"/>
        <v>0</v>
      </c>
      <c r="AM116" s="1742"/>
      <c r="AN116" s="1742"/>
      <c r="AO116" s="1742"/>
      <c r="AP116" s="1742"/>
      <c r="AT116" s="489"/>
      <c r="AU116" s="489"/>
    </row>
    <row r="117" spans="2:47" x14ac:dyDescent="0.3">
      <c r="B117" s="1804" t="s">
        <v>2037</v>
      </c>
      <c r="C117" s="1784" t="str">
        <f t="shared" si="76"/>
        <v>고소작업차</v>
      </c>
      <c r="D117" s="1784"/>
      <c r="E117" s="1805" t="s">
        <v>7735</v>
      </c>
      <c r="F117" s="1776"/>
      <c r="G117" s="1807">
        <v>36</v>
      </c>
      <c r="H117" s="1808">
        <v>1467957160</v>
      </c>
      <c r="I117" s="1739">
        <f t="shared" si="64"/>
        <v>40776587.777777776</v>
      </c>
      <c r="J117" s="1737">
        <v>2</v>
      </c>
      <c r="K117" s="1738">
        <v>77332050</v>
      </c>
      <c r="L117" s="1739">
        <f t="shared" si="77"/>
        <v>38666025</v>
      </c>
      <c r="M117" s="1737"/>
      <c r="N117" s="1784"/>
      <c r="O117" s="1739">
        <f t="shared" si="65"/>
        <v>0</v>
      </c>
      <c r="P117" s="1737">
        <v>30</v>
      </c>
      <c r="Q117" s="1738">
        <f>P117*R117</f>
        <v>520125000</v>
      </c>
      <c r="R117" s="1739">
        <f>VLOOKUP(B117,$B$6:$R$92,17,)*0.95/2</f>
        <v>17337500</v>
      </c>
      <c r="S117" s="1737">
        <v>30</v>
      </c>
      <c r="T117" s="1738">
        <f>S117*U117</f>
        <v>546131250</v>
      </c>
      <c r="U117" s="1739">
        <f>R117*1.05</f>
        <v>18204375</v>
      </c>
      <c r="V117" s="1737">
        <v>30</v>
      </c>
      <c r="W117" s="1738">
        <f>V117*X117</f>
        <v>573437812.5</v>
      </c>
      <c r="X117" s="1739">
        <f>U117*1.05</f>
        <v>19114593.75</v>
      </c>
      <c r="Y117" s="1737">
        <v>30</v>
      </c>
      <c r="Z117" s="1738">
        <f>Y117*AA117</f>
        <v>602109703.125</v>
      </c>
      <c r="AA117" s="1739">
        <f>X117*1.05</f>
        <v>20070323.4375</v>
      </c>
      <c r="AB117" s="1737">
        <v>30</v>
      </c>
      <c r="AC117" s="1738">
        <f>AB117*AD117</f>
        <v>632215188.28125</v>
      </c>
      <c r="AD117" s="1739">
        <f>AA117*1.05</f>
        <v>21073839.609375</v>
      </c>
      <c r="AE117" s="1740"/>
      <c r="AF117" s="1738"/>
      <c r="AG117" s="1738"/>
      <c r="AH117" s="1738">
        <f t="shared" si="71"/>
        <v>292420270.83499664</v>
      </c>
      <c r="AI117" s="1738">
        <f t="shared" si="72"/>
        <v>307041284.37674648</v>
      </c>
      <c r="AJ117" s="1738">
        <f t="shared" si="73"/>
        <v>322393348.5955838</v>
      </c>
      <c r="AK117" s="1738">
        <f t="shared" si="74"/>
        <v>338513016.02536297</v>
      </c>
      <c r="AL117" s="1739">
        <f t="shared" si="75"/>
        <v>355438666.82663113</v>
      </c>
      <c r="AM117" s="1742"/>
      <c r="AN117" s="1742"/>
      <c r="AO117" s="1742"/>
      <c r="AP117" s="1742"/>
      <c r="AT117" s="489"/>
      <c r="AU117" s="489"/>
    </row>
    <row r="118" spans="2:47" x14ac:dyDescent="0.3">
      <c r="B118" s="1804" t="s">
        <v>7709</v>
      </c>
      <c r="C118" s="1784" t="str">
        <f t="shared" si="76"/>
        <v>활선차</v>
      </c>
      <c r="D118" s="1784"/>
      <c r="E118" s="1805" t="s">
        <v>7736</v>
      </c>
      <c r="F118" s="1776"/>
      <c r="G118" s="1737"/>
      <c r="H118" s="1738"/>
      <c r="I118" s="1739">
        <f t="shared" si="64"/>
        <v>0</v>
      </c>
      <c r="J118" s="1737">
        <v>6</v>
      </c>
      <c r="K118" s="1738">
        <v>1678066800</v>
      </c>
      <c r="L118" s="1739">
        <f t="shared" si="77"/>
        <v>279677800</v>
      </c>
      <c r="M118" s="1806">
        <v>9</v>
      </c>
      <c r="N118" s="1738">
        <v>2287806600</v>
      </c>
      <c r="O118" s="1739">
        <f t="shared" si="65"/>
        <v>254200733.33333334</v>
      </c>
      <c r="P118" s="1737">
        <v>0</v>
      </c>
      <c r="Q118" s="1738">
        <v>0</v>
      </c>
      <c r="R118" s="1739"/>
      <c r="S118" s="1737">
        <v>0</v>
      </c>
      <c r="T118" s="1738">
        <v>0</v>
      </c>
      <c r="U118" s="1739">
        <f t="shared" si="67"/>
        <v>0</v>
      </c>
      <c r="V118" s="1737">
        <v>0</v>
      </c>
      <c r="W118" s="1738">
        <v>0</v>
      </c>
      <c r="X118" s="1739">
        <f t="shared" si="68"/>
        <v>0</v>
      </c>
      <c r="Y118" s="1737">
        <v>0</v>
      </c>
      <c r="Z118" s="1738">
        <v>0</v>
      </c>
      <c r="AA118" s="1739">
        <f t="shared" si="69"/>
        <v>0</v>
      </c>
      <c r="AB118" s="1737">
        <v>0</v>
      </c>
      <c r="AC118" s="1738">
        <v>0</v>
      </c>
      <c r="AD118" s="1741">
        <f t="shared" si="70"/>
        <v>0</v>
      </c>
      <c r="AE118" s="1740"/>
      <c r="AF118" s="1738"/>
      <c r="AG118" s="1738"/>
      <c r="AH118" s="1738">
        <f t="shared" si="71"/>
        <v>0</v>
      </c>
      <c r="AI118" s="1738">
        <f t="shared" si="72"/>
        <v>0</v>
      </c>
      <c r="AJ118" s="1738">
        <f t="shared" si="73"/>
        <v>0</v>
      </c>
      <c r="AK118" s="1738">
        <f t="shared" si="74"/>
        <v>0</v>
      </c>
      <c r="AL118" s="1739">
        <f t="shared" si="75"/>
        <v>0</v>
      </c>
      <c r="AM118" s="1742"/>
      <c r="AN118" s="1742"/>
      <c r="AO118" s="1742"/>
      <c r="AP118" s="1742"/>
      <c r="AT118" s="489"/>
      <c r="AU118" s="489"/>
    </row>
    <row r="119" spans="2:47" x14ac:dyDescent="0.3">
      <c r="B119" s="1804" t="s">
        <v>7779</v>
      </c>
      <c r="C119" s="1856" t="str">
        <f t="shared" si="76"/>
        <v>활선차</v>
      </c>
      <c r="D119" s="1856"/>
      <c r="E119" s="1805" t="s">
        <v>7780</v>
      </c>
      <c r="F119" s="1776"/>
      <c r="G119" s="1737"/>
      <c r="H119" s="1857"/>
      <c r="I119" s="1739"/>
      <c r="J119" s="1737"/>
      <c r="K119" s="1857"/>
      <c r="L119" s="1739"/>
      <c r="M119" s="1806"/>
      <c r="N119" s="1857"/>
      <c r="O119" s="1739"/>
      <c r="P119" s="1737">
        <v>10</v>
      </c>
      <c r="Q119" s="1857">
        <f>P119*R119</f>
        <v>1947500000</v>
      </c>
      <c r="R119" s="1739">
        <f>VLOOKUP(B119,$B$6:$R$92,17,)*0.95</f>
        <v>194750000</v>
      </c>
      <c r="S119" s="1737"/>
      <c r="T119" s="1857"/>
      <c r="U119" s="1739"/>
      <c r="V119" s="1737"/>
      <c r="W119" s="1857"/>
      <c r="X119" s="1739"/>
      <c r="Y119" s="1737"/>
      <c r="Z119" s="1857"/>
      <c r="AA119" s="1739"/>
      <c r="AB119" s="1737"/>
      <c r="AC119" s="1857"/>
      <c r="AD119" s="1741"/>
      <c r="AE119" s="1740"/>
      <c r="AF119" s="1857"/>
      <c r="AG119" s="1857"/>
      <c r="AH119" s="1857"/>
      <c r="AI119" s="1857"/>
      <c r="AJ119" s="1857"/>
      <c r="AK119" s="1857"/>
      <c r="AL119" s="1739"/>
      <c r="AM119" s="1742"/>
      <c r="AN119" s="1742"/>
      <c r="AO119" s="1742"/>
      <c r="AP119" s="1742"/>
      <c r="AT119" s="489"/>
      <c r="AU119" s="489"/>
    </row>
    <row r="120" spans="2:47" x14ac:dyDescent="0.3">
      <c r="B120" s="1804" t="s">
        <v>2064</v>
      </c>
      <c r="C120" s="1784" t="str">
        <f t="shared" si="76"/>
        <v>활선차</v>
      </c>
      <c r="D120" s="1784"/>
      <c r="E120" s="1805" t="s">
        <v>7737</v>
      </c>
      <c r="F120" s="1776"/>
      <c r="G120" s="1737"/>
      <c r="H120" s="1738"/>
      <c r="I120" s="1739">
        <f t="shared" si="64"/>
        <v>0</v>
      </c>
      <c r="J120" s="1737">
        <v>0</v>
      </c>
      <c r="K120" s="1738">
        <v>0</v>
      </c>
      <c r="L120" s="1739">
        <f t="shared" si="77"/>
        <v>0</v>
      </c>
      <c r="M120" s="1806">
        <v>12</v>
      </c>
      <c r="N120" s="1738">
        <v>3046631000</v>
      </c>
      <c r="O120" s="1739">
        <f t="shared" si="65"/>
        <v>253885916.66666666</v>
      </c>
      <c r="P120" s="1737">
        <v>20</v>
      </c>
      <c r="Q120" s="1738">
        <f>P120*R120</f>
        <v>3486500000</v>
      </c>
      <c r="R120" s="1739">
        <f>VLOOKUP(B120,$B$6:$R$92,17,)*0.95</f>
        <v>174325000</v>
      </c>
      <c r="S120" s="1737">
        <v>40</v>
      </c>
      <c r="T120" s="1738">
        <f t="shared" ref="T120:T122" si="78">S120*U120</f>
        <v>7321650000</v>
      </c>
      <c r="U120" s="1739">
        <f>R120*1.05</f>
        <v>183041250</v>
      </c>
      <c r="V120" s="1737">
        <v>50</v>
      </c>
      <c r="W120" s="1738">
        <f t="shared" ref="W120:W122" si="79">V120*X120</f>
        <v>9609665625</v>
      </c>
      <c r="X120" s="1739">
        <f t="shared" ref="X120:X122" si="80">U120*1.05</f>
        <v>192193312.5</v>
      </c>
      <c r="Y120" s="1737">
        <v>60</v>
      </c>
      <c r="Z120" s="1738">
        <f t="shared" ref="Z120:Z122" si="81">Y120*AA120</f>
        <v>12108178687.5</v>
      </c>
      <c r="AA120" s="1739">
        <f t="shared" ref="AA120:AA122" si="82">X120*1.05</f>
        <v>201802978.125</v>
      </c>
      <c r="AB120" s="1737">
        <v>70</v>
      </c>
      <c r="AC120" s="1738">
        <f t="shared" ref="AC120:AC122" si="83">AB120*AD120</f>
        <v>14832518892.1875</v>
      </c>
      <c r="AD120" s="1739">
        <f t="shared" ref="AD120:AD122" si="84">AA120*1.05</f>
        <v>211893127.03125</v>
      </c>
      <c r="AE120" s="1740"/>
      <c r="AF120" s="1738"/>
      <c r="AG120" s="1738"/>
      <c r="AH120" s="1738">
        <f t="shared" si="71"/>
        <v>1960150491.2592468</v>
      </c>
      <c r="AI120" s="1738">
        <f t="shared" si="72"/>
        <v>4116316031.6444182</v>
      </c>
      <c r="AJ120" s="1738">
        <f t="shared" si="73"/>
        <v>5402664791.5332994</v>
      </c>
      <c r="AK120" s="1738">
        <f t="shared" si="74"/>
        <v>6807357637.3319569</v>
      </c>
      <c r="AL120" s="1739">
        <f t="shared" si="75"/>
        <v>8339013105.7316475</v>
      </c>
      <c r="AM120" s="1742"/>
      <c r="AN120" s="1742"/>
      <c r="AO120" s="1742"/>
      <c r="AP120" s="1742"/>
      <c r="AT120" s="489"/>
      <c r="AU120" s="489"/>
    </row>
    <row r="121" spans="2:47" x14ac:dyDescent="0.3">
      <c r="B121" s="1804" t="s">
        <v>2041</v>
      </c>
      <c r="C121" s="1784" t="str">
        <f t="shared" si="76"/>
        <v>고소작업차</v>
      </c>
      <c r="D121" s="1784"/>
      <c r="E121" s="1805" t="s">
        <v>7735</v>
      </c>
      <c r="F121" s="1776"/>
      <c r="G121" s="1737"/>
      <c r="H121" s="1738"/>
      <c r="I121" s="1739">
        <f t="shared" si="64"/>
        <v>0</v>
      </c>
      <c r="J121" s="1737"/>
      <c r="K121" s="1738"/>
      <c r="L121" s="1739"/>
      <c r="M121" s="1806"/>
      <c r="N121" s="1738"/>
      <c r="O121" s="1739">
        <f t="shared" si="65"/>
        <v>0</v>
      </c>
      <c r="P121" s="1737">
        <v>10</v>
      </c>
      <c r="Q121" s="1738">
        <f>P121*R121</f>
        <v>244625000</v>
      </c>
      <c r="R121" s="1739">
        <f>VLOOKUP(B121,$B$6:$R$92,17,)*0.95/2</f>
        <v>24462500</v>
      </c>
      <c r="S121" s="1737">
        <f>P121+10</f>
        <v>20</v>
      </c>
      <c r="T121" s="1738">
        <f t="shared" si="78"/>
        <v>513712500</v>
      </c>
      <c r="U121" s="1739">
        <f>R121*1.05</f>
        <v>25685625</v>
      </c>
      <c r="V121" s="1737">
        <f>S121+10</f>
        <v>30</v>
      </c>
      <c r="W121" s="1738">
        <f t="shared" si="79"/>
        <v>809097187.5</v>
      </c>
      <c r="X121" s="1739">
        <f t="shared" si="80"/>
        <v>26969906.25</v>
      </c>
      <c r="Y121" s="1737">
        <f>V121+10</f>
        <v>40</v>
      </c>
      <c r="Z121" s="1738">
        <f t="shared" si="81"/>
        <v>1132736062.5</v>
      </c>
      <c r="AA121" s="1739">
        <f t="shared" si="82"/>
        <v>28318401.5625</v>
      </c>
      <c r="AB121" s="1737">
        <f>Y121+10</f>
        <v>50</v>
      </c>
      <c r="AC121" s="1738">
        <f t="shared" si="83"/>
        <v>1486716082.03125</v>
      </c>
      <c r="AD121" s="1739">
        <f t="shared" si="84"/>
        <v>29734321.640625</v>
      </c>
      <c r="AE121" s="1740"/>
      <c r="AF121" s="1738"/>
      <c r="AG121" s="1738"/>
      <c r="AH121" s="1738">
        <f t="shared" si="71"/>
        <v>137530994.95892537</v>
      </c>
      <c r="AI121" s="1738">
        <f t="shared" si="72"/>
        <v>288815089.41374326</v>
      </c>
      <c r="AJ121" s="1738">
        <f t="shared" si="73"/>
        <v>454883765.82664561</v>
      </c>
      <c r="AK121" s="1738">
        <f t="shared" si="74"/>
        <v>636837272.15730393</v>
      </c>
      <c r="AL121" s="1739">
        <f t="shared" si="75"/>
        <v>835848919.70646131</v>
      </c>
      <c r="AM121" s="1742"/>
      <c r="AN121" s="1742"/>
      <c r="AO121" s="1742"/>
      <c r="AP121" s="1742"/>
      <c r="AT121" s="489"/>
      <c r="AU121" s="489"/>
    </row>
    <row r="122" spans="2:47" x14ac:dyDescent="0.3">
      <c r="B122" s="1804" t="s">
        <v>2043</v>
      </c>
      <c r="C122" s="1784" t="str">
        <f t="shared" si="76"/>
        <v>고소작업차</v>
      </c>
      <c r="D122" s="1784"/>
      <c r="E122" s="1805" t="s">
        <v>7735</v>
      </c>
      <c r="F122" s="1776"/>
      <c r="G122" s="1807">
        <v>2</v>
      </c>
      <c r="H122" s="1808">
        <v>212947800</v>
      </c>
      <c r="I122" s="1739">
        <f t="shared" si="64"/>
        <v>106473900</v>
      </c>
      <c r="J122" s="1737"/>
      <c r="K122" s="1738"/>
      <c r="L122" s="1739"/>
      <c r="M122" s="1806"/>
      <c r="N122" s="1738"/>
      <c r="O122" s="1739">
        <f t="shared" si="65"/>
        <v>0</v>
      </c>
      <c r="P122" s="1737">
        <v>10</v>
      </c>
      <c r="Q122" s="1738">
        <f>P122*R122</f>
        <v>264100000</v>
      </c>
      <c r="R122" s="1739">
        <f>VLOOKUP(B122,$B$6:$R$92,17,)*0.95/2</f>
        <v>26410000</v>
      </c>
      <c r="S122" s="1737">
        <f>P122+10</f>
        <v>20</v>
      </c>
      <c r="T122" s="1738">
        <f t="shared" si="78"/>
        <v>554610000</v>
      </c>
      <c r="U122" s="1739">
        <f>R122*1.05</f>
        <v>27730500</v>
      </c>
      <c r="V122" s="1737">
        <f>S122+10</f>
        <v>30</v>
      </c>
      <c r="W122" s="1738">
        <f t="shared" si="79"/>
        <v>873510750</v>
      </c>
      <c r="X122" s="1739">
        <f t="shared" si="80"/>
        <v>29117025</v>
      </c>
      <c r="Y122" s="1737">
        <f>V122+10</f>
        <v>40</v>
      </c>
      <c r="Z122" s="1738">
        <f t="shared" si="81"/>
        <v>1222915050</v>
      </c>
      <c r="AA122" s="1739">
        <f t="shared" si="82"/>
        <v>30572876.25</v>
      </c>
      <c r="AB122" s="1737">
        <f>Y122+10</f>
        <v>50</v>
      </c>
      <c r="AC122" s="1738">
        <f t="shared" si="83"/>
        <v>1605076003.125</v>
      </c>
      <c r="AD122" s="1739">
        <f t="shared" si="84"/>
        <v>32101520.0625</v>
      </c>
      <c r="AE122" s="1740"/>
      <c r="AF122" s="1738"/>
      <c r="AG122" s="1738"/>
      <c r="AH122" s="1738">
        <f t="shared" si="71"/>
        <v>148480064.46050972</v>
      </c>
      <c r="AI122" s="1738">
        <f t="shared" si="72"/>
        <v>311808135.36707038</v>
      </c>
      <c r="AJ122" s="1738">
        <f t="shared" si="73"/>
        <v>491097813.20313585</v>
      </c>
      <c r="AK122" s="1738">
        <f t="shared" si="74"/>
        <v>687536938.48439026</v>
      </c>
      <c r="AL122" s="1739">
        <f t="shared" si="75"/>
        <v>902392231.7607621</v>
      </c>
      <c r="AM122" s="1742"/>
      <c r="AN122" s="1742"/>
      <c r="AO122" s="1742"/>
      <c r="AP122" s="1742"/>
      <c r="AT122" s="489"/>
      <c r="AU122" s="489"/>
    </row>
    <row r="123" spans="2:47" x14ac:dyDescent="0.3">
      <c r="B123" s="1804" t="s">
        <v>7738</v>
      </c>
      <c r="C123" s="1784" t="s">
        <v>2802</v>
      </c>
      <c r="D123" s="1784"/>
      <c r="E123" s="1805" t="s">
        <v>7737</v>
      </c>
      <c r="F123" s="1776"/>
      <c r="G123" s="1807">
        <v>1</v>
      </c>
      <c r="H123" s="1808">
        <v>45067610</v>
      </c>
      <c r="I123" s="1739">
        <f t="shared" si="64"/>
        <v>45067610</v>
      </c>
      <c r="J123" s="1737"/>
      <c r="K123" s="1784"/>
      <c r="L123" s="1809"/>
      <c r="M123" s="1737"/>
      <c r="N123" s="1784"/>
      <c r="O123" s="1809"/>
      <c r="P123" s="1737"/>
      <c r="Q123" s="1784"/>
      <c r="R123" s="1809"/>
      <c r="S123" s="1737"/>
      <c r="T123" s="1784"/>
      <c r="U123" s="1809"/>
      <c r="V123" s="1737"/>
      <c r="W123" s="1784"/>
      <c r="X123" s="1809"/>
      <c r="Y123" s="1737"/>
      <c r="Z123" s="1784"/>
      <c r="AA123" s="1809"/>
      <c r="AB123" s="1737"/>
      <c r="AC123" s="1784"/>
      <c r="AD123" s="1810"/>
      <c r="AE123" s="1737"/>
      <c r="AF123" s="1784"/>
      <c r="AG123" s="1784"/>
      <c r="AH123" s="1738">
        <f t="shared" si="71"/>
        <v>0</v>
      </c>
      <c r="AI123" s="1738">
        <f t="shared" si="72"/>
        <v>0</v>
      </c>
      <c r="AJ123" s="1738">
        <f t="shared" si="73"/>
        <v>0</v>
      </c>
      <c r="AK123" s="1738">
        <f t="shared" si="74"/>
        <v>0</v>
      </c>
      <c r="AL123" s="1739">
        <f t="shared" si="75"/>
        <v>0</v>
      </c>
      <c r="AM123" s="1785"/>
      <c r="AN123" s="1785"/>
      <c r="AO123" s="1785"/>
      <c r="AP123" s="1785"/>
    </row>
    <row r="124" spans="2:47" x14ac:dyDescent="0.3">
      <c r="B124" s="1804" t="s">
        <v>7184</v>
      </c>
      <c r="C124" s="1784" t="s">
        <v>2802</v>
      </c>
      <c r="D124" s="1784"/>
      <c r="E124" s="1805" t="s">
        <v>7737</v>
      </c>
      <c r="F124" s="1776"/>
      <c r="G124" s="1807">
        <v>2</v>
      </c>
      <c r="H124" s="1808">
        <v>293032500</v>
      </c>
      <c r="I124" s="1739">
        <f t="shared" si="64"/>
        <v>146516250</v>
      </c>
      <c r="J124" s="1737"/>
      <c r="K124" s="1784"/>
      <c r="L124" s="1809"/>
      <c r="M124" s="1737"/>
      <c r="N124" s="1784"/>
      <c r="O124" s="1809"/>
      <c r="P124" s="1737"/>
      <c r="Q124" s="1784"/>
      <c r="R124" s="1809"/>
      <c r="S124" s="1737"/>
      <c r="T124" s="1784"/>
      <c r="U124" s="1809"/>
      <c r="V124" s="1737"/>
      <c r="W124" s="1784"/>
      <c r="X124" s="1809"/>
      <c r="Y124" s="1737"/>
      <c r="Z124" s="1784"/>
      <c r="AA124" s="1809"/>
      <c r="AB124" s="1737"/>
      <c r="AC124" s="1784"/>
      <c r="AD124" s="1810"/>
      <c r="AE124" s="1737"/>
      <c r="AF124" s="1784"/>
      <c r="AG124" s="1784"/>
      <c r="AH124" s="1738">
        <f t="shared" si="71"/>
        <v>0</v>
      </c>
      <c r="AI124" s="1738">
        <f t="shared" si="72"/>
        <v>0</v>
      </c>
      <c r="AJ124" s="1738">
        <f t="shared" si="73"/>
        <v>0</v>
      </c>
      <c r="AK124" s="1738">
        <f t="shared" si="74"/>
        <v>0</v>
      </c>
      <c r="AL124" s="1739">
        <f t="shared" si="75"/>
        <v>0</v>
      </c>
      <c r="AM124" s="1785"/>
      <c r="AN124" s="1785"/>
      <c r="AO124" s="1785"/>
      <c r="AP124" s="1785"/>
    </row>
    <row r="125" spans="2:47" x14ac:dyDescent="0.3">
      <c r="B125" s="1804" t="s">
        <v>2062</v>
      </c>
      <c r="C125" s="1784" t="str">
        <f t="shared" si="76"/>
        <v>활선차</v>
      </c>
      <c r="D125" s="1784"/>
      <c r="E125" s="1805" t="s">
        <v>7739</v>
      </c>
      <c r="F125" s="1776"/>
      <c r="G125" s="1737"/>
      <c r="H125" s="1738"/>
      <c r="I125" s="1739">
        <f t="shared" si="64"/>
        <v>0</v>
      </c>
      <c r="J125" s="1737">
        <v>0</v>
      </c>
      <c r="K125" s="1738">
        <v>0</v>
      </c>
      <c r="L125" s="1739">
        <f t="shared" si="77"/>
        <v>0</v>
      </c>
      <c r="M125" s="1806">
        <v>8</v>
      </c>
      <c r="N125" s="1738">
        <v>724642237</v>
      </c>
      <c r="O125" s="1739">
        <f t="shared" si="65"/>
        <v>90580279.625</v>
      </c>
      <c r="P125" s="1737">
        <v>0</v>
      </c>
      <c r="Q125" s="1738">
        <v>0</v>
      </c>
      <c r="R125" s="1739">
        <f t="shared" si="66"/>
        <v>0</v>
      </c>
      <c r="S125" s="1737">
        <v>0</v>
      </c>
      <c r="T125" s="1738">
        <v>0</v>
      </c>
      <c r="U125" s="1739">
        <f t="shared" si="67"/>
        <v>0</v>
      </c>
      <c r="V125" s="1737">
        <v>0</v>
      </c>
      <c r="W125" s="1738">
        <v>0</v>
      </c>
      <c r="X125" s="1739">
        <f t="shared" si="68"/>
        <v>0</v>
      </c>
      <c r="Y125" s="1737">
        <v>0</v>
      </c>
      <c r="Z125" s="1738">
        <v>0</v>
      </c>
      <c r="AA125" s="1739">
        <f t="shared" si="69"/>
        <v>0</v>
      </c>
      <c r="AB125" s="1737">
        <v>0</v>
      </c>
      <c r="AC125" s="1738">
        <v>0</v>
      </c>
      <c r="AD125" s="1741">
        <f t="shared" si="70"/>
        <v>0</v>
      </c>
      <c r="AE125" s="1740"/>
      <c r="AF125" s="1738"/>
      <c r="AG125" s="1738"/>
      <c r="AH125" s="1738">
        <f t="shared" si="71"/>
        <v>0</v>
      </c>
      <c r="AI125" s="1738">
        <f t="shared" si="72"/>
        <v>0</v>
      </c>
      <c r="AJ125" s="1738">
        <f t="shared" si="73"/>
        <v>0</v>
      </c>
      <c r="AK125" s="1738">
        <f t="shared" si="74"/>
        <v>0</v>
      </c>
      <c r="AL125" s="1739">
        <f t="shared" si="75"/>
        <v>0</v>
      </c>
      <c r="AM125" s="1742"/>
      <c r="AN125" s="1742"/>
      <c r="AO125" s="1742"/>
      <c r="AP125" s="1742"/>
      <c r="AT125" s="489"/>
      <c r="AU125" s="489"/>
    </row>
    <row r="126" spans="2:47" x14ac:dyDescent="0.3">
      <c r="B126" s="1804" t="s">
        <v>2064</v>
      </c>
      <c r="C126" s="1784" t="str">
        <f t="shared" si="76"/>
        <v>활선차</v>
      </c>
      <c r="D126" s="1784"/>
      <c r="E126" s="1805" t="s">
        <v>7739</v>
      </c>
      <c r="F126" s="1776"/>
      <c r="G126" s="1737"/>
      <c r="H126" s="1738"/>
      <c r="I126" s="1739">
        <f t="shared" si="64"/>
        <v>0</v>
      </c>
      <c r="J126" s="1737">
        <v>0</v>
      </c>
      <c r="K126" s="1738">
        <v>0</v>
      </c>
      <c r="L126" s="1739">
        <f t="shared" si="77"/>
        <v>0</v>
      </c>
      <c r="M126" s="1806"/>
      <c r="N126" s="1738"/>
      <c r="O126" s="1739">
        <f t="shared" si="65"/>
        <v>0</v>
      </c>
      <c r="P126" s="1737">
        <v>100</v>
      </c>
      <c r="Q126" s="1738">
        <f>P126*R126</f>
        <v>8716250000</v>
      </c>
      <c r="R126" s="1739">
        <f>VLOOKUP(B126,$B$6:$R$92,17,)*0.95/2</f>
        <v>87162500</v>
      </c>
      <c r="S126" s="1737">
        <v>130</v>
      </c>
      <c r="T126" s="1738">
        <f t="shared" ref="T126:T127" si="85">S126*U126</f>
        <v>11897681250</v>
      </c>
      <c r="U126" s="1739">
        <f>R126*1.05</f>
        <v>91520625</v>
      </c>
      <c r="V126" s="1737">
        <v>160</v>
      </c>
      <c r="W126" s="1738">
        <f t="shared" ref="W126:W127" si="86">V126*X126</f>
        <v>15375465000</v>
      </c>
      <c r="X126" s="1739">
        <f t="shared" ref="X126:X127" si="87">U126*1.05</f>
        <v>96096656.25</v>
      </c>
      <c r="Y126" s="1737">
        <v>190</v>
      </c>
      <c r="Z126" s="1738">
        <f t="shared" ref="Z126:Z127" si="88">Y126*AA126</f>
        <v>19171282921.875</v>
      </c>
      <c r="AA126" s="1739">
        <f t="shared" ref="AA126:AA127" si="89">X126*1.05</f>
        <v>100901489.0625</v>
      </c>
      <c r="AB126" s="1737">
        <v>220</v>
      </c>
      <c r="AC126" s="1738">
        <f t="shared" ref="AC126:AC127" si="90">AB126*AD126</f>
        <v>23308243973.4375</v>
      </c>
      <c r="AD126" s="1739">
        <f t="shared" ref="AD126:AD127" si="91">AA126*1.05</f>
        <v>105946563.515625</v>
      </c>
      <c r="AE126" s="1740"/>
      <c r="AF126" s="1738"/>
      <c r="AG126" s="1738"/>
      <c r="AH126" s="1738">
        <f t="shared" si="71"/>
        <v>4900376228.1481171</v>
      </c>
      <c r="AI126" s="1738">
        <f t="shared" si="72"/>
        <v>6689013551.4221802</v>
      </c>
      <c r="AJ126" s="1738">
        <f t="shared" si="73"/>
        <v>8644263666.4532795</v>
      </c>
      <c r="AK126" s="1738">
        <f t="shared" si="74"/>
        <v>10778316259.108932</v>
      </c>
      <c r="AL126" s="1739">
        <f t="shared" si="75"/>
        <v>13104163451.864017</v>
      </c>
      <c r="AM126" s="1742"/>
      <c r="AN126" s="1742"/>
      <c r="AO126" s="1742"/>
      <c r="AP126" s="1742"/>
      <c r="AT126" s="489"/>
      <c r="AU126" s="489"/>
    </row>
    <row r="127" spans="2:47" x14ac:dyDescent="0.3">
      <c r="B127" s="1804" t="s">
        <v>2043</v>
      </c>
      <c r="C127" s="1784" t="str">
        <f t="shared" si="76"/>
        <v>고소작업차</v>
      </c>
      <c r="D127" s="1784"/>
      <c r="E127" s="1805" t="s">
        <v>7739</v>
      </c>
      <c r="F127" s="1776"/>
      <c r="G127" s="1737"/>
      <c r="H127" s="1738"/>
      <c r="I127" s="1739">
        <f t="shared" si="64"/>
        <v>0</v>
      </c>
      <c r="J127" s="1737">
        <v>0</v>
      </c>
      <c r="K127" s="1738">
        <v>0</v>
      </c>
      <c r="L127" s="1739">
        <f t="shared" si="77"/>
        <v>0</v>
      </c>
      <c r="M127" s="1806"/>
      <c r="N127" s="1738"/>
      <c r="O127" s="1739">
        <f t="shared" si="65"/>
        <v>0</v>
      </c>
      <c r="P127" s="1737">
        <v>0</v>
      </c>
      <c r="Q127" s="1738">
        <v>0</v>
      </c>
      <c r="R127" s="1739">
        <f>VLOOKUP(B127,$B$6:$R$92,17,)*0.95/2</f>
        <v>26410000</v>
      </c>
      <c r="S127" s="1737">
        <v>10</v>
      </c>
      <c r="T127" s="1738">
        <f t="shared" si="85"/>
        <v>277305000</v>
      </c>
      <c r="U127" s="1739">
        <f>R127*1.05</f>
        <v>27730500</v>
      </c>
      <c r="V127" s="1737">
        <v>13</v>
      </c>
      <c r="W127" s="1738">
        <f t="shared" si="86"/>
        <v>378521325</v>
      </c>
      <c r="X127" s="1739">
        <f t="shared" si="87"/>
        <v>29117025</v>
      </c>
      <c r="Y127" s="1737">
        <v>16</v>
      </c>
      <c r="Z127" s="1738">
        <f t="shared" si="88"/>
        <v>489166020</v>
      </c>
      <c r="AA127" s="1739">
        <f t="shared" si="89"/>
        <v>30572876.25</v>
      </c>
      <c r="AB127" s="1737">
        <v>19</v>
      </c>
      <c r="AC127" s="1738">
        <f t="shared" si="90"/>
        <v>609928881.1875</v>
      </c>
      <c r="AD127" s="1739">
        <f t="shared" si="91"/>
        <v>32101520.0625</v>
      </c>
      <c r="AE127" s="1740"/>
      <c r="AF127" s="1738"/>
      <c r="AG127" s="1738"/>
      <c r="AH127" s="1738">
        <f t="shared" si="71"/>
        <v>0</v>
      </c>
      <c r="AI127" s="1738">
        <f t="shared" si="72"/>
        <v>155904067.68353519</v>
      </c>
      <c r="AJ127" s="1738">
        <f t="shared" si="73"/>
        <v>212809052.38802555</v>
      </c>
      <c r="AK127" s="1738">
        <f t="shared" si="74"/>
        <v>275014775.39375609</v>
      </c>
      <c r="AL127" s="1739">
        <f t="shared" si="75"/>
        <v>342909048.06908959</v>
      </c>
      <c r="AM127" s="1742"/>
      <c r="AN127" s="1742"/>
      <c r="AO127" s="1742"/>
      <c r="AP127" s="1742"/>
      <c r="AT127" s="489"/>
      <c r="AU127" s="489"/>
    </row>
    <row r="128" spans="2:47" x14ac:dyDescent="0.3">
      <c r="B128" s="1804" t="s">
        <v>2039</v>
      </c>
      <c r="C128" s="1784" t="str">
        <f t="shared" si="76"/>
        <v>고소작업차</v>
      </c>
      <c r="D128" s="1784"/>
      <c r="E128" s="1805" t="s">
        <v>2879</v>
      </c>
      <c r="F128" s="1776"/>
      <c r="G128" s="1807">
        <v>1</v>
      </c>
      <c r="H128" s="1808">
        <v>21631425</v>
      </c>
      <c r="I128" s="1739">
        <f t="shared" si="64"/>
        <v>21631425</v>
      </c>
      <c r="J128" s="1737">
        <v>0</v>
      </c>
      <c r="K128" s="1738">
        <v>0</v>
      </c>
      <c r="L128" s="1739">
        <f t="shared" si="77"/>
        <v>0</v>
      </c>
      <c r="M128" s="1737"/>
      <c r="N128" s="1784"/>
      <c r="O128" s="1809"/>
      <c r="P128" s="1737"/>
      <c r="Q128" s="1784"/>
      <c r="R128" s="1809"/>
      <c r="S128" s="1737"/>
      <c r="T128" s="1784"/>
      <c r="U128" s="1809"/>
      <c r="V128" s="1737"/>
      <c r="W128" s="1784"/>
      <c r="X128" s="1809"/>
      <c r="Y128" s="1737"/>
      <c r="Z128" s="1784"/>
      <c r="AA128" s="1809"/>
      <c r="AB128" s="1737"/>
      <c r="AC128" s="1784"/>
      <c r="AD128" s="1810"/>
      <c r="AE128" s="1737"/>
      <c r="AF128" s="1784"/>
      <c r="AG128" s="1784"/>
      <c r="AH128" s="1738">
        <f t="shared" si="71"/>
        <v>0</v>
      </c>
      <c r="AI128" s="1738">
        <f t="shared" si="72"/>
        <v>0</v>
      </c>
      <c r="AJ128" s="1738">
        <f t="shared" si="73"/>
        <v>0</v>
      </c>
      <c r="AK128" s="1738">
        <f t="shared" si="74"/>
        <v>0</v>
      </c>
      <c r="AL128" s="1739">
        <f t="shared" si="75"/>
        <v>0</v>
      </c>
      <c r="AM128" s="1785"/>
      <c r="AN128" s="1785"/>
      <c r="AO128" s="1785"/>
      <c r="AP128" s="1785"/>
    </row>
    <row r="129" spans="2:47" x14ac:dyDescent="0.3">
      <c r="B129" s="1804" t="s">
        <v>2053</v>
      </c>
      <c r="C129" s="1784" t="str">
        <f t="shared" si="76"/>
        <v>크레인</v>
      </c>
      <c r="D129" s="1784"/>
      <c r="E129" s="1805" t="s">
        <v>7739</v>
      </c>
      <c r="F129" s="1776"/>
      <c r="G129" s="1807"/>
      <c r="H129" s="1808"/>
      <c r="I129" s="1739"/>
      <c r="J129" s="1737">
        <v>4</v>
      </c>
      <c r="K129" s="1738">
        <v>80532000</v>
      </c>
      <c r="L129" s="1739">
        <f t="shared" si="77"/>
        <v>20133000</v>
      </c>
      <c r="M129" s="1737"/>
      <c r="N129" s="1784"/>
      <c r="O129" s="1809"/>
      <c r="P129" s="1737"/>
      <c r="Q129" s="1784"/>
      <c r="R129" s="1809"/>
      <c r="S129" s="1737"/>
      <c r="T129" s="1784"/>
      <c r="U129" s="1809"/>
      <c r="V129" s="1737"/>
      <c r="W129" s="1784"/>
      <c r="X129" s="1809"/>
      <c r="Y129" s="1737"/>
      <c r="Z129" s="1784"/>
      <c r="AA129" s="1809"/>
      <c r="AB129" s="1737"/>
      <c r="AC129" s="1784"/>
      <c r="AD129" s="1810"/>
      <c r="AE129" s="1737"/>
      <c r="AF129" s="1784"/>
      <c r="AG129" s="1784"/>
      <c r="AH129" s="1738">
        <f t="shared" si="71"/>
        <v>0</v>
      </c>
      <c r="AI129" s="1738">
        <f t="shared" si="72"/>
        <v>0</v>
      </c>
      <c r="AJ129" s="1738">
        <f t="shared" si="73"/>
        <v>0</v>
      </c>
      <c r="AK129" s="1738">
        <f t="shared" si="74"/>
        <v>0</v>
      </c>
      <c r="AL129" s="1739">
        <f t="shared" si="75"/>
        <v>0</v>
      </c>
      <c r="AM129" s="1785"/>
      <c r="AN129" s="1785"/>
      <c r="AO129" s="1785"/>
      <c r="AP129" s="1785"/>
    </row>
    <row r="130" spans="2:47" x14ac:dyDescent="0.3">
      <c r="B130" s="1804" t="s">
        <v>2037</v>
      </c>
      <c r="C130" s="1784" t="str">
        <f t="shared" si="76"/>
        <v>고소작업차</v>
      </c>
      <c r="D130" s="1784"/>
      <c r="E130" s="1805" t="s">
        <v>7739</v>
      </c>
      <c r="F130" s="1776"/>
      <c r="G130" s="1807"/>
      <c r="H130" s="1808"/>
      <c r="I130" s="1739"/>
      <c r="J130" s="1737">
        <v>1</v>
      </c>
      <c r="K130" s="1738">
        <v>17499180</v>
      </c>
      <c r="L130" s="1739">
        <f t="shared" si="77"/>
        <v>17499180</v>
      </c>
      <c r="M130" s="1737"/>
      <c r="N130" s="1784"/>
      <c r="O130" s="1809"/>
      <c r="P130" s="1737"/>
      <c r="Q130" s="1784"/>
      <c r="R130" s="1809"/>
      <c r="S130" s="1737"/>
      <c r="T130" s="1784"/>
      <c r="U130" s="1809"/>
      <c r="V130" s="1737"/>
      <c r="W130" s="1784"/>
      <c r="X130" s="1809"/>
      <c r="Y130" s="1737"/>
      <c r="Z130" s="1784"/>
      <c r="AA130" s="1809"/>
      <c r="AB130" s="1737"/>
      <c r="AC130" s="1784"/>
      <c r="AD130" s="1810"/>
      <c r="AE130" s="1737"/>
      <c r="AF130" s="1784"/>
      <c r="AG130" s="1784"/>
      <c r="AH130" s="1738">
        <f t="shared" si="71"/>
        <v>0</v>
      </c>
      <c r="AI130" s="1738">
        <f t="shared" si="72"/>
        <v>0</v>
      </c>
      <c r="AJ130" s="1738">
        <f t="shared" si="73"/>
        <v>0</v>
      </c>
      <c r="AK130" s="1738">
        <f t="shared" si="74"/>
        <v>0</v>
      </c>
      <c r="AL130" s="1739">
        <f t="shared" si="75"/>
        <v>0</v>
      </c>
      <c r="AM130" s="1785"/>
      <c r="AN130" s="1785"/>
      <c r="AO130" s="1785"/>
      <c r="AP130" s="1785"/>
    </row>
    <row r="131" spans="2:47" x14ac:dyDescent="0.3">
      <c r="B131" s="1804" t="s">
        <v>2041</v>
      </c>
      <c r="C131" s="1784" t="str">
        <f t="shared" si="76"/>
        <v>고소작업차</v>
      </c>
      <c r="D131" s="1784"/>
      <c r="E131" s="1805" t="s">
        <v>7739</v>
      </c>
      <c r="F131" s="1776"/>
      <c r="G131" s="1807">
        <v>4</v>
      </c>
      <c r="H131" s="1808">
        <v>120138536</v>
      </c>
      <c r="I131" s="1739">
        <f t="shared" si="64"/>
        <v>30034634</v>
      </c>
      <c r="J131" s="1737">
        <v>1</v>
      </c>
      <c r="K131" s="1738">
        <v>31038079</v>
      </c>
      <c r="L131" s="1739">
        <f t="shared" si="77"/>
        <v>31038079</v>
      </c>
      <c r="M131" s="1737"/>
      <c r="N131" s="1784"/>
      <c r="O131" s="1809"/>
      <c r="P131" s="1737"/>
      <c r="Q131" s="1784"/>
      <c r="R131" s="1809"/>
      <c r="S131" s="1737"/>
      <c r="T131" s="1784"/>
      <c r="U131" s="1809"/>
      <c r="V131" s="1737"/>
      <c r="W131" s="1784"/>
      <c r="X131" s="1809"/>
      <c r="Y131" s="1737"/>
      <c r="Z131" s="1784"/>
      <c r="AA131" s="1809"/>
      <c r="AB131" s="1737"/>
      <c r="AC131" s="1784"/>
      <c r="AD131" s="1810"/>
      <c r="AE131" s="1737"/>
      <c r="AF131" s="1784"/>
      <c r="AG131" s="1784"/>
      <c r="AH131" s="1738">
        <f t="shared" si="71"/>
        <v>0</v>
      </c>
      <c r="AI131" s="1738">
        <f t="shared" si="72"/>
        <v>0</v>
      </c>
      <c r="AJ131" s="1738">
        <f t="shared" si="73"/>
        <v>0</v>
      </c>
      <c r="AK131" s="1738">
        <f t="shared" si="74"/>
        <v>0</v>
      </c>
      <c r="AL131" s="1739">
        <f t="shared" si="75"/>
        <v>0</v>
      </c>
      <c r="AM131" s="1785"/>
      <c r="AN131" s="1785"/>
      <c r="AO131" s="1785"/>
      <c r="AP131" s="1785"/>
    </row>
    <row r="132" spans="2:47" x14ac:dyDescent="0.3">
      <c r="B132" s="1804" t="s">
        <v>7740</v>
      </c>
      <c r="C132" s="1784" t="s">
        <v>2802</v>
      </c>
      <c r="D132" s="1784"/>
      <c r="E132" s="1805" t="s">
        <v>7739</v>
      </c>
      <c r="F132" s="1776"/>
      <c r="G132" s="1807">
        <v>3</v>
      </c>
      <c r="H132" s="1808">
        <v>121250184</v>
      </c>
      <c r="I132" s="1739">
        <f t="shared" si="64"/>
        <v>40416728</v>
      </c>
      <c r="J132" s="1737">
        <v>0</v>
      </c>
      <c r="K132" s="1738">
        <v>0</v>
      </c>
      <c r="L132" s="1739">
        <f t="shared" si="77"/>
        <v>0</v>
      </c>
      <c r="M132" s="1737"/>
      <c r="N132" s="1784"/>
      <c r="O132" s="1809"/>
      <c r="P132" s="1737"/>
      <c r="Q132" s="1784"/>
      <c r="R132" s="1809"/>
      <c r="S132" s="1737"/>
      <c r="T132" s="1784"/>
      <c r="U132" s="1809"/>
      <c r="V132" s="1737"/>
      <c r="W132" s="1784"/>
      <c r="X132" s="1809"/>
      <c r="Y132" s="1737"/>
      <c r="Z132" s="1784"/>
      <c r="AA132" s="1809"/>
      <c r="AB132" s="1737"/>
      <c r="AC132" s="1784"/>
      <c r="AD132" s="1810"/>
      <c r="AE132" s="1737"/>
      <c r="AF132" s="1784"/>
      <c r="AG132" s="1784"/>
      <c r="AH132" s="1738">
        <f t="shared" si="71"/>
        <v>0</v>
      </c>
      <c r="AI132" s="1738">
        <f t="shared" si="72"/>
        <v>0</v>
      </c>
      <c r="AJ132" s="1738">
        <f t="shared" si="73"/>
        <v>0</v>
      </c>
      <c r="AK132" s="1738">
        <f t="shared" si="74"/>
        <v>0</v>
      </c>
      <c r="AL132" s="1739">
        <f t="shared" si="75"/>
        <v>0</v>
      </c>
      <c r="AM132" s="1785"/>
      <c r="AN132" s="1785"/>
      <c r="AO132" s="1785"/>
      <c r="AP132" s="1785"/>
    </row>
    <row r="133" spans="2:47" x14ac:dyDescent="0.3">
      <c r="B133" s="1804" t="s">
        <v>2046</v>
      </c>
      <c r="C133" s="1784" t="str">
        <f t="shared" si="76"/>
        <v>SKY</v>
      </c>
      <c r="D133" s="1784"/>
      <c r="E133" s="1805" t="s">
        <v>7739</v>
      </c>
      <c r="F133" s="1776"/>
      <c r="G133" s="1807">
        <v>2</v>
      </c>
      <c r="H133" s="1808">
        <v>110622590</v>
      </c>
      <c r="I133" s="1739">
        <f t="shared" si="64"/>
        <v>55311295</v>
      </c>
      <c r="J133" s="1737"/>
      <c r="K133" s="1784"/>
      <c r="L133" s="1809"/>
      <c r="M133" s="1737"/>
      <c r="N133" s="1784"/>
      <c r="O133" s="1809"/>
      <c r="P133" s="1737"/>
      <c r="Q133" s="1784"/>
      <c r="R133" s="1809"/>
      <c r="S133" s="1737"/>
      <c r="T133" s="1784"/>
      <c r="U133" s="1809"/>
      <c r="V133" s="1737"/>
      <c r="W133" s="1784"/>
      <c r="X133" s="1809"/>
      <c r="Y133" s="1737"/>
      <c r="Z133" s="1784"/>
      <c r="AA133" s="1809"/>
      <c r="AB133" s="1737"/>
      <c r="AC133" s="1784"/>
      <c r="AD133" s="1810"/>
      <c r="AE133" s="1737"/>
      <c r="AF133" s="1784"/>
      <c r="AG133" s="1784"/>
      <c r="AH133" s="1738">
        <f t="shared" si="71"/>
        <v>0</v>
      </c>
      <c r="AI133" s="1738">
        <f t="shared" si="72"/>
        <v>0</v>
      </c>
      <c r="AJ133" s="1738">
        <f t="shared" si="73"/>
        <v>0</v>
      </c>
      <c r="AK133" s="1738">
        <f t="shared" si="74"/>
        <v>0</v>
      </c>
      <c r="AL133" s="1739">
        <f t="shared" si="75"/>
        <v>0</v>
      </c>
      <c r="AM133" s="1785"/>
      <c r="AN133" s="1785"/>
      <c r="AO133" s="1785"/>
      <c r="AP133" s="1785"/>
    </row>
    <row r="134" spans="2:47" x14ac:dyDescent="0.3">
      <c r="B134" s="1804" t="s">
        <v>2061</v>
      </c>
      <c r="C134" s="1784" t="str">
        <f t="shared" si="76"/>
        <v>활선차</v>
      </c>
      <c r="D134" s="1784"/>
      <c r="E134" s="1811" t="s">
        <v>7741</v>
      </c>
      <c r="F134" s="1776"/>
      <c r="G134" s="1807"/>
      <c r="H134" s="1808"/>
      <c r="I134" s="1739"/>
      <c r="J134" s="1737"/>
      <c r="K134" s="1784"/>
      <c r="L134" s="1809"/>
      <c r="M134" s="1806">
        <v>1</v>
      </c>
      <c r="N134" s="1738">
        <v>103459050</v>
      </c>
      <c r="O134" s="1739">
        <f t="shared" ref="O134" si="92">IFERROR(N134/M134,)</f>
        <v>103459050</v>
      </c>
      <c r="P134" s="1737">
        <v>12</v>
      </c>
      <c r="Q134" s="1738">
        <f>P134*R134</f>
        <v>1692900000</v>
      </c>
      <c r="R134" s="1739">
        <f>VLOOKUP(B134,$B$6:$R$92,17,)*0.95</f>
        <v>141075000</v>
      </c>
      <c r="S134" s="1737">
        <v>14</v>
      </c>
      <c r="T134" s="1738">
        <f t="shared" ref="T134" si="93">S134*U134</f>
        <v>2073802500</v>
      </c>
      <c r="U134" s="1739">
        <f>R134*1.05</f>
        <v>148128750</v>
      </c>
      <c r="V134" s="1737">
        <v>16</v>
      </c>
      <c r="W134" s="1738">
        <f>V134*X134</f>
        <v>2488563000</v>
      </c>
      <c r="X134" s="1739">
        <f>U134*1.05</f>
        <v>155535187.5</v>
      </c>
      <c r="Y134" s="1737">
        <v>18</v>
      </c>
      <c r="Z134" s="1738">
        <f>Y134*AA134</f>
        <v>2939615043.75</v>
      </c>
      <c r="AA134" s="1739">
        <f>X134*1.05</f>
        <v>163311946.875</v>
      </c>
      <c r="AB134" s="1737">
        <v>20</v>
      </c>
      <c r="AC134" s="1738">
        <f>AB134*AD134</f>
        <v>3429550884.375</v>
      </c>
      <c r="AD134" s="1739">
        <f>AA134*1.05</f>
        <v>171477544.21875</v>
      </c>
      <c r="AE134" s="1737"/>
      <c r="AF134" s="1784"/>
      <c r="AG134" s="1784"/>
      <c r="AH134" s="1738">
        <f t="shared" si="71"/>
        <v>951767895.21089315</v>
      </c>
      <c r="AI134" s="1738">
        <f t="shared" si="72"/>
        <v>1165915671.6333442</v>
      </c>
      <c r="AJ134" s="1738">
        <f t="shared" si="73"/>
        <v>1399098805.9600129</v>
      </c>
      <c r="AK134" s="1738">
        <f t="shared" si="74"/>
        <v>1652685464.5402653</v>
      </c>
      <c r="AL134" s="1739">
        <f t="shared" si="75"/>
        <v>1928133041.9636428</v>
      </c>
      <c r="AM134" s="1785"/>
      <c r="AN134" s="1785"/>
      <c r="AO134" s="1785"/>
      <c r="AP134" s="1785"/>
    </row>
    <row r="135" spans="2:47" x14ac:dyDescent="0.3">
      <c r="B135" s="1804" t="s">
        <v>7436</v>
      </c>
      <c r="C135" s="1784" t="s">
        <v>2802</v>
      </c>
      <c r="D135" s="1784"/>
      <c r="E135" s="1805" t="s">
        <v>7742</v>
      </c>
      <c r="F135" s="1776"/>
      <c r="G135" s="1737"/>
      <c r="H135" s="1738"/>
      <c r="I135" s="1739">
        <f t="shared" si="64"/>
        <v>0</v>
      </c>
      <c r="J135" s="1737">
        <v>1</v>
      </c>
      <c r="K135" s="1738">
        <v>128790540</v>
      </c>
      <c r="L135" s="1739">
        <f t="shared" si="77"/>
        <v>128790540</v>
      </c>
      <c r="M135" s="1737"/>
      <c r="N135" s="1784"/>
      <c r="O135" s="1739">
        <f t="shared" si="65"/>
        <v>0</v>
      </c>
      <c r="P135" s="1737">
        <v>0</v>
      </c>
      <c r="Q135" s="1738">
        <v>0</v>
      </c>
      <c r="R135" s="1739">
        <f t="shared" si="66"/>
        <v>0</v>
      </c>
      <c r="S135" s="1737">
        <v>0</v>
      </c>
      <c r="T135" s="1738">
        <v>0</v>
      </c>
      <c r="U135" s="1739">
        <f t="shared" si="67"/>
        <v>0</v>
      </c>
      <c r="V135" s="1737">
        <v>0</v>
      </c>
      <c r="W135" s="1738">
        <v>0</v>
      </c>
      <c r="X135" s="1739">
        <f t="shared" si="68"/>
        <v>0</v>
      </c>
      <c r="Y135" s="1737">
        <v>0</v>
      </c>
      <c r="Z135" s="1738">
        <v>0</v>
      </c>
      <c r="AA135" s="1739">
        <f t="shared" si="69"/>
        <v>0</v>
      </c>
      <c r="AB135" s="1737">
        <v>0</v>
      </c>
      <c r="AC135" s="1738">
        <v>0</v>
      </c>
      <c r="AD135" s="1741">
        <f t="shared" si="70"/>
        <v>0</v>
      </c>
      <c r="AE135" s="1740"/>
      <c r="AF135" s="1738"/>
      <c r="AG135" s="1738"/>
      <c r="AH135" s="1738">
        <f t="shared" si="71"/>
        <v>0</v>
      </c>
      <c r="AI135" s="1738">
        <f t="shared" si="72"/>
        <v>0</v>
      </c>
      <c r="AJ135" s="1738">
        <f t="shared" si="73"/>
        <v>0</v>
      </c>
      <c r="AK135" s="1738">
        <f t="shared" si="74"/>
        <v>0</v>
      </c>
      <c r="AL135" s="1739">
        <f t="shared" si="75"/>
        <v>0</v>
      </c>
      <c r="AM135" s="1742"/>
      <c r="AN135" s="1742"/>
      <c r="AO135" s="1742"/>
      <c r="AP135" s="1742"/>
      <c r="AT135" s="489"/>
      <c r="AU135" s="489"/>
    </row>
    <row r="136" spans="2:47" x14ac:dyDescent="0.3">
      <c r="B136" s="1804" t="s">
        <v>2039</v>
      </c>
      <c r="C136" s="1784" t="str">
        <f t="shared" si="76"/>
        <v>고소작업차</v>
      </c>
      <c r="D136" s="1784"/>
      <c r="E136" s="1805" t="s">
        <v>7742</v>
      </c>
      <c r="F136" s="1776"/>
      <c r="G136" s="1737"/>
      <c r="H136" s="1738"/>
      <c r="I136" s="1739">
        <f t="shared" si="64"/>
        <v>0</v>
      </c>
      <c r="J136" s="1737">
        <v>1</v>
      </c>
      <c r="K136" s="1738">
        <v>34696866</v>
      </c>
      <c r="L136" s="1739">
        <f t="shared" si="77"/>
        <v>34696866</v>
      </c>
      <c r="M136" s="1737"/>
      <c r="N136" s="1784"/>
      <c r="O136" s="1739">
        <f t="shared" si="65"/>
        <v>0</v>
      </c>
      <c r="P136" s="1737">
        <v>0</v>
      </c>
      <c r="Q136" s="1738">
        <v>0</v>
      </c>
      <c r="R136" s="1739">
        <f t="shared" si="66"/>
        <v>0</v>
      </c>
      <c r="S136" s="1737">
        <v>0</v>
      </c>
      <c r="T136" s="1738">
        <v>0</v>
      </c>
      <c r="U136" s="1739">
        <f t="shared" si="67"/>
        <v>0</v>
      </c>
      <c r="V136" s="1737">
        <v>0</v>
      </c>
      <c r="W136" s="1738">
        <v>0</v>
      </c>
      <c r="X136" s="1739">
        <f t="shared" si="68"/>
        <v>0</v>
      </c>
      <c r="Y136" s="1737">
        <v>0</v>
      </c>
      <c r="Z136" s="1738">
        <v>0</v>
      </c>
      <c r="AA136" s="1739">
        <f t="shared" si="69"/>
        <v>0</v>
      </c>
      <c r="AB136" s="1737">
        <v>0</v>
      </c>
      <c r="AC136" s="1738">
        <v>0</v>
      </c>
      <c r="AD136" s="1741">
        <f t="shared" si="70"/>
        <v>0</v>
      </c>
      <c r="AE136" s="1740"/>
      <c r="AF136" s="1738"/>
      <c r="AG136" s="1738"/>
      <c r="AH136" s="1738">
        <f t="shared" si="71"/>
        <v>0</v>
      </c>
      <c r="AI136" s="1738">
        <f t="shared" si="72"/>
        <v>0</v>
      </c>
      <c r="AJ136" s="1738">
        <f t="shared" si="73"/>
        <v>0</v>
      </c>
      <c r="AK136" s="1738">
        <f t="shared" si="74"/>
        <v>0</v>
      </c>
      <c r="AL136" s="1739">
        <f t="shared" si="75"/>
        <v>0</v>
      </c>
      <c r="AM136" s="1742"/>
      <c r="AN136" s="1742"/>
      <c r="AO136" s="1742"/>
      <c r="AP136" s="1742"/>
      <c r="AT136" s="489"/>
      <c r="AU136" s="489"/>
    </row>
    <row r="137" spans="2:47" x14ac:dyDescent="0.3">
      <c r="B137" s="1804" t="s">
        <v>2046</v>
      </c>
      <c r="C137" s="1784" t="str">
        <f t="shared" si="76"/>
        <v>SKY</v>
      </c>
      <c r="D137" s="1784"/>
      <c r="E137" s="1805" t="s">
        <v>7742</v>
      </c>
      <c r="F137" s="1776"/>
      <c r="G137" s="1737"/>
      <c r="H137" s="1738"/>
      <c r="I137" s="1739">
        <f t="shared" si="64"/>
        <v>0</v>
      </c>
      <c r="J137" s="1737">
        <v>2</v>
      </c>
      <c r="K137" s="1738">
        <v>122136000</v>
      </c>
      <c r="L137" s="1739">
        <f t="shared" si="77"/>
        <v>61068000</v>
      </c>
      <c r="M137" s="1737"/>
      <c r="N137" s="1784"/>
      <c r="O137" s="1739">
        <f t="shared" si="65"/>
        <v>0</v>
      </c>
      <c r="P137" s="1737">
        <v>0</v>
      </c>
      <c r="Q137" s="1738">
        <v>0</v>
      </c>
      <c r="R137" s="1739">
        <f t="shared" si="66"/>
        <v>0</v>
      </c>
      <c r="S137" s="1737">
        <v>0</v>
      </c>
      <c r="T137" s="1738">
        <v>0</v>
      </c>
      <c r="U137" s="1739">
        <f t="shared" si="67"/>
        <v>0</v>
      </c>
      <c r="V137" s="1737">
        <v>0</v>
      </c>
      <c r="W137" s="1738">
        <v>0</v>
      </c>
      <c r="X137" s="1739">
        <f t="shared" si="68"/>
        <v>0</v>
      </c>
      <c r="Y137" s="1737">
        <v>0</v>
      </c>
      <c r="Z137" s="1738">
        <v>0</v>
      </c>
      <c r="AA137" s="1739">
        <f t="shared" si="69"/>
        <v>0</v>
      </c>
      <c r="AB137" s="1737">
        <v>0</v>
      </c>
      <c r="AC137" s="1738">
        <v>0</v>
      </c>
      <c r="AD137" s="1741">
        <f t="shared" si="70"/>
        <v>0</v>
      </c>
      <c r="AE137" s="1740"/>
      <c r="AF137" s="1738"/>
      <c r="AG137" s="1738"/>
      <c r="AH137" s="1738">
        <f t="shared" si="71"/>
        <v>0</v>
      </c>
      <c r="AI137" s="1738">
        <f t="shared" si="72"/>
        <v>0</v>
      </c>
      <c r="AJ137" s="1738">
        <f t="shared" si="73"/>
        <v>0</v>
      </c>
      <c r="AK137" s="1738">
        <f t="shared" si="74"/>
        <v>0</v>
      </c>
      <c r="AL137" s="1739">
        <f t="shared" si="75"/>
        <v>0</v>
      </c>
      <c r="AM137" s="1742"/>
      <c r="AN137" s="1742"/>
      <c r="AO137" s="1742"/>
      <c r="AP137" s="1742"/>
      <c r="AT137" s="489"/>
      <c r="AU137" s="489"/>
    </row>
    <row r="138" spans="2:47" x14ac:dyDescent="0.3">
      <c r="B138" s="1804" t="s">
        <v>2030</v>
      </c>
      <c r="C138" s="1784" t="str">
        <f t="shared" si="76"/>
        <v>고소작업차</v>
      </c>
      <c r="D138" s="1784"/>
      <c r="E138" s="1805" t="s">
        <v>7742</v>
      </c>
      <c r="F138" s="1776"/>
      <c r="G138" s="1737"/>
      <c r="H138" s="1738"/>
      <c r="I138" s="1739">
        <f t="shared" si="64"/>
        <v>0</v>
      </c>
      <c r="J138" s="1737">
        <v>1</v>
      </c>
      <c r="K138" s="1738">
        <v>36149007</v>
      </c>
      <c r="L138" s="1739">
        <f t="shared" si="77"/>
        <v>36149007</v>
      </c>
      <c r="M138" s="1737"/>
      <c r="N138" s="1784"/>
      <c r="O138" s="1739">
        <f t="shared" si="65"/>
        <v>0</v>
      </c>
      <c r="P138" s="1737">
        <v>0</v>
      </c>
      <c r="Q138" s="1738">
        <v>0</v>
      </c>
      <c r="R138" s="1739">
        <f t="shared" si="66"/>
        <v>0</v>
      </c>
      <c r="S138" s="1737">
        <v>0</v>
      </c>
      <c r="T138" s="1738">
        <v>0</v>
      </c>
      <c r="U138" s="1739">
        <f t="shared" si="67"/>
        <v>0</v>
      </c>
      <c r="V138" s="1737">
        <v>0</v>
      </c>
      <c r="W138" s="1738">
        <v>0</v>
      </c>
      <c r="X138" s="1739">
        <f t="shared" si="68"/>
        <v>0</v>
      </c>
      <c r="Y138" s="1737">
        <v>0</v>
      </c>
      <c r="Z138" s="1738">
        <v>0</v>
      </c>
      <c r="AA138" s="1739">
        <f t="shared" si="69"/>
        <v>0</v>
      </c>
      <c r="AB138" s="1737">
        <v>0</v>
      </c>
      <c r="AC138" s="1738">
        <v>0</v>
      </c>
      <c r="AD138" s="1741">
        <f t="shared" si="70"/>
        <v>0</v>
      </c>
      <c r="AE138" s="1740"/>
      <c r="AF138" s="1738"/>
      <c r="AG138" s="1738"/>
      <c r="AH138" s="1738">
        <f t="shared" si="71"/>
        <v>0</v>
      </c>
      <c r="AI138" s="1738">
        <f t="shared" si="72"/>
        <v>0</v>
      </c>
      <c r="AJ138" s="1738">
        <f t="shared" si="73"/>
        <v>0</v>
      </c>
      <c r="AK138" s="1738">
        <f t="shared" si="74"/>
        <v>0</v>
      </c>
      <c r="AL138" s="1739">
        <f t="shared" si="75"/>
        <v>0</v>
      </c>
      <c r="AM138" s="1742"/>
      <c r="AN138" s="1742"/>
      <c r="AO138" s="1742"/>
      <c r="AP138" s="1742"/>
      <c r="AT138" s="489"/>
      <c r="AU138" s="489"/>
    </row>
    <row r="139" spans="2:47" x14ac:dyDescent="0.3">
      <c r="B139" s="1804" t="s">
        <v>2060</v>
      </c>
      <c r="C139" s="1784" t="str">
        <f t="shared" si="76"/>
        <v>활선차</v>
      </c>
      <c r="D139" s="1784"/>
      <c r="E139" s="1805" t="s">
        <v>7743</v>
      </c>
      <c r="F139" s="1776"/>
      <c r="G139" s="1737"/>
      <c r="H139" s="1738"/>
      <c r="I139" s="1739">
        <f t="shared" si="64"/>
        <v>0</v>
      </c>
      <c r="J139" s="1737">
        <v>0</v>
      </c>
      <c r="K139" s="1738">
        <v>0</v>
      </c>
      <c r="L139" s="1739">
        <f t="shared" si="77"/>
        <v>0</v>
      </c>
      <c r="M139" s="1806">
        <v>3</v>
      </c>
      <c r="N139" s="1738">
        <v>502149915</v>
      </c>
      <c r="O139" s="1739">
        <f t="shared" si="65"/>
        <v>167383305</v>
      </c>
      <c r="P139" s="1737">
        <v>0</v>
      </c>
      <c r="Q139" s="1738">
        <v>0</v>
      </c>
      <c r="R139" s="1739">
        <f t="shared" si="66"/>
        <v>0</v>
      </c>
      <c r="S139" s="1737">
        <v>0</v>
      </c>
      <c r="T139" s="1738">
        <v>0</v>
      </c>
      <c r="U139" s="1739">
        <f t="shared" si="67"/>
        <v>0</v>
      </c>
      <c r="V139" s="1737">
        <v>0</v>
      </c>
      <c r="W139" s="1738">
        <v>0</v>
      </c>
      <c r="X139" s="1739">
        <f t="shared" si="68"/>
        <v>0</v>
      </c>
      <c r="Y139" s="1737">
        <v>0</v>
      </c>
      <c r="Z139" s="1738">
        <v>0</v>
      </c>
      <c r="AA139" s="1739">
        <f t="shared" si="69"/>
        <v>0</v>
      </c>
      <c r="AB139" s="1737">
        <v>0</v>
      </c>
      <c r="AC139" s="1738">
        <v>0</v>
      </c>
      <c r="AD139" s="1741">
        <f t="shared" si="70"/>
        <v>0</v>
      </c>
      <c r="AE139" s="1740"/>
      <c r="AF139" s="1738"/>
      <c r="AG139" s="1738"/>
      <c r="AH139" s="1738">
        <f t="shared" si="71"/>
        <v>0</v>
      </c>
      <c r="AI139" s="1738">
        <f t="shared" si="72"/>
        <v>0</v>
      </c>
      <c r="AJ139" s="1738">
        <f t="shared" si="73"/>
        <v>0</v>
      </c>
      <c r="AK139" s="1738">
        <f t="shared" si="74"/>
        <v>0</v>
      </c>
      <c r="AL139" s="1739">
        <f t="shared" si="75"/>
        <v>0</v>
      </c>
      <c r="AM139" s="1742"/>
      <c r="AN139" s="1742"/>
      <c r="AO139" s="1742"/>
      <c r="AP139" s="1742"/>
      <c r="AT139" s="489"/>
      <c r="AU139" s="489"/>
    </row>
    <row r="140" spans="2:47" x14ac:dyDescent="0.3">
      <c r="B140" s="1804" t="s">
        <v>7393</v>
      </c>
      <c r="C140" s="1784" t="s">
        <v>2023</v>
      </c>
      <c r="D140" s="1784"/>
      <c r="E140" s="1805" t="s">
        <v>7743</v>
      </c>
      <c r="F140" s="1776"/>
      <c r="G140" s="1737"/>
      <c r="H140" s="1738"/>
      <c r="I140" s="1739">
        <f t="shared" si="64"/>
        <v>0</v>
      </c>
      <c r="J140" s="1737"/>
      <c r="K140" s="1738"/>
      <c r="L140" s="1739"/>
      <c r="M140" s="1806"/>
      <c r="N140" s="1738"/>
      <c r="O140" s="1739">
        <f t="shared" si="65"/>
        <v>0</v>
      </c>
      <c r="P140" s="1737">
        <v>10</v>
      </c>
      <c r="Q140" s="1738">
        <f t="shared" ref="Q140:Q142" si="94">P140*R140</f>
        <v>1862500000</v>
      </c>
      <c r="R140" s="1739">
        <f>R141+20000000</f>
        <v>186250000</v>
      </c>
      <c r="S140" s="1737">
        <v>12</v>
      </c>
      <c r="T140" s="1738">
        <f t="shared" ref="T140:T142" si="95">S140*U140</f>
        <v>2346750000</v>
      </c>
      <c r="U140" s="1739">
        <f t="shared" ref="U140:U142" si="96">R140*1.05</f>
        <v>195562500</v>
      </c>
      <c r="V140" s="1737">
        <v>14</v>
      </c>
      <c r="W140" s="1738">
        <f t="shared" ref="W140:W142" si="97">V140*X140</f>
        <v>2874768750</v>
      </c>
      <c r="X140" s="1739">
        <f t="shared" ref="X140:X142" si="98">U140*1.05</f>
        <v>205340625</v>
      </c>
      <c r="Y140" s="1737">
        <v>16</v>
      </c>
      <c r="Z140" s="1738">
        <f t="shared" ref="Z140:Z142" si="99">Y140*AA140</f>
        <v>3449722500</v>
      </c>
      <c r="AA140" s="1739">
        <f t="shared" ref="AA140:AA142" si="100">X140*1.05</f>
        <v>215607656.25</v>
      </c>
      <c r="AB140" s="1737">
        <v>18</v>
      </c>
      <c r="AC140" s="1738">
        <f t="shared" ref="AC140:AC142" si="101">AB140*AD140</f>
        <v>4074984703.125</v>
      </c>
      <c r="AD140" s="1739">
        <f t="shared" ref="AD140:AD142" si="102">AA140*1.05</f>
        <v>226388039.0625</v>
      </c>
      <c r="AE140" s="1740"/>
      <c r="AF140" s="1738"/>
      <c r="AG140" s="1738"/>
      <c r="AH140" s="1738">
        <f t="shared" si="71"/>
        <v>1047118970.3055636</v>
      </c>
      <c r="AI140" s="1738">
        <f t="shared" si="72"/>
        <v>1319369902.5850101</v>
      </c>
      <c r="AJ140" s="1738">
        <f t="shared" si="73"/>
        <v>1616228130.6666374</v>
      </c>
      <c r="AK140" s="1738">
        <f t="shared" si="74"/>
        <v>1939473756.7999649</v>
      </c>
      <c r="AL140" s="1739">
        <f t="shared" si="75"/>
        <v>2291003375.2199583</v>
      </c>
      <c r="AM140" s="1742"/>
      <c r="AN140" s="1742"/>
      <c r="AO140" s="1742"/>
      <c r="AP140" s="1742"/>
      <c r="AT140" s="489"/>
      <c r="AU140" s="489"/>
    </row>
    <row r="141" spans="2:47" x14ac:dyDescent="0.3">
      <c r="B141" s="1804" t="s">
        <v>2062</v>
      </c>
      <c r="C141" s="1784" t="str">
        <f t="shared" si="76"/>
        <v>활선차</v>
      </c>
      <c r="D141" s="1784"/>
      <c r="E141" s="1805" t="s">
        <v>7743</v>
      </c>
      <c r="F141" s="1776"/>
      <c r="G141" s="1737"/>
      <c r="H141" s="1738"/>
      <c r="I141" s="1739">
        <f t="shared" si="64"/>
        <v>0</v>
      </c>
      <c r="J141" s="1737"/>
      <c r="K141" s="1738"/>
      <c r="L141" s="1739"/>
      <c r="M141" s="1806"/>
      <c r="N141" s="1738"/>
      <c r="O141" s="1739">
        <f t="shared" si="65"/>
        <v>0</v>
      </c>
      <c r="P141" s="1737">
        <v>10</v>
      </c>
      <c r="Q141" s="1738">
        <f t="shared" si="94"/>
        <v>1662500000</v>
      </c>
      <c r="R141" s="1739">
        <f>VLOOKUP(B141,$B$6:$R$92,17,)*0.95</f>
        <v>166250000</v>
      </c>
      <c r="S141" s="1737">
        <v>10</v>
      </c>
      <c r="T141" s="1738">
        <f t="shared" si="95"/>
        <v>1745625000</v>
      </c>
      <c r="U141" s="1739">
        <f t="shared" si="96"/>
        <v>174562500</v>
      </c>
      <c r="V141" s="1737">
        <v>10</v>
      </c>
      <c r="W141" s="1738">
        <f t="shared" si="97"/>
        <v>1832906250</v>
      </c>
      <c r="X141" s="1739">
        <f t="shared" si="98"/>
        <v>183290625</v>
      </c>
      <c r="Y141" s="1737">
        <v>10</v>
      </c>
      <c r="Z141" s="1738">
        <f t="shared" si="99"/>
        <v>1924551562.5</v>
      </c>
      <c r="AA141" s="1739">
        <f t="shared" si="100"/>
        <v>192455156.25</v>
      </c>
      <c r="AB141" s="1737">
        <v>10</v>
      </c>
      <c r="AC141" s="1738">
        <f t="shared" si="101"/>
        <v>2020779140.625</v>
      </c>
      <c r="AD141" s="1739">
        <f t="shared" si="102"/>
        <v>202077914.0625</v>
      </c>
      <c r="AE141" s="1740"/>
      <c r="AF141" s="1738"/>
      <c r="AG141" s="1738"/>
      <c r="AH141" s="1738">
        <f t="shared" si="71"/>
        <v>934676664.76939559</v>
      </c>
      <c r="AI141" s="1738">
        <f t="shared" si="72"/>
        <v>981410498.00786543</v>
      </c>
      <c r="AJ141" s="1738">
        <f t="shared" si="73"/>
        <v>1030481022.9082587</v>
      </c>
      <c r="AK141" s="1738">
        <f t="shared" si="74"/>
        <v>1082005074.0536716</v>
      </c>
      <c r="AL141" s="1739">
        <f t="shared" si="75"/>
        <v>1136105327.7563553</v>
      </c>
      <c r="AM141" s="1742"/>
      <c r="AN141" s="1742"/>
      <c r="AO141" s="1742"/>
      <c r="AP141" s="1742"/>
      <c r="AT141" s="489"/>
      <c r="AU141" s="489"/>
    </row>
    <row r="142" spans="2:47" x14ac:dyDescent="0.3">
      <c r="B142" s="1804" t="s">
        <v>2035</v>
      </c>
      <c r="C142" s="1784" t="str">
        <f t="shared" si="76"/>
        <v>고소작업차</v>
      </c>
      <c r="D142" s="1784"/>
      <c r="E142" s="1805" t="s">
        <v>7743</v>
      </c>
      <c r="F142" s="1776"/>
      <c r="G142" s="1737"/>
      <c r="H142" s="1738"/>
      <c r="I142" s="1739">
        <f t="shared" si="64"/>
        <v>0</v>
      </c>
      <c r="J142" s="1737"/>
      <c r="K142" s="1738"/>
      <c r="L142" s="1739"/>
      <c r="M142" s="1806"/>
      <c r="N142" s="1738"/>
      <c r="O142" s="1739">
        <f t="shared" si="65"/>
        <v>0</v>
      </c>
      <c r="P142" s="1737">
        <v>10</v>
      </c>
      <c r="Q142" s="1738">
        <f t="shared" si="94"/>
        <v>460750000</v>
      </c>
      <c r="R142" s="1739">
        <f>VLOOKUP(B142,$B$6:$R$92,17,)*0.95</f>
        <v>46075000</v>
      </c>
      <c r="S142" s="1737">
        <v>13</v>
      </c>
      <c r="T142" s="1738">
        <f t="shared" si="95"/>
        <v>628923750</v>
      </c>
      <c r="U142" s="1739">
        <f t="shared" si="96"/>
        <v>48378750</v>
      </c>
      <c r="V142" s="1737">
        <v>16</v>
      </c>
      <c r="W142" s="1738">
        <f t="shared" si="97"/>
        <v>812763000</v>
      </c>
      <c r="X142" s="1739">
        <f t="shared" si="98"/>
        <v>50797687.5</v>
      </c>
      <c r="Y142" s="1737">
        <v>19</v>
      </c>
      <c r="Z142" s="1738">
        <f t="shared" si="99"/>
        <v>1013413865.625</v>
      </c>
      <c r="AA142" s="1739">
        <f t="shared" si="100"/>
        <v>53337571.875</v>
      </c>
      <c r="AB142" s="1737">
        <v>22</v>
      </c>
      <c r="AC142" s="1738">
        <f t="shared" si="101"/>
        <v>1232097910.3125</v>
      </c>
      <c r="AD142" s="1739">
        <f t="shared" si="102"/>
        <v>56004450.46875</v>
      </c>
      <c r="AE142" s="1740"/>
      <c r="AF142" s="1738"/>
      <c r="AG142" s="1738"/>
      <c r="AH142" s="1738">
        <f t="shared" si="71"/>
        <v>259038961.37894678</v>
      </c>
      <c r="AI142" s="1738">
        <f t="shared" si="72"/>
        <v>353588182.28226238</v>
      </c>
      <c r="AJ142" s="1738">
        <f t="shared" si="73"/>
        <v>456944727.87246215</v>
      </c>
      <c r="AK142" s="1738">
        <f t="shared" si="74"/>
        <v>569752957.56597626</v>
      </c>
      <c r="AL142" s="1739">
        <f t="shared" si="75"/>
        <v>692699648.40916061</v>
      </c>
      <c r="AM142" s="1742"/>
      <c r="AN142" s="1742"/>
      <c r="AO142" s="1742"/>
      <c r="AP142" s="1742"/>
      <c r="AT142" s="489"/>
      <c r="AU142" s="489"/>
    </row>
    <row r="143" spans="2:47" x14ac:dyDescent="0.3">
      <c r="B143" s="1804" t="s">
        <v>2045</v>
      </c>
      <c r="C143" s="1784" t="str">
        <f t="shared" si="76"/>
        <v>고소작업차</v>
      </c>
      <c r="D143" s="1784"/>
      <c r="E143" s="1805" t="s">
        <v>7743</v>
      </c>
      <c r="F143" s="1776"/>
      <c r="G143" s="1807">
        <v>1</v>
      </c>
      <c r="H143" s="1808">
        <v>38085735</v>
      </c>
      <c r="I143" s="1739">
        <f t="shared" si="64"/>
        <v>38085735</v>
      </c>
      <c r="J143" s="1737"/>
      <c r="K143" s="1784"/>
      <c r="L143" s="1809"/>
      <c r="M143" s="1737"/>
      <c r="N143" s="1784"/>
      <c r="O143" s="1809"/>
      <c r="P143" s="1737"/>
      <c r="Q143" s="1784"/>
      <c r="R143" s="1809"/>
      <c r="S143" s="1737"/>
      <c r="T143" s="1784"/>
      <c r="U143" s="1809"/>
      <c r="V143" s="1737"/>
      <c r="W143" s="1784"/>
      <c r="X143" s="1809"/>
      <c r="Y143" s="1737"/>
      <c r="Z143" s="1784"/>
      <c r="AA143" s="1809"/>
      <c r="AB143" s="1737"/>
      <c r="AC143" s="1784"/>
      <c r="AD143" s="1810"/>
      <c r="AE143" s="1737"/>
      <c r="AF143" s="1784"/>
      <c r="AG143" s="1784"/>
      <c r="AH143" s="1738">
        <f t="shared" si="71"/>
        <v>0</v>
      </c>
      <c r="AI143" s="1738">
        <f t="shared" si="72"/>
        <v>0</v>
      </c>
      <c r="AJ143" s="1738">
        <f t="shared" si="73"/>
        <v>0</v>
      </c>
      <c r="AK143" s="1738">
        <f t="shared" si="74"/>
        <v>0</v>
      </c>
      <c r="AL143" s="1739">
        <f t="shared" si="75"/>
        <v>0</v>
      </c>
      <c r="AM143" s="1785"/>
      <c r="AN143" s="1785"/>
      <c r="AO143" s="1785"/>
      <c r="AP143" s="1785"/>
    </row>
    <row r="144" spans="2:47" x14ac:dyDescent="0.3">
      <c r="B144" s="1804" t="s">
        <v>2058</v>
      </c>
      <c r="C144" s="1784" t="str">
        <f t="shared" si="76"/>
        <v>고소작업차</v>
      </c>
      <c r="D144" s="1784"/>
      <c r="E144" s="1805" t="s">
        <v>7743</v>
      </c>
      <c r="F144" s="1776"/>
      <c r="G144" s="1807">
        <v>6</v>
      </c>
      <c r="H144" s="1808">
        <v>22374590</v>
      </c>
      <c r="I144" s="1739">
        <f t="shared" si="64"/>
        <v>3729098.3333333335</v>
      </c>
      <c r="J144" s="1737"/>
      <c r="K144" s="1784"/>
      <c r="L144" s="1809"/>
      <c r="M144" s="1737"/>
      <c r="N144" s="1784"/>
      <c r="O144" s="1809"/>
      <c r="P144" s="1737"/>
      <c r="Q144" s="1784"/>
      <c r="R144" s="1809"/>
      <c r="S144" s="1737"/>
      <c r="T144" s="1784"/>
      <c r="U144" s="1809"/>
      <c r="V144" s="1737"/>
      <c r="W144" s="1784"/>
      <c r="X144" s="1809"/>
      <c r="Y144" s="1737"/>
      <c r="Z144" s="1784"/>
      <c r="AA144" s="1809"/>
      <c r="AB144" s="1737"/>
      <c r="AC144" s="1784"/>
      <c r="AD144" s="1810"/>
      <c r="AE144" s="1737"/>
      <c r="AF144" s="1784"/>
      <c r="AG144" s="1784"/>
      <c r="AH144" s="1738">
        <f t="shared" si="71"/>
        <v>0</v>
      </c>
      <c r="AI144" s="1738">
        <f t="shared" si="72"/>
        <v>0</v>
      </c>
      <c r="AJ144" s="1738">
        <f t="shared" si="73"/>
        <v>0</v>
      </c>
      <c r="AK144" s="1738">
        <f t="shared" si="74"/>
        <v>0</v>
      </c>
      <c r="AL144" s="1739">
        <f t="shared" si="75"/>
        <v>0</v>
      </c>
      <c r="AM144" s="1785"/>
      <c r="AN144" s="1785"/>
      <c r="AO144" s="1785"/>
      <c r="AP144" s="1785"/>
    </row>
    <row r="145" spans="2:47" x14ac:dyDescent="0.3">
      <c r="B145" s="1804" t="s">
        <v>2047</v>
      </c>
      <c r="C145" s="1784" t="str">
        <f t="shared" si="76"/>
        <v>SKY</v>
      </c>
      <c r="D145" s="1784"/>
      <c r="E145" s="1805" t="s">
        <v>7744</v>
      </c>
      <c r="F145" s="1776"/>
      <c r="G145" s="1807">
        <v>1</v>
      </c>
      <c r="H145" s="1808">
        <v>127548600</v>
      </c>
      <c r="I145" s="1739">
        <f t="shared" si="64"/>
        <v>127548600</v>
      </c>
      <c r="J145" s="1737"/>
      <c r="K145" s="1784"/>
      <c r="L145" s="1809"/>
      <c r="M145" s="1737"/>
      <c r="N145" s="1784"/>
      <c r="O145" s="1809"/>
      <c r="P145" s="1737"/>
      <c r="Q145" s="1784"/>
      <c r="R145" s="1809"/>
      <c r="S145" s="1737"/>
      <c r="T145" s="1784"/>
      <c r="U145" s="1809"/>
      <c r="V145" s="1737"/>
      <c r="W145" s="1784"/>
      <c r="X145" s="1809"/>
      <c r="Y145" s="1737"/>
      <c r="Z145" s="1784"/>
      <c r="AA145" s="1809"/>
      <c r="AB145" s="1737"/>
      <c r="AC145" s="1784"/>
      <c r="AD145" s="1810"/>
      <c r="AE145" s="1737"/>
      <c r="AF145" s="1784"/>
      <c r="AG145" s="1784"/>
      <c r="AH145" s="1738">
        <f t="shared" si="71"/>
        <v>0</v>
      </c>
      <c r="AI145" s="1738">
        <f t="shared" si="72"/>
        <v>0</v>
      </c>
      <c r="AJ145" s="1738">
        <f t="shared" si="73"/>
        <v>0</v>
      </c>
      <c r="AK145" s="1738">
        <f t="shared" si="74"/>
        <v>0</v>
      </c>
      <c r="AL145" s="1739">
        <f t="shared" si="75"/>
        <v>0</v>
      </c>
      <c r="AM145" s="1785"/>
      <c r="AN145" s="1785"/>
      <c r="AO145" s="1785"/>
      <c r="AP145" s="1785"/>
    </row>
    <row r="146" spans="2:47" x14ac:dyDescent="0.3">
      <c r="B146" s="1804" t="s">
        <v>2037</v>
      </c>
      <c r="C146" s="1784" t="str">
        <f t="shared" si="76"/>
        <v>고소작업차</v>
      </c>
      <c r="D146" s="1784"/>
      <c r="E146" s="1805" t="s">
        <v>7743</v>
      </c>
      <c r="F146" s="1776"/>
      <c r="G146" s="1807">
        <v>2</v>
      </c>
      <c r="H146" s="1808">
        <v>73620565</v>
      </c>
      <c r="I146" s="1739">
        <f t="shared" si="64"/>
        <v>36810282.5</v>
      </c>
      <c r="J146" s="1737"/>
      <c r="K146" s="1784"/>
      <c r="L146" s="1809"/>
      <c r="M146" s="1737"/>
      <c r="N146" s="1784"/>
      <c r="O146" s="1809"/>
      <c r="P146" s="1737"/>
      <c r="Q146" s="1784"/>
      <c r="R146" s="1809"/>
      <c r="S146" s="1737"/>
      <c r="T146" s="1784"/>
      <c r="U146" s="1809"/>
      <c r="V146" s="1737"/>
      <c r="W146" s="1784"/>
      <c r="X146" s="1809"/>
      <c r="Y146" s="1737"/>
      <c r="Z146" s="1784"/>
      <c r="AA146" s="1809"/>
      <c r="AB146" s="1737"/>
      <c r="AC146" s="1784"/>
      <c r="AD146" s="1810"/>
      <c r="AE146" s="1737"/>
      <c r="AF146" s="1784"/>
      <c r="AG146" s="1784"/>
      <c r="AH146" s="1738">
        <f t="shared" si="71"/>
        <v>0</v>
      </c>
      <c r="AI146" s="1738">
        <f t="shared" si="72"/>
        <v>0</v>
      </c>
      <c r="AJ146" s="1738">
        <f t="shared" si="73"/>
        <v>0</v>
      </c>
      <c r="AK146" s="1738">
        <f t="shared" si="74"/>
        <v>0</v>
      </c>
      <c r="AL146" s="1739">
        <f t="shared" si="75"/>
        <v>0</v>
      </c>
      <c r="AM146" s="1785"/>
      <c r="AN146" s="1785"/>
      <c r="AO146" s="1785"/>
      <c r="AP146" s="1785"/>
    </row>
    <row r="147" spans="2:47" x14ac:dyDescent="0.3">
      <c r="B147" s="1804" t="s">
        <v>2055</v>
      </c>
      <c r="C147" s="1784" t="str">
        <f t="shared" si="76"/>
        <v>SKY</v>
      </c>
      <c r="D147" s="1784"/>
      <c r="E147" s="1805" t="s">
        <v>7745</v>
      </c>
      <c r="F147" s="1776"/>
      <c r="G147" s="1737"/>
      <c r="H147" s="1738"/>
      <c r="I147" s="1739">
        <f t="shared" si="64"/>
        <v>0</v>
      </c>
      <c r="J147" s="1737">
        <v>1</v>
      </c>
      <c r="K147" s="1738">
        <v>50237000</v>
      </c>
      <c r="L147" s="1739">
        <f t="shared" si="77"/>
        <v>50237000</v>
      </c>
      <c r="M147" s="1737"/>
      <c r="N147" s="1784"/>
      <c r="O147" s="1739">
        <f t="shared" si="65"/>
        <v>0</v>
      </c>
      <c r="P147" s="1737">
        <v>0</v>
      </c>
      <c r="Q147" s="1738">
        <v>0</v>
      </c>
      <c r="R147" s="1739">
        <f t="shared" si="66"/>
        <v>0</v>
      </c>
      <c r="S147" s="1737">
        <v>0</v>
      </c>
      <c r="T147" s="1738">
        <v>0</v>
      </c>
      <c r="U147" s="1739">
        <f t="shared" si="67"/>
        <v>0</v>
      </c>
      <c r="V147" s="1737">
        <v>0</v>
      </c>
      <c r="W147" s="1738">
        <v>0</v>
      </c>
      <c r="X147" s="1739">
        <f t="shared" si="68"/>
        <v>0</v>
      </c>
      <c r="Y147" s="1737">
        <v>0</v>
      </c>
      <c r="Z147" s="1738">
        <v>0</v>
      </c>
      <c r="AA147" s="1739">
        <f t="shared" si="69"/>
        <v>0</v>
      </c>
      <c r="AB147" s="1737">
        <v>0</v>
      </c>
      <c r="AC147" s="1738">
        <v>0</v>
      </c>
      <c r="AD147" s="1741">
        <f t="shared" si="70"/>
        <v>0</v>
      </c>
      <c r="AE147" s="1740"/>
      <c r="AF147" s="1738"/>
      <c r="AG147" s="1738"/>
      <c r="AH147" s="1738">
        <f t="shared" si="71"/>
        <v>0</v>
      </c>
      <c r="AI147" s="1738">
        <f t="shared" si="72"/>
        <v>0</v>
      </c>
      <c r="AJ147" s="1738">
        <f t="shared" si="73"/>
        <v>0</v>
      </c>
      <c r="AK147" s="1738">
        <f t="shared" si="74"/>
        <v>0</v>
      </c>
      <c r="AL147" s="1739">
        <f t="shared" si="75"/>
        <v>0</v>
      </c>
      <c r="AM147" s="1742"/>
      <c r="AN147" s="1742"/>
      <c r="AO147" s="1742"/>
      <c r="AP147" s="1742"/>
      <c r="AT147" s="489"/>
      <c r="AU147" s="489"/>
    </row>
    <row r="148" spans="2:47" x14ac:dyDescent="0.3">
      <c r="B148" s="1804" t="s">
        <v>2037</v>
      </c>
      <c r="C148" s="1784" t="str">
        <f t="shared" si="76"/>
        <v>고소작업차</v>
      </c>
      <c r="D148" s="1784"/>
      <c r="E148" s="1805" t="s">
        <v>7746</v>
      </c>
      <c r="F148" s="1776"/>
      <c r="G148" s="1737"/>
      <c r="H148" s="1738"/>
      <c r="I148" s="1739">
        <f t="shared" si="64"/>
        <v>0</v>
      </c>
      <c r="J148" s="1737">
        <v>2</v>
      </c>
      <c r="K148" s="1738">
        <v>46302000</v>
      </c>
      <c r="L148" s="1739">
        <f t="shared" si="77"/>
        <v>23151000</v>
      </c>
      <c r="M148" s="1737"/>
      <c r="N148" s="1784"/>
      <c r="O148" s="1739">
        <f t="shared" si="65"/>
        <v>0</v>
      </c>
      <c r="P148" s="1737">
        <v>2</v>
      </c>
      <c r="Q148" s="1738">
        <f>P148*R148</f>
        <v>34675000</v>
      </c>
      <c r="R148" s="1739">
        <f>VLOOKUP(B148,$B$6:$R$92,17,)*0.95/2</f>
        <v>17337500</v>
      </c>
      <c r="S148" s="1737">
        <v>2</v>
      </c>
      <c r="T148" s="1738">
        <f>S148*U148</f>
        <v>36408750</v>
      </c>
      <c r="U148" s="1739">
        <f>R148*1.05</f>
        <v>18204375</v>
      </c>
      <c r="V148" s="1737">
        <v>2</v>
      </c>
      <c r="W148" s="1738">
        <f>V148*X148</f>
        <v>38229187.5</v>
      </c>
      <c r="X148" s="1739">
        <f>U148*1.05</f>
        <v>19114593.75</v>
      </c>
      <c r="Y148" s="1737">
        <v>2</v>
      </c>
      <c r="Z148" s="1738">
        <f>Y148*AA148</f>
        <v>40140646.875</v>
      </c>
      <c r="AA148" s="1739">
        <f>X148*1.05</f>
        <v>20070323.4375</v>
      </c>
      <c r="AB148" s="1737">
        <v>2</v>
      </c>
      <c r="AC148" s="1738">
        <f>AB148*AD148</f>
        <v>42147679.21875</v>
      </c>
      <c r="AD148" s="1739">
        <f>AA148*1.05</f>
        <v>21073839.609375</v>
      </c>
      <c r="AE148" s="1740"/>
      <c r="AF148" s="1738"/>
      <c r="AG148" s="1738"/>
      <c r="AH148" s="1738">
        <f t="shared" si="71"/>
        <v>19494684.722333111</v>
      </c>
      <c r="AI148" s="1738">
        <f t="shared" si="72"/>
        <v>20469418.958449766</v>
      </c>
      <c r="AJ148" s="1738">
        <f t="shared" si="73"/>
        <v>21492889.906372253</v>
      </c>
      <c r="AK148" s="1738">
        <f t="shared" si="74"/>
        <v>22567534.401690867</v>
      </c>
      <c r="AL148" s="1739">
        <f t="shared" si="75"/>
        <v>23695911.121775407</v>
      </c>
      <c r="AM148" s="1742"/>
      <c r="AN148" s="1742"/>
      <c r="AO148" s="1742"/>
      <c r="AP148" s="1742"/>
      <c r="AT148" s="489"/>
      <c r="AU148" s="489"/>
    </row>
    <row r="149" spans="2:47" x14ac:dyDescent="0.3">
      <c r="B149" s="1804" t="s">
        <v>2045</v>
      </c>
      <c r="C149" s="1784" t="str">
        <f t="shared" si="76"/>
        <v>고소작업차</v>
      </c>
      <c r="D149" s="1784"/>
      <c r="E149" s="1805" t="s">
        <v>7747</v>
      </c>
      <c r="F149" s="1776"/>
      <c r="G149" s="1807">
        <v>1</v>
      </c>
      <c r="H149" s="1808">
        <v>27242800</v>
      </c>
      <c r="I149" s="1739">
        <f t="shared" si="64"/>
        <v>27242800</v>
      </c>
      <c r="J149" s="1737"/>
      <c r="K149" s="1784"/>
      <c r="L149" s="1809"/>
      <c r="M149" s="1737"/>
      <c r="N149" s="1784"/>
      <c r="O149" s="1809"/>
      <c r="P149" s="1737"/>
      <c r="Q149" s="1784"/>
      <c r="R149" s="1809"/>
      <c r="S149" s="1737"/>
      <c r="T149" s="1784"/>
      <c r="U149" s="1809"/>
      <c r="V149" s="1737"/>
      <c r="W149" s="1784"/>
      <c r="X149" s="1809"/>
      <c r="Y149" s="1737"/>
      <c r="Z149" s="1784"/>
      <c r="AA149" s="1809"/>
      <c r="AB149" s="1737"/>
      <c r="AC149" s="1784"/>
      <c r="AD149" s="1810"/>
      <c r="AE149" s="1737"/>
      <c r="AF149" s="1784"/>
      <c r="AG149" s="1784"/>
      <c r="AH149" s="1738">
        <f t="shared" si="71"/>
        <v>0</v>
      </c>
      <c r="AI149" s="1738">
        <f t="shared" si="72"/>
        <v>0</v>
      </c>
      <c r="AJ149" s="1738">
        <f t="shared" si="73"/>
        <v>0</v>
      </c>
      <c r="AK149" s="1738">
        <f t="shared" si="74"/>
        <v>0</v>
      </c>
      <c r="AL149" s="1739">
        <f t="shared" si="75"/>
        <v>0</v>
      </c>
      <c r="AM149" s="1785"/>
      <c r="AN149" s="1785"/>
      <c r="AO149" s="1785"/>
      <c r="AP149" s="1785"/>
    </row>
    <row r="150" spans="2:47" x14ac:dyDescent="0.3">
      <c r="B150" s="1804" t="s">
        <v>2041</v>
      </c>
      <c r="C150" s="1784" t="str">
        <f t="shared" si="76"/>
        <v>고소작업차</v>
      </c>
      <c r="D150" s="1784"/>
      <c r="E150" s="1805" t="s">
        <v>7748</v>
      </c>
      <c r="F150" s="1776"/>
      <c r="G150" s="1807"/>
      <c r="H150" s="1808"/>
      <c r="I150" s="1739"/>
      <c r="J150" s="1737">
        <v>7</v>
      </c>
      <c r="K150" s="1738">
        <v>194747432</v>
      </c>
      <c r="L150" s="1739">
        <f t="shared" ref="L150" si="103">IFERROR(K150/J150,)</f>
        <v>27821061.714285713</v>
      </c>
      <c r="M150" s="1737"/>
      <c r="N150" s="1784"/>
      <c r="O150" s="1809"/>
      <c r="P150" s="1737"/>
      <c r="Q150" s="1784"/>
      <c r="R150" s="1809"/>
      <c r="S150" s="1737"/>
      <c r="T150" s="1784"/>
      <c r="U150" s="1809"/>
      <c r="V150" s="1737"/>
      <c r="W150" s="1784"/>
      <c r="X150" s="1809"/>
      <c r="Y150" s="1737"/>
      <c r="Z150" s="1784"/>
      <c r="AA150" s="1809"/>
      <c r="AB150" s="1737"/>
      <c r="AC150" s="1784"/>
      <c r="AD150" s="1810"/>
      <c r="AE150" s="1737"/>
      <c r="AF150" s="1784"/>
      <c r="AG150" s="1784"/>
      <c r="AH150" s="1738">
        <f t="shared" si="71"/>
        <v>0</v>
      </c>
      <c r="AI150" s="1738">
        <f t="shared" si="72"/>
        <v>0</v>
      </c>
      <c r="AJ150" s="1738">
        <f t="shared" si="73"/>
        <v>0</v>
      </c>
      <c r="AK150" s="1738">
        <f t="shared" si="74"/>
        <v>0</v>
      </c>
      <c r="AL150" s="1739">
        <f t="shared" si="75"/>
        <v>0</v>
      </c>
      <c r="AM150" s="1785"/>
      <c r="AN150" s="1785"/>
      <c r="AO150" s="1785"/>
      <c r="AP150" s="1785"/>
    </row>
    <row r="151" spans="2:47" x14ac:dyDescent="0.3">
      <c r="B151" s="1804" t="s">
        <v>2056</v>
      </c>
      <c r="C151" s="1784" t="str">
        <f t="shared" si="76"/>
        <v>고소작업차</v>
      </c>
      <c r="D151" s="1784"/>
      <c r="E151" s="1805" t="s">
        <v>7749</v>
      </c>
      <c r="F151" s="1776"/>
      <c r="G151" s="1737"/>
      <c r="H151" s="1738"/>
      <c r="I151" s="1739">
        <f t="shared" si="64"/>
        <v>0</v>
      </c>
      <c r="J151" s="1737">
        <v>1</v>
      </c>
      <c r="K151" s="1738">
        <v>38634156</v>
      </c>
      <c r="L151" s="1739">
        <f t="shared" si="77"/>
        <v>38634156</v>
      </c>
      <c r="M151" s="1737"/>
      <c r="N151" s="1784"/>
      <c r="O151" s="1739">
        <f t="shared" si="65"/>
        <v>0</v>
      </c>
      <c r="P151" s="1737"/>
      <c r="Q151" s="1738"/>
      <c r="R151" s="1739"/>
      <c r="S151" s="1737">
        <v>0</v>
      </c>
      <c r="T151" s="1738">
        <v>0</v>
      </c>
      <c r="U151" s="1739">
        <f t="shared" si="67"/>
        <v>0</v>
      </c>
      <c r="V151" s="1737">
        <v>0</v>
      </c>
      <c r="W151" s="1738">
        <v>0</v>
      </c>
      <c r="X151" s="1739">
        <f t="shared" si="68"/>
        <v>0</v>
      </c>
      <c r="Y151" s="1737">
        <v>0</v>
      </c>
      <c r="Z151" s="1738">
        <v>0</v>
      </c>
      <c r="AA151" s="1739">
        <f t="shared" si="69"/>
        <v>0</v>
      </c>
      <c r="AB151" s="1737">
        <v>0</v>
      </c>
      <c r="AC151" s="1738">
        <v>0</v>
      </c>
      <c r="AD151" s="1741">
        <f t="shared" si="70"/>
        <v>0</v>
      </c>
      <c r="AE151" s="1740"/>
      <c r="AF151" s="1738"/>
      <c r="AG151" s="1738"/>
      <c r="AH151" s="1738">
        <f t="shared" si="71"/>
        <v>0</v>
      </c>
      <c r="AI151" s="1738">
        <f t="shared" si="72"/>
        <v>0</v>
      </c>
      <c r="AJ151" s="1738">
        <f t="shared" si="73"/>
        <v>0</v>
      </c>
      <c r="AK151" s="1738">
        <f t="shared" si="74"/>
        <v>0</v>
      </c>
      <c r="AL151" s="1739">
        <f t="shared" si="75"/>
        <v>0</v>
      </c>
      <c r="AM151" s="1742"/>
      <c r="AN151" s="1742"/>
      <c r="AO151" s="1742"/>
      <c r="AP151" s="1742"/>
      <c r="AT151" s="489"/>
      <c r="AU151" s="489"/>
    </row>
    <row r="152" spans="2:47" x14ac:dyDescent="0.3">
      <c r="B152" s="1804" t="s">
        <v>2047</v>
      </c>
      <c r="C152" s="1784" t="str">
        <f t="shared" si="76"/>
        <v>SKY</v>
      </c>
      <c r="D152" s="1784"/>
      <c r="E152" s="1805" t="s">
        <v>7748</v>
      </c>
      <c r="F152" s="1776"/>
      <c r="G152" s="1737"/>
      <c r="H152" s="1738"/>
      <c r="I152" s="1739">
        <f t="shared" si="64"/>
        <v>0</v>
      </c>
      <c r="J152" s="1737">
        <v>3</v>
      </c>
      <c r="K152" s="1738">
        <v>177484360</v>
      </c>
      <c r="L152" s="1739">
        <f t="shared" si="77"/>
        <v>59161453.333333336</v>
      </c>
      <c r="M152" s="1737"/>
      <c r="N152" s="1784"/>
      <c r="O152" s="1739">
        <f t="shared" si="65"/>
        <v>0</v>
      </c>
      <c r="P152" s="1737"/>
      <c r="Q152" s="1738"/>
      <c r="R152" s="1739"/>
      <c r="S152" s="1737">
        <v>0</v>
      </c>
      <c r="T152" s="1738">
        <v>0</v>
      </c>
      <c r="U152" s="1739">
        <f t="shared" si="67"/>
        <v>0</v>
      </c>
      <c r="V152" s="1737">
        <v>0</v>
      </c>
      <c r="W152" s="1738">
        <v>0</v>
      </c>
      <c r="X152" s="1739">
        <f t="shared" si="68"/>
        <v>0</v>
      </c>
      <c r="Y152" s="1737">
        <v>0</v>
      </c>
      <c r="Z152" s="1738">
        <v>0</v>
      </c>
      <c r="AA152" s="1739">
        <f t="shared" si="69"/>
        <v>0</v>
      </c>
      <c r="AB152" s="1737">
        <v>0</v>
      </c>
      <c r="AC152" s="1738">
        <v>0</v>
      </c>
      <c r="AD152" s="1741">
        <f t="shared" si="70"/>
        <v>0</v>
      </c>
      <c r="AE152" s="1740"/>
      <c r="AF152" s="1738"/>
      <c r="AG152" s="1738"/>
      <c r="AH152" s="1738">
        <f t="shared" si="71"/>
        <v>0</v>
      </c>
      <c r="AI152" s="1738">
        <f t="shared" si="72"/>
        <v>0</v>
      </c>
      <c r="AJ152" s="1738">
        <f t="shared" si="73"/>
        <v>0</v>
      </c>
      <c r="AK152" s="1738">
        <f t="shared" si="74"/>
        <v>0</v>
      </c>
      <c r="AL152" s="1739">
        <f t="shared" si="75"/>
        <v>0</v>
      </c>
      <c r="AM152" s="1742"/>
      <c r="AN152" s="1742"/>
      <c r="AO152" s="1742"/>
      <c r="AP152" s="1742"/>
      <c r="AT152" s="489"/>
      <c r="AU152" s="489"/>
    </row>
    <row r="153" spans="2:47" x14ac:dyDescent="0.3">
      <c r="B153" s="1804" t="s">
        <v>2041</v>
      </c>
      <c r="C153" s="1784" t="str">
        <f t="shared" si="76"/>
        <v>고소작업차</v>
      </c>
      <c r="D153" s="1784"/>
      <c r="E153" s="1805" t="s">
        <v>7750</v>
      </c>
      <c r="F153" s="1776"/>
      <c r="G153" s="1807">
        <v>1</v>
      </c>
      <c r="H153" s="1808">
        <v>32706947</v>
      </c>
      <c r="I153" s="1739">
        <f t="shared" si="64"/>
        <v>32706947</v>
      </c>
      <c r="J153" s="1737"/>
      <c r="K153" s="1784"/>
      <c r="L153" s="1809"/>
      <c r="M153" s="1737"/>
      <c r="N153" s="1784"/>
      <c r="O153" s="1809"/>
      <c r="P153" s="1737"/>
      <c r="Q153" s="1784"/>
      <c r="R153" s="1809"/>
      <c r="S153" s="1737"/>
      <c r="T153" s="1784"/>
      <c r="U153" s="1809"/>
      <c r="V153" s="1737"/>
      <c r="W153" s="1784"/>
      <c r="X153" s="1809"/>
      <c r="Y153" s="1737"/>
      <c r="Z153" s="1784"/>
      <c r="AA153" s="1809"/>
      <c r="AB153" s="1737"/>
      <c r="AC153" s="1784"/>
      <c r="AD153" s="1810"/>
      <c r="AE153" s="1737"/>
      <c r="AF153" s="1784"/>
      <c r="AG153" s="1784"/>
      <c r="AH153" s="1738">
        <f t="shared" si="71"/>
        <v>0</v>
      </c>
      <c r="AI153" s="1738">
        <f t="shared" si="72"/>
        <v>0</v>
      </c>
      <c r="AJ153" s="1738">
        <f t="shared" si="73"/>
        <v>0</v>
      </c>
      <c r="AK153" s="1738">
        <f t="shared" si="74"/>
        <v>0</v>
      </c>
      <c r="AL153" s="1739">
        <f t="shared" si="75"/>
        <v>0</v>
      </c>
      <c r="AM153" s="1785"/>
      <c r="AN153" s="1785"/>
      <c r="AO153" s="1785"/>
      <c r="AP153" s="1785"/>
    </row>
    <row r="154" spans="2:47" x14ac:dyDescent="0.3">
      <c r="B154" s="1804" t="s">
        <v>2045</v>
      </c>
      <c r="C154" s="1784" t="str">
        <f t="shared" si="76"/>
        <v>고소작업차</v>
      </c>
      <c r="D154" s="1784"/>
      <c r="E154" s="1805" t="s">
        <v>7750</v>
      </c>
      <c r="F154" s="1776"/>
      <c r="G154" s="1807">
        <v>1</v>
      </c>
      <c r="H154" s="1808">
        <v>37182316</v>
      </c>
      <c r="I154" s="1739">
        <f t="shared" si="64"/>
        <v>37182316</v>
      </c>
      <c r="J154" s="1737"/>
      <c r="K154" s="1784"/>
      <c r="L154" s="1809"/>
      <c r="M154" s="1737"/>
      <c r="N154" s="1784"/>
      <c r="O154" s="1809"/>
      <c r="P154" s="1737"/>
      <c r="Q154" s="1784"/>
      <c r="R154" s="1809"/>
      <c r="S154" s="1737"/>
      <c r="T154" s="1784"/>
      <c r="U154" s="1809"/>
      <c r="V154" s="1737"/>
      <c r="W154" s="1784"/>
      <c r="X154" s="1809"/>
      <c r="Y154" s="1737"/>
      <c r="Z154" s="1784"/>
      <c r="AA154" s="1809"/>
      <c r="AB154" s="1737"/>
      <c r="AC154" s="1784"/>
      <c r="AD154" s="1810"/>
      <c r="AE154" s="1737"/>
      <c r="AF154" s="1784"/>
      <c r="AG154" s="1784"/>
      <c r="AH154" s="1738">
        <f t="shared" si="71"/>
        <v>0</v>
      </c>
      <c r="AI154" s="1738">
        <f t="shared" si="72"/>
        <v>0</v>
      </c>
      <c r="AJ154" s="1738">
        <f t="shared" si="73"/>
        <v>0</v>
      </c>
      <c r="AK154" s="1738">
        <f t="shared" si="74"/>
        <v>0</v>
      </c>
      <c r="AL154" s="1739">
        <f t="shared" si="75"/>
        <v>0</v>
      </c>
      <c r="AM154" s="1785"/>
      <c r="AN154" s="1785"/>
      <c r="AO154" s="1785"/>
      <c r="AP154" s="1785"/>
    </row>
    <row r="155" spans="2:47" x14ac:dyDescent="0.3">
      <c r="B155" s="1804" t="s">
        <v>2033</v>
      </c>
      <c r="C155" s="1784" t="str">
        <f t="shared" si="76"/>
        <v>고소작업차</v>
      </c>
      <c r="D155" s="1784"/>
      <c r="E155" s="1805" t="s">
        <v>7751</v>
      </c>
      <c r="F155" s="1776"/>
      <c r="G155" s="1737"/>
      <c r="H155" s="1738"/>
      <c r="I155" s="1739">
        <f t="shared" si="64"/>
        <v>0</v>
      </c>
      <c r="J155" s="1737">
        <v>1</v>
      </c>
      <c r="K155" s="1738">
        <v>14863530</v>
      </c>
      <c r="L155" s="1739">
        <f t="shared" si="77"/>
        <v>14863530</v>
      </c>
      <c r="M155" s="1737"/>
      <c r="N155" s="1784"/>
      <c r="O155" s="1739">
        <f t="shared" si="65"/>
        <v>0</v>
      </c>
      <c r="P155" s="1737"/>
      <c r="Q155" s="1738"/>
      <c r="R155" s="1739"/>
      <c r="S155" s="1737">
        <v>0</v>
      </c>
      <c r="T155" s="1738">
        <v>0</v>
      </c>
      <c r="U155" s="1739">
        <f t="shared" si="67"/>
        <v>0</v>
      </c>
      <c r="V155" s="1737">
        <v>0</v>
      </c>
      <c r="W155" s="1738">
        <v>0</v>
      </c>
      <c r="X155" s="1739">
        <f t="shared" si="68"/>
        <v>0</v>
      </c>
      <c r="Y155" s="1737">
        <v>0</v>
      </c>
      <c r="Z155" s="1738">
        <v>0</v>
      </c>
      <c r="AA155" s="1739">
        <f t="shared" si="69"/>
        <v>0</v>
      </c>
      <c r="AB155" s="1737">
        <v>0</v>
      </c>
      <c r="AC155" s="1738">
        <v>0</v>
      </c>
      <c r="AD155" s="1741">
        <f t="shared" si="70"/>
        <v>0</v>
      </c>
      <c r="AE155" s="1740"/>
      <c r="AF155" s="1738"/>
      <c r="AG155" s="1738"/>
      <c r="AH155" s="1738">
        <f t="shared" si="71"/>
        <v>0</v>
      </c>
      <c r="AI155" s="1738">
        <f t="shared" si="72"/>
        <v>0</v>
      </c>
      <c r="AJ155" s="1738">
        <f t="shared" si="73"/>
        <v>0</v>
      </c>
      <c r="AK155" s="1738">
        <f t="shared" si="74"/>
        <v>0</v>
      </c>
      <c r="AL155" s="1739">
        <f t="shared" si="75"/>
        <v>0</v>
      </c>
      <c r="AM155" s="1742"/>
      <c r="AN155" s="1742"/>
      <c r="AO155" s="1742"/>
      <c r="AP155" s="1742"/>
      <c r="AT155" s="489"/>
      <c r="AU155" s="489"/>
    </row>
    <row r="156" spans="2:47" x14ac:dyDescent="0.3">
      <c r="B156" s="1804" t="s">
        <v>2045</v>
      </c>
      <c r="C156" s="1784" t="str">
        <f t="shared" si="76"/>
        <v>고소작업차</v>
      </c>
      <c r="D156" s="1784"/>
      <c r="E156" s="1805" t="s">
        <v>7752</v>
      </c>
      <c r="F156" s="1776"/>
      <c r="G156" s="1737"/>
      <c r="H156" s="1738"/>
      <c r="I156" s="1739">
        <f t="shared" si="64"/>
        <v>0</v>
      </c>
      <c r="J156" s="1737">
        <v>2</v>
      </c>
      <c r="K156" s="1738">
        <v>130778340</v>
      </c>
      <c r="L156" s="1739">
        <f t="shared" si="77"/>
        <v>65389170</v>
      </c>
      <c r="M156" s="1737"/>
      <c r="N156" s="1784"/>
      <c r="O156" s="1739">
        <f t="shared" si="65"/>
        <v>0</v>
      </c>
      <c r="P156" s="1737"/>
      <c r="Q156" s="1738"/>
      <c r="R156" s="1739"/>
      <c r="S156" s="1737">
        <v>0</v>
      </c>
      <c r="T156" s="1738">
        <v>0</v>
      </c>
      <c r="U156" s="1739">
        <f t="shared" si="67"/>
        <v>0</v>
      </c>
      <c r="V156" s="1737">
        <v>0</v>
      </c>
      <c r="W156" s="1738">
        <v>0</v>
      </c>
      <c r="X156" s="1739">
        <f t="shared" si="68"/>
        <v>0</v>
      </c>
      <c r="Y156" s="1737">
        <v>0</v>
      </c>
      <c r="Z156" s="1738">
        <v>0</v>
      </c>
      <c r="AA156" s="1739">
        <f t="shared" si="69"/>
        <v>0</v>
      </c>
      <c r="AB156" s="1737">
        <v>0</v>
      </c>
      <c r="AC156" s="1738">
        <v>0</v>
      </c>
      <c r="AD156" s="1741">
        <f t="shared" si="70"/>
        <v>0</v>
      </c>
      <c r="AE156" s="1740"/>
      <c r="AF156" s="1738"/>
      <c r="AG156" s="1738"/>
      <c r="AH156" s="1738">
        <f t="shared" si="71"/>
        <v>0</v>
      </c>
      <c r="AI156" s="1738">
        <f t="shared" si="72"/>
        <v>0</v>
      </c>
      <c r="AJ156" s="1738">
        <f t="shared" si="73"/>
        <v>0</v>
      </c>
      <c r="AK156" s="1738">
        <f t="shared" si="74"/>
        <v>0</v>
      </c>
      <c r="AL156" s="1739">
        <f t="shared" si="75"/>
        <v>0</v>
      </c>
      <c r="AM156" s="1742"/>
      <c r="AN156" s="1742"/>
      <c r="AO156" s="1742"/>
      <c r="AP156" s="1742"/>
      <c r="AT156" s="489"/>
      <c r="AU156" s="489"/>
    </row>
    <row r="157" spans="2:47" x14ac:dyDescent="0.3">
      <c r="B157" s="1804" t="s">
        <v>2039</v>
      </c>
      <c r="C157" s="1784" t="str">
        <f t="shared" si="76"/>
        <v>고소작업차</v>
      </c>
      <c r="D157" s="1784"/>
      <c r="E157" s="1805" t="s">
        <v>7753</v>
      </c>
      <c r="F157" s="1776"/>
      <c r="G157" s="1737"/>
      <c r="H157" s="1738"/>
      <c r="I157" s="1739">
        <f t="shared" si="64"/>
        <v>0</v>
      </c>
      <c r="J157" s="1737">
        <v>2</v>
      </c>
      <c r="K157" s="1738">
        <v>43154360</v>
      </c>
      <c r="L157" s="1739">
        <f t="shared" si="77"/>
        <v>21577180</v>
      </c>
      <c r="M157" s="1737"/>
      <c r="N157" s="1784"/>
      <c r="O157" s="1739">
        <f t="shared" si="65"/>
        <v>0</v>
      </c>
      <c r="P157" s="1737"/>
      <c r="Q157" s="1738"/>
      <c r="R157" s="1739"/>
      <c r="S157" s="1737">
        <v>0</v>
      </c>
      <c r="T157" s="1738">
        <v>0</v>
      </c>
      <c r="U157" s="1739">
        <f t="shared" si="67"/>
        <v>0</v>
      </c>
      <c r="V157" s="1737">
        <v>0</v>
      </c>
      <c r="W157" s="1738">
        <v>0</v>
      </c>
      <c r="X157" s="1739">
        <f t="shared" si="68"/>
        <v>0</v>
      </c>
      <c r="Y157" s="1737">
        <v>0</v>
      </c>
      <c r="Z157" s="1738">
        <v>0</v>
      </c>
      <c r="AA157" s="1739">
        <f t="shared" si="69"/>
        <v>0</v>
      </c>
      <c r="AB157" s="1737">
        <v>0</v>
      </c>
      <c r="AC157" s="1738">
        <v>0</v>
      </c>
      <c r="AD157" s="1741">
        <f t="shared" si="70"/>
        <v>0</v>
      </c>
      <c r="AE157" s="1740"/>
      <c r="AF157" s="1738"/>
      <c r="AG157" s="1738"/>
      <c r="AH157" s="1738">
        <f t="shared" si="71"/>
        <v>0</v>
      </c>
      <c r="AI157" s="1738">
        <f t="shared" si="72"/>
        <v>0</v>
      </c>
      <c r="AJ157" s="1738">
        <f t="shared" si="73"/>
        <v>0</v>
      </c>
      <c r="AK157" s="1738">
        <f t="shared" si="74"/>
        <v>0</v>
      </c>
      <c r="AL157" s="1739">
        <f t="shared" si="75"/>
        <v>0</v>
      </c>
      <c r="AM157" s="1742"/>
      <c r="AN157" s="1742"/>
      <c r="AO157" s="1742"/>
      <c r="AP157" s="1742"/>
      <c r="AT157" s="489"/>
      <c r="AU157" s="489"/>
    </row>
    <row r="158" spans="2:47" x14ac:dyDescent="0.3">
      <c r="B158" s="1804" t="s">
        <v>2037</v>
      </c>
      <c r="C158" s="1784" t="str">
        <f t="shared" si="76"/>
        <v>고소작업차</v>
      </c>
      <c r="D158" s="1784"/>
      <c r="E158" s="1805" t="s">
        <v>7754</v>
      </c>
      <c r="F158" s="1776"/>
      <c r="G158" s="1737"/>
      <c r="H158" s="1738"/>
      <c r="I158" s="1739">
        <f t="shared" si="64"/>
        <v>0</v>
      </c>
      <c r="J158" s="1737">
        <v>1</v>
      </c>
      <c r="K158" s="1738">
        <v>18690499</v>
      </c>
      <c r="L158" s="1739">
        <f t="shared" si="77"/>
        <v>18690499</v>
      </c>
      <c r="M158" s="1737"/>
      <c r="N158" s="1784"/>
      <c r="O158" s="1739">
        <f t="shared" si="65"/>
        <v>0</v>
      </c>
      <c r="P158" s="1737">
        <v>0</v>
      </c>
      <c r="Q158" s="1738">
        <v>0</v>
      </c>
      <c r="R158" s="1739">
        <f t="shared" si="66"/>
        <v>0</v>
      </c>
      <c r="S158" s="1737">
        <v>0</v>
      </c>
      <c r="T158" s="1738">
        <v>0</v>
      </c>
      <c r="U158" s="1739">
        <f t="shared" si="67"/>
        <v>0</v>
      </c>
      <c r="V158" s="1737">
        <v>0</v>
      </c>
      <c r="W158" s="1738">
        <v>0</v>
      </c>
      <c r="X158" s="1739">
        <f t="shared" si="68"/>
        <v>0</v>
      </c>
      <c r="Y158" s="1737">
        <v>0</v>
      </c>
      <c r="Z158" s="1738">
        <v>0</v>
      </c>
      <c r="AA158" s="1739">
        <f t="shared" si="69"/>
        <v>0</v>
      </c>
      <c r="AB158" s="1737">
        <v>0</v>
      </c>
      <c r="AC158" s="1738">
        <v>0</v>
      </c>
      <c r="AD158" s="1741">
        <f t="shared" si="70"/>
        <v>0</v>
      </c>
      <c r="AE158" s="1740"/>
      <c r="AF158" s="1738"/>
      <c r="AG158" s="1738"/>
      <c r="AH158" s="1738">
        <f t="shared" si="71"/>
        <v>0</v>
      </c>
      <c r="AI158" s="1738">
        <f t="shared" si="72"/>
        <v>0</v>
      </c>
      <c r="AJ158" s="1738">
        <f t="shared" si="73"/>
        <v>0</v>
      </c>
      <c r="AK158" s="1738">
        <f t="shared" si="74"/>
        <v>0</v>
      </c>
      <c r="AL158" s="1739">
        <f t="shared" si="75"/>
        <v>0</v>
      </c>
      <c r="AM158" s="1742"/>
      <c r="AN158" s="1742"/>
      <c r="AO158" s="1742"/>
      <c r="AP158" s="1742"/>
      <c r="AT158" s="489"/>
      <c r="AU158" s="489"/>
    </row>
    <row r="159" spans="2:47" x14ac:dyDescent="0.3">
      <c r="B159" s="1804" t="s">
        <v>2041</v>
      </c>
      <c r="C159" s="1784" t="str">
        <f t="shared" si="76"/>
        <v>고소작업차</v>
      </c>
      <c r="D159" s="1784"/>
      <c r="E159" s="1805" t="s">
        <v>7755</v>
      </c>
      <c r="F159" s="1776"/>
      <c r="G159" s="1807">
        <v>2</v>
      </c>
      <c r="H159" s="1808">
        <v>132653228</v>
      </c>
      <c r="I159" s="1739">
        <f t="shared" si="64"/>
        <v>66326614</v>
      </c>
      <c r="J159" s="1737"/>
      <c r="K159" s="1784"/>
      <c r="L159" s="1809"/>
      <c r="M159" s="1737"/>
      <c r="N159" s="1784"/>
      <c r="O159" s="1809"/>
      <c r="P159" s="1737"/>
      <c r="Q159" s="1784"/>
      <c r="R159" s="1809"/>
      <c r="S159" s="1737"/>
      <c r="T159" s="1784"/>
      <c r="U159" s="1809"/>
      <c r="V159" s="1737"/>
      <c r="W159" s="1784"/>
      <c r="X159" s="1809"/>
      <c r="Y159" s="1737"/>
      <c r="Z159" s="1784"/>
      <c r="AA159" s="1809"/>
      <c r="AB159" s="1737"/>
      <c r="AC159" s="1784"/>
      <c r="AD159" s="1810"/>
      <c r="AE159" s="1737"/>
      <c r="AF159" s="1784"/>
      <c r="AG159" s="1784"/>
      <c r="AH159" s="1738">
        <f t="shared" si="71"/>
        <v>0</v>
      </c>
      <c r="AI159" s="1738">
        <f t="shared" si="72"/>
        <v>0</v>
      </c>
      <c r="AJ159" s="1738">
        <f t="shared" si="73"/>
        <v>0</v>
      </c>
      <c r="AK159" s="1738">
        <f t="shared" si="74"/>
        <v>0</v>
      </c>
      <c r="AL159" s="1739">
        <f t="shared" si="75"/>
        <v>0</v>
      </c>
      <c r="AM159" s="1785"/>
      <c r="AN159" s="1785"/>
      <c r="AO159" s="1785"/>
      <c r="AP159" s="1785"/>
    </row>
    <row r="160" spans="2:47" x14ac:dyDescent="0.3">
      <c r="B160" s="1804" t="s">
        <v>2062</v>
      </c>
      <c r="C160" s="1784" t="str">
        <f t="shared" si="76"/>
        <v>활선차</v>
      </c>
      <c r="D160" s="1784"/>
      <c r="E160" s="1805" t="s">
        <v>7756</v>
      </c>
      <c r="F160" s="1776"/>
      <c r="G160" s="1807">
        <v>3</v>
      </c>
      <c r="H160" s="1808">
        <v>315573720</v>
      </c>
      <c r="I160" s="1739">
        <f t="shared" si="64"/>
        <v>105191240</v>
      </c>
      <c r="J160" s="1737"/>
      <c r="K160" s="1784"/>
      <c r="L160" s="1809"/>
      <c r="M160" s="1737"/>
      <c r="N160" s="1784"/>
      <c r="O160" s="1809"/>
      <c r="P160" s="1737"/>
      <c r="Q160" s="1784"/>
      <c r="R160" s="1809"/>
      <c r="S160" s="1737"/>
      <c r="T160" s="1784"/>
      <c r="U160" s="1809"/>
      <c r="V160" s="1737"/>
      <c r="W160" s="1784"/>
      <c r="X160" s="1809"/>
      <c r="Y160" s="1737"/>
      <c r="Z160" s="1784"/>
      <c r="AA160" s="1809"/>
      <c r="AB160" s="1737"/>
      <c r="AC160" s="1784"/>
      <c r="AD160" s="1810"/>
      <c r="AE160" s="1737"/>
      <c r="AF160" s="1784"/>
      <c r="AG160" s="1784"/>
      <c r="AH160" s="1738">
        <f t="shared" si="71"/>
        <v>0</v>
      </c>
      <c r="AI160" s="1738">
        <f t="shared" si="72"/>
        <v>0</v>
      </c>
      <c r="AJ160" s="1738">
        <f t="shared" si="73"/>
        <v>0</v>
      </c>
      <c r="AK160" s="1738">
        <f t="shared" si="74"/>
        <v>0</v>
      </c>
      <c r="AL160" s="1739">
        <f t="shared" si="75"/>
        <v>0</v>
      </c>
      <c r="AM160" s="1785"/>
      <c r="AN160" s="1785"/>
      <c r="AO160" s="1785"/>
      <c r="AP160" s="1785"/>
    </row>
    <row r="161" spans="2:42" x14ac:dyDescent="0.3">
      <c r="B161" s="1804" t="s">
        <v>2041</v>
      </c>
      <c r="C161" s="1784" t="str">
        <f t="shared" si="76"/>
        <v>고소작업차</v>
      </c>
      <c r="D161" s="1784"/>
      <c r="E161" s="1805" t="s">
        <v>7757</v>
      </c>
      <c r="F161" s="1776"/>
      <c r="G161" s="1807">
        <v>1</v>
      </c>
      <c r="H161" s="1808">
        <v>29861217</v>
      </c>
      <c r="I161" s="1739">
        <f t="shared" si="64"/>
        <v>29861217</v>
      </c>
      <c r="J161" s="1737"/>
      <c r="K161" s="1784"/>
      <c r="L161" s="1809"/>
      <c r="M161" s="1737"/>
      <c r="N161" s="1784"/>
      <c r="O161" s="1809"/>
      <c r="P161" s="1737"/>
      <c r="Q161" s="1784"/>
      <c r="R161" s="1809"/>
      <c r="S161" s="1737"/>
      <c r="T161" s="1784"/>
      <c r="U161" s="1809"/>
      <c r="V161" s="1737"/>
      <c r="W161" s="1784"/>
      <c r="X161" s="1809"/>
      <c r="Y161" s="1737"/>
      <c r="Z161" s="1784"/>
      <c r="AA161" s="1809"/>
      <c r="AB161" s="1737"/>
      <c r="AC161" s="1784"/>
      <c r="AD161" s="1810"/>
      <c r="AE161" s="1737"/>
      <c r="AF161" s="1784"/>
      <c r="AG161" s="1784"/>
      <c r="AH161" s="1738">
        <f t="shared" si="71"/>
        <v>0</v>
      </c>
      <c r="AI161" s="1738">
        <f t="shared" si="72"/>
        <v>0</v>
      </c>
      <c r="AJ161" s="1738">
        <f t="shared" si="73"/>
        <v>0</v>
      </c>
      <c r="AK161" s="1738">
        <f t="shared" si="74"/>
        <v>0</v>
      </c>
      <c r="AL161" s="1739">
        <f t="shared" si="75"/>
        <v>0</v>
      </c>
      <c r="AM161" s="1785"/>
      <c r="AN161" s="1785"/>
      <c r="AO161" s="1785"/>
      <c r="AP161" s="1785"/>
    </row>
    <row r="162" spans="2:42" x14ac:dyDescent="0.3">
      <c r="B162" s="1845" t="s">
        <v>7776</v>
      </c>
      <c r="C162" s="1846"/>
      <c r="D162" s="1846"/>
      <c r="E162" s="1847"/>
      <c r="F162" s="1776"/>
      <c r="G162" s="1848"/>
      <c r="H162" s="1849"/>
      <c r="I162" s="1850"/>
      <c r="J162" s="1851"/>
      <c r="K162" s="1846"/>
      <c r="L162" s="1852"/>
      <c r="M162" s="1851"/>
      <c r="N162" s="1846"/>
      <c r="O162" s="1852"/>
      <c r="P162" s="1851"/>
      <c r="Q162" s="1854"/>
      <c r="R162" s="1852"/>
      <c r="S162" s="1851"/>
      <c r="T162" s="1854"/>
      <c r="U162" s="1852"/>
      <c r="V162" s="1851"/>
      <c r="W162" s="1854"/>
      <c r="X162" s="1852"/>
      <c r="Y162" s="1851"/>
      <c r="Z162" s="1854"/>
      <c r="AA162" s="1852"/>
      <c r="AB162" s="1851"/>
      <c r="AC162" s="1854"/>
      <c r="AD162" s="1853"/>
      <c r="AE162" s="1851"/>
      <c r="AF162" s="1846"/>
      <c r="AG162" s="1846"/>
      <c r="AH162" s="1738"/>
      <c r="AI162" s="1738"/>
      <c r="AJ162" s="1738"/>
      <c r="AK162" s="1738"/>
      <c r="AL162" s="1739"/>
      <c r="AM162" s="1785"/>
      <c r="AN162" s="1785"/>
      <c r="AO162" s="1785"/>
      <c r="AP162" s="1785"/>
    </row>
    <row r="163" spans="2:42" ht="12.75" thickBot="1" x14ac:dyDescent="0.35">
      <c r="B163" s="1773" t="s">
        <v>7758</v>
      </c>
      <c r="C163" s="1774"/>
      <c r="D163" s="1774"/>
      <c r="E163" s="1775"/>
      <c r="F163" s="1776"/>
      <c r="G163" s="1812">
        <f>SUM(G108:G161)</f>
        <v>73</v>
      </c>
      <c r="H163" s="1778">
        <f>SUM(H108:H161)</f>
        <v>3656207169</v>
      </c>
      <c r="I163" s="1779">
        <f>IFERROR(H163/G163,)</f>
        <v>50085029.712328769</v>
      </c>
      <c r="J163" s="1773">
        <f>SUM(J108:J161)</f>
        <v>52</v>
      </c>
      <c r="K163" s="1778">
        <f>SUM(K108:K158)</f>
        <v>3868914709</v>
      </c>
      <c r="L163" s="1779">
        <f>IFERROR(K163/J163,)</f>
        <v>74402205.942307696</v>
      </c>
      <c r="M163" s="1773">
        <f>SUM(M108:M158)</f>
        <v>41</v>
      </c>
      <c r="N163" s="1778">
        <f>SUM(N108:N158)</f>
        <v>7516977470</v>
      </c>
      <c r="O163" s="1779">
        <f>IFERROR(N163/M163,)</f>
        <v>183340913.90243903</v>
      </c>
      <c r="P163" s="1773">
        <f>SUM(P108:P158)</f>
        <v>340</v>
      </c>
      <c r="Q163" s="1778">
        <f>SUM(Q108:Q162)</f>
        <v>25466395184</v>
      </c>
      <c r="R163" s="1779">
        <f>IFERROR(Q163/P163,)</f>
        <v>74901162.30588235</v>
      </c>
      <c r="S163" s="1773">
        <f>SUM(S108:S158)</f>
        <v>432</v>
      </c>
      <c r="T163" s="1778">
        <f>SUM(T108:T158)</f>
        <v>33774460944</v>
      </c>
      <c r="U163" s="1779">
        <f>IFERROR(T163/S163,)</f>
        <v>78181622.555555552</v>
      </c>
      <c r="V163" s="1773">
        <f>SUM(V108:V158)</f>
        <v>514</v>
      </c>
      <c r="W163" s="1778">
        <f>SUM(W108:W158)</f>
        <v>42474245484.824997</v>
      </c>
      <c r="X163" s="1779">
        <f>IFERROR(W163/V163,)</f>
        <v>82634718.84207198</v>
      </c>
      <c r="Y163" s="1773">
        <f>SUM(Y108:Y158)</f>
        <v>596</v>
      </c>
      <c r="Z163" s="1778">
        <f>SUM(Z108:Z158)</f>
        <v>51959572327.372498</v>
      </c>
      <c r="AA163" s="1779">
        <f>IFERROR(Z163/Y163,)</f>
        <v>87180490.482168615</v>
      </c>
      <c r="AB163" s="1773">
        <f>SUM(AB108:AB158)</f>
        <v>678</v>
      </c>
      <c r="AC163" s="1778">
        <f>SUM(AC108:AC158)</f>
        <v>62287246240.462692</v>
      </c>
      <c r="AD163" s="1780">
        <f>IFERROR(AC163/AB163,)</f>
        <v>91869094.74994497</v>
      </c>
      <c r="AE163" s="1777"/>
      <c r="AF163" s="1778"/>
      <c r="AG163" s="1778"/>
      <c r="AH163" s="1778">
        <f>SUM(AH108:AH162)</f>
        <v>13074170147.454435</v>
      </c>
      <c r="AI163" s="1778">
        <f t="shared" ref="AI163:AL163" si="104">SUM(AI108:AI162)</f>
        <v>18832546248.449959</v>
      </c>
      <c r="AJ163" s="1778">
        <f t="shared" si="104"/>
        <v>23715873153.867683</v>
      </c>
      <c r="AK163" s="1778">
        <f t="shared" si="104"/>
        <v>29040451384.206043</v>
      </c>
      <c r="AL163" s="1778">
        <f t="shared" si="104"/>
        <v>34838197754.693565</v>
      </c>
      <c r="AM163" s="1742"/>
      <c r="AN163" s="1742"/>
      <c r="AO163" s="1742"/>
      <c r="AP163" s="1742"/>
    </row>
    <row r="164" spans="2:42" x14ac:dyDescent="0.3">
      <c r="C164" s="1785"/>
      <c r="K164" s="489"/>
      <c r="L164" s="1742"/>
      <c r="N164" s="489"/>
      <c r="O164" s="1742"/>
      <c r="Q164" s="489"/>
      <c r="R164" s="1742"/>
      <c r="T164" s="489"/>
      <c r="U164" s="1742"/>
      <c r="W164" s="489"/>
      <c r="X164" s="1742"/>
      <c r="Z164" s="489"/>
      <c r="AA164" s="1742"/>
      <c r="AC164" s="489"/>
      <c r="AD164" s="1742"/>
      <c r="AE164" s="1742"/>
      <c r="AF164" s="1742"/>
      <c r="AG164" s="1742"/>
      <c r="AH164" s="1742"/>
      <c r="AI164" s="1742"/>
      <c r="AJ164" s="1742"/>
      <c r="AK164" s="1742"/>
      <c r="AL164" s="1742"/>
      <c r="AM164" s="1742"/>
      <c r="AN164" s="1742"/>
      <c r="AO164" s="1742"/>
      <c r="AP164" s="1742"/>
    </row>
    <row r="165" spans="2:42" ht="12.75" thickBot="1" x14ac:dyDescent="0.35">
      <c r="C165" s="1785"/>
      <c r="K165" s="489"/>
      <c r="L165" s="1742"/>
      <c r="N165" s="489"/>
      <c r="O165" s="1742"/>
      <c r="Q165" s="489"/>
      <c r="R165" s="1742"/>
      <c r="T165" s="489"/>
      <c r="U165" s="1742"/>
      <c r="W165" s="489"/>
      <c r="X165" s="1742"/>
      <c r="Z165" s="489"/>
      <c r="AA165" s="1742"/>
      <c r="AC165" s="489"/>
      <c r="AD165" s="1742"/>
      <c r="AE165" s="1742"/>
      <c r="AF165" s="1742"/>
      <c r="AG165" s="1742"/>
      <c r="AH165" s="1742"/>
      <c r="AI165" s="1742"/>
      <c r="AJ165" s="1742"/>
      <c r="AK165" s="1742"/>
      <c r="AL165" s="1742"/>
      <c r="AM165" s="1742"/>
      <c r="AN165" s="1742"/>
      <c r="AO165" s="1742"/>
      <c r="AP165" s="1742"/>
    </row>
    <row r="166" spans="2:42" ht="12.75" thickBot="1" x14ac:dyDescent="0.35">
      <c r="B166" s="1813" t="s">
        <v>7759</v>
      </c>
      <c r="C166" s="1785"/>
      <c r="D166" s="1814"/>
      <c r="E166" s="1815"/>
      <c r="F166" s="1815"/>
      <c r="G166" s="1816">
        <f>G163+G93</f>
        <v>1174</v>
      </c>
      <c r="H166" s="1816">
        <f>H163+H93</f>
        <v>54621949374</v>
      </c>
      <c r="I166" s="1816">
        <f>IFERROR(H166/G166,)</f>
        <v>46526362.328790464</v>
      </c>
      <c r="J166" s="1816">
        <f>J163+J93</f>
        <v>1458</v>
      </c>
      <c r="K166" s="1816">
        <f>K163+K93</f>
        <v>76872819705</v>
      </c>
      <c r="L166" s="1816">
        <f>IFERROR(K166/J166,)</f>
        <v>52724842.047325104</v>
      </c>
      <c r="M166" s="1816">
        <f>M163+M93</f>
        <v>1545</v>
      </c>
      <c r="N166" s="1816">
        <f>N163+N93</f>
        <v>85997294506.454544</v>
      </c>
      <c r="O166" s="1816">
        <f>IFERROR(N166/M166,)</f>
        <v>55661679.29220359</v>
      </c>
      <c r="P166" s="1816">
        <f>P163+P93</f>
        <v>2260.3745795403761</v>
      </c>
      <c r="Q166" s="1816">
        <f>Q163+Q93</f>
        <v>128632509046.88968</v>
      </c>
      <c r="R166" s="1816">
        <f>IFERROR(Q166/P166,)</f>
        <v>56907607.354638442</v>
      </c>
      <c r="S166" s="1816">
        <f>S163+S93</f>
        <v>2722.4620374944134</v>
      </c>
      <c r="T166" s="1816">
        <f>T163+T93</f>
        <v>170165633258.3602</v>
      </c>
      <c r="U166" s="1816">
        <f>IFERROR(T166/S166,)</f>
        <v>62504318.118966386</v>
      </c>
      <c r="V166" s="1816">
        <f>V163+V93</f>
        <v>2817.1499999999996</v>
      </c>
      <c r="W166" s="1816">
        <f>W163+W93</f>
        <v>190142721821.00195</v>
      </c>
      <c r="X166" s="1816">
        <f>IFERROR(W166/V166,)</f>
        <v>67494709.838312477</v>
      </c>
      <c r="Y166" s="1816">
        <f>Y163+Y93</f>
        <v>3207.2324999999996</v>
      </c>
      <c r="Z166" s="1816">
        <f>Z163+Z93</f>
        <v>246368152205.40976</v>
      </c>
      <c r="AA166" s="1816">
        <f>IFERROR(Z166/Y166,)</f>
        <v>76816430.428854093</v>
      </c>
      <c r="AB166" s="1816">
        <f>AB163+AB93</f>
        <v>3610.67</v>
      </c>
      <c r="AC166" s="1816">
        <f>AC163+AC93</f>
        <v>281964967894.75061</v>
      </c>
      <c r="AD166" s="1817">
        <f>IFERROR(AC166/AB166,)</f>
        <v>78092145.749888688</v>
      </c>
      <c r="AE166" s="1818">
        <f t="shared" ref="AE166:AL166" si="105">AE163+AE93</f>
        <v>1306982353</v>
      </c>
      <c r="AF166" s="1816">
        <f t="shared" si="105"/>
        <v>1434482546</v>
      </c>
      <c r="AG166" s="1816">
        <f t="shared" si="105"/>
        <v>1688613714</v>
      </c>
      <c r="AH166" s="1816">
        <f t="shared" si="105"/>
        <v>71075348627.205078</v>
      </c>
      <c r="AI166" s="1816">
        <f t="shared" si="105"/>
        <v>95513235597.48703</v>
      </c>
      <c r="AJ166" s="1816">
        <f t="shared" si="105"/>
        <v>106736792825.13165</v>
      </c>
      <c r="AK166" s="1816">
        <f t="shared" si="105"/>
        <v>138339196071.69989</v>
      </c>
      <c r="AL166" s="1817">
        <f t="shared" si="105"/>
        <v>158343545243.397</v>
      </c>
      <c r="AM166" s="1742"/>
      <c r="AN166" s="1742"/>
      <c r="AO166" s="1742"/>
      <c r="AP166" s="1742"/>
    </row>
    <row r="167" spans="2:42" x14ac:dyDescent="0.3">
      <c r="C167" s="1785"/>
    </row>
    <row r="168" spans="2:42" x14ac:dyDescent="0.3">
      <c r="B168" s="1819"/>
      <c r="E168" s="1819"/>
      <c r="F168" s="1819"/>
    </row>
    <row r="169" spans="2:42" ht="12.75" thickBot="1" x14ac:dyDescent="0.35">
      <c r="B169" s="1716" t="s">
        <v>7760</v>
      </c>
    </row>
    <row r="170" spans="2:42" x14ac:dyDescent="0.3">
      <c r="B170" s="1717" t="s">
        <v>7596</v>
      </c>
      <c r="C170" s="1718"/>
      <c r="D170" s="1718" t="s">
        <v>7761</v>
      </c>
      <c r="E170" s="1719" t="s">
        <v>7598</v>
      </c>
      <c r="F170" s="1720"/>
      <c r="G170" s="1884" t="s">
        <v>7599</v>
      </c>
      <c r="H170" s="1885"/>
      <c r="I170" s="1886"/>
      <c r="J170" s="1884" t="s">
        <v>7600</v>
      </c>
      <c r="K170" s="1885"/>
      <c r="L170" s="1886"/>
      <c r="M170" s="1884" t="s">
        <v>7601</v>
      </c>
      <c r="N170" s="1885"/>
      <c r="O170" s="1886"/>
      <c r="P170" s="1884" t="s">
        <v>7602</v>
      </c>
      <c r="Q170" s="1885"/>
      <c r="R170" s="1886"/>
      <c r="S170" s="1884" t="s">
        <v>7603</v>
      </c>
      <c r="T170" s="1885"/>
      <c r="U170" s="1886"/>
      <c r="V170" s="1884" t="s">
        <v>7604</v>
      </c>
      <c r="W170" s="1885"/>
      <c r="X170" s="1886"/>
      <c r="Y170" s="1884" t="s">
        <v>7762</v>
      </c>
      <c r="Z170" s="1885"/>
      <c r="AA170" s="1886"/>
      <c r="AB170" s="1884" t="s">
        <v>7763</v>
      </c>
      <c r="AC170" s="1885"/>
      <c r="AD170" s="1886"/>
      <c r="AE170" s="1884" t="s">
        <v>7764</v>
      </c>
      <c r="AF170" s="1885"/>
      <c r="AG170" s="1885"/>
      <c r="AH170" s="1885"/>
      <c r="AI170" s="1885"/>
      <c r="AJ170" s="1885"/>
      <c r="AK170" s="1885"/>
      <c r="AL170" s="1886"/>
      <c r="AM170" s="1721"/>
      <c r="AN170" s="1721"/>
      <c r="AO170" s="1721"/>
      <c r="AP170" s="1721"/>
    </row>
    <row r="171" spans="2:42" x14ac:dyDescent="0.3">
      <c r="B171" s="1820" t="s">
        <v>7607</v>
      </c>
      <c r="C171" s="1821" t="s">
        <v>7608</v>
      </c>
      <c r="D171" s="1821" t="s">
        <v>7609</v>
      </c>
      <c r="E171" s="1822" t="s">
        <v>7610</v>
      </c>
      <c r="F171" s="1823" t="s">
        <v>7611</v>
      </c>
      <c r="G171" s="1824" t="s">
        <v>7612</v>
      </c>
      <c r="H171" s="1825" t="s">
        <v>7613</v>
      </c>
      <c r="I171" s="1826" t="s">
        <v>7614</v>
      </c>
      <c r="J171" s="1824" t="s">
        <v>7612</v>
      </c>
      <c r="K171" s="1825" t="s">
        <v>7613</v>
      </c>
      <c r="L171" s="1826" t="s">
        <v>7614</v>
      </c>
      <c r="M171" s="1824" t="s">
        <v>7612</v>
      </c>
      <c r="N171" s="1827" t="s">
        <v>7613</v>
      </c>
      <c r="O171" s="1828" t="s">
        <v>7614</v>
      </c>
      <c r="P171" s="1824" t="s">
        <v>7612</v>
      </c>
      <c r="Q171" s="1827" t="s">
        <v>7613</v>
      </c>
      <c r="R171" s="1828" t="s">
        <v>7614</v>
      </c>
      <c r="S171" s="1824" t="s">
        <v>7612</v>
      </c>
      <c r="T171" s="1827" t="s">
        <v>7613</v>
      </c>
      <c r="U171" s="1828" t="s">
        <v>7614</v>
      </c>
      <c r="V171" s="1824" t="s">
        <v>7612</v>
      </c>
      <c r="W171" s="1827" t="s">
        <v>7613</v>
      </c>
      <c r="X171" s="1828" t="s">
        <v>7614</v>
      </c>
      <c r="Y171" s="1824" t="s">
        <v>7612</v>
      </c>
      <c r="Z171" s="1827" t="s">
        <v>7613</v>
      </c>
      <c r="AA171" s="1828" t="s">
        <v>7765</v>
      </c>
      <c r="AB171" s="1824" t="s">
        <v>7612</v>
      </c>
      <c r="AC171" s="1827" t="s">
        <v>7613</v>
      </c>
      <c r="AD171" s="1828" t="s">
        <v>7614</v>
      </c>
      <c r="AE171" s="1824">
        <v>2015</v>
      </c>
      <c r="AF171" s="1827">
        <v>2016</v>
      </c>
      <c r="AG171" s="1827">
        <v>2017</v>
      </c>
      <c r="AH171" s="1827">
        <v>2018</v>
      </c>
      <c r="AI171" s="1827">
        <v>2019</v>
      </c>
      <c r="AJ171" s="1827">
        <v>2020</v>
      </c>
      <c r="AK171" s="1827">
        <v>2021</v>
      </c>
      <c r="AL171" s="1828">
        <v>2022</v>
      </c>
      <c r="AM171" s="1721"/>
      <c r="AN171" s="1721"/>
      <c r="AO171" s="1721"/>
      <c r="AP171" s="1721"/>
    </row>
    <row r="172" spans="2:42" x14ac:dyDescent="0.3">
      <c r="B172" s="1784" t="s">
        <v>7766</v>
      </c>
      <c r="C172" s="1784"/>
      <c r="D172" s="1784"/>
      <c r="E172" s="1784"/>
      <c r="F172" s="1810"/>
      <c r="G172" s="1737"/>
      <c r="H172" s="1738">
        <v>489883639</v>
      </c>
      <c r="I172" s="1829">
        <f>H172/H$166</f>
        <v>8.9686224057243958E-3</v>
      </c>
      <c r="J172" s="1737"/>
      <c r="K172" s="1738">
        <v>115839957</v>
      </c>
      <c r="L172" s="1829">
        <f>K172/K$166</f>
        <v>1.506903967417049E-3</v>
      </c>
      <c r="M172" s="1737"/>
      <c r="N172" s="1830">
        <v>858652446.54545593</v>
      </c>
      <c r="O172" s="1829">
        <f>N172/N$166</f>
        <v>9.9846448829969837E-3</v>
      </c>
      <c r="P172" s="1737"/>
      <c r="Q172" s="1738">
        <f>Q166*$R$172</f>
        <v>877281054.73537946</v>
      </c>
      <c r="R172" s="1831">
        <f>AVERAGE(O172,L172,I172)</f>
        <v>6.8200570853794761E-3</v>
      </c>
      <c r="S172" s="1737"/>
      <c r="T172" s="1738">
        <f>T166*$R$172</f>
        <v>1160539332.791765</v>
      </c>
      <c r="U172" s="1831">
        <f>R172</f>
        <v>6.8200570853794761E-3</v>
      </c>
      <c r="V172" s="1737"/>
      <c r="W172" s="1738">
        <f>W166*$R$172</f>
        <v>1296784217.188663</v>
      </c>
      <c r="X172" s="1831">
        <f>U172</f>
        <v>6.8200570853794761E-3</v>
      </c>
      <c r="Y172" s="1737"/>
      <c r="Z172" s="1738">
        <f>Z166*$R$172</f>
        <v>1680244862.060354</v>
      </c>
      <c r="AA172" s="1831">
        <f>X172</f>
        <v>6.8200570853794761E-3</v>
      </c>
      <c r="AB172" s="1737"/>
      <c r="AC172" s="1738">
        <f>AC166*$R$172</f>
        <v>1923017177.1193905</v>
      </c>
      <c r="AD172" s="1831">
        <f>AA172</f>
        <v>6.8200570853794761E-3</v>
      </c>
      <c r="AE172" s="1737"/>
      <c r="AF172" s="1784"/>
      <c r="AG172" s="1784"/>
      <c r="AH172" s="1830">
        <f t="shared" ref="AH172:AH174" si="106">Q172*$AP$93</f>
        <v>493217521.98823583</v>
      </c>
      <c r="AI172" s="1830">
        <f t="shared" ref="AI172:AI174" si="107">T172*$AP$93</f>
        <v>652468591.22256041</v>
      </c>
      <c r="AJ172" s="1830">
        <f t="shared" ref="AJ172:AJ174" si="108">W172*$AP$93</f>
        <v>729067035.81803977</v>
      </c>
      <c r="AK172" s="1830">
        <f t="shared" ref="AK172:AK174" si="109">Z172*$AP$93</f>
        <v>944653030.77683306</v>
      </c>
      <c r="AL172" s="1832">
        <f t="shared" ref="AL172:AL174" si="110">AC172*$AP$93</f>
        <v>1081142424.904788</v>
      </c>
    </row>
    <row r="173" spans="2:42" x14ac:dyDescent="0.3">
      <c r="B173" s="1784" t="s">
        <v>7767</v>
      </c>
      <c r="C173" s="1784"/>
      <c r="D173" s="1784"/>
      <c r="E173" s="1784"/>
      <c r="F173" s="1810"/>
      <c r="G173" s="1737">
        <v>12</v>
      </c>
      <c r="H173" s="1738">
        <v>3190617835</v>
      </c>
      <c r="I173" s="1739">
        <f>H173/G173</f>
        <v>265884819.58333334</v>
      </c>
      <c r="J173" s="1737">
        <v>8</v>
      </c>
      <c r="K173" s="1738">
        <v>1136372354</v>
      </c>
      <c r="L173" s="1739">
        <f>K173/J173</f>
        <v>142046544.25</v>
      </c>
      <c r="M173" s="1737">
        <v>7</v>
      </c>
      <c r="N173" s="1738">
        <v>1573848153</v>
      </c>
      <c r="O173" s="1739">
        <f>N173/M173</f>
        <v>224835450.42857143</v>
      </c>
      <c r="P173" s="1737"/>
      <c r="Q173" s="1738">
        <v>2734000000</v>
      </c>
      <c r="R173" s="1739"/>
      <c r="S173" s="1740"/>
      <c r="T173" s="1742">
        <v>3200000000</v>
      </c>
      <c r="U173" s="1739"/>
      <c r="V173" s="1740"/>
      <c r="W173" s="1742">
        <v>4250000000</v>
      </c>
      <c r="X173" s="1739"/>
      <c r="Y173" s="1740"/>
      <c r="Z173" s="1742">
        <v>2300000000</v>
      </c>
      <c r="AA173" s="1739"/>
      <c r="AB173" s="1740"/>
      <c r="AC173" s="1742">
        <v>4667500000</v>
      </c>
      <c r="AD173" s="1809"/>
      <c r="AE173" s="1737"/>
      <c r="AF173" s="1784"/>
      <c r="AG173" s="1784"/>
      <c r="AH173" s="1830">
        <f t="shared" si="106"/>
        <v>1537086316.6794152</v>
      </c>
      <c r="AI173" s="1830">
        <f t="shared" si="107"/>
        <v>1799076888.5786862</v>
      </c>
      <c r="AJ173" s="1830">
        <f t="shared" si="108"/>
        <v>2389398992.643568</v>
      </c>
      <c r="AK173" s="1830">
        <f t="shared" si="109"/>
        <v>1293086513.6659307</v>
      </c>
      <c r="AL173" s="1832">
        <f t="shared" si="110"/>
        <v>2624122305.4503183</v>
      </c>
    </row>
    <row r="174" spans="2:42" ht="12.75" thickBot="1" x14ac:dyDescent="0.35">
      <c r="B174" s="1784" t="s">
        <v>7768</v>
      </c>
      <c r="C174" s="1784"/>
      <c r="D174" s="1784"/>
      <c r="E174" s="1784"/>
      <c r="F174" s="1810"/>
      <c r="G174" s="1773"/>
      <c r="H174" s="1833">
        <f>SUM(H172:H173)</f>
        <v>3680501474</v>
      </c>
      <c r="I174" s="1775"/>
      <c r="J174" s="1773"/>
      <c r="K174" s="1834">
        <f>SUM(K172:K173)</f>
        <v>1252212311</v>
      </c>
      <c r="L174" s="1775"/>
      <c r="M174" s="1773"/>
      <c r="N174" s="1834">
        <f>SUM(N172:N173)</f>
        <v>2432500599.5454559</v>
      </c>
      <c r="O174" s="1775"/>
      <c r="P174" s="1773"/>
      <c r="Q174" s="1834">
        <f>SUM(Q172:Q173)</f>
        <v>3611281054.7353792</v>
      </c>
      <c r="R174" s="1775"/>
      <c r="S174" s="1773"/>
      <c r="T174" s="1834">
        <f>SUM(T172:T173)</f>
        <v>4360539332.7917652</v>
      </c>
      <c r="U174" s="1775"/>
      <c r="V174" s="1773"/>
      <c r="W174" s="1834">
        <f>SUM(W172:W173)</f>
        <v>5546784217.1886635</v>
      </c>
      <c r="X174" s="1775"/>
      <c r="Y174" s="1773"/>
      <c r="Z174" s="1834">
        <f>SUM(Z172:Z173)</f>
        <v>3980244862.0603542</v>
      </c>
      <c r="AA174" s="1775"/>
      <c r="AB174" s="1773"/>
      <c r="AC174" s="1834">
        <f>SUM(AC172:AC173)</f>
        <v>6590517177.1193905</v>
      </c>
      <c r="AD174" s="1775"/>
      <c r="AE174" s="1773"/>
      <c r="AF174" s="1774"/>
      <c r="AG174" s="1774"/>
      <c r="AH174" s="1833">
        <f t="shared" si="106"/>
        <v>2030303838.6676509</v>
      </c>
      <c r="AI174" s="1833">
        <f t="shared" si="107"/>
        <v>2451545479.8012466</v>
      </c>
      <c r="AJ174" s="1833">
        <f t="shared" si="108"/>
        <v>3118466028.4616079</v>
      </c>
      <c r="AK174" s="1833">
        <f t="shared" si="109"/>
        <v>2237739544.4427638</v>
      </c>
      <c r="AL174" s="1835">
        <f t="shared" si="110"/>
        <v>3705264730.3551064</v>
      </c>
    </row>
    <row r="175" spans="2:42" ht="12.75" thickBot="1" x14ac:dyDescent="0.35"/>
    <row r="176" spans="2:42" ht="12.75" thickBot="1" x14ac:dyDescent="0.35">
      <c r="B176" s="1813" t="s">
        <v>7769</v>
      </c>
      <c r="D176" s="1814"/>
      <c r="E176" s="1815"/>
      <c r="F176" s="1815"/>
      <c r="G176" s="1815"/>
      <c r="H176" s="1836">
        <f>H174+H166</f>
        <v>58302450848</v>
      </c>
      <c r="I176" s="1815"/>
      <c r="J176" s="1815"/>
      <c r="K176" s="1836">
        <f>K174+K166</f>
        <v>78125032016</v>
      </c>
      <c r="L176" s="1815"/>
      <c r="M176" s="1815"/>
      <c r="N176" s="1836">
        <f>N174+N166</f>
        <v>88429795106</v>
      </c>
      <c r="O176" s="1815"/>
      <c r="P176" s="1815"/>
      <c r="Q176" s="1836">
        <f>Q174+Q166</f>
        <v>132243790101.62506</v>
      </c>
      <c r="R176" s="1815"/>
      <c r="S176" s="1815"/>
      <c r="T176" s="1836">
        <f>T174+T166</f>
        <v>174526172591.15198</v>
      </c>
      <c r="U176" s="1815"/>
      <c r="V176" s="1815"/>
      <c r="W176" s="1836">
        <f>W174+W166</f>
        <v>195689506038.19061</v>
      </c>
      <c r="X176" s="1815"/>
      <c r="Y176" s="1815"/>
      <c r="Z176" s="1836">
        <f>Z174+Z166</f>
        <v>250348397067.47012</v>
      </c>
      <c r="AA176" s="1815"/>
      <c r="AB176" s="1815"/>
      <c r="AC176" s="1836">
        <f>AC174+AC166</f>
        <v>288555485071.87</v>
      </c>
      <c r="AD176" s="1815"/>
      <c r="AE176" s="1836">
        <f t="shared" ref="AE176:AL176" si="111">AE174+AE166</f>
        <v>1306982353</v>
      </c>
      <c r="AF176" s="1836">
        <f t="shared" si="111"/>
        <v>1434482546</v>
      </c>
      <c r="AG176" s="1836">
        <f t="shared" si="111"/>
        <v>1688613714</v>
      </c>
      <c r="AH176" s="1836">
        <f t="shared" si="111"/>
        <v>73105652465.872726</v>
      </c>
      <c r="AI176" s="1836">
        <f t="shared" si="111"/>
        <v>97964781077.288269</v>
      </c>
      <c r="AJ176" s="1836">
        <f t="shared" si="111"/>
        <v>109855258853.59326</v>
      </c>
      <c r="AK176" s="1836">
        <f t="shared" si="111"/>
        <v>140576935616.14264</v>
      </c>
      <c r="AL176" s="1837">
        <f t="shared" si="111"/>
        <v>162048809973.75211</v>
      </c>
    </row>
    <row r="178" spans="2:42" x14ac:dyDescent="0.3">
      <c r="B178" s="1716" t="s">
        <v>7770</v>
      </c>
    </row>
    <row r="179" spans="2:42" ht="12.75" thickBot="1" x14ac:dyDescent="0.35"/>
    <row r="180" spans="2:42" x14ac:dyDescent="0.3">
      <c r="B180" s="1717" t="s">
        <v>7596</v>
      </c>
      <c r="C180" s="1718"/>
      <c r="D180" s="1718" t="s">
        <v>7597</v>
      </c>
      <c r="E180" s="1719" t="s">
        <v>7598</v>
      </c>
      <c r="F180" s="1720"/>
      <c r="G180" s="1884" t="s">
        <v>7599</v>
      </c>
      <c r="H180" s="1885"/>
      <c r="I180" s="1886"/>
      <c r="J180" s="1884" t="s">
        <v>7600</v>
      </c>
      <c r="K180" s="1885"/>
      <c r="L180" s="1886"/>
      <c r="M180" s="1884" t="s">
        <v>7601</v>
      </c>
      <c r="N180" s="1885"/>
      <c r="O180" s="1886"/>
      <c r="P180" s="1884" t="s">
        <v>7602</v>
      </c>
      <c r="Q180" s="1885"/>
      <c r="R180" s="1886"/>
      <c r="S180" s="1884" t="s">
        <v>7603</v>
      </c>
      <c r="T180" s="1885"/>
      <c r="U180" s="1886"/>
      <c r="V180" s="1884" t="s">
        <v>7727</v>
      </c>
      <c r="W180" s="1885"/>
      <c r="X180" s="1886"/>
      <c r="Y180" s="1884" t="s">
        <v>7605</v>
      </c>
      <c r="Z180" s="1885"/>
      <c r="AA180" s="1886"/>
      <c r="AB180" s="1884" t="s">
        <v>7728</v>
      </c>
      <c r="AC180" s="1885"/>
      <c r="AD180" s="1887"/>
      <c r="AE180" s="1884" t="s">
        <v>7771</v>
      </c>
      <c r="AF180" s="1885"/>
      <c r="AG180" s="1885"/>
      <c r="AH180" s="1885"/>
      <c r="AI180" s="1885"/>
      <c r="AJ180" s="1885"/>
      <c r="AK180" s="1885"/>
      <c r="AL180" s="1886"/>
      <c r="AM180" s="1721"/>
      <c r="AN180" s="1721"/>
      <c r="AO180" s="1721"/>
      <c r="AP180" s="1721"/>
    </row>
    <row r="181" spans="2:42" x14ac:dyDescent="0.3">
      <c r="B181" s="1820" t="s">
        <v>7607</v>
      </c>
      <c r="C181" s="1821" t="s">
        <v>7608</v>
      </c>
      <c r="D181" s="1821" t="s">
        <v>7609</v>
      </c>
      <c r="E181" s="1822" t="s">
        <v>7610</v>
      </c>
      <c r="F181" s="1823" t="s">
        <v>7611</v>
      </c>
      <c r="G181" s="1824" t="s">
        <v>7612</v>
      </c>
      <c r="H181" s="1825" t="s">
        <v>7613</v>
      </c>
      <c r="I181" s="1826" t="s">
        <v>7614</v>
      </c>
      <c r="J181" s="1824" t="s">
        <v>7612</v>
      </c>
      <c r="K181" s="1825" t="s">
        <v>7613</v>
      </c>
      <c r="L181" s="1826" t="s">
        <v>7614</v>
      </c>
      <c r="M181" s="1824" t="s">
        <v>7612</v>
      </c>
      <c r="N181" s="1827" t="s">
        <v>7613</v>
      </c>
      <c r="O181" s="1828" t="s">
        <v>7614</v>
      </c>
      <c r="P181" s="1824" t="s">
        <v>7612</v>
      </c>
      <c r="Q181" s="1827" t="s">
        <v>7613</v>
      </c>
      <c r="R181" s="1828" t="s">
        <v>7614</v>
      </c>
      <c r="S181" s="1824" t="s">
        <v>7612</v>
      </c>
      <c r="T181" s="1827" t="s">
        <v>7613</v>
      </c>
      <c r="U181" s="1828" t="s">
        <v>7614</v>
      </c>
      <c r="V181" s="1824" t="s">
        <v>7612</v>
      </c>
      <c r="W181" s="1827" t="s">
        <v>7613</v>
      </c>
      <c r="X181" s="1828" t="s">
        <v>7614</v>
      </c>
      <c r="Y181" s="1824" t="s">
        <v>7612</v>
      </c>
      <c r="Z181" s="1827" t="s">
        <v>7772</v>
      </c>
      <c r="AA181" s="1828" t="s">
        <v>7614</v>
      </c>
      <c r="AB181" s="1824" t="s">
        <v>7612</v>
      </c>
      <c r="AC181" s="1827" t="s">
        <v>7613</v>
      </c>
      <c r="AD181" s="1838" t="s">
        <v>7614</v>
      </c>
      <c r="AE181" s="1824">
        <v>2015</v>
      </c>
      <c r="AF181" s="1827">
        <v>2016</v>
      </c>
      <c r="AG181" s="1827">
        <v>2017</v>
      </c>
      <c r="AH181" s="1827">
        <v>2018</v>
      </c>
      <c r="AI181" s="1827">
        <v>2019</v>
      </c>
      <c r="AJ181" s="1827">
        <v>2020</v>
      </c>
      <c r="AK181" s="1827">
        <v>2021</v>
      </c>
      <c r="AL181" s="1828">
        <v>2022</v>
      </c>
      <c r="AM181" s="1721"/>
      <c r="AN181" s="1721"/>
      <c r="AO181" s="1721"/>
      <c r="AP181" s="1721"/>
    </row>
    <row r="182" spans="2:42" ht="12.75" thickBot="1" x14ac:dyDescent="0.35">
      <c r="B182" s="1784" t="s">
        <v>7773</v>
      </c>
      <c r="C182" s="1784"/>
      <c r="D182" s="1784"/>
      <c r="E182" s="1784"/>
      <c r="F182" s="1784"/>
      <c r="G182" s="1784"/>
      <c r="H182" s="1839">
        <v>3664294921</v>
      </c>
      <c r="I182" s="1786">
        <f>H182/H$93</f>
        <v>7.1897214922546818E-2</v>
      </c>
      <c r="J182" s="1784"/>
      <c r="K182" s="1840">
        <v>3363198851</v>
      </c>
      <c r="L182" s="1786">
        <f>K182/K$93</f>
        <v>4.606875277677646E-2</v>
      </c>
      <c r="M182" s="1784"/>
      <c r="N182" s="1738">
        <v>3904170419</v>
      </c>
      <c r="O182" s="1786">
        <f>N182/N$93</f>
        <v>4.9747128533979945E-2</v>
      </c>
      <c r="P182" s="1784"/>
      <c r="Q182" s="1738">
        <f>Q93*$R$182</f>
        <v>5767436127.4342451</v>
      </c>
      <c r="R182" s="1841">
        <f>AVERAGE(O182,L182,I182)</f>
        <v>5.5904365411101074E-2</v>
      </c>
      <c r="S182" s="1784"/>
      <c r="T182" s="1738">
        <f>T93*$R$182</f>
        <v>7624861935.9104452</v>
      </c>
      <c r="U182" s="1784"/>
      <c r="V182" s="1784"/>
      <c r="W182" s="1738">
        <f>W93*$R$182</f>
        <v>8255312460.7981672</v>
      </c>
      <c r="X182" s="1784"/>
      <c r="Y182" s="1784"/>
      <c r="Z182" s="1738">
        <f>Z93*$R$182</f>
        <v>10868288288.555027</v>
      </c>
      <c r="AA182" s="1784"/>
      <c r="AB182" s="1784"/>
      <c r="AC182" s="1738">
        <f>AC93*$R$182</f>
        <v>12280943624.039463</v>
      </c>
      <c r="AD182" s="1810"/>
      <c r="AE182" s="1773"/>
      <c r="AF182" s="1774"/>
      <c r="AG182" s="1774"/>
      <c r="AH182" s="1833">
        <f t="shared" ref="AH182" si="112">Q182*$AP$93</f>
        <v>3242519076.0064716</v>
      </c>
      <c r="AI182" s="1833">
        <f t="shared" ref="AI182" si="113">T182*$AP$93</f>
        <v>4286785277.3436947</v>
      </c>
      <c r="AJ182" s="1833">
        <f t="shared" ref="AJ182" si="114">W182*$AP$93</f>
        <v>4641231830.0680075</v>
      </c>
      <c r="AK182" s="1833">
        <f t="shared" ref="AK182" si="115">Z182*$AP$93</f>
        <v>6110276961.9842978</v>
      </c>
      <c r="AL182" s="1835">
        <f t="shared" ref="AL182" si="116">AC182*$AP$93</f>
        <v>6904488076.2334919</v>
      </c>
    </row>
    <row r="184" spans="2:42" ht="12.75" thickBot="1" x14ac:dyDescent="0.35"/>
    <row r="185" spans="2:42" ht="12.75" thickBot="1" x14ac:dyDescent="0.35">
      <c r="B185" s="1813" t="s">
        <v>7774</v>
      </c>
      <c r="D185" s="1814"/>
      <c r="E185" s="1815"/>
      <c r="F185" s="1815"/>
      <c r="G185" s="1815"/>
      <c r="H185" s="1842">
        <f>H182+H176</f>
        <v>61966745769</v>
      </c>
      <c r="I185" s="1815"/>
      <c r="J185" s="1815"/>
      <c r="K185" s="1842">
        <f>K182+K176</f>
        <v>81488230867</v>
      </c>
      <c r="L185" s="1815"/>
      <c r="M185" s="1815"/>
      <c r="N185" s="1842">
        <f>N182+N176</f>
        <v>92333965525</v>
      </c>
      <c r="O185" s="1815"/>
      <c r="P185" s="1815"/>
      <c r="Q185" s="1842">
        <f>Q182+Q176</f>
        <v>138011226229.0593</v>
      </c>
      <c r="R185" s="1815"/>
      <c r="S185" s="1815"/>
      <c r="T185" s="1842">
        <f>T182+T176</f>
        <v>182151034527.06241</v>
      </c>
      <c r="U185" s="1815"/>
      <c r="V185" s="1815"/>
      <c r="W185" s="1842">
        <f>W182+W176</f>
        <v>203944818498.98877</v>
      </c>
      <c r="X185" s="1815"/>
      <c r="Y185" s="1815"/>
      <c r="Z185" s="1842">
        <f>Z182+Z176</f>
        <v>261216685356.02515</v>
      </c>
      <c r="AA185" s="1815"/>
      <c r="AB185" s="1815"/>
      <c r="AC185" s="1842">
        <f>AC182+AC176</f>
        <v>300836428695.90948</v>
      </c>
      <c r="AD185" s="1815"/>
      <c r="AE185" s="1836">
        <f t="shared" ref="AE185:AL185" si="117">AE182+AE176</f>
        <v>1306982353</v>
      </c>
      <c r="AF185" s="1836">
        <f t="shared" si="117"/>
        <v>1434482546</v>
      </c>
      <c r="AG185" s="1836">
        <f t="shared" si="117"/>
        <v>1688613714</v>
      </c>
      <c r="AH185" s="1836">
        <f t="shared" si="117"/>
        <v>76348171541.879196</v>
      </c>
      <c r="AI185" s="1836">
        <f t="shared" si="117"/>
        <v>102251566354.63196</v>
      </c>
      <c r="AJ185" s="1836">
        <f t="shared" si="117"/>
        <v>114496490683.66127</v>
      </c>
      <c r="AK185" s="1836">
        <f t="shared" si="117"/>
        <v>146687212578.12692</v>
      </c>
      <c r="AL185" s="1837">
        <f t="shared" si="117"/>
        <v>168953298049.9856</v>
      </c>
    </row>
  </sheetData>
  <autoFilter ref="B5:E93"/>
  <mergeCells count="36">
    <mergeCell ref="V180:X180"/>
    <mergeCell ref="Y180:AA180"/>
    <mergeCell ref="AB180:AD180"/>
    <mergeCell ref="AE180:AL180"/>
    <mergeCell ref="G180:I180"/>
    <mergeCell ref="J180:L180"/>
    <mergeCell ref="M180:O180"/>
    <mergeCell ref="P180:R180"/>
    <mergeCell ref="S180:U180"/>
    <mergeCell ref="AB106:AD106"/>
    <mergeCell ref="AE106:AL106"/>
    <mergeCell ref="G170:I170"/>
    <mergeCell ref="J170:L170"/>
    <mergeCell ref="M170:O170"/>
    <mergeCell ref="P170:R170"/>
    <mergeCell ref="S170:U170"/>
    <mergeCell ref="V170:X170"/>
    <mergeCell ref="Y170:AA170"/>
    <mergeCell ref="AB170:AD170"/>
    <mergeCell ref="AE170:AL170"/>
    <mergeCell ref="Y4:AA4"/>
    <mergeCell ref="AB4:AD4"/>
    <mergeCell ref="AE4:AL4"/>
    <mergeCell ref="G106:I106"/>
    <mergeCell ref="J106:L106"/>
    <mergeCell ref="M106:O106"/>
    <mergeCell ref="P106:R106"/>
    <mergeCell ref="S106:U106"/>
    <mergeCell ref="V106:X106"/>
    <mergeCell ref="Y106:AA106"/>
    <mergeCell ref="G4:I4"/>
    <mergeCell ref="J4:L4"/>
    <mergeCell ref="M4:O4"/>
    <mergeCell ref="P4:R4"/>
    <mergeCell ref="S4:U4"/>
    <mergeCell ref="V4:X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R137"/>
  <sheetViews>
    <sheetView showGridLines="0" topLeftCell="A63" workbookViewId="0">
      <selection activeCell="AB160" sqref="AB160:AD295"/>
    </sheetView>
  </sheetViews>
  <sheetFormatPr defaultColWidth="9" defaultRowHeight="13.5" x14ac:dyDescent="0.3"/>
  <cols>
    <col min="1" max="2" width="2.375" style="565" customWidth="1"/>
    <col min="3" max="26" width="12.625" style="565" customWidth="1"/>
    <col min="27" max="16384" width="9" style="565"/>
  </cols>
  <sheetData>
    <row r="1" spans="1:8" x14ac:dyDescent="0.3">
      <c r="A1" s="579" t="s">
        <v>2022</v>
      </c>
      <c r="B1" s="579"/>
      <c r="C1" s="579"/>
      <c r="D1" s="579"/>
      <c r="E1" s="579"/>
      <c r="F1" s="579"/>
    </row>
    <row r="3" spans="1:8" x14ac:dyDescent="0.3">
      <c r="B3" s="564" t="s">
        <v>531</v>
      </c>
    </row>
    <row r="4" spans="1:8" x14ac:dyDescent="0.3">
      <c r="B4" s="564"/>
      <c r="H4" s="581" t="s">
        <v>529</v>
      </c>
    </row>
    <row r="5" spans="1:8" x14ac:dyDescent="0.3">
      <c r="C5" s="566" t="s">
        <v>504</v>
      </c>
      <c r="D5" s="566"/>
      <c r="E5" s="566" t="s">
        <v>505</v>
      </c>
      <c r="F5" s="566" t="s">
        <v>523</v>
      </c>
      <c r="G5" s="566" t="s">
        <v>524</v>
      </c>
      <c r="H5" s="566" t="s">
        <v>525</v>
      </c>
    </row>
    <row r="6" spans="1:8" x14ac:dyDescent="0.3">
      <c r="C6" s="1893" t="s">
        <v>506</v>
      </c>
      <c r="D6" s="567" t="s">
        <v>507</v>
      </c>
      <c r="E6" s="568">
        <f>IS!D15/10^6</f>
        <v>463.26260000000002</v>
      </c>
      <c r="F6" s="568">
        <f>IS!E15/10^6</f>
        <v>520.15279999999996</v>
      </c>
      <c r="G6" s="568">
        <f>IS!F15/10^6</f>
        <v>578.5711</v>
      </c>
      <c r="H6" s="568"/>
    </row>
    <row r="7" spans="1:8" x14ac:dyDescent="0.3">
      <c r="C7" s="1894"/>
      <c r="D7" s="567" t="s">
        <v>508</v>
      </c>
      <c r="E7" s="568">
        <f>IS!D16/10^6</f>
        <v>2204.1064430000001</v>
      </c>
      <c r="F7" s="568">
        <f>IS!E16/10^6</f>
        <v>2314.5343240000002</v>
      </c>
      <c r="G7" s="568">
        <f>IS!F16/10^6</f>
        <v>2641.3857429999998</v>
      </c>
      <c r="H7" s="568"/>
    </row>
    <row r="8" spans="1:8" x14ac:dyDescent="0.3">
      <c r="C8" s="1894"/>
      <c r="D8" s="567" t="s">
        <v>509</v>
      </c>
      <c r="E8" s="568">
        <f>IS!D17/10^6</f>
        <v>623.27835000000005</v>
      </c>
      <c r="F8" s="568">
        <f>IS!E17/10^6</f>
        <v>998.62633000000005</v>
      </c>
      <c r="G8" s="568">
        <f>IS!F17/10^6</f>
        <v>990.65332999999998</v>
      </c>
      <c r="H8" s="568"/>
    </row>
    <row r="9" spans="1:8" x14ac:dyDescent="0.3">
      <c r="C9" s="1894"/>
      <c r="D9" s="567" t="s">
        <v>520</v>
      </c>
      <c r="E9" s="568">
        <f>IS!D18/10^6</f>
        <v>3.7</v>
      </c>
      <c r="F9" s="568">
        <f>IS!E18/10^6</f>
        <v>0.50778000000000001</v>
      </c>
      <c r="G9" s="568">
        <f>IS!F18/10^6</f>
        <v>11.89437</v>
      </c>
      <c r="H9" s="568"/>
    </row>
    <row r="10" spans="1:8" x14ac:dyDescent="0.3">
      <c r="C10" s="1894"/>
      <c r="D10" s="567" t="s">
        <v>521</v>
      </c>
      <c r="E10" s="568">
        <f>IS!D19/10^6</f>
        <v>174.84352999999999</v>
      </c>
      <c r="F10" s="568">
        <f>IS!E19/10^6</f>
        <v>196.85085000000001</v>
      </c>
      <c r="G10" s="568">
        <f>IS!F19/10^6</f>
        <v>209.05510000000001</v>
      </c>
      <c r="H10" s="568"/>
    </row>
    <row r="11" spans="1:8" x14ac:dyDescent="0.3">
      <c r="C11" s="1895"/>
      <c r="D11" s="567" t="s">
        <v>522</v>
      </c>
      <c r="E11" s="582">
        <f>IS!D20/10^6</f>
        <v>192.567925</v>
      </c>
      <c r="F11" s="582">
        <f>IS!E20/10^6</f>
        <v>204.28270699999999</v>
      </c>
      <c r="G11" s="582">
        <f>IS!F20/10^6</f>
        <v>240.865737</v>
      </c>
      <c r="H11" s="568"/>
    </row>
    <row r="12" spans="1:8" x14ac:dyDescent="0.3">
      <c r="C12" s="580" t="s">
        <v>510</v>
      </c>
      <c r="D12" s="580"/>
      <c r="E12" s="570">
        <f>SUM(E6:E11)</f>
        <v>3661.7588479999999</v>
      </c>
      <c r="F12" s="570">
        <f t="shared" ref="F12" si="0">SUM(F6:F11)</f>
        <v>4234.9547910000001</v>
      </c>
      <c r="G12" s="570">
        <f t="shared" ref="G12" si="1">SUM(G6:G11)</f>
        <v>4672.4253799999997</v>
      </c>
      <c r="H12" s="570">
        <f t="shared" ref="H12" si="2">SUM(H6:H11)</f>
        <v>0</v>
      </c>
    </row>
    <row r="13" spans="1:8" x14ac:dyDescent="0.3">
      <c r="C13" s="1893" t="s">
        <v>526</v>
      </c>
      <c r="D13" s="567" t="s">
        <v>507</v>
      </c>
      <c r="E13" s="568"/>
      <c r="F13" s="568"/>
      <c r="G13" s="568"/>
      <c r="H13" s="568"/>
    </row>
    <row r="14" spans="1:8" x14ac:dyDescent="0.3">
      <c r="C14" s="1894"/>
      <c r="D14" s="567" t="s">
        <v>508</v>
      </c>
      <c r="E14" s="568"/>
      <c r="F14" s="568"/>
      <c r="G14" s="568"/>
      <c r="H14" s="568"/>
    </row>
    <row r="15" spans="1:8" x14ac:dyDescent="0.3">
      <c r="C15" s="1894"/>
      <c r="D15" s="567" t="s">
        <v>509</v>
      </c>
      <c r="E15" s="568"/>
      <c r="F15" s="568"/>
      <c r="G15" s="568"/>
      <c r="H15" s="568"/>
    </row>
    <row r="16" spans="1:8" x14ac:dyDescent="0.3">
      <c r="C16" s="1894"/>
      <c r="D16" s="567" t="s">
        <v>520</v>
      </c>
      <c r="E16" s="568"/>
      <c r="F16" s="568"/>
      <c r="G16" s="568"/>
      <c r="H16" s="568"/>
    </row>
    <row r="17" spans="2:16" x14ac:dyDescent="0.3">
      <c r="C17" s="1894"/>
      <c r="D17" s="567" t="s">
        <v>521</v>
      </c>
      <c r="E17" s="568"/>
      <c r="F17" s="568"/>
      <c r="G17" s="568"/>
      <c r="H17" s="568"/>
    </row>
    <row r="18" spans="2:16" x14ac:dyDescent="0.3">
      <c r="C18" s="1895"/>
      <c r="D18" s="567" t="s">
        <v>522</v>
      </c>
      <c r="E18" s="567"/>
      <c r="F18" s="568"/>
      <c r="G18" s="568"/>
      <c r="H18" s="568"/>
    </row>
    <row r="19" spans="2:16" x14ac:dyDescent="0.3">
      <c r="C19" s="580" t="s">
        <v>527</v>
      </c>
      <c r="D19" s="580"/>
      <c r="E19" s="570">
        <f>SUM(E13:E18)</f>
        <v>0</v>
      </c>
      <c r="F19" s="570">
        <f t="shared" ref="F19" si="3">SUM(F13:F18)</f>
        <v>0</v>
      </c>
      <c r="G19" s="570">
        <f t="shared" ref="G19" si="4">SUM(G13:G18)</f>
        <v>0</v>
      </c>
      <c r="H19" s="570">
        <f t="shared" ref="H19" si="5">SUM(H13:H18)</f>
        <v>0</v>
      </c>
    </row>
    <row r="20" spans="2:16" x14ac:dyDescent="0.3">
      <c r="C20" s="580" t="s">
        <v>511</v>
      </c>
      <c r="D20" s="580"/>
      <c r="E20" s="570">
        <f>E12+E19</f>
        <v>3661.7588479999999</v>
      </c>
      <c r="F20" s="570">
        <f t="shared" ref="F20" si="6">F12+F19</f>
        <v>4234.9547910000001</v>
      </c>
      <c r="G20" s="570">
        <f t="shared" ref="G20" si="7">G12+G19</f>
        <v>4672.4253799999997</v>
      </c>
      <c r="H20" s="570">
        <f t="shared" ref="H20" si="8">H12+H19</f>
        <v>0</v>
      </c>
    </row>
    <row r="22" spans="2:16" x14ac:dyDescent="0.3">
      <c r="B22" s="564" t="s">
        <v>528</v>
      </c>
    </row>
    <row r="23" spans="2:16" x14ac:dyDescent="0.3">
      <c r="B23" s="564"/>
      <c r="H23" s="581" t="s">
        <v>529</v>
      </c>
    </row>
    <row r="24" spans="2:16" x14ac:dyDescent="0.3">
      <c r="C24" s="1898" t="s">
        <v>504</v>
      </c>
      <c r="D24" s="1898"/>
      <c r="E24" s="566" t="s">
        <v>505</v>
      </c>
      <c r="F24" s="566" t="s">
        <v>523</v>
      </c>
      <c r="G24" s="566" t="s">
        <v>524</v>
      </c>
      <c r="H24" s="566" t="s">
        <v>525</v>
      </c>
    </row>
    <row r="25" spans="2:16" x14ac:dyDescent="0.3">
      <c r="C25" s="1893" t="s">
        <v>506</v>
      </c>
      <c r="D25" s="567" t="s">
        <v>507</v>
      </c>
      <c r="E25" s="568">
        <f>Q97/10^6</f>
        <v>463.26260000000002</v>
      </c>
      <c r="F25" s="568">
        <f>Q114/10^6</f>
        <v>520.15279999999996</v>
      </c>
      <c r="G25" s="568">
        <f>Q130/10^6</f>
        <v>578.5711</v>
      </c>
      <c r="H25" s="568"/>
      <c r="J25" s="550"/>
      <c r="O25" s="656"/>
      <c r="P25" s="655"/>
    </row>
    <row r="26" spans="2:16" x14ac:dyDescent="0.3">
      <c r="C26" s="1894"/>
      <c r="D26" s="567" t="s">
        <v>508</v>
      </c>
      <c r="E26" s="568">
        <f>Q98/10^6</f>
        <v>2195.82861</v>
      </c>
      <c r="F26" s="568">
        <f>Q115/10^6</f>
        <v>2315.2496299999998</v>
      </c>
      <c r="G26" s="568">
        <f t="shared" ref="G26:G28" si="9">Q131/10^6</f>
        <v>2617.45505</v>
      </c>
      <c r="H26" s="568"/>
      <c r="O26" s="656"/>
      <c r="P26" s="655"/>
    </row>
    <row r="27" spans="2:16" x14ac:dyDescent="0.3">
      <c r="C27" s="1894"/>
      <c r="D27" s="567" t="s">
        <v>509</v>
      </c>
      <c r="E27" s="568">
        <f>Q99/10^6</f>
        <v>623.27835000000005</v>
      </c>
      <c r="F27" s="568">
        <f t="shared" ref="F27:F28" si="10">Q116/10^6</f>
        <v>998.62633000000005</v>
      </c>
      <c r="G27" s="568">
        <f t="shared" si="9"/>
        <v>990.65332999999998</v>
      </c>
      <c r="H27" s="568"/>
      <c r="I27" s="569"/>
      <c r="O27" s="656"/>
      <c r="P27" s="655"/>
    </row>
    <row r="28" spans="2:16" x14ac:dyDescent="0.3">
      <c r="C28" s="1894"/>
      <c r="D28" s="567" t="s">
        <v>520</v>
      </c>
      <c r="E28" s="568">
        <f>Q100/10^6</f>
        <v>3.7</v>
      </c>
      <c r="F28" s="568">
        <f t="shared" si="10"/>
        <v>0.50778000000000001</v>
      </c>
      <c r="G28" s="568">
        <f t="shared" si="9"/>
        <v>11.89437</v>
      </c>
      <c r="H28" s="568"/>
      <c r="I28" s="569"/>
      <c r="O28" s="656"/>
      <c r="P28" s="655"/>
    </row>
    <row r="29" spans="2:16" x14ac:dyDescent="0.3">
      <c r="C29" s="1894"/>
      <c r="D29" s="567" t="s">
        <v>521</v>
      </c>
      <c r="E29" s="568"/>
      <c r="F29" s="568"/>
      <c r="G29" s="568"/>
      <c r="H29" s="568"/>
      <c r="I29" s="569"/>
      <c r="O29" s="656"/>
      <c r="P29" s="655"/>
    </row>
    <row r="30" spans="2:16" x14ac:dyDescent="0.3">
      <c r="C30" s="1895"/>
      <c r="D30" s="567" t="s">
        <v>522</v>
      </c>
      <c r="E30" s="567"/>
      <c r="F30" s="568"/>
      <c r="G30" s="568"/>
      <c r="H30" s="568"/>
      <c r="I30" s="569"/>
    </row>
    <row r="31" spans="2:16" x14ac:dyDescent="0.3">
      <c r="C31" s="1896" t="s">
        <v>510</v>
      </c>
      <c r="D31" s="1896"/>
      <c r="E31" s="570">
        <f>SUM(E25:E30)</f>
        <v>3286.0695599999999</v>
      </c>
      <c r="F31" s="570">
        <f t="shared" ref="F31:H31" si="11">SUM(F25:F30)</f>
        <v>3834.5365399999996</v>
      </c>
      <c r="G31" s="570">
        <f t="shared" si="11"/>
        <v>4198.5738499999998</v>
      </c>
      <c r="H31" s="570">
        <f t="shared" si="11"/>
        <v>0</v>
      </c>
      <c r="I31" s="571"/>
      <c r="J31" s="571"/>
      <c r="K31" s="571"/>
      <c r="L31" s="571"/>
    </row>
    <row r="32" spans="2:16" x14ac:dyDescent="0.3">
      <c r="C32" s="1893" t="s">
        <v>526</v>
      </c>
      <c r="D32" s="567" t="s">
        <v>507</v>
      </c>
      <c r="E32" s="568"/>
      <c r="F32" s="568"/>
      <c r="G32" s="568"/>
      <c r="H32" s="568"/>
      <c r="I32" s="571"/>
      <c r="J32" s="571"/>
      <c r="K32" s="571"/>
      <c r="L32" s="571"/>
    </row>
    <row r="33" spans="2:12" x14ac:dyDescent="0.3">
      <c r="C33" s="1894"/>
      <c r="D33" s="567" t="s">
        <v>508</v>
      </c>
      <c r="E33" s="568">
        <f>Q94/10^6</f>
        <v>3617.77747</v>
      </c>
      <c r="F33" s="568">
        <f>Q111/10^6</f>
        <v>4000.5643100000002</v>
      </c>
      <c r="G33" s="568">
        <f>Q127/10^6</f>
        <v>4331.6054899999999</v>
      </c>
      <c r="H33" s="568"/>
      <c r="I33" s="571"/>
      <c r="J33" s="571"/>
      <c r="K33" s="571"/>
      <c r="L33" s="571"/>
    </row>
    <row r="34" spans="2:12" x14ac:dyDescent="0.3">
      <c r="C34" s="1894"/>
      <c r="D34" s="567" t="s">
        <v>509</v>
      </c>
      <c r="E34" s="568">
        <f>Q95/10^6</f>
        <v>301.09044999999998</v>
      </c>
      <c r="F34" s="568">
        <f>Q112/10^6</f>
        <v>544.48112000000003</v>
      </c>
      <c r="G34" s="568">
        <f t="shared" ref="G34:G35" si="12">Q128/10^6</f>
        <v>494.04</v>
      </c>
      <c r="H34" s="568"/>
      <c r="I34" s="571"/>
      <c r="J34" s="571"/>
      <c r="K34" s="571"/>
      <c r="L34" s="571"/>
    </row>
    <row r="35" spans="2:12" x14ac:dyDescent="0.3">
      <c r="C35" s="1894"/>
      <c r="D35" s="567" t="s">
        <v>520</v>
      </c>
      <c r="E35" s="568">
        <f>Q96/10^6</f>
        <v>5.3706399999999999</v>
      </c>
      <c r="F35" s="568">
        <f>Q113/10^6</f>
        <v>3.2275800000000001</v>
      </c>
      <c r="G35" s="568">
        <f t="shared" si="12"/>
        <v>3.6321599999999998</v>
      </c>
      <c r="H35" s="568"/>
      <c r="I35" s="571"/>
      <c r="J35" s="571"/>
      <c r="K35" s="571"/>
      <c r="L35" s="571"/>
    </row>
    <row r="36" spans="2:12" x14ac:dyDescent="0.3">
      <c r="C36" s="1894"/>
      <c r="D36" s="567" t="s">
        <v>521</v>
      </c>
      <c r="E36" s="568"/>
      <c r="F36" s="568"/>
      <c r="G36" s="568"/>
      <c r="H36" s="568"/>
      <c r="I36" s="571"/>
      <c r="J36" s="571"/>
      <c r="K36" s="571"/>
      <c r="L36" s="571"/>
    </row>
    <row r="37" spans="2:12" x14ac:dyDescent="0.3">
      <c r="C37" s="1895"/>
      <c r="D37" s="567" t="s">
        <v>522</v>
      </c>
      <c r="E37" s="567"/>
      <c r="F37" s="568"/>
      <c r="G37" s="568"/>
      <c r="H37" s="568"/>
      <c r="I37" s="571"/>
      <c r="J37" s="571"/>
      <c r="K37" s="571"/>
      <c r="L37" s="571"/>
    </row>
    <row r="38" spans="2:12" x14ac:dyDescent="0.3">
      <c r="C38" s="1896" t="s">
        <v>527</v>
      </c>
      <c r="D38" s="1896"/>
      <c r="E38" s="570">
        <f>SUM(E32:E37)</f>
        <v>3924.2385600000002</v>
      </c>
      <c r="F38" s="570">
        <f t="shared" ref="F38" si="13">SUM(F32:F37)</f>
        <v>4548.2730099999999</v>
      </c>
      <c r="G38" s="570">
        <f t="shared" ref="G38" si="14">SUM(G32:G37)</f>
        <v>4829.27765</v>
      </c>
      <c r="H38" s="570">
        <f t="shared" ref="H38" si="15">SUM(H32:H37)</f>
        <v>0</v>
      </c>
      <c r="I38" s="571"/>
      <c r="J38" s="571"/>
      <c r="K38" s="571"/>
      <c r="L38" s="571"/>
    </row>
    <row r="39" spans="2:12" ht="13.5" customHeight="1" x14ac:dyDescent="0.3">
      <c r="C39" s="1896" t="s">
        <v>511</v>
      </c>
      <c r="D39" s="1896"/>
      <c r="E39" s="570">
        <f>E31+E38</f>
        <v>7210.3081199999997</v>
      </c>
      <c r="F39" s="570">
        <f t="shared" ref="F39:H39" si="16">F31+F38</f>
        <v>8382.8095499999999</v>
      </c>
      <c r="G39" s="570">
        <f t="shared" si="16"/>
        <v>9027.8515000000007</v>
      </c>
      <c r="H39" s="570">
        <f t="shared" si="16"/>
        <v>0</v>
      </c>
    </row>
    <row r="41" spans="2:12" x14ac:dyDescent="0.3">
      <c r="C41" s="573"/>
      <c r="D41" s="573"/>
      <c r="E41" s="573"/>
      <c r="F41" s="573"/>
      <c r="G41" s="573"/>
      <c r="H41" s="573"/>
      <c r="I41" s="573"/>
    </row>
    <row r="42" spans="2:12" x14ac:dyDescent="0.3">
      <c r="B42" s="564" t="s">
        <v>578</v>
      </c>
      <c r="C42" s="573"/>
      <c r="D42" s="573"/>
      <c r="E42" s="573"/>
      <c r="F42" s="573"/>
      <c r="G42" s="573"/>
      <c r="H42" s="573"/>
      <c r="I42" s="573"/>
    </row>
    <row r="43" spans="2:12" x14ac:dyDescent="0.3">
      <c r="B43" s="564"/>
      <c r="C43" s="573"/>
      <c r="D43" s="573"/>
      <c r="E43" s="573"/>
      <c r="F43" s="573"/>
      <c r="G43" s="573"/>
      <c r="H43" s="581" t="s">
        <v>530</v>
      </c>
      <c r="I43" s="573"/>
    </row>
    <row r="44" spans="2:12" x14ac:dyDescent="0.3">
      <c r="B44" s="573"/>
      <c r="C44" s="1897" t="s">
        <v>512</v>
      </c>
      <c r="D44" s="1897"/>
      <c r="E44" s="566" t="s">
        <v>505</v>
      </c>
      <c r="F44" s="566" t="s">
        <v>523</v>
      </c>
      <c r="G44" s="566" t="s">
        <v>524</v>
      </c>
      <c r="H44" s="566" t="s">
        <v>525</v>
      </c>
      <c r="I44" s="550" t="s">
        <v>693</v>
      </c>
    </row>
    <row r="45" spans="2:12" x14ac:dyDescent="0.3">
      <c r="C45" s="567" t="s">
        <v>579</v>
      </c>
      <c r="D45" s="597" t="s">
        <v>602</v>
      </c>
      <c r="E45" s="601">
        <v>5</v>
      </c>
      <c r="F45" s="601">
        <v>5</v>
      </c>
      <c r="G45" s="601">
        <v>6</v>
      </c>
      <c r="H45" s="601">
        <v>6</v>
      </c>
      <c r="I45" s="573"/>
    </row>
    <row r="46" spans="2:12" x14ac:dyDescent="0.3">
      <c r="C46" s="567" t="s">
        <v>580</v>
      </c>
      <c r="D46" s="597" t="s">
        <v>513</v>
      </c>
      <c r="E46" s="601">
        <v>26</v>
      </c>
      <c r="F46" s="601">
        <v>29</v>
      </c>
      <c r="G46" s="601">
        <v>22</v>
      </c>
      <c r="H46" s="601">
        <v>23</v>
      </c>
      <c r="I46" s="575"/>
    </row>
    <row r="47" spans="2:12" x14ac:dyDescent="0.3">
      <c r="C47" s="567" t="s">
        <v>581</v>
      </c>
      <c r="D47" s="598" t="s">
        <v>514</v>
      </c>
      <c r="E47" s="601">
        <v>11</v>
      </c>
      <c r="F47" s="601">
        <v>12</v>
      </c>
      <c r="G47" s="601">
        <v>11</v>
      </c>
      <c r="H47" s="601">
        <v>14</v>
      </c>
      <c r="I47" s="575"/>
    </row>
    <row r="48" spans="2:12" x14ac:dyDescent="0.3">
      <c r="C48" s="567" t="s">
        <v>582</v>
      </c>
      <c r="D48" s="597" t="s">
        <v>513</v>
      </c>
      <c r="E48" s="601">
        <v>7</v>
      </c>
      <c r="F48" s="601">
        <v>6</v>
      </c>
      <c r="G48" s="601">
        <v>4</v>
      </c>
      <c r="H48" s="601">
        <v>5</v>
      </c>
      <c r="I48" s="573"/>
    </row>
    <row r="49" spans="3:10" x14ac:dyDescent="0.3">
      <c r="C49" s="567" t="s">
        <v>583</v>
      </c>
      <c r="D49" s="597" t="s">
        <v>513</v>
      </c>
      <c r="E49" s="601">
        <v>28</v>
      </c>
      <c r="F49" s="601">
        <v>30</v>
      </c>
      <c r="G49" s="601">
        <v>38</v>
      </c>
      <c r="H49" s="601">
        <v>40</v>
      </c>
      <c r="I49" s="573"/>
    </row>
    <row r="50" spans="3:10" x14ac:dyDescent="0.3">
      <c r="C50" s="567" t="s">
        <v>584</v>
      </c>
      <c r="D50" s="598" t="s">
        <v>514</v>
      </c>
      <c r="E50" s="601">
        <v>19</v>
      </c>
      <c r="F50" s="601">
        <v>27</v>
      </c>
      <c r="G50" s="601">
        <v>29</v>
      </c>
      <c r="H50" s="601">
        <v>31</v>
      </c>
      <c r="I50" s="573" t="s">
        <v>7512</v>
      </c>
      <c r="J50" s="565" t="s">
        <v>7515</v>
      </c>
    </row>
    <row r="51" spans="3:10" x14ac:dyDescent="0.3">
      <c r="C51" s="567" t="s">
        <v>585</v>
      </c>
      <c r="D51" s="598" t="s">
        <v>514</v>
      </c>
      <c r="E51" s="601">
        <v>6</v>
      </c>
      <c r="F51" s="601">
        <v>6</v>
      </c>
      <c r="G51" s="601">
        <v>6</v>
      </c>
      <c r="H51" s="601">
        <v>6</v>
      </c>
      <c r="I51" s="573"/>
    </row>
    <row r="52" spans="3:10" x14ac:dyDescent="0.3">
      <c r="C52" s="567" t="s">
        <v>586</v>
      </c>
      <c r="D52" s="598" t="s">
        <v>514</v>
      </c>
      <c r="E52" s="601">
        <v>0</v>
      </c>
      <c r="F52" s="601">
        <v>0</v>
      </c>
      <c r="G52" s="601">
        <v>8</v>
      </c>
      <c r="H52" s="601">
        <v>9</v>
      </c>
      <c r="I52" s="573"/>
    </row>
    <row r="53" spans="3:10" x14ac:dyDescent="0.3">
      <c r="C53" s="567" t="s">
        <v>587</v>
      </c>
      <c r="D53" s="598" t="s">
        <v>514</v>
      </c>
      <c r="E53" s="601">
        <v>5</v>
      </c>
      <c r="F53" s="601">
        <v>5</v>
      </c>
      <c r="G53" s="601">
        <v>5</v>
      </c>
      <c r="H53" s="601">
        <v>4</v>
      </c>
      <c r="I53" s="573"/>
    </row>
    <row r="54" spans="3:10" ht="14.25" customHeight="1" x14ac:dyDescent="0.3">
      <c r="C54" s="567" t="s">
        <v>588</v>
      </c>
      <c r="D54" s="598" t="s">
        <v>514</v>
      </c>
      <c r="E54" s="601">
        <v>6</v>
      </c>
      <c r="F54" s="601">
        <v>5</v>
      </c>
      <c r="G54" s="601">
        <v>5</v>
      </c>
      <c r="H54" s="601">
        <v>5</v>
      </c>
      <c r="I54" s="573"/>
    </row>
    <row r="55" spans="3:10" ht="16.5" customHeight="1" x14ac:dyDescent="0.3">
      <c r="C55" s="567" t="s">
        <v>589</v>
      </c>
      <c r="D55" s="597" t="s">
        <v>513</v>
      </c>
      <c r="E55" s="601">
        <v>3</v>
      </c>
      <c r="F55" s="601">
        <v>4</v>
      </c>
      <c r="G55" s="601">
        <v>5</v>
      </c>
      <c r="H55" s="601">
        <v>6</v>
      </c>
      <c r="I55" s="573"/>
    </row>
    <row r="56" spans="3:10" x14ac:dyDescent="0.3">
      <c r="C56" s="567" t="s">
        <v>590</v>
      </c>
      <c r="D56" s="598" t="s">
        <v>514</v>
      </c>
      <c r="E56" s="601">
        <v>5</v>
      </c>
      <c r="F56" s="601">
        <v>5</v>
      </c>
      <c r="G56" s="601">
        <v>5</v>
      </c>
      <c r="H56" s="601">
        <v>6</v>
      </c>
      <c r="I56" s="573"/>
    </row>
    <row r="57" spans="3:10" x14ac:dyDescent="0.3">
      <c r="C57" s="567" t="s">
        <v>591</v>
      </c>
      <c r="D57" s="598" t="s">
        <v>514</v>
      </c>
      <c r="E57" s="601">
        <v>7</v>
      </c>
      <c r="F57" s="601">
        <v>7</v>
      </c>
      <c r="G57" s="601">
        <v>6</v>
      </c>
      <c r="H57" s="601">
        <v>8</v>
      </c>
      <c r="I57" s="573"/>
    </row>
    <row r="58" spans="3:10" x14ac:dyDescent="0.3">
      <c r="C58" s="567" t="s">
        <v>518</v>
      </c>
      <c r="D58" s="597" t="s">
        <v>513</v>
      </c>
      <c r="E58" s="601">
        <v>9</v>
      </c>
      <c r="F58" s="601">
        <v>8</v>
      </c>
      <c r="G58" s="601">
        <v>9</v>
      </c>
      <c r="H58" s="601">
        <v>9</v>
      </c>
      <c r="I58" s="573"/>
    </row>
    <row r="59" spans="3:10" x14ac:dyDescent="0.3">
      <c r="C59" s="567" t="s">
        <v>592</v>
      </c>
      <c r="D59" s="598" t="s">
        <v>514</v>
      </c>
      <c r="E59" s="601">
        <v>5</v>
      </c>
      <c r="F59" s="601">
        <v>6</v>
      </c>
      <c r="G59" s="601">
        <v>6</v>
      </c>
      <c r="H59" s="601">
        <v>7</v>
      </c>
    </row>
    <row r="60" spans="3:10" x14ac:dyDescent="0.3">
      <c r="C60" s="567" t="s">
        <v>593</v>
      </c>
      <c r="D60" s="598" t="s">
        <v>514</v>
      </c>
      <c r="E60" s="601">
        <v>5</v>
      </c>
      <c r="F60" s="601">
        <v>10</v>
      </c>
      <c r="G60" s="601">
        <v>6</v>
      </c>
      <c r="H60" s="601">
        <v>3</v>
      </c>
    </row>
    <row r="61" spans="3:10" x14ac:dyDescent="0.3">
      <c r="C61" s="567" t="s">
        <v>594</v>
      </c>
      <c r="D61" s="598" t="s">
        <v>514</v>
      </c>
      <c r="E61" s="601">
        <v>9</v>
      </c>
      <c r="F61" s="601">
        <v>12</v>
      </c>
      <c r="G61" s="601">
        <v>10</v>
      </c>
      <c r="H61" s="601">
        <v>10</v>
      </c>
    </row>
    <row r="62" spans="3:10" x14ac:dyDescent="0.3">
      <c r="C62" s="567" t="s">
        <v>595</v>
      </c>
      <c r="D62" s="598" t="s">
        <v>514</v>
      </c>
      <c r="E62" s="601">
        <v>20</v>
      </c>
      <c r="F62" s="601">
        <v>17</v>
      </c>
      <c r="G62" s="601">
        <v>5</v>
      </c>
      <c r="H62" s="601">
        <v>7</v>
      </c>
    </row>
    <row r="63" spans="3:10" x14ac:dyDescent="0.3">
      <c r="C63" s="567" t="s">
        <v>596</v>
      </c>
      <c r="D63" s="598" t="s">
        <v>514</v>
      </c>
      <c r="E63" s="601">
        <v>4</v>
      </c>
      <c r="F63" s="601">
        <v>8</v>
      </c>
      <c r="G63" s="601">
        <v>6</v>
      </c>
      <c r="H63" s="601">
        <v>6</v>
      </c>
    </row>
    <row r="64" spans="3:10" x14ac:dyDescent="0.3">
      <c r="C64" s="567" t="s">
        <v>597</v>
      </c>
      <c r="D64" s="598" t="s">
        <v>514</v>
      </c>
      <c r="E64" s="601">
        <v>0</v>
      </c>
      <c r="F64" s="601">
        <v>0</v>
      </c>
      <c r="G64" s="601">
        <v>2</v>
      </c>
      <c r="H64" s="601">
        <v>2</v>
      </c>
    </row>
    <row r="65" spans="2:15" x14ac:dyDescent="0.3">
      <c r="C65" s="567" t="s">
        <v>598</v>
      </c>
      <c r="D65" s="598" t="s">
        <v>514</v>
      </c>
      <c r="E65" s="601">
        <v>3</v>
      </c>
      <c r="F65" s="601">
        <v>4</v>
      </c>
      <c r="G65" s="601">
        <v>4</v>
      </c>
      <c r="H65" s="601">
        <v>4</v>
      </c>
    </row>
    <row r="66" spans="2:15" x14ac:dyDescent="0.3">
      <c r="C66" s="567" t="s">
        <v>599</v>
      </c>
      <c r="D66" s="598" t="s">
        <v>514</v>
      </c>
      <c r="E66" s="601">
        <v>0</v>
      </c>
      <c r="F66" s="601">
        <v>1</v>
      </c>
      <c r="G66" s="601">
        <v>2</v>
      </c>
      <c r="H66" s="601">
        <v>2</v>
      </c>
    </row>
    <row r="67" spans="2:15" x14ac:dyDescent="0.3">
      <c r="C67" s="567" t="s">
        <v>600</v>
      </c>
      <c r="D67" s="597" t="s">
        <v>513</v>
      </c>
      <c r="E67" s="601">
        <v>5</v>
      </c>
      <c r="F67" s="601">
        <v>5</v>
      </c>
      <c r="G67" s="601">
        <v>5</v>
      </c>
      <c r="H67" s="601">
        <v>6</v>
      </c>
    </row>
    <row r="68" spans="2:15" x14ac:dyDescent="0.3">
      <c r="C68" s="599" t="s">
        <v>601</v>
      </c>
      <c r="D68" s="600"/>
      <c r="E68" s="600">
        <f>SUM(E45:E67)</f>
        <v>188</v>
      </c>
      <c r="F68" s="600">
        <f t="shared" ref="F68:H68" si="17">SUM(F45:F67)</f>
        <v>212</v>
      </c>
      <c r="G68" s="600">
        <f t="shared" si="17"/>
        <v>205</v>
      </c>
      <c r="H68" s="600">
        <f t="shared" si="17"/>
        <v>219</v>
      </c>
    </row>
    <row r="69" spans="2:15" x14ac:dyDescent="0.3">
      <c r="C69" s="594"/>
      <c r="D69" s="594"/>
      <c r="E69" s="596"/>
      <c r="F69" s="596"/>
      <c r="G69" s="595"/>
      <c r="H69" s="595"/>
      <c r="I69" s="578"/>
      <c r="J69" s="578"/>
      <c r="N69" s="578"/>
      <c r="O69" s="578"/>
    </row>
    <row r="70" spans="2:15" x14ac:dyDescent="0.3">
      <c r="B70" s="564" t="s">
        <v>603</v>
      </c>
      <c r="I70" s="578"/>
      <c r="J70" s="605"/>
      <c r="N70" s="605"/>
      <c r="O70" s="605"/>
    </row>
    <row r="71" spans="2:15" ht="12.75" customHeight="1" x14ac:dyDescent="0.3">
      <c r="I71" s="578"/>
      <c r="J71" s="596"/>
      <c r="K71" s="596"/>
      <c r="L71" s="596"/>
      <c r="M71" s="596"/>
      <c r="N71" s="596"/>
      <c r="O71" s="596"/>
    </row>
    <row r="72" spans="2:15" ht="14.25" customHeight="1" thickBot="1" x14ac:dyDescent="0.35">
      <c r="H72" s="581" t="s">
        <v>530</v>
      </c>
      <c r="I72" s="578"/>
      <c r="J72" s="602"/>
      <c r="K72" s="602"/>
      <c r="L72" s="602"/>
      <c r="M72" s="602"/>
      <c r="N72" s="602"/>
      <c r="O72" s="602"/>
    </row>
    <row r="73" spans="2:15" x14ac:dyDescent="0.3">
      <c r="D73" s="1673" t="s">
        <v>504</v>
      </c>
      <c r="E73" s="1674" t="s">
        <v>505</v>
      </c>
      <c r="F73" s="1674" t="s">
        <v>523</v>
      </c>
      <c r="G73" s="1674" t="s">
        <v>524</v>
      </c>
      <c r="H73" s="1674" t="s">
        <v>7527</v>
      </c>
      <c r="I73" s="1675" t="s">
        <v>7389</v>
      </c>
      <c r="J73" s="1675" t="s">
        <v>7528</v>
      </c>
      <c r="K73" s="1675" t="s">
        <v>7529</v>
      </c>
      <c r="L73" s="1675" t="s">
        <v>7530</v>
      </c>
      <c r="M73" s="1676" t="s">
        <v>7531</v>
      </c>
      <c r="N73" s="578"/>
      <c r="O73" s="578"/>
    </row>
    <row r="74" spans="2:15" x14ac:dyDescent="0.3">
      <c r="D74" s="1677" t="s">
        <v>515</v>
      </c>
      <c r="E74" s="576">
        <f t="shared" ref="E74:M74" si="18">E75+E76</f>
        <v>83</v>
      </c>
      <c r="F74" s="576">
        <f t="shared" si="18"/>
        <v>87</v>
      </c>
      <c r="G74" s="576">
        <f t="shared" si="18"/>
        <v>89</v>
      </c>
      <c r="H74" s="1666">
        <f t="shared" si="18"/>
        <v>95</v>
      </c>
      <c r="I74" s="1666">
        <f t="shared" si="18"/>
        <v>111</v>
      </c>
      <c r="J74" s="1666">
        <f t="shared" si="18"/>
        <v>127</v>
      </c>
      <c r="K74" s="1666">
        <f t="shared" si="18"/>
        <v>143</v>
      </c>
      <c r="L74" s="1666">
        <f t="shared" si="18"/>
        <v>159</v>
      </c>
      <c r="M74" s="1666">
        <f t="shared" si="18"/>
        <v>175</v>
      </c>
      <c r="N74" s="603"/>
      <c r="O74" s="603"/>
    </row>
    <row r="75" spans="2:15" x14ac:dyDescent="0.3">
      <c r="D75" s="1678" t="s">
        <v>516</v>
      </c>
      <c r="E75" s="577">
        <f>E58</f>
        <v>9</v>
      </c>
      <c r="F75" s="577">
        <f>F58</f>
        <v>8</v>
      </c>
      <c r="G75" s="577">
        <f>G58</f>
        <v>9</v>
      </c>
      <c r="H75" s="1667">
        <f>H58</f>
        <v>9</v>
      </c>
      <c r="I75" s="1670">
        <f>'SG&amp;A'!H80</f>
        <v>10</v>
      </c>
      <c r="J75" s="1670">
        <f>'SG&amp;A'!I80</f>
        <v>11</v>
      </c>
      <c r="K75" s="1670">
        <f>'SG&amp;A'!J80</f>
        <v>12</v>
      </c>
      <c r="L75" s="1670">
        <f>'SG&amp;A'!K80</f>
        <v>13</v>
      </c>
      <c r="M75" s="1679">
        <f>'SG&amp;A'!L80</f>
        <v>14</v>
      </c>
      <c r="N75" s="578"/>
      <c r="O75" s="578"/>
    </row>
    <row r="76" spans="2:15" x14ac:dyDescent="0.3">
      <c r="D76" s="1678" t="s">
        <v>517</v>
      </c>
      <c r="E76" s="577">
        <f>E68-E79-E75-E81</f>
        <v>74</v>
      </c>
      <c r="F76" s="577">
        <f t="shared" ref="F76:H76" si="19">F68-F79-F75-F81</f>
        <v>79</v>
      </c>
      <c r="G76" s="577">
        <f t="shared" si="19"/>
        <v>80</v>
      </c>
      <c r="H76" s="1667">
        <f t="shared" si="19"/>
        <v>86</v>
      </c>
      <c r="I76" s="1670">
        <f>'SG&amp;A'!H83</f>
        <v>101</v>
      </c>
      <c r="J76" s="1670">
        <f>'SG&amp;A'!I83</f>
        <v>116</v>
      </c>
      <c r="K76" s="1670">
        <f>'SG&amp;A'!J83</f>
        <v>131</v>
      </c>
      <c r="L76" s="1670">
        <f>'SG&amp;A'!K83</f>
        <v>146</v>
      </c>
      <c r="M76" s="1679">
        <f>'SG&amp;A'!L83</f>
        <v>161</v>
      </c>
      <c r="N76" s="578"/>
      <c r="O76" s="578"/>
    </row>
    <row r="77" spans="2:15" x14ac:dyDescent="0.3">
      <c r="D77" s="1680" t="s">
        <v>519</v>
      </c>
      <c r="E77" s="574">
        <f t="shared" ref="E77:M77" si="20">E78+E79</f>
        <v>86</v>
      </c>
      <c r="F77" s="574">
        <f t="shared" si="20"/>
        <v>98</v>
      </c>
      <c r="G77" s="574">
        <f t="shared" si="20"/>
        <v>87</v>
      </c>
      <c r="H77" s="1668">
        <f t="shared" si="20"/>
        <v>93</v>
      </c>
      <c r="I77" s="1668">
        <f t="shared" si="20"/>
        <v>103</v>
      </c>
      <c r="J77" s="1668">
        <f t="shared" si="20"/>
        <v>135</v>
      </c>
      <c r="K77" s="1668">
        <f t="shared" si="20"/>
        <v>170</v>
      </c>
      <c r="L77" s="1668">
        <f t="shared" si="20"/>
        <v>180</v>
      </c>
      <c r="M77" s="1681">
        <f t="shared" si="20"/>
        <v>190</v>
      </c>
      <c r="N77" s="604"/>
      <c r="O77" s="604"/>
    </row>
    <row r="78" spans="2:15" x14ac:dyDescent="0.3">
      <c r="D78" s="1682" t="s">
        <v>518</v>
      </c>
      <c r="E78" s="572">
        <v>0</v>
      </c>
      <c r="F78" s="572">
        <v>0</v>
      </c>
      <c r="G78" s="572">
        <v>0</v>
      </c>
      <c r="H78" s="1669">
        <v>0</v>
      </c>
      <c r="I78" s="1671"/>
      <c r="J78" s="1671"/>
      <c r="K78" s="1671"/>
      <c r="L78" s="1671"/>
      <c r="M78" s="1683"/>
    </row>
    <row r="79" spans="2:15" x14ac:dyDescent="0.3">
      <c r="D79" s="1682" t="s">
        <v>517</v>
      </c>
      <c r="E79" s="572">
        <f>SUMIF($D$45:$D$67,$D$66,E$45:E$67)-E81</f>
        <v>86</v>
      </c>
      <c r="F79" s="572">
        <f t="shared" ref="F79:H79" si="21">SUMIF($D$45:$D$67,$D$66,F$45:F$67)-F81</f>
        <v>98</v>
      </c>
      <c r="G79" s="572">
        <f t="shared" si="21"/>
        <v>87</v>
      </c>
      <c r="H79" s="1669">
        <f t="shared" si="21"/>
        <v>93</v>
      </c>
      <c r="I79" s="1672">
        <f>매출원가!H140</f>
        <v>103</v>
      </c>
      <c r="J79" s="1672">
        <f>매출원가!I140</f>
        <v>135</v>
      </c>
      <c r="K79" s="1672">
        <f>매출원가!J140</f>
        <v>170</v>
      </c>
      <c r="L79" s="1672">
        <f>매출원가!K140</f>
        <v>180</v>
      </c>
      <c r="M79" s="1684">
        <f>매출원가!L140</f>
        <v>190</v>
      </c>
    </row>
    <row r="80" spans="2:15" x14ac:dyDescent="0.3">
      <c r="D80" s="1680" t="s">
        <v>7520</v>
      </c>
      <c r="E80" s="572">
        <f>E81</f>
        <v>19</v>
      </c>
      <c r="F80" s="572">
        <f t="shared" ref="F80:H80" si="22">F81</f>
        <v>27</v>
      </c>
      <c r="G80" s="572">
        <f t="shared" si="22"/>
        <v>29</v>
      </c>
      <c r="H80" s="1669">
        <f t="shared" si="22"/>
        <v>31</v>
      </c>
      <c r="I80" s="1669">
        <f t="shared" ref="I80" si="23">I81</f>
        <v>36</v>
      </c>
      <c r="J80" s="1669">
        <f t="shared" ref="J80" si="24">J81</f>
        <v>41</v>
      </c>
      <c r="K80" s="1669">
        <f t="shared" ref="K80" si="25">K81</f>
        <v>46</v>
      </c>
      <c r="L80" s="1669">
        <f t="shared" ref="L80" si="26">L81</f>
        <v>51</v>
      </c>
      <c r="M80" s="1685">
        <f t="shared" ref="M80" si="27">M81</f>
        <v>56</v>
      </c>
    </row>
    <row r="81" spans="2:18" x14ac:dyDescent="0.3">
      <c r="D81" s="1682" t="s">
        <v>517</v>
      </c>
      <c r="E81" s="572">
        <f>E50</f>
        <v>19</v>
      </c>
      <c r="F81" s="572">
        <f t="shared" ref="F81:H81" si="28">F50</f>
        <v>27</v>
      </c>
      <c r="G81" s="572">
        <f t="shared" si="28"/>
        <v>29</v>
      </c>
      <c r="H81" s="1669">
        <f t="shared" si="28"/>
        <v>31</v>
      </c>
      <c r="I81" s="1672">
        <f>매출원가!H175</f>
        <v>36</v>
      </c>
      <c r="J81" s="1672">
        <f>매출원가!I175</f>
        <v>41</v>
      </c>
      <c r="K81" s="1672">
        <f>매출원가!J175</f>
        <v>46</v>
      </c>
      <c r="L81" s="1672">
        <f>매출원가!K175</f>
        <v>51</v>
      </c>
      <c r="M81" s="1684">
        <f>매출원가!L175</f>
        <v>56</v>
      </c>
    </row>
    <row r="82" spans="2:18" ht="14.25" thickBot="1" x14ac:dyDescent="0.35">
      <c r="D82" s="1686" t="s">
        <v>604</v>
      </c>
      <c r="E82" s="1687">
        <f>E74+E77+E80</f>
        <v>188</v>
      </c>
      <c r="F82" s="1687">
        <f t="shared" ref="F82:M82" si="29">F74+F77+F80</f>
        <v>212</v>
      </c>
      <c r="G82" s="1687">
        <f t="shared" si="29"/>
        <v>205</v>
      </c>
      <c r="H82" s="1687">
        <f t="shared" si="29"/>
        <v>219</v>
      </c>
      <c r="I82" s="1687">
        <f t="shared" si="29"/>
        <v>250</v>
      </c>
      <c r="J82" s="1687">
        <f t="shared" si="29"/>
        <v>303</v>
      </c>
      <c r="K82" s="1687">
        <f t="shared" si="29"/>
        <v>359</v>
      </c>
      <c r="L82" s="1687">
        <f t="shared" si="29"/>
        <v>390</v>
      </c>
      <c r="M82" s="1688">
        <f t="shared" si="29"/>
        <v>421</v>
      </c>
    </row>
    <row r="83" spans="2:18" x14ac:dyDescent="0.3">
      <c r="E83" s="565" t="b">
        <f>E68=E82</f>
        <v>1</v>
      </c>
      <c r="F83" s="565" t="b">
        <f t="shared" ref="F83:H83" si="30">F68=F82</f>
        <v>1</v>
      </c>
      <c r="G83" s="565" t="b">
        <f t="shared" si="30"/>
        <v>1</v>
      </c>
      <c r="H83" s="565" t="b">
        <f t="shared" si="30"/>
        <v>1</v>
      </c>
    </row>
    <row r="85" spans="2:18" x14ac:dyDescent="0.3">
      <c r="H85" s="581" t="s">
        <v>3345</v>
      </c>
    </row>
    <row r="86" spans="2:18" x14ac:dyDescent="0.3">
      <c r="D86" s="565" t="s">
        <v>3344</v>
      </c>
      <c r="F86" s="1562">
        <f>'매출액(보고서)'!D6</f>
        <v>61966.745769000001</v>
      </c>
      <c r="G86" s="1562">
        <f>'매출액(보고서)'!E6</f>
        <v>81488.230867000006</v>
      </c>
      <c r="H86" s="1562">
        <f>'매출액(보고서)'!F6</f>
        <v>92333.965525000007</v>
      </c>
    </row>
    <row r="87" spans="2:18" x14ac:dyDescent="0.3">
      <c r="D87" s="565" t="s">
        <v>3346</v>
      </c>
      <c r="F87" s="1562">
        <f>F86/F82</f>
        <v>292.29597060849056</v>
      </c>
      <c r="G87" s="1562">
        <f t="shared" ref="G87:H87" si="31">G86/G82</f>
        <v>397.5035652048781</v>
      </c>
      <c r="H87" s="1562">
        <f t="shared" si="31"/>
        <v>421.61628093607311</v>
      </c>
    </row>
    <row r="90" spans="2:18" x14ac:dyDescent="0.3">
      <c r="B90" s="564" t="s">
        <v>559</v>
      </c>
    </row>
    <row r="92" spans="2:18" x14ac:dyDescent="0.3">
      <c r="C92" s="583" t="s">
        <v>532</v>
      </c>
      <c r="D92" s="583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583"/>
      <c r="Q92" s="583"/>
      <c r="R92" s="590" t="s">
        <v>458</v>
      </c>
    </row>
    <row r="93" spans="2:18" x14ac:dyDescent="0.3">
      <c r="C93" s="585"/>
      <c r="D93" s="585"/>
      <c r="E93" s="585" t="s">
        <v>533</v>
      </c>
      <c r="F93" s="585" t="s">
        <v>534</v>
      </c>
      <c r="G93" s="585" t="s">
        <v>535</v>
      </c>
      <c r="H93" s="585" t="s">
        <v>536</v>
      </c>
      <c r="I93" s="585" t="s">
        <v>537</v>
      </c>
      <c r="J93" s="585" t="s">
        <v>538</v>
      </c>
      <c r="K93" s="585" t="s">
        <v>539</v>
      </c>
      <c r="L93" s="585" t="s">
        <v>540</v>
      </c>
      <c r="M93" s="585" t="s">
        <v>541</v>
      </c>
      <c r="N93" s="585" t="s">
        <v>542</v>
      </c>
      <c r="O93" s="585" t="s">
        <v>543</v>
      </c>
      <c r="P93" s="585" t="s">
        <v>544</v>
      </c>
      <c r="Q93" s="585" t="s">
        <v>545</v>
      </c>
      <c r="R93" s="1899">
        <f>SUM(Q94:Q100)</f>
        <v>7210308120</v>
      </c>
    </row>
    <row r="94" spans="2:18" x14ac:dyDescent="0.3">
      <c r="C94" s="1901" t="s">
        <v>546</v>
      </c>
      <c r="D94" s="585" t="s">
        <v>547</v>
      </c>
      <c r="E94" s="586">
        <v>263037980</v>
      </c>
      <c r="F94" s="586">
        <v>282963840</v>
      </c>
      <c r="G94" s="586">
        <v>295276160</v>
      </c>
      <c r="H94" s="586">
        <v>296459980</v>
      </c>
      <c r="I94" s="586">
        <v>280072290</v>
      </c>
      <c r="J94" s="586">
        <v>293707300</v>
      </c>
      <c r="K94" s="586">
        <v>285502190</v>
      </c>
      <c r="L94" s="586">
        <v>293383470</v>
      </c>
      <c r="M94" s="586">
        <v>305387810</v>
      </c>
      <c r="N94" s="586">
        <v>348964450</v>
      </c>
      <c r="O94" s="586">
        <v>334684960</v>
      </c>
      <c r="P94" s="586">
        <v>338337040</v>
      </c>
      <c r="Q94" s="587">
        <f>SUM(E94:P94)</f>
        <v>3617777470</v>
      </c>
      <c r="R94" s="1900"/>
    </row>
    <row r="95" spans="2:18" x14ac:dyDescent="0.3">
      <c r="C95" s="1901"/>
      <c r="D95" s="585" t="s">
        <v>548</v>
      </c>
      <c r="E95" s="586">
        <v>52400000</v>
      </c>
      <c r="F95" s="586"/>
      <c r="G95" s="586"/>
      <c r="H95" s="586"/>
      <c r="I95" s="586"/>
      <c r="J95" s="586"/>
      <c r="K95" s="586">
        <v>32300000</v>
      </c>
      <c r="L95" s="586"/>
      <c r="M95" s="586">
        <v>41700000</v>
      </c>
      <c r="N95" s="586"/>
      <c r="O95" s="586"/>
      <c r="P95" s="586">
        <v>174690450</v>
      </c>
      <c r="Q95" s="587">
        <f t="shared" ref="Q95:Q101" si="32">SUM(E95:P95)</f>
        <v>301090450</v>
      </c>
      <c r="R95" s="1900"/>
    </row>
    <row r="96" spans="2:18" x14ac:dyDescent="0.3">
      <c r="C96" s="1901"/>
      <c r="D96" s="585" t="s">
        <v>549</v>
      </c>
      <c r="E96" s="588">
        <v>165640</v>
      </c>
      <c r="F96" s="588"/>
      <c r="G96" s="588"/>
      <c r="H96" s="588"/>
      <c r="I96" s="588">
        <v>3000000</v>
      </c>
      <c r="J96" s="588"/>
      <c r="K96" s="588"/>
      <c r="L96" s="588"/>
      <c r="M96" s="588"/>
      <c r="N96" s="588"/>
      <c r="O96" s="588">
        <v>2205000</v>
      </c>
      <c r="P96" s="588"/>
      <c r="Q96" s="587">
        <f>SUM(E96:P96)</f>
        <v>5370640</v>
      </c>
      <c r="R96" s="1900"/>
    </row>
    <row r="97" spans="2:18" x14ac:dyDescent="0.3">
      <c r="C97" s="1901" t="s">
        <v>550</v>
      </c>
      <c r="D97" s="585" t="s">
        <v>551</v>
      </c>
      <c r="E97" s="586">
        <v>33905190</v>
      </c>
      <c r="F97" s="586">
        <v>36125090</v>
      </c>
      <c r="G97" s="586">
        <v>34053190</v>
      </c>
      <c r="H97" s="586">
        <v>33767190</v>
      </c>
      <c r="I97" s="586">
        <v>37595890</v>
      </c>
      <c r="J97" s="586">
        <v>38595960</v>
      </c>
      <c r="K97" s="586">
        <v>39100410</v>
      </c>
      <c r="L97" s="586">
        <v>40434560</v>
      </c>
      <c r="M97" s="586">
        <v>40106340</v>
      </c>
      <c r="N97" s="586">
        <v>40082340</v>
      </c>
      <c r="O97" s="586">
        <v>44747330</v>
      </c>
      <c r="P97" s="586">
        <v>44749110</v>
      </c>
      <c r="Q97" s="587">
        <f>SUM(E97:P97)</f>
        <v>463262600</v>
      </c>
      <c r="R97" s="1900"/>
    </row>
    <row r="98" spans="2:18" x14ac:dyDescent="0.3">
      <c r="C98" s="1901"/>
      <c r="D98" s="585" t="s">
        <v>552</v>
      </c>
      <c r="E98" s="586">
        <v>174928000</v>
      </c>
      <c r="F98" s="586">
        <v>176129300</v>
      </c>
      <c r="G98" s="586">
        <v>182621050</v>
      </c>
      <c r="H98" s="586">
        <v>178578540</v>
      </c>
      <c r="I98" s="586">
        <v>180111550</v>
      </c>
      <c r="J98" s="586">
        <v>186878470</v>
      </c>
      <c r="K98" s="586">
        <v>186180690</v>
      </c>
      <c r="L98" s="586">
        <v>188594640</v>
      </c>
      <c r="M98" s="586">
        <v>187644510</v>
      </c>
      <c r="N98" s="586">
        <v>185045210</v>
      </c>
      <c r="O98" s="586">
        <v>185405440</v>
      </c>
      <c r="P98" s="586">
        <v>183711210</v>
      </c>
      <c r="Q98" s="587">
        <f>SUM(E98:P98)</f>
        <v>2195828610</v>
      </c>
      <c r="R98" s="1900"/>
    </row>
    <row r="99" spans="2:18" x14ac:dyDescent="0.3">
      <c r="C99" s="1901"/>
      <c r="D99" s="585" t="s">
        <v>548</v>
      </c>
      <c r="E99" s="586">
        <v>79573350</v>
      </c>
      <c r="F99" s="586">
        <v>35269230</v>
      </c>
      <c r="G99" s="586">
        <v>40968300</v>
      </c>
      <c r="H99" s="586">
        <v>43117960</v>
      </c>
      <c r="I99" s="586">
        <v>26700360</v>
      </c>
      <c r="J99" s="586">
        <v>17758630</v>
      </c>
      <c r="K99" s="586">
        <v>52017960</v>
      </c>
      <c r="L99" s="586">
        <v>26172320</v>
      </c>
      <c r="M99" s="586">
        <v>63441540</v>
      </c>
      <c r="N99" s="586">
        <v>29126680</v>
      </c>
      <c r="O99" s="586">
        <v>29922580</v>
      </c>
      <c r="P99" s="586">
        <v>179209440</v>
      </c>
      <c r="Q99" s="587">
        <f>SUM(E99:P99)</f>
        <v>623278350</v>
      </c>
      <c r="R99" s="1900"/>
    </row>
    <row r="100" spans="2:18" x14ac:dyDescent="0.3">
      <c r="C100" s="1901"/>
      <c r="D100" s="585" t="s">
        <v>553</v>
      </c>
      <c r="E100" s="588"/>
      <c r="F100" s="588"/>
      <c r="G100" s="588">
        <v>2200000</v>
      </c>
      <c r="H100" s="588">
        <v>400000</v>
      </c>
      <c r="I100" s="588"/>
      <c r="J100" s="588"/>
      <c r="K100" s="588"/>
      <c r="L100" s="588"/>
      <c r="M100" s="588">
        <v>1100000</v>
      </c>
      <c r="N100" s="588"/>
      <c r="O100" s="588"/>
      <c r="P100" s="588"/>
      <c r="Q100" s="587">
        <f t="shared" si="32"/>
        <v>3700000</v>
      </c>
      <c r="R100" s="1900"/>
    </row>
    <row r="101" spans="2:18" x14ac:dyDescent="0.3">
      <c r="C101" s="589" t="s">
        <v>554</v>
      </c>
      <c r="D101" s="585"/>
      <c r="E101" s="588">
        <v>597691160</v>
      </c>
      <c r="F101" s="588">
        <v>524132460</v>
      </c>
      <c r="G101" s="588">
        <v>546867700</v>
      </c>
      <c r="H101" s="588">
        <v>546192670</v>
      </c>
      <c r="I101" s="588">
        <v>519674090</v>
      </c>
      <c r="J101" s="588">
        <v>529719360</v>
      </c>
      <c r="K101" s="588">
        <v>588172250</v>
      </c>
      <c r="L101" s="588">
        <v>541020990</v>
      </c>
      <c r="M101" s="588">
        <v>632498200</v>
      </c>
      <c r="N101" s="588">
        <v>596516680</v>
      </c>
      <c r="O101" s="588">
        <v>589712310</v>
      </c>
      <c r="P101" s="588">
        <v>913348250</v>
      </c>
      <c r="Q101" s="588">
        <f t="shared" si="32"/>
        <v>7125546120</v>
      </c>
      <c r="R101" s="589"/>
    </row>
    <row r="102" spans="2:18" x14ac:dyDescent="0.3">
      <c r="C102" s="589" t="s">
        <v>555</v>
      </c>
      <c r="D102" s="585"/>
      <c r="E102" s="588">
        <f>E94+E95+E96+E97+E98+E99+E100-E101</f>
        <v>6319000</v>
      </c>
      <c r="F102" s="588">
        <f>F94+F95+F96+F97+F98+F99+F100-F101</f>
        <v>6355000</v>
      </c>
      <c r="G102" s="588">
        <f t="shared" ref="G102:P102" si="33">G94+G95+G96+G97+G98+G99+G100-G101</f>
        <v>8251000</v>
      </c>
      <c r="H102" s="588">
        <f t="shared" si="33"/>
        <v>6131000</v>
      </c>
      <c r="I102" s="588">
        <f t="shared" si="33"/>
        <v>7806000</v>
      </c>
      <c r="J102" s="588">
        <f t="shared" si="33"/>
        <v>7221000</v>
      </c>
      <c r="K102" s="588">
        <f t="shared" si="33"/>
        <v>6929000</v>
      </c>
      <c r="L102" s="588">
        <f t="shared" si="33"/>
        <v>7564000</v>
      </c>
      <c r="M102" s="588">
        <f t="shared" si="33"/>
        <v>6882000</v>
      </c>
      <c r="N102" s="588">
        <f t="shared" si="33"/>
        <v>6702000</v>
      </c>
      <c r="O102" s="588">
        <f t="shared" si="33"/>
        <v>7253000</v>
      </c>
      <c r="P102" s="588">
        <f t="shared" si="33"/>
        <v>7349000</v>
      </c>
      <c r="Q102" s="588">
        <f>SUM(E102:P102)</f>
        <v>84762000</v>
      </c>
      <c r="R102" s="589"/>
    </row>
    <row r="103" spans="2:18" x14ac:dyDescent="0.3">
      <c r="C103" s="1901" t="s">
        <v>556</v>
      </c>
      <c r="D103" s="585" t="s">
        <v>557</v>
      </c>
      <c r="E103" s="588">
        <v>3339000</v>
      </c>
      <c r="F103" s="588">
        <v>3577000</v>
      </c>
      <c r="G103" s="588">
        <v>4000000</v>
      </c>
      <c r="H103" s="588">
        <v>3870000</v>
      </c>
      <c r="I103" s="588">
        <v>3800000</v>
      </c>
      <c r="J103" s="588">
        <v>3884000</v>
      </c>
      <c r="K103" s="588">
        <v>3883000</v>
      </c>
      <c r="L103" s="588">
        <v>3985000</v>
      </c>
      <c r="M103" s="588">
        <v>3700000</v>
      </c>
      <c r="N103" s="588">
        <v>3593000</v>
      </c>
      <c r="O103" s="588">
        <v>3700000</v>
      </c>
      <c r="P103" s="588">
        <v>3590000</v>
      </c>
      <c r="Q103" s="588">
        <f>SUM(E103:P103)</f>
        <v>44921000</v>
      </c>
      <c r="R103" s="589"/>
    </row>
    <row r="104" spans="2:18" x14ac:dyDescent="0.3">
      <c r="C104" s="1901"/>
      <c r="D104" s="585" t="s">
        <v>558</v>
      </c>
      <c r="E104" s="588">
        <v>2980000</v>
      </c>
      <c r="F104" s="588">
        <v>2778000</v>
      </c>
      <c r="G104" s="588">
        <v>4251000</v>
      </c>
      <c r="H104" s="588">
        <v>2261000</v>
      </c>
      <c r="I104" s="588">
        <v>4006000</v>
      </c>
      <c r="J104" s="588">
        <v>3337000</v>
      </c>
      <c r="K104" s="588">
        <v>3046000</v>
      </c>
      <c r="L104" s="588">
        <v>3579000</v>
      </c>
      <c r="M104" s="588">
        <v>3182000</v>
      </c>
      <c r="N104" s="588">
        <v>3109000</v>
      </c>
      <c r="O104" s="588">
        <v>3553000</v>
      </c>
      <c r="P104" s="588">
        <v>3759000</v>
      </c>
      <c r="Q104" s="588">
        <f>SUM(E104:P104)</f>
        <v>39841000</v>
      </c>
      <c r="R104" s="589"/>
    </row>
    <row r="107" spans="2:18" x14ac:dyDescent="0.3">
      <c r="B107" s="564" t="s">
        <v>560</v>
      </c>
    </row>
    <row r="109" spans="2:18" x14ac:dyDescent="0.3">
      <c r="C109" s="583" t="s">
        <v>561</v>
      </c>
      <c r="D109" s="583"/>
      <c r="E109" s="583"/>
      <c r="F109" s="583"/>
      <c r="G109" s="583"/>
      <c r="H109" s="583"/>
      <c r="I109" s="583"/>
      <c r="J109" s="583"/>
      <c r="K109" s="583"/>
      <c r="L109" s="583"/>
      <c r="M109" s="583"/>
      <c r="N109" s="583"/>
      <c r="O109" s="583"/>
      <c r="P109" s="583"/>
      <c r="Q109" s="583"/>
      <c r="R109" s="584"/>
    </row>
    <row r="110" spans="2:18" x14ac:dyDescent="0.3">
      <c r="C110" s="585"/>
      <c r="D110" s="585"/>
      <c r="E110" s="585" t="s">
        <v>562</v>
      </c>
      <c r="F110" s="585" t="s">
        <v>563</v>
      </c>
      <c r="G110" s="585" t="s">
        <v>535</v>
      </c>
      <c r="H110" s="585" t="s">
        <v>536</v>
      </c>
      <c r="I110" s="585" t="s">
        <v>537</v>
      </c>
      <c r="J110" s="585" t="s">
        <v>538</v>
      </c>
      <c r="K110" s="585" t="s">
        <v>539</v>
      </c>
      <c r="L110" s="585" t="s">
        <v>540</v>
      </c>
      <c r="M110" s="585" t="s">
        <v>541</v>
      </c>
      <c r="N110" s="585" t="s">
        <v>542</v>
      </c>
      <c r="O110" s="585" t="s">
        <v>543</v>
      </c>
      <c r="P110" s="585" t="s">
        <v>544</v>
      </c>
      <c r="Q110" s="585" t="s">
        <v>184</v>
      </c>
      <c r="R110" s="1899">
        <f>SUM(Q111:Q117)</f>
        <v>8382809550</v>
      </c>
    </row>
    <row r="111" spans="2:18" x14ac:dyDescent="0.3">
      <c r="C111" s="1901" t="s">
        <v>564</v>
      </c>
      <c r="D111" s="585" t="s">
        <v>565</v>
      </c>
      <c r="E111" s="586">
        <v>338823920</v>
      </c>
      <c r="F111" s="586">
        <v>278719780</v>
      </c>
      <c r="G111" s="586">
        <v>292396780</v>
      </c>
      <c r="H111" s="586">
        <v>282661860</v>
      </c>
      <c r="I111" s="586">
        <v>296713620</v>
      </c>
      <c r="J111" s="586">
        <v>323110320</v>
      </c>
      <c r="K111" s="586">
        <v>367896560</v>
      </c>
      <c r="L111" s="586">
        <v>371496590</v>
      </c>
      <c r="M111" s="586">
        <v>366987190</v>
      </c>
      <c r="N111" s="586">
        <v>351789580</v>
      </c>
      <c r="O111" s="586">
        <v>361088840</v>
      </c>
      <c r="P111" s="586">
        <v>368879270</v>
      </c>
      <c r="Q111" s="587">
        <f>SUM(E111:P111)</f>
        <v>4000564310</v>
      </c>
      <c r="R111" s="1900"/>
    </row>
    <row r="112" spans="2:18" x14ac:dyDescent="0.3">
      <c r="C112" s="1901"/>
      <c r="D112" s="585" t="s">
        <v>566</v>
      </c>
      <c r="E112" s="586"/>
      <c r="F112" s="591">
        <v>60200000</v>
      </c>
      <c r="G112" s="586"/>
      <c r="H112" s="586"/>
      <c r="I112" s="586"/>
      <c r="J112" s="586"/>
      <c r="K112" s="586">
        <v>51500000</v>
      </c>
      <c r="L112" s="586"/>
      <c r="M112" s="586">
        <v>114000000</v>
      </c>
      <c r="N112" s="586"/>
      <c r="O112" s="586"/>
      <c r="P112" s="586">
        <v>318781120</v>
      </c>
      <c r="Q112" s="587">
        <f t="shared" ref="Q112:Q118" si="34">SUM(E112:P112)</f>
        <v>544481120</v>
      </c>
      <c r="R112" s="1900"/>
    </row>
    <row r="113" spans="2:18" x14ac:dyDescent="0.3">
      <c r="C113" s="1901"/>
      <c r="D113" s="585" t="s">
        <v>567</v>
      </c>
      <c r="E113" s="588">
        <v>214830</v>
      </c>
      <c r="F113" s="588"/>
      <c r="G113" s="588"/>
      <c r="H113" s="588"/>
      <c r="I113" s="588"/>
      <c r="J113" s="588"/>
      <c r="K113" s="588">
        <v>522750</v>
      </c>
      <c r="L113" s="588"/>
      <c r="M113" s="588"/>
      <c r="N113" s="588"/>
      <c r="O113" s="588">
        <v>2490000</v>
      </c>
      <c r="P113" s="588"/>
      <c r="Q113" s="587">
        <f t="shared" si="34"/>
        <v>3227580</v>
      </c>
      <c r="R113" s="1900"/>
    </row>
    <row r="114" spans="2:18" x14ac:dyDescent="0.3">
      <c r="C114" s="1901" t="s">
        <v>568</v>
      </c>
      <c r="D114" s="585" t="s">
        <v>569</v>
      </c>
      <c r="E114" s="586">
        <v>42823600</v>
      </c>
      <c r="F114" s="586">
        <v>43439760</v>
      </c>
      <c r="G114" s="586">
        <v>41439760</v>
      </c>
      <c r="H114" s="586">
        <v>41391760</v>
      </c>
      <c r="I114" s="586">
        <v>41740660</v>
      </c>
      <c r="J114" s="586">
        <v>41415760</v>
      </c>
      <c r="K114" s="586">
        <v>44046780</v>
      </c>
      <c r="L114" s="586">
        <v>47311680</v>
      </c>
      <c r="M114" s="586">
        <v>44010780</v>
      </c>
      <c r="N114" s="586">
        <v>44010780</v>
      </c>
      <c r="O114" s="586">
        <v>44272740</v>
      </c>
      <c r="P114" s="586">
        <v>44248740</v>
      </c>
      <c r="Q114" s="587">
        <f>SUM(E114:P114)</f>
        <v>520152800</v>
      </c>
      <c r="R114" s="1900"/>
    </row>
    <row r="115" spans="2:18" x14ac:dyDescent="0.3">
      <c r="C115" s="1901"/>
      <c r="D115" s="585" t="s">
        <v>565</v>
      </c>
      <c r="E115" s="586">
        <v>187311120</v>
      </c>
      <c r="F115" s="586">
        <v>188952870</v>
      </c>
      <c r="G115" s="586">
        <v>189156410</v>
      </c>
      <c r="H115" s="586">
        <v>189024050</v>
      </c>
      <c r="I115" s="586">
        <v>184201470</v>
      </c>
      <c r="J115" s="586">
        <v>188236560</v>
      </c>
      <c r="K115" s="586">
        <v>195685190</v>
      </c>
      <c r="L115" s="586">
        <v>196948890</v>
      </c>
      <c r="M115" s="586">
        <v>194644500</v>
      </c>
      <c r="N115" s="586">
        <v>199203940</v>
      </c>
      <c r="O115" s="586">
        <v>201567210</v>
      </c>
      <c r="P115" s="586">
        <v>200317420</v>
      </c>
      <c r="Q115" s="587">
        <f>SUM(E115:P115)</f>
        <v>2315249630</v>
      </c>
      <c r="R115" s="1900"/>
    </row>
    <row r="116" spans="2:18" x14ac:dyDescent="0.3">
      <c r="C116" s="1901"/>
      <c r="D116" s="585" t="s">
        <v>566</v>
      </c>
      <c r="E116" s="586">
        <v>48067470</v>
      </c>
      <c r="F116" s="586">
        <v>79424470</v>
      </c>
      <c r="G116" s="586">
        <v>27435660</v>
      </c>
      <c r="H116" s="586">
        <v>48090390</v>
      </c>
      <c r="I116" s="586">
        <v>28824940</v>
      </c>
      <c r="J116" s="586">
        <v>40915860</v>
      </c>
      <c r="K116" s="586">
        <v>117044350</v>
      </c>
      <c r="L116" s="586">
        <v>54421600</v>
      </c>
      <c r="M116" s="586">
        <v>123193460</v>
      </c>
      <c r="N116" s="586">
        <v>70614350</v>
      </c>
      <c r="O116" s="586">
        <v>52180160</v>
      </c>
      <c r="P116" s="586">
        <v>308413620</v>
      </c>
      <c r="Q116" s="587">
        <f>SUM(E116:P116)</f>
        <v>998626330</v>
      </c>
      <c r="R116" s="1900"/>
    </row>
    <row r="117" spans="2:18" x14ac:dyDescent="0.3">
      <c r="C117" s="1901"/>
      <c r="D117" s="585" t="s">
        <v>570</v>
      </c>
      <c r="E117" s="588">
        <v>242730</v>
      </c>
      <c r="F117" s="588"/>
      <c r="G117" s="588">
        <v>265050</v>
      </c>
      <c r="H117" s="588"/>
      <c r="I117" s="588"/>
      <c r="J117" s="588"/>
      <c r="K117" s="588"/>
      <c r="L117" s="588"/>
      <c r="M117" s="588"/>
      <c r="N117" s="588"/>
      <c r="O117" s="588"/>
      <c r="P117" s="588"/>
      <c r="Q117" s="587">
        <f t="shared" si="34"/>
        <v>507780</v>
      </c>
      <c r="R117" s="1900"/>
    </row>
    <row r="118" spans="2:18" x14ac:dyDescent="0.3">
      <c r="C118" s="589" t="s">
        <v>571</v>
      </c>
      <c r="D118" s="585"/>
      <c r="E118" s="588">
        <v>611308670</v>
      </c>
      <c r="F118" s="588">
        <v>642821880</v>
      </c>
      <c r="G118" s="588">
        <v>542959660</v>
      </c>
      <c r="H118" s="588">
        <v>555202060</v>
      </c>
      <c r="I118" s="588">
        <v>543473690</v>
      </c>
      <c r="J118" s="588">
        <v>586801500</v>
      </c>
      <c r="K118" s="588">
        <v>769498630</v>
      </c>
      <c r="L118" s="588">
        <v>663417760</v>
      </c>
      <c r="M118" s="588">
        <v>835621930</v>
      </c>
      <c r="N118" s="588">
        <v>657708650</v>
      </c>
      <c r="O118" s="588">
        <v>654006950</v>
      </c>
      <c r="P118" s="588">
        <v>1233836170</v>
      </c>
      <c r="Q118" s="588">
        <f t="shared" si="34"/>
        <v>8296657550</v>
      </c>
      <c r="R118" s="589"/>
    </row>
    <row r="119" spans="2:18" x14ac:dyDescent="0.3">
      <c r="C119" s="589" t="s">
        <v>572</v>
      </c>
      <c r="D119" s="585"/>
      <c r="E119" s="588">
        <f>E111+E112+E113+E114+E115+E116+E117-E118</f>
        <v>6175000</v>
      </c>
      <c r="F119" s="588">
        <f>F111+F112+F113+F114+F115+F116+F117-F118</f>
        <v>7915000</v>
      </c>
      <c r="G119" s="588">
        <f t="shared" ref="G119:P119" si="35">G111+G112+G113+G114+G115+G116+G117-G118</f>
        <v>7734000</v>
      </c>
      <c r="H119" s="588">
        <f t="shared" si="35"/>
        <v>5966000</v>
      </c>
      <c r="I119" s="588">
        <f t="shared" si="35"/>
        <v>8007000</v>
      </c>
      <c r="J119" s="588">
        <f t="shared" si="35"/>
        <v>6877000</v>
      </c>
      <c r="K119" s="588">
        <f t="shared" si="35"/>
        <v>7197000</v>
      </c>
      <c r="L119" s="588">
        <f t="shared" si="35"/>
        <v>6761000</v>
      </c>
      <c r="M119" s="588">
        <f t="shared" si="35"/>
        <v>7214000</v>
      </c>
      <c r="N119" s="588">
        <f t="shared" si="35"/>
        <v>7910000</v>
      </c>
      <c r="O119" s="588">
        <f t="shared" si="35"/>
        <v>7592000</v>
      </c>
      <c r="P119" s="588">
        <f t="shared" si="35"/>
        <v>6804000</v>
      </c>
      <c r="Q119" s="588">
        <f>SUM(E119:P119)</f>
        <v>86152000</v>
      </c>
      <c r="R119" s="589"/>
    </row>
    <row r="120" spans="2:18" x14ac:dyDescent="0.3">
      <c r="C120" s="1901" t="s">
        <v>573</v>
      </c>
      <c r="D120" s="585" t="s">
        <v>574</v>
      </c>
      <c r="E120" s="588">
        <v>3412000</v>
      </c>
      <c r="F120" s="588">
        <v>3600000</v>
      </c>
      <c r="G120" s="588">
        <v>3800000</v>
      </c>
      <c r="H120" s="588">
        <v>3628000</v>
      </c>
      <c r="I120" s="588">
        <v>4207000</v>
      </c>
      <c r="J120" s="588">
        <v>3670000</v>
      </c>
      <c r="K120" s="588">
        <v>3257000</v>
      </c>
      <c r="L120" s="588">
        <v>3500000</v>
      </c>
      <c r="M120" s="588">
        <v>3775000</v>
      </c>
      <c r="N120" s="588">
        <v>4000000</v>
      </c>
      <c r="O120" s="588">
        <v>4000000</v>
      </c>
      <c r="P120" s="588">
        <v>3800000</v>
      </c>
      <c r="Q120" s="588">
        <f>SUM(E120:P120)</f>
        <v>44649000</v>
      </c>
      <c r="R120" s="589"/>
    </row>
    <row r="121" spans="2:18" x14ac:dyDescent="0.3">
      <c r="C121" s="1901"/>
      <c r="D121" s="585" t="s">
        <v>575</v>
      </c>
      <c r="E121" s="588">
        <v>2763000</v>
      </c>
      <c r="F121" s="588">
        <v>4315000</v>
      </c>
      <c r="G121" s="588">
        <v>3934000</v>
      </c>
      <c r="H121" s="588">
        <v>2338000</v>
      </c>
      <c r="I121" s="588">
        <v>3800000</v>
      </c>
      <c r="J121" s="588">
        <v>3207000</v>
      </c>
      <c r="K121" s="588">
        <v>3940000</v>
      </c>
      <c r="L121" s="588">
        <v>3261000</v>
      </c>
      <c r="M121" s="588">
        <v>3439000</v>
      </c>
      <c r="N121" s="588">
        <v>3910000</v>
      </c>
      <c r="O121" s="588">
        <v>3592000</v>
      </c>
      <c r="P121" s="588">
        <v>3004000</v>
      </c>
      <c r="Q121" s="588">
        <f>SUM(E121:P121)</f>
        <v>41503000</v>
      </c>
      <c r="R121" s="589"/>
    </row>
    <row r="123" spans="2:18" x14ac:dyDescent="0.3">
      <c r="B123" s="564" t="s">
        <v>576</v>
      </c>
    </row>
    <row r="125" spans="2:18" x14ac:dyDescent="0.3">
      <c r="C125" s="583" t="s">
        <v>577</v>
      </c>
      <c r="D125" s="583"/>
      <c r="E125" s="583"/>
      <c r="F125" s="583"/>
      <c r="G125" s="583"/>
      <c r="H125" s="583"/>
      <c r="I125" s="583"/>
      <c r="J125" s="583"/>
      <c r="K125" s="583"/>
      <c r="L125" s="583"/>
      <c r="M125" s="583"/>
      <c r="N125" s="583"/>
      <c r="O125" s="583"/>
      <c r="P125" s="583"/>
      <c r="Q125" s="583"/>
      <c r="R125" s="584"/>
    </row>
    <row r="126" spans="2:18" x14ac:dyDescent="0.3">
      <c r="C126" s="585"/>
      <c r="D126" s="585"/>
      <c r="E126" s="585" t="s">
        <v>562</v>
      </c>
      <c r="F126" s="585" t="s">
        <v>563</v>
      </c>
      <c r="G126" s="585" t="s">
        <v>535</v>
      </c>
      <c r="H126" s="585" t="s">
        <v>536</v>
      </c>
      <c r="I126" s="585" t="s">
        <v>537</v>
      </c>
      <c r="J126" s="585" t="s">
        <v>538</v>
      </c>
      <c r="K126" s="585" t="s">
        <v>539</v>
      </c>
      <c r="L126" s="585" t="s">
        <v>540</v>
      </c>
      <c r="M126" s="585" t="s">
        <v>541</v>
      </c>
      <c r="N126" s="585" t="s">
        <v>542</v>
      </c>
      <c r="O126" s="585" t="s">
        <v>543</v>
      </c>
      <c r="P126" s="585" t="s">
        <v>544</v>
      </c>
      <c r="Q126" s="585" t="s">
        <v>184</v>
      </c>
      <c r="R126" s="1899">
        <f>SUM(Q127:Q133)</f>
        <v>9027851500</v>
      </c>
    </row>
    <row r="127" spans="2:18" x14ac:dyDescent="0.3">
      <c r="C127" s="1901" t="s">
        <v>564</v>
      </c>
      <c r="D127" s="585" t="s">
        <v>565</v>
      </c>
      <c r="E127" s="586">
        <v>376542460</v>
      </c>
      <c r="F127" s="586">
        <v>375834620</v>
      </c>
      <c r="G127" s="586">
        <v>428339410</v>
      </c>
      <c r="H127" s="586">
        <v>375619850</v>
      </c>
      <c r="I127" s="586">
        <v>377079580</v>
      </c>
      <c r="J127" s="586">
        <v>349889750</v>
      </c>
      <c r="K127" s="586">
        <v>328092430</v>
      </c>
      <c r="L127" s="586">
        <v>336931250</v>
      </c>
      <c r="M127" s="586">
        <v>319423860</v>
      </c>
      <c r="N127" s="586">
        <v>333430200</v>
      </c>
      <c r="O127" s="592">
        <v>330647780</v>
      </c>
      <c r="P127" s="586">
        <v>399774300</v>
      </c>
      <c r="Q127" s="587">
        <f>SUM(E127:P127)</f>
        <v>4331605490</v>
      </c>
      <c r="R127" s="1900"/>
    </row>
    <row r="128" spans="2:18" x14ac:dyDescent="0.3">
      <c r="C128" s="1901"/>
      <c r="D128" s="585" t="s">
        <v>566</v>
      </c>
      <c r="E128" s="586"/>
      <c r="F128" s="591">
        <v>69900000</v>
      </c>
      <c r="G128" s="586"/>
      <c r="H128" s="586"/>
      <c r="I128" s="586"/>
      <c r="J128" s="586"/>
      <c r="K128" s="586">
        <v>62450000</v>
      </c>
      <c r="L128" s="586"/>
      <c r="M128" s="586">
        <v>63750000</v>
      </c>
      <c r="N128" s="586"/>
      <c r="O128" s="592"/>
      <c r="P128" s="586">
        <v>297940000</v>
      </c>
      <c r="Q128" s="587">
        <f t="shared" ref="Q128:Q134" si="36">SUM(E128:P128)</f>
        <v>494040000</v>
      </c>
      <c r="R128" s="1900"/>
    </row>
    <row r="129" spans="3:18" x14ac:dyDescent="0.3">
      <c r="C129" s="1901"/>
      <c r="D129" s="585" t="s">
        <v>567</v>
      </c>
      <c r="E129" s="588"/>
      <c r="F129" s="588"/>
      <c r="G129" s="588"/>
      <c r="H129" s="588"/>
      <c r="I129" s="588">
        <v>141920</v>
      </c>
      <c r="J129" s="588"/>
      <c r="K129" s="588"/>
      <c r="L129" s="588">
        <v>286430</v>
      </c>
      <c r="M129" s="588"/>
      <c r="N129" s="588"/>
      <c r="O129" s="593">
        <v>2640000</v>
      </c>
      <c r="P129" s="588">
        <v>563810</v>
      </c>
      <c r="Q129" s="587">
        <f t="shared" si="36"/>
        <v>3632160</v>
      </c>
      <c r="R129" s="1900"/>
    </row>
    <row r="130" spans="3:18" x14ac:dyDescent="0.3">
      <c r="C130" s="1901" t="s">
        <v>568</v>
      </c>
      <c r="D130" s="585" t="s">
        <v>569</v>
      </c>
      <c r="E130" s="586">
        <v>46194540</v>
      </c>
      <c r="F130" s="586">
        <v>45536740</v>
      </c>
      <c r="G130" s="586">
        <v>44512740</v>
      </c>
      <c r="H130" s="586">
        <v>44512740</v>
      </c>
      <c r="I130" s="586">
        <v>44797140</v>
      </c>
      <c r="J130" s="586">
        <v>44512740</v>
      </c>
      <c r="K130" s="586">
        <v>50741730</v>
      </c>
      <c r="L130" s="586">
        <v>52789730</v>
      </c>
      <c r="M130" s="586">
        <v>51196230</v>
      </c>
      <c r="N130" s="586">
        <v>50861730</v>
      </c>
      <c r="O130" s="592">
        <v>51660770</v>
      </c>
      <c r="P130" s="586">
        <v>51254270</v>
      </c>
      <c r="Q130" s="587">
        <f>SUM(E130:P130)</f>
        <v>578571100</v>
      </c>
      <c r="R130" s="1900"/>
    </row>
    <row r="131" spans="3:18" x14ac:dyDescent="0.3">
      <c r="C131" s="1901"/>
      <c r="D131" s="585" t="s">
        <v>565</v>
      </c>
      <c r="E131" s="586">
        <v>204248460</v>
      </c>
      <c r="F131" s="586">
        <v>198983960</v>
      </c>
      <c r="G131" s="586">
        <v>211152640</v>
      </c>
      <c r="H131" s="586">
        <v>219793470</v>
      </c>
      <c r="I131" s="586">
        <v>218819280</v>
      </c>
      <c r="J131" s="586">
        <v>218549730</v>
      </c>
      <c r="K131" s="586">
        <v>214363010</v>
      </c>
      <c r="L131" s="586">
        <v>216808410</v>
      </c>
      <c r="M131" s="586">
        <v>214887630</v>
      </c>
      <c r="N131" s="586">
        <v>215548840</v>
      </c>
      <c r="O131" s="592">
        <v>218979350</v>
      </c>
      <c r="P131" s="586">
        <v>265320270</v>
      </c>
      <c r="Q131" s="587">
        <f>SUM(E131:P131)</f>
        <v>2617455050</v>
      </c>
      <c r="R131" s="1900"/>
    </row>
    <row r="132" spans="3:18" x14ac:dyDescent="0.3">
      <c r="C132" s="1901"/>
      <c r="D132" s="585" t="s">
        <v>566</v>
      </c>
      <c r="E132" s="586">
        <v>36923030</v>
      </c>
      <c r="F132" s="586">
        <v>92513570</v>
      </c>
      <c r="G132" s="586">
        <v>94176410</v>
      </c>
      <c r="H132" s="586">
        <v>63903420</v>
      </c>
      <c r="I132" s="586">
        <v>48868810</v>
      </c>
      <c r="J132" s="586">
        <v>44870770</v>
      </c>
      <c r="K132" s="586">
        <v>96969220</v>
      </c>
      <c r="L132" s="586">
        <v>32379190</v>
      </c>
      <c r="M132" s="586">
        <v>80399870</v>
      </c>
      <c r="N132" s="586">
        <v>40501380</v>
      </c>
      <c r="O132" s="592">
        <v>44259660</v>
      </c>
      <c r="P132" s="586">
        <v>314888000</v>
      </c>
      <c r="Q132" s="587">
        <f>SUM(E132:P132)</f>
        <v>990653330</v>
      </c>
      <c r="R132" s="1900"/>
    </row>
    <row r="133" spans="3:18" x14ac:dyDescent="0.3">
      <c r="C133" s="1901"/>
      <c r="D133" s="585" t="s">
        <v>570</v>
      </c>
      <c r="E133" s="588"/>
      <c r="F133" s="588"/>
      <c r="G133" s="588"/>
      <c r="H133" s="588">
        <v>286450</v>
      </c>
      <c r="I133" s="588"/>
      <c r="J133" s="588">
        <v>1779920</v>
      </c>
      <c r="K133" s="588">
        <v>1638000</v>
      </c>
      <c r="L133" s="588">
        <v>1638000</v>
      </c>
      <c r="M133" s="588">
        <v>1638000</v>
      </c>
      <c r="N133" s="588">
        <v>1638000</v>
      </c>
      <c r="O133" s="593">
        <v>1638000</v>
      </c>
      <c r="P133" s="588">
        <v>1638000</v>
      </c>
      <c r="Q133" s="587">
        <f t="shared" si="36"/>
        <v>11894370</v>
      </c>
      <c r="R133" s="1900"/>
    </row>
    <row r="134" spans="3:18" x14ac:dyDescent="0.3">
      <c r="C134" s="589" t="s">
        <v>571</v>
      </c>
      <c r="D134" s="585"/>
      <c r="E134" s="588">
        <v>656676490</v>
      </c>
      <c r="F134" s="588">
        <v>775285890</v>
      </c>
      <c r="G134" s="588">
        <v>770803200</v>
      </c>
      <c r="H134" s="588">
        <f>695924480+286450</f>
        <v>696210930</v>
      </c>
      <c r="I134" s="588">
        <f>681205810+141920</f>
        <v>681347730</v>
      </c>
      <c r="J134" s="588">
        <f>649634990+1779920</f>
        <v>651414910</v>
      </c>
      <c r="K134" s="588">
        <f>746280390+1638000</f>
        <v>747918390</v>
      </c>
      <c r="L134" s="588">
        <f>632083580+1924430</f>
        <v>634008010</v>
      </c>
      <c r="M134" s="588">
        <f>722932590+1638000</f>
        <v>724570590</v>
      </c>
      <c r="N134" s="588">
        <f>632216150+1638000</f>
        <v>633854150</v>
      </c>
      <c r="O134" s="588">
        <f>637849520+4278000</f>
        <v>642127520</v>
      </c>
      <c r="P134" s="588">
        <f>1321273840+2201810</f>
        <v>1323475650</v>
      </c>
      <c r="Q134" s="588">
        <f t="shared" si="36"/>
        <v>8937693460</v>
      </c>
      <c r="R134" s="589"/>
    </row>
    <row r="135" spans="3:18" x14ac:dyDescent="0.3">
      <c r="C135" s="589" t="s">
        <v>572</v>
      </c>
      <c r="D135" s="585"/>
      <c r="E135" s="588">
        <f>E127+E128+E129+E130+E131+E132+E133-E134</f>
        <v>7232000</v>
      </c>
      <c r="F135" s="588">
        <f>F127+F128+F129+F130+F131+F132+F133-F134</f>
        <v>7483000</v>
      </c>
      <c r="G135" s="588">
        <f t="shared" ref="G135:P135" si="37">G127+G128+G129+G130+G131+G132+G133-G134</f>
        <v>7378000</v>
      </c>
      <c r="H135" s="588">
        <f t="shared" si="37"/>
        <v>7905000</v>
      </c>
      <c r="I135" s="588">
        <f t="shared" si="37"/>
        <v>8359000</v>
      </c>
      <c r="J135" s="588">
        <f t="shared" si="37"/>
        <v>8188000</v>
      </c>
      <c r="K135" s="588">
        <f t="shared" si="37"/>
        <v>6336000</v>
      </c>
      <c r="L135" s="588">
        <f t="shared" si="37"/>
        <v>6825000</v>
      </c>
      <c r="M135" s="588">
        <f t="shared" si="37"/>
        <v>6725000</v>
      </c>
      <c r="N135" s="588">
        <f t="shared" si="37"/>
        <v>8126000</v>
      </c>
      <c r="O135" s="588">
        <f t="shared" si="37"/>
        <v>7698040</v>
      </c>
      <c r="P135" s="588">
        <f t="shared" si="37"/>
        <v>7903000</v>
      </c>
      <c r="Q135" s="588">
        <f>SUM(E135:P135)</f>
        <v>90158040</v>
      </c>
      <c r="R135" s="589"/>
    </row>
    <row r="136" spans="3:18" x14ac:dyDescent="0.3">
      <c r="C136" s="1901" t="s">
        <v>573</v>
      </c>
      <c r="D136" s="585" t="s">
        <v>574</v>
      </c>
      <c r="E136" s="588">
        <v>3720000</v>
      </c>
      <c r="F136" s="588">
        <v>3742000</v>
      </c>
      <c r="G136" s="588">
        <v>3877000</v>
      </c>
      <c r="H136" s="588">
        <v>3849000</v>
      </c>
      <c r="I136" s="588">
        <v>4246000</v>
      </c>
      <c r="J136" s="588">
        <v>4500000</v>
      </c>
      <c r="K136" s="588">
        <v>4183000</v>
      </c>
      <c r="L136" s="588">
        <v>3980000</v>
      </c>
      <c r="M136" s="588">
        <v>3900000</v>
      </c>
      <c r="N136" s="588">
        <v>4100000</v>
      </c>
      <c r="O136" s="588">
        <v>4000000</v>
      </c>
      <c r="P136" s="588">
        <v>4277000</v>
      </c>
      <c r="Q136" s="588">
        <f>SUM(E136:P136)</f>
        <v>48374000</v>
      </c>
      <c r="R136" s="589"/>
    </row>
    <row r="137" spans="3:18" x14ac:dyDescent="0.3">
      <c r="C137" s="1901"/>
      <c r="D137" s="585" t="s">
        <v>575</v>
      </c>
      <c r="E137" s="588">
        <v>3512000</v>
      </c>
      <c r="F137" s="588">
        <v>3741000</v>
      </c>
      <c r="G137" s="588">
        <v>3501000</v>
      </c>
      <c r="H137" s="588">
        <v>4056000</v>
      </c>
      <c r="I137" s="588">
        <v>4113000</v>
      </c>
      <c r="J137" s="588">
        <v>3688000</v>
      </c>
      <c r="K137" s="588">
        <v>2153000</v>
      </c>
      <c r="L137" s="588">
        <v>2845000</v>
      </c>
      <c r="M137" s="588">
        <v>2825000</v>
      </c>
      <c r="N137" s="588">
        <v>4026000</v>
      </c>
      <c r="O137" s="588">
        <v>3516000</v>
      </c>
      <c r="P137" s="588">
        <v>3626000</v>
      </c>
      <c r="Q137" s="588">
        <f>SUM(E137:P137)</f>
        <v>41602000</v>
      </c>
      <c r="R137" s="589"/>
    </row>
  </sheetData>
  <mergeCells count="21">
    <mergeCell ref="C120:C121"/>
    <mergeCell ref="R126:R133"/>
    <mergeCell ref="C127:C129"/>
    <mergeCell ref="C130:C133"/>
    <mergeCell ref="C136:C137"/>
    <mergeCell ref="R93:R100"/>
    <mergeCell ref="C94:C96"/>
    <mergeCell ref="C97:C100"/>
    <mergeCell ref="C103:C104"/>
    <mergeCell ref="R110:R117"/>
    <mergeCell ref="C111:C113"/>
    <mergeCell ref="C114:C117"/>
    <mergeCell ref="C6:C11"/>
    <mergeCell ref="C13:C18"/>
    <mergeCell ref="C38:D38"/>
    <mergeCell ref="C39:D39"/>
    <mergeCell ref="C44:D44"/>
    <mergeCell ref="C24:D24"/>
    <mergeCell ref="C25:C30"/>
    <mergeCell ref="C31:D31"/>
    <mergeCell ref="C32:C37"/>
  </mergeCells>
  <phoneticPr fontId="1" type="noConversion"/>
  <conditionalFormatting sqref="I31:L38">
    <cfRule type="containsText" dxfId="3" priority="3" operator="containsText" text="FALSE">
      <formula>NOT(ISERROR(SEARCH("FALSE",I31)))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5998"/>
  <sheetViews>
    <sheetView workbookViewId="0">
      <selection activeCell="AB160" sqref="AB160:AD295"/>
    </sheetView>
  </sheetViews>
  <sheetFormatPr defaultRowHeight="12.75" x14ac:dyDescent="0.2"/>
  <cols>
    <col min="1" max="1" width="13.25" style="1489" customWidth="1"/>
    <col min="2" max="2" width="32.875" style="1489" customWidth="1"/>
    <col min="3" max="3" width="29.5" style="1489" customWidth="1"/>
    <col min="4" max="4" width="13.25" style="1489" customWidth="1"/>
    <col min="5" max="5" width="13.25" style="1654" customWidth="1"/>
    <col min="6" max="7" width="13.25" style="1489" customWidth="1"/>
    <col min="8" max="257" width="9" style="1489"/>
    <col min="258" max="258" width="13.25" style="1489" customWidth="1"/>
    <col min="259" max="259" width="32.875" style="1489" customWidth="1"/>
    <col min="260" max="260" width="29.5" style="1489" customWidth="1"/>
    <col min="261" max="263" width="13.25" style="1489" customWidth="1"/>
    <col min="264" max="513" width="9" style="1489"/>
    <col min="514" max="514" width="13.25" style="1489" customWidth="1"/>
    <col min="515" max="515" width="32.875" style="1489" customWidth="1"/>
    <col min="516" max="516" width="29.5" style="1489" customWidth="1"/>
    <col min="517" max="519" width="13.25" style="1489" customWidth="1"/>
    <col min="520" max="769" width="9" style="1489"/>
    <col min="770" max="770" width="13.25" style="1489" customWidth="1"/>
    <col min="771" max="771" width="32.875" style="1489" customWidth="1"/>
    <col min="772" max="772" width="29.5" style="1489" customWidth="1"/>
    <col min="773" max="775" width="13.25" style="1489" customWidth="1"/>
    <col min="776" max="1025" width="9" style="1489"/>
    <col min="1026" max="1026" width="13.25" style="1489" customWidth="1"/>
    <col min="1027" max="1027" width="32.875" style="1489" customWidth="1"/>
    <col min="1028" max="1028" width="29.5" style="1489" customWidth="1"/>
    <col min="1029" max="1031" width="13.25" style="1489" customWidth="1"/>
    <col min="1032" max="1281" width="9" style="1489"/>
    <col min="1282" max="1282" width="13.25" style="1489" customWidth="1"/>
    <col min="1283" max="1283" width="32.875" style="1489" customWidth="1"/>
    <col min="1284" max="1284" width="29.5" style="1489" customWidth="1"/>
    <col min="1285" max="1287" width="13.25" style="1489" customWidth="1"/>
    <col min="1288" max="1537" width="9" style="1489"/>
    <col min="1538" max="1538" width="13.25" style="1489" customWidth="1"/>
    <col min="1539" max="1539" width="32.875" style="1489" customWidth="1"/>
    <col min="1540" max="1540" width="29.5" style="1489" customWidth="1"/>
    <col min="1541" max="1543" width="13.25" style="1489" customWidth="1"/>
    <col min="1544" max="1793" width="9" style="1489"/>
    <col min="1794" max="1794" width="13.25" style="1489" customWidth="1"/>
    <col min="1795" max="1795" width="32.875" style="1489" customWidth="1"/>
    <col min="1796" max="1796" width="29.5" style="1489" customWidth="1"/>
    <col min="1797" max="1799" width="13.25" style="1489" customWidth="1"/>
    <col min="1800" max="2049" width="9" style="1489"/>
    <col min="2050" max="2050" width="13.25" style="1489" customWidth="1"/>
    <col min="2051" max="2051" width="32.875" style="1489" customWidth="1"/>
    <col min="2052" max="2052" width="29.5" style="1489" customWidth="1"/>
    <col min="2053" max="2055" width="13.25" style="1489" customWidth="1"/>
    <col min="2056" max="2305" width="9" style="1489"/>
    <col min="2306" max="2306" width="13.25" style="1489" customWidth="1"/>
    <col min="2307" max="2307" width="32.875" style="1489" customWidth="1"/>
    <col min="2308" max="2308" width="29.5" style="1489" customWidth="1"/>
    <col min="2309" max="2311" width="13.25" style="1489" customWidth="1"/>
    <col min="2312" max="2561" width="9" style="1489"/>
    <col min="2562" max="2562" width="13.25" style="1489" customWidth="1"/>
    <col min="2563" max="2563" width="32.875" style="1489" customWidth="1"/>
    <col min="2564" max="2564" width="29.5" style="1489" customWidth="1"/>
    <col min="2565" max="2567" width="13.25" style="1489" customWidth="1"/>
    <col min="2568" max="2817" width="9" style="1489"/>
    <col min="2818" max="2818" width="13.25" style="1489" customWidth="1"/>
    <col min="2819" max="2819" width="32.875" style="1489" customWidth="1"/>
    <col min="2820" max="2820" width="29.5" style="1489" customWidth="1"/>
    <col min="2821" max="2823" width="13.25" style="1489" customWidth="1"/>
    <col min="2824" max="3073" width="9" style="1489"/>
    <col min="3074" max="3074" width="13.25" style="1489" customWidth="1"/>
    <col min="3075" max="3075" width="32.875" style="1489" customWidth="1"/>
    <col min="3076" max="3076" width="29.5" style="1489" customWidth="1"/>
    <col min="3077" max="3079" width="13.25" style="1489" customWidth="1"/>
    <col min="3080" max="3329" width="9" style="1489"/>
    <col min="3330" max="3330" width="13.25" style="1489" customWidth="1"/>
    <col min="3331" max="3331" width="32.875" style="1489" customWidth="1"/>
    <col min="3332" max="3332" width="29.5" style="1489" customWidth="1"/>
    <col min="3333" max="3335" width="13.25" style="1489" customWidth="1"/>
    <col min="3336" max="3585" width="9" style="1489"/>
    <col min="3586" max="3586" width="13.25" style="1489" customWidth="1"/>
    <col min="3587" max="3587" width="32.875" style="1489" customWidth="1"/>
    <col min="3588" max="3588" width="29.5" style="1489" customWidth="1"/>
    <col min="3589" max="3591" width="13.25" style="1489" customWidth="1"/>
    <col min="3592" max="3841" width="9" style="1489"/>
    <col min="3842" max="3842" width="13.25" style="1489" customWidth="1"/>
    <col min="3843" max="3843" width="32.875" style="1489" customWidth="1"/>
    <col min="3844" max="3844" width="29.5" style="1489" customWidth="1"/>
    <col min="3845" max="3847" width="13.25" style="1489" customWidth="1"/>
    <col min="3848" max="4097" width="9" style="1489"/>
    <col min="4098" max="4098" width="13.25" style="1489" customWidth="1"/>
    <col min="4099" max="4099" width="32.875" style="1489" customWidth="1"/>
    <col min="4100" max="4100" width="29.5" style="1489" customWidth="1"/>
    <col min="4101" max="4103" width="13.25" style="1489" customWidth="1"/>
    <col min="4104" max="4353" width="9" style="1489"/>
    <col min="4354" max="4354" width="13.25" style="1489" customWidth="1"/>
    <col min="4355" max="4355" width="32.875" style="1489" customWidth="1"/>
    <col min="4356" max="4356" width="29.5" style="1489" customWidth="1"/>
    <col min="4357" max="4359" width="13.25" style="1489" customWidth="1"/>
    <col min="4360" max="4609" width="9" style="1489"/>
    <col min="4610" max="4610" width="13.25" style="1489" customWidth="1"/>
    <col min="4611" max="4611" width="32.875" style="1489" customWidth="1"/>
    <col min="4612" max="4612" width="29.5" style="1489" customWidth="1"/>
    <col min="4613" max="4615" width="13.25" style="1489" customWidth="1"/>
    <col min="4616" max="4865" width="9" style="1489"/>
    <col min="4866" max="4866" width="13.25" style="1489" customWidth="1"/>
    <col min="4867" max="4867" width="32.875" style="1489" customWidth="1"/>
    <col min="4868" max="4868" width="29.5" style="1489" customWidth="1"/>
    <col min="4869" max="4871" width="13.25" style="1489" customWidth="1"/>
    <col min="4872" max="5121" width="9" style="1489"/>
    <col min="5122" max="5122" width="13.25" style="1489" customWidth="1"/>
    <col min="5123" max="5123" width="32.875" style="1489" customWidth="1"/>
    <col min="5124" max="5124" width="29.5" style="1489" customWidth="1"/>
    <col min="5125" max="5127" width="13.25" style="1489" customWidth="1"/>
    <col min="5128" max="5377" width="9" style="1489"/>
    <col min="5378" max="5378" width="13.25" style="1489" customWidth="1"/>
    <col min="5379" max="5379" width="32.875" style="1489" customWidth="1"/>
    <col min="5380" max="5380" width="29.5" style="1489" customWidth="1"/>
    <col min="5381" max="5383" width="13.25" style="1489" customWidth="1"/>
    <col min="5384" max="5633" width="9" style="1489"/>
    <col min="5634" max="5634" width="13.25" style="1489" customWidth="1"/>
    <col min="5635" max="5635" width="32.875" style="1489" customWidth="1"/>
    <col min="5636" max="5636" width="29.5" style="1489" customWidth="1"/>
    <col min="5637" max="5639" width="13.25" style="1489" customWidth="1"/>
    <col min="5640" max="5889" width="9" style="1489"/>
    <col min="5890" max="5890" width="13.25" style="1489" customWidth="1"/>
    <col min="5891" max="5891" width="32.875" style="1489" customWidth="1"/>
    <col min="5892" max="5892" width="29.5" style="1489" customWidth="1"/>
    <col min="5893" max="5895" width="13.25" style="1489" customWidth="1"/>
    <col min="5896" max="6145" width="9" style="1489"/>
    <col min="6146" max="6146" width="13.25" style="1489" customWidth="1"/>
    <col min="6147" max="6147" width="32.875" style="1489" customWidth="1"/>
    <col min="6148" max="6148" width="29.5" style="1489" customWidth="1"/>
    <col min="6149" max="6151" width="13.25" style="1489" customWidth="1"/>
    <col min="6152" max="6401" width="9" style="1489"/>
    <col min="6402" max="6402" width="13.25" style="1489" customWidth="1"/>
    <col min="6403" max="6403" width="32.875" style="1489" customWidth="1"/>
    <col min="6404" max="6404" width="29.5" style="1489" customWidth="1"/>
    <col min="6405" max="6407" width="13.25" style="1489" customWidth="1"/>
    <col min="6408" max="6657" width="9" style="1489"/>
    <col min="6658" max="6658" width="13.25" style="1489" customWidth="1"/>
    <col min="6659" max="6659" width="32.875" style="1489" customWidth="1"/>
    <col min="6660" max="6660" width="29.5" style="1489" customWidth="1"/>
    <col min="6661" max="6663" width="13.25" style="1489" customWidth="1"/>
    <col min="6664" max="6913" width="9" style="1489"/>
    <col min="6914" max="6914" width="13.25" style="1489" customWidth="1"/>
    <col min="6915" max="6915" width="32.875" style="1489" customWidth="1"/>
    <col min="6916" max="6916" width="29.5" style="1489" customWidth="1"/>
    <col min="6917" max="6919" width="13.25" style="1489" customWidth="1"/>
    <col min="6920" max="7169" width="9" style="1489"/>
    <col min="7170" max="7170" width="13.25" style="1489" customWidth="1"/>
    <col min="7171" max="7171" width="32.875" style="1489" customWidth="1"/>
    <col min="7172" max="7172" width="29.5" style="1489" customWidth="1"/>
    <col min="7173" max="7175" width="13.25" style="1489" customWidth="1"/>
    <col min="7176" max="7425" width="9" style="1489"/>
    <col min="7426" max="7426" width="13.25" style="1489" customWidth="1"/>
    <col min="7427" max="7427" width="32.875" style="1489" customWidth="1"/>
    <col min="7428" max="7428" width="29.5" style="1489" customWidth="1"/>
    <col min="7429" max="7431" width="13.25" style="1489" customWidth="1"/>
    <col min="7432" max="7681" width="9" style="1489"/>
    <col min="7682" max="7682" width="13.25" style="1489" customWidth="1"/>
    <col min="7683" max="7683" width="32.875" style="1489" customWidth="1"/>
    <col min="7684" max="7684" width="29.5" style="1489" customWidth="1"/>
    <col min="7685" max="7687" width="13.25" style="1489" customWidth="1"/>
    <col min="7688" max="7937" width="9" style="1489"/>
    <col min="7938" max="7938" width="13.25" style="1489" customWidth="1"/>
    <col min="7939" max="7939" width="32.875" style="1489" customWidth="1"/>
    <col min="7940" max="7940" width="29.5" style="1489" customWidth="1"/>
    <col min="7941" max="7943" width="13.25" style="1489" customWidth="1"/>
    <col min="7944" max="8193" width="9" style="1489"/>
    <col min="8194" max="8194" width="13.25" style="1489" customWidth="1"/>
    <col min="8195" max="8195" width="32.875" style="1489" customWidth="1"/>
    <col min="8196" max="8196" width="29.5" style="1489" customWidth="1"/>
    <col min="8197" max="8199" width="13.25" style="1489" customWidth="1"/>
    <col min="8200" max="8449" width="9" style="1489"/>
    <col min="8450" max="8450" width="13.25" style="1489" customWidth="1"/>
    <col min="8451" max="8451" width="32.875" style="1489" customWidth="1"/>
    <col min="8452" max="8452" width="29.5" style="1489" customWidth="1"/>
    <col min="8453" max="8455" width="13.25" style="1489" customWidth="1"/>
    <col min="8456" max="8705" width="9" style="1489"/>
    <col min="8706" max="8706" width="13.25" style="1489" customWidth="1"/>
    <col min="8707" max="8707" width="32.875" style="1489" customWidth="1"/>
    <col min="8708" max="8708" width="29.5" style="1489" customWidth="1"/>
    <col min="8709" max="8711" width="13.25" style="1489" customWidth="1"/>
    <col min="8712" max="8961" width="9" style="1489"/>
    <col min="8962" max="8962" width="13.25" style="1489" customWidth="1"/>
    <col min="8963" max="8963" width="32.875" style="1489" customWidth="1"/>
    <col min="8964" max="8964" width="29.5" style="1489" customWidth="1"/>
    <col min="8965" max="8967" width="13.25" style="1489" customWidth="1"/>
    <col min="8968" max="9217" width="9" style="1489"/>
    <col min="9218" max="9218" width="13.25" style="1489" customWidth="1"/>
    <col min="9219" max="9219" width="32.875" style="1489" customWidth="1"/>
    <col min="9220" max="9220" width="29.5" style="1489" customWidth="1"/>
    <col min="9221" max="9223" width="13.25" style="1489" customWidth="1"/>
    <col min="9224" max="9473" width="9" style="1489"/>
    <col min="9474" max="9474" width="13.25" style="1489" customWidth="1"/>
    <col min="9475" max="9475" width="32.875" style="1489" customWidth="1"/>
    <col min="9476" max="9476" width="29.5" style="1489" customWidth="1"/>
    <col min="9477" max="9479" width="13.25" style="1489" customWidth="1"/>
    <col min="9480" max="9729" width="9" style="1489"/>
    <col min="9730" max="9730" width="13.25" style="1489" customWidth="1"/>
    <col min="9731" max="9731" width="32.875" style="1489" customWidth="1"/>
    <col min="9732" max="9732" width="29.5" style="1489" customWidth="1"/>
    <col min="9733" max="9735" width="13.25" style="1489" customWidth="1"/>
    <col min="9736" max="9985" width="9" style="1489"/>
    <col min="9986" max="9986" width="13.25" style="1489" customWidth="1"/>
    <col min="9987" max="9987" width="32.875" style="1489" customWidth="1"/>
    <col min="9988" max="9988" width="29.5" style="1489" customWidth="1"/>
    <col min="9989" max="9991" width="13.25" style="1489" customWidth="1"/>
    <col min="9992" max="10241" width="9" style="1489"/>
    <col min="10242" max="10242" width="13.25" style="1489" customWidth="1"/>
    <col min="10243" max="10243" width="32.875" style="1489" customWidth="1"/>
    <col min="10244" max="10244" width="29.5" style="1489" customWidth="1"/>
    <col min="10245" max="10247" width="13.25" style="1489" customWidth="1"/>
    <col min="10248" max="10497" width="9" style="1489"/>
    <col min="10498" max="10498" width="13.25" style="1489" customWidth="1"/>
    <col min="10499" max="10499" width="32.875" style="1489" customWidth="1"/>
    <col min="10500" max="10500" width="29.5" style="1489" customWidth="1"/>
    <col min="10501" max="10503" width="13.25" style="1489" customWidth="1"/>
    <col min="10504" max="10753" width="9" style="1489"/>
    <col min="10754" max="10754" width="13.25" style="1489" customWidth="1"/>
    <col min="10755" max="10755" width="32.875" style="1489" customWidth="1"/>
    <col min="10756" max="10756" width="29.5" style="1489" customWidth="1"/>
    <col min="10757" max="10759" width="13.25" style="1489" customWidth="1"/>
    <col min="10760" max="11009" width="9" style="1489"/>
    <col min="11010" max="11010" width="13.25" style="1489" customWidth="1"/>
    <col min="11011" max="11011" width="32.875" style="1489" customWidth="1"/>
    <col min="11012" max="11012" width="29.5" style="1489" customWidth="1"/>
    <col min="11013" max="11015" width="13.25" style="1489" customWidth="1"/>
    <col min="11016" max="11265" width="9" style="1489"/>
    <col min="11266" max="11266" width="13.25" style="1489" customWidth="1"/>
    <col min="11267" max="11267" width="32.875" style="1489" customWidth="1"/>
    <col min="11268" max="11268" width="29.5" style="1489" customWidth="1"/>
    <col min="11269" max="11271" width="13.25" style="1489" customWidth="1"/>
    <col min="11272" max="11521" width="9" style="1489"/>
    <col min="11522" max="11522" width="13.25" style="1489" customWidth="1"/>
    <col min="11523" max="11523" width="32.875" style="1489" customWidth="1"/>
    <col min="11524" max="11524" width="29.5" style="1489" customWidth="1"/>
    <col min="11525" max="11527" width="13.25" style="1489" customWidth="1"/>
    <col min="11528" max="11777" width="9" style="1489"/>
    <col min="11778" max="11778" width="13.25" style="1489" customWidth="1"/>
    <col min="11779" max="11779" width="32.875" style="1489" customWidth="1"/>
    <col min="11780" max="11780" width="29.5" style="1489" customWidth="1"/>
    <col min="11781" max="11783" width="13.25" style="1489" customWidth="1"/>
    <col min="11784" max="12033" width="9" style="1489"/>
    <col min="12034" max="12034" width="13.25" style="1489" customWidth="1"/>
    <col min="12035" max="12035" width="32.875" style="1489" customWidth="1"/>
    <col min="12036" max="12036" width="29.5" style="1489" customWidth="1"/>
    <col min="12037" max="12039" width="13.25" style="1489" customWidth="1"/>
    <col min="12040" max="12289" width="9" style="1489"/>
    <col min="12290" max="12290" width="13.25" style="1489" customWidth="1"/>
    <col min="12291" max="12291" width="32.875" style="1489" customWidth="1"/>
    <col min="12292" max="12292" width="29.5" style="1489" customWidth="1"/>
    <col min="12293" max="12295" width="13.25" style="1489" customWidth="1"/>
    <col min="12296" max="12545" width="9" style="1489"/>
    <col min="12546" max="12546" width="13.25" style="1489" customWidth="1"/>
    <col min="12547" max="12547" width="32.875" style="1489" customWidth="1"/>
    <col min="12548" max="12548" width="29.5" style="1489" customWidth="1"/>
    <col min="12549" max="12551" width="13.25" style="1489" customWidth="1"/>
    <col min="12552" max="12801" width="9" style="1489"/>
    <col min="12802" max="12802" width="13.25" style="1489" customWidth="1"/>
    <col min="12803" max="12803" width="32.875" style="1489" customWidth="1"/>
    <col min="12804" max="12804" width="29.5" style="1489" customWidth="1"/>
    <col min="12805" max="12807" width="13.25" style="1489" customWidth="1"/>
    <col min="12808" max="13057" width="9" style="1489"/>
    <col min="13058" max="13058" width="13.25" style="1489" customWidth="1"/>
    <col min="13059" max="13059" width="32.875" style="1489" customWidth="1"/>
    <col min="13060" max="13060" width="29.5" style="1489" customWidth="1"/>
    <col min="13061" max="13063" width="13.25" style="1489" customWidth="1"/>
    <col min="13064" max="13313" width="9" style="1489"/>
    <col min="13314" max="13314" width="13.25" style="1489" customWidth="1"/>
    <col min="13315" max="13315" width="32.875" style="1489" customWidth="1"/>
    <col min="13316" max="13316" width="29.5" style="1489" customWidth="1"/>
    <col min="13317" max="13319" width="13.25" style="1489" customWidth="1"/>
    <col min="13320" max="13569" width="9" style="1489"/>
    <col min="13570" max="13570" width="13.25" style="1489" customWidth="1"/>
    <col min="13571" max="13571" width="32.875" style="1489" customWidth="1"/>
    <col min="13572" max="13572" width="29.5" style="1489" customWidth="1"/>
    <col min="13573" max="13575" width="13.25" style="1489" customWidth="1"/>
    <col min="13576" max="13825" width="9" style="1489"/>
    <col min="13826" max="13826" width="13.25" style="1489" customWidth="1"/>
    <col min="13827" max="13827" width="32.875" style="1489" customWidth="1"/>
    <col min="13828" max="13828" width="29.5" style="1489" customWidth="1"/>
    <col min="13829" max="13831" width="13.25" style="1489" customWidth="1"/>
    <col min="13832" max="14081" width="9" style="1489"/>
    <col min="14082" max="14082" width="13.25" style="1489" customWidth="1"/>
    <col min="14083" max="14083" width="32.875" style="1489" customWidth="1"/>
    <col min="14084" max="14084" width="29.5" style="1489" customWidth="1"/>
    <col min="14085" max="14087" width="13.25" style="1489" customWidth="1"/>
    <col min="14088" max="14337" width="9" style="1489"/>
    <col min="14338" max="14338" width="13.25" style="1489" customWidth="1"/>
    <col min="14339" max="14339" width="32.875" style="1489" customWidth="1"/>
    <col min="14340" max="14340" width="29.5" style="1489" customWidth="1"/>
    <col min="14341" max="14343" width="13.25" style="1489" customWidth="1"/>
    <col min="14344" max="14593" width="9" style="1489"/>
    <col min="14594" max="14594" width="13.25" style="1489" customWidth="1"/>
    <col min="14595" max="14595" width="32.875" style="1489" customWidth="1"/>
    <col min="14596" max="14596" width="29.5" style="1489" customWidth="1"/>
    <col min="14597" max="14599" width="13.25" style="1489" customWidth="1"/>
    <col min="14600" max="14849" width="9" style="1489"/>
    <col min="14850" max="14850" width="13.25" style="1489" customWidth="1"/>
    <col min="14851" max="14851" width="32.875" style="1489" customWidth="1"/>
    <col min="14852" max="14852" width="29.5" style="1489" customWidth="1"/>
    <col min="14853" max="14855" width="13.25" style="1489" customWidth="1"/>
    <col min="14856" max="15105" width="9" style="1489"/>
    <col min="15106" max="15106" width="13.25" style="1489" customWidth="1"/>
    <col min="15107" max="15107" width="32.875" style="1489" customWidth="1"/>
    <col min="15108" max="15108" width="29.5" style="1489" customWidth="1"/>
    <col min="15109" max="15111" width="13.25" style="1489" customWidth="1"/>
    <col min="15112" max="15361" width="9" style="1489"/>
    <col min="15362" max="15362" width="13.25" style="1489" customWidth="1"/>
    <col min="15363" max="15363" width="32.875" style="1489" customWidth="1"/>
    <col min="15364" max="15364" width="29.5" style="1489" customWidth="1"/>
    <col min="15365" max="15367" width="13.25" style="1489" customWidth="1"/>
    <col min="15368" max="15617" width="9" style="1489"/>
    <col min="15618" max="15618" width="13.25" style="1489" customWidth="1"/>
    <col min="15619" max="15619" width="32.875" style="1489" customWidth="1"/>
    <col min="15620" max="15620" width="29.5" style="1489" customWidth="1"/>
    <col min="15621" max="15623" width="13.25" style="1489" customWidth="1"/>
    <col min="15624" max="15873" width="9" style="1489"/>
    <col min="15874" max="15874" width="13.25" style="1489" customWidth="1"/>
    <col min="15875" max="15875" width="32.875" style="1489" customWidth="1"/>
    <col min="15876" max="15876" width="29.5" style="1489" customWidth="1"/>
    <col min="15877" max="15879" width="13.25" style="1489" customWidth="1"/>
    <col min="15880" max="16129" width="9" style="1489"/>
    <col min="16130" max="16130" width="13.25" style="1489" customWidth="1"/>
    <col min="16131" max="16131" width="32.875" style="1489" customWidth="1"/>
    <col min="16132" max="16132" width="29.5" style="1489" customWidth="1"/>
    <col min="16133" max="16135" width="13.25" style="1489" customWidth="1"/>
    <col min="16136" max="16384" width="9" style="1489"/>
  </cols>
  <sheetData>
    <row r="1" spans="1:8" ht="15" x14ac:dyDescent="0.2">
      <c r="A1" s="1608" t="s">
        <v>3585</v>
      </c>
    </row>
    <row r="2" spans="1:8" s="1610" customFormat="1" ht="15" x14ac:dyDescent="0.2">
      <c r="A2" s="1609" t="s">
        <v>3372</v>
      </c>
      <c r="B2" s="1609" t="s">
        <v>3373</v>
      </c>
      <c r="C2" s="1609" t="s">
        <v>3374</v>
      </c>
      <c r="D2" s="1705" t="s">
        <v>7554</v>
      </c>
      <c r="E2" s="1705" t="s">
        <v>7553</v>
      </c>
      <c r="F2" s="1609" t="s">
        <v>3376</v>
      </c>
      <c r="G2" s="1609" t="s">
        <v>3377</v>
      </c>
      <c r="H2" s="1707" t="s">
        <v>7593</v>
      </c>
    </row>
    <row r="3" spans="1:8" ht="17.25" customHeight="1" x14ac:dyDescent="0.2">
      <c r="A3" s="1611">
        <v>13</v>
      </c>
      <c r="B3" s="1611" t="s">
        <v>2037</v>
      </c>
      <c r="C3" s="1611" t="s">
        <v>3586</v>
      </c>
      <c r="D3" s="1612" t="s">
        <v>7555</v>
      </c>
      <c r="E3" s="1706" t="s">
        <v>7592</v>
      </c>
      <c r="F3" s="1613">
        <v>36883000</v>
      </c>
      <c r="G3" s="1613">
        <v>36883000</v>
      </c>
      <c r="H3" s="1489">
        <v>1</v>
      </c>
    </row>
    <row r="4" spans="1:8" ht="17.25" customHeight="1" x14ac:dyDescent="0.2">
      <c r="A4" s="1611">
        <v>13</v>
      </c>
      <c r="B4" s="1611" t="s">
        <v>2037</v>
      </c>
      <c r="C4" s="1611" t="s">
        <v>3587</v>
      </c>
      <c r="D4" s="1612" t="s">
        <v>7555</v>
      </c>
      <c r="E4" s="1706" t="s">
        <v>7592</v>
      </c>
      <c r="F4" s="1613">
        <v>38000000</v>
      </c>
      <c r="G4" s="1613">
        <v>74883000</v>
      </c>
    </row>
    <row r="5" spans="1:8" ht="17.25" customHeight="1" x14ac:dyDescent="0.2">
      <c r="A5" s="1611">
        <v>13</v>
      </c>
      <c r="B5" s="1611" t="s">
        <v>2028</v>
      </c>
      <c r="C5" s="1611" t="s">
        <v>3588</v>
      </c>
      <c r="D5" s="1612" t="s">
        <v>2024</v>
      </c>
      <c r="E5" s="1706" t="s">
        <v>7592</v>
      </c>
      <c r="F5" s="1613">
        <v>12864000</v>
      </c>
      <c r="G5" s="1613">
        <v>87747000</v>
      </c>
    </row>
    <row r="6" spans="1:8" ht="17.25" customHeight="1" x14ac:dyDescent="0.2">
      <c r="A6" s="1611">
        <v>13</v>
      </c>
      <c r="B6" s="1611" t="s">
        <v>2037</v>
      </c>
      <c r="C6" s="1611" t="s">
        <v>3589</v>
      </c>
      <c r="D6" s="1612" t="s">
        <v>7555</v>
      </c>
      <c r="E6" s="1706" t="s">
        <v>7592</v>
      </c>
      <c r="F6" s="1613">
        <v>38500000</v>
      </c>
      <c r="G6" s="1613">
        <v>126247000</v>
      </c>
    </row>
    <row r="7" spans="1:8" ht="17.25" customHeight="1" x14ac:dyDescent="0.2">
      <c r="A7" s="1611">
        <v>13</v>
      </c>
      <c r="B7" s="1611" t="s">
        <v>3590</v>
      </c>
      <c r="C7" s="1611" t="s">
        <v>3591</v>
      </c>
      <c r="D7" s="1612">
        <v>0</v>
      </c>
      <c r="E7" s="1706" t="s">
        <v>7592</v>
      </c>
      <c r="F7" s="1613">
        <v>13000000</v>
      </c>
      <c r="G7" s="1613">
        <v>139247000</v>
      </c>
    </row>
    <row r="8" spans="1:8" ht="17.25" customHeight="1" x14ac:dyDescent="0.2">
      <c r="A8" s="1611">
        <v>13</v>
      </c>
      <c r="B8" s="1611" t="s">
        <v>2039</v>
      </c>
      <c r="C8" s="1611" t="s">
        <v>3592</v>
      </c>
      <c r="D8" s="1612" t="s">
        <v>7555</v>
      </c>
      <c r="E8" s="1706" t="s">
        <v>7592</v>
      </c>
      <c r="F8" s="1613">
        <v>41870000</v>
      </c>
      <c r="G8" s="1613">
        <v>181117000</v>
      </c>
    </row>
    <row r="9" spans="1:8" ht="17.25" customHeight="1" x14ac:dyDescent="0.2">
      <c r="A9" s="1611">
        <v>13</v>
      </c>
      <c r="B9" s="1611" t="s">
        <v>2028</v>
      </c>
      <c r="C9" s="1611" t="s">
        <v>3593</v>
      </c>
      <c r="D9" s="1612" t="s">
        <v>2024</v>
      </c>
      <c r="E9" s="1706" t="s">
        <v>7592</v>
      </c>
      <c r="F9" s="1613">
        <v>12880000</v>
      </c>
      <c r="G9" s="1613">
        <v>193997000</v>
      </c>
    </row>
    <row r="10" spans="1:8" ht="17.25" customHeight="1" x14ac:dyDescent="0.2">
      <c r="A10" s="1611">
        <v>13</v>
      </c>
      <c r="B10" s="1611" t="s">
        <v>2037</v>
      </c>
      <c r="C10" s="1611" t="s">
        <v>3594</v>
      </c>
      <c r="D10" s="1612" t="s">
        <v>7555</v>
      </c>
      <c r="E10" s="1706" t="s">
        <v>7592</v>
      </c>
      <c r="F10" s="1613">
        <v>41818189</v>
      </c>
      <c r="G10" s="1613">
        <v>235815189</v>
      </c>
    </row>
    <row r="11" spans="1:8" ht="17.25" customHeight="1" x14ac:dyDescent="0.2">
      <c r="A11" s="1611">
        <v>13</v>
      </c>
      <c r="B11" s="1611" t="s">
        <v>3553</v>
      </c>
      <c r="C11" s="1611" t="s">
        <v>3595</v>
      </c>
      <c r="D11" s="1612" t="s">
        <v>7555</v>
      </c>
      <c r="E11" s="1706" t="s">
        <v>7592</v>
      </c>
      <c r="F11" s="1613">
        <v>40300000</v>
      </c>
      <c r="G11" s="1613">
        <v>158207594.5</v>
      </c>
    </row>
    <row r="12" spans="1:8" ht="17.25" customHeight="1" x14ac:dyDescent="0.2">
      <c r="A12" s="1611">
        <v>13</v>
      </c>
      <c r="B12" s="1611" t="s">
        <v>3553</v>
      </c>
      <c r="C12" s="1611" t="s">
        <v>3595</v>
      </c>
      <c r="D12" s="1612" t="s">
        <v>7555</v>
      </c>
      <c r="E12" s="1706" t="s">
        <v>7592</v>
      </c>
      <c r="F12" s="1613">
        <v>40300000</v>
      </c>
      <c r="G12" s="1613">
        <v>158207594.5</v>
      </c>
    </row>
    <row r="13" spans="1:8" ht="17.25" customHeight="1" x14ac:dyDescent="0.2">
      <c r="A13" s="1611">
        <v>13</v>
      </c>
      <c r="B13" s="1611" t="s">
        <v>3596</v>
      </c>
      <c r="C13" s="1611" t="s">
        <v>3597</v>
      </c>
      <c r="D13" s="1612">
        <v>0</v>
      </c>
      <c r="E13" s="1706" t="s">
        <v>7592</v>
      </c>
      <c r="F13" s="1613">
        <v>51580000</v>
      </c>
      <c r="G13" s="1613">
        <v>367995189</v>
      </c>
    </row>
    <row r="14" spans="1:8" ht="17.25" customHeight="1" x14ac:dyDescent="0.2">
      <c r="A14" s="1611">
        <v>13</v>
      </c>
      <c r="B14" s="1611" t="s">
        <v>2037</v>
      </c>
      <c r="C14" s="1611" t="s">
        <v>3594</v>
      </c>
      <c r="D14" s="1612" t="s">
        <v>7555</v>
      </c>
      <c r="E14" s="1706" t="s">
        <v>7592</v>
      </c>
      <c r="F14" s="1613">
        <v>-41818182</v>
      </c>
      <c r="G14" s="1613">
        <v>326177007</v>
      </c>
    </row>
    <row r="15" spans="1:8" ht="17.25" customHeight="1" x14ac:dyDescent="0.2">
      <c r="A15" s="1611">
        <v>13</v>
      </c>
      <c r="B15" s="1611" t="s">
        <v>2037</v>
      </c>
      <c r="C15" s="1611" t="s">
        <v>3594</v>
      </c>
      <c r="D15" s="1612" t="s">
        <v>7555</v>
      </c>
      <c r="E15" s="1706" t="s">
        <v>7592</v>
      </c>
      <c r="F15" s="1613">
        <v>41818182</v>
      </c>
      <c r="G15" s="1613">
        <v>367995189</v>
      </c>
    </row>
    <row r="16" spans="1:8" ht="17.25" customHeight="1" x14ac:dyDescent="0.2">
      <c r="A16" s="1611">
        <v>13</v>
      </c>
      <c r="B16" s="1611" t="s">
        <v>2037</v>
      </c>
      <c r="C16" s="1611" t="s">
        <v>3594</v>
      </c>
      <c r="D16" s="1612" t="s">
        <v>7555</v>
      </c>
      <c r="E16" s="1706" t="s">
        <v>7592</v>
      </c>
      <c r="F16" s="1613">
        <v>-41818189</v>
      </c>
      <c r="G16" s="1613">
        <v>326177000</v>
      </c>
    </row>
    <row r="17" spans="1:7" ht="17.25" customHeight="1" x14ac:dyDescent="0.2">
      <c r="A17" s="1611">
        <v>13</v>
      </c>
      <c r="B17" s="1611" t="s">
        <v>2037</v>
      </c>
      <c r="C17" s="1611" t="s">
        <v>3594</v>
      </c>
      <c r="D17" s="1612" t="s">
        <v>7555</v>
      </c>
      <c r="E17" s="1706" t="s">
        <v>7592</v>
      </c>
      <c r="F17" s="1613">
        <v>41818182</v>
      </c>
      <c r="G17" s="1613">
        <v>367995182</v>
      </c>
    </row>
    <row r="18" spans="1:7" ht="17.25" customHeight="1" x14ac:dyDescent="0.2">
      <c r="A18" s="1611">
        <v>13</v>
      </c>
      <c r="B18" s="1611" t="s">
        <v>2037</v>
      </c>
      <c r="C18" s="1611" t="s">
        <v>3598</v>
      </c>
      <c r="D18" s="1612" t="s">
        <v>7555</v>
      </c>
      <c r="E18" s="1706" t="s">
        <v>7592</v>
      </c>
      <c r="F18" s="1613">
        <v>37500000</v>
      </c>
      <c r="G18" s="1613">
        <v>405495182</v>
      </c>
    </row>
    <row r="19" spans="1:7" ht="17.25" customHeight="1" x14ac:dyDescent="0.2">
      <c r="A19" s="1611">
        <v>13</v>
      </c>
      <c r="B19" s="1611" t="s">
        <v>2027</v>
      </c>
      <c r="C19" s="1611" t="s">
        <v>3599</v>
      </c>
      <c r="D19" s="1612" t="s">
        <v>2024</v>
      </c>
      <c r="E19" s="1706" t="s">
        <v>7592</v>
      </c>
      <c r="F19" s="1613">
        <v>16220000</v>
      </c>
      <c r="G19" s="1613">
        <v>421715182</v>
      </c>
    </row>
    <row r="20" spans="1:7" ht="17.25" customHeight="1" x14ac:dyDescent="0.2">
      <c r="A20" s="1611">
        <v>13</v>
      </c>
      <c r="B20" s="1611" t="s">
        <v>2037</v>
      </c>
      <c r="C20" s="1611" t="s">
        <v>3600</v>
      </c>
      <c r="D20" s="1612" t="s">
        <v>7555</v>
      </c>
      <c r="E20" s="1706" t="s">
        <v>7592</v>
      </c>
      <c r="F20" s="1613">
        <v>38383000</v>
      </c>
      <c r="G20" s="1613">
        <v>460098182</v>
      </c>
    </row>
    <row r="21" spans="1:7" ht="17.25" customHeight="1" x14ac:dyDescent="0.2">
      <c r="A21" s="1611">
        <v>13</v>
      </c>
      <c r="B21" s="1611" t="s">
        <v>3601</v>
      </c>
      <c r="C21" s="1611" t="s">
        <v>3602</v>
      </c>
      <c r="D21" s="1612">
        <v>0</v>
      </c>
      <c r="E21" s="1706" t="s">
        <v>7592</v>
      </c>
      <c r="F21" s="1613">
        <v>136000000</v>
      </c>
      <c r="G21" s="1613">
        <v>596098182</v>
      </c>
    </row>
    <row r="22" spans="1:7" ht="17.25" customHeight="1" x14ac:dyDescent="0.2">
      <c r="A22" s="1611">
        <v>13</v>
      </c>
      <c r="B22" s="1611" t="s">
        <v>2037</v>
      </c>
      <c r="C22" s="1611" t="s">
        <v>3603</v>
      </c>
      <c r="D22" s="1612" t="s">
        <v>7555</v>
      </c>
      <c r="E22" s="1706" t="s">
        <v>7592</v>
      </c>
      <c r="F22" s="1613">
        <v>38181818</v>
      </c>
      <c r="G22" s="1613">
        <v>634280000</v>
      </c>
    </row>
    <row r="23" spans="1:7" ht="17.25" customHeight="1" x14ac:dyDescent="0.2">
      <c r="A23" s="1611">
        <v>13</v>
      </c>
      <c r="B23" s="1611" t="s">
        <v>2043</v>
      </c>
      <c r="C23" s="1611" t="s">
        <v>3604</v>
      </c>
      <c r="D23" s="1612" t="s">
        <v>7555</v>
      </c>
      <c r="E23" s="1706" t="s">
        <v>7592</v>
      </c>
      <c r="F23" s="1613">
        <v>51000000</v>
      </c>
      <c r="G23" s="1613">
        <v>685280000</v>
      </c>
    </row>
    <row r="24" spans="1:7" ht="17.25" customHeight="1" x14ac:dyDescent="0.2">
      <c r="A24" s="1611">
        <v>13</v>
      </c>
      <c r="B24" s="1611" t="s">
        <v>2039</v>
      </c>
      <c r="C24" s="1611" t="s">
        <v>3605</v>
      </c>
      <c r="D24" s="1612" t="s">
        <v>7555</v>
      </c>
      <c r="E24" s="1706" t="s">
        <v>7592</v>
      </c>
      <c r="F24" s="1613">
        <v>39690000</v>
      </c>
      <c r="G24" s="1613">
        <v>724970000</v>
      </c>
    </row>
    <row r="25" spans="1:7" ht="17.25" customHeight="1" x14ac:dyDescent="0.2">
      <c r="A25" s="1611">
        <v>13</v>
      </c>
      <c r="B25" s="1611" t="s">
        <v>3606</v>
      </c>
      <c r="C25" s="1611" t="s">
        <v>3597</v>
      </c>
      <c r="D25" s="1612">
        <v>0</v>
      </c>
      <c r="E25" s="1706" t="s">
        <v>7592</v>
      </c>
      <c r="F25" s="1613">
        <v>19946000</v>
      </c>
      <c r="G25" s="1613">
        <v>744916000</v>
      </c>
    </row>
    <row r="26" spans="1:7" ht="17.25" customHeight="1" x14ac:dyDescent="0.2">
      <c r="A26" s="1611">
        <v>13</v>
      </c>
      <c r="B26" s="1611" t="s">
        <v>3937</v>
      </c>
      <c r="C26" s="1611" t="s">
        <v>3607</v>
      </c>
      <c r="D26" s="1612">
        <v>0</v>
      </c>
      <c r="E26" s="1706" t="s">
        <v>7592</v>
      </c>
      <c r="F26" s="1613">
        <v>38181818</v>
      </c>
      <c r="G26" s="1613">
        <v>783097818</v>
      </c>
    </row>
    <row r="27" spans="1:7" ht="17.25" customHeight="1" x14ac:dyDescent="0.2">
      <c r="A27" s="1611">
        <v>13</v>
      </c>
      <c r="B27" s="1611" t="s">
        <v>3937</v>
      </c>
      <c r="C27" s="1611" t="s">
        <v>3608</v>
      </c>
      <c r="D27" s="1612">
        <v>0</v>
      </c>
      <c r="E27" s="1706" t="s">
        <v>7592</v>
      </c>
      <c r="F27" s="1613">
        <v>36500000</v>
      </c>
      <c r="G27" s="1613">
        <v>819597818</v>
      </c>
    </row>
    <row r="28" spans="1:7" ht="17.25" customHeight="1" x14ac:dyDescent="0.2">
      <c r="A28" s="1611">
        <v>13</v>
      </c>
      <c r="B28" s="1611" t="s">
        <v>3554</v>
      </c>
      <c r="C28" s="1611" t="s">
        <v>3609</v>
      </c>
      <c r="D28" s="1612" t="s">
        <v>7555</v>
      </c>
      <c r="E28" s="1706" t="s">
        <v>7592</v>
      </c>
      <c r="F28" s="1613">
        <v>54000000</v>
      </c>
      <c r="G28" s="1613">
        <v>463798909</v>
      </c>
    </row>
    <row r="29" spans="1:7" ht="17.25" customHeight="1" x14ac:dyDescent="0.2">
      <c r="A29" s="1611">
        <v>13</v>
      </c>
      <c r="B29" s="1611" t="s">
        <v>3554</v>
      </c>
      <c r="C29" s="1611" t="s">
        <v>3609</v>
      </c>
      <c r="D29" s="1612" t="s">
        <v>7555</v>
      </c>
      <c r="E29" s="1706" t="s">
        <v>7592</v>
      </c>
      <c r="F29" s="1613">
        <v>54000000</v>
      </c>
      <c r="G29" s="1613">
        <v>463798909</v>
      </c>
    </row>
    <row r="30" spans="1:7" ht="17.25" customHeight="1" x14ac:dyDescent="0.2">
      <c r="A30" s="1611">
        <v>13</v>
      </c>
      <c r="B30" s="1611" t="s">
        <v>3610</v>
      </c>
      <c r="C30" s="1611" t="s">
        <v>3597</v>
      </c>
      <c r="D30" s="1612">
        <v>0</v>
      </c>
      <c r="E30" s="1706" t="s">
        <v>7592</v>
      </c>
      <c r="F30" s="1613">
        <v>4903000</v>
      </c>
      <c r="G30" s="1613">
        <v>932500818</v>
      </c>
    </row>
    <row r="31" spans="1:7" ht="17.25" customHeight="1" x14ac:dyDescent="0.2">
      <c r="A31" s="1611">
        <v>13</v>
      </c>
      <c r="B31" s="1611" t="s">
        <v>7152</v>
      </c>
      <c r="C31" s="1611" t="s">
        <v>3611</v>
      </c>
      <c r="D31" s="1612">
        <v>0</v>
      </c>
      <c r="E31" s="1706" t="s">
        <v>7592</v>
      </c>
      <c r="F31" s="1613">
        <v>44363636</v>
      </c>
      <c r="G31" s="1613">
        <v>976864454</v>
      </c>
    </row>
    <row r="32" spans="1:7" ht="17.25" customHeight="1" x14ac:dyDescent="0.2">
      <c r="A32" s="1611">
        <v>13</v>
      </c>
      <c r="B32" s="1611" t="s">
        <v>3937</v>
      </c>
      <c r="C32" s="1611" t="s">
        <v>3612</v>
      </c>
      <c r="D32" s="1612">
        <v>0</v>
      </c>
      <c r="E32" s="1706" t="s">
        <v>7592</v>
      </c>
      <c r="F32" s="1613">
        <v>42000000</v>
      </c>
      <c r="G32" s="1613">
        <v>1018864454</v>
      </c>
    </row>
    <row r="33" spans="1:7" ht="17.25" customHeight="1" x14ac:dyDescent="0.2">
      <c r="A33" s="1611">
        <v>13</v>
      </c>
      <c r="B33" s="1611" t="s">
        <v>3937</v>
      </c>
      <c r="C33" s="1611" t="s">
        <v>3613</v>
      </c>
      <c r="D33" s="1612">
        <v>0</v>
      </c>
      <c r="E33" s="1706" t="s">
        <v>7592</v>
      </c>
      <c r="F33" s="1613">
        <v>60900000</v>
      </c>
      <c r="G33" s="1613">
        <v>1079764454</v>
      </c>
    </row>
    <row r="34" spans="1:7" ht="17.25" customHeight="1" x14ac:dyDescent="0.2">
      <c r="A34" s="1611">
        <v>13</v>
      </c>
      <c r="B34" s="1611" t="s">
        <v>7153</v>
      </c>
      <c r="C34" s="1611" t="s">
        <v>214</v>
      </c>
      <c r="D34" s="1612">
        <v>0</v>
      </c>
      <c r="E34" s="1706" t="s">
        <v>7592</v>
      </c>
      <c r="F34" s="1613">
        <v>54495816</v>
      </c>
      <c r="G34" s="1613">
        <v>1134260270</v>
      </c>
    </row>
    <row r="35" spans="1:7" ht="17.25" customHeight="1" x14ac:dyDescent="0.2">
      <c r="A35" s="1611">
        <v>13</v>
      </c>
      <c r="B35" s="1611" t="s">
        <v>7154</v>
      </c>
      <c r="C35" s="1611" t="s">
        <v>214</v>
      </c>
      <c r="D35" s="1612">
        <v>0</v>
      </c>
      <c r="E35" s="1706" t="s">
        <v>7592</v>
      </c>
      <c r="F35" s="1613">
        <v>40340907</v>
      </c>
      <c r="G35" s="1613">
        <v>1174601177</v>
      </c>
    </row>
    <row r="36" spans="1:7" ht="17.25" customHeight="1" x14ac:dyDescent="0.2">
      <c r="A36" s="1611">
        <v>13</v>
      </c>
      <c r="B36" s="1611" t="s">
        <v>2037</v>
      </c>
      <c r="C36" s="1611" t="s">
        <v>3614</v>
      </c>
      <c r="D36" s="1612" t="s">
        <v>7555</v>
      </c>
      <c r="E36" s="1706" t="s">
        <v>7592</v>
      </c>
      <c r="F36" s="1613">
        <v>37800000</v>
      </c>
      <c r="G36" s="1613">
        <v>1212401177</v>
      </c>
    </row>
    <row r="37" spans="1:7" ht="17.25" customHeight="1" x14ac:dyDescent="0.2">
      <c r="A37" s="1611">
        <v>13</v>
      </c>
      <c r="B37" s="1611" t="s">
        <v>2037</v>
      </c>
      <c r="C37" s="1611" t="s">
        <v>3615</v>
      </c>
      <c r="D37" s="1612" t="s">
        <v>7555</v>
      </c>
      <c r="E37" s="1706" t="s">
        <v>7592</v>
      </c>
      <c r="F37" s="1613">
        <v>38181818</v>
      </c>
      <c r="G37" s="1613">
        <v>1250582995</v>
      </c>
    </row>
    <row r="38" spans="1:7" ht="17.25" customHeight="1" x14ac:dyDescent="0.2">
      <c r="A38" s="1611">
        <v>13</v>
      </c>
      <c r="B38" s="1611" t="s">
        <v>2037</v>
      </c>
      <c r="C38" s="1611" t="s">
        <v>3616</v>
      </c>
      <c r="D38" s="1612" t="s">
        <v>7555</v>
      </c>
      <c r="E38" s="1706" t="s">
        <v>7592</v>
      </c>
      <c r="F38" s="1613">
        <v>38333000</v>
      </c>
      <c r="G38" s="1613">
        <v>1288915995</v>
      </c>
    </row>
    <row r="39" spans="1:7" ht="17.25" customHeight="1" x14ac:dyDescent="0.2">
      <c r="A39" s="1611">
        <v>13</v>
      </c>
      <c r="B39" s="1611" t="s">
        <v>2037</v>
      </c>
      <c r="C39" s="1611" t="s">
        <v>3617</v>
      </c>
      <c r="D39" s="1612" t="s">
        <v>7555</v>
      </c>
      <c r="E39" s="1706" t="s">
        <v>7592</v>
      </c>
      <c r="F39" s="1613">
        <v>45006000</v>
      </c>
      <c r="G39" s="1613">
        <v>1333921995</v>
      </c>
    </row>
    <row r="40" spans="1:7" ht="17.25" customHeight="1" x14ac:dyDescent="0.2">
      <c r="A40" s="1611">
        <v>13</v>
      </c>
      <c r="B40" s="1611" t="s">
        <v>2037</v>
      </c>
      <c r="C40" s="1611" t="s">
        <v>3617</v>
      </c>
      <c r="D40" s="1612" t="s">
        <v>7555</v>
      </c>
      <c r="E40" s="1706" t="s">
        <v>7592</v>
      </c>
      <c r="F40" s="1613">
        <v>45006000</v>
      </c>
      <c r="G40" s="1613">
        <v>1378927995</v>
      </c>
    </row>
    <row r="41" spans="1:7" ht="17.25" customHeight="1" x14ac:dyDescent="0.2">
      <c r="A41" s="1611">
        <v>13</v>
      </c>
      <c r="B41" s="1611" t="s">
        <v>2037</v>
      </c>
      <c r="C41" s="1611" t="s">
        <v>3618</v>
      </c>
      <c r="D41" s="1612" t="s">
        <v>7555</v>
      </c>
      <c r="E41" s="1706" t="s">
        <v>7592</v>
      </c>
      <c r="F41" s="1613">
        <v>45006000</v>
      </c>
      <c r="G41" s="1613">
        <v>1423933995</v>
      </c>
    </row>
    <row r="42" spans="1:7" ht="17.25" customHeight="1" x14ac:dyDescent="0.2">
      <c r="A42" s="1611">
        <v>13</v>
      </c>
      <c r="B42" s="1611" t="s">
        <v>2037</v>
      </c>
      <c r="C42" s="1611" t="s">
        <v>3619</v>
      </c>
      <c r="D42" s="1612" t="s">
        <v>7555</v>
      </c>
      <c r="E42" s="1706" t="s">
        <v>7592</v>
      </c>
      <c r="F42" s="1613">
        <v>45006000</v>
      </c>
      <c r="G42" s="1613">
        <v>1468939995</v>
      </c>
    </row>
    <row r="43" spans="1:7" ht="17.25" customHeight="1" x14ac:dyDescent="0.2">
      <c r="A43" s="1611">
        <v>13</v>
      </c>
      <c r="B43" s="1611" t="s">
        <v>2037</v>
      </c>
      <c r="C43" s="1611" t="s">
        <v>3620</v>
      </c>
      <c r="D43" s="1612" t="s">
        <v>7555</v>
      </c>
      <c r="E43" s="1706" t="s">
        <v>7592</v>
      </c>
      <c r="F43" s="1613">
        <v>38000000</v>
      </c>
      <c r="G43" s="1613">
        <v>1506939995</v>
      </c>
    </row>
    <row r="44" spans="1:7" ht="17.25" customHeight="1" x14ac:dyDescent="0.2">
      <c r="A44" s="1611">
        <v>13</v>
      </c>
      <c r="B44" s="1611" t="s">
        <v>2037</v>
      </c>
      <c r="C44" s="1611" t="s">
        <v>3621</v>
      </c>
      <c r="D44" s="1612" t="s">
        <v>7555</v>
      </c>
      <c r="E44" s="1706" t="s">
        <v>7592</v>
      </c>
      <c r="F44" s="1613">
        <v>38181818</v>
      </c>
      <c r="G44" s="1613">
        <v>1545121813</v>
      </c>
    </row>
    <row r="45" spans="1:7" ht="17.25" customHeight="1" x14ac:dyDescent="0.2">
      <c r="A45" s="1611">
        <v>13</v>
      </c>
      <c r="B45" s="1611" t="s">
        <v>2041</v>
      </c>
      <c r="C45" s="1611" t="s">
        <v>3622</v>
      </c>
      <c r="D45" s="1612" t="s">
        <v>7555</v>
      </c>
      <c r="E45" s="1706" t="s">
        <v>7592</v>
      </c>
      <c r="F45" s="1613">
        <v>48247000</v>
      </c>
      <c r="G45" s="1613">
        <v>1593368813</v>
      </c>
    </row>
    <row r="46" spans="1:7" ht="17.25" customHeight="1" x14ac:dyDescent="0.2">
      <c r="A46" s="1611">
        <v>13</v>
      </c>
      <c r="B46" s="1611" t="s">
        <v>3937</v>
      </c>
      <c r="C46" s="1611" t="s">
        <v>3623</v>
      </c>
      <c r="D46" s="1612">
        <v>0</v>
      </c>
      <c r="E46" s="1706" t="s">
        <v>7592</v>
      </c>
      <c r="F46" s="1613">
        <v>62500000</v>
      </c>
      <c r="G46" s="1613">
        <v>1655868813</v>
      </c>
    </row>
    <row r="47" spans="1:7" ht="17.25" customHeight="1" x14ac:dyDescent="0.2">
      <c r="A47" s="1611">
        <v>13</v>
      </c>
      <c r="B47" s="1611" t="s">
        <v>3624</v>
      </c>
      <c r="C47" s="1611" t="s">
        <v>3597</v>
      </c>
      <c r="D47" s="1612">
        <v>0</v>
      </c>
      <c r="E47" s="1706" t="s">
        <v>7592</v>
      </c>
      <c r="F47" s="1613">
        <v>4104000</v>
      </c>
      <c r="G47" s="1613">
        <v>1659972813</v>
      </c>
    </row>
    <row r="48" spans="1:7" ht="17.25" customHeight="1" x14ac:dyDescent="0.2">
      <c r="A48" s="1611">
        <v>13</v>
      </c>
      <c r="B48" s="1611" t="s">
        <v>2039</v>
      </c>
      <c r="C48" s="1611" t="s">
        <v>3625</v>
      </c>
      <c r="D48" s="1612" t="s">
        <v>7555</v>
      </c>
      <c r="E48" s="1706" t="s">
        <v>7592</v>
      </c>
      <c r="F48" s="1613">
        <v>46270000</v>
      </c>
      <c r="G48" s="1613">
        <v>1706242813</v>
      </c>
    </row>
    <row r="49" spans="1:7" ht="17.25" customHeight="1" x14ac:dyDescent="0.2">
      <c r="A49" s="1611">
        <v>13</v>
      </c>
      <c r="B49" s="1611" t="s">
        <v>2043</v>
      </c>
      <c r="C49" s="1611" t="s">
        <v>3626</v>
      </c>
      <c r="D49" s="1612" t="s">
        <v>7555</v>
      </c>
      <c r="E49" s="1706" t="s">
        <v>7592</v>
      </c>
      <c r="F49" s="1613">
        <v>54300000</v>
      </c>
      <c r="G49" s="1613">
        <v>1760542813</v>
      </c>
    </row>
    <row r="50" spans="1:7" ht="17.25" customHeight="1" x14ac:dyDescent="0.2">
      <c r="A50" s="1611">
        <v>13</v>
      </c>
      <c r="B50" s="1611" t="s">
        <v>3627</v>
      </c>
      <c r="C50" s="1611" t="s">
        <v>3628</v>
      </c>
      <c r="D50" s="1612">
        <v>0</v>
      </c>
      <c r="E50" s="1706" t="s">
        <v>7592</v>
      </c>
      <c r="F50" s="1613">
        <v>132950000</v>
      </c>
      <c r="G50" s="1613">
        <v>1893492813</v>
      </c>
    </row>
    <row r="51" spans="1:7" ht="17.25" customHeight="1" x14ac:dyDescent="0.2">
      <c r="A51" s="1611">
        <v>13</v>
      </c>
      <c r="B51" s="1611" t="s">
        <v>3627</v>
      </c>
      <c r="C51" s="1611" t="s">
        <v>3629</v>
      </c>
      <c r="D51" s="1612">
        <v>0</v>
      </c>
      <c r="E51" s="1706" t="s">
        <v>7592</v>
      </c>
      <c r="F51" s="1613">
        <v>132950000</v>
      </c>
      <c r="G51" s="1613">
        <v>2026442813</v>
      </c>
    </row>
    <row r="52" spans="1:7" ht="17.25" customHeight="1" x14ac:dyDescent="0.2">
      <c r="A52" s="1611">
        <v>13</v>
      </c>
      <c r="B52" s="1611" t="s">
        <v>2043</v>
      </c>
      <c r="C52" s="1611" t="s">
        <v>3630</v>
      </c>
      <c r="D52" s="1612" t="s">
        <v>7555</v>
      </c>
      <c r="E52" s="1706" t="s">
        <v>7592</v>
      </c>
      <c r="F52" s="1613">
        <v>54300000</v>
      </c>
      <c r="G52" s="1613">
        <v>2080742813</v>
      </c>
    </row>
    <row r="53" spans="1:7" ht="17.25" customHeight="1" x14ac:dyDescent="0.2">
      <c r="A53" s="1611">
        <v>13</v>
      </c>
      <c r="B53" s="1611" t="s">
        <v>2041</v>
      </c>
      <c r="C53" s="1611" t="s">
        <v>3631</v>
      </c>
      <c r="D53" s="1612" t="s">
        <v>7555</v>
      </c>
      <c r="E53" s="1706" t="s">
        <v>7592</v>
      </c>
      <c r="F53" s="1613">
        <v>48300000</v>
      </c>
      <c r="G53" s="1613">
        <v>2129042813</v>
      </c>
    </row>
    <row r="54" spans="1:7" ht="17.25" customHeight="1" x14ac:dyDescent="0.2">
      <c r="A54" s="1611">
        <v>13</v>
      </c>
      <c r="B54" s="1611" t="s">
        <v>2041</v>
      </c>
      <c r="C54" s="1611" t="s">
        <v>3632</v>
      </c>
      <c r="D54" s="1612" t="s">
        <v>7555</v>
      </c>
      <c r="E54" s="1706" t="s">
        <v>7592</v>
      </c>
      <c r="F54" s="1613">
        <v>49000000</v>
      </c>
      <c r="G54" s="1613">
        <v>2178042813</v>
      </c>
    </row>
    <row r="55" spans="1:7" ht="17.25" customHeight="1" x14ac:dyDescent="0.2">
      <c r="A55" s="1611">
        <v>13</v>
      </c>
      <c r="B55" s="1611" t="s">
        <v>2032</v>
      </c>
      <c r="C55" s="1611" t="s">
        <v>3633</v>
      </c>
      <c r="D55" s="1612" t="s">
        <v>7555</v>
      </c>
      <c r="E55" s="1706" t="s">
        <v>7592</v>
      </c>
      <c r="F55" s="1613">
        <v>39090909</v>
      </c>
      <c r="G55" s="1613">
        <v>2217133722</v>
      </c>
    </row>
    <row r="56" spans="1:7" ht="17.25" customHeight="1" x14ac:dyDescent="0.2">
      <c r="A56" s="1611">
        <v>13</v>
      </c>
      <c r="B56" s="1611" t="s">
        <v>2028</v>
      </c>
      <c r="C56" s="1611" t="s">
        <v>3634</v>
      </c>
      <c r="D56" s="1612" t="s">
        <v>2024</v>
      </c>
      <c r="E56" s="1706" t="s">
        <v>7592</v>
      </c>
      <c r="F56" s="1613">
        <v>14727273</v>
      </c>
      <c r="G56" s="1613">
        <v>2231860995</v>
      </c>
    </row>
    <row r="57" spans="1:7" ht="17.25" customHeight="1" x14ac:dyDescent="0.2">
      <c r="A57" s="1611">
        <v>13</v>
      </c>
      <c r="B57" s="1611" t="s">
        <v>2027</v>
      </c>
      <c r="C57" s="1611" t="s">
        <v>3635</v>
      </c>
      <c r="D57" s="1612" t="s">
        <v>2024</v>
      </c>
      <c r="E57" s="1706" t="s">
        <v>7592</v>
      </c>
      <c r="F57" s="1613">
        <v>14517000</v>
      </c>
      <c r="G57" s="1613">
        <v>2246377995</v>
      </c>
    </row>
    <row r="58" spans="1:7" ht="17.25" customHeight="1" x14ac:dyDescent="0.2">
      <c r="A58" s="1611">
        <v>13</v>
      </c>
      <c r="B58" s="1611" t="s">
        <v>2037</v>
      </c>
      <c r="C58" s="1611" t="s">
        <v>3636</v>
      </c>
      <c r="D58" s="1612" t="s">
        <v>7555</v>
      </c>
      <c r="E58" s="1706" t="s">
        <v>7592</v>
      </c>
      <c r="F58" s="1613">
        <v>39090909</v>
      </c>
      <c r="G58" s="1613">
        <v>2285468904</v>
      </c>
    </row>
    <row r="59" spans="1:7" ht="17.25" customHeight="1" x14ac:dyDescent="0.2">
      <c r="A59" s="1611">
        <v>13</v>
      </c>
      <c r="B59" s="1611" t="s">
        <v>2037</v>
      </c>
      <c r="C59" s="1611" t="s">
        <v>3637</v>
      </c>
      <c r="D59" s="1612" t="s">
        <v>7555</v>
      </c>
      <c r="E59" s="1706" t="s">
        <v>7592</v>
      </c>
      <c r="F59" s="1613">
        <v>38000000</v>
      </c>
      <c r="G59" s="1613">
        <v>2323468904</v>
      </c>
    </row>
    <row r="60" spans="1:7" ht="17.25" customHeight="1" x14ac:dyDescent="0.2">
      <c r="A60" s="1611">
        <v>13</v>
      </c>
      <c r="B60" s="1611" t="s">
        <v>2037</v>
      </c>
      <c r="C60" s="1611" t="s">
        <v>3638</v>
      </c>
      <c r="D60" s="1612" t="s">
        <v>7555</v>
      </c>
      <c r="E60" s="1706" t="s">
        <v>7592</v>
      </c>
      <c r="F60" s="1613">
        <v>36818181</v>
      </c>
      <c r="G60" s="1613">
        <v>2360287085</v>
      </c>
    </row>
    <row r="61" spans="1:7" ht="17.25" customHeight="1" x14ac:dyDescent="0.2">
      <c r="A61" s="1611">
        <v>13</v>
      </c>
      <c r="B61" s="1611" t="s">
        <v>2037</v>
      </c>
      <c r="C61" s="1611" t="s">
        <v>3639</v>
      </c>
      <c r="D61" s="1612" t="s">
        <v>7555</v>
      </c>
      <c r="E61" s="1706" t="s">
        <v>7592</v>
      </c>
      <c r="F61" s="1613">
        <v>34772727</v>
      </c>
      <c r="G61" s="1613">
        <v>2395059812</v>
      </c>
    </row>
    <row r="62" spans="1:7" ht="17.25" customHeight="1" x14ac:dyDescent="0.2">
      <c r="A62" s="1611">
        <v>13</v>
      </c>
      <c r="B62" s="1611" t="s">
        <v>2037</v>
      </c>
      <c r="C62" s="1611" t="s">
        <v>3640</v>
      </c>
      <c r="D62" s="1612" t="s">
        <v>7555</v>
      </c>
      <c r="E62" s="1706" t="s">
        <v>7592</v>
      </c>
      <c r="F62" s="1613">
        <v>37383000</v>
      </c>
      <c r="G62" s="1613">
        <v>2432442812</v>
      </c>
    </row>
    <row r="63" spans="1:7" ht="17.25" customHeight="1" x14ac:dyDescent="0.2">
      <c r="A63" s="1611">
        <v>13</v>
      </c>
      <c r="B63" s="1611" t="s">
        <v>2039</v>
      </c>
      <c r="C63" s="1611" t="s">
        <v>3640</v>
      </c>
      <c r="D63" s="1612" t="s">
        <v>7555</v>
      </c>
      <c r="E63" s="1706" t="s">
        <v>7592</v>
      </c>
      <c r="F63" s="1613">
        <v>41497000</v>
      </c>
      <c r="G63" s="1613">
        <v>2473939812</v>
      </c>
    </row>
    <row r="64" spans="1:7" ht="17.25" customHeight="1" x14ac:dyDescent="0.2">
      <c r="A64" s="1611">
        <v>13</v>
      </c>
      <c r="B64" s="1611" t="s">
        <v>7380</v>
      </c>
      <c r="C64" s="1611" t="s">
        <v>214</v>
      </c>
      <c r="D64" s="1612" t="s">
        <v>2024</v>
      </c>
      <c r="E64" s="1706" t="s">
        <v>7592</v>
      </c>
      <c r="F64" s="1613">
        <v>11603520</v>
      </c>
      <c r="G64" s="1614"/>
    </row>
    <row r="65" spans="1:7" ht="17.25" customHeight="1" x14ac:dyDescent="0.2">
      <c r="A65" s="1611">
        <v>13</v>
      </c>
      <c r="B65" s="1611" t="s">
        <v>7380</v>
      </c>
      <c r="C65" s="1611" t="s">
        <v>214</v>
      </c>
      <c r="D65" s="1612" t="s">
        <v>2024</v>
      </c>
      <c r="E65" s="1706" t="s">
        <v>7592</v>
      </c>
      <c r="F65" s="1613">
        <v>11603520</v>
      </c>
      <c r="G65" s="1614"/>
    </row>
    <row r="66" spans="1:7" ht="17.25" customHeight="1" x14ac:dyDescent="0.2">
      <c r="A66" s="1611">
        <v>13</v>
      </c>
      <c r="B66" s="1611" t="s">
        <v>7155</v>
      </c>
      <c r="C66" s="1611" t="s">
        <v>214</v>
      </c>
      <c r="D66" s="1612">
        <v>0</v>
      </c>
      <c r="E66" s="1706" t="s">
        <v>7592</v>
      </c>
      <c r="F66" s="1613">
        <v>36995264</v>
      </c>
      <c r="G66" s="1613">
        <v>2534142116</v>
      </c>
    </row>
    <row r="67" spans="1:7" ht="17.25" customHeight="1" x14ac:dyDescent="0.2">
      <c r="A67" s="1611">
        <v>13</v>
      </c>
      <c r="B67" s="1611" t="s">
        <v>2028</v>
      </c>
      <c r="C67" s="1611" t="s">
        <v>3641</v>
      </c>
      <c r="D67" s="1612" t="s">
        <v>2024</v>
      </c>
      <c r="E67" s="1706" t="s">
        <v>7592</v>
      </c>
      <c r="F67" s="1613">
        <v>15700000</v>
      </c>
      <c r="G67" s="1613">
        <v>2549842116</v>
      </c>
    </row>
    <row r="68" spans="1:7" ht="17.25" customHeight="1" x14ac:dyDescent="0.2">
      <c r="A68" s="1611">
        <v>13</v>
      </c>
      <c r="B68" s="1611" t="s">
        <v>2037</v>
      </c>
      <c r="C68" s="1611" t="s">
        <v>3642</v>
      </c>
      <c r="D68" s="1612" t="s">
        <v>7555</v>
      </c>
      <c r="E68" s="1706" t="s">
        <v>7592</v>
      </c>
      <c r="F68" s="1613">
        <v>38454545</v>
      </c>
      <c r="G68" s="1613">
        <v>2588296661</v>
      </c>
    </row>
    <row r="69" spans="1:7" ht="17.25" customHeight="1" x14ac:dyDescent="0.2">
      <c r="A69" s="1611">
        <v>13</v>
      </c>
      <c r="B69" s="1611" t="s">
        <v>2039</v>
      </c>
      <c r="C69" s="1611" t="s">
        <v>3643</v>
      </c>
      <c r="D69" s="1612" t="s">
        <v>7555</v>
      </c>
      <c r="E69" s="1706" t="s">
        <v>7592</v>
      </c>
      <c r="F69" s="1613">
        <v>41272727</v>
      </c>
      <c r="G69" s="1613">
        <v>2629569388</v>
      </c>
    </row>
    <row r="70" spans="1:7" ht="17.25" customHeight="1" x14ac:dyDescent="0.2">
      <c r="A70" s="1611">
        <v>13</v>
      </c>
      <c r="B70" s="1611" t="s">
        <v>2037</v>
      </c>
      <c r="C70" s="1611" t="s">
        <v>3644</v>
      </c>
      <c r="D70" s="1612" t="s">
        <v>7555</v>
      </c>
      <c r="E70" s="1706" t="s">
        <v>7592</v>
      </c>
      <c r="F70" s="1613">
        <v>42727273</v>
      </c>
      <c r="G70" s="1613">
        <v>2672296661</v>
      </c>
    </row>
    <row r="71" spans="1:7" ht="17.25" customHeight="1" x14ac:dyDescent="0.2">
      <c r="A71" s="1611">
        <v>13</v>
      </c>
      <c r="B71" s="1611" t="s">
        <v>2037</v>
      </c>
      <c r="C71" s="1611" t="s">
        <v>3645</v>
      </c>
      <c r="D71" s="1612" t="s">
        <v>7555</v>
      </c>
      <c r="E71" s="1706" t="s">
        <v>7592</v>
      </c>
      <c r="F71" s="1613">
        <v>37727273</v>
      </c>
      <c r="G71" s="1613">
        <v>2710023934</v>
      </c>
    </row>
    <row r="72" spans="1:7" ht="17.25" customHeight="1" x14ac:dyDescent="0.2">
      <c r="A72" s="1611">
        <v>13</v>
      </c>
      <c r="B72" s="1611" t="s">
        <v>2037</v>
      </c>
      <c r="C72" s="1611" t="s">
        <v>3646</v>
      </c>
      <c r="D72" s="1612" t="s">
        <v>7555</v>
      </c>
      <c r="E72" s="1706" t="s">
        <v>7592</v>
      </c>
      <c r="F72" s="1613">
        <v>37220000</v>
      </c>
      <c r="G72" s="1613">
        <v>2747243934</v>
      </c>
    </row>
    <row r="73" spans="1:7" ht="17.25" customHeight="1" x14ac:dyDescent="0.2">
      <c r="A73" s="1611">
        <v>13</v>
      </c>
      <c r="B73" s="1611" t="s">
        <v>2030</v>
      </c>
      <c r="C73" s="1611" t="s">
        <v>3646</v>
      </c>
      <c r="D73" s="1612" t="s">
        <v>7555</v>
      </c>
      <c r="E73" s="1706" t="s">
        <v>7592</v>
      </c>
      <c r="F73" s="1613">
        <v>35820000</v>
      </c>
      <c r="G73" s="1613">
        <v>2783063934</v>
      </c>
    </row>
    <row r="74" spans="1:7" ht="17.25" customHeight="1" x14ac:dyDescent="0.2">
      <c r="A74" s="1611">
        <v>13</v>
      </c>
      <c r="B74" s="1611" t="s">
        <v>2039</v>
      </c>
      <c r="C74" s="1611" t="s">
        <v>3647</v>
      </c>
      <c r="D74" s="1612" t="s">
        <v>7555</v>
      </c>
      <c r="E74" s="1706" t="s">
        <v>7592</v>
      </c>
      <c r="F74" s="1613">
        <v>44547000</v>
      </c>
      <c r="G74" s="1613">
        <v>2827610934</v>
      </c>
    </row>
    <row r="75" spans="1:7" ht="17.25" customHeight="1" x14ac:dyDescent="0.2">
      <c r="A75" s="1611">
        <v>13</v>
      </c>
      <c r="B75" s="1611" t="s">
        <v>2028</v>
      </c>
      <c r="C75" s="1611" t="s">
        <v>3648</v>
      </c>
      <c r="D75" s="1612" t="s">
        <v>2024</v>
      </c>
      <c r="E75" s="1706" t="s">
        <v>7592</v>
      </c>
      <c r="F75" s="1613">
        <v>13700000</v>
      </c>
      <c r="G75" s="1613">
        <v>2841310934</v>
      </c>
    </row>
    <row r="76" spans="1:7" ht="17.25" customHeight="1" x14ac:dyDescent="0.2">
      <c r="A76" s="1611">
        <v>13</v>
      </c>
      <c r="B76" s="1611" t="s">
        <v>2037</v>
      </c>
      <c r="C76" s="1611" t="s">
        <v>3649</v>
      </c>
      <c r="D76" s="1612" t="s">
        <v>7555</v>
      </c>
      <c r="E76" s="1706" t="s">
        <v>7592</v>
      </c>
      <c r="F76" s="1613">
        <v>36483000</v>
      </c>
      <c r="G76" s="1613">
        <v>2877793934</v>
      </c>
    </row>
    <row r="77" spans="1:7" ht="17.25" customHeight="1" x14ac:dyDescent="0.2">
      <c r="A77" s="1611">
        <v>13</v>
      </c>
      <c r="B77" s="1611" t="s">
        <v>3650</v>
      </c>
      <c r="C77" s="1611" t="s">
        <v>3597</v>
      </c>
      <c r="D77" s="1612">
        <v>0</v>
      </c>
      <c r="E77" s="1706" t="s">
        <v>7592</v>
      </c>
      <c r="F77" s="1613">
        <v>19000000</v>
      </c>
      <c r="G77" s="1613">
        <v>2896793934</v>
      </c>
    </row>
    <row r="78" spans="1:7" ht="17.25" customHeight="1" x14ac:dyDescent="0.2">
      <c r="A78" s="1611">
        <v>13</v>
      </c>
      <c r="B78" s="1611" t="s">
        <v>3650</v>
      </c>
      <c r="C78" s="1611" t="s">
        <v>3597</v>
      </c>
      <c r="D78" s="1612">
        <v>0</v>
      </c>
      <c r="E78" s="1706" t="s">
        <v>7592</v>
      </c>
      <c r="F78" s="1613">
        <v>19000000</v>
      </c>
      <c r="G78" s="1613">
        <v>2915793934</v>
      </c>
    </row>
    <row r="79" spans="1:7" ht="17.25" customHeight="1" x14ac:dyDescent="0.2">
      <c r="A79" s="1611">
        <v>13</v>
      </c>
      <c r="B79" s="1611" t="s">
        <v>3651</v>
      </c>
      <c r="C79" s="1611" t="s">
        <v>3597</v>
      </c>
      <c r="D79" s="1612">
        <v>0</v>
      </c>
      <c r="E79" s="1706" t="s">
        <v>7592</v>
      </c>
      <c r="F79" s="1613">
        <v>37362000</v>
      </c>
      <c r="G79" s="1613">
        <v>2953155934</v>
      </c>
    </row>
    <row r="80" spans="1:7" ht="17.25" customHeight="1" x14ac:dyDescent="0.2">
      <c r="A80" s="1611">
        <v>13</v>
      </c>
      <c r="B80" s="1611" t="s">
        <v>2039</v>
      </c>
      <c r="C80" s="1611" t="s">
        <v>3652</v>
      </c>
      <c r="D80" s="1612" t="s">
        <v>7555</v>
      </c>
      <c r="E80" s="1706" t="s">
        <v>7592</v>
      </c>
      <c r="F80" s="1613">
        <v>38636364</v>
      </c>
      <c r="G80" s="1613">
        <v>2991792298</v>
      </c>
    </row>
    <row r="81" spans="1:7" ht="17.25" customHeight="1" x14ac:dyDescent="0.2">
      <c r="A81" s="1611">
        <v>13</v>
      </c>
      <c r="B81" s="1611" t="s">
        <v>2027</v>
      </c>
      <c r="C81" s="1611" t="s">
        <v>3653</v>
      </c>
      <c r="D81" s="1612" t="s">
        <v>2024</v>
      </c>
      <c r="E81" s="1706" t="s">
        <v>7592</v>
      </c>
      <c r="F81" s="1613">
        <v>15385728</v>
      </c>
      <c r="G81" s="1613">
        <v>3007178026</v>
      </c>
    </row>
    <row r="82" spans="1:7" ht="17.25" customHeight="1" x14ac:dyDescent="0.2">
      <c r="A82" s="1611">
        <v>13</v>
      </c>
      <c r="B82" s="1611" t="s">
        <v>7156</v>
      </c>
      <c r="C82" s="1611" t="s">
        <v>214</v>
      </c>
      <c r="D82" s="1612">
        <v>0</v>
      </c>
      <c r="E82" s="1706" t="s">
        <v>7592</v>
      </c>
      <c r="F82" s="1613">
        <v>11965932</v>
      </c>
      <c r="G82" s="1613">
        <v>3019143958</v>
      </c>
    </row>
    <row r="83" spans="1:7" ht="17.25" customHeight="1" x14ac:dyDescent="0.2">
      <c r="A83" s="1611">
        <v>13</v>
      </c>
      <c r="B83" s="1611" t="s">
        <v>2039</v>
      </c>
      <c r="C83" s="1611" t="s">
        <v>3654</v>
      </c>
      <c r="D83" s="1612" t="s">
        <v>7555</v>
      </c>
      <c r="E83" s="1706" t="s">
        <v>7592</v>
      </c>
      <c r="F83" s="1613">
        <v>43368182</v>
      </c>
      <c r="G83" s="1613">
        <v>3062512140</v>
      </c>
    </row>
    <row r="84" spans="1:7" ht="17.25" customHeight="1" x14ac:dyDescent="0.2">
      <c r="A84" s="1611">
        <v>13</v>
      </c>
      <c r="B84" s="1611" t="s">
        <v>2030</v>
      </c>
      <c r="C84" s="1611" t="s">
        <v>3655</v>
      </c>
      <c r="D84" s="1612" t="s">
        <v>7555</v>
      </c>
      <c r="E84" s="1706" t="s">
        <v>7592</v>
      </c>
      <c r="F84" s="1613">
        <v>34353000</v>
      </c>
      <c r="G84" s="1613">
        <v>3096865140</v>
      </c>
    </row>
    <row r="85" spans="1:7" ht="17.25" customHeight="1" x14ac:dyDescent="0.2">
      <c r="A85" s="1611">
        <v>13</v>
      </c>
      <c r="B85" s="1611" t="s">
        <v>2028</v>
      </c>
      <c r="C85" s="1611" t="s">
        <v>3656</v>
      </c>
      <c r="D85" s="1612" t="s">
        <v>2024</v>
      </c>
      <c r="E85" s="1706" t="s">
        <v>7592</v>
      </c>
      <c r="F85" s="1613">
        <v>13700000</v>
      </c>
      <c r="G85" s="1613">
        <v>3110565140</v>
      </c>
    </row>
    <row r="86" spans="1:7" ht="17.25" customHeight="1" x14ac:dyDescent="0.2">
      <c r="A86" s="1611">
        <v>13</v>
      </c>
      <c r="B86" s="1611" t="s">
        <v>2037</v>
      </c>
      <c r="C86" s="1611" t="s">
        <v>3657</v>
      </c>
      <c r="D86" s="1612" t="s">
        <v>7555</v>
      </c>
      <c r="E86" s="1706" t="s">
        <v>7592</v>
      </c>
      <c r="F86" s="1613">
        <v>36363636</v>
      </c>
      <c r="G86" s="1613">
        <v>3146928776</v>
      </c>
    </row>
    <row r="87" spans="1:7" ht="17.25" customHeight="1" x14ac:dyDescent="0.2">
      <c r="A87" s="1611">
        <v>13</v>
      </c>
      <c r="B87" s="1611" t="s">
        <v>2027</v>
      </c>
      <c r="C87" s="1611" t="s">
        <v>3658</v>
      </c>
      <c r="D87" s="1612" t="s">
        <v>2024</v>
      </c>
      <c r="E87" s="1706" t="s">
        <v>7592</v>
      </c>
      <c r="F87" s="1613">
        <v>13545455</v>
      </c>
      <c r="G87" s="1613">
        <v>3160474231</v>
      </c>
    </row>
    <row r="88" spans="1:7" ht="17.25" customHeight="1" x14ac:dyDescent="0.2">
      <c r="A88" s="1611">
        <v>13</v>
      </c>
      <c r="B88" s="1611" t="s">
        <v>2027</v>
      </c>
      <c r="C88" s="1611" t="s">
        <v>3659</v>
      </c>
      <c r="D88" s="1612" t="s">
        <v>2024</v>
      </c>
      <c r="E88" s="1706" t="s">
        <v>7592</v>
      </c>
      <c r="F88" s="1613">
        <v>12000000</v>
      </c>
      <c r="G88" s="1613">
        <v>3172474231</v>
      </c>
    </row>
    <row r="89" spans="1:7" ht="17.25" customHeight="1" x14ac:dyDescent="0.2">
      <c r="A89" s="1611">
        <v>13</v>
      </c>
      <c r="B89" s="1611" t="s">
        <v>2027</v>
      </c>
      <c r="C89" s="1611" t="s">
        <v>3660</v>
      </c>
      <c r="D89" s="1612" t="s">
        <v>2024</v>
      </c>
      <c r="E89" s="1706" t="s">
        <v>7592</v>
      </c>
      <c r="F89" s="1613">
        <v>13482727</v>
      </c>
      <c r="G89" s="1613">
        <v>3185956958</v>
      </c>
    </row>
    <row r="90" spans="1:7" ht="17.25" customHeight="1" x14ac:dyDescent="0.2">
      <c r="A90" s="1611">
        <v>13</v>
      </c>
      <c r="B90" s="1611" t="s">
        <v>2027</v>
      </c>
      <c r="C90" s="1611" t="s">
        <v>3661</v>
      </c>
      <c r="D90" s="1612" t="s">
        <v>2024</v>
      </c>
      <c r="E90" s="1706" t="s">
        <v>7592</v>
      </c>
      <c r="F90" s="1613">
        <v>13517000</v>
      </c>
      <c r="G90" s="1613">
        <v>3199473958</v>
      </c>
    </row>
    <row r="91" spans="1:7" ht="17.25" customHeight="1" x14ac:dyDescent="0.2">
      <c r="A91" s="1611">
        <v>13</v>
      </c>
      <c r="B91" s="1611" t="s">
        <v>2037</v>
      </c>
      <c r="C91" s="1611" t="s">
        <v>3662</v>
      </c>
      <c r="D91" s="1612" t="s">
        <v>7555</v>
      </c>
      <c r="E91" s="1706" t="s">
        <v>7592</v>
      </c>
      <c r="F91" s="1613">
        <v>38000000</v>
      </c>
      <c r="G91" s="1613">
        <v>3237473958</v>
      </c>
    </row>
    <row r="92" spans="1:7" ht="17.25" customHeight="1" x14ac:dyDescent="0.2">
      <c r="A92" s="1611">
        <v>13</v>
      </c>
      <c r="B92" s="1611" t="s">
        <v>2039</v>
      </c>
      <c r="C92" s="1611" t="s">
        <v>3663</v>
      </c>
      <c r="D92" s="1612" t="s">
        <v>7555</v>
      </c>
      <c r="E92" s="1706" t="s">
        <v>7592</v>
      </c>
      <c r="F92" s="1613">
        <v>43636364</v>
      </c>
      <c r="G92" s="1613">
        <v>3281110322</v>
      </c>
    </row>
    <row r="93" spans="1:7" ht="17.25" customHeight="1" x14ac:dyDescent="0.2">
      <c r="A93" s="1611">
        <v>13</v>
      </c>
      <c r="B93" s="1611" t="s">
        <v>2037</v>
      </c>
      <c r="C93" s="1611" t="s">
        <v>3664</v>
      </c>
      <c r="D93" s="1612" t="s">
        <v>7555</v>
      </c>
      <c r="E93" s="1706" t="s">
        <v>7592</v>
      </c>
      <c r="F93" s="1613">
        <v>37500000</v>
      </c>
      <c r="G93" s="1613">
        <v>3318610322</v>
      </c>
    </row>
    <row r="94" spans="1:7" ht="17.25" customHeight="1" x14ac:dyDescent="0.2">
      <c r="A94" s="1611">
        <v>13</v>
      </c>
      <c r="B94" s="1611" t="s">
        <v>2027</v>
      </c>
      <c r="C94" s="1611" t="s">
        <v>3665</v>
      </c>
      <c r="D94" s="1612" t="s">
        <v>2024</v>
      </c>
      <c r="E94" s="1706" t="s">
        <v>7592</v>
      </c>
      <c r="F94" s="1613">
        <v>14785728</v>
      </c>
      <c r="G94" s="1613">
        <v>3333396050</v>
      </c>
    </row>
    <row r="95" spans="1:7" ht="17.25" customHeight="1" x14ac:dyDescent="0.2">
      <c r="A95" s="1611">
        <v>13</v>
      </c>
      <c r="B95" s="1611" t="s">
        <v>2027</v>
      </c>
      <c r="C95" s="1611" t="s">
        <v>3633</v>
      </c>
      <c r="D95" s="1612" t="s">
        <v>2024</v>
      </c>
      <c r="E95" s="1706" t="s">
        <v>7592</v>
      </c>
      <c r="F95" s="1613">
        <v>14698818</v>
      </c>
      <c r="G95" s="1613">
        <v>3348094868</v>
      </c>
    </row>
    <row r="96" spans="1:7" ht="17.25" customHeight="1" x14ac:dyDescent="0.2">
      <c r="A96" s="1611">
        <v>13</v>
      </c>
      <c r="B96" s="1611" t="s">
        <v>3666</v>
      </c>
      <c r="C96" s="1611" t="s">
        <v>3667</v>
      </c>
      <c r="D96" s="1612">
        <v>0</v>
      </c>
      <c r="E96" s="1706" t="s">
        <v>7592</v>
      </c>
      <c r="F96" s="1613">
        <v>59090909</v>
      </c>
      <c r="G96" s="1613">
        <v>3407185777</v>
      </c>
    </row>
    <row r="97" spans="1:7" ht="17.25" customHeight="1" x14ac:dyDescent="0.2">
      <c r="A97" s="1611">
        <v>13</v>
      </c>
      <c r="B97" s="1611" t="s">
        <v>2028</v>
      </c>
      <c r="C97" s="1611" t="s">
        <v>3668</v>
      </c>
      <c r="D97" s="1612" t="s">
        <v>2024</v>
      </c>
      <c r="E97" s="1706" t="s">
        <v>7592</v>
      </c>
      <c r="F97" s="1613">
        <v>14500000</v>
      </c>
      <c r="G97" s="1613">
        <v>3421685777</v>
      </c>
    </row>
    <row r="98" spans="1:7" ht="17.25" customHeight="1" x14ac:dyDescent="0.2">
      <c r="A98" s="1611">
        <v>13</v>
      </c>
      <c r="B98" s="1611" t="s">
        <v>2041</v>
      </c>
      <c r="C98" s="1611" t="s">
        <v>3669</v>
      </c>
      <c r="D98" s="1612" t="s">
        <v>7555</v>
      </c>
      <c r="E98" s="1706" t="s">
        <v>7592</v>
      </c>
      <c r="F98" s="1613">
        <v>48181818</v>
      </c>
      <c r="G98" s="1613">
        <v>3469867595</v>
      </c>
    </row>
    <row r="99" spans="1:7" ht="17.25" customHeight="1" x14ac:dyDescent="0.2">
      <c r="A99" s="1611">
        <v>13</v>
      </c>
      <c r="B99" s="1611" t="s">
        <v>3670</v>
      </c>
      <c r="C99" s="1611" t="s">
        <v>3597</v>
      </c>
      <c r="D99" s="1612">
        <v>0</v>
      </c>
      <c r="E99" s="1706" t="s">
        <v>7592</v>
      </c>
      <c r="F99" s="1613">
        <v>5348000</v>
      </c>
      <c r="G99" s="1613">
        <v>3475215595</v>
      </c>
    </row>
    <row r="100" spans="1:7" ht="17.25" customHeight="1" x14ac:dyDescent="0.2">
      <c r="A100" s="1611">
        <v>13</v>
      </c>
      <c r="B100" s="1611" t="s">
        <v>2039</v>
      </c>
      <c r="C100" s="1611" t="s">
        <v>3671</v>
      </c>
      <c r="D100" s="1612" t="s">
        <v>7555</v>
      </c>
      <c r="E100" s="1706" t="s">
        <v>7592</v>
      </c>
      <c r="F100" s="1613">
        <v>40800000</v>
      </c>
      <c r="G100" s="1613">
        <v>3516015595</v>
      </c>
    </row>
    <row r="101" spans="1:7" ht="17.25" customHeight="1" x14ac:dyDescent="0.2">
      <c r="A101" s="1611">
        <v>13</v>
      </c>
      <c r="B101" s="1611" t="s">
        <v>2027</v>
      </c>
      <c r="C101" s="1611" t="s">
        <v>3672</v>
      </c>
      <c r="D101" s="1612" t="s">
        <v>2024</v>
      </c>
      <c r="E101" s="1706" t="s">
        <v>7592</v>
      </c>
      <c r="F101" s="1613">
        <v>13510000</v>
      </c>
      <c r="G101" s="1613">
        <v>3529525595</v>
      </c>
    </row>
    <row r="102" spans="1:7" ht="17.25" customHeight="1" x14ac:dyDescent="0.2">
      <c r="A102" s="1611">
        <v>13</v>
      </c>
      <c r="B102" s="1611" t="s">
        <v>2039</v>
      </c>
      <c r="C102" s="1611" t="s">
        <v>3673</v>
      </c>
      <c r="D102" s="1612" t="s">
        <v>7555</v>
      </c>
      <c r="E102" s="1706" t="s">
        <v>7592</v>
      </c>
      <c r="F102" s="1613">
        <v>41000000</v>
      </c>
      <c r="G102" s="1613">
        <v>3570525595</v>
      </c>
    </row>
    <row r="103" spans="1:7" ht="17.25" customHeight="1" x14ac:dyDescent="0.2">
      <c r="A103" s="1611">
        <v>13</v>
      </c>
      <c r="B103" s="1611" t="s">
        <v>2039</v>
      </c>
      <c r="C103" s="1611" t="s">
        <v>3674</v>
      </c>
      <c r="D103" s="1612" t="s">
        <v>7555</v>
      </c>
      <c r="E103" s="1706" t="s">
        <v>7592</v>
      </c>
      <c r="F103" s="1613">
        <v>43000000</v>
      </c>
      <c r="G103" s="1613">
        <v>3613525595</v>
      </c>
    </row>
    <row r="104" spans="1:7" ht="17.25" customHeight="1" x14ac:dyDescent="0.2">
      <c r="A104" s="1611">
        <v>13</v>
      </c>
      <c r="B104" s="1611" t="s">
        <v>2041</v>
      </c>
      <c r="C104" s="1611" t="s">
        <v>3675</v>
      </c>
      <c r="D104" s="1612" t="s">
        <v>7555</v>
      </c>
      <c r="E104" s="1706" t="s">
        <v>7592</v>
      </c>
      <c r="F104" s="1613">
        <v>48000000</v>
      </c>
      <c r="G104" s="1613">
        <v>3661525595</v>
      </c>
    </row>
    <row r="105" spans="1:7" ht="17.25" customHeight="1" x14ac:dyDescent="0.2">
      <c r="A105" s="1611">
        <v>13</v>
      </c>
      <c r="B105" s="1611" t="s">
        <v>2041</v>
      </c>
      <c r="C105" s="1611" t="s">
        <v>3676</v>
      </c>
      <c r="D105" s="1612" t="s">
        <v>7555</v>
      </c>
      <c r="E105" s="1706" t="s">
        <v>7592</v>
      </c>
      <c r="F105" s="1613">
        <v>49500000</v>
      </c>
      <c r="G105" s="1613">
        <v>3711025595</v>
      </c>
    </row>
    <row r="106" spans="1:7" ht="17.25" customHeight="1" x14ac:dyDescent="0.2">
      <c r="A106" s="1611">
        <v>13</v>
      </c>
      <c r="B106" s="1611" t="s">
        <v>2041</v>
      </c>
      <c r="C106" s="1611" t="s">
        <v>3677</v>
      </c>
      <c r="D106" s="1612" t="s">
        <v>7555</v>
      </c>
      <c r="E106" s="1706" t="s">
        <v>7592</v>
      </c>
      <c r="F106" s="1613">
        <v>49067000</v>
      </c>
      <c r="G106" s="1613">
        <v>3760092595</v>
      </c>
    </row>
    <row r="107" spans="1:7" ht="17.25" customHeight="1" x14ac:dyDescent="0.2">
      <c r="A107" s="1611">
        <v>13</v>
      </c>
      <c r="B107" s="1611" t="s">
        <v>3601</v>
      </c>
      <c r="C107" s="1611" t="s">
        <v>3678</v>
      </c>
      <c r="D107" s="1612">
        <v>0</v>
      </c>
      <c r="E107" s="1706" t="s">
        <v>7592</v>
      </c>
      <c r="F107" s="1613">
        <v>168000000</v>
      </c>
      <c r="G107" s="1613">
        <v>3928092595</v>
      </c>
    </row>
    <row r="108" spans="1:7" ht="17.25" customHeight="1" x14ac:dyDescent="0.2">
      <c r="A108" s="1611">
        <v>13</v>
      </c>
      <c r="B108" s="1611" t="s">
        <v>2037</v>
      </c>
      <c r="C108" s="1611" t="s">
        <v>3679</v>
      </c>
      <c r="D108" s="1612" t="s">
        <v>7555</v>
      </c>
      <c r="E108" s="1706" t="s">
        <v>7592</v>
      </c>
      <c r="F108" s="1613">
        <v>41402427</v>
      </c>
      <c r="G108" s="1613">
        <v>3969495022</v>
      </c>
    </row>
    <row r="109" spans="1:7" ht="17.25" customHeight="1" x14ac:dyDescent="0.2">
      <c r="A109" s="1611">
        <v>13</v>
      </c>
      <c r="B109" s="1611" t="s">
        <v>2037</v>
      </c>
      <c r="C109" s="1611" t="s">
        <v>3680</v>
      </c>
      <c r="D109" s="1612" t="s">
        <v>7555</v>
      </c>
      <c r="E109" s="1706" t="s">
        <v>7592</v>
      </c>
      <c r="F109" s="1613">
        <v>35770000</v>
      </c>
      <c r="G109" s="1613">
        <v>4005265022</v>
      </c>
    </row>
    <row r="110" spans="1:7" ht="17.25" customHeight="1" x14ac:dyDescent="0.2">
      <c r="A110" s="1611">
        <v>13</v>
      </c>
      <c r="B110" s="1611" t="s">
        <v>2037</v>
      </c>
      <c r="C110" s="1611" t="s">
        <v>3681</v>
      </c>
      <c r="D110" s="1612" t="s">
        <v>7555</v>
      </c>
      <c r="E110" s="1706" t="s">
        <v>7592</v>
      </c>
      <c r="F110" s="1613">
        <v>37727273</v>
      </c>
      <c r="G110" s="1613">
        <v>4042992295</v>
      </c>
    </row>
    <row r="111" spans="1:7" ht="17.25" customHeight="1" x14ac:dyDescent="0.2">
      <c r="A111" s="1611">
        <v>13</v>
      </c>
      <c r="B111" s="1611" t="s">
        <v>2041</v>
      </c>
      <c r="C111" s="1611" t="s">
        <v>3682</v>
      </c>
      <c r="D111" s="1612" t="s">
        <v>7555</v>
      </c>
      <c r="E111" s="1706" t="s">
        <v>7592</v>
      </c>
      <c r="F111" s="1613">
        <v>48700000</v>
      </c>
      <c r="G111" s="1613">
        <v>4091692295</v>
      </c>
    </row>
    <row r="112" spans="1:7" ht="17.25" customHeight="1" x14ac:dyDescent="0.2">
      <c r="A112" s="1611">
        <v>13</v>
      </c>
      <c r="B112" s="1611" t="s">
        <v>2039</v>
      </c>
      <c r="C112" s="1611" t="s">
        <v>3683</v>
      </c>
      <c r="D112" s="1612" t="s">
        <v>7555</v>
      </c>
      <c r="E112" s="1706" t="s">
        <v>7592</v>
      </c>
      <c r="F112" s="1613">
        <v>42000000</v>
      </c>
      <c r="G112" s="1613">
        <v>4133692295</v>
      </c>
    </row>
    <row r="113" spans="1:7" ht="17.25" customHeight="1" x14ac:dyDescent="0.2">
      <c r="A113" s="1611">
        <v>13</v>
      </c>
      <c r="B113" s="1611" t="s">
        <v>2037</v>
      </c>
      <c r="C113" s="1611" t="s">
        <v>3684</v>
      </c>
      <c r="D113" s="1612" t="s">
        <v>7555</v>
      </c>
      <c r="E113" s="1706" t="s">
        <v>7592</v>
      </c>
      <c r="F113" s="1613">
        <v>38400000</v>
      </c>
      <c r="G113" s="1613">
        <v>4172092295</v>
      </c>
    </row>
    <row r="114" spans="1:7" ht="17.25" customHeight="1" x14ac:dyDescent="0.2">
      <c r="A114" s="1611">
        <v>13</v>
      </c>
      <c r="B114" s="1611" t="s">
        <v>2037</v>
      </c>
      <c r="C114" s="1611" t="s">
        <v>3646</v>
      </c>
      <c r="D114" s="1612" t="s">
        <v>7555</v>
      </c>
      <c r="E114" s="1706" t="s">
        <v>7592</v>
      </c>
      <c r="F114" s="1613">
        <v>37220000</v>
      </c>
      <c r="G114" s="1613">
        <v>4209312295</v>
      </c>
    </row>
    <row r="115" spans="1:7" ht="17.25" customHeight="1" x14ac:dyDescent="0.2">
      <c r="A115" s="1611">
        <v>13</v>
      </c>
      <c r="B115" s="1611" t="s">
        <v>2039</v>
      </c>
      <c r="C115" s="1611" t="s">
        <v>3685</v>
      </c>
      <c r="D115" s="1612" t="s">
        <v>7555</v>
      </c>
      <c r="E115" s="1706" t="s">
        <v>7592</v>
      </c>
      <c r="F115" s="1613">
        <v>45454546</v>
      </c>
      <c r="G115" s="1613">
        <v>4254766841</v>
      </c>
    </row>
    <row r="116" spans="1:7" ht="17.25" customHeight="1" x14ac:dyDescent="0.2">
      <c r="A116" s="1611">
        <v>13</v>
      </c>
      <c r="B116" s="1611" t="s">
        <v>2026</v>
      </c>
      <c r="C116" s="1611" t="s">
        <v>3686</v>
      </c>
      <c r="D116" s="1612" t="s">
        <v>2024</v>
      </c>
      <c r="E116" s="1706" t="s">
        <v>7592</v>
      </c>
      <c r="F116" s="1613">
        <v>12150000</v>
      </c>
      <c r="G116" s="1613">
        <v>4266916841</v>
      </c>
    </row>
    <row r="117" spans="1:7" ht="17.25" customHeight="1" x14ac:dyDescent="0.2">
      <c r="A117" s="1611">
        <v>13</v>
      </c>
      <c r="B117" s="1611" t="s">
        <v>2037</v>
      </c>
      <c r="C117" s="1611" t="s">
        <v>3687</v>
      </c>
      <c r="D117" s="1612" t="s">
        <v>7555</v>
      </c>
      <c r="E117" s="1706" t="s">
        <v>7592</v>
      </c>
      <c r="F117" s="1613">
        <v>38383000</v>
      </c>
      <c r="G117" s="1613">
        <v>4305299841</v>
      </c>
    </row>
    <row r="118" spans="1:7" ht="17.25" customHeight="1" x14ac:dyDescent="0.2">
      <c r="A118" s="1611">
        <v>13</v>
      </c>
      <c r="B118" s="1611" t="s">
        <v>2037</v>
      </c>
      <c r="C118" s="1611" t="s">
        <v>3688</v>
      </c>
      <c r="D118" s="1612" t="s">
        <v>7555</v>
      </c>
      <c r="E118" s="1706" t="s">
        <v>7592</v>
      </c>
      <c r="F118" s="1613">
        <v>36700000</v>
      </c>
      <c r="G118" s="1613">
        <v>4341999841</v>
      </c>
    </row>
    <row r="119" spans="1:7" ht="17.25" customHeight="1" x14ac:dyDescent="0.2">
      <c r="A119" s="1611">
        <v>13</v>
      </c>
      <c r="B119" s="1611" t="s">
        <v>2028</v>
      </c>
      <c r="C119" s="1611" t="s">
        <v>3648</v>
      </c>
      <c r="D119" s="1612" t="s">
        <v>2024</v>
      </c>
      <c r="E119" s="1706" t="s">
        <v>7592</v>
      </c>
      <c r="F119" s="1613">
        <v>13700000</v>
      </c>
      <c r="G119" s="1613">
        <v>4355699841</v>
      </c>
    </row>
    <row r="120" spans="1:7" ht="17.25" customHeight="1" x14ac:dyDescent="0.2">
      <c r="A120" s="1611">
        <v>13</v>
      </c>
      <c r="B120" s="1611" t="s">
        <v>2037</v>
      </c>
      <c r="C120" s="1611" t="s">
        <v>3689</v>
      </c>
      <c r="D120" s="1612" t="s">
        <v>7555</v>
      </c>
      <c r="E120" s="1706" t="s">
        <v>7592</v>
      </c>
      <c r="F120" s="1613">
        <v>36363636</v>
      </c>
      <c r="G120" s="1613">
        <v>4392063477</v>
      </c>
    </row>
    <row r="121" spans="1:7" ht="17.25" customHeight="1" x14ac:dyDescent="0.2">
      <c r="A121" s="1611">
        <v>13</v>
      </c>
      <c r="B121" s="1611" t="s">
        <v>2039</v>
      </c>
      <c r="C121" s="1611" t="s">
        <v>3690</v>
      </c>
      <c r="D121" s="1612" t="s">
        <v>7555</v>
      </c>
      <c r="E121" s="1706" t="s">
        <v>7592</v>
      </c>
      <c r="F121" s="1613">
        <v>43227273</v>
      </c>
      <c r="G121" s="1613">
        <v>4435290750</v>
      </c>
    </row>
    <row r="122" spans="1:7" ht="17.25" customHeight="1" x14ac:dyDescent="0.2">
      <c r="A122" s="1611">
        <v>13</v>
      </c>
      <c r="B122" s="1611" t="s">
        <v>2039</v>
      </c>
      <c r="C122" s="1611" t="s">
        <v>3691</v>
      </c>
      <c r="D122" s="1612" t="s">
        <v>7555</v>
      </c>
      <c r="E122" s="1706" t="s">
        <v>7592</v>
      </c>
      <c r="F122" s="1613">
        <v>44347000</v>
      </c>
      <c r="G122" s="1613">
        <v>4479637750</v>
      </c>
    </row>
    <row r="123" spans="1:7" ht="17.25" customHeight="1" x14ac:dyDescent="0.2">
      <c r="A123" s="1611">
        <v>13</v>
      </c>
      <c r="B123" s="1611" t="s">
        <v>2027</v>
      </c>
      <c r="C123" s="1611" t="s">
        <v>3692</v>
      </c>
      <c r="D123" s="1612" t="s">
        <v>2024</v>
      </c>
      <c r="E123" s="1706" t="s">
        <v>7592</v>
      </c>
      <c r="F123" s="1613">
        <v>17445000</v>
      </c>
      <c r="G123" s="1613">
        <v>4497082750</v>
      </c>
    </row>
    <row r="124" spans="1:7" ht="17.25" customHeight="1" x14ac:dyDescent="0.2">
      <c r="A124" s="1611">
        <v>13</v>
      </c>
      <c r="B124" s="1611" t="s">
        <v>2039</v>
      </c>
      <c r="C124" s="1611" t="s">
        <v>3693</v>
      </c>
      <c r="D124" s="1612" t="s">
        <v>7555</v>
      </c>
      <c r="E124" s="1706" t="s">
        <v>7592</v>
      </c>
      <c r="F124" s="1613">
        <v>43545455</v>
      </c>
      <c r="G124" s="1613">
        <v>4540628205</v>
      </c>
    </row>
    <row r="125" spans="1:7" ht="17.25" customHeight="1" x14ac:dyDescent="0.2">
      <c r="A125" s="1611">
        <v>13</v>
      </c>
      <c r="B125" s="1611" t="s">
        <v>2028</v>
      </c>
      <c r="C125" s="1611" t="s">
        <v>3694</v>
      </c>
      <c r="D125" s="1612" t="s">
        <v>2024</v>
      </c>
      <c r="E125" s="1706" t="s">
        <v>7592</v>
      </c>
      <c r="F125" s="1613">
        <v>16000000</v>
      </c>
      <c r="G125" s="1613">
        <v>4556628205</v>
      </c>
    </row>
    <row r="126" spans="1:7" ht="17.25" customHeight="1" x14ac:dyDescent="0.2">
      <c r="A126" s="1611">
        <v>13</v>
      </c>
      <c r="B126" s="1611" t="s">
        <v>7155</v>
      </c>
      <c r="C126" s="1611" t="s">
        <v>7579</v>
      </c>
      <c r="D126" s="1612">
        <v>0</v>
      </c>
      <c r="E126" s="1706" t="s">
        <v>7575</v>
      </c>
      <c r="F126" s="1613">
        <v>41699288</v>
      </c>
      <c r="G126" s="1613">
        <v>4598327493</v>
      </c>
    </row>
    <row r="127" spans="1:7" ht="17.25" customHeight="1" x14ac:dyDescent="0.2">
      <c r="A127" s="1611">
        <v>13</v>
      </c>
      <c r="B127" s="1611" t="s">
        <v>3696</v>
      </c>
      <c r="C127" s="1611" t="s">
        <v>3697</v>
      </c>
      <c r="D127" s="1612">
        <v>0</v>
      </c>
      <c r="E127" s="1706" t="s">
        <v>7592</v>
      </c>
      <c r="F127" s="1613">
        <v>4850000</v>
      </c>
      <c r="G127" s="1613">
        <v>4603177493</v>
      </c>
    </row>
    <row r="128" spans="1:7" ht="17.25" customHeight="1" x14ac:dyDescent="0.2">
      <c r="A128" s="1611">
        <v>13</v>
      </c>
      <c r="B128" s="1611" t="s">
        <v>2034</v>
      </c>
      <c r="C128" s="1611" t="s">
        <v>3697</v>
      </c>
      <c r="D128" s="1612" t="s">
        <v>7555</v>
      </c>
      <c r="E128" s="1706" t="s">
        <v>7592</v>
      </c>
      <c r="F128" s="1613">
        <v>41272728</v>
      </c>
      <c r="G128" s="1613">
        <v>4644450221</v>
      </c>
    </row>
    <row r="129" spans="1:7" ht="17.25" customHeight="1" x14ac:dyDescent="0.2">
      <c r="A129" s="1611">
        <v>13</v>
      </c>
      <c r="B129" s="1611" t="s">
        <v>3627</v>
      </c>
      <c r="C129" s="1611" t="s">
        <v>3698</v>
      </c>
      <c r="D129" s="1612">
        <v>0</v>
      </c>
      <c r="E129" s="1706" t="s">
        <v>7592</v>
      </c>
      <c r="F129" s="1613">
        <v>125090910</v>
      </c>
      <c r="G129" s="1613">
        <v>4769541131</v>
      </c>
    </row>
    <row r="130" spans="1:7" ht="17.25" customHeight="1" x14ac:dyDescent="0.2">
      <c r="A130" s="1611">
        <v>13</v>
      </c>
      <c r="B130" s="1611" t="s">
        <v>7380</v>
      </c>
      <c r="C130" s="1611" t="s">
        <v>3699</v>
      </c>
      <c r="D130" s="1612" t="s">
        <v>2024</v>
      </c>
      <c r="E130" s="1706" t="s">
        <v>7592</v>
      </c>
      <c r="F130" s="1613">
        <v>13130230</v>
      </c>
      <c r="G130" s="1613">
        <v>2397900795.5</v>
      </c>
    </row>
    <row r="131" spans="1:7" ht="17.25" customHeight="1" x14ac:dyDescent="0.2">
      <c r="A131" s="1611">
        <v>13</v>
      </c>
      <c r="B131" s="1611" t="s">
        <v>7380</v>
      </c>
      <c r="C131" s="1611" t="s">
        <v>3699</v>
      </c>
      <c r="D131" s="1612" t="s">
        <v>2024</v>
      </c>
      <c r="E131" s="1706" t="s">
        <v>7592</v>
      </c>
      <c r="F131" s="1613">
        <v>13130230</v>
      </c>
      <c r="G131" s="1613">
        <v>2397900795.5</v>
      </c>
    </row>
    <row r="132" spans="1:7" ht="17.25" customHeight="1" x14ac:dyDescent="0.2">
      <c r="A132" s="1611">
        <v>13</v>
      </c>
      <c r="B132" s="1611" t="s">
        <v>2028</v>
      </c>
      <c r="C132" s="1611" t="s">
        <v>3700</v>
      </c>
      <c r="D132" s="1612" t="s">
        <v>2024</v>
      </c>
      <c r="E132" s="1706" t="s">
        <v>7592</v>
      </c>
      <c r="F132" s="1613">
        <v>15884000</v>
      </c>
      <c r="G132" s="1613">
        <v>4811685591</v>
      </c>
    </row>
    <row r="133" spans="1:7" ht="17.25" customHeight="1" x14ac:dyDescent="0.2">
      <c r="A133" s="1611">
        <v>13</v>
      </c>
      <c r="B133" s="1611" t="s">
        <v>2037</v>
      </c>
      <c r="C133" s="1611" t="s">
        <v>3701</v>
      </c>
      <c r="D133" s="1612" t="s">
        <v>7555</v>
      </c>
      <c r="E133" s="1706" t="s">
        <v>7592</v>
      </c>
      <c r="F133" s="1613">
        <v>38181818</v>
      </c>
      <c r="G133" s="1613">
        <v>4849867409</v>
      </c>
    </row>
    <row r="134" spans="1:7" ht="17.25" customHeight="1" x14ac:dyDescent="0.2">
      <c r="A134" s="1611">
        <v>13</v>
      </c>
      <c r="B134" s="1611" t="s">
        <v>2039</v>
      </c>
      <c r="C134" s="1611" t="s">
        <v>3702</v>
      </c>
      <c r="D134" s="1612" t="s">
        <v>7555</v>
      </c>
      <c r="E134" s="1706" t="s">
        <v>7592</v>
      </c>
      <c r="F134" s="1613">
        <v>44000000</v>
      </c>
      <c r="G134" s="1613">
        <v>4893867409</v>
      </c>
    </row>
    <row r="135" spans="1:7" ht="17.25" customHeight="1" x14ac:dyDescent="0.2">
      <c r="A135" s="1611">
        <v>13</v>
      </c>
      <c r="B135" s="1611" t="s">
        <v>2028</v>
      </c>
      <c r="C135" s="1611" t="s">
        <v>3703</v>
      </c>
      <c r="D135" s="1612" t="s">
        <v>2024</v>
      </c>
      <c r="E135" s="1706" t="s">
        <v>7592</v>
      </c>
      <c r="F135" s="1613">
        <v>14000000</v>
      </c>
      <c r="G135" s="1613">
        <v>4907867409</v>
      </c>
    </row>
    <row r="136" spans="1:7" ht="17.25" customHeight="1" x14ac:dyDescent="0.2">
      <c r="A136" s="1611">
        <v>13</v>
      </c>
      <c r="B136" s="1611" t="s">
        <v>2039</v>
      </c>
      <c r="C136" s="1611" t="s">
        <v>3704</v>
      </c>
      <c r="D136" s="1612" t="s">
        <v>7555</v>
      </c>
      <c r="E136" s="1706" t="s">
        <v>7592</v>
      </c>
      <c r="F136" s="1613">
        <v>43000000</v>
      </c>
      <c r="G136" s="1613">
        <v>4950867409</v>
      </c>
    </row>
    <row r="137" spans="1:7" ht="17.25" customHeight="1" x14ac:dyDescent="0.2">
      <c r="A137" s="1611">
        <v>13</v>
      </c>
      <c r="B137" s="1611" t="s">
        <v>2037</v>
      </c>
      <c r="C137" s="1611" t="s">
        <v>3705</v>
      </c>
      <c r="D137" s="1612" t="s">
        <v>7555</v>
      </c>
      <c r="E137" s="1706" t="s">
        <v>7592</v>
      </c>
      <c r="F137" s="1613">
        <v>38181818</v>
      </c>
      <c r="G137" s="1613">
        <v>4989049227</v>
      </c>
    </row>
    <row r="138" spans="1:7" ht="17.25" customHeight="1" x14ac:dyDescent="0.2">
      <c r="A138" s="1611">
        <v>13</v>
      </c>
      <c r="B138" s="1611" t="s">
        <v>2037</v>
      </c>
      <c r="C138" s="1611" t="s">
        <v>3706</v>
      </c>
      <c r="D138" s="1612" t="s">
        <v>7555</v>
      </c>
      <c r="E138" s="1706" t="s">
        <v>7592</v>
      </c>
      <c r="F138" s="1613">
        <v>35700000</v>
      </c>
      <c r="G138" s="1613">
        <v>5024749227</v>
      </c>
    </row>
    <row r="139" spans="1:7" ht="17.25" customHeight="1" x14ac:dyDescent="0.2">
      <c r="A139" s="1611">
        <v>13</v>
      </c>
      <c r="B139" s="1611" t="s">
        <v>2037</v>
      </c>
      <c r="C139" s="1611" t="s">
        <v>3706</v>
      </c>
      <c r="D139" s="1612" t="s">
        <v>7555</v>
      </c>
      <c r="E139" s="1706" t="s">
        <v>7592</v>
      </c>
      <c r="F139" s="1613">
        <v>35700000</v>
      </c>
      <c r="G139" s="1613">
        <v>5060449227</v>
      </c>
    </row>
    <row r="140" spans="1:7" ht="17.25" customHeight="1" x14ac:dyDescent="0.2">
      <c r="A140" s="1611">
        <v>13</v>
      </c>
      <c r="B140" s="1611" t="s">
        <v>3666</v>
      </c>
      <c r="C140" s="1611" t="s">
        <v>3707</v>
      </c>
      <c r="D140" s="1612">
        <v>0</v>
      </c>
      <c r="E140" s="1706" t="s">
        <v>7592</v>
      </c>
      <c r="F140" s="1613">
        <v>58636364</v>
      </c>
      <c r="G140" s="1613">
        <v>5119085591</v>
      </c>
    </row>
    <row r="141" spans="1:7" ht="17.25" customHeight="1" x14ac:dyDescent="0.2">
      <c r="A141" s="1611">
        <v>13</v>
      </c>
      <c r="B141" s="1611" t="s">
        <v>2037</v>
      </c>
      <c r="C141" s="1611" t="s">
        <v>3708</v>
      </c>
      <c r="D141" s="1612" t="s">
        <v>7555</v>
      </c>
      <c r="E141" s="1706" t="s">
        <v>7592</v>
      </c>
      <c r="F141" s="1613">
        <v>39500000</v>
      </c>
      <c r="G141" s="1613">
        <v>5158585591</v>
      </c>
    </row>
    <row r="142" spans="1:7" ht="17.25" customHeight="1" x14ac:dyDescent="0.2">
      <c r="A142" s="1611">
        <v>13</v>
      </c>
      <c r="B142" s="1611" t="s">
        <v>2026</v>
      </c>
      <c r="C142" s="1611" t="s">
        <v>3709</v>
      </c>
      <c r="D142" s="1612" t="s">
        <v>2024</v>
      </c>
      <c r="E142" s="1706" t="s">
        <v>7592</v>
      </c>
      <c r="F142" s="1613">
        <v>13300000</v>
      </c>
      <c r="G142" s="1613">
        <v>5171885591</v>
      </c>
    </row>
    <row r="143" spans="1:7" ht="17.25" customHeight="1" x14ac:dyDescent="0.2">
      <c r="A143" s="1611">
        <v>13</v>
      </c>
      <c r="B143" s="1611" t="s">
        <v>2043</v>
      </c>
      <c r="C143" s="1611" t="s">
        <v>3710</v>
      </c>
      <c r="D143" s="1612" t="s">
        <v>7555</v>
      </c>
      <c r="E143" s="1706" t="s">
        <v>7592</v>
      </c>
      <c r="F143" s="1613">
        <v>52430000</v>
      </c>
      <c r="G143" s="1613">
        <v>5224315591</v>
      </c>
    </row>
    <row r="144" spans="1:7" ht="17.25" customHeight="1" x14ac:dyDescent="0.2">
      <c r="A144" s="1611">
        <v>13</v>
      </c>
      <c r="B144" s="1611" t="s">
        <v>2043</v>
      </c>
      <c r="C144" s="1611" t="s">
        <v>3711</v>
      </c>
      <c r="D144" s="1612" t="s">
        <v>7555</v>
      </c>
      <c r="E144" s="1706" t="s">
        <v>7592</v>
      </c>
      <c r="F144" s="1613">
        <v>52550000</v>
      </c>
      <c r="G144" s="1613">
        <v>5276865591</v>
      </c>
    </row>
    <row r="145" spans="1:7" ht="17.25" customHeight="1" x14ac:dyDescent="0.2">
      <c r="A145" s="1611">
        <v>13</v>
      </c>
      <c r="B145" s="1611" t="s">
        <v>2037</v>
      </c>
      <c r="C145" s="1611" t="s">
        <v>3712</v>
      </c>
      <c r="D145" s="1612" t="s">
        <v>7555</v>
      </c>
      <c r="E145" s="1706" t="s">
        <v>7592</v>
      </c>
      <c r="F145" s="1613">
        <v>38636363</v>
      </c>
      <c r="G145" s="1613">
        <v>5315501954</v>
      </c>
    </row>
    <row r="146" spans="1:7" ht="17.25" customHeight="1" x14ac:dyDescent="0.2">
      <c r="A146" s="1611">
        <v>13</v>
      </c>
      <c r="B146" s="1611" t="s">
        <v>2039</v>
      </c>
      <c r="C146" s="1611" t="s">
        <v>3713</v>
      </c>
      <c r="D146" s="1612" t="s">
        <v>7555</v>
      </c>
      <c r="E146" s="1706" t="s">
        <v>7592</v>
      </c>
      <c r="F146" s="1613">
        <v>42727272</v>
      </c>
      <c r="G146" s="1613">
        <v>5358229226</v>
      </c>
    </row>
    <row r="147" spans="1:7" ht="17.25" customHeight="1" x14ac:dyDescent="0.2">
      <c r="A147" s="1611">
        <v>13</v>
      </c>
      <c r="B147" s="1611" t="s">
        <v>2032</v>
      </c>
      <c r="C147" s="1611" t="s">
        <v>3714</v>
      </c>
      <c r="D147" s="1612" t="s">
        <v>7555</v>
      </c>
      <c r="E147" s="1706" t="s">
        <v>7592</v>
      </c>
      <c r="F147" s="1613">
        <v>37050000</v>
      </c>
      <c r="G147" s="1613">
        <v>5395279226</v>
      </c>
    </row>
    <row r="148" spans="1:7" ht="17.25" customHeight="1" x14ac:dyDescent="0.2">
      <c r="A148" s="1611">
        <v>13</v>
      </c>
      <c r="B148" s="1611" t="s">
        <v>7157</v>
      </c>
      <c r="C148" s="1611" t="s">
        <v>3715</v>
      </c>
      <c r="D148" s="1612">
        <v>0</v>
      </c>
      <c r="E148" s="1612" t="s">
        <v>2025</v>
      </c>
      <c r="F148" s="1613">
        <v>201355280</v>
      </c>
      <c r="G148" s="1613">
        <v>5596634506</v>
      </c>
    </row>
    <row r="149" spans="1:7" ht="17.25" customHeight="1" x14ac:dyDescent="0.2">
      <c r="A149" s="1611">
        <v>13</v>
      </c>
      <c r="B149" s="1611" t="s">
        <v>2032</v>
      </c>
      <c r="C149" s="1611" t="s">
        <v>3716</v>
      </c>
      <c r="D149" s="1612" t="s">
        <v>7555</v>
      </c>
      <c r="E149" s="1706" t="s">
        <v>7592</v>
      </c>
      <c r="F149" s="1613">
        <v>32700000</v>
      </c>
      <c r="G149" s="1613">
        <v>5629334506</v>
      </c>
    </row>
    <row r="150" spans="1:7" ht="17.25" customHeight="1" x14ac:dyDescent="0.2">
      <c r="A150" s="1611">
        <v>13</v>
      </c>
      <c r="B150" s="1611" t="s">
        <v>2039</v>
      </c>
      <c r="C150" s="1611" t="s">
        <v>3717</v>
      </c>
      <c r="D150" s="1612" t="s">
        <v>7555</v>
      </c>
      <c r="E150" s="1706" t="s">
        <v>7592</v>
      </c>
      <c r="F150" s="1613">
        <v>38963000</v>
      </c>
      <c r="G150" s="1613">
        <v>5668297506</v>
      </c>
    </row>
    <row r="151" spans="1:7" ht="17.25" customHeight="1" x14ac:dyDescent="0.2">
      <c r="A151" s="1611">
        <v>13</v>
      </c>
      <c r="B151" s="1611" t="s">
        <v>3718</v>
      </c>
      <c r="C151" s="1611" t="s">
        <v>3597</v>
      </c>
      <c r="D151" s="1612">
        <v>0</v>
      </c>
      <c r="E151" s="1706" t="s">
        <v>7592</v>
      </c>
      <c r="F151" s="1613">
        <v>13000000</v>
      </c>
      <c r="G151" s="1613">
        <v>5681297506</v>
      </c>
    </row>
    <row r="152" spans="1:7" ht="17.25" customHeight="1" x14ac:dyDescent="0.2">
      <c r="A152" s="1611">
        <v>13</v>
      </c>
      <c r="B152" s="1611" t="s">
        <v>3561</v>
      </c>
      <c r="C152" s="1611" t="s">
        <v>3719</v>
      </c>
      <c r="D152" s="1612" t="s">
        <v>7555</v>
      </c>
      <c r="E152" s="1706" t="s">
        <v>7592</v>
      </c>
      <c r="F152" s="1613">
        <v>32727272.5</v>
      </c>
      <c r="G152" s="1613">
        <v>2873376025.5</v>
      </c>
    </row>
    <row r="153" spans="1:7" ht="17.25" customHeight="1" x14ac:dyDescent="0.2">
      <c r="A153" s="1611">
        <v>13</v>
      </c>
      <c r="B153" s="1611" t="s">
        <v>3561</v>
      </c>
      <c r="C153" s="1611" t="s">
        <v>3719</v>
      </c>
      <c r="D153" s="1612" t="s">
        <v>7555</v>
      </c>
      <c r="E153" s="1706" t="s">
        <v>7592</v>
      </c>
      <c r="F153" s="1613">
        <v>32727272.5</v>
      </c>
      <c r="G153" s="1613">
        <v>2873376025.5</v>
      </c>
    </row>
    <row r="154" spans="1:7" ht="17.25" customHeight="1" x14ac:dyDescent="0.2">
      <c r="A154" s="1611">
        <v>13</v>
      </c>
      <c r="B154" s="1611" t="s">
        <v>2032</v>
      </c>
      <c r="C154" s="1611" t="s">
        <v>3720</v>
      </c>
      <c r="D154" s="1612" t="s">
        <v>7555</v>
      </c>
      <c r="E154" s="1706" t="s">
        <v>7592</v>
      </c>
      <c r="F154" s="1613">
        <v>32700000</v>
      </c>
      <c r="G154" s="1613">
        <v>5779452051</v>
      </c>
    </row>
    <row r="155" spans="1:7" ht="17.25" customHeight="1" x14ac:dyDescent="0.2">
      <c r="A155" s="1611">
        <v>13</v>
      </c>
      <c r="B155" s="1611" t="s">
        <v>2037</v>
      </c>
      <c r="C155" s="1611" t="s">
        <v>3721</v>
      </c>
      <c r="D155" s="1612" t="s">
        <v>7555</v>
      </c>
      <c r="E155" s="1706" t="s">
        <v>7592</v>
      </c>
      <c r="F155" s="1613">
        <v>38500000</v>
      </c>
      <c r="G155" s="1613">
        <v>5817952051</v>
      </c>
    </row>
    <row r="156" spans="1:7" ht="17.25" customHeight="1" x14ac:dyDescent="0.2">
      <c r="A156" s="1611">
        <v>13</v>
      </c>
      <c r="B156" s="1611" t="s">
        <v>2823</v>
      </c>
      <c r="C156" s="1611" t="s">
        <v>3722</v>
      </c>
      <c r="D156" s="1612" t="s">
        <v>2024</v>
      </c>
      <c r="E156" s="1706" t="s">
        <v>7592</v>
      </c>
      <c r="F156" s="1613">
        <v>22500000</v>
      </c>
      <c r="G156" s="1613">
        <v>5840452051</v>
      </c>
    </row>
    <row r="157" spans="1:7" ht="17.25" customHeight="1" x14ac:dyDescent="0.2">
      <c r="A157" s="1611">
        <v>13</v>
      </c>
      <c r="B157" s="1611" t="s">
        <v>2823</v>
      </c>
      <c r="C157" s="1611" t="s">
        <v>3722</v>
      </c>
      <c r="D157" s="1612" t="s">
        <v>2024</v>
      </c>
      <c r="E157" s="1706" t="s">
        <v>7592</v>
      </c>
      <c r="F157" s="1613">
        <v>22500000</v>
      </c>
      <c r="G157" s="1613">
        <v>5862952051</v>
      </c>
    </row>
    <row r="158" spans="1:7" ht="17.25" customHeight="1" x14ac:dyDescent="0.2">
      <c r="A158" s="1611">
        <v>13</v>
      </c>
      <c r="B158" s="1611" t="s">
        <v>3723</v>
      </c>
      <c r="C158" s="1611" t="s">
        <v>3724</v>
      </c>
      <c r="D158" s="1612">
        <v>0</v>
      </c>
      <c r="E158" s="1706" t="s">
        <v>7592</v>
      </c>
      <c r="F158" s="1613">
        <v>40118163</v>
      </c>
      <c r="G158" s="1613">
        <v>5903070214</v>
      </c>
    </row>
    <row r="159" spans="1:7" ht="17.25" customHeight="1" x14ac:dyDescent="0.2">
      <c r="A159" s="1611">
        <v>13</v>
      </c>
      <c r="B159" s="1611" t="s">
        <v>2026</v>
      </c>
      <c r="C159" s="1611" t="s">
        <v>3725</v>
      </c>
      <c r="D159" s="1612" t="s">
        <v>2024</v>
      </c>
      <c r="E159" s="1706" t="s">
        <v>7592</v>
      </c>
      <c r="F159" s="1613">
        <v>16363637</v>
      </c>
      <c r="G159" s="1613">
        <v>5919433851</v>
      </c>
    </row>
    <row r="160" spans="1:7" ht="17.25" customHeight="1" x14ac:dyDescent="0.2">
      <c r="A160" s="1611">
        <v>13</v>
      </c>
      <c r="B160" s="1611" t="s">
        <v>2041</v>
      </c>
      <c r="C160" s="1611" t="s">
        <v>3726</v>
      </c>
      <c r="D160" s="1612" t="s">
        <v>7555</v>
      </c>
      <c r="E160" s="1706" t="s">
        <v>7592</v>
      </c>
      <c r="F160" s="1613">
        <v>47800000</v>
      </c>
      <c r="G160" s="1613">
        <v>5967233851</v>
      </c>
    </row>
    <row r="161" spans="1:7" ht="17.25" customHeight="1" x14ac:dyDescent="0.2">
      <c r="A161" s="1611">
        <v>13</v>
      </c>
      <c r="B161" s="1611" t="s">
        <v>2032</v>
      </c>
      <c r="C161" s="1611" t="s">
        <v>3727</v>
      </c>
      <c r="D161" s="1612" t="s">
        <v>7555</v>
      </c>
      <c r="E161" s="1706" t="s">
        <v>7592</v>
      </c>
      <c r="F161" s="1613">
        <v>32000000</v>
      </c>
      <c r="G161" s="1613">
        <v>5999233851</v>
      </c>
    </row>
    <row r="162" spans="1:7" ht="17.25" customHeight="1" x14ac:dyDescent="0.2">
      <c r="A162" s="1611">
        <v>13</v>
      </c>
      <c r="B162" s="1611" t="s">
        <v>3728</v>
      </c>
      <c r="C162" s="1611" t="s">
        <v>3729</v>
      </c>
      <c r="D162" s="1612" t="s">
        <v>2024</v>
      </c>
      <c r="E162" s="1706" t="s">
        <v>7592</v>
      </c>
      <c r="F162" s="1613">
        <v>33040000</v>
      </c>
      <c r="G162" s="1613">
        <v>6032273851</v>
      </c>
    </row>
    <row r="163" spans="1:7" ht="17.25" customHeight="1" x14ac:dyDescent="0.2">
      <c r="A163" s="1611">
        <v>13</v>
      </c>
      <c r="B163" s="1611" t="s">
        <v>3728</v>
      </c>
      <c r="C163" s="1611" t="s">
        <v>3729</v>
      </c>
      <c r="D163" s="1612" t="s">
        <v>2024</v>
      </c>
      <c r="E163" s="1706" t="s">
        <v>7592</v>
      </c>
      <c r="F163" s="1613">
        <v>-33040000</v>
      </c>
      <c r="G163" s="1613">
        <v>5999233851</v>
      </c>
    </row>
    <row r="164" spans="1:7" ht="17.25" customHeight="1" x14ac:dyDescent="0.2">
      <c r="A164" s="1611">
        <v>13</v>
      </c>
      <c r="B164" s="1611" t="s">
        <v>3728</v>
      </c>
      <c r="C164" s="1611" t="s">
        <v>3729</v>
      </c>
      <c r="D164" s="1612" t="s">
        <v>2024</v>
      </c>
      <c r="E164" s="1706" t="s">
        <v>7592</v>
      </c>
      <c r="F164" s="1613">
        <v>30040000</v>
      </c>
      <c r="G164" s="1613">
        <v>6029273851</v>
      </c>
    </row>
    <row r="165" spans="1:7" ht="17.25" customHeight="1" x14ac:dyDescent="0.2">
      <c r="A165" s="1611">
        <v>13</v>
      </c>
      <c r="B165" s="1611" t="s">
        <v>2032</v>
      </c>
      <c r="C165" s="1611" t="s">
        <v>3730</v>
      </c>
      <c r="D165" s="1612" t="s">
        <v>7555</v>
      </c>
      <c r="E165" s="1706" t="s">
        <v>7592</v>
      </c>
      <c r="F165" s="1613">
        <v>35000000</v>
      </c>
      <c r="G165" s="1613">
        <v>6064273851</v>
      </c>
    </row>
    <row r="166" spans="1:7" ht="17.25" customHeight="1" x14ac:dyDescent="0.2">
      <c r="A166" s="1611">
        <v>13</v>
      </c>
      <c r="B166" s="1611" t="s">
        <v>2037</v>
      </c>
      <c r="C166" s="1611" t="s">
        <v>3731</v>
      </c>
      <c r="D166" s="1612" t="s">
        <v>7555</v>
      </c>
      <c r="E166" s="1706" t="s">
        <v>7592</v>
      </c>
      <c r="F166" s="1613">
        <v>38181818</v>
      </c>
      <c r="G166" s="1613">
        <v>6102455669</v>
      </c>
    </row>
    <row r="167" spans="1:7" ht="17.25" customHeight="1" x14ac:dyDescent="0.2">
      <c r="A167" s="1611">
        <v>13</v>
      </c>
      <c r="B167" s="1611" t="s">
        <v>2037</v>
      </c>
      <c r="C167" s="1611" t="s">
        <v>3732</v>
      </c>
      <c r="D167" s="1612" t="s">
        <v>7555</v>
      </c>
      <c r="E167" s="1706" t="s">
        <v>7592</v>
      </c>
      <c r="F167" s="1613">
        <v>37000000</v>
      </c>
      <c r="G167" s="1613">
        <v>6139455669</v>
      </c>
    </row>
    <row r="168" spans="1:7" ht="17.25" customHeight="1" x14ac:dyDescent="0.2">
      <c r="A168" s="1611">
        <v>13</v>
      </c>
      <c r="B168" s="1611" t="s">
        <v>2037</v>
      </c>
      <c r="C168" s="1611" t="s">
        <v>3733</v>
      </c>
      <c r="D168" s="1612" t="s">
        <v>7555</v>
      </c>
      <c r="E168" s="1706" t="s">
        <v>7592</v>
      </c>
      <c r="F168" s="1613">
        <v>39090909</v>
      </c>
      <c r="G168" s="1613">
        <v>6178546578</v>
      </c>
    </row>
    <row r="169" spans="1:7" ht="17.25" customHeight="1" x14ac:dyDescent="0.2">
      <c r="A169" s="1611">
        <v>13</v>
      </c>
      <c r="B169" s="1611" t="s">
        <v>2039</v>
      </c>
      <c r="C169" s="1611" t="s">
        <v>3734</v>
      </c>
      <c r="D169" s="1612" t="s">
        <v>7555</v>
      </c>
      <c r="E169" s="1706" t="s">
        <v>7592</v>
      </c>
      <c r="F169" s="1613">
        <v>42000000</v>
      </c>
      <c r="G169" s="1613">
        <v>6220546578</v>
      </c>
    </row>
    <row r="170" spans="1:7" ht="17.25" customHeight="1" x14ac:dyDescent="0.2">
      <c r="A170" s="1611">
        <v>13</v>
      </c>
      <c r="B170" s="1611" t="s">
        <v>2032</v>
      </c>
      <c r="C170" s="1611" t="s">
        <v>3712</v>
      </c>
      <c r="D170" s="1612" t="s">
        <v>7555</v>
      </c>
      <c r="E170" s="1706" t="s">
        <v>7592</v>
      </c>
      <c r="F170" s="1613">
        <v>38181818</v>
      </c>
      <c r="G170" s="1613">
        <v>6258728396</v>
      </c>
    </row>
    <row r="171" spans="1:7" ht="17.25" customHeight="1" x14ac:dyDescent="0.2">
      <c r="A171" s="1611">
        <v>13</v>
      </c>
      <c r="B171" s="1611" t="s">
        <v>2039</v>
      </c>
      <c r="C171" s="1611" t="s">
        <v>3735</v>
      </c>
      <c r="D171" s="1612" t="s">
        <v>7555</v>
      </c>
      <c r="E171" s="1706" t="s">
        <v>7592</v>
      </c>
      <c r="F171" s="1613">
        <v>39090909</v>
      </c>
      <c r="G171" s="1613">
        <v>6297819305</v>
      </c>
    </row>
    <row r="172" spans="1:7" ht="17.25" customHeight="1" x14ac:dyDescent="0.2">
      <c r="A172" s="1611">
        <v>13</v>
      </c>
      <c r="B172" s="1611" t="s">
        <v>2028</v>
      </c>
      <c r="C172" s="1611" t="s">
        <v>3736</v>
      </c>
      <c r="D172" s="1612" t="s">
        <v>2024</v>
      </c>
      <c r="E172" s="1706" t="s">
        <v>7592</v>
      </c>
      <c r="F172" s="1613">
        <v>15070000</v>
      </c>
      <c r="G172" s="1613">
        <v>6312889305</v>
      </c>
    </row>
    <row r="173" spans="1:7" ht="17.25" customHeight="1" x14ac:dyDescent="0.2">
      <c r="A173" s="1611">
        <v>13</v>
      </c>
      <c r="B173" s="1611" t="s">
        <v>7158</v>
      </c>
      <c r="C173" s="1611" t="s">
        <v>214</v>
      </c>
      <c r="D173" s="1612">
        <v>0</v>
      </c>
      <c r="E173" s="1706" t="s">
        <v>7592</v>
      </c>
      <c r="F173" s="1613">
        <v>53559097</v>
      </c>
      <c r="G173" s="1613">
        <v>6366448402</v>
      </c>
    </row>
    <row r="174" spans="1:7" ht="17.25" customHeight="1" x14ac:dyDescent="0.2">
      <c r="A174" s="1611">
        <v>13</v>
      </c>
      <c r="B174" s="1611" t="s">
        <v>7158</v>
      </c>
      <c r="C174" s="1611" t="s">
        <v>214</v>
      </c>
      <c r="D174" s="1612">
        <v>0</v>
      </c>
      <c r="E174" s="1706" t="s">
        <v>7592</v>
      </c>
      <c r="F174" s="1613">
        <v>44674835</v>
      </c>
      <c r="G174" s="1613">
        <v>6411123237</v>
      </c>
    </row>
    <row r="175" spans="1:7" ht="17.25" customHeight="1" x14ac:dyDescent="0.2">
      <c r="A175" s="1611">
        <v>13</v>
      </c>
      <c r="B175" s="1611" t="s">
        <v>2037</v>
      </c>
      <c r="C175" s="1611" t="s">
        <v>3737</v>
      </c>
      <c r="D175" s="1612" t="s">
        <v>7555</v>
      </c>
      <c r="E175" s="1706" t="s">
        <v>7592</v>
      </c>
      <c r="F175" s="1613">
        <v>38500000</v>
      </c>
      <c r="G175" s="1613">
        <v>6449623237</v>
      </c>
    </row>
    <row r="176" spans="1:7" ht="17.25" customHeight="1" x14ac:dyDescent="0.2">
      <c r="A176" s="1611">
        <v>13</v>
      </c>
      <c r="B176" s="1611" t="s">
        <v>3666</v>
      </c>
      <c r="C176" s="1611" t="s">
        <v>3738</v>
      </c>
      <c r="D176" s="1612">
        <v>0</v>
      </c>
      <c r="E176" s="1706" t="s">
        <v>7592</v>
      </c>
      <c r="F176" s="1613">
        <v>6636364</v>
      </c>
      <c r="G176" s="1613">
        <v>6456259601</v>
      </c>
    </row>
    <row r="177" spans="1:7" ht="17.25" customHeight="1" x14ac:dyDescent="0.2">
      <c r="A177" s="1611">
        <v>13</v>
      </c>
      <c r="B177" s="1611" t="s">
        <v>2041</v>
      </c>
      <c r="C177" s="1611" t="s">
        <v>3739</v>
      </c>
      <c r="D177" s="1612" t="s">
        <v>7555</v>
      </c>
      <c r="E177" s="1706" t="s">
        <v>7592</v>
      </c>
      <c r="F177" s="1613">
        <v>48300000</v>
      </c>
      <c r="G177" s="1613">
        <v>6504559601</v>
      </c>
    </row>
    <row r="178" spans="1:7" ht="17.25" customHeight="1" x14ac:dyDescent="0.2">
      <c r="A178" s="1611">
        <v>13</v>
      </c>
      <c r="B178" s="1611" t="s">
        <v>2041</v>
      </c>
      <c r="C178" s="1611" t="s">
        <v>3740</v>
      </c>
      <c r="D178" s="1612" t="s">
        <v>7555</v>
      </c>
      <c r="E178" s="1706" t="s">
        <v>7592</v>
      </c>
      <c r="F178" s="1613">
        <v>49090909</v>
      </c>
      <c r="G178" s="1613">
        <v>6553650510</v>
      </c>
    </row>
    <row r="179" spans="1:7" ht="17.25" customHeight="1" x14ac:dyDescent="0.2">
      <c r="A179" s="1611">
        <v>13</v>
      </c>
      <c r="B179" s="1611" t="s">
        <v>3741</v>
      </c>
      <c r="C179" s="1611" t="s">
        <v>3742</v>
      </c>
      <c r="D179" s="1612">
        <v>0</v>
      </c>
      <c r="E179" s="1706" t="s">
        <v>7592</v>
      </c>
      <c r="F179" s="1613">
        <v>129545455</v>
      </c>
      <c r="G179" s="1613">
        <v>6683195965</v>
      </c>
    </row>
    <row r="180" spans="1:7" ht="17.25" customHeight="1" x14ac:dyDescent="0.2">
      <c r="A180" s="1611">
        <v>13</v>
      </c>
      <c r="B180" s="1611" t="s">
        <v>2028</v>
      </c>
      <c r="C180" s="1611" t="s">
        <v>3743</v>
      </c>
      <c r="D180" s="1612" t="s">
        <v>2024</v>
      </c>
      <c r="E180" s="1706" t="s">
        <v>7592</v>
      </c>
      <c r="F180" s="1613">
        <v>13300000</v>
      </c>
      <c r="G180" s="1613">
        <v>6696495965</v>
      </c>
    </row>
    <row r="181" spans="1:7" ht="17.25" customHeight="1" x14ac:dyDescent="0.2">
      <c r="A181" s="1611">
        <v>13</v>
      </c>
      <c r="B181" s="1611" t="s">
        <v>2032</v>
      </c>
      <c r="C181" s="1611" t="s">
        <v>3744</v>
      </c>
      <c r="D181" s="1612" t="s">
        <v>7555</v>
      </c>
      <c r="E181" s="1706" t="s">
        <v>7592</v>
      </c>
      <c r="F181" s="1613">
        <v>34000000</v>
      </c>
      <c r="G181" s="1613">
        <v>6730495965</v>
      </c>
    </row>
    <row r="182" spans="1:7" ht="17.25" customHeight="1" x14ac:dyDescent="0.2">
      <c r="A182" s="1611">
        <v>13</v>
      </c>
      <c r="B182" s="1611" t="s">
        <v>2062</v>
      </c>
      <c r="C182" s="1611" t="s">
        <v>3745</v>
      </c>
      <c r="D182" s="1612" t="s">
        <v>2023</v>
      </c>
      <c r="E182" s="1706" t="s">
        <v>7592</v>
      </c>
      <c r="F182" s="1613">
        <v>153950000</v>
      </c>
      <c r="G182" s="1613">
        <v>6884445965</v>
      </c>
    </row>
    <row r="183" spans="1:7" ht="17.25" customHeight="1" x14ac:dyDescent="0.2">
      <c r="A183" s="1611">
        <v>13</v>
      </c>
      <c r="B183" s="1611" t="s">
        <v>2043</v>
      </c>
      <c r="C183" s="1611" t="s">
        <v>3746</v>
      </c>
      <c r="D183" s="1612" t="s">
        <v>7555</v>
      </c>
      <c r="E183" s="1706" t="s">
        <v>7592</v>
      </c>
      <c r="F183" s="1613">
        <v>57500000</v>
      </c>
      <c r="G183" s="1613">
        <v>6941945965</v>
      </c>
    </row>
    <row r="184" spans="1:7" ht="17.25" customHeight="1" x14ac:dyDescent="0.2">
      <c r="A184" s="1611">
        <v>13</v>
      </c>
      <c r="B184" s="1611" t="s">
        <v>2027</v>
      </c>
      <c r="C184" s="1611" t="s">
        <v>3747</v>
      </c>
      <c r="D184" s="1612" t="s">
        <v>2024</v>
      </c>
      <c r="E184" s="1706" t="s">
        <v>7592</v>
      </c>
      <c r="F184" s="1613">
        <v>17545455</v>
      </c>
      <c r="G184" s="1613">
        <v>6959491420</v>
      </c>
    </row>
    <row r="185" spans="1:7" ht="17.25" customHeight="1" x14ac:dyDescent="0.2">
      <c r="A185" s="1611">
        <v>13</v>
      </c>
      <c r="B185" s="1611" t="s">
        <v>2037</v>
      </c>
      <c r="C185" s="1611" t="s">
        <v>3748</v>
      </c>
      <c r="D185" s="1612" t="s">
        <v>7555</v>
      </c>
      <c r="E185" s="1706" t="s">
        <v>7592</v>
      </c>
      <c r="F185" s="1613">
        <v>38000000</v>
      </c>
      <c r="G185" s="1613">
        <v>6997491420</v>
      </c>
    </row>
    <row r="186" spans="1:7" ht="17.25" customHeight="1" x14ac:dyDescent="0.2">
      <c r="A186" s="1611">
        <v>13</v>
      </c>
      <c r="B186" s="1611" t="s">
        <v>2045</v>
      </c>
      <c r="C186" s="1611" t="s">
        <v>3749</v>
      </c>
      <c r="D186" s="1612" t="s">
        <v>7555</v>
      </c>
      <c r="E186" s="1706" t="s">
        <v>7592</v>
      </c>
      <c r="F186" s="1613">
        <v>39090910</v>
      </c>
      <c r="G186" s="1613">
        <v>7036582330</v>
      </c>
    </row>
    <row r="187" spans="1:7" ht="17.25" customHeight="1" x14ac:dyDescent="0.2">
      <c r="A187" s="1611">
        <v>13</v>
      </c>
      <c r="B187" s="1611" t="s">
        <v>2027</v>
      </c>
      <c r="C187" s="1611" t="s">
        <v>3750</v>
      </c>
      <c r="D187" s="1612" t="s">
        <v>2024</v>
      </c>
      <c r="E187" s="1706" t="s">
        <v>7592</v>
      </c>
      <c r="F187" s="1613">
        <v>13100000</v>
      </c>
      <c r="G187" s="1613">
        <v>7049682330</v>
      </c>
    </row>
    <row r="188" spans="1:7" ht="17.25" customHeight="1" x14ac:dyDescent="0.2">
      <c r="A188" s="1611">
        <v>13</v>
      </c>
      <c r="B188" s="1611" t="s">
        <v>2037</v>
      </c>
      <c r="C188" s="1611" t="s">
        <v>3751</v>
      </c>
      <c r="D188" s="1612" t="s">
        <v>7555</v>
      </c>
      <c r="E188" s="1706" t="s">
        <v>7592</v>
      </c>
      <c r="F188" s="1613">
        <v>37500000</v>
      </c>
      <c r="G188" s="1613">
        <v>7087182330</v>
      </c>
    </row>
    <row r="189" spans="1:7" ht="17.25" customHeight="1" x14ac:dyDescent="0.2">
      <c r="A189" s="1611">
        <v>13</v>
      </c>
      <c r="B189" s="1611" t="s">
        <v>2037</v>
      </c>
      <c r="C189" s="1611" t="s">
        <v>3752</v>
      </c>
      <c r="D189" s="1612" t="s">
        <v>7555</v>
      </c>
      <c r="E189" s="1706" t="s">
        <v>7592</v>
      </c>
      <c r="F189" s="1613">
        <v>39090909</v>
      </c>
      <c r="G189" s="1613">
        <v>7126273239</v>
      </c>
    </row>
    <row r="190" spans="1:7" ht="17.25" customHeight="1" x14ac:dyDescent="0.2">
      <c r="A190" s="1611">
        <v>13</v>
      </c>
      <c r="B190" s="1611" t="s">
        <v>2039</v>
      </c>
      <c r="C190" s="1611" t="s">
        <v>3753</v>
      </c>
      <c r="D190" s="1612" t="s">
        <v>7555</v>
      </c>
      <c r="E190" s="1706" t="s">
        <v>7592</v>
      </c>
      <c r="F190" s="1613">
        <v>40272727</v>
      </c>
      <c r="G190" s="1613">
        <v>7166545966</v>
      </c>
    </row>
    <row r="191" spans="1:7" ht="17.25" customHeight="1" x14ac:dyDescent="0.2">
      <c r="A191" s="1611">
        <v>13</v>
      </c>
      <c r="B191" s="1611" t="s">
        <v>2039</v>
      </c>
      <c r="C191" s="1611" t="s">
        <v>3754</v>
      </c>
      <c r="D191" s="1612" t="s">
        <v>7555</v>
      </c>
      <c r="E191" s="1706" t="s">
        <v>7592</v>
      </c>
      <c r="F191" s="1613">
        <v>42545455</v>
      </c>
      <c r="G191" s="1613">
        <v>7209091421</v>
      </c>
    </row>
    <row r="192" spans="1:7" ht="17.25" customHeight="1" x14ac:dyDescent="0.2">
      <c r="A192" s="1611">
        <v>13</v>
      </c>
      <c r="B192" s="1611" t="s">
        <v>2037</v>
      </c>
      <c r="C192" s="1611" t="s">
        <v>3755</v>
      </c>
      <c r="D192" s="1612" t="s">
        <v>7555</v>
      </c>
      <c r="E192" s="1706" t="s">
        <v>7592</v>
      </c>
      <c r="F192" s="1613">
        <v>38936000</v>
      </c>
      <c r="G192" s="1613">
        <v>7248027421</v>
      </c>
    </row>
    <row r="193" spans="1:7" ht="17.25" customHeight="1" x14ac:dyDescent="0.2">
      <c r="A193" s="1611">
        <v>13</v>
      </c>
      <c r="B193" s="1611" t="s">
        <v>2027</v>
      </c>
      <c r="C193" s="1611" t="s">
        <v>3750</v>
      </c>
      <c r="D193" s="1612" t="s">
        <v>2024</v>
      </c>
      <c r="E193" s="1706" t="s">
        <v>7592</v>
      </c>
      <c r="F193" s="1613">
        <v>-13100000</v>
      </c>
      <c r="G193" s="1613">
        <v>7234927421</v>
      </c>
    </row>
    <row r="194" spans="1:7" ht="17.25" customHeight="1" x14ac:dyDescent="0.2">
      <c r="A194" s="1611">
        <v>13</v>
      </c>
      <c r="B194" s="1611" t="s">
        <v>2027</v>
      </c>
      <c r="C194" s="1611" t="s">
        <v>3750</v>
      </c>
      <c r="D194" s="1612" t="s">
        <v>2024</v>
      </c>
      <c r="E194" s="1706" t="s">
        <v>7592</v>
      </c>
      <c r="F194" s="1613">
        <v>13100000</v>
      </c>
      <c r="G194" s="1613">
        <v>7248027421</v>
      </c>
    </row>
    <row r="195" spans="1:7" ht="17.25" customHeight="1" x14ac:dyDescent="0.2">
      <c r="A195" s="1611">
        <v>13</v>
      </c>
      <c r="B195" s="1611" t="s">
        <v>7154</v>
      </c>
      <c r="C195" s="1611" t="s">
        <v>214</v>
      </c>
      <c r="D195" s="1612">
        <v>0</v>
      </c>
      <c r="E195" s="1706" t="s">
        <v>7592</v>
      </c>
      <c r="F195" s="1613">
        <v>28975109</v>
      </c>
      <c r="G195" s="1613">
        <v>7277002530</v>
      </c>
    </row>
    <row r="196" spans="1:7" ht="17.25" customHeight="1" x14ac:dyDescent="0.2">
      <c r="A196" s="1611">
        <v>13</v>
      </c>
      <c r="B196" s="1611" t="s">
        <v>2039</v>
      </c>
      <c r="C196" s="1611" t="s">
        <v>3756</v>
      </c>
      <c r="D196" s="1612" t="s">
        <v>7555</v>
      </c>
      <c r="E196" s="1706" t="s">
        <v>7592</v>
      </c>
      <c r="F196" s="1613">
        <v>43636363</v>
      </c>
      <c r="G196" s="1613">
        <v>7320638893</v>
      </c>
    </row>
    <row r="197" spans="1:7" ht="17.25" customHeight="1" x14ac:dyDescent="0.2">
      <c r="A197" s="1611">
        <v>13</v>
      </c>
      <c r="B197" s="1611" t="s">
        <v>2037</v>
      </c>
      <c r="C197" s="1611" t="s">
        <v>3757</v>
      </c>
      <c r="D197" s="1612" t="s">
        <v>7555</v>
      </c>
      <c r="E197" s="1706" t="s">
        <v>7592</v>
      </c>
      <c r="F197" s="1613">
        <v>37727273</v>
      </c>
      <c r="G197" s="1613">
        <v>7358366166</v>
      </c>
    </row>
    <row r="198" spans="1:7" ht="17.25" customHeight="1" x14ac:dyDescent="0.2">
      <c r="A198" s="1611">
        <v>13</v>
      </c>
      <c r="B198" s="1611" t="s">
        <v>2039</v>
      </c>
      <c r="C198" s="1611" t="s">
        <v>3758</v>
      </c>
      <c r="D198" s="1612" t="s">
        <v>7555</v>
      </c>
      <c r="E198" s="1706" t="s">
        <v>7592</v>
      </c>
      <c r="F198" s="1613">
        <v>42181818</v>
      </c>
      <c r="G198" s="1613">
        <v>7400547984</v>
      </c>
    </row>
    <row r="199" spans="1:7" ht="17.25" customHeight="1" x14ac:dyDescent="0.2">
      <c r="A199" s="1611">
        <v>13</v>
      </c>
      <c r="B199" s="1611" t="s">
        <v>3759</v>
      </c>
      <c r="C199" s="1611" t="s">
        <v>3597</v>
      </c>
      <c r="D199" s="1612">
        <v>0</v>
      </c>
      <c r="E199" s="1706" t="s">
        <v>7592</v>
      </c>
      <c r="F199" s="1613">
        <v>20535000</v>
      </c>
      <c r="G199" s="1613">
        <v>7421082984</v>
      </c>
    </row>
    <row r="200" spans="1:7" ht="17.25" customHeight="1" x14ac:dyDescent="0.2">
      <c r="A200" s="1611">
        <v>13</v>
      </c>
      <c r="B200" s="1611" t="s">
        <v>2068</v>
      </c>
      <c r="C200" s="1611" t="s">
        <v>3760</v>
      </c>
      <c r="D200" s="1612" t="s">
        <v>2024</v>
      </c>
      <c r="E200" s="1706" t="s">
        <v>7592</v>
      </c>
      <c r="F200" s="1613">
        <v>201500000</v>
      </c>
      <c r="G200" s="1613">
        <v>7622582984</v>
      </c>
    </row>
    <row r="201" spans="1:7" ht="17.25" customHeight="1" x14ac:dyDescent="0.2">
      <c r="A201" s="1611">
        <v>13</v>
      </c>
      <c r="B201" s="1611" t="s">
        <v>3761</v>
      </c>
      <c r="C201" s="1611" t="s">
        <v>3762</v>
      </c>
      <c r="D201" s="1612">
        <v>0</v>
      </c>
      <c r="E201" s="1706" t="s">
        <v>7592</v>
      </c>
      <c r="F201" s="1613">
        <v>46377000</v>
      </c>
      <c r="G201" s="1613">
        <v>7668959984</v>
      </c>
    </row>
    <row r="202" spans="1:7" ht="17.25" customHeight="1" x14ac:dyDescent="0.2">
      <c r="A202" s="1611">
        <v>13</v>
      </c>
      <c r="B202" s="1611" t="s">
        <v>2028</v>
      </c>
      <c r="C202" s="1611" t="s">
        <v>3763</v>
      </c>
      <c r="D202" s="1612" t="s">
        <v>2024</v>
      </c>
      <c r="E202" s="1706" t="s">
        <v>7592</v>
      </c>
      <c r="F202" s="1613">
        <v>15100000</v>
      </c>
      <c r="G202" s="1613">
        <v>7684059984</v>
      </c>
    </row>
    <row r="203" spans="1:7" ht="17.25" customHeight="1" x14ac:dyDescent="0.2">
      <c r="A203" s="1611">
        <v>13</v>
      </c>
      <c r="B203" s="1611" t="s">
        <v>2030</v>
      </c>
      <c r="C203" s="1611" t="s">
        <v>3764</v>
      </c>
      <c r="D203" s="1612" t="s">
        <v>7555</v>
      </c>
      <c r="E203" s="1706" t="s">
        <v>7592</v>
      </c>
      <c r="F203" s="1613">
        <v>36618182</v>
      </c>
      <c r="G203" s="1613">
        <v>7720678166</v>
      </c>
    </row>
    <row r="204" spans="1:7" ht="17.25" customHeight="1" x14ac:dyDescent="0.2">
      <c r="A204" s="1611">
        <v>13</v>
      </c>
      <c r="B204" s="1611" t="s">
        <v>2037</v>
      </c>
      <c r="C204" s="1611" t="s">
        <v>3765</v>
      </c>
      <c r="D204" s="1612" t="s">
        <v>7555</v>
      </c>
      <c r="E204" s="1706" t="s">
        <v>7592</v>
      </c>
      <c r="F204" s="1613">
        <v>39700000</v>
      </c>
      <c r="G204" s="1613">
        <v>7760378166</v>
      </c>
    </row>
    <row r="205" spans="1:7" ht="17.25" customHeight="1" x14ac:dyDescent="0.2">
      <c r="A205" s="1611">
        <v>13</v>
      </c>
      <c r="B205" s="1611" t="s">
        <v>2028</v>
      </c>
      <c r="C205" s="1611" t="s">
        <v>3766</v>
      </c>
      <c r="D205" s="1612" t="s">
        <v>2024</v>
      </c>
      <c r="E205" s="1706" t="s">
        <v>7592</v>
      </c>
      <c r="F205" s="1613">
        <v>13110000</v>
      </c>
      <c r="G205" s="1613">
        <v>7773488166</v>
      </c>
    </row>
    <row r="206" spans="1:7" ht="17.25" customHeight="1" x14ac:dyDescent="0.2">
      <c r="A206" s="1611">
        <v>13</v>
      </c>
      <c r="B206" s="1611" t="s">
        <v>2032</v>
      </c>
      <c r="C206" s="1611" t="s">
        <v>3767</v>
      </c>
      <c r="D206" s="1612" t="s">
        <v>7555</v>
      </c>
      <c r="E206" s="1706" t="s">
        <v>7592</v>
      </c>
      <c r="F206" s="1613">
        <v>33000000</v>
      </c>
      <c r="G206" s="1613">
        <v>7806488166</v>
      </c>
    </row>
    <row r="207" spans="1:7" ht="17.25" customHeight="1" x14ac:dyDescent="0.2">
      <c r="A207" s="1611">
        <v>13</v>
      </c>
      <c r="B207" s="1611" t="s">
        <v>2043</v>
      </c>
      <c r="C207" s="1611" t="s">
        <v>3768</v>
      </c>
      <c r="D207" s="1612" t="s">
        <v>7555</v>
      </c>
      <c r="E207" s="1706" t="s">
        <v>7592</v>
      </c>
      <c r="F207" s="1613">
        <v>50000000</v>
      </c>
      <c r="G207" s="1613">
        <v>7856488166</v>
      </c>
    </row>
    <row r="208" spans="1:7" ht="17.25" customHeight="1" x14ac:dyDescent="0.2">
      <c r="A208" s="1611">
        <v>13</v>
      </c>
      <c r="B208" s="1611" t="s">
        <v>2067</v>
      </c>
      <c r="C208" s="1611" t="s">
        <v>3769</v>
      </c>
      <c r="D208" s="1612" t="s">
        <v>2024</v>
      </c>
      <c r="E208" s="1706" t="s">
        <v>7592</v>
      </c>
      <c r="F208" s="1613">
        <v>93636364</v>
      </c>
      <c r="G208" s="1613">
        <v>7950124530</v>
      </c>
    </row>
    <row r="209" spans="1:7" ht="17.25" customHeight="1" x14ac:dyDescent="0.2">
      <c r="A209" s="1611">
        <v>13</v>
      </c>
      <c r="B209" s="1611" t="s">
        <v>2034</v>
      </c>
      <c r="C209" s="1611" t="s">
        <v>3770</v>
      </c>
      <c r="D209" s="1612" t="s">
        <v>7555</v>
      </c>
      <c r="E209" s="1706" t="s">
        <v>7592</v>
      </c>
      <c r="F209" s="1613">
        <v>41272728</v>
      </c>
      <c r="G209" s="1613">
        <v>7991397258</v>
      </c>
    </row>
    <row r="210" spans="1:7" ht="17.25" customHeight="1" x14ac:dyDescent="0.2">
      <c r="A210" s="1611">
        <v>13</v>
      </c>
      <c r="B210" s="1611" t="s">
        <v>2034</v>
      </c>
      <c r="C210" s="1611" t="s">
        <v>3771</v>
      </c>
      <c r="D210" s="1612" t="s">
        <v>7555</v>
      </c>
      <c r="E210" s="1706" t="s">
        <v>7592</v>
      </c>
      <c r="F210" s="1613">
        <v>41272728</v>
      </c>
      <c r="G210" s="1613">
        <v>8032669986</v>
      </c>
    </row>
    <row r="211" spans="1:7" ht="17.25" customHeight="1" x14ac:dyDescent="0.2">
      <c r="A211" s="1611">
        <v>13</v>
      </c>
      <c r="B211" s="1611" t="s">
        <v>3772</v>
      </c>
      <c r="C211" s="1611" t="s">
        <v>214</v>
      </c>
      <c r="D211" s="1612">
        <v>0</v>
      </c>
      <c r="E211" s="1706" t="s">
        <v>7592</v>
      </c>
      <c r="F211" s="1613">
        <v>1970000</v>
      </c>
      <c r="G211" s="1613">
        <v>8034639986</v>
      </c>
    </row>
    <row r="212" spans="1:7" ht="17.25" customHeight="1" x14ac:dyDescent="0.2">
      <c r="A212" s="1611">
        <v>13</v>
      </c>
      <c r="B212" s="1611" t="s">
        <v>3773</v>
      </c>
      <c r="C212" s="1611" t="s">
        <v>3770</v>
      </c>
      <c r="D212" s="1612">
        <v>0</v>
      </c>
      <c r="E212" s="1706" t="s">
        <v>7592</v>
      </c>
      <c r="F212" s="1613">
        <v>3350000</v>
      </c>
      <c r="G212" s="1613">
        <v>8037989986</v>
      </c>
    </row>
    <row r="213" spans="1:7" ht="17.25" customHeight="1" x14ac:dyDescent="0.2">
      <c r="A213" s="1611">
        <v>13</v>
      </c>
      <c r="B213" s="1611" t="s">
        <v>3774</v>
      </c>
      <c r="C213" s="1611" t="s">
        <v>3597</v>
      </c>
      <c r="D213" s="1612">
        <v>0</v>
      </c>
      <c r="E213" s="1706" t="s">
        <v>7592</v>
      </c>
      <c r="F213" s="1613">
        <v>11165000</v>
      </c>
      <c r="G213" s="1613">
        <v>8049154986</v>
      </c>
    </row>
    <row r="214" spans="1:7" ht="17.25" customHeight="1" x14ac:dyDescent="0.2">
      <c r="A214" s="1611">
        <v>13</v>
      </c>
      <c r="B214" s="1611" t="s">
        <v>2039</v>
      </c>
      <c r="C214" s="1611" t="s">
        <v>3775</v>
      </c>
      <c r="D214" s="1612" t="s">
        <v>7555</v>
      </c>
      <c r="E214" s="1706" t="s">
        <v>7592</v>
      </c>
      <c r="F214" s="1613">
        <v>46800000</v>
      </c>
      <c r="G214" s="1613">
        <v>8095954986</v>
      </c>
    </row>
    <row r="215" spans="1:7" ht="17.25" customHeight="1" x14ac:dyDescent="0.2">
      <c r="A215" s="1611">
        <v>13</v>
      </c>
      <c r="B215" s="1611" t="s">
        <v>3776</v>
      </c>
      <c r="C215" s="1611" t="s">
        <v>3777</v>
      </c>
      <c r="D215" s="1612">
        <v>0</v>
      </c>
      <c r="E215" s="1706" t="s">
        <v>7592</v>
      </c>
      <c r="F215" s="1613">
        <v>3636364</v>
      </c>
      <c r="G215" s="1613">
        <v>8099591350</v>
      </c>
    </row>
    <row r="216" spans="1:7" ht="17.25" customHeight="1" x14ac:dyDescent="0.2">
      <c r="A216" s="1611">
        <v>13</v>
      </c>
      <c r="B216" s="1611" t="s">
        <v>2039</v>
      </c>
      <c r="C216" s="1611" t="s">
        <v>3777</v>
      </c>
      <c r="D216" s="1612" t="s">
        <v>7555</v>
      </c>
      <c r="E216" s="1706" t="s">
        <v>7592</v>
      </c>
      <c r="F216" s="1613">
        <v>45363637</v>
      </c>
      <c r="G216" s="1613">
        <v>8144954987</v>
      </c>
    </row>
    <row r="217" spans="1:7" ht="17.25" customHeight="1" x14ac:dyDescent="0.2">
      <c r="A217" s="1611">
        <v>13</v>
      </c>
      <c r="B217" s="1611" t="s">
        <v>2047</v>
      </c>
      <c r="C217" s="1611" t="s">
        <v>3623</v>
      </c>
      <c r="D217" s="1612" t="s">
        <v>7555</v>
      </c>
      <c r="E217" s="1706" t="s">
        <v>7592</v>
      </c>
      <c r="F217" s="1613">
        <v>104545455</v>
      </c>
      <c r="G217" s="1613">
        <v>8249500442</v>
      </c>
    </row>
    <row r="218" spans="1:7" ht="17.25" customHeight="1" x14ac:dyDescent="0.2">
      <c r="A218" s="1611">
        <v>13</v>
      </c>
      <c r="B218" s="1611" t="s">
        <v>2028</v>
      </c>
      <c r="C218" s="1611" t="s">
        <v>3778</v>
      </c>
      <c r="D218" s="1612" t="s">
        <v>2024</v>
      </c>
      <c r="E218" s="1706" t="s">
        <v>7592</v>
      </c>
      <c r="F218" s="1613">
        <v>13517273</v>
      </c>
      <c r="G218" s="1613">
        <v>8263017715</v>
      </c>
    </row>
    <row r="219" spans="1:7" ht="17.25" customHeight="1" x14ac:dyDescent="0.2">
      <c r="A219" s="1611">
        <v>13</v>
      </c>
      <c r="B219" s="1611" t="s">
        <v>2039</v>
      </c>
      <c r="C219" s="1611" t="s">
        <v>3779</v>
      </c>
      <c r="D219" s="1612" t="s">
        <v>7555</v>
      </c>
      <c r="E219" s="1706" t="s">
        <v>7592</v>
      </c>
      <c r="F219" s="1613">
        <v>40909099</v>
      </c>
      <c r="G219" s="1613">
        <v>8303926814</v>
      </c>
    </row>
    <row r="220" spans="1:7" ht="17.25" customHeight="1" x14ac:dyDescent="0.2">
      <c r="A220" s="1611">
        <v>13</v>
      </c>
      <c r="B220" s="1611" t="s">
        <v>2037</v>
      </c>
      <c r="C220" s="1611" t="s">
        <v>3780</v>
      </c>
      <c r="D220" s="1612" t="s">
        <v>7555</v>
      </c>
      <c r="E220" s="1706" t="s">
        <v>7592</v>
      </c>
      <c r="F220" s="1613">
        <v>40300000</v>
      </c>
      <c r="G220" s="1613">
        <v>8344226814</v>
      </c>
    </row>
    <row r="221" spans="1:7" ht="17.25" customHeight="1" x14ac:dyDescent="0.2">
      <c r="A221" s="1611">
        <v>13</v>
      </c>
      <c r="B221" s="1611" t="s">
        <v>2032</v>
      </c>
      <c r="C221" s="1611" t="s">
        <v>3680</v>
      </c>
      <c r="D221" s="1612" t="s">
        <v>7555</v>
      </c>
      <c r="E221" s="1706" t="s">
        <v>7592</v>
      </c>
      <c r="F221" s="1613">
        <v>33000000</v>
      </c>
      <c r="G221" s="1613">
        <v>8377226814</v>
      </c>
    </row>
    <row r="222" spans="1:7" ht="17.25" customHeight="1" x14ac:dyDescent="0.2">
      <c r="A222" s="1611">
        <v>13</v>
      </c>
      <c r="B222" s="1611" t="s">
        <v>2037</v>
      </c>
      <c r="C222" s="1611" t="s">
        <v>3781</v>
      </c>
      <c r="D222" s="1612" t="s">
        <v>7555</v>
      </c>
      <c r="E222" s="1706" t="s">
        <v>7592</v>
      </c>
      <c r="F222" s="1613">
        <v>38618182</v>
      </c>
      <c r="G222" s="1613">
        <v>8415844996</v>
      </c>
    </row>
    <row r="223" spans="1:7" ht="17.25" customHeight="1" x14ac:dyDescent="0.2">
      <c r="A223" s="1611">
        <v>13</v>
      </c>
      <c r="B223" s="1611" t="s">
        <v>2041</v>
      </c>
      <c r="C223" s="1611" t="s">
        <v>3782</v>
      </c>
      <c r="D223" s="1612" t="s">
        <v>7555</v>
      </c>
      <c r="E223" s="1706" t="s">
        <v>7592</v>
      </c>
      <c r="F223" s="1613">
        <v>49500000</v>
      </c>
      <c r="G223" s="1613">
        <v>8465344996</v>
      </c>
    </row>
    <row r="224" spans="1:7" ht="17.25" customHeight="1" x14ac:dyDescent="0.2">
      <c r="A224" s="1611">
        <v>13</v>
      </c>
      <c r="B224" s="1611" t="s">
        <v>2027</v>
      </c>
      <c r="C224" s="1611" t="s">
        <v>3783</v>
      </c>
      <c r="D224" s="1612" t="s">
        <v>2024</v>
      </c>
      <c r="E224" s="1706" t="s">
        <v>7592</v>
      </c>
      <c r="F224" s="1613">
        <v>14998818</v>
      </c>
      <c r="G224" s="1613">
        <v>8480343814</v>
      </c>
    </row>
    <row r="225" spans="1:7" ht="17.25" customHeight="1" x14ac:dyDescent="0.2">
      <c r="A225" s="1611">
        <v>13</v>
      </c>
      <c r="B225" s="1611" t="s">
        <v>2041</v>
      </c>
      <c r="C225" s="1611" t="s">
        <v>3784</v>
      </c>
      <c r="D225" s="1612" t="s">
        <v>7555</v>
      </c>
      <c r="E225" s="1706" t="s">
        <v>7592</v>
      </c>
      <c r="F225" s="1613">
        <v>49767000</v>
      </c>
      <c r="G225" s="1613">
        <v>8530110814</v>
      </c>
    </row>
    <row r="226" spans="1:7" ht="17.25" customHeight="1" x14ac:dyDescent="0.2">
      <c r="A226" s="1611">
        <v>13</v>
      </c>
      <c r="B226" s="1611" t="s">
        <v>2039</v>
      </c>
      <c r="C226" s="1611" t="s">
        <v>3785</v>
      </c>
      <c r="D226" s="1612" t="s">
        <v>7555</v>
      </c>
      <c r="E226" s="1706" t="s">
        <v>7592</v>
      </c>
      <c r="F226" s="1613">
        <v>42272727</v>
      </c>
      <c r="G226" s="1613">
        <v>8572383541</v>
      </c>
    </row>
    <row r="227" spans="1:7" ht="17.25" customHeight="1" x14ac:dyDescent="0.2">
      <c r="A227" s="1611">
        <v>13</v>
      </c>
      <c r="B227" s="1611" t="s">
        <v>2039</v>
      </c>
      <c r="C227" s="1611" t="s">
        <v>3786</v>
      </c>
      <c r="D227" s="1612" t="s">
        <v>7555</v>
      </c>
      <c r="E227" s="1706" t="s">
        <v>7592</v>
      </c>
      <c r="F227" s="1613">
        <v>43000000</v>
      </c>
      <c r="G227" s="1613">
        <v>8615383541</v>
      </c>
    </row>
    <row r="228" spans="1:7" ht="17.25" customHeight="1" x14ac:dyDescent="0.2">
      <c r="A228" s="1611">
        <v>13</v>
      </c>
      <c r="B228" s="1611" t="s">
        <v>2039</v>
      </c>
      <c r="C228" s="1611" t="s">
        <v>3787</v>
      </c>
      <c r="D228" s="1612" t="s">
        <v>7555</v>
      </c>
      <c r="E228" s="1706" t="s">
        <v>7592</v>
      </c>
      <c r="F228" s="1613">
        <v>45363637</v>
      </c>
      <c r="G228" s="1613">
        <v>8660747178</v>
      </c>
    </row>
    <row r="229" spans="1:7" ht="17.25" customHeight="1" x14ac:dyDescent="0.2">
      <c r="A229" s="1611">
        <v>13</v>
      </c>
      <c r="B229" s="1611" t="s">
        <v>3788</v>
      </c>
      <c r="C229" s="1611" t="s">
        <v>3762</v>
      </c>
      <c r="D229" s="1612">
        <v>0</v>
      </c>
      <c r="E229" s="1706" t="s">
        <v>7592</v>
      </c>
      <c r="F229" s="1613">
        <v>150000</v>
      </c>
      <c r="G229" s="1613">
        <v>8660897178</v>
      </c>
    </row>
    <row r="230" spans="1:7" ht="17.25" customHeight="1" x14ac:dyDescent="0.2">
      <c r="A230" s="1611">
        <v>13</v>
      </c>
      <c r="B230" s="1611" t="s">
        <v>2037</v>
      </c>
      <c r="C230" s="1611" t="s">
        <v>3789</v>
      </c>
      <c r="D230" s="1612" t="s">
        <v>7555</v>
      </c>
      <c r="E230" s="1706" t="s">
        <v>7592</v>
      </c>
      <c r="F230" s="1613">
        <v>36500000</v>
      </c>
      <c r="G230" s="1613">
        <v>8697397178</v>
      </c>
    </row>
    <row r="231" spans="1:7" ht="17.25" customHeight="1" x14ac:dyDescent="0.2">
      <c r="A231" s="1611">
        <v>13</v>
      </c>
      <c r="B231" s="1611" t="s">
        <v>2039</v>
      </c>
      <c r="C231" s="1611" t="s">
        <v>3790</v>
      </c>
      <c r="D231" s="1612" t="s">
        <v>7555</v>
      </c>
      <c r="E231" s="1706" t="s">
        <v>7592</v>
      </c>
      <c r="F231" s="1613">
        <v>41000000</v>
      </c>
      <c r="G231" s="1613">
        <v>8738397178</v>
      </c>
    </row>
    <row r="232" spans="1:7" ht="17.25" customHeight="1" x14ac:dyDescent="0.2">
      <c r="A232" s="1611">
        <v>13</v>
      </c>
      <c r="B232" s="1611" t="s">
        <v>3791</v>
      </c>
      <c r="C232" s="1611" t="s">
        <v>3587</v>
      </c>
      <c r="D232" s="1612">
        <v>0</v>
      </c>
      <c r="E232" s="1706" t="s">
        <v>7592</v>
      </c>
      <c r="F232" s="1613">
        <v>1800000</v>
      </c>
      <c r="G232" s="1613">
        <v>8740197178</v>
      </c>
    </row>
    <row r="233" spans="1:7" ht="17.25" customHeight="1" x14ac:dyDescent="0.2">
      <c r="A233" s="1611">
        <v>13</v>
      </c>
      <c r="B233" s="1611" t="s">
        <v>2028</v>
      </c>
      <c r="C233" s="1611" t="s">
        <v>3792</v>
      </c>
      <c r="D233" s="1612" t="s">
        <v>2024</v>
      </c>
      <c r="E233" s="1706" t="s">
        <v>7592</v>
      </c>
      <c r="F233" s="1613">
        <v>14899000</v>
      </c>
      <c r="G233" s="1613">
        <v>8755096178</v>
      </c>
    </row>
    <row r="234" spans="1:7" ht="17.25" customHeight="1" x14ac:dyDescent="0.2">
      <c r="A234" s="1611">
        <v>13</v>
      </c>
      <c r="B234" s="1611" t="s">
        <v>2037</v>
      </c>
      <c r="C234" s="1611" t="s">
        <v>3482</v>
      </c>
      <c r="D234" s="1612" t="s">
        <v>7555</v>
      </c>
      <c r="E234" s="1706" t="s">
        <v>7592</v>
      </c>
      <c r="F234" s="1613">
        <v>37272728</v>
      </c>
      <c r="G234" s="1613">
        <v>8792368906</v>
      </c>
    </row>
    <row r="235" spans="1:7" ht="17.25" customHeight="1" x14ac:dyDescent="0.2">
      <c r="A235" s="1611">
        <v>13</v>
      </c>
      <c r="B235" s="1611" t="s">
        <v>2032</v>
      </c>
      <c r="C235" s="1611" t="s">
        <v>3464</v>
      </c>
      <c r="D235" s="1612" t="s">
        <v>7555</v>
      </c>
      <c r="E235" s="1706" t="s">
        <v>7592</v>
      </c>
      <c r="F235" s="1613">
        <v>36818182</v>
      </c>
      <c r="G235" s="1613">
        <v>8829187088</v>
      </c>
    </row>
    <row r="236" spans="1:7" ht="17.25" customHeight="1" x14ac:dyDescent="0.2">
      <c r="A236" s="1611">
        <v>13</v>
      </c>
      <c r="B236" s="1611" t="s">
        <v>2037</v>
      </c>
      <c r="C236" s="1611" t="s">
        <v>3793</v>
      </c>
      <c r="D236" s="1612" t="s">
        <v>7555</v>
      </c>
      <c r="E236" s="1706" t="s">
        <v>7592</v>
      </c>
      <c r="F236" s="1613">
        <v>35454546</v>
      </c>
      <c r="G236" s="1613">
        <v>8864641634</v>
      </c>
    </row>
    <row r="237" spans="1:7" ht="17.25" customHeight="1" x14ac:dyDescent="0.2">
      <c r="A237" s="1611">
        <v>13</v>
      </c>
      <c r="B237" s="1611" t="s">
        <v>3666</v>
      </c>
      <c r="C237" s="1611" t="s">
        <v>3738</v>
      </c>
      <c r="D237" s="1612">
        <v>0</v>
      </c>
      <c r="E237" s="1706" t="s">
        <v>7592</v>
      </c>
      <c r="F237" s="1613">
        <v>60263636</v>
      </c>
      <c r="G237" s="1613">
        <v>8924905270</v>
      </c>
    </row>
    <row r="238" spans="1:7" ht="17.25" customHeight="1" x14ac:dyDescent="0.2">
      <c r="A238" s="1611">
        <v>13</v>
      </c>
      <c r="B238" s="1611" t="s">
        <v>2037</v>
      </c>
      <c r="C238" s="1611" t="s">
        <v>3794</v>
      </c>
      <c r="D238" s="1612" t="s">
        <v>7555</v>
      </c>
      <c r="E238" s="1706" t="s">
        <v>7592</v>
      </c>
      <c r="F238" s="1613">
        <v>38000000</v>
      </c>
      <c r="G238" s="1613">
        <v>8962905270</v>
      </c>
    </row>
    <row r="239" spans="1:7" ht="17.25" customHeight="1" x14ac:dyDescent="0.2">
      <c r="A239" s="1611">
        <v>13</v>
      </c>
      <c r="B239" s="1611" t="s">
        <v>2037</v>
      </c>
      <c r="C239" s="1611" t="s">
        <v>3795</v>
      </c>
      <c r="D239" s="1612" t="s">
        <v>7555</v>
      </c>
      <c r="E239" s="1706" t="s">
        <v>7592</v>
      </c>
      <c r="F239" s="1613">
        <v>38181819</v>
      </c>
      <c r="G239" s="1613">
        <v>9001087089</v>
      </c>
    </row>
    <row r="240" spans="1:7" ht="17.25" customHeight="1" x14ac:dyDescent="0.2">
      <c r="A240" s="1611">
        <v>13</v>
      </c>
      <c r="B240" s="1611" t="s">
        <v>2034</v>
      </c>
      <c r="C240" s="1611" t="s">
        <v>3796</v>
      </c>
      <c r="D240" s="1612" t="s">
        <v>7555</v>
      </c>
      <c r="E240" s="1706" t="s">
        <v>7592</v>
      </c>
      <c r="F240" s="1613">
        <v>41272728</v>
      </c>
      <c r="G240" s="1613">
        <v>9042359817</v>
      </c>
    </row>
    <row r="241" spans="1:7" ht="17.25" customHeight="1" x14ac:dyDescent="0.2">
      <c r="A241" s="1611">
        <v>13</v>
      </c>
      <c r="B241" s="1611" t="s">
        <v>2039</v>
      </c>
      <c r="C241" s="1611" t="s">
        <v>3797</v>
      </c>
      <c r="D241" s="1612" t="s">
        <v>7555</v>
      </c>
      <c r="E241" s="1706" t="s">
        <v>7592</v>
      </c>
      <c r="F241" s="1613">
        <v>39583000</v>
      </c>
      <c r="G241" s="1613">
        <v>9081942817</v>
      </c>
    </row>
    <row r="242" spans="1:7" ht="17.25" customHeight="1" x14ac:dyDescent="0.2">
      <c r="A242" s="1611">
        <v>13</v>
      </c>
      <c r="B242" s="1611" t="s">
        <v>2043</v>
      </c>
      <c r="C242" s="1611" t="s">
        <v>3798</v>
      </c>
      <c r="D242" s="1612" t="s">
        <v>7555</v>
      </c>
      <c r="E242" s="1706" t="s">
        <v>7592</v>
      </c>
      <c r="F242" s="1613">
        <v>51270000</v>
      </c>
      <c r="G242" s="1613">
        <v>9133212817</v>
      </c>
    </row>
    <row r="243" spans="1:7" ht="17.25" customHeight="1" x14ac:dyDescent="0.2">
      <c r="A243" s="1611">
        <v>13</v>
      </c>
      <c r="B243" s="1611" t="s">
        <v>3799</v>
      </c>
      <c r="C243" s="1611" t="s">
        <v>3800</v>
      </c>
      <c r="D243" s="1612">
        <v>0</v>
      </c>
      <c r="E243" s="1706" t="s">
        <v>7592</v>
      </c>
      <c r="F243" s="1613">
        <v>7904000</v>
      </c>
      <c r="G243" s="1613">
        <v>9141116817</v>
      </c>
    </row>
    <row r="244" spans="1:7" ht="17.25" customHeight="1" x14ac:dyDescent="0.2">
      <c r="A244" s="1611">
        <v>13</v>
      </c>
      <c r="B244" s="1611" t="s">
        <v>2037</v>
      </c>
      <c r="C244" s="1611" t="s">
        <v>3801</v>
      </c>
      <c r="D244" s="1612" t="s">
        <v>7555</v>
      </c>
      <c r="E244" s="1706" t="s">
        <v>7592</v>
      </c>
      <c r="F244" s="1613">
        <v>38000000</v>
      </c>
      <c r="G244" s="1613">
        <v>9179116817</v>
      </c>
    </row>
    <row r="245" spans="1:7" ht="17.25" customHeight="1" x14ac:dyDescent="0.2">
      <c r="A245" s="1611">
        <v>13</v>
      </c>
      <c r="B245" s="1611" t="s">
        <v>2041</v>
      </c>
      <c r="C245" s="1611" t="s">
        <v>3802</v>
      </c>
      <c r="D245" s="1612" t="s">
        <v>7555</v>
      </c>
      <c r="E245" s="1706" t="s">
        <v>7592</v>
      </c>
      <c r="F245" s="1613">
        <v>50000000</v>
      </c>
      <c r="G245" s="1613">
        <v>9229116817</v>
      </c>
    </row>
    <row r="246" spans="1:7" ht="17.25" customHeight="1" x14ac:dyDescent="0.2">
      <c r="A246" s="1611">
        <v>13</v>
      </c>
      <c r="B246" s="1611" t="s">
        <v>2032</v>
      </c>
      <c r="C246" s="1611" t="s">
        <v>3803</v>
      </c>
      <c r="D246" s="1612" t="s">
        <v>7555</v>
      </c>
      <c r="E246" s="1706" t="s">
        <v>7592</v>
      </c>
      <c r="F246" s="1613">
        <v>33300000</v>
      </c>
      <c r="G246" s="1613">
        <v>9262416817</v>
      </c>
    </row>
    <row r="247" spans="1:7" ht="17.25" customHeight="1" x14ac:dyDescent="0.2">
      <c r="A247" s="1611">
        <v>13</v>
      </c>
      <c r="B247" s="1611" t="s">
        <v>2027</v>
      </c>
      <c r="C247" s="1611" t="s">
        <v>3804</v>
      </c>
      <c r="D247" s="1612" t="s">
        <v>2024</v>
      </c>
      <c r="E247" s="1706" t="s">
        <v>7592</v>
      </c>
      <c r="F247" s="1613">
        <v>12760000</v>
      </c>
      <c r="G247" s="1613">
        <v>9275176817</v>
      </c>
    </row>
    <row r="248" spans="1:7" ht="17.25" customHeight="1" x14ac:dyDescent="0.2">
      <c r="A248" s="1611">
        <v>13</v>
      </c>
      <c r="B248" s="1611" t="s">
        <v>2026</v>
      </c>
      <c r="C248" s="1611" t="s">
        <v>3804</v>
      </c>
      <c r="D248" s="1612" t="s">
        <v>2024</v>
      </c>
      <c r="E248" s="1706" t="s">
        <v>7592</v>
      </c>
      <c r="F248" s="1613">
        <v>14300000</v>
      </c>
      <c r="G248" s="1613">
        <v>9289476817</v>
      </c>
    </row>
    <row r="249" spans="1:7" ht="17.25" customHeight="1" x14ac:dyDescent="0.2">
      <c r="A249" s="1611">
        <v>13</v>
      </c>
      <c r="B249" s="1611" t="s">
        <v>3670</v>
      </c>
      <c r="C249" s="1611" t="s">
        <v>3597</v>
      </c>
      <c r="D249" s="1612">
        <v>0</v>
      </c>
      <c r="E249" s="1706" t="s">
        <v>7592</v>
      </c>
      <c r="F249" s="1613">
        <v>51514000</v>
      </c>
      <c r="G249" s="1613">
        <v>9340990817</v>
      </c>
    </row>
    <row r="250" spans="1:7" ht="17.25" customHeight="1" x14ac:dyDescent="0.2">
      <c r="A250" s="1611">
        <v>13</v>
      </c>
      <c r="B250" s="1611" t="s">
        <v>2039</v>
      </c>
      <c r="C250" s="1611" t="s">
        <v>3805</v>
      </c>
      <c r="D250" s="1612" t="s">
        <v>7555</v>
      </c>
      <c r="E250" s="1706" t="s">
        <v>7592</v>
      </c>
      <c r="F250" s="1613">
        <v>44545455</v>
      </c>
      <c r="G250" s="1613">
        <v>9385536272</v>
      </c>
    </row>
    <row r="251" spans="1:7" ht="17.25" customHeight="1" x14ac:dyDescent="0.2">
      <c r="A251" s="1611">
        <v>13</v>
      </c>
      <c r="B251" s="1611" t="s">
        <v>2028</v>
      </c>
      <c r="C251" s="1611" t="s">
        <v>3806</v>
      </c>
      <c r="D251" s="1612" t="s">
        <v>2024</v>
      </c>
      <c r="E251" s="1706" t="s">
        <v>7592</v>
      </c>
      <c r="F251" s="1613">
        <v>14200000</v>
      </c>
      <c r="G251" s="1613">
        <v>9399736272</v>
      </c>
    </row>
    <row r="252" spans="1:7" ht="17.25" customHeight="1" x14ac:dyDescent="0.2">
      <c r="A252" s="1611">
        <v>13</v>
      </c>
      <c r="B252" s="1611" t="s">
        <v>7153</v>
      </c>
      <c r="C252" s="1611" t="s">
        <v>214</v>
      </c>
      <c r="D252" s="1612">
        <v>0</v>
      </c>
      <c r="E252" s="1706" t="s">
        <v>7592</v>
      </c>
      <c r="F252" s="1613">
        <v>61182846</v>
      </c>
      <c r="G252" s="1613">
        <v>9460919118</v>
      </c>
    </row>
    <row r="253" spans="1:7" ht="17.25" customHeight="1" x14ac:dyDescent="0.2">
      <c r="A253" s="1611">
        <v>13</v>
      </c>
      <c r="B253" s="1611" t="s">
        <v>2037</v>
      </c>
      <c r="C253" s="1611" t="s">
        <v>3807</v>
      </c>
      <c r="D253" s="1612" t="s">
        <v>7555</v>
      </c>
      <c r="E253" s="1706" t="s">
        <v>7592</v>
      </c>
      <c r="F253" s="1613">
        <v>35000000</v>
      </c>
      <c r="G253" s="1613">
        <v>9495919118</v>
      </c>
    </row>
    <row r="254" spans="1:7" ht="17.25" customHeight="1" x14ac:dyDescent="0.2">
      <c r="A254" s="1611">
        <v>13</v>
      </c>
      <c r="B254" s="1611" t="s">
        <v>2037</v>
      </c>
      <c r="C254" s="1611" t="s">
        <v>3808</v>
      </c>
      <c r="D254" s="1612" t="s">
        <v>7555</v>
      </c>
      <c r="E254" s="1706" t="s">
        <v>7592</v>
      </c>
      <c r="F254" s="1613">
        <v>38181818</v>
      </c>
      <c r="G254" s="1613">
        <v>9534100936</v>
      </c>
    </row>
    <row r="255" spans="1:7" ht="17.25" customHeight="1" x14ac:dyDescent="0.2">
      <c r="A255" s="1611">
        <v>13</v>
      </c>
      <c r="B255" s="1611" t="s">
        <v>2032</v>
      </c>
      <c r="C255" s="1611" t="s">
        <v>3809</v>
      </c>
      <c r="D255" s="1612" t="s">
        <v>7555</v>
      </c>
      <c r="E255" s="1706" t="s">
        <v>7592</v>
      </c>
      <c r="F255" s="1613">
        <v>33000000</v>
      </c>
      <c r="G255" s="1613">
        <v>9567100936</v>
      </c>
    </row>
    <row r="256" spans="1:7" ht="17.25" customHeight="1" x14ac:dyDescent="0.2">
      <c r="A256" s="1611">
        <v>13</v>
      </c>
      <c r="B256" s="1611" t="s">
        <v>2037</v>
      </c>
      <c r="C256" s="1611" t="s">
        <v>3810</v>
      </c>
      <c r="D256" s="1612" t="s">
        <v>7555</v>
      </c>
      <c r="E256" s="1706" t="s">
        <v>7592</v>
      </c>
      <c r="F256" s="1613">
        <v>35413637</v>
      </c>
      <c r="G256" s="1613">
        <v>9602514573</v>
      </c>
    </row>
    <row r="257" spans="1:7" ht="17.25" customHeight="1" x14ac:dyDescent="0.2">
      <c r="A257" s="1611">
        <v>13</v>
      </c>
      <c r="B257" s="1611" t="s">
        <v>2041</v>
      </c>
      <c r="C257" s="1611" t="s">
        <v>3811</v>
      </c>
      <c r="D257" s="1612" t="s">
        <v>7555</v>
      </c>
      <c r="E257" s="1706" t="s">
        <v>7592</v>
      </c>
      <c r="F257" s="1613">
        <v>48636364</v>
      </c>
      <c r="G257" s="1613">
        <v>9651150937</v>
      </c>
    </row>
    <row r="258" spans="1:7" ht="17.25" customHeight="1" x14ac:dyDescent="0.2">
      <c r="A258" s="1611">
        <v>13</v>
      </c>
      <c r="B258" s="1611" t="s">
        <v>3812</v>
      </c>
      <c r="C258" s="1611" t="s">
        <v>3787</v>
      </c>
      <c r="D258" s="1612">
        <v>0</v>
      </c>
      <c r="E258" s="1706" t="s">
        <v>7592</v>
      </c>
      <c r="F258" s="1613">
        <v>3790909</v>
      </c>
      <c r="G258" s="1613">
        <v>9654941846</v>
      </c>
    </row>
    <row r="259" spans="1:7" ht="17.25" customHeight="1" x14ac:dyDescent="0.2">
      <c r="A259" s="1611">
        <v>13</v>
      </c>
      <c r="B259" s="1611" t="s">
        <v>2039</v>
      </c>
      <c r="C259" s="1611" t="s">
        <v>3813</v>
      </c>
      <c r="D259" s="1612" t="s">
        <v>7555</v>
      </c>
      <c r="E259" s="1706" t="s">
        <v>7592</v>
      </c>
      <c r="F259" s="1613">
        <v>41000000</v>
      </c>
      <c r="G259" s="1613">
        <v>9695941846</v>
      </c>
    </row>
    <row r="260" spans="1:7" ht="17.25" customHeight="1" x14ac:dyDescent="0.2">
      <c r="A260" s="1611">
        <v>13</v>
      </c>
      <c r="B260" s="1611" t="s">
        <v>2028</v>
      </c>
      <c r="C260" s="1611" t="s">
        <v>3814</v>
      </c>
      <c r="D260" s="1612" t="s">
        <v>2024</v>
      </c>
      <c r="E260" s="1706" t="s">
        <v>7592</v>
      </c>
      <c r="F260" s="1613">
        <v>13500000</v>
      </c>
      <c r="G260" s="1613">
        <v>9709441846</v>
      </c>
    </row>
    <row r="261" spans="1:7" ht="17.25" customHeight="1" x14ac:dyDescent="0.2">
      <c r="A261" s="1611">
        <v>13</v>
      </c>
      <c r="B261" s="1611" t="s">
        <v>3815</v>
      </c>
      <c r="C261" s="1611" t="s">
        <v>3816</v>
      </c>
      <c r="D261" s="1612">
        <v>0</v>
      </c>
      <c r="E261" s="1706" t="s">
        <v>7592</v>
      </c>
      <c r="F261" s="1613">
        <v>14600000</v>
      </c>
      <c r="G261" s="1613">
        <v>9724041846</v>
      </c>
    </row>
    <row r="262" spans="1:7" ht="17.25" customHeight="1" x14ac:dyDescent="0.2">
      <c r="A262" s="1611">
        <v>13</v>
      </c>
      <c r="B262" s="1611" t="s">
        <v>2041</v>
      </c>
      <c r="C262" s="1611" t="s">
        <v>3817</v>
      </c>
      <c r="D262" s="1612" t="s">
        <v>7555</v>
      </c>
      <c r="E262" s="1706" t="s">
        <v>7592</v>
      </c>
      <c r="F262" s="1613">
        <v>47272727</v>
      </c>
      <c r="G262" s="1613">
        <v>9771314573</v>
      </c>
    </row>
    <row r="263" spans="1:7" ht="17.25" customHeight="1" x14ac:dyDescent="0.2">
      <c r="A263" s="1611">
        <v>13</v>
      </c>
      <c r="B263" s="1611" t="s">
        <v>3818</v>
      </c>
      <c r="C263" s="1611" t="s">
        <v>3597</v>
      </c>
      <c r="D263" s="1612">
        <v>0</v>
      </c>
      <c r="E263" s="1706" t="s">
        <v>7592</v>
      </c>
      <c r="F263" s="1613">
        <v>60000000</v>
      </c>
      <c r="G263" s="1613">
        <v>9831314573</v>
      </c>
    </row>
    <row r="264" spans="1:7" ht="17.25" customHeight="1" x14ac:dyDescent="0.2">
      <c r="A264" s="1611">
        <v>13</v>
      </c>
      <c r="B264" s="1611" t="s">
        <v>2032</v>
      </c>
      <c r="C264" s="1611" t="s">
        <v>3819</v>
      </c>
      <c r="D264" s="1612" t="s">
        <v>7555</v>
      </c>
      <c r="E264" s="1706" t="s">
        <v>7592</v>
      </c>
      <c r="F264" s="1613">
        <v>33636364</v>
      </c>
      <c r="G264" s="1613">
        <v>9864950937</v>
      </c>
    </row>
    <row r="265" spans="1:7" ht="17.25" customHeight="1" x14ac:dyDescent="0.2">
      <c r="A265" s="1611">
        <v>13</v>
      </c>
      <c r="B265" s="1611" t="s">
        <v>2027</v>
      </c>
      <c r="C265" s="1611" t="s">
        <v>3820</v>
      </c>
      <c r="D265" s="1612" t="s">
        <v>2024</v>
      </c>
      <c r="E265" s="1706" t="s">
        <v>7592</v>
      </c>
      <c r="F265" s="1613">
        <v>13760000</v>
      </c>
      <c r="G265" s="1613">
        <v>9878710937</v>
      </c>
    </row>
    <row r="266" spans="1:7" ht="17.25" customHeight="1" x14ac:dyDescent="0.2">
      <c r="A266" s="1611">
        <v>13</v>
      </c>
      <c r="B266" s="1611" t="s">
        <v>2032</v>
      </c>
      <c r="C266" s="1611" t="s">
        <v>3819</v>
      </c>
      <c r="D266" s="1612" t="s">
        <v>7555</v>
      </c>
      <c r="E266" s="1706" t="s">
        <v>7592</v>
      </c>
      <c r="F266" s="1613">
        <v>-33636364</v>
      </c>
      <c r="G266" s="1613">
        <v>9845074573</v>
      </c>
    </row>
    <row r="267" spans="1:7" ht="17.25" customHeight="1" x14ac:dyDescent="0.2">
      <c r="A267" s="1611">
        <v>13</v>
      </c>
      <c r="B267" s="1611" t="s">
        <v>2032</v>
      </c>
      <c r="C267" s="1611" t="s">
        <v>3821</v>
      </c>
      <c r="D267" s="1612" t="s">
        <v>7555</v>
      </c>
      <c r="E267" s="1706" t="s">
        <v>7592</v>
      </c>
      <c r="F267" s="1613">
        <v>33636364</v>
      </c>
      <c r="G267" s="1613">
        <v>9878710937</v>
      </c>
    </row>
    <row r="268" spans="1:7" ht="17.25" customHeight="1" x14ac:dyDescent="0.2">
      <c r="A268" s="1611">
        <v>13</v>
      </c>
      <c r="B268" s="1611" t="s">
        <v>2032</v>
      </c>
      <c r="C268" s="1611" t="s">
        <v>3821</v>
      </c>
      <c r="D268" s="1612" t="s">
        <v>7555</v>
      </c>
      <c r="E268" s="1706" t="s">
        <v>7592</v>
      </c>
      <c r="F268" s="1613">
        <v>-33636364</v>
      </c>
      <c r="G268" s="1613">
        <v>9845074573</v>
      </c>
    </row>
    <row r="269" spans="1:7" ht="17.25" customHeight="1" x14ac:dyDescent="0.2">
      <c r="A269" s="1611">
        <v>13</v>
      </c>
      <c r="B269" s="1611" t="s">
        <v>2032</v>
      </c>
      <c r="C269" s="1611" t="s">
        <v>3819</v>
      </c>
      <c r="D269" s="1612" t="s">
        <v>7555</v>
      </c>
      <c r="E269" s="1706" t="s">
        <v>7592</v>
      </c>
      <c r="F269" s="1613">
        <v>33636364</v>
      </c>
      <c r="G269" s="1613">
        <v>9878710937</v>
      </c>
    </row>
    <row r="270" spans="1:7" ht="17.25" customHeight="1" x14ac:dyDescent="0.2">
      <c r="A270" s="1611">
        <v>13</v>
      </c>
      <c r="B270" s="1611" t="s">
        <v>2032</v>
      </c>
      <c r="C270" s="1611" t="s">
        <v>3819</v>
      </c>
      <c r="D270" s="1612" t="s">
        <v>7555</v>
      </c>
      <c r="E270" s="1706" t="s">
        <v>7592</v>
      </c>
      <c r="F270" s="1613">
        <v>-33636364</v>
      </c>
      <c r="G270" s="1613">
        <v>9845074573</v>
      </c>
    </row>
    <row r="271" spans="1:7" ht="17.25" customHeight="1" x14ac:dyDescent="0.2">
      <c r="A271" s="1611">
        <v>13</v>
      </c>
      <c r="B271" s="1611" t="s">
        <v>2032</v>
      </c>
      <c r="C271" s="1611" t="s">
        <v>3819</v>
      </c>
      <c r="D271" s="1612" t="s">
        <v>7555</v>
      </c>
      <c r="E271" s="1706" t="s">
        <v>7592</v>
      </c>
      <c r="F271" s="1613">
        <v>33636364</v>
      </c>
      <c r="G271" s="1613">
        <v>9878710937</v>
      </c>
    </row>
    <row r="272" spans="1:7" ht="17.25" customHeight="1" x14ac:dyDescent="0.2">
      <c r="A272" s="1611">
        <v>13</v>
      </c>
      <c r="B272" s="1611" t="s">
        <v>2032</v>
      </c>
      <c r="C272" s="1611" t="s">
        <v>3819</v>
      </c>
      <c r="D272" s="1612" t="s">
        <v>7555</v>
      </c>
      <c r="E272" s="1706" t="s">
        <v>7592</v>
      </c>
      <c r="F272" s="1613">
        <v>-33636364</v>
      </c>
      <c r="G272" s="1613">
        <v>9845074573</v>
      </c>
    </row>
    <row r="273" spans="1:7" ht="17.25" customHeight="1" x14ac:dyDescent="0.2">
      <c r="A273" s="1611">
        <v>13</v>
      </c>
      <c r="B273" s="1611" t="s">
        <v>2032</v>
      </c>
      <c r="C273" s="1611" t="s">
        <v>3819</v>
      </c>
      <c r="D273" s="1612" t="s">
        <v>7555</v>
      </c>
      <c r="E273" s="1706" t="s">
        <v>7592</v>
      </c>
      <c r="F273" s="1613">
        <v>33636364</v>
      </c>
      <c r="G273" s="1613">
        <v>9878710937</v>
      </c>
    </row>
    <row r="274" spans="1:7" ht="17.25" customHeight="1" x14ac:dyDescent="0.2">
      <c r="A274" s="1611">
        <v>13</v>
      </c>
      <c r="B274" s="1611" t="s">
        <v>2037</v>
      </c>
      <c r="C274" s="1611" t="s">
        <v>3822</v>
      </c>
      <c r="D274" s="1612" t="s">
        <v>7555</v>
      </c>
      <c r="E274" s="1706" t="s">
        <v>7592</v>
      </c>
      <c r="F274" s="1613">
        <v>37250000</v>
      </c>
      <c r="G274" s="1613">
        <v>9915960937</v>
      </c>
    </row>
    <row r="275" spans="1:7" ht="17.25" customHeight="1" x14ac:dyDescent="0.2">
      <c r="A275" s="1611">
        <v>13</v>
      </c>
      <c r="B275" s="1611" t="s">
        <v>2039</v>
      </c>
      <c r="C275" s="1611" t="s">
        <v>3823</v>
      </c>
      <c r="D275" s="1612" t="s">
        <v>7555</v>
      </c>
      <c r="E275" s="1706" t="s">
        <v>7592</v>
      </c>
      <c r="F275" s="1613">
        <v>43500000</v>
      </c>
      <c r="G275" s="1613">
        <v>9959460937</v>
      </c>
    </row>
    <row r="276" spans="1:7" ht="17.25" customHeight="1" x14ac:dyDescent="0.2">
      <c r="A276" s="1611">
        <v>13</v>
      </c>
      <c r="B276" s="1611" t="s">
        <v>2039</v>
      </c>
      <c r="C276" s="1611" t="s">
        <v>3824</v>
      </c>
      <c r="D276" s="1612" t="s">
        <v>7555</v>
      </c>
      <c r="E276" s="1706" t="s">
        <v>7592</v>
      </c>
      <c r="F276" s="1613">
        <v>40533000</v>
      </c>
      <c r="G276" s="1613">
        <v>9999993937</v>
      </c>
    </row>
    <row r="277" spans="1:7" ht="17.25" customHeight="1" x14ac:dyDescent="0.2">
      <c r="A277" s="1611">
        <v>13</v>
      </c>
      <c r="B277" s="1611" t="s">
        <v>2027</v>
      </c>
      <c r="C277" s="1611" t="s">
        <v>3599</v>
      </c>
      <c r="D277" s="1612" t="s">
        <v>2024</v>
      </c>
      <c r="E277" s="1706" t="s">
        <v>7592</v>
      </c>
      <c r="F277" s="1613">
        <v>16220000</v>
      </c>
      <c r="G277" s="1613">
        <v>10016213937</v>
      </c>
    </row>
    <row r="278" spans="1:7" ht="17.25" customHeight="1" x14ac:dyDescent="0.2">
      <c r="A278" s="1611">
        <v>13</v>
      </c>
      <c r="B278" s="1611" t="s">
        <v>2028</v>
      </c>
      <c r="C278" s="1611" t="s">
        <v>3825</v>
      </c>
      <c r="D278" s="1612" t="s">
        <v>2024</v>
      </c>
      <c r="E278" s="1706" t="s">
        <v>7592</v>
      </c>
      <c r="F278" s="1613">
        <v>15454546</v>
      </c>
      <c r="G278" s="1613">
        <v>10031668483</v>
      </c>
    </row>
    <row r="279" spans="1:7" ht="17.25" customHeight="1" x14ac:dyDescent="0.2">
      <c r="A279" s="1611">
        <v>13</v>
      </c>
      <c r="B279" s="1611" t="s">
        <v>2034</v>
      </c>
      <c r="C279" s="1611" t="s">
        <v>3826</v>
      </c>
      <c r="D279" s="1612" t="s">
        <v>7555</v>
      </c>
      <c r="E279" s="1706" t="s">
        <v>7592</v>
      </c>
      <c r="F279" s="1613">
        <v>1200000</v>
      </c>
      <c r="G279" s="1613">
        <v>10032868483</v>
      </c>
    </row>
    <row r="280" spans="1:7" ht="17.25" customHeight="1" x14ac:dyDescent="0.2">
      <c r="A280" s="1611">
        <v>13</v>
      </c>
      <c r="B280" s="1611" t="s">
        <v>2028</v>
      </c>
      <c r="C280" s="1611" t="s">
        <v>3827</v>
      </c>
      <c r="D280" s="1612" t="s">
        <v>2024</v>
      </c>
      <c r="E280" s="1706" t="s">
        <v>7592</v>
      </c>
      <c r="F280" s="1613">
        <v>13273909</v>
      </c>
      <c r="G280" s="1613">
        <v>10046142392</v>
      </c>
    </row>
    <row r="281" spans="1:7" ht="17.25" customHeight="1" x14ac:dyDescent="0.2">
      <c r="A281" s="1611">
        <v>13</v>
      </c>
      <c r="B281" s="1611" t="s">
        <v>3666</v>
      </c>
      <c r="C281" s="1611" t="s">
        <v>3828</v>
      </c>
      <c r="D281" s="1612">
        <v>0</v>
      </c>
      <c r="E281" s="1706" t="s">
        <v>7592</v>
      </c>
      <c r="F281" s="1613">
        <v>58400000</v>
      </c>
      <c r="G281" s="1613">
        <v>10104542392</v>
      </c>
    </row>
    <row r="282" spans="1:7" ht="17.25" customHeight="1" x14ac:dyDescent="0.2">
      <c r="A282" s="1611">
        <v>13</v>
      </c>
      <c r="B282" s="1611" t="s">
        <v>2028</v>
      </c>
      <c r="C282" s="1611" t="s">
        <v>3829</v>
      </c>
      <c r="D282" s="1612" t="s">
        <v>2024</v>
      </c>
      <c r="E282" s="1706" t="s">
        <v>7592</v>
      </c>
      <c r="F282" s="1613">
        <v>15181819</v>
      </c>
      <c r="G282" s="1613">
        <v>10119724211</v>
      </c>
    </row>
    <row r="283" spans="1:7" ht="17.25" customHeight="1" x14ac:dyDescent="0.2">
      <c r="A283" s="1611">
        <v>13</v>
      </c>
      <c r="B283" s="1611" t="s">
        <v>2028</v>
      </c>
      <c r="C283" s="1611" t="s">
        <v>3830</v>
      </c>
      <c r="D283" s="1612" t="s">
        <v>2024</v>
      </c>
      <c r="E283" s="1706" t="s">
        <v>7592</v>
      </c>
      <c r="F283" s="1613">
        <v>14000000</v>
      </c>
      <c r="G283" s="1613">
        <v>10133724211</v>
      </c>
    </row>
    <row r="284" spans="1:7" ht="17.25" customHeight="1" x14ac:dyDescent="0.2">
      <c r="A284" s="1611">
        <v>13</v>
      </c>
      <c r="B284" s="1611" t="s">
        <v>2026</v>
      </c>
      <c r="C284" s="1611" t="s">
        <v>3831</v>
      </c>
      <c r="D284" s="1612" t="s">
        <v>2024</v>
      </c>
      <c r="E284" s="1706" t="s">
        <v>7592</v>
      </c>
      <c r="F284" s="1613">
        <v>13486364</v>
      </c>
      <c r="G284" s="1613">
        <v>10147210575</v>
      </c>
    </row>
    <row r="285" spans="1:7" ht="17.25" customHeight="1" x14ac:dyDescent="0.2">
      <c r="A285" s="1611">
        <v>13</v>
      </c>
      <c r="B285" s="1611" t="s">
        <v>2034</v>
      </c>
      <c r="C285" s="1611" t="s">
        <v>3826</v>
      </c>
      <c r="D285" s="1612" t="s">
        <v>7555</v>
      </c>
      <c r="E285" s="1706" t="s">
        <v>7592</v>
      </c>
      <c r="F285" s="1613">
        <v>41272728</v>
      </c>
      <c r="G285" s="1613">
        <v>10188483303</v>
      </c>
    </row>
    <row r="286" spans="1:7" ht="17.25" customHeight="1" x14ac:dyDescent="0.2">
      <c r="A286" s="1611">
        <v>13</v>
      </c>
      <c r="B286" s="1611" t="s">
        <v>2028</v>
      </c>
      <c r="C286" s="1611" t="s">
        <v>3829</v>
      </c>
      <c r="D286" s="1612" t="s">
        <v>2024</v>
      </c>
      <c r="E286" s="1706" t="s">
        <v>7592</v>
      </c>
      <c r="F286" s="1613">
        <v>-15181819</v>
      </c>
      <c r="G286" s="1613">
        <v>10173301484</v>
      </c>
    </row>
    <row r="287" spans="1:7" ht="17.25" customHeight="1" x14ac:dyDescent="0.2">
      <c r="A287" s="1611">
        <v>13</v>
      </c>
      <c r="B287" s="1611" t="s">
        <v>2820</v>
      </c>
      <c r="C287" s="1611" t="s">
        <v>3832</v>
      </c>
      <c r="D287" s="1612" t="s">
        <v>2024</v>
      </c>
      <c r="E287" s="1706" t="s">
        <v>7592</v>
      </c>
      <c r="F287" s="1613">
        <v>60563637</v>
      </c>
      <c r="G287" s="1613">
        <v>10233865121</v>
      </c>
    </row>
    <row r="288" spans="1:7" ht="17.25" customHeight="1" x14ac:dyDescent="0.2">
      <c r="A288" s="1611">
        <v>13</v>
      </c>
      <c r="B288" s="1611" t="s">
        <v>2039</v>
      </c>
      <c r="C288" s="1611" t="s">
        <v>3833</v>
      </c>
      <c r="D288" s="1612" t="s">
        <v>7555</v>
      </c>
      <c r="E288" s="1706" t="s">
        <v>7592</v>
      </c>
      <c r="F288" s="1613">
        <v>40600000</v>
      </c>
      <c r="G288" s="1613">
        <v>10274465121</v>
      </c>
    </row>
    <row r="289" spans="1:7" ht="17.25" customHeight="1" x14ac:dyDescent="0.2">
      <c r="A289" s="1611">
        <v>13</v>
      </c>
      <c r="B289" s="1611" t="s">
        <v>2032</v>
      </c>
      <c r="C289" s="1611" t="s">
        <v>3834</v>
      </c>
      <c r="D289" s="1612" t="s">
        <v>7555</v>
      </c>
      <c r="E289" s="1706" t="s">
        <v>7592</v>
      </c>
      <c r="F289" s="1613">
        <v>31370000</v>
      </c>
      <c r="G289" s="1613">
        <v>10305835121</v>
      </c>
    </row>
    <row r="290" spans="1:7" ht="17.25" customHeight="1" x14ac:dyDescent="0.2">
      <c r="A290" s="1611">
        <v>13</v>
      </c>
      <c r="B290" s="1611" t="s">
        <v>2037</v>
      </c>
      <c r="C290" s="1611" t="s">
        <v>3719</v>
      </c>
      <c r="D290" s="1612" t="s">
        <v>7555</v>
      </c>
      <c r="E290" s="1706" t="s">
        <v>7592</v>
      </c>
      <c r="F290" s="1613">
        <v>37000000</v>
      </c>
      <c r="G290" s="1613">
        <v>10342835121</v>
      </c>
    </row>
    <row r="291" spans="1:7" ht="17.25" customHeight="1" x14ac:dyDescent="0.2">
      <c r="A291" s="1611">
        <v>13</v>
      </c>
      <c r="B291" s="1611" t="s">
        <v>2037</v>
      </c>
      <c r="C291" s="1611" t="s">
        <v>3835</v>
      </c>
      <c r="D291" s="1612" t="s">
        <v>7555</v>
      </c>
      <c r="E291" s="1706" t="s">
        <v>7592</v>
      </c>
      <c r="F291" s="1613">
        <v>36818182</v>
      </c>
      <c r="G291" s="1613">
        <v>10379653303</v>
      </c>
    </row>
    <row r="292" spans="1:7" ht="17.25" customHeight="1" x14ac:dyDescent="0.2">
      <c r="A292" s="1611">
        <v>13</v>
      </c>
      <c r="B292" s="1611" t="s">
        <v>2037</v>
      </c>
      <c r="C292" s="1611" t="s">
        <v>3836</v>
      </c>
      <c r="D292" s="1612" t="s">
        <v>7555</v>
      </c>
      <c r="E292" s="1706" t="s">
        <v>7592</v>
      </c>
      <c r="F292" s="1613">
        <v>37000000</v>
      </c>
      <c r="G292" s="1613">
        <v>10416653303</v>
      </c>
    </row>
    <row r="293" spans="1:7" ht="17.25" customHeight="1" x14ac:dyDescent="0.2">
      <c r="A293" s="1611">
        <v>13</v>
      </c>
      <c r="B293" s="1611" t="s">
        <v>3627</v>
      </c>
      <c r="C293" s="1611" t="s">
        <v>3837</v>
      </c>
      <c r="D293" s="1612">
        <v>0</v>
      </c>
      <c r="E293" s="1706" t="s">
        <v>7592</v>
      </c>
      <c r="F293" s="1613">
        <v>118636364</v>
      </c>
      <c r="G293" s="1613">
        <v>10535289667</v>
      </c>
    </row>
    <row r="294" spans="1:7" ht="17.25" customHeight="1" x14ac:dyDescent="0.2">
      <c r="A294" s="1611">
        <v>13</v>
      </c>
      <c r="B294" s="1611" t="s">
        <v>2028</v>
      </c>
      <c r="C294" s="1611" t="s">
        <v>3838</v>
      </c>
      <c r="D294" s="1612" t="s">
        <v>2024</v>
      </c>
      <c r="E294" s="1706" t="s">
        <v>7592</v>
      </c>
      <c r="F294" s="1613">
        <v>15500000</v>
      </c>
      <c r="G294" s="1613">
        <v>10550789667</v>
      </c>
    </row>
    <row r="295" spans="1:7" ht="17.25" customHeight="1" x14ac:dyDescent="0.2">
      <c r="A295" s="1611">
        <v>13</v>
      </c>
      <c r="B295" s="1611" t="s">
        <v>2041</v>
      </c>
      <c r="C295" s="1611" t="s">
        <v>3839</v>
      </c>
      <c r="D295" s="1612" t="s">
        <v>7555</v>
      </c>
      <c r="E295" s="1706" t="s">
        <v>7592</v>
      </c>
      <c r="F295" s="1613">
        <v>49709091</v>
      </c>
      <c r="G295" s="1613">
        <v>10600498758</v>
      </c>
    </row>
    <row r="296" spans="1:7" ht="17.25" customHeight="1" x14ac:dyDescent="0.2">
      <c r="A296" s="1611">
        <v>13</v>
      </c>
      <c r="B296" s="1611" t="s">
        <v>2039</v>
      </c>
      <c r="C296" s="1611" t="s">
        <v>3840</v>
      </c>
      <c r="D296" s="1612" t="s">
        <v>7555</v>
      </c>
      <c r="E296" s="1706" t="s">
        <v>7592</v>
      </c>
      <c r="F296" s="1613">
        <v>42727273</v>
      </c>
      <c r="G296" s="1613">
        <v>10643226031</v>
      </c>
    </row>
    <row r="297" spans="1:7" ht="17.25" customHeight="1" x14ac:dyDescent="0.2">
      <c r="A297" s="1611">
        <v>13</v>
      </c>
      <c r="B297" s="1611" t="s">
        <v>2037</v>
      </c>
      <c r="C297" s="1611" t="s">
        <v>3841</v>
      </c>
      <c r="D297" s="1612" t="s">
        <v>7555</v>
      </c>
      <c r="E297" s="1706" t="s">
        <v>7592</v>
      </c>
      <c r="F297" s="1613">
        <v>40500000</v>
      </c>
      <c r="G297" s="1613">
        <v>10683726031</v>
      </c>
    </row>
    <row r="298" spans="1:7" ht="17.25" customHeight="1" x14ac:dyDescent="0.2">
      <c r="A298" s="1611">
        <v>13</v>
      </c>
      <c r="B298" s="1611" t="s">
        <v>2028</v>
      </c>
      <c r="C298" s="1611" t="s">
        <v>3829</v>
      </c>
      <c r="D298" s="1612" t="s">
        <v>2024</v>
      </c>
      <c r="E298" s="1706" t="s">
        <v>7592</v>
      </c>
      <c r="F298" s="1613">
        <v>15181819</v>
      </c>
      <c r="G298" s="1613">
        <v>10698907850</v>
      </c>
    </row>
    <row r="299" spans="1:7" ht="17.25" customHeight="1" x14ac:dyDescent="0.2">
      <c r="A299" s="1611">
        <v>13</v>
      </c>
      <c r="B299" s="1611" t="s">
        <v>2041</v>
      </c>
      <c r="C299" s="1611" t="s">
        <v>3842</v>
      </c>
      <c r="D299" s="1612" t="s">
        <v>7555</v>
      </c>
      <c r="E299" s="1706" t="s">
        <v>7592</v>
      </c>
      <c r="F299" s="1613">
        <v>48181819</v>
      </c>
      <c r="G299" s="1613">
        <v>10747089669</v>
      </c>
    </row>
    <row r="300" spans="1:7" ht="17.25" customHeight="1" x14ac:dyDescent="0.2">
      <c r="A300" s="1611">
        <v>13</v>
      </c>
      <c r="B300" s="1611" t="s">
        <v>7159</v>
      </c>
      <c r="C300" s="1611" t="s">
        <v>3843</v>
      </c>
      <c r="D300" s="1612">
        <v>0</v>
      </c>
      <c r="E300" s="1706" t="s">
        <v>7592</v>
      </c>
      <c r="F300" s="1613">
        <v>3500000</v>
      </c>
      <c r="G300" s="1613">
        <v>10750589669</v>
      </c>
    </row>
    <row r="301" spans="1:7" ht="17.25" customHeight="1" x14ac:dyDescent="0.2">
      <c r="A301" s="1611">
        <v>13</v>
      </c>
      <c r="B301" s="1611" t="s">
        <v>2043</v>
      </c>
      <c r="C301" s="1611" t="s">
        <v>3844</v>
      </c>
      <c r="D301" s="1612" t="s">
        <v>7555</v>
      </c>
      <c r="E301" s="1706" t="s">
        <v>7592</v>
      </c>
      <c r="F301" s="1613">
        <v>52545455</v>
      </c>
      <c r="G301" s="1613">
        <v>10803135124</v>
      </c>
    </row>
    <row r="302" spans="1:7" ht="17.25" customHeight="1" x14ac:dyDescent="0.2">
      <c r="A302" s="1611">
        <v>13</v>
      </c>
      <c r="B302" s="1611" t="s">
        <v>2041</v>
      </c>
      <c r="C302" s="1611" t="s">
        <v>3845</v>
      </c>
      <c r="D302" s="1612" t="s">
        <v>7555</v>
      </c>
      <c r="E302" s="1706" t="s">
        <v>7592</v>
      </c>
      <c r="F302" s="1613">
        <v>47217000</v>
      </c>
      <c r="G302" s="1613">
        <v>10850352124</v>
      </c>
    </row>
    <row r="303" spans="1:7" ht="17.25" customHeight="1" x14ac:dyDescent="0.2">
      <c r="A303" s="1611">
        <v>13</v>
      </c>
      <c r="B303" s="1611" t="s">
        <v>7156</v>
      </c>
      <c r="C303" s="1611" t="s">
        <v>214</v>
      </c>
      <c r="D303" s="1612">
        <v>0</v>
      </c>
      <c r="E303" s="1706" t="s">
        <v>7592</v>
      </c>
      <c r="F303" s="1613">
        <v>12239533</v>
      </c>
      <c r="G303" s="1613">
        <v>10862591657</v>
      </c>
    </row>
    <row r="304" spans="1:7" ht="17.25" customHeight="1" x14ac:dyDescent="0.2">
      <c r="A304" s="1611">
        <v>13</v>
      </c>
      <c r="B304" s="1611" t="s">
        <v>2028</v>
      </c>
      <c r="C304" s="1611" t="s">
        <v>3846</v>
      </c>
      <c r="D304" s="1612" t="s">
        <v>2024</v>
      </c>
      <c r="E304" s="1706" t="s">
        <v>7592</v>
      </c>
      <c r="F304" s="1613">
        <v>13909091</v>
      </c>
      <c r="G304" s="1613">
        <v>10876500748</v>
      </c>
    </row>
    <row r="305" spans="1:7" ht="17.25" customHeight="1" x14ac:dyDescent="0.2">
      <c r="A305" s="1611">
        <v>13</v>
      </c>
      <c r="B305" s="1611" t="s">
        <v>3627</v>
      </c>
      <c r="C305" s="1611" t="s">
        <v>3847</v>
      </c>
      <c r="D305" s="1612">
        <v>0</v>
      </c>
      <c r="E305" s="1706" t="s">
        <v>7592</v>
      </c>
      <c r="F305" s="1613">
        <v>42863636</v>
      </c>
      <c r="G305" s="1613">
        <v>10919364384</v>
      </c>
    </row>
    <row r="306" spans="1:7" ht="17.25" customHeight="1" x14ac:dyDescent="0.2">
      <c r="A306" s="1611">
        <v>13</v>
      </c>
      <c r="B306" s="1611" t="s">
        <v>3627</v>
      </c>
      <c r="C306" s="1611" t="s">
        <v>3847</v>
      </c>
      <c r="D306" s="1612">
        <v>0</v>
      </c>
      <c r="E306" s="1706" t="s">
        <v>7592</v>
      </c>
      <c r="F306" s="1613">
        <v>118636364</v>
      </c>
      <c r="G306" s="1613">
        <v>11038000748</v>
      </c>
    </row>
    <row r="307" spans="1:7" ht="17.25" customHeight="1" x14ac:dyDescent="0.2">
      <c r="A307" s="1611">
        <v>13</v>
      </c>
      <c r="B307" s="1611" t="s">
        <v>2027</v>
      </c>
      <c r="C307" s="1611" t="s">
        <v>3848</v>
      </c>
      <c r="D307" s="1612" t="s">
        <v>2024</v>
      </c>
      <c r="E307" s="1706" t="s">
        <v>7592</v>
      </c>
      <c r="F307" s="1613">
        <v>18000000</v>
      </c>
      <c r="G307" s="1613">
        <v>11056000748</v>
      </c>
    </row>
    <row r="308" spans="1:7" ht="17.25" customHeight="1" x14ac:dyDescent="0.2">
      <c r="A308" s="1611">
        <v>13</v>
      </c>
      <c r="B308" s="1611" t="s">
        <v>2027</v>
      </c>
      <c r="C308" s="1611" t="s">
        <v>3849</v>
      </c>
      <c r="D308" s="1612" t="s">
        <v>2024</v>
      </c>
      <c r="E308" s="1706" t="s">
        <v>7592</v>
      </c>
      <c r="F308" s="1613">
        <v>15090000</v>
      </c>
      <c r="G308" s="1613">
        <v>11071090748</v>
      </c>
    </row>
    <row r="309" spans="1:7" ht="17.25" customHeight="1" x14ac:dyDescent="0.2">
      <c r="A309" s="1611">
        <v>13</v>
      </c>
      <c r="B309" s="1611" t="s">
        <v>2028</v>
      </c>
      <c r="C309" s="1611" t="s">
        <v>3850</v>
      </c>
      <c r="D309" s="1612" t="s">
        <v>2024</v>
      </c>
      <c r="E309" s="1706" t="s">
        <v>7592</v>
      </c>
      <c r="F309" s="1613">
        <v>27800000</v>
      </c>
      <c r="G309" s="1613">
        <v>11098890748</v>
      </c>
    </row>
    <row r="310" spans="1:7" ht="17.25" customHeight="1" x14ac:dyDescent="0.2">
      <c r="A310" s="1611">
        <v>13</v>
      </c>
      <c r="B310" s="1611" t="s">
        <v>2045</v>
      </c>
      <c r="C310" s="1611" t="s">
        <v>3851</v>
      </c>
      <c r="D310" s="1612" t="s">
        <v>7555</v>
      </c>
      <c r="E310" s="1706" t="s">
        <v>7592</v>
      </c>
      <c r="F310" s="1613">
        <v>31600000</v>
      </c>
      <c r="G310" s="1613">
        <v>11130490748</v>
      </c>
    </row>
    <row r="311" spans="1:7" ht="17.25" customHeight="1" x14ac:dyDescent="0.2">
      <c r="A311" s="1611">
        <v>13</v>
      </c>
      <c r="B311" s="1611" t="s">
        <v>2037</v>
      </c>
      <c r="C311" s="1611" t="s">
        <v>3852</v>
      </c>
      <c r="D311" s="1612" t="s">
        <v>7555</v>
      </c>
      <c r="E311" s="1706" t="s">
        <v>7592</v>
      </c>
      <c r="F311" s="1613">
        <v>39000000</v>
      </c>
      <c r="G311" s="1613">
        <v>11169490748</v>
      </c>
    </row>
    <row r="312" spans="1:7" ht="17.25" customHeight="1" x14ac:dyDescent="0.2">
      <c r="A312" s="1611">
        <v>13</v>
      </c>
      <c r="B312" s="1611" t="s">
        <v>2037</v>
      </c>
      <c r="C312" s="1611" t="s">
        <v>3853</v>
      </c>
      <c r="D312" s="1612" t="s">
        <v>7555</v>
      </c>
      <c r="E312" s="1706" t="s">
        <v>7592</v>
      </c>
      <c r="F312" s="1613">
        <v>36818182</v>
      </c>
      <c r="G312" s="1613">
        <v>11206308930</v>
      </c>
    </row>
    <row r="313" spans="1:7" ht="17.25" customHeight="1" x14ac:dyDescent="0.2">
      <c r="A313" s="1611">
        <v>13</v>
      </c>
      <c r="B313" s="1611" t="s">
        <v>2026</v>
      </c>
      <c r="C313" s="1611" t="s">
        <v>3854</v>
      </c>
      <c r="D313" s="1612" t="s">
        <v>2024</v>
      </c>
      <c r="E313" s="1706" t="s">
        <v>7592</v>
      </c>
      <c r="F313" s="1613">
        <v>15536364</v>
      </c>
      <c r="G313" s="1613">
        <v>11221845294</v>
      </c>
    </row>
    <row r="314" spans="1:7" ht="17.25" customHeight="1" x14ac:dyDescent="0.2">
      <c r="A314" s="1611">
        <v>13</v>
      </c>
      <c r="B314" s="1611" t="s">
        <v>2028</v>
      </c>
      <c r="C314" s="1611" t="s">
        <v>3855</v>
      </c>
      <c r="D314" s="1612" t="s">
        <v>2024</v>
      </c>
      <c r="E314" s="1706" t="s">
        <v>7592</v>
      </c>
      <c r="F314" s="1613">
        <v>13000000</v>
      </c>
      <c r="G314" s="1613">
        <v>11234845294</v>
      </c>
    </row>
    <row r="315" spans="1:7" ht="17.25" customHeight="1" x14ac:dyDescent="0.2">
      <c r="A315" s="1611">
        <v>13</v>
      </c>
      <c r="B315" s="1611" t="s">
        <v>2039</v>
      </c>
      <c r="C315" s="1611" t="s">
        <v>3856</v>
      </c>
      <c r="D315" s="1612" t="s">
        <v>7555</v>
      </c>
      <c r="E315" s="1706" t="s">
        <v>7592</v>
      </c>
      <c r="F315" s="1613">
        <v>40000000</v>
      </c>
      <c r="G315" s="1613">
        <v>11274845294</v>
      </c>
    </row>
    <row r="316" spans="1:7" ht="17.25" customHeight="1" x14ac:dyDescent="0.2">
      <c r="A316" s="1611">
        <v>13</v>
      </c>
      <c r="B316" s="1611" t="s">
        <v>2037</v>
      </c>
      <c r="C316" s="1611" t="s">
        <v>3857</v>
      </c>
      <c r="D316" s="1612" t="s">
        <v>7555</v>
      </c>
      <c r="E316" s="1706" t="s">
        <v>7592</v>
      </c>
      <c r="F316" s="1613">
        <v>38333000</v>
      </c>
      <c r="G316" s="1613">
        <v>11313178294</v>
      </c>
    </row>
    <row r="317" spans="1:7" ht="17.25" customHeight="1" x14ac:dyDescent="0.2">
      <c r="A317" s="1611">
        <v>13</v>
      </c>
      <c r="B317" s="1611" t="s">
        <v>3858</v>
      </c>
      <c r="C317" s="1611" t="s">
        <v>3597</v>
      </c>
      <c r="D317" s="1612">
        <v>0</v>
      </c>
      <c r="E317" s="1706" t="s">
        <v>7592</v>
      </c>
      <c r="F317" s="1613">
        <v>13576000</v>
      </c>
      <c r="G317" s="1613">
        <v>11326754294</v>
      </c>
    </row>
    <row r="318" spans="1:7" ht="17.25" customHeight="1" x14ac:dyDescent="0.2">
      <c r="A318" s="1611">
        <v>13</v>
      </c>
      <c r="B318" s="1611" t="s">
        <v>2039</v>
      </c>
      <c r="C318" s="1611" t="s">
        <v>3859</v>
      </c>
      <c r="D318" s="1612" t="s">
        <v>7555</v>
      </c>
      <c r="E318" s="1706" t="s">
        <v>7592</v>
      </c>
      <c r="F318" s="1613">
        <v>40000000</v>
      </c>
      <c r="G318" s="1613">
        <v>11366754294</v>
      </c>
    </row>
    <row r="319" spans="1:7" ht="17.25" customHeight="1" x14ac:dyDescent="0.2">
      <c r="A319" s="1611">
        <v>13</v>
      </c>
      <c r="B319" s="1611" t="s">
        <v>2027</v>
      </c>
      <c r="C319" s="1611" t="s">
        <v>3804</v>
      </c>
      <c r="D319" s="1612" t="s">
        <v>2024</v>
      </c>
      <c r="E319" s="1706" t="s">
        <v>7592</v>
      </c>
      <c r="F319" s="1613">
        <v>12760000</v>
      </c>
      <c r="G319" s="1613">
        <v>11379514294</v>
      </c>
    </row>
    <row r="320" spans="1:7" ht="17.25" customHeight="1" x14ac:dyDescent="0.2">
      <c r="A320" s="1611">
        <v>13</v>
      </c>
      <c r="B320" s="1611" t="s">
        <v>2027</v>
      </c>
      <c r="C320" s="1611" t="s">
        <v>3860</v>
      </c>
      <c r="D320" s="1612" t="s">
        <v>2024</v>
      </c>
      <c r="E320" s="1706" t="s">
        <v>7592</v>
      </c>
      <c r="F320" s="1613">
        <v>16517000</v>
      </c>
      <c r="G320" s="1613">
        <v>11396031294</v>
      </c>
    </row>
    <row r="321" spans="1:7" ht="17.25" customHeight="1" x14ac:dyDescent="0.2">
      <c r="A321" s="1611">
        <v>13</v>
      </c>
      <c r="B321" s="1611" t="s">
        <v>3627</v>
      </c>
      <c r="C321" s="1611" t="s">
        <v>3861</v>
      </c>
      <c r="D321" s="1612">
        <v>0</v>
      </c>
      <c r="E321" s="1706" t="s">
        <v>7592</v>
      </c>
      <c r="F321" s="1613">
        <v>143000000</v>
      </c>
      <c r="G321" s="1613">
        <v>11539031294</v>
      </c>
    </row>
    <row r="322" spans="1:7" ht="17.25" customHeight="1" x14ac:dyDescent="0.2">
      <c r="A322" s="1611">
        <v>13</v>
      </c>
      <c r="B322" s="1611" t="s">
        <v>2028</v>
      </c>
      <c r="C322" s="1611" t="s">
        <v>3862</v>
      </c>
      <c r="D322" s="1612" t="s">
        <v>2024</v>
      </c>
      <c r="E322" s="1706" t="s">
        <v>7592</v>
      </c>
      <c r="F322" s="1613">
        <v>14110000</v>
      </c>
      <c r="G322" s="1613">
        <v>11553141294</v>
      </c>
    </row>
    <row r="323" spans="1:7" ht="17.25" customHeight="1" x14ac:dyDescent="0.2">
      <c r="A323" s="1611">
        <v>13</v>
      </c>
      <c r="B323" s="1611" t="s">
        <v>2028</v>
      </c>
      <c r="C323" s="1611" t="s">
        <v>3863</v>
      </c>
      <c r="D323" s="1612" t="s">
        <v>2024</v>
      </c>
      <c r="E323" s="1706" t="s">
        <v>7592</v>
      </c>
      <c r="F323" s="1613">
        <v>15200000</v>
      </c>
      <c r="G323" s="1613">
        <v>11568341294</v>
      </c>
    </row>
    <row r="324" spans="1:7" ht="17.25" customHeight="1" x14ac:dyDescent="0.2">
      <c r="A324" s="1611">
        <v>13</v>
      </c>
      <c r="B324" s="1611" t="s">
        <v>2041</v>
      </c>
      <c r="C324" s="1611" t="s">
        <v>3864</v>
      </c>
      <c r="D324" s="1612" t="s">
        <v>7555</v>
      </c>
      <c r="E324" s="1706" t="s">
        <v>7592</v>
      </c>
      <c r="F324" s="1613">
        <v>49700000</v>
      </c>
      <c r="G324" s="1613">
        <v>11618041294</v>
      </c>
    </row>
    <row r="325" spans="1:7" ht="17.25" customHeight="1" x14ac:dyDescent="0.2">
      <c r="A325" s="1611">
        <v>13</v>
      </c>
      <c r="B325" s="1611" t="s">
        <v>2041</v>
      </c>
      <c r="C325" s="1611" t="s">
        <v>3865</v>
      </c>
      <c r="D325" s="1612" t="s">
        <v>7555</v>
      </c>
      <c r="E325" s="1706" t="s">
        <v>7592</v>
      </c>
      <c r="F325" s="1613">
        <v>49709091</v>
      </c>
      <c r="G325" s="1613">
        <v>11667750385</v>
      </c>
    </row>
    <row r="326" spans="1:7" ht="17.25" customHeight="1" x14ac:dyDescent="0.2">
      <c r="A326" s="1611">
        <v>13</v>
      </c>
      <c r="B326" s="1611" t="s">
        <v>2028</v>
      </c>
      <c r="C326" s="1611" t="s">
        <v>3866</v>
      </c>
      <c r="D326" s="1612" t="s">
        <v>2024</v>
      </c>
      <c r="E326" s="1706" t="s">
        <v>7592</v>
      </c>
      <c r="F326" s="1613">
        <v>16363636</v>
      </c>
      <c r="G326" s="1613">
        <v>11684114021</v>
      </c>
    </row>
    <row r="327" spans="1:7" ht="17.25" customHeight="1" x14ac:dyDescent="0.2">
      <c r="A327" s="1611">
        <v>13</v>
      </c>
      <c r="B327" s="1611" t="s">
        <v>2041</v>
      </c>
      <c r="C327" s="1611" t="s">
        <v>3865</v>
      </c>
      <c r="D327" s="1612" t="s">
        <v>7555</v>
      </c>
      <c r="E327" s="1706" t="s">
        <v>7592</v>
      </c>
      <c r="F327" s="1613">
        <v>4090909</v>
      </c>
      <c r="G327" s="1613">
        <v>11688204930</v>
      </c>
    </row>
    <row r="328" spans="1:7" ht="17.25" customHeight="1" x14ac:dyDescent="0.2">
      <c r="A328" s="1611">
        <v>13</v>
      </c>
      <c r="B328" s="1611" t="s">
        <v>3867</v>
      </c>
      <c r="C328" s="1611" t="s">
        <v>3868</v>
      </c>
      <c r="D328" s="1612">
        <v>0</v>
      </c>
      <c r="E328" s="1706" t="s">
        <v>7592</v>
      </c>
      <c r="F328" s="1613">
        <v>300000</v>
      </c>
      <c r="G328" s="1613">
        <v>11688504930</v>
      </c>
    </row>
    <row r="329" spans="1:7" ht="17.25" customHeight="1" x14ac:dyDescent="0.2">
      <c r="A329" s="1611">
        <v>13</v>
      </c>
      <c r="B329" s="1611" t="s">
        <v>3812</v>
      </c>
      <c r="C329" s="1611" t="s">
        <v>3868</v>
      </c>
      <c r="D329" s="1612">
        <v>0</v>
      </c>
      <c r="E329" s="1706" t="s">
        <v>7592</v>
      </c>
      <c r="F329" s="1613">
        <v>1000000</v>
      </c>
      <c r="G329" s="1613">
        <v>11689504930</v>
      </c>
    </row>
    <row r="330" spans="1:7" ht="17.25" customHeight="1" x14ac:dyDescent="0.2">
      <c r="A330" s="1611">
        <v>13</v>
      </c>
      <c r="B330" s="1611" t="s">
        <v>3812</v>
      </c>
      <c r="C330" s="1611" t="s">
        <v>3868</v>
      </c>
      <c r="D330" s="1612">
        <v>0</v>
      </c>
      <c r="E330" s="1706" t="s">
        <v>7592</v>
      </c>
      <c r="F330" s="1613">
        <v>1818182</v>
      </c>
      <c r="G330" s="1613">
        <v>11691323112</v>
      </c>
    </row>
    <row r="331" spans="1:7" ht="17.25" customHeight="1" x14ac:dyDescent="0.2">
      <c r="A331" s="1611">
        <v>13</v>
      </c>
      <c r="B331" s="1611" t="s">
        <v>2026</v>
      </c>
      <c r="C331" s="1611" t="s">
        <v>3868</v>
      </c>
      <c r="D331" s="1612" t="s">
        <v>2024</v>
      </c>
      <c r="E331" s="1706" t="s">
        <v>7592</v>
      </c>
      <c r="F331" s="1613">
        <v>180000</v>
      </c>
      <c r="G331" s="1613">
        <v>11691503112</v>
      </c>
    </row>
    <row r="332" spans="1:7" ht="17.25" customHeight="1" x14ac:dyDescent="0.2">
      <c r="A332" s="1611">
        <v>13</v>
      </c>
      <c r="B332" s="1611" t="s">
        <v>2037</v>
      </c>
      <c r="C332" s="1611" t="s">
        <v>3869</v>
      </c>
      <c r="D332" s="1612" t="s">
        <v>7555</v>
      </c>
      <c r="E332" s="1706" t="s">
        <v>7592</v>
      </c>
      <c r="F332" s="1613">
        <v>36500000</v>
      </c>
      <c r="G332" s="1613">
        <v>11728003112</v>
      </c>
    </row>
    <row r="333" spans="1:7" ht="17.25" customHeight="1" x14ac:dyDescent="0.2">
      <c r="A333" s="1611">
        <v>13</v>
      </c>
      <c r="B333" s="1611" t="s">
        <v>2027</v>
      </c>
      <c r="C333" s="1611" t="s">
        <v>3870</v>
      </c>
      <c r="D333" s="1612" t="s">
        <v>2024</v>
      </c>
      <c r="E333" s="1706" t="s">
        <v>7592</v>
      </c>
      <c r="F333" s="1613">
        <v>12500000</v>
      </c>
      <c r="G333" s="1613">
        <v>11740503112</v>
      </c>
    </row>
    <row r="334" spans="1:7" ht="17.25" customHeight="1" x14ac:dyDescent="0.2">
      <c r="A334" s="1611">
        <v>13</v>
      </c>
      <c r="B334" s="1611" t="s">
        <v>7156</v>
      </c>
      <c r="C334" s="1611" t="s">
        <v>214</v>
      </c>
      <c r="D334" s="1612">
        <v>0</v>
      </c>
      <c r="E334" s="1706" t="s">
        <v>7592</v>
      </c>
      <c r="F334" s="1613">
        <v>12332662</v>
      </c>
      <c r="G334" s="1613">
        <v>11752835774</v>
      </c>
    </row>
    <row r="335" spans="1:7" ht="17.25" customHeight="1" x14ac:dyDescent="0.2">
      <c r="A335" s="1611">
        <v>13</v>
      </c>
      <c r="B335" s="1611" t="s">
        <v>2026</v>
      </c>
      <c r="C335" s="1611" t="s">
        <v>3868</v>
      </c>
      <c r="D335" s="1612" t="s">
        <v>2024</v>
      </c>
      <c r="E335" s="1706" t="s">
        <v>7592</v>
      </c>
      <c r="F335" s="1613">
        <v>29090910</v>
      </c>
      <c r="G335" s="1613">
        <v>11781926684</v>
      </c>
    </row>
    <row r="336" spans="1:7" ht="17.25" customHeight="1" x14ac:dyDescent="0.2">
      <c r="A336" s="1611">
        <v>13</v>
      </c>
      <c r="B336" s="1611" t="s">
        <v>2037</v>
      </c>
      <c r="C336" s="1611" t="s">
        <v>3871</v>
      </c>
      <c r="D336" s="1612" t="s">
        <v>7555</v>
      </c>
      <c r="E336" s="1706" t="s">
        <v>7592</v>
      </c>
      <c r="F336" s="1613">
        <v>39090909</v>
      </c>
      <c r="G336" s="1613">
        <v>11821017593</v>
      </c>
    </row>
    <row r="337" spans="1:7" ht="17.25" customHeight="1" x14ac:dyDescent="0.2">
      <c r="A337" s="1611">
        <v>13</v>
      </c>
      <c r="B337" s="1611" t="s">
        <v>2037</v>
      </c>
      <c r="C337" s="1611" t="s">
        <v>3872</v>
      </c>
      <c r="D337" s="1612" t="s">
        <v>7555</v>
      </c>
      <c r="E337" s="1706" t="s">
        <v>7592</v>
      </c>
      <c r="F337" s="1613">
        <v>38500000</v>
      </c>
      <c r="G337" s="1613">
        <v>11859517593</v>
      </c>
    </row>
    <row r="338" spans="1:7" ht="17.25" customHeight="1" x14ac:dyDescent="0.2">
      <c r="A338" s="1611">
        <v>13</v>
      </c>
      <c r="B338" s="1611" t="s">
        <v>3666</v>
      </c>
      <c r="C338" s="1611" t="s">
        <v>3873</v>
      </c>
      <c r="D338" s="1612">
        <v>0</v>
      </c>
      <c r="E338" s="1706" t="s">
        <v>7592</v>
      </c>
      <c r="F338" s="1613">
        <v>60000000</v>
      </c>
      <c r="G338" s="1613">
        <v>11919517593</v>
      </c>
    </row>
    <row r="339" spans="1:7" ht="17.25" customHeight="1" x14ac:dyDescent="0.2">
      <c r="A339" s="1611">
        <v>13</v>
      </c>
      <c r="B339" s="1611" t="s">
        <v>7159</v>
      </c>
      <c r="C339" s="1611" t="s">
        <v>3874</v>
      </c>
      <c r="D339" s="1612">
        <v>0</v>
      </c>
      <c r="E339" s="1706" t="s">
        <v>7592</v>
      </c>
      <c r="F339" s="1613">
        <v>3500000</v>
      </c>
      <c r="G339" s="1613">
        <v>11923017593</v>
      </c>
    </row>
    <row r="340" spans="1:7" ht="17.25" customHeight="1" x14ac:dyDescent="0.2">
      <c r="A340" s="1611">
        <v>13</v>
      </c>
      <c r="B340" s="1611" t="s">
        <v>2041</v>
      </c>
      <c r="C340" s="1611" t="s">
        <v>3875</v>
      </c>
      <c r="D340" s="1612" t="s">
        <v>7555</v>
      </c>
      <c r="E340" s="1706" t="s">
        <v>7592</v>
      </c>
      <c r="F340" s="1613">
        <v>50000000</v>
      </c>
      <c r="G340" s="1613">
        <v>11973017593</v>
      </c>
    </row>
    <row r="341" spans="1:7" ht="17.25" customHeight="1" x14ac:dyDescent="0.2">
      <c r="A341" s="1611">
        <v>13</v>
      </c>
      <c r="B341" s="1611" t="s">
        <v>2037</v>
      </c>
      <c r="C341" s="1611" t="s">
        <v>3876</v>
      </c>
      <c r="D341" s="1612" t="s">
        <v>7555</v>
      </c>
      <c r="E341" s="1706" t="s">
        <v>7592</v>
      </c>
      <c r="F341" s="1613">
        <v>37727273</v>
      </c>
      <c r="G341" s="1613">
        <v>12010744866</v>
      </c>
    </row>
    <row r="342" spans="1:7" ht="17.25" customHeight="1" x14ac:dyDescent="0.2">
      <c r="A342" s="1611">
        <v>13</v>
      </c>
      <c r="B342" s="1611" t="s">
        <v>2043</v>
      </c>
      <c r="C342" s="1611" t="s">
        <v>3877</v>
      </c>
      <c r="D342" s="1612" t="s">
        <v>7555</v>
      </c>
      <c r="E342" s="1706" t="s">
        <v>7592</v>
      </c>
      <c r="F342" s="1613">
        <v>53000000</v>
      </c>
      <c r="G342" s="1613">
        <v>12063744866</v>
      </c>
    </row>
    <row r="343" spans="1:7" ht="17.25" customHeight="1" x14ac:dyDescent="0.2">
      <c r="A343" s="1611">
        <v>13</v>
      </c>
      <c r="B343" s="1611" t="s">
        <v>2041</v>
      </c>
      <c r="C343" s="1611" t="s">
        <v>3878</v>
      </c>
      <c r="D343" s="1612" t="s">
        <v>7555</v>
      </c>
      <c r="E343" s="1706" t="s">
        <v>7592</v>
      </c>
      <c r="F343" s="1613">
        <v>48181819</v>
      </c>
      <c r="G343" s="1613">
        <v>12111926685</v>
      </c>
    </row>
    <row r="344" spans="1:7" ht="17.25" customHeight="1" x14ac:dyDescent="0.2">
      <c r="A344" s="1611">
        <v>13</v>
      </c>
      <c r="B344" s="1611" t="s">
        <v>2028</v>
      </c>
      <c r="C344" s="1611" t="s">
        <v>3879</v>
      </c>
      <c r="D344" s="1612" t="s">
        <v>2024</v>
      </c>
      <c r="E344" s="1706" t="s">
        <v>7592</v>
      </c>
      <c r="F344" s="1613">
        <v>14727273</v>
      </c>
      <c r="G344" s="1613">
        <v>12126653958</v>
      </c>
    </row>
    <row r="345" spans="1:7" ht="17.25" customHeight="1" x14ac:dyDescent="0.2">
      <c r="A345" s="1611">
        <v>13</v>
      </c>
      <c r="B345" s="1611" t="s">
        <v>2032</v>
      </c>
      <c r="C345" s="1611" t="s">
        <v>3880</v>
      </c>
      <c r="D345" s="1612" t="s">
        <v>7555</v>
      </c>
      <c r="E345" s="1706" t="s">
        <v>7592</v>
      </c>
      <c r="F345" s="1613">
        <v>33500000</v>
      </c>
      <c r="G345" s="1613">
        <v>12160153958</v>
      </c>
    </row>
    <row r="346" spans="1:7" ht="17.25" customHeight="1" x14ac:dyDescent="0.2">
      <c r="A346" s="1611">
        <v>13</v>
      </c>
      <c r="B346" s="1611" t="s">
        <v>2820</v>
      </c>
      <c r="C346" s="1611" t="s">
        <v>3881</v>
      </c>
      <c r="D346" s="1612" t="s">
        <v>2024</v>
      </c>
      <c r="E346" s="1706" t="s">
        <v>7592</v>
      </c>
      <c r="F346" s="1613">
        <v>29545455</v>
      </c>
      <c r="G346" s="1613">
        <v>12189699413</v>
      </c>
    </row>
    <row r="347" spans="1:7" ht="17.25" customHeight="1" x14ac:dyDescent="0.2">
      <c r="A347" s="1611">
        <v>13</v>
      </c>
      <c r="B347" s="1611" t="s">
        <v>2041</v>
      </c>
      <c r="C347" s="1611" t="s">
        <v>3882</v>
      </c>
      <c r="D347" s="1612" t="s">
        <v>7555</v>
      </c>
      <c r="E347" s="1706" t="s">
        <v>7592</v>
      </c>
      <c r="F347" s="1613">
        <v>8066364</v>
      </c>
      <c r="G347" s="1613">
        <v>12197765777</v>
      </c>
    </row>
    <row r="348" spans="1:7" ht="17.25" customHeight="1" x14ac:dyDescent="0.2">
      <c r="A348" s="1611">
        <v>13</v>
      </c>
      <c r="B348" s="1611" t="s">
        <v>3883</v>
      </c>
      <c r="C348" s="1611" t="s">
        <v>3661</v>
      </c>
      <c r="D348" s="1612">
        <v>0</v>
      </c>
      <c r="E348" s="1706" t="s">
        <v>7592</v>
      </c>
      <c r="F348" s="1613">
        <v>3500000</v>
      </c>
      <c r="G348" s="1613">
        <v>12201265777</v>
      </c>
    </row>
    <row r="349" spans="1:7" ht="17.25" customHeight="1" x14ac:dyDescent="0.2">
      <c r="A349" s="1611">
        <v>13</v>
      </c>
      <c r="B349" s="1611" t="s">
        <v>2043</v>
      </c>
      <c r="C349" s="1611" t="s">
        <v>3884</v>
      </c>
      <c r="D349" s="1612" t="s">
        <v>7555</v>
      </c>
      <c r="E349" s="1706" t="s">
        <v>7592</v>
      </c>
      <c r="F349" s="1613">
        <v>52500000</v>
      </c>
      <c r="G349" s="1613">
        <v>12253765777</v>
      </c>
    </row>
    <row r="350" spans="1:7" ht="17.25" customHeight="1" x14ac:dyDescent="0.2">
      <c r="A350" s="1611">
        <v>13</v>
      </c>
      <c r="B350" s="1611" t="s">
        <v>3728</v>
      </c>
      <c r="C350" s="1611" t="s">
        <v>3885</v>
      </c>
      <c r="D350" s="1612" t="s">
        <v>2024</v>
      </c>
      <c r="E350" s="1706" t="s">
        <v>7592</v>
      </c>
      <c r="F350" s="1613">
        <v>30000000</v>
      </c>
      <c r="G350" s="1613">
        <v>12283765777</v>
      </c>
    </row>
    <row r="351" spans="1:7" ht="17.25" customHeight="1" x14ac:dyDescent="0.2">
      <c r="A351" s="1611">
        <v>13</v>
      </c>
      <c r="B351" s="1611" t="s">
        <v>2026</v>
      </c>
      <c r="C351" s="1611" t="s">
        <v>3886</v>
      </c>
      <c r="D351" s="1612" t="s">
        <v>2024</v>
      </c>
      <c r="E351" s="1706" t="s">
        <v>7592</v>
      </c>
      <c r="F351" s="1613">
        <v>13636364</v>
      </c>
      <c r="G351" s="1613">
        <v>12297402141</v>
      </c>
    </row>
    <row r="352" spans="1:7" ht="17.25" customHeight="1" x14ac:dyDescent="0.2">
      <c r="A352" s="1611">
        <v>13</v>
      </c>
      <c r="B352" s="1611" t="s">
        <v>2027</v>
      </c>
      <c r="C352" s="1611" t="s">
        <v>3887</v>
      </c>
      <c r="D352" s="1612" t="s">
        <v>2024</v>
      </c>
      <c r="E352" s="1706" t="s">
        <v>7592</v>
      </c>
      <c r="F352" s="1613">
        <v>14181818</v>
      </c>
      <c r="G352" s="1613">
        <v>12311583959</v>
      </c>
    </row>
    <row r="353" spans="1:7" ht="17.25" customHeight="1" x14ac:dyDescent="0.2">
      <c r="A353" s="1611">
        <v>13</v>
      </c>
      <c r="B353" s="1611" t="s">
        <v>7154</v>
      </c>
      <c r="C353" s="1611" t="s">
        <v>7580</v>
      </c>
      <c r="D353" s="1612">
        <v>0</v>
      </c>
      <c r="E353" s="1706" t="s">
        <v>7586</v>
      </c>
      <c r="F353" s="1613">
        <v>60046503</v>
      </c>
      <c r="G353" s="1613">
        <v>12371630462</v>
      </c>
    </row>
    <row r="354" spans="1:7" ht="17.25" customHeight="1" x14ac:dyDescent="0.2">
      <c r="A354" s="1611">
        <v>13</v>
      </c>
      <c r="B354" s="1611" t="s">
        <v>2028</v>
      </c>
      <c r="C354" s="1611" t="s">
        <v>3838</v>
      </c>
      <c r="D354" s="1612" t="s">
        <v>2024</v>
      </c>
      <c r="E354" s="1706" t="s">
        <v>7592</v>
      </c>
      <c r="F354" s="1613">
        <v>-15500000</v>
      </c>
      <c r="G354" s="1613">
        <v>12356130462</v>
      </c>
    </row>
    <row r="355" spans="1:7" ht="17.25" customHeight="1" x14ac:dyDescent="0.2">
      <c r="A355" s="1611">
        <v>13</v>
      </c>
      <c r="B355" s="1611" t="s">
        <v>2032</v>
      </c>
      <c r="C355" s="1611" t="s">
        <v>3889</v>
      </c>
      <c r="D355" s="1612" t="s">
        <v>7555</v>
      </c>
      <c r="E355" s="1706" t="s">
        <v>7592</v>
      </c>
      <c r="F355" s="1613">
        <v>34272728</v>
      </c>
      <c r="G355" s="1613">
        <v>12390403190</v>
      </c>
    </row>
    <row r="356" spans="1:7" ht="17.25" customHeight="1" x14ac:dyDescent="0.2">
      <c r="A356" s="1611">
        <v>13</v>
      </c>
      <c r="B356" s="1611" t="s">
        <v>2041</v>
      </c>
      <c r="C356" s="1611" t="s">
        <v>3882</v>
      </c>
      <c r="D356" s="1612" t="s">
        <v>7555</v>
      </c>
      <c r="E356" s="1706" t="s">
        <v>7592</v>
      </c>
      <c r="F356" s="1613">
        <v>72727273</v>
      </c>
      <c r="G356" s="1613">
        <v>12463130463</v>
      </c>
    </row>
    <row r="357" spans="1:7" ht="17.25" customHeight="1" x14ac:dyDescent="0.2">
      <c r="A357" s="1611">
        <v>13</v>
      </c>
      <c r="B357" s="1611" t="s">
        <v>7160</v>
      </c>
      <c r="C357" s="1611" t="s">
        <v>3890</v>
      </c>
      <c r="D357" s="1612">
        <v>0</v>
      </c>
      <c r="E357" s="1612" t="s">
        <v>2025</v>
      </c>
      <c r="F357" s="1613">
        <v>50044799</v>
      </c>
      <c r="G357" s="1613">
        <v>12513175262</v>
      </c>
    </row>
    <row r="358" spans="1:7" ht="17.25" customHeight="1" x14ac:dyDescent="0.2">
      <c r="A358" s="1611">
        <v>13</v>
      </c>
      <c r="B358" s="1611" t="s">
        <v>2039</v>
      </c>
      <c r="C358" s="1611" t="s">
        <v>3891</v>
      </c>
      <c r="D358" s="1612" t="s">
        <v>7555</v>
      </c>
      <c r="E358" s="1706" t="s">
        <v>7592</v>
      </c>
      <c r="F358" s="1613">
        <v>40000000</v>
      </c>
      <c r="G358" s="1613">
        <v>12553175262</v>
      </c>
    </row>
    <row r="359" spans="1:7" ht="17.25" customHeight="1" x14ac:dyDescent="0.2">
      <c r="A359" s="1611">
        <v>13</v>
      </c>
      <c r="B359" s="1611" t="s">
        <v>2028</v>
      </c>
      <c r="C359" s="1611" t="s">
        <v>3892</v>
      </c>
      <c r="D359" s="1612" t="s">
        <v>2024</v>
      </c>
      <c r="E359" s="1706" t="s">
        <v>7592</v>
      </c>
      <c r="F359" s="1613">
        <v>15983636</v>
      </c>
      <c r="G359" s="1613">
        <v>12569158898</v>
      </c>
    </row>
    <row r="360" spans="1:7" ht="17.25" customHeight="1" x14ac:dyDescent="0.2">
      <c r="A360" s="1611">
        <v>13</v>
      </c>
      <c r="B360" s="1611" t="s">
        <v>3893</v>
      </c>
      <c r="C360" s="1611" t="s">
        <v>3597</v>
      </c>
      <c r="D360" s="1612">
        <v>0</v>
      </c>
      <c r="E360" s="1706" t="s">
        <v>7592</v>
      </c>
      <c r="F360" s="1613">
        <v>9730000</v>
      </c>
      <c r="G360" s="1613">
        <v>12578888898</v>
      </c>
    </row>
    <row r="361" spans="1:7" ht="17.25" customHeight="1" x14ac:dyDescent="0.2">
      <c r="A361" s="1611">
        <v>13</v>
      </c>
      <c r="B361" s="1611" t="s">
        <v>3894</v>
      </c>
      <c r="C361" s="1611" t="s">
        <v>3895</v>
      </c>
      <c r="D361" s="1612">
        <v>0</v>
      </c>
      <c r="E361" s="1706" t="s">
        <v>7592</v>
      </c>
      <c r="F361" s="1613">
        <v>3951818</v>
      </c>
      <c r="G361" s="1613">
        <v>12582840716</v>
      </c>
    </row>
    <row r="362" spans="1:7" ht="17.25" customHeight="1" x14ac:dyDescent="0.2">
      <c r="A362" s="1611">
        <v>13</v>
      </c>
      <c r="B362" s="1611" t="s">
        <v>2041</v>
      </c>
      <c r="C362" s="1611" t="s">
        <v>3896</v>
      </c>
      <c r="D362" s="1612" t="s">
        <v>7555</v>
      </c>
      <c r="E362" s="1706" t="s">
        <v>7592</v>
      </c>
      <c r="F362" s="1613">
        <v>46981818</v>
      </c>
      <c r="G362" s="1613">
        <v>12629822534</v>
      </c>
    </row>
    <row r="363" spans="1:7" ht="17.25" customHeight="1" x14ac:dyDescent="0.2">
      <c r="A363" s="1611">
        <v>13</v>
      </c>
      <c r="B363" s="1611" t="s">
        <v>2026</v>
      </c>
      <c r="C363" s="1611" t="s">
        <v>3897</v>
      </c>
      <c r="D363" s="1612" t="s">
        <v>2024</v>
      </c>
      <c r="E363" s="1706" t="s">
        <v>7592</v>
      </c>
      <c r="F363" s="1613">
        <v>15000000</v>
      </c>
      <c r="G363" s="1613">
        <v>12644822534</v>
      </c>
    </row>
    <row r="364" spans="1:7" ht="17.25" customHeight="1" x14ac:dyDescent="0.2">
      <c r="A364" s="1611">
        <v>13</v>
      </c>
      <c r="B364" s="1611" t="s">
        <v>3898</v>
      </c>
      <c r="C364" s="1611" t="s">
        <v>3749</v>
      </c>
      <c r="D364" s="1612">
        <v>0</v>
      </c>
      <c r="E364" s="1706" t="s">
        <v>7592</v>
      </c>
      <c r="F364" s="1613">
        <v>9000000</v>
      </c>
      <c r="G364" s="1613">
        <v>12653822534</v>
      </c>
    </row>
    <row r="365" spans="1:7" ht="17.25" customHeight="1" x14ac:dyDescent="0.2">
      <c r="A365" s="1611">
        <v>13</v>
      </c>
      <c r="B365" s="1611" t="s">
        <v>2034</v>
      </c>
      <c r="C365" s="1611" t="s">
        <v>3895</v>
      </c>
      <c r="D365" s="1612" t="s">
        <v>7555</v>
      </c>
      <c r="E365" s="1706" t="s">
        <v>7592</v>
      </c>
      <c r="F365" s="1613">
        <v>41272728</v>
      </c>
      <c r="G365" s="1613">
        <v>12695095262</v>
      </c>
    </row>
    <row r="366" spans="1:7" ht="17.25" customHeight="1" x14ac:dyDescent="0.2">
      <c r="A366" s="1611">
        <v>13</v>
      </c>
      <c r="B366" s="1611" t="s">
        <v>2045</v>
      </c>
      <c r="C366" s="1611" t="s">
        <v>3749</v>
      </c>
      <c r="D366" s="1612" t="s">
        <v>7555</v>
      </c>
      <c r="E366" s="1706" t="s">
        <v>7592</v>
      </c>
      <c r="F366" s="1613">
        <v>39181819</v>
      </c>
      <c r="G366" s="1613">
        <v>12734277081</v>
      </c>
    </row>
    <row r="367" spans="1:7" ht="17.25" customHeight="1" x14ac:dyDescent="0.2">
      <c r="A367" s="1611">
        <v>13</v>
      </c>
      <c r="B367" s="1611" t="s">
        <v>2037</v>
      </c>
      <c r="C367" s="1611" t="s">
        <v>3899</v>
      </c>
      <c r="D367" s="1612" t="s">
        <v>7555</v>
      </c>
      <c r="E367" s="1706" t="s">
        <v>7592</v>
      </c>
      <c r="F367" s="1613">
        <v>37272728</v>
      </c>
      <c r="G367" s="1613">
        <v>12771549809</v>
      </c>
    </row>
    <row r="368" spans="1:7" ht="17.25" customHeight="1" x14ac:dyDescent="0.2">
      <c r="A368" s="1611">
        <v>13</v>
      </c>
      <c r="B368" s="1611" t="s">
        <v>2037</v>
      </c>
      <c r="C368" s="1611" t="s">
        <v>3900</v>
      </c>
      <c r="D368" s="1612" t="s">
        <v>7555</v>
      </c>
      <c r="E368" s="1706" t="s">
        <v>7592</v>
      </c>
      <c r="F368" s="1613">
        <v>37272728</v>
      </c>
      <c r="G368" s="1613">
        <v>12808822537</v>
      </c>
    </row>
    <row r="369" spans="1:7" ht="17.25" customHeight="1" x14ac:dyDescent="0.2">
      <c r="A369" s="1611">
        <v>13</v>
      </c>
      <c r="B369" s="1611" t="s">
        <v>2037</v>
      </c>
      <c r="C369" s="1611" t="s">
        <v>3621</v>
      </c>
      <c r="D369" s="1612" t="s">
        <v>7555</v>
      </c>
      <c r="E369" s="1706" t="s">
        <v>7592</v>
      </c>
      <c r="F369" s="1613">
        <v>37272727</v>
      </c>
      <c r="G369" s="1613">
        <v>12846095264</v>
      </c>
    </row>
    <row r="370" spans="1:7" ht="17.25" customHeight="1" x14ac:dyDescent="0.2">
      <c r="A370" s="1611">
        <v>13</v>
      </c>
      <c r="B370" s="1611" t="s">
        <v>2037</v>
      </c>
      <c r="C370" s="1611" t="s">
        <v>3901</v>
      </c>
      <c r="D370" s="1612" t="s">
        <v>7555</v>
      </c>
      <c r="E370" s="1706" t="s">
        <v>7592</v>
      </c>
      <c r="F370" s="1613">
        <v>38000000</v>
      </c>
      <c r="G370" s="1613">
        <v>12884095264</v>
      </c>
    </row>
    <row r="371" spans="1:7" ht="17.25" customHeight="1" x14ac:dyDescent="0.2">
      <c r="A371" s="1611">
        <v>13</v>
      </c>
      <c r="B371" s="1611" t="s">
        <v>2026</v>
      </c>
      <c r="C371" s="1611" t="s">
        <v>3902</v>
      </c>
      <c r="D371" s="1612" t="s">
        <v>2024</v>
      </c>
      <c r="E371" s="1706" t="s">
        <v>7592</v>
      </c>
      <c r="F371" s="1613">
        <v>13636364</v>
      </c>
      <c r="G371" s="1613">
        <v>12897731628</v>
      </c>
    </row>
    <row r="372" spans="1:7" ht="17.25" customHeight="1" x14ac:dyDescent="0.2">
      <c r="A372" s="1611">
        <v>13</v>
      </c>
      <c r="B372" s="1611" t="s">
        <v>2041</v>
      </c>
      <c r="C372" s="1611" t="s">
        <v>3903</v>
      </c>
      <c r="D372" s="1612" t="s">
        <v>7555</v>
      </c>
      <c r="E372" s="1706" t="s">
        <v>7592</v>
      </c>
      <c r="F372" s="1613">
        <v>72727273</v>
      </c>
      <c r="G372" s="1613">
        <v>12970458901</v>
      </c>
    </row>
    <row r="373" spans="1:7" ht="17.25" customHeight="1" x14ac:dyDescent="0.2">
      <c r="A373" s="1611">
        <v>13</v>
      </c>
      <c r="B373" s="1611" t="s">
        <v>2063</v>
      </c>
      <c r="C373" s="1611" t="s">
        <v>3904</v>
      </c>
      <c r="D373" s="1612" t="s">
        <v>2023</v>
      </c>
      <c r="E373" s="1706" t="s">
        <v>7592</v>
      </c>
      <c r="F373" s="1613">
        <v>133000000</v>
      </c>
      <c r="G373" s="1613">
        <v>13103458901</v>
      </c>
    </row>
    <row r="374" spans="1:7" ht="17.25" customHeight="1" x14ac:dyDescent="0.2">
      <c r="A374" s="1611">
        <v>13</v>
      </c>
      <c r="B374" s="1611" t="s">
        <v>3905</v>
      </c>
      <c r="C374" s="1611" t="s">
        <v>3904</v>
      </c>
      <c r="D374" s="1612">
        <v>0</v>
      </c>
      <c r="E374" s="1706" t="s">
        <v>7592</v>
      </c>
      <c r="F374" s="1613">
        <v>-133000000</v>
      </c>
      <c r="G374" s="1613">
        <v>12970458901</v>
      </c>
    </row>
    <row r="375" spans="1:7" ht="17.25" customHeight="1" x14ac:dyDescent="0.2">
      <c r="A375" s="1611">
        <v>13</v>
      </c>
      <c r="B375" s="1611" t="s">
        <v>2028</v>
      </c>
      <c r="C375" s="1611" t="s">
        <v>3906</v>
      </c>
      <c r="D375" s="1612" t="s">
        <v>2024</v>
      </c>
      <c r="E375" s="1706" t="s">
        <v>7592</v>
      </c>
      <c r="F375" s="1613">
        <v>13800000</v>
      </c>
      <c r="G375" s="1613">
        <v>12984258901</v>
      </c>
    </row>
    <row r="376" spans="1:7" ht="17.25" customHeight="1" x14ac:dyDescent="0.2">
      <c r="A376" s="1611">
        <v>13</v>
      </c>
      <c r="B376" s="1611" t="s">
        <v>2041</v>
      </c>
      <c r="C376" s="1611" t="s">
        <v>3903</v>
      </c>
      <c r="D376" s="1612" t="s">
        <v>7555</v>
      </c>
      <c r="E376" s="1706" t="s">
        <v>7592</v>
      </c>
      <c r="F376" s="1613">
        <v>2990000</v>
      </c>
      <c r="G376" s="1613">
        <v>12987248901</v>
      </c>
    </row>
    <row r="377" spans="1:7" ht="17.25" customHeight="1" x14ac:dyDescent="0.2">
      <c r="A377" s="1611">
        <v>13</v>
      </c>
      <c r="B377" s="1611" t="s">
        <v>2032</v>
      </c>
      <c r="C377" s="1611" t="s">
        <v>3907</v>
      </c>
      <c r="D377" s="1612" t="s">
        <v>7555</v>
      </c>
      <c r="E377" s="1706" t="s">
        <v>7592</v>
      </c>
      <c r="F377" s="1613">
        <v>33500000</v>
      </c>
      <c r="G377" s="1613">
        <v>13020748901</v>
      </c>
    </row>
    <row r="378" spans="1:7" ht="17.25" customHeight="1" x14ac:dyDescent="0.2">
      <c r="A378" s="1611">
        <v>13</v>
      </c>
      <c r="B378" s="1611" t="s">
        <v>2027</v>
      </c>
      <c r="C378" s="1611" t="s">
        <v>3908</v>
      </c>
      <c r="D378" s="1612" t="s">
        <v>2024</v>
      </c>
      <c r="E378" s="1706" t="s">
        <v>7592</v>
      </c>
      <c r="F378" s="1613">
        <v>16254545</v>
      </c>
      <c r="G378" s="1613">
        <v>13037003446</v>
      </c>
    </row>
    <row r="379" spans="1:7" ht="17.25" customHeight="1" x14ac:dyDescent="0.2">
      <c r="A379" s="1611">
        <v>13</v>
      </c>
      <c r="B379" s="1611" t="s">
        <v>3883</v>
      </c>
      <c r="C379" s="1611" t="s">
        <v>3909</v>
      </c>
      <c r="D379" s="1612">
        <v>0</v>
      </c>
      <c r="E379" s="1706" t="s">
        <v>7592</v>
      </c>
      <c r="F379" s="1613">
        <v>3600000</v>
      </c>
      <c r="G379" s="1613">
        <v>13040603446</v>
      </c>
    </row>
    <row r="380" spans="1:7" ht="17.25" customHeight="1" x14ac:dyDescent="0.2">
      <c r="A380" s="1611">
        <v>13</v>
      </c>
      <c r="B380" s="1611" t="s">
        <v>3883</v>
      </c>
      <c r="C380" s="1611" t="s">
        <v>3910</v>
      </c>
      <c r="D380" s="1612">
        <v>0</v>
      </c>
      <c r="E380" s="1706" t="s">
        <v>7592</v>
      </c>
      <c r="F380" s="1613">
        <v>3600000</v>
      </c>
      <c r="G380" s="1613">
        <v>13044203446</v>
      </c>
    </row>
    <row r="381" spans="1:7" ht="17.25" customHeight="1" x14ac:dyDescent="0.2">
      <c r="A381" s="1611">
        <v>13</v>
      </c>
      <c r="B381" s="1611" t="s">
        <v>3666</v>
      </c>
      <c r="C381" s="1611" t="s">
        <v>3911</v>
      </c>
      <c r="D381" s="1612">
        <v>0</v>
      </c>
      <c r="E381" s="1706" t="s">
        <v>7592</v>
      </c>
      <c r="F381" s="1613">
        <v>60000000</v>
      </c>
      <c r="G381" s="1613">
        <v>13104203446</v>
      </c>
    </row>
    <row r="382" spans="1:7" ht="17.25" customHeight="1" x14ac:dyDescent="0.2">
      <c r="A382" s="1611">
        <v>13</v>
      </c>
      <c r="B382" s="1611" t="s">
        <v>2037</v>
      </c>
      <c r="C382" s="1611" t="s">
        <v>3912</v>
      </c>
      <c r="D382" s="1612" t="s">
        <v>7555</v>
      </c>
      <c r="E382" s="1706" t="s">
        <v>7592</v>
      </c>
      <c r="F382" s="1613">
        <v>36000000</v>
      </c>
      <c r="G382" s="1613">
        <v>13140203446</v>
      </c>
    </row>
    <row r="383" spans="1:7" ht="17.25" customHeight="1" x14ac:dyDescent="0.2">
      <c r="A383" s="1611">
        <v>13</v>
      </c>
      <c r="B383" s="1611" t="s">
        <v>2037</v>
      </c>
      <c r="C383" s="1611" t="s">
        <v>3913</v>
      </c>
      <c r="D383" s="1612" t="s">
        <v>7555</v>
      </c>
      <c r="E383" s="1706" t="s">
        <v>7592</v>
      </c>
      <c r="F383" s="1613">
        <v>38181818</v>
      </c>
      <c r="G383" s="1613">
        <v>13178385264</v>
      </c>
    </row>
    <row r="384" spans="1:7" ht="17.25" customHeight="1" x14ac:dyDescent="0.2">
      <c r="A384" s="1611">
        <v>13</v>
      </c>
      <c r="B384" s="1611" t="s">
        <v>2037</v>
      </c>
      <c r="C384" s="1611" t="s">
        <v>3912</v>
      </c>
      <c r="D384" s="1612" t="s">
        <v>7555</v>
      </c>
      <c r="E384" s="1706" t="s">
        <v>7592</v>
      </c>
      <c r="F384" s="1613">
        <v>-36000000</v>
      </c>
      <c r="G384" s="1613">
        <v>13142385264</v>
      </c>
    </row>
    <row r="385" spans="1:7" ht="17.25" customHeight="1" x14ac:dyDescent="0.2">
      <c r="A385" s="1611">
        <v>13</v>
      </c>
      <c r="B385" s="1611" t="s">
        <v>2037</v>
      </c>
      <c r="C385" s="1611" t="s">
        <v>3912</v>
      </c>
      <c r="D385" s="1612" t="s">
        <v>7555</v>
      </c>
      <c r="E385" s="1706" t="s">
        <v>7592</v>
      </c>
      <c r="F385" s="1613">
        <v>36000000</v>
      </c>
      <c r="G385" s="1613">
        <v>13178385264</v>
      </c>
    </row>
    <row r="386" spans="1:7" ht="17.25" customHeight="1" x14ac:dyDescent="0.2">
      <c r="A386" s="1611">
        <v>13</v>
      </c>
      <c r="B386" s="1611" t="s">
        <v>3883</v>
      </c>
      <c r="C386" s="1611" t="s">
        <v>3914</v>
      </c>
      <c r="D386" s="1612">
        <v>0</v>
      </c>
      <c r="E386" s="1706" t="s">
        <v>7592</v>
      </c>
      <c r="F386" s="1613">
        <v>3600000</v>
      </c>
      <c r="G386" s="1613">
        <v>13181985264</v>
      </c>
    </row>
    <row r="387" spans="1:7" ht="17.25" customHeight="1" x14ac:dyDescent="0.2">
      <c r="A387" s="1611">
        <v>13</v>
      </c>
      <c r="B387" s="1611" t="s">
        <v>3915</v>
      </c>
      <c r="C387" s="1611" t="s">
        <v>3597</v>
      </c>
      <c r="D387" s="1612">
        <v>0</v>
      </c>
      <c r="E387" s="1706" t="s">
        <v>7592</v>
      </c>
      <c r="F387" s="1613">
        <v>11464000</v>
      </c>
      <c r="G387" s="1613">
        <v>13193449264</v>
      </c>
    </row>
    <row r="388" spans="1:7" ht="17.25" customHeight="1" x14ac:dyDescent="0.2">
      <c r="A388" s="1611">
        <v>13</v>
      </c>
      <c r="B388" s="1611" t="s">
        <v>3627</v>
      </c>
      <c r="C388" s="1611" t="s">
        <v>3837</v>
      </c>
      <c r="D388" s="1612">
        <v>0</v>
      </c>
      <c r="E388" s="1706" t="s">
        <v>7592</v>
      </c>
      <c r="F388" s="1613">
        <v>7760000</v>
      </c>
      <c r="G388" s="1613">
        <v>13201209264</v>
      </c>
    </row>
    <row r="389" spans="1:7" ht="17.25" customHeight="1" x14ac:dyDescent="0.2">
      <c r="A389" s="1611">
        <v>13</v>
      </c>
      <c r="B389" s="1611" t="s">
        <v>3916</v>
      </c>
      <c r="C389" s="1611" t="s">
        <v>3917</v>
      </c>
      <c r="D389" s="1612" t="s">
        <v>2024</v>
      </c>
      <c r="E389" s="1706" t="s">
        <v>7592</v>
      </c>
      <c r="F389" s="1613">
        <v>22200000</v>
      </c>
      <c r="G389" s="1613">
        <v>13223409264</v>
      </c>
    </row>
    <row r="390" spans="1:7" ht="17.25" customHeight="1" x14ac:dyDescent="0.2">
      <c r="A390" s="1611">
        <v>13</v>
      </c>
      <c r="B390" s="1611" t="s">
        <v>7161</v>
      </c>
      <c r="C390" s="1611" t="s">
        <v>214</v>
      </c>
      <c r="D390" s="1612">
        <v>0</v>
      </c>
      <c r="E390" s="1706" t="s">
        <v>7592</v>
      </c>
      <c r="F390" s="1613">
        <v>14368609</v>
      </c>
      <c r="G390" s="1613">
        <v>13237777873</v>
      </c>
    </row>
    <row r="391" spans="1:7" ht="17.25" customHeight="1" x14ac:dyDescent="0.2">
      <c r="A391" s="1611">
        <v>13</v>
      </c>
      <c r="B391" s="1611" t="s">
        <v>3666</v>
      </c>
      <c r="C391" s="1611" t="s">
        <v>3918</v>
      </c>
      <c r="D391" s="1612">
        <v>0</v>
      </c>
      <c r="E391" s="1706" t="s">
        <v>7592</v>
      </c>
      <c r="F391" s="1613">
        <v>60350000</v>
      </c>
      <c r="G391" s="1613">
        <v>13298127873</v>
      </c>
    </row>
    <row r="392" spans="1:7" ht="17.25" customHeight="1" x14ac:dyDescent="0.2">
      <c r="A392" s="1611">
        <v>13</v>
      </c>
      <c r="B392" s="1611" t="s">
        <v>2037</v>
      </c>
      <c r="C392" s="1611" t="s">
        <v>3919</v>
      </c>
      <c r="D392" s="1612" t="s">
        <v>7555</v>
      </c>
      <c r="E392" s="1706" t="s">
        <v>7592</v>
      </c>
      <c r="F392" s="1613">
        <v>35909091</v>
      </c>
      <c r="G392" s="1613">
        <v>13334036964</v>
      </c>
    </row>
    <row r="393" spans="1:7" ht="17.25" customHeight="1" x14ac:dyDescent="0.2">
      <c r="A393" s="1611">
        <v>13</v>
      </c>
      <c r="B393" s="1611" t="s">
        <v>3883</v>
      </c>
      <c r="C393" s="1611" t="s">
        <v>3920</v>
      </c>
      <c r="D393" s="1612">
        <v>0</v>
      </c>
      <c r="E393" s="1706" t="s">
        <v>7592</v>
      </c>
      <c r="F393" s="1613">
        <v>3600000</v>
      </c>
      <c r="G393" s="1613">
        <v>13337636964</v>
      </c>
    </row>
    <row r="394" spans="1:7" ht="17.25" customHeight="1" x14ac:dyDescent="0.2">
      <c r="A394" s="1611">
        <v>13</v>
      </c>
      <c r="B394" s="1611" t="s">
        <v>2039</v>
      </c>
      <c r="C394" s="1611" t="s">
        <v>3921</v>
      </c>
      <c r="D394" s="1612" t="s">
        <v>7555</v>
      </c>
      <c r="E394" s="1706" t="s">
        <v>7592</v>
      </c>
      <c r="F394" s="1613">
        <v>39583000</v>
      </c>
      <c r="G394" s="1613">
        <v>13377219964</v>
      </c>
    </row>
    <row r="395" spans="1:7" ht="17.25" customHeight="1" x14ac:dyDescent="0.2">
      <c r="A395" s="1611">
        <v>13</v>
      </c>
      <c r="B395" s="1611" t="s">
        <v>7162</v>
      </c>
      <c r="C395" s="1611" t="s">
        <v>3922</v>
      </c>
      <c r="D395" s="1612">
        <v>0</v>
      </c>
      <c r="E395" s="1706" t="s">
        <v>7592</v>
      </c>
      <c r="F395" s="1613">
        <v>133182339</v>
      </c>
      <c r="G395" s="1613">
        <v>13510402303</v>
      </c>
    </row>
    <row r="396" spans="1:7" ht="17.25" customHeight="1" x14ac:dyDescent="0.2">
      <c r="A396" s="1611">
        <v>13</v>
      </c>
      <c r="B396" s="1611" t="s">
        <v>2027</v>
      </c>
      <c r="C396" s="1611" t="s">
        <v>3923</v>
      </c>
      <c r="D396" s="1612" t="s">
        <v>2024</v>
      </c>
      <c r="E396" s="1706" t="s">
        <v>7592</v>
      </c>
      <c r="F396" s="1613">
        <v>15000000</v>
      </c>
      <c r="G396" s="1613">
        <v>13525402303</v>
      </c>
    </row>
    <row r="397" spans="1:7" ht="17.25" customHeight="1" x14ac:dyDescent="0.2">
      <c r="A397" s="1611">
        <v>13</v>
      </c>
      <c r="B397" s="1611" t="s">
        <v>2032</v>
      </c>
      <c r="C397" s="1611" t="s">
        <v>3924</v>
      </c>
      <c r="D397" s="1612" t="s">
        <v>7555</v>
      </c>
      <c r="E397" s="1706" t="s">
        <v>7592</v>
      </c>
      <c r="F397" s="1613">
        <v>33300000</v>
      </c>
      <c r="G397" s="1613">
        <v>13558702303</v>
      </c>
    </row>
    <row r="398" spans="1:7" ht="17.25" customHeight="1" x14ac:dyDescent="0.2">
      <c r="A398" s="1611">
        <v>13</v>
      </c>
      <c r="B398" s="1611" t="s">
        <v>2039</v>
      </c>
      <c r="C398" s="1611" t="s">
        <v>3925</v>
      </c>
      <c r="D398" s="1612" t="s">
        <v>7555</v>
      </c>
      <c r="E398" s="1706" t="s">
        <v>7592</v>
      </c>
      <c r="F398" s="1613">
        <v>42600000</v>
      </c>
      <c r="G398" s="1613">
        <v>13601302303</v>
      </c>
    </row>
    <row r="399" spans="1:7" ht="17.25" customHeight="1" x14ac:dyDescent="0.2">
      <c r="A399" s="1611">
        <v>13</v>
      </c>
      <c r="B399" s="1611" t="s">
        <v>3883</v>
      </c>
      <c r="C399" s="1611" t="s">
        <v>3925</v>
      </c>
      <c r="D399" s="1612">
        <v>0</v>
      </c>
      <c r="E399" s="1706" t="s">
        <v>7592</v>
      </c>
      <c r="F399" s="1613">
        <v>3600000</v>
      </c>
      <c r="G399" s="1613">
        <v>13604902303</v>
      </c>
    </row>
    <row r="400" spans="1:7" ht="17.25" customHeight="1" x14ac:dyDescent="0.2">
      <c r="A400" s="1611">
        <v>13</v>
      </c>
      <c r="B400" s="1611" t="s">
        <v>2027</v>
      </c>
      <c r="C400" s="1611" t="s">
        <v>3926</v>
      </c>
      <c r="D400" s="1612" t="s">
        <v>2024</v>
      </c>
      <c r="E400" s="1706" t="s">
        <v>7592</v>
      </c>
      <c r="F400" s="1613">
        <v>13000000</v>
      </c>
      <c r="G400" s="1613">
        <v>13617902303</v>
      </c>
    </row>
    <row r="401" spans="1:7" ht="17.25" customHeight="1" x14ac:dyDescent="0.2">
      <c r="A401" s="1611">
        <v>13</v>
      </c>
      <c r="B401" s="1611" t="s">
        <v>3927</v>
      </c>
      <c r="C401" s="1611" t="s">
        <v>3597</v>
      </c>
      <c r="D401" s="1612">
        <v>0</v>
      </c>
      <c r="E401" s="1706" t="s">
        <v>7592</v>
      </c>
      <c r="F401" s="1613">
        <v>16108000</v>
      </c>
      <c r="G401" s="1613">
        <v>13634010303</v>
      </c>
    </row>
    <row r="402" spans="1:7" ht="17.25" customHeight="1" x14ac:dyDescent="0.2">
      <c r="A402" s="1611">
        <v>13</v>
      </c>
      <c r="B402" s="1611" t="s">
        <v>2041</v>
      </c>
      <c r="C402" s="1611" t="s">
        <v>3928</v>
      </c>
      <c r="D402" s="1612" t="s">
        <v>7555</v>
      </c>
      <c r="E402" s="1706" t="s">
        <v>7592</v>
      </c>
      <c r="F402" s="1613">
        <v>49709091</v>
      </c>
      <c r="G402" s="1613">
        <v>13683719394</v>
      </c>
    </row>
    <row r="403" spans="1:7" ht="17.25" customHeight="1" x14ac:dyDescent="0.2">
      <c r="A403" s="1611">
        <v>13</v>
      </c>
      <c r="B403" s="1611" t="s">
        <v>7163</v>
      </c>
      <c r="C403" s="1611" t="s">
        <v>3929</v>
      </c>
      <c r="D403" s="1612">
        <v>0</v>
      </c>
      <c r="E403" s="1706" t="s">
        <v>7572</v>
      </c>
      <c r="F403" s="1613">
        <v>26669396</v>
      </c>
      <c r="G403" s="1613">
        <v>13710388790</v>
      </c>
    </row>
    <row r="404" spans="1:7" ht="17.25" customHeight="1" x14ac:dyDescent="0.2">
      <c r="A404" s="1611">
        <v>13</v>
      </c>
      <c r="B404" s="1611" t="s">
        <v>7154</v>
      </c>
      <c r="C404" s="1611" t="s">
        <v>214</v>
      </c>
      <c r="D404" s="1612">
        <v>0</v>
      </c>
      <c r="E404" s="1706" t="s">
        <v>7592</v>
      </c>
      <c r="F404" s="1613">
        <v>29256262</v>
      </c>
      <c r="G404" s="1613">
        <v>13739645052</v>
      </c>
    </row>
    <row r="405" spans="1:7" ht="17.25" customHeight="1" x14ac:dyDescent="0.2">
      <c r="A405" s="1611">
        <v>13</v>
      </c>
      <c r="B405" s="1611" t="s">
        <v>2026</v>
      </c>
      <c r="C405" s="1611" t="s">
        <v>3930</v>
      </c>
      <c r="D405" s="1612" t="s">
        <v>2024</v>
      </c>
      <c r="E405" s="1706" t="s">
        <v>7592</v>
      </c>
      <c r="F405" s="1613">
        <v>14545454</v>
      </c>
      <c r="G405" s="1613">
        <v>13754190506</v>
      </c>
    </row>
    <row r="406" spans="1:7" ht="17.25" customHeight="1" x14ac:dyDescent="0.2">
      <c r="A406" s="1611">
        <v>13</v>
      </c>
      <c r="B406" s="1611" t="s">
        <v>2041</v>
      </c>
      <c r="C406" s="1611" t="s">
        <v>3931</v>
      </c>
      <c r="D406" s="1612" t="s">
        <v>7555</v>
      </c>
      <c r="E406" s="1706" t="s">
        <v>7592</v>
      </c>
      <c r="F406" s="1613">
        <v>50000000</v>
      </c>
      <c r="G406" s="1613">
        <v>13804190506</v>
      </c>
    </row>
    <row r="407" spans="1:7" ht="17.25" customHeight="1" x14ac:dyDescent="0.2">
      <c r="A407" s="1611">
        <v>13</v>
      </c>
      <c r="B407" s="1611" t="s">
        <v>2028</v>
      </c>
      <c r="C407" s="1611" t="s">
        <v>3932</v>
      </c>
      <c r="D407" s="1612" t="s">
        <v>2024</v>
      </c>
      <c r="E407" s="1706" t="s">
        <v>7592</v>
      </c>
      <c r="F407" s="1613">
        <v>14200000</v>
      </c>
      <c r="G407" s="1613">
        <v>13818390506</v>
      </c>
    </row>
    <row r="408" spans="1:7" ht="17.25" customHeight="1" x14ac:dyDescent="0.2">
      <c r="A408" s="1611">
        <v>13</v>
      </c>
      <c r="B408" s="1611" t="s">
        <v>2039</v>
      </c>
      <c r="C408" s="1611" t="s">
        <v>3933</v>
      </c>
      <c r="D408" s="1612" t="s">
        <v>7555</v>
      </c>
      <c r="E408" s="1706" t="s">
        <v>7592</v>
      </c>
      <c r="F408" s="1613">
        <v>42272727</v>
      </c>
      <c r="G408" s="1613">
        <v>13860663233</v>
      </c>
    </row>
    <row r="409" spans="1:7" ht="17.25" customHeight="1" x14ac:dyDescent="0.2">
      <c r="A409" s="1611">
        <v>13</v>
      </c>
      <c r="B409" s="1611" t="s">
        <v>2039</v>
      </c>
      <c r="C409" s="1611" t="s">
        <v>3436</v>
      </c>
      <c r="D409" s="1612" t="s">
        <v>7555</v>
      </c>
      <c r="E409" s="1706" t="s">
        <v>7592</v>
      </c>
      <c r="F409" s="1613">
        <v>43940000</v>
      </c>
      <c r="G409" s="1613">
        <v>13904603233</v>
      </c>
    </row>
    <row r="410" spans="1:7" ht="17.25" customHeight="1" x14ac:dyDescent="0.2">
      <c r="A410" s="1611">
        <v>13</v>
      </c>
      <c r="B410" s="1611" t="s">
        <v>2037</v>
      </c>
      <c r="C410" s="1611" t="s">
        <v>3934</v>
      </c>
      <c r="D410" s="1612" t="s">
        <v>7555</v>
      </c>
      <c r="E410" s="1706" t="s">
        <v>7592</v>
      </c>
      <c r="F410" s="1613">
        <v>37200000</v>
      </c>
      <c r="G410" s="1613">
        <v>13941803233</v>
      </c>
    </row>
    <row r="411" spans="1:7" ht="17.25" customHeight="1" x14ac:dyDescent="0.2">
      <c r="A411" s="1611">
        <v>13</v>
      </c>
      <c r="B411" s="1611" t="s">
        <v>3935</v>
      </c>
      <c r="C411" s="1611" t="s">
        <v>3597</v>
      </c>
      <c r="D411" s="1612">
        <v>0</v>
      </c>
      <c r="E411" s="1706" t="s">
        <v>7592</v>
      </c>
      <c r="F411" s="1613">
        <v>4788000</v>
      </c>
      <c r="G411" s="1613">
        <v>13946591233</v>
      </c>
    </row>
    <row r="412" spans="1:7" ht="17.25" customHeight="1" x14ac:dyDescent="0.2">
      <c r="A412" s="1611">
        <v>13</v>
      </c>
      <c r="B412" s="1611" t="s">
        <v>3937</v>
      </c>
      <c r="C412" s="1611" t="s">
        <v>3597</v>
      </c>
      <c r="D412" s="1612">
        <v>0</v>
      </c>
      <c r="E412" s="1706" t="s">
        <v>7592</v>
      </c>
      <c r="F412" s="1613">
        <v>19000000</v>
      </c>
      <c r="G412" s="1613">
        <v>13965591233</v>
      </c>
    </row>
    <row r="413" spans="1:7" ht="17.25" customHeight="1" x14ac:dyDescent="0.2">
      <c r="A413" s="1611">
        <v>13</v>
      </c>
      <c r="B413" s="1611" t="s">
        <v>7154</v>
      </c>
      <c r="C413" s="1611" t="s">
        <v>3929</v>
      </c>
      <c r="D413" s="1612">
        <v>0</v>
      </c>
      <c r="E413" s="1706" t="s">
        <v>7572</v>
      </c>
      <c r="F413" s="1613">
        <v>29140587</v>
      </c>
      <c r="G413" s="1613">
        <v>13994731820</v>
      </c>
    </row>
    <row r="414" spans="1:7" ht="17.25" customHeight="1" x14ac:dyDescent="0.2">
      <c r="A414" s="1611">
        <v>13</v>
      </c>
      <c r="B414" s="1611" t="s">
        <v>2028</v>
      </c>
      <c r="C414" s="1611" t="s">
        <v>3936</v>
      </c>
      <c r="D414" s="1612" t="s">
        <v>2024</v>
      </c>
      <c r="E414" s="1706" t="s">
        <v>7592</v>
      </c>
      <c r="F414" s="1613">
        <v>13879842</v>
      </c>
      <c r="G414" s="1613">
        <v>14008611662</v>
      </c>
    </row>
    <row r="415" spans="1:7" ht="17.25" customHeight="1" x14ac:dyDescent="0.2">
      <c r="A415" s="1611">
        <v>13</v>
      </c>
      <c r="B415" s="1611" t="s">
        <v>3937</v>
      </c>
      <c r="C415" s="1611" t="s">
        <v>3938</v>
      </c>
      <c r="D415" s="1612">
        <v>0</v>
      </c>
      <c r="E415" s="1706" t="s">
        <v>7592</v>
      </c>
      <c r="F415" s="1613">
        <v>14209091</v>
      </c>
      <c r="G415" s="1613">
        <v>14022820753</v>
      </c>
    </row>
    <row r="416" spans="1:7" ht="17.25" customHeight="1" x14ac:dyDescent="0.2">
      <c r="A416" s="1611">
        <v>13</v>
      </c>
      <c r="B416" s="1611" t="s">
        <v>2028</v>
      </c>
      <c r="C416" s="1611" t="s">
        <v>3939</v>
      </c>
      <c r="D416" s="1612" t="s">
        <v>2024</v>
      </c>
      <c r="E416" s="1706" t="s">
        <v>7592</v>
      </c>
      <c r="F416" s="1613">
        <v>13500000</v>
      </c>
      <c r="G416" s="1613">
        <v>14036320753</v>
      </c>
    </row>
    <row r="417" spans="1:7" ht="17.25" customHeight="1" x14ac:dyDescent="0.2">
      <c r="A417" s="1611">
        <v>13</v>
      </c>
      <c r="B417" s="1611" t="s">
        <v>2034</v>
      </c>
      <c r="C417" s="1611" t="s">
        <v>3940</v>
      </c>
      <c r="D417" s="1612" t="s">
        <v>7555</v>
      </c>
      <c r="E417" s="1706" t="s">
        <v>7592</v>
      </c>
      <c r="F417" s="1613">
        <v>41272728</v>
      </c>
      <c r="G417" s="1613">
        <v>14077593481</v>
      </c>
    </row>
    <row r="418" spans="1:7" ht="17.25" customHeight="1" x14ac:dyDescent="0.2">
      <c r="A418" s="1611">
        <v>13</v>
      </c>
      <c r="B418" s="1611" t="s">
        <v>2062</v>
      </c>
      <c r="C418" s="1611" t="s">
        <v>3904</v>
      </c>
      <c r="D418" s="1612" t="s">
        <v>2023</v>
      </c>
      <c r="E418" s="1706" t="s">
        <v>7592</v>
      </c>
      <c r="F418" s="1613">
        <v>156000000</v>
      </c>
      <c r="G418" s="1613">
        <v>14233593481</v>
      </c>
    </row>
    <row r="419" spans="1:7" ht="17.25" customHeight="1" x14ac:dyDescent="0.2">
      <c r="A419" s="1611">
        <v>13</v>
      </c>
      <c r="B419" s="1611" t="s">
        <v>2037</v>
      </c>
      <c r="C419" s="1611" t="s">
        <v>3941</v>
      </c>
      <c r="D419" s="1612" t="s">
        <v>7555</v>
      </c>
      <c r="E419" s="1706" t="s">
        <v>7592</v>
      </c>
      <c r="F419" s="1613">
        <v>38318182</v>
      </c>
      <c r="G419" s="1613">
        <v>14271911663</v>
      </c>
    </row>
    <row r="420" spans="1:7" ht="17.25" customHeight="1" x14ac:dyDescent="0.2">
      <c r="A420" s="1611">
        <v>13</v>
      </c>
      <c r="B420" s="1611" t="s">
        <v>2043</v>
      </c>
      <c r="C420" s="1611" t="s">
        <v>3942</v>
      </c>
      <c r="D420" s="1612" t="s">
        <v>7555</v>
      </c>
      <c r="E420" s="1706" t="s">
        <v>7592</v>
      </c>
      <c r="F420" s="1613">
        <v>50454545</v>
      </c>
      <c r="G420" s="1613">
        <v>14322366208</v>
      </c>
    </row>
    <row r="421" spans="1:7" ht="17.25" customHeight="1" x14ac:dyDescent="0.2">
      <c r="A421" s="1611">
        <v>13</v>
      </c>
      <c r="B421" s="1611" t="s">
        <v>7164</v>
      </c>
      <c r="C421" s="1611" t="s">
        <v>3890</v>
      </c>
      <c r="D421" s="1612">
        <v>0</v>
      </c>
      <c r="E421" s="1612" t="s">
        <v>2025</v>
      </c>
      <c r="F421" s="1613">
        <v>233360201</v>
      </c>
      <c r="G421" s="1613">
        <v>14555726409</v>
      </c>
    </row>
    <row r="422" spans="1:7" ht="17.25" customHeight="1" x14ac:dyDescent="0.2">
      <c r="A422" s="1611">
        <v>13</v>
      </c>
      <c r="B422" s="1611" t="s">
        <v>2037</v>
      </c>
      <c r="C422" s="1611" t="s">
        <v>3943</v>
      </c>
      <c r="D422" s="1612" t="s">
        <v>7555</v>
      </c>
      <c r="E422" s="1706" t="s">
        <v>7592</v>
      </c>
      <c r="F422" s="1613">
        <v>38045455</v>
      </c>
      <c r="G422" s="1613">
        <v>14593771864</v>
      </c>
    </row>
    <row r="423" spans="1:7" ht="17.25" customHeight="1" x14ac:dyDescent="0.2">
      <c r="A423" s="1611">
        <v>13</v>
      </c>
      <c r="B423" s="1611" t="s">
        <v>2037</v>
      </c>
      <c r="C423" s="1611" t="s">
        <v>3944</v>
      </c>
      <c r="D423" s="1612" t="s">
        <v>7555</v>
      </c>
      <c r="E423" s="1706" t="s">
        <v>7592</v>
      </c>
      <c r="F423" s="1613">
        <v>37520000</v>
      </c>
      <c r="G423" s="1613">
        <v>14631291864</v>
      </c>
    </row>
    <row r="424" spans="1:7" ht="17.25" customHeight="1" x14ac:dyDescent="0.2">
      <c r="A424" s="1611">
        <v>13</v>
      </c>
      <c r="B424" s="1611" t="s">
        <v>2037</v>
      </c>
      <c r="C424" s="1611" t="s">
        <v>3945</v>
      </c>
      <c r="D424" s="1612" t="s">
        <v>7555</v>
      </c>
      <c r="E424" s="1706" t="s">
        <v>7592</v>
      </c>
      <c r="F424" s="1613">
        <v>45526400</v>
      </c>
      <c r="G424" s="1613">
        <v>14676818264</v>
      </c>
    </row>
    <row r="425" spans="1:7" ht="17.25" customHeight="1" x14ac:dyDescent="0.2">
      <c r="A425" s="1611">
        <v>13</v>
      </c>
      <c r="B425" s="1611" t="s">
        <v>2037</v>
      </c>
      <c r="C425" s="1611" t="s">
        <v>3945</v>
      </c>
      <c r="D425" s="1612" t="s">
        <v>7555</v>
      </c>
      <c r="E425" s="1706" t="s">
        <v>7592</v>
      </c>
      <c r="F425" s="1613">
        <v>-45526400</v>
      </c>
      <c r="G425" s="1613">
        <v>14631291864</v>
      </c>
    </row>
    <row r="426" spans="1:7" ht="17.25" customHeight="1" x14ac:dyDescent="0.2">
      <c r="A426" s="1611">
        <v>13</v>
      </c>
      <c r="B426" s="1611" t="s">
        <v>2037</v>
      </c>
      <c r="C426" s="1611" t="s">
        <v>3945</v>
      </c>
      <c r="D426" s="1612" t="s">
        <v>7555</v>
      </c>
      <c r="E426" s="1706" t="s">
        <v>7592</v>
      </c>
      <c r="F426" s="1613">
        <v>41926400</v>
      </c>
      <c r="G426" s="1613">
        <v>14673218264</v>
      </c>
    </row>
    <row r="427" spans="1:7" ht="17.25" customHeight="1" x14ac:dyDescent="0.2">
      <c r="A427" s="1611">
        <v>13</v>
      </c>
      <c r="B427" s="1611" t="s">
        <v>3883</v>
      </c>
      <c r="C427" s="1611" t="s">
        <v>3945</v>
      </c>
      <c r="D427" s="1612">
        <v>0</v>
      </c>
      <c r="E427" s="1706" t="s">
        <v>7592</v>
      </c>
      <c r="F427" s="1613">
        <v>3600000</v>
      </c>
      <c r="G427" s="1613">
        <v>14676818264</v>
      </c>
    </row>
    <row r="428" spans="1:7" ht="17.25" customHeight="1" x14ac:dyDescent="0.2">
      <c r="A428" s="1611">
        <v>13</v>
      </c>
      <c r="B428" s="1611" t="s">
        <v>2037</v>
      </c>
      <c r="C428" s="1611" t="s">
        <v>3946</v>
      </c>
      <c r="D428" s="1612" t="s">
        <v>7555</v>
      </c>
      <c r="E428" s="1706" t="s">
        <v>7592</v>
      </c>
      <c r="F428" s="1613">
        <v>38000000</v>
      </c>
      <c r="G428" s="1613">
        <v>14714818264</v>
      </c>
    </row>
    <row r="429" spans="1:7" ht="17.25" customHeight="1" x14ac:dyDescent="0.2">
      <c r="A429" s="1611">
        <v>13</v>
      </c>
      <c r="B429" s="1611" t="s">
        <v>2039</v>
      </c>
      <c r="C429" s="1611" t="s">
        <v>3947</v>
      </c>
      <c r="D429" s="1612" t="s">
        <v>7555</v>
      </c>
      <c r="E429" s="1706" t="s">
        <v>7592</v>
      </c>
      <c r="F429" s="1613">
        <v>41000000</v>
      </c>
      <c r="G429" s="1613">
        <v>14755818264</v>
      </c>
    </row>
    <row r="430" spans="1:7" ht="17.25" customHeight="1" x14ac:dyDescent="0.2">
      <c r="A430" s="1611">
        <v>13</v>
      </c>
      <c r="B430" s="1611" t="s">
        <v>2043</v>
      </c>
      <c r="C430" s="1611" t="s">
        <v>3948</v>
      </c>
      <c r="D430" s="1612" t="s">
        <v>7555</v>
      </c>
      <c r="E430" s="1706" t="s">
        <v>7592</v>
      </c>
      <c r="F430" s="1613">
        <v>49090909</v>
      </c>
      <c r="G430" s="1613">
        <v>14804909173</v>
      </c>
    </row>
    <row r="431" spans="1:7" ht="17.25" customHeight="1" x14ac:dyDescent="0.2">
      <c r="A431" s="1611">
        <v>13</v>
      </c>
      <c r="B431" s="1611" t="s">
        <v>2037</v>
      </c>
      <c r="C431" s="1611" t="s">
        <v>3949</v>
      </c>
      <c r="D431" s="1612" t="s">
        <v>7555</v>
      </c>
      <c r="E431" s="1706" t="s">
        <v>7592</v>
      </c>
      <c r="F431" s="1613">
        <v>36500000</v>
      </c>
      <c r="G431" s="1613">
        <v>14841409173</v>
      </c>
    </row>
    <row r="432" spans="1:7" ht="17.25" customHeight="1" x14ac:dyDescent="0.2">
      <c r="A432" s="1611">
        <v>13</v>
      </c>
      <c r="B432" s="1611" t="s">
        <v>2039</v>
      </c>
      <c r="C432" s="1611" t="s">
        <v>3950</v>
      </c>
      <c r="D432" s="1612" t="s">
        <v>7555</v>
      </c>
      <c r="E432" s="1706" t="s">
        <v>7592</v>
      </c>
      <c r="F432" s="1613">
        <v>45630000</v>
      </c>
      <c r="G432" s="1613">
        <v>14887039173</v>
      </c>
    </row>
    <row r="433" spans="1:7" ht="17.25" customHeight="1" x14ac:dyDescent="0.2">
      <c r="A433" s="1611">
        <v>13</v>
      </c>
      <c r="B433" s="1611" t="s">
        <v>3553</v>
      </c>
      <c r="C433" s="1611" t="s">
        <v>3951</v>
      </c>
      <c r="D433" s="1612" t="s">
        <v>7555</v>
      </c>
      <c r="E433" s="1706" t="s">
        <v>7592</v>
      </c>
      <c r="F433" s="1613">
        <v>45630000</v>
      </c>
      <c r="G433" s="1613">
        <v>7489149586.5</v>
      </c>
    </row>
    <row r="434" spans="1:7" ht="17.25" customHeight="1" x14ac:dyDescent="0.2">
      <c r="A434" s="1611">
        <v>13</v>
      </c>
      <c r="B434" s="1611" t="s">
        <v>3553</v>
      </c>
      <c r="C434" s="1611" t="s">
        <v>3951</v>
      </c>
      <c r="D434" s="1612" t="s">
        <v>7555</v>
      </c>
      <c r="E434" s="1706" t="s">
        <v>7592</v>
      </c>
      <c r="F434" s="1613">
        <v>45630000</v>
      </c>
      <c r="G434" s="1613">
        <v>7489149586.5</v>
      </c>
    </row>
    <row r="435" spans="1:7" ht="17.25" customHeight="1" x14ac:dyDescent="0.2">
      <c r="A435" s="1611">
        <v>13</v>
      </c>
      <c r="B435" s="1611" t="s">
        <v>3952</v>
      </c>
      <c r="C435" s="1611" t="s">
        <v>3729</v>
      </c>
      <c r="D435" s="1612">
        <v>0</v>
      </c>
      <c r="E435" s="1706" t="s">
        <v>7592</v>
      </c>
      <c r="F435" s="1613">
        <v>11850000</v>
      </c>
      <c r="G435" s="1613">
        <v>14990149173</v>
      </c>
    </row>
    <row r="436" spans="1:7" ht="17.25" customHeight="1" x14ac:dyDescent="0.2">
      <c r="A436" s="1611">
        <v>13</v>
      </c>
      <c r="B436" s="1611" t="s">
        <v>2043</v>
      </c>
      <c r="C436" s="1611" t="s">
        <v>3953</v>
      </c>
      <c r="D436" s="1612" t="s">
        <v>7555</v>
      </c>
      <c r="E436" s="1706" t="s">
        <v>7592</v>
      </c>
      <c r="F436" s="1613">
        <v>52545455</v>
      </c>
      <c r="G436" s="1613">
        <v>15042694628</v>
      </c>
    </row>
    <row r="437" spans="1:7" ht="17.25" customHeight="1" x14ac:dyDescent="0.2">
      <c r="A437" s="1611">
        <v>13</v>
      </c>
      <c r="B437" s="1611" t="s">
        <v>2037</v>
      </c>
      <c r="C437" s="1611" t="s">
        <v>3954</v>
      </c>
      <c r="D437" s="1612" t="s">
        <v>7555</v>
      </c>
      <c r="E437" s="1706" t="s">
        <v>7592</v>
      </c>
      <c r="F437" s="1613">
        <v>35000000</v>
      </c>
      <c r="G437" s="1613">
        <v>15077694628</v>
      </c>
    </row>
    <row r="438" spans="1:7" ht="17.25" customHeight="1" x14ac:dyDescent="0.2">
      <c r="A438" s="1611">
        <v>13</v>
      </c>
      <c r="B438" s="1611" t="s">
        <v>2032</v>
      </c>
      <c r="C438" s="1611" t="s">
        <v>3955</v>
      </c>
      <c r="D438" s="1612" t="s">
        <v>7555</v>
      </c>
      <c r="E438" s="1706" t="s">
        <v>7592</v>
      </c>
      <c r="F438" s="1613">
        <v>35000000</v>
      </c>
      <c r="G438" s="1613">
        <v>15112694628</v>
      </c>
    </row>
    <row r="439" spans="1:7" ht="17.25" customHeight="1" x14ac:dyDescent="0.2">
      <c r="A439" s="1611">
        <v>13</v>
      </c>
      <c r="B439" s="1611" t="s">
        <v>2032</v>
      </c>
      <c r="C439" s="1611" t="s">
        <v>3956</v>
      </c>
      <c r="D439" s="1612" t="s">
        <v>7555</v>
      </c>
      <c r="E439" s="1706" t="s">
        <v>7592</v>
      </c>
      <c r="F439" s="1613">
        <v>35000000</v>
      </c>
      <c r="G439" s="1613">
        <v>15147694628</v>
      </c>
    </row>
    <row r="440" spans="1:7" ht="17.25" customHeight="1" x14ac:dyDescent="0.2">
      <c r="A440" s="1611">
        <v>13</v>
      </c>
      <c r="B440" s="1611" t="s">
        <v>2028</v>
      </c>
      <c r="C440" s="1611" t="s">
        <v>3957</v>
      </c>
      <c r="D440" s="1612" t="s">
        <v>2024</v>
      </c>
      <c r="E440" s="1706" t="s">
        <v>7592</v>
      </c>
      <c r="F440" s="1613">
        <v>43181819</v>
      </c>
      <c r="G440" s="1613">
        <v>15190876447</v>
      </c>
    </row>
    <row r="441" spans="1:7" ht="17.25" customHeight="1" x14ac:dyDescent="0.2">
      <c r="A441" s="1611">
        <v>13</v>
      </c>
      <c r="B441" s="1611" t="s">
        <v>2041</v>
      </c>
      <c r="C441" s="1611" t="s">
        <v>3958</v>
      </c>
      <c r="D441" s="1612" t="s">
        <v>7555</v>
      </c>
      <c r="E441" s="1706" t="s">
        <v>7592</v>
      </c>
      <c r="F441" s="1613">
        <v>48017000</v>
      </c>
      <c r="G441" s="1613">
        <v>15238893447</v>
      </c>
    </row>
    <row r="442" spans="1:7" ht="17.25" customHeight="1" x14ac:dyDescent="0.2">
      <c r="A442" s="1611">
        <v>13</v>
      </c>
      <c r="B442" s="1611" t="s">
        <v>3627</v>
      </c>
      <c r="C442" s="1611" t="s">
        <v>3959</v>
      </c>
      <c r="D442" s="1612">
        <v>0</v>
      </c>
      <c r="E442" s="1706" t="s">
        <v>7592</v>
      </c>
      <c r="F442" s="1613">
        <v>132000000</v>
      </c>
      <c r="G442" s="1613">
        <v>15370893447</v>
      </c>
    </row>
    <row r="443" spans="1:7" ht="17.25" customHeight="1" x14ac:dyDescent="0.2">
      <c r="A443" s="1611">
        <v>13</v>
      </c>
      <c r="B443" s="1611" t="s">
        <v>2041</v>
      </c>
      <c r="C443" s="1611" t="s">
        <v>3960</v>
      </c>
      <c r="D443" s="1612" t="s">
        <v>7555</v>
      </c>
      <c r="E443" s="1706" t="s">
        <v>7592</v>
      </c>
      <c r="F443" s="1613">
        <v>49545455</v>
      </c>
      <c r="G443" s="1613">
        <v>15420438902</v>
      </c>
    </row>
    <row r="444" spans="1:7" ht="17.25" customHeight="1" x14ac:dyDescent="0.2">
      <c r="A444" s="1611">
        <v>13</v>
      </c>
      <c r="B444" s="1611" t="s">
        <v>2041</v>
      </c>
      <c r="C444" s="1611" t="s">
        <v>3961</v>
      </c>
      <c r="D444" s="1612" t="s">
        <v>7555</v>
      </c>
      <c r="E444" s="1706" t="s">
        <v>7592</v>
      </c>
      <c r="F444" s="1613">
        <v>49500000</v>
      </c>
      <c r="G444" s="1613">
        <v>15469938902</v>
      </c>
    </row>
    <row r="445" spans="1:7" ht="17.25" customHeight="1" x14ac:dyDescent="0.2">
      <c r="A445" s="1611">
        <v>13</v>
      </c>
      <c r="B445" s="1611" t="s">
        <v>2027</v>
      </c>
      <c r="C445" s="1611" t="s">
        <v>3962</v>
      </c>
      <c r="D445" s="1612" t="s">
        <v>2024</v>
      </c>
      <c r="E445" s="1706" t="s">
        <v>7592</v>
      </c>
      <c r="F445" s="1613">
        <v>14500000</v>
      </c>
      <c r="G445" s="1613">
        <v>15484438902</v>
      </c>
    </row>
    <row r="446" spans="1:7" ht="17.25" customHeight="1" x14ac:dyDescent="0.2">
      <c r="A446" s="1611">
        <v>13</v>
      </c>
      <c r="B446" s="1611" t="s">
        <v>2032</v>
      </c>
      <c r="C446" s="1611" t="s">
        <v>3962</v>
      </c>
      <c r="D446" s="1612" t="s">
        <v>7555</v>
      </c>
      <c r="E446" s="1706" t="s">
        <v>7592</v>
      </c>
      <c r="F446" s="1613">
        <v>34500000</v>
      </c>
      <c r="G446" s="1613">
        <v>15518938902</v>
      </c>
    </row>
    <row r="447" spans="1:7" ht="17.25" customHeight="1" x14ac:dyDescent="0.2">
      <c r="A447" s="1611">
        <v>13</v>
      </c>
      <c r="B447" s="1611" t="s">
        <v>2041</v>
      </c>
      <c r="C447" s="1611" t="s">
        <v>3963</v>
      </c>
      <c r="D447" s="1612" t="s">
        <v>7555</v>
      </c>
      <c r="E447" s="1706" t="s">
        <v>7592</v>
      </c>
      <c r="F447" s="1613">
        <v>49300000</v>
      </c>
      <c r="G447" s="1613">
        <v>15568238902</v>
      </c>
    </row>
    <row r="448" spans="1:7" ht="17.25" customHeight="1" x14ac:dyDescent="0.2">
      <c r="A448" s="1611">
        <v>13</v>
      </c>
      <c r="B448" s="1611" t="s">
        <v>3788</v>
      </c>
      <c r="C448" s="1611" t="s">
        <v>3762</v>
      </c>
      <c r="D448" s="1612">
        <v>0</v>
      </c>
      <c r="E448" s="1706" t="s">
        <v>7592</v>
      </c>
      <c r="F448" s="1613">
        <v>450000</v>
      </c>
      <c r="G448" s="1613">
        <v>15568688902</v>
      </c>
    </row>
    <row r="449" spans="1:7" ht="17.25" customHeight="1" x14ac:dyDescent="0.2">
      <c r="A449" s="1611">
        <v>13</v>
      </c>
      <c r="B449" s="1611" t="s">
        <v>3788</v>
      </c>
      <c r="C449" s="1611" t="s">
        <v>3762</v>
      </c>
      <c r="D449" s="1612">
        <v>0</v>
      </c>
      <c r="E449" s="1706" t="s">
        <v>7592</v>
      </c>
      <c r="F449" s="1613">
        <v>450000</v>
      </c>
      <c r="G449" s="1613">
        <v>15569138902</v>
      </c>
    </row>
    <row r="450" spans="1:7" ht="17.25" customHeight="1" x14ac:dyDescent="0.2">
      <c r="A450" s="1611">
        <v>13</v>
      </c>
      <c r="B450" s="1611" t="s">
        <v>3788</v>
      </c>
      <c r="C450" s="1611" t="s">
        <v>3762</v>
      </c>
      <c r="D450" s="1612">
        <v>0</v>
      </c>
      <c r="E450" s="1706" t="s">
        <v>7592</v>
      </c>
      <c r="F450" s="1613">
        <v>900000</v>
      </c>
      <c r="G450" s="1613">
        <v>15570038902</v>
      </c>
    </row>
    <row r="451" spans="1:7" ht="17.25" customHeight="1" x14ac:dyDescent="0.2">
      <c r="A451" s="1611">
        <v>13</v>
      </c>
      <c r="B451" s="1611" t="s">
        <v>3788</v>
      </c>
      <c r="C451" s="1611" t="s">
        <v>3762</v>
      </c>
      <c r="D451" s="1612">
        <v>0</v>
      </c>
      <c r="E451" s="1706" t="s">
        <v>7592</v>
      </c>
      <c r="F451" s="1613">
        <v>750000</v>
      </c>
      <c r="G451" s="1613">
        <v>15570788902</v>
      </c>
    </row>
    <row r="452" spans="1:7" ht="17.25" customHeight="1" x14ac:dyDescent="0.2">
      <c r="A452" s="1611">
        <v>13</v>
      </c>
      <c r="B452" s="1611" t="s">
        <v>3788</v>
      </c>
      <c r="C452" s="1611" t="s">
        <v>3762</v>
      </c>
      <c r="D452" s="1612">
        <v>0</v>
      </c>
      <c r="E452" s="1706" t="s">
        <v>7592</v>
      </c>
      <c r="F452" s="1613">
        <v>750000</v>
      </c>
      <c r="G452" s="1613">
        <v>15571538902</v>
      </c>
    </row>
    <row r="453" spans="1:7" ht="17.25" customHeight="1" x14ac:dyDescent="0.2">
      <c r="A453" s="1611">
        <v>13</v>
      </c>
      <c r="B453" s="1611" t="s">
        <v>2028</v>
      </c>
      <c r="C453" s="1611" t="s">
        <v>3964</v>
      </c>
      <c r="D453" s="1612" t="s">
        <v>2024</v>
      </c>
      <c r="E453" s="1706" t="s">
        <v>7592</v>
      </c>
      <c r="F453" s="1613">
        <v>15000000</v>
      </c>
      <c r="G453" s="1613">
        <v>15586538902</v>
      </c>
    </row>
    <row r="454" spans="1:7" ht="17.25" customHeight="1" x14ac:dyDescent="0.2">
      <c r="A454" s="1611">
        <v>13</v>
      </c>
      <c r="B454" s="1611" t="s">
        <v>2027</v>
      </c>
      <c r="C454" s="1611" t="s">
        <v>3965</v>
      </c>
      <c r="D454" s="1612" t="s">
        <v>2024</v>
      </c>
      <c r="E454" s="1706" t="s">
        <v>7592</v>
      </c>
      <c r="F454" s="1613">
        <v>14310000</v>
      </c>
      <c r="G454" s="1613">
        <v>15600848902</v>
      </c>
    </row>
    <row r="455" spans="1:7" ht="17.25" customHeight="1" x14ac:dyDescent="0.2">
      <c r="A455" s="1611">
        <v>13</v>
      </c>
      <c r="B455" s="1611" t="s">
        <v>2037</v>
      </c>
      <c r="C455" s="1611" t="s">
        <v>3966</v>
      </c>
      <c r="D455" s="1612" t="s">
        <v>7555</v>
      </c>
      <c r="E455" s="1706" t="s">
        <v>7592</v>
      </c>
      <c r="F455" s="1613">
        <v>38636364</v>
      </c>
      <c r="G455" s="1613">
        <v>15639485266</v>
      </c>
    </row>
    <row r="456" spans="1:7" ht="17.25" customHeight="1" x14ac:dyDescent="0.2">
      <c r="A456" s="1611">
        <v>13</v>
      </c>
      <c r="B456" s="1611" t="s">
        <v>3967</v>
      </c>
      <c r="C456" s="1611" t="s">
        <v>3597</v>
      </c>
      <c r="D456" s="1612">
        <v>0</v>
      </c>
      <c r="E456" s="1706" t="s">
        <v>7592</v>
      </c>
      <c r="F456" s="1613">
        <v>19000000</v>
      </c>
      <c r="G456" s="1613">
        <v>15658485266</v>
      </c>
    </row>
    <row r="457" spans="1:7" ht="17.25" customHeight="1" x14ac:dyDescent="0.2">
      <c r="A457" s="1611">
        <v>13</v>
      </c>
      <c r="B457" s="1611" t="s">
        <v>3967</v>
      </c>
      <c r="C457" s="1611" t="s">
        <v>3597</v>
      </c>
      <c r="D457" s="1612">
        <v>0</v>
      </c>
      <c r="E457" s="1706" t="s">
        <v>7592</v>
      </c>
      <c r="F457" s="1613">
        <v>19000000</v>
      </c>
      <c r="G457" s="1613">
        <v>15677485266</v>
      </c>
    </row>
    <row r="458" spans="1:7" ht="17.25" customHeight="1" x14ac:dyDescent="0.2">
      <c r="A458" s="1611">
        <v>13</v>
      </c>
      <c r="B458" s="1611" t="s">
        <v>7165</v>
      </c>
      <c r="C458" s="1611" t="s">
        <v>3762</v>
      </c>
      <c r="D458" s="1612">
        <v>0</v>
      </c>
      <c r="E458" s="1706" t="s">
        <v>7592</v>
      </c>
      <c r="F458" s="1613">
        <v>93900000</v>
      </c>
      <c r="G458" s="1613">
        <v>15771385266</v>
      </c>
    </row>
    <row r="459" spans="1:7" ht="17.25" customHeight="1" x14ac:dyDescent="0.2">
      <c r="A459" s="1611">
        <v>13</v>
      </c>
      <c r="B459" s="1611" t="s">
        <v>7165</v>
      </c>
      <c r="C459" s="1611" t="s">
        <v>3762</v>
      </c>
      <c r="D459" s="1612">
        <v>0</v>
      </c>
      <c r="E459" s="1706" t="s">
        <v>7592</v>
      </c>
      <c r="F459" s="1613">
        <v>93900000</v>
      </c>
      <c r="G459" s="1613">
        <v>15865285266</v>
      </c>
    </row>
    <row r="460" spans="1:7" ht="17.25" customHeight="1" x14ac:dyDescent="0.2">
      <c r="A460" s="1611">
        <v>13</v>
      </c>
      <c r="B460" s="1611" t="s">
        <v>3761</v>
      </c>
      <c r="C460" s="1611" t="s">
        <v>3762</v>
      </c>
      <c r="D460" s="1612">
        <v>0</v>
      </c>
      <c r="E460" s="1706" t="s">
        <v>7592</v>
      </c>
      <c r="F460" s="1613">
        <v>89600000</v>
      </c>
      <c r="G460" s="1613">
        <v>15954885266</v>
      </c>
    </row>
    <row r="461" spans="1:7" ht="17.25" customHeight="1" x14ac:dyDescent="0.2">
      <c r="A461" s="1611">
        <v>13</v>
      </c>
      <c r="B461" s="1611" t="s">
        <v>7165</v>
      </c>
      <c r="C461" s="1611" t="s">
        <v>3762</v>
      </c>
      <c r="D461" s="1612">
        <v>0</v>
      </c>
      <c r="E461" s="1706" t="s">
        <v>7592</v>
      </c>
      <c r="F461" s="1613">
        <v>125200000</v>
      </c>
      <c r="G461" s="1613">
        <v>16080085266</v>
      </c>
    </row>
    <row r="462" spans="1:7" ht="17.25" customHeight="1" x14ac:dyDescent="0.2">
      <c r="A462" s="1611">
        <v>13</v>
      </c>
      <c r="B462" s="1611" t="s">
        <v>3761</v>
      </c>
      <c r="C462" s="1611" t="s">
        <v>3762</v>
      </c>
      <c r="D462" s="1612">
        <v>0</v>
      </c>
      <c r="E462" s="1706" t="s">
        <v>7592</v>
      </c>
      <c r="F462" s="1613">
        <v>89600000</v>
      </c>
      <c r="G462" s="1613">
        <v>16169685266</v>
      </c>
    </row>
    <row r="463" spans="1:7" ht="17.25" customHeight="1" x14ac:dyDescent="0.2">
      <c r="A463" s="1611">
        <v>13</v>
      </c>
      <c r="B463" s="1611" t="s">
        <v>7165</v>
      </c>
      <c r="C463" s="1611" t="s">
        <v>3762</v>
      </c>
      <c r="D463" s="1612">
        <v>0</v>
      </c>
      <c r="E463" s="1706" t="s">
        <v>7592</v>
      </c>
      <c r="F463" s="1613">
        <v>93900000</v>
      </c>
      <c r="G463" s="1613">
        <v>16263585266</v>
      </c>
    </row>
    <row r="464" spans="1:7" ht="17.25" customHeight="1" x14ac:dyDescent="0.2">
      <c r="A464" s="1611">
        <v>13</v>
      </c>
      <c r="B464" s="1611" t="s">
        <v>3761</v>
      </c>
      <c r="C464" s="1611" t="s">
        <v>3762</v>
      </c>
      <c r="D464" s="1612">
        <v>0</v>
      </c>
      <c r="E464" s="1706" t="s">
        <v>7592</v>
      </c>
      <c r="F464" s="1613">
        <v>134400000</v>
      </c>
      <c r="G464" s="1613">
        <v>16397985266</v>
      </c>
    </row>
    <row r="465" spans="1:7" ht="17.25" customHeight="1" x14ac:dyDescent="0.2">
      <c r="A465" s="1611">
        <v>13</v>
      </c>
      <c r="B465" s="1611" t="s">
        <v>7165</v>
      </c>
      <c r="C465" s="1611" t="s">
        <v>3762</v>
      </c>
      <c r="D465" s="1612">
        <v>0</v>
      </c>
      <c r="E465" s="1706" t="s">
        <v>7592</v>
      </c>
      <c r="F465" s="1613">
        <v>62600000</v>
      </c>
      <c r="G465" s="1613">
        <v>16460585266</v>
      </c>
    </row>
    <row r="466" spans="1:7" ht="17.25" customHeight="1" x14ac:dyDescent="0.2">
      <c r="A466" s="1611">
        <v>13</v>
      </c>
      <c r="B466" s="1611" t="s">
        <v>2027</v>
      </c>
      <c r="C466" s="1611" t="s">
        <v>3968</v>
      </c>
      <c r="D466" s="1612" t="s">
        <v>2024</v>
      </c>
      <c r="E466" s="1706" t="s">
        <v>7592</v>
      </c>
      <c r="F466" s="1613">
        <v>11363636</v>
      </c>
      <c r="G466" s="1613">
        <v>16471948902</v>
      </c>
    </row>
    <row r="467" spans="1:7" ht="17.25" customHeight="1" x14ac:dyDescent="0.2">
      <c r="A467" s="1611">
        <v>13</v>
      </c>
      <c r="B467" s="1611" t="s">
        <v>2032</v>
      </c>
      <c r="C467" s="1611" t="s">
        <v>3969</v>
      </c>
      <c r="D467" s="1612" t="s">
        <v>7555</v>
      </c>
      <c r="E467" s="1706" t="s">
        <v>7592</v>
      </c>
      <c r="F467" s="1613">
        <v>35545455</v>
      </c>
      <c r="G467" s="1613">
        <v>16507494357</v>
      </c>
    </row>
    <row r="468" spans="1:7" ht="17.25" customHeight="1" x14ac:dyDescent="0.2">
      <c r="A468" s="1611">
        <v>13</v>
      </c>
      <c r="B468" s="1611" t="s">
        <v>2037</v>
      </c>
      <c r="C468" s="1611" t="s">
        <v>3970</v>
      </c>
      <c r="D468" s="1612" t="s">
        <v>7555</v>
      </c>
      <c r="E468" s="1706" t="s">
        <v>7592</v>
      </c>
      <c r="F468" s="1613">
        <v>39090909</v>
      </c>
      <c r="G468" s="1613">
        <v>16546585266</v>
      </c>
    </row>
    <row r="469" spans="1:7" ht="17.25" customHeight="1" x14ac:dyDescent="0.2">
      <c r="A469" s="1611">
        <v>13</v>
      </c>
      <c r="B469" s="1611" t="s">
        <v>2041</v>
      </c>
      <c r="C469" s="1611" t="s">
        <v>3971</v>
      </c>
      <c r="D469" s="1612" t="s">
        <v>7555</v>
      </c>
      <c r="E469" s="1706" t="s">
        <v>7592</v>
      </c>
      <c r="F469" s="1613">
        <v>47900000</v>
      </c>
      <c r="G469" s="1613">
        <v>16594485266</v>
      </c>
    </row>
    <row r="470" spans="1:7" ht="17.25" customHeight="1" x14ac:dyDescent="0.2">
      <c r="A470" s="1611">
        <v>13</v>
      </c>
      <c r="B470" s="1611" t="s">
        <v>2037</v>
      </c>
      <c r="C470" s="1611" t="s">
        <v>3972</v>
      </c>
      <c r="D470" s="1612" t="s">
        <v>7555</v>
      </c>
      <c r="E470" s="1706" t="s">
        <v>7592</v>
      </c>
      <c r="F470" s="1613">
        <v>37500000</v>
      </c>
      <c r="G470" s="1613">
        <v>16631985266</v>
      </c>
    </row>
    <row r="471" spans="1:7" ht="17.25" customHeight="1" x14ac:dyDescent="0.2">
      <c r="A471" s="1611">
        <v>13</v>
      </c>
      <c r="B471" s="1611" t="s">
        <v>2028</v>
      </c>
      <c r="C471" s="1611" t="s">
        <v>3973</v>
      </c>
      <c r="D471" s="1612" t="s">
        <v>2024</v>
      </c>
      <c r="E471" s="1706" t="s">
        <v>7592</v>
      </c>
      <c r="F471" s="1613">
        <v>14200000</v>
      </c>
      <c r="G471" s="1613">
        <v>16646185266</v>
      </c>
    </row>
    <row r="472" spans="1:7" ht="17.25" customHeight="1" x14ac:dyDescent="0.2">
      <c r="A472" s="1611">
        <v>13</v>
      </c>
      <c r="B472" s="1611" t="s">
        <v>2037</v>
      </c>
      <c r="C472" s="1611" t="s">
        <v>3974</v>
      </c>
      <c r="D472" s="1612" t="s">
        <v>7555</v>
      </c>
      <c r="E472" s="1706" t="s">
        <v>7592</v>
      </c>
      <c r="F472" s="1613">
        <v>38181818</v>
      </c>
      <c r="G472" s="1613">
        <v>16684367084</v>
      </c>
    </row>
    <row r="473" spans="1:7" ht="17.25" customHeight="1" x14ac:dyDescent="0.2">
      <c r="A473" s="1611">
        <v>13</v>
      </c>
      <c r="B473" s="1611" t="s">
        <v>2028</v>
      </c>
      <c r="C473" s="1611" t="s">
        <v>3975</v>
      </c>
      <c r="D473" s="1612" t="s">
        <v>2024</v>
      </c>
      <c r="E473" s="1706" t="s">
        <v>7592</v>
      </c>
      <c r="F473" s="1613">
        <v>13636364</v>
      </c>
      <c r="G473" s="1613">
        <v>16698003448</v>
      </c>
    </row>
    <row r="474" spans="1:7" ht="17.25" customHeight="1" x14ac:dyDescent="0.2">
      <c r="A474" s="1611">
        <v>13</v>
      </c>
      <c r="B474" s="1611" t="s">
        <v>2027</v>
      </c>
      <c r="C474" s="1611" t="s">
        <v>3976</v>
      </c>
      <c r="D474" s="1612" t="s">
        <v>2024</v>
      </c>
      <c r="E474" s="1706" t="s">
        <v>7592</v>
      </c>
      <c r="F474" s="1613">
        <v>13681819</v>
      </c>
      <c r="G474" s="1613">
        <v>16711685267</v>
      </c>
    </row>
    <row r="475" spans="1:7" ht="17.25" customHeight="1" x14ac:dyDescent="0.2">
      <c r="A475" s="1611">
        <v>13</v>
      </c>
      <c r="B475" s="1611" t="s">
        <v>2027</v>
      </c>
      <c r="C475" s="1611" t="s">
        <v>3976</v>
      </c>
      <c r="D475" s="1612" t="s">
        <v>2024</v>
      </c>
      <c r="E475" s="1706" t="s">
        <v>7592</v>
      </c>
      <c r="F475" s="1613">
        <v>13681819</v>
      </c>
      <c r="G475" s="1613">
        <v>16725367086</v>
      </c>
    </row>
    <row r="476" spans="1:7" ht="17.25" customHeight="1" x14ac:dyDescent="0.2">
      <c r="A476" s="1611">
        <v>13</v>
      </c>
      <c r="B476" s="1611" t="s">
        <v>2032</v>
      </c>
      <c r="C476" s="1611" t="s">
        <v>3977</v>
      </c>
      <c r="D476" s="1612" t="s">
        <v>7555</v>
      </c>
      <c r="E476" s="1706" t="s">
        <v>7592</v>
      </c>
      <c r="F476" s="1613">
        <v>38727273</v>
      </c>
      <c r="G476" s="1613">
        <v>16764094359</v>
      </c>
    </row>
    <row r="477" spans="1:7" ht="17.25" customHeight="1" x14ac:dyDescent="0.2">
      <c r="A477" s="1611">
        <v>13</v>
      </c>
      <c r="B477" s="1611" t="s">
        <v>2027</v>
      </c>
      <c r="C477" s="1611" t="s">
        <v>3976</v>
      </c>
      <c r="D477" s="1612" t="s">
        <v>2024</v>
      </c>
      <c r="E477" s="1706" t="s">
        <v>7592</v>
      </c>
      <c r="F477" s="1613">
        <v>-13681819</v>
      </c>
      <c r="G477" s="1613">
        <v>16750412540</v>
      </c>
    </row>
    <row r="478" spans="1:7" ht="17.25" customHeight="1" x14ac:dyDescent="0.2">
      <c r="A478" s="1611">
        <v>13</v>
      </c>
      <c r="B478" s="1611" t="s">
        <v>2027</v>
      </c>
      <c r="C478" s="1611" t="s">
        <v>3976</v>
      </c>
      <c r="D478" s="1612" t="s">
        <v>2024</v>
      </c>
      <c r="E478" s="1706" t="s">
        <v>7592</v>
      </c>
      <c r="F478" s="1613">
        <v>13681819</v>
      </c>
      <c r="G478" s="1613">
        <v>16764094359</v>
      </c>
    </row>
    <row r="479" spans="1:7" ht="17.25" customHeight="1" x14ac:dyDescent="0.2">
      <c r="A479" s="1611">
        <v>13</v>
      </c>
      <c r="B479" s="1611" t="s">
        <v>2037</v>
      </c>
      <c r="C479" s="1611" t="s">
        <v>3978</v>
      </c>
      <c r="D479" s="1612" t="s">
        <v>7555</v>
      </c>
      <c r="E479" s="1706" t="s">
        <v>7592</v>
      </c>
      <c r="F479" s="1613">
        <v>40318000</v>
      </c>
      <c r="G479" s="1613">
        <v>16804412359</v>
      </c>
    </row>
    <row r="480" spans="1:7" ht="17.25" customHeight="1" x14ac:dyDescent="0.2">
      <c r="A480" s="1611">
        <v>13</v>
      </c>
      <c r="B480" s="1611" t="s">
        <v>2037</v>
      </c>
      <c r="C480" s="1611" t="s">
        <v>3979</v>
      </c>
      <c r="D480" s="1612" t="s">
        <v>7555</v>
      </c>
      <c r="E480" s="1706" t="s">
        <v>7592</v>
      </c>
      <c r="F480" s="1613">
        <v>40318000</v>
      </c>
      <c r="G480" s="1613">
        <v>16844730359</v>
      </c>
    </row>
    <row r="481" spans="1:7" ht="17.25" customHeight="1" x14ac:dyDescent="0.2">
      <c r="A481" s="1611">
        <v>13</v>
      </c>
      <c r="B481" s="1611" t="s">
        <v>2037</v>
      </c>
      <c r="C481" s="1611" t="s">
        <v>3980</v>
      </c>
      <c r="D481" s="1612" t="s">
        <v>7555</v>
      </c>
      <c r="E481" s="1706" t="s">
        <v>7592</v>
      </c>
      <c r="F481" s="1613">
        <v>35000000</v>
      </c>
      <c r="G481" s="1613">
        <v>16879730359</v>
      </c>
    </row>
    <row r="482" spans="1:7" ht="17.25" customHeight="1" x14ac:dyDescent="0.2">
      <c r="A482" s="1611">
        <v>13</v>
      </c>
      <c r="B482" s="1611" t="s">
        <v>2037</v>
      </c>
      <c r="C482" s="1611" t="s">
        <v>3981</v>
      </c>
      <c r="D482" s="1612" t="s">
        <v>7555</v>
      </c>
      <c r="E482" s="1706" t="s">
        <v>7592</v>
      </c>
      <c r="F482" s="1613">
        <v>38000000</v>
      </c>
      <c r="G482" s="1613">
        <v>16917730359</v>
      </c>
    </row>
    <row r="483" spans="1:7" ht="17.25" customHeight="1" x14ac:dyDescent="0.2">
      <c r="A483" s="1611">
        <v>13</v>
      </c>
      <c r="B483" s="1611" t="s">
        <v>2037</v>
      </c>
      <c r="C483" s="1611" t="s">
        <v>3982</v>
      </c>
      <c r="D483" s="1612" t="s">
        <v>7555</v>
      </c>
      <c r="E483" s="1706" t="s">
        <v>7592</v>
      </c>
      <c r="F483" s="1613">
        <v>38454545</v>
      </c>
      <c r="G483" s="1613">
        <v>16956184904</v>
      </c>
    </row>
    <row r="484" spans="1:7" ht="17.25" customHeight="1" x14ac:dyDescent="0.2">
      <c r="A484" s="1611">
        <v>13</v>
      </c>
      <c r="B484" s="1611" t="s">
        <v>2037</v>
      </c>
      <c r="C484" s="1611" t="s">
        <v>3983</v>
      </c>
      <c r="D484" s="1612" t="s">
        <v>7555</v>
      </c>
      <c r="E484" s="1706" t="s">
        <v>7592</v>
      </c>
      <c r="F484" s="1613">
        <v>39545455</v>
      </c>
      <c r="G484" s="1613">
        <v>16995730359</v>
      </c>
    </row>
    <row r="485" spans="1:7" ht="17.25" customHeight="1" x14ac:dyDescent="0.2">
      <c r="A485" s="1611">
        <v>13</v>
      </c>
      <c r="B485" s="1611" t="s">
        <v>2041</v>
      </c>
      <c r="C485" s="1611" t="s">
        <v>3984</v>
      </c>
      <c r="D485" s="1612" t="s">
        <v>7555</v>
      </c>
      <c r="E485" s="1706" t="s">
        <v>7592</v>
      </c>
      <c r="F485" s="1613">
        <v>48181818</v>
      </c>
      <c r="G485" s="1613">
        <v>17043912177</v>
      </c>
    </row>
    <row r="486" spans="1:7" ht="17.25" customHeight="1" x14ac:dyDescent="0.2">
      <c r="A486" s="1611">
        <v>13</v>
      </c>
      <c r="B486" s="1611" t="s">
        <v>2037</v>
      </c>
      <c r="C486" s="1611" t="s">
        <v>3985</v>
      </c>
      <c r="D486" s="1612" t="s">
        <v>7555</v>
      </c>
      <c r="E486" s="1706" t="s">
        <v>7592</v>
      </c>
      <c r="F486" s="1613">
        <v>38636363</v>
      </c>
      <c r="G486" s="1613">
        <v>17082548540</v>
      </c>
    </row>
    <row r="487" spans="1:7" ht="17.25" customHeight="1" x14ac:dyDescent="0.2">
      <c r="A487" s="1611">
        <v>13</v>
      </c>
      <c r="B487" s="1611" t="s">
        <v>2027</v>
      </c>
      <c r="C487" s="1611" t="s">
        <v>3986</v>
      </c>
      <c r="D487" s="1612" t="s">
        <v>2024</v>
      </c>
      <c r="E487" s="1706" t="s">
        <v>7592</v>
      </c>
      <c r="F487" s="1613">
        <v>12500000</v>
      </c>
      <c r="G487" s="1613">
        <v>17095048540</v>
      </c>
    </row>
    <row r="488" spans="1:7" ht="17.25" customHeight="1" x14ac:dyDescent="0.2">
      <c r="A488" s="1611">
        <v>13</v>
      </c>
      <c r="B488" s="1611" t="s">
        <v>2037</v>
      </c>
      <c r="C488" s="1611" t="s">
        <v>3987</v>
      </c>
      <c r="D488" s="1612" t="s">
        <v>7555</v>
      </c>
      <c r="E488" s="1706" t="s">
        <v>7592</v>
      </c>
      <c r="F488" s="1613">
        <v>37713000</v>
      </c>
      <c r="G488" s="1613">
        <v>17132761540</v>
      </c>
    </row>
    <row r="489" spans="1:7" ht="17.25" customHeight="1" x14ac:dyDescent="0.2">
      <c r="A489" s="1611">
        <v>13</v>
      </c>
      <c r="B489" s="1611" t="s">
        <v>2043</v>
      </c>
      <c r="C489" s="1611" t="s">
        <v>3988</v>
      </c>
      <c r="D489" s="1612" t="s">
        <v>7555</v>
      </c>
      <c r="E489" s="1706" t="s">
        <v>7592</v>
      </c>
      <c r="F489" s="1613">
        <v>52545455</v>
      </c>
      <c r="G489" s="1613">
        <v>17185306995</v>
      </c>
    </row>
    <row r="490" spans="1:7" ht="17.25" customHeight="1" x14ac:dyDescent="0.2">
      <c r="A490" s="1611">
        <v>13</v>
      </c>
      <c r="B490" s="1611" t="s">
        <v>3989</v>
      </c>
      <c r="C490" s="1611" t="s">
        <v>3597</v>
      </c>
      <c r="D490" s="1612">
        <v>0</v>
      </c>
      <c r="E490" s="1706" t="s">
        <v>7592</v>
      </c>
      <c r="F490" s="1613">
        <v>40590000</v>
      </c>
      <c r="G490" s="1613">
        <v>17225896995</v>
      </c>
    </row>
    <row r="491" spans="1:7" ht="17.25" customHeight="1" x14ac:dyDescent="0.2">
      <c r="A491" s="1611">
        <v>13</v>
      </c>
      <c r="B491" s="1611" t="s">
        <v>2026</v>
      </c>
      <c r="C491" s="1611" t="s">
        <v>3990</v>
      </c>
      <c r="D491" s="1612" t="s">
        <v>2024</v>
      </c>
      <c r="E491" s="1706" t="s">
        <v>7592</v>
      </c>
      <c r="F491" s="1613">
        <v>13500000</v>
      </c>
      <c r="G491" s="1613">
        <v>17239396995</v>
      </c>
    </row>
    <row r="492" spans="1:7" ht="17.25" customHeight="1" x14ac:dyDescent="0.2">
      <c r="A492" s="1611">
        <v>13</v>
      </c>
      <c r="B492" s="1611" t="s">
        <v>2027</v>
      </c>
      <c r="C492" s="1611" t="s">
        <v>3464</v>
      </c>
      <c r="D492" s="1612" t="s">
        <v>2024</v>
      </c>
      <c r="E492" s="1706" t="s">
        <v>7592</v>
      </c>
      <c r="F492" s="1613">
        <v>14699091</v>
      </c>
      <c r="G492" s="1613">
        <v>17254096086</v>
      </c>
    </row>
    <row r="493" spans="1:7" ht="17.25" customHeight="1" x14ac:dyDescent="0.2">
      <c r="A493" s="1611">
        <v>13</v>
      </c>
      <c r="B493" s="1611" t="s">
        <v>2039</v>
      </c>
      <c r="C493" s="1611" t="s">
        <v>3991</v>
      </c>
      <c r="D493" s="1612" t="s">
        <v>7555</v>
      </c>
      <c r="E493" s="1706" t="s">
        <v>7592</v>
      </c>
      <c r="F493" s="1613">
        <v>39400000</v>
      </c>
      <c r="G493" s="1613">
        <v>17293496086</v>
      </c>
    </row>
    <row r="494" spans="1:7" ht="17.25" customHeight="1" x14ac:dyDescent="0.2">
      <c r="A494" s="1611">
        <v>13</v>
      </c>
      <c r="B494" s="1611" t="s">
        <v>2041</v>
      </c>
      <c r="C494" s="1611" t="s">
        <v>3992</v>
      </c>
      <c r="D494" s="1612" t="s">
        <v>7555</v>
      </c>
      <c r="E494" s="1706" t="s">
        <v>7592</v>
      </c>
      <c r="F494" s="1613">
        <v>49000000</v>
      </c>
      <c r="G494" s="1613">
        <v>17342496086</v>
      </c>
    </row>
    <row r="495" spans="1:7" ht="17.25" customHeight="1" x14ac:dyDescent="0.2">
      <c r="A495" s="1611">
        <v>13</v>
      </c>
      <c r="B495" s="1611" t="s">
        <v>2028</v>
      </c>
      <c r="C495" s="1611" t="s">
        <v>3993</v>
      </c>
      <c r="D495" s="1612" t="s">
        <v>2024</v>
      </c>
      <c r="E495" s="1706" t="s">
        <v>7592</v>
      </c>
      <c r="F495" s="1613">
        <v>14661739</v>
      </c>
      <c r="G495" s="1613">
        <v>17357157825</v>
      </c>
    </row>
    <row r="496" spans="1:7" ht="17.25" customHeight="1" x14ac:dyDescent="0.2">
      <c r="A496" s="1611">
        <v>13</v>
      </c>
      <c r="B496" s="1611" t="s">
        <v>2039</v>
      </c>
      <c r="C496" s="1611" t="s">
        <v>3994</v>
      </c>
      <c r="D496" s="1612" t="s">
        <v>7555</v>
      </c>
      <c r="E496" s="1706" t="s">
        <v>7592</v>
      </c>
      <c r="F496" s="1613">
        <v>42727272</v>
      </c>
      <c r="G496" s="1613">
        <v>17399885097</v>
      </c>
    </row>
    <row r="497" spans="1:7" ht="17.25" customHeight="1" x14ac:dyDescent="0.2">
      <c r="A497" s="1611">
        <v>13</v>
      </c>
      <c r="B497" s="1611" t="s">
        <v>2028</v>
      </c>
      <c r="C497" s="1611" t="s">
        <v>3995</v>
      </c>
      <c r="D497" s="1612" t="s">
        <v>2024</v>
      </c>
      <c r="E497" s="1706" t="s">
        <v>7592</v>
      </c>
      <c r="F497" s="1613">
        <v>13800000</v>
      </c>
      <c r="G497" s="1613">
        <v>17413685097</v>
      </c>
    </row>
    <row r="498" spans="1:7" ht="17.25" customHeight="1" x14ac:dyDescent="0.2">
      <c r="A498" s="1611">
        <v>13</v>
      </c>
      <c r="B498" s="1611" t="s">
        <v>3666</v>
      </c>
      <c r="C498" s="1611" t="s">
        <v>3996</v>
      </c>
      <c r="D498" s="1612">
        <v>0</v>
      </c>
      <c r="E498" s="1706" t="s">
        <v>7592</v>
      </c>
      <c r="F498" s="1613">
        <v>58000000</v>
      </c>
      <c r="G498" s="1613">
        <v>17471685097</v>
      </c>
    </row>
    <row r="499" spans="1:7" ht="17.25" customHeight="1" x14ac:dyDescent="0.2">
      <c r="A499" s="1611">
        <v>13</v>
      </c>
      <c r="B499" s="1611" t="s">
        <v>2032</v>
      </c>
      <c r="C499" s="1611" t="s">
        <v>3997</v>
      </c>
      <c r="D499" s="1612" t="s">
        <v>7555</v>
      </c>
      <c r="E499" s="1706" t="s">
        <v>7592</v>
      </c>
      <c r="F499" s="1613">
        <v>38600000</v>
      </c>
      <c r="G499" s="1613">
        <v>17510285097</v>
      </c>
    </row>
    <row r="500" spans="1:7" ht="17.25" customHeight="1" x14ac:dyDescent="0.2">
      <c r="A500" s="1611">
        <v>13</v>
      </c>
      <c r="B500" s="1611" t="s">
        <v>2027</v>
      </c>
      <c r="C500" s="1611" t="s">
        <v>3665</v>
      </c>
      <c r="D500" s="1612" t="s">
        <v>2024</v>
      </c>
      <c r="E500" s="1706" t="s">
        <v>7592</v>
      </c>
      <c r="F500" s="1613">
        <v>14789727</v>
      </c>
      <c r="G500" s="1613">
        <v>17525074824</v>
      </c>
    </row>
    <row r="501" spans="1:7" ht="17.25" customHeight="1" x14ac:dyDescent="0.2">
      <c r="A501" s="1611">
        <v>13</v>
      </c>
      <c r="B501" s="1611" t="s">
        <v>2063</v>
      </c>
      <c r="C501" s="1611" t="s">
        <v>3998</v>
      </c>
      <c r="D501" s="1612" t="s">
        <v>2023</v>
      </c>
      <c r="E501" s="1706" t="s">
        <v>7592</v>
      </c>
      <c r="F501" s="1613">
        <v>137000000</v>
      </c>
      <c r="G501" s="1613">
        <v>17662074824</v>
      </c>
    </row>
    <row r="502" spans="1:7" ht="17.25" customHeight="1" x14ac:dyDescent="0.2">
      <c r="A502" s="1611">
        <v>13</v>
      </c>
      <c r="B502" s="1611" t="s">
        <v>3601</v>
      </c>
      <c r="C502" s="1611" t="s">
        <v>3999</v>
      </c>
      <c r="D502" s="1612">
        <v>0</v>
      </c>
      <c r="E502" s="1706" t="s">
        <v>7592</v>
      </c>
      <c r="F502" s="1613">
        <v>148000000</v>
      </c>
      <c r="G502" s="1613">
        <v>17810074824</v>
      </c>
    </row>
    <row r="503" spans="1:7" ht="17.25" customHeight="1" x14ac:dyDescent="0.2">
      <c r="A503" s="1611">
        <v>13</v>
      </c>
      <c r="B503" s="1611" t="s">
        <v>2037</v>
      </c>
      <c r="C503" s="1611" t="s">
        <v>4000</v>
      </c>
      <c r="D503" s="1612" t="s">
        <v>7555</v>
      </c>
      <c r="E503" s="1706" t="s">
        <v>7592</v>
      </c>
      <c r="F503" s="1613">
        <v>37500000</v>
      </c>
      <c r="G503" s="1613">
        <v>17847574824</v>
      </c>
    </row>
    <row r="504" spans="1:7" ht="17.25" customHeight="1" x14ac:dyDescent="0.2">
      <c r="A504" s="1611">
        <v>13</v>
      </c>
      <c r="B504" s="1611" t="s">
        <v>2028</v>
      </c>
      <c r="C504" s="1611" t="s">
        <v>4001</v>
      </c>
      <c r="D504" s="1612" t="s">
        <v>2024</v>
      </c>
      <c r="E504" s="1706" t="s">
        <v>7592</v>
      </c>
      <c r="F504" s="1613">
        <v>13909091</v>
      </c>
      <c r="G504" s="1613">
        <v>17861483915</v>
      </c>
    </row>
    <row r="505" spans="1:7" ht="17.25" customHeight="1" x14ac:dyDescent="0.2">
      <c r="A505" s="1611">
        <v>13</v>
      </c>
      <c r="B505" s="1611" t="s">
        <v>2039</v>
      </c>
      <c r="C505" s="1611" t="s">
        <v>4002</v>
      </c>
      <c r="D505" s="1612" t="s">
        <v>7555</v>
      </c>
      <c r="E505" s="1706" t="s">
        <v>7592</v>
      </c>
      <c r="F505" s="1613">
        <v>42000000</v>
      </c>
      <c r="G505" s="1613">
        <v>17903483915</v>
      </c>
    </row>
    <row r="506" spans="1:7" ht="17.25" customHeight="1" x14ac:dyDescent="0.2">
      <c r="A506" s="1611">
        <v>13</v>
      </c>
      <c r="B506" s="1611" t="s">
        <v>2039</v>
      </c>
      <c r="C506" s="1611" t="s">
        <v>4003</v>
      </c>
      <c r="D506" s="1612" t="s">
        <v>7555</v>
      </c>
      <c r="E506" s="1706" t="s">
        <v>7592</v>
      </c>
      <c r="F506" s="1613">
        <v>41513000</v>
      </c>
      <c r="G506" s="1613">
        <v>17944996915</v>
      </c>
    </row>
    <row r="507" spans="1:7" ht="17.25" customHeight="1" x14ac:dyDescent="0.2">
      <c r="A507" s="1611">
        <v>13</v>
      </c>
      <c r="B507" s="1611" t="s">
        <v>2041</v>
      </c>
      <c r="C507" s="1611" t="s">
        <v>4004</v>
      </c>
      <c r="D507" s="1612" t="s">
        <v>7555</v>
      </c>
      <c r="E507" s="1706" t="s">
        <v>7592</v>
      </c>
      <c r="F507" s="1613">
        <v>49363636</v>
      </c>
      <c r="G507" s="1613">
        <v>17994360551</v>
      </c>
    </row>
    <row r="508" spans="1:7" ht="17.25" customHeight="1" x14ac:dyDescent="0.2">
      <c r="A508" s="1611">
        <v>13</v>
      </c>
      <c r="B508" s="1611" t="s">
        <v>7166</v>
      </c>
      <c r="C508" s="1611" t="s">
        <v>4005</v>
      </c>
      <c r="D508" s="1612">
        <v>0</v>
      </c>
      <c r="E508" s="1706" t="s">
        <v>7592</v>
      </c>
      <c r="F508" s="1613">
        <v>109527000</v>
      </c>
      <c r="G508" s="1613">
        <v>18103887551</v>
      </c>
    </row>
    <row r="509" spans="1:7" ht="17.25" customHeight="1" x14ac:dyDescent="0.2">
      <c r="A509" s="1611">
        <v>13</v>
      </c>
      <c r="B509" s="1611" t="s">
        <v>7167</v>
      </c>
      <c r="C509" s="1611" t="s">
        <v>4006</v>
      </c>
      <c r="D509" s="1612">
        <v>0</v>
      </c>
      <c r="E509" s="1706" t="s">
        <v>7592</v>
      </c>
      <c r="F509" s="1613">
        <v>8200000</v>
      </c>
      <c r="G509" s="1613">
        <v>18112087551</v>
      </c>
    </row>
    <row r="510" spans="1:7" ht="17.25" customHeight="1" x14ac:dyDescent="0.2">
      <c r="A510" s="1611">
        <v>13</v>
      </c>
      <c r="B510" s="1611" t="s">
        <v>2028</v>
      </c>
      <c r="C510" s="1611" t="s">
        <v>3668</v>
      </c>
      <c r="D510" s="1612" t="s">
        <v>2024</v>
      </c>
      <c r="E510" s="1706" t="s">
        <v>7592</v>
      </c>
      <c r="F510" s="1613">
        <v>28000000</v>
      </c>
      <c r="G510" s="1613">
        <v>18140087551</v>
      </c>
    </row>
    <row r="511" spans="1:7" ht="17.25" customHeight="1" x14ac:dyDescent="0.2">
      <c r="A511" s="1611">
        <v>13</v>
      </c>
      <c r="B511" s="1611" t="s">
        <v>3666</v>
      </c>
      <c r="C511" s="1611" t="s">
        <v>4007</v>
      </c>
      <c r="D511" s="1612">
        <v>0</v>
      </c>
      <c r="E511" s="1706" t="s">
        <v>7592</v>
      </c>
      <c r="F511" s="1613">
        <v>59545455</v>
      </c>
      <c r="G511" s="1613">
        <v>18199633006</v>
      </c>
    </row>
    <row r="512" spans="1:7" ht="17.25" customHeight="1" x14ac:dyDescent="0.2">
      <c r="A512" s="1611">
        <v>13</v>
      </c>
      <c r="B512" s="1611" t="s">
        <v>2039</v>
      </c>
      <c r="C512" s="1611" t="s">
        <v>4008</v>
      </c>
      <c r="D512" s="1612" t="s">
        <v>7555</v>
      </c>
      <c r="E512" s="1706" t="s">
        <v>7592</v>
      </c>
      <c r="F512" s="1613">
        <v>39000000</v>
      </c>
      <c r="G512" s="1613">
        <v>18238633006</v>
      </c>
    </row>
    <row r="513" spans="1:7" ht="17.25" customHeight="1" x14ac:dyDescent="0.2">
      <c r="A513" s="1611">
        <v>13</v>
      </c>
      <c r="B513" s="1611" t="s">
        <v>2032</v>
      </c>
      <c r="C513" s="1611" t="s">
        <v>4009</v>
      </c>
      <c r="D513" s="1612" t="s">
        <v>7555</v>
      </c>
      <c r="E513" s="1706" t="s">
        <v>7592</v>
      </c>
      <c r="F513" s="1613">
        <v>35454545</v>
      </c>
      <c r="G513" s="1613">
        <v>18274087551</v>
      </c>
    </row>
    <row r="514" spans="1:7" ht="17.25" customHeight="1" x14ac:dyDescent="0.2">
      <c r="A514" s="1611">
        <v>13</v>
      </c>
      <c r="B514" s="1611" t="s">
        <v>2039</v>
      </c>
      <c r="C514" s="1611" t="s">
        <v>4010</v>
      </c>
      <c r="D514" s="1612" t="s">
        <v>7555</v>
      </c>
      <c r="E514" s="1706" t="s">
        <v>7592</v>
      </c>
      <c r="F514" s="1613">
        <v>41818182</v>
      </c>
      <c r="G514" s="1613">
        <v>18315905733</v>
      </c>
    </row>
    <row r="515" spans="1:7" ht="17.25" customHeight="1" x14ac:dyDescent="0.2">
      <c r="A515" s="1611">
        <v>13</v>
      </c>
      <c r="B515" s="1611" t="s">
        <v>2030</v>
      </c>
      <c r="C515" s="1611" t="s">
        <v>4011</v>
      </c>
      <c r="D515" s="1612" t="s">
        <v>7555</v>
      </c>
      <c r="E515" s="1706" t="s">
        <v>7592</v>
      </c>
      <c r="F515" s="1613">
        <v>33000000</v>
      </c>
      <c r="G515" s="1613">
        <v>18348905733</v>
      </c>
    </row>
    <row r="516" spans="1:7" ht="17.25" customHeight="1" x14ac:dyDescent="0.2">
      <c r="A516" s="1611">
        <v>13</v>
      </c>
      <c r="B516" s="1611" t="s">
        <v>2032</v>
      </c>
      <c r="C516" s="1611" t="s">
        <v>4012</v>
      </c>
      <c r="D516" s="1612" t="s">
        <v>7555</v>
      </c>
      <c r="E516" s="1706" t="s">
        <v>7592</v>
      </c>
      <c r="F516" s="1613">
        <v>35000000</v>
      </c>
      <c r="G516" s="1613">
        <v>18383905733</v>
      </c>
    </row>
    <row r="517" spans="1:7" ht="17.25" customHeight="1" x14ac:dyDescent="0.2">
      <c r="A517" s="1611">
        <v>13</v>
      </c>
      <c r="B517" s="1611" t="s">
        <v>2045</v>
      </c>
      <c r="C517" s="1611" t="s">
        <v>3851</v>
      </c>
      <c r="D517" s="1612" t="s">
        <v>7555</v>
      </c>
      <c r="E517" s="1706" t="s">
        <v>7592</v>
      </c>
      <c r="F517" s="1613">
        <v>47400000</v>
      </c>
      <c r="G517" s="1613">
        <v>18431305733</v>
      </c>
    </row>
    <row r="518" spans="1:7" ht="17.25" customHeight="1" x14ac:dyDescent="0.2">
      <c r="A518" s="1611">
        <v>13</v>
      </c>
      <c r="B518" s="1611" t="s">
        <v>7168</v>
      </c>
      <c r="C518" s="1611" t="s">
        <v>4013</v>
      </c>
      <c r="D518" s="1612">
        <v>0</v>
      </c>
      <c r="E518" s="1706" t="s">
        <v>7562</v>
      </c>
      <c r="F518" s="1613">
        <v>11083978</v>
      </c>
      <c r="G518" s="1613">
        <v>18442389711</v>
      </c>
    </row>
    <row r="519" spans="1:7" ht="17.25" customHeight="1" x14ac:dyDescent="0.2">
      <c r="A519" s="1611">
        <v>13</v>
      </c>
      <c r="B519" s="1611" t="s">
        <v>4014</v>
      </c>
      <c r="C519" s="1611" t="s">
        <v>4015</v>
      </c>
      <c r="D519" s="1612">
        <v>0</v>
      </c>
      <c r="E519" s="1706" t="s">
        <v>7592</v>
      </c>
      <c r="F519" s="1613">
        <v>395000000</v>
      </c>
      <c r="G519" s="1613">
        <v>18837389711</v>
      </c>
    </row>
    <row r="520" spans="1:7" ht="17.25" customHeight="1" x14ac:dyDescent="0.2">
      <c r="A520" s="1611">
        <v>13</v>
      </c>
      <c r="B520" s="1611" t="s">
        <v>7154</v>
      </c>
      <c r="C520" s="1611" t="s">
        <v>214</v>
      </c>
      <c r="D520" s="1612">
        <v>0</v>
      </c>
      <c r="E520" s="1706" t="s">
        <v>7592</v>
      </c>
      <c r="F520" s="1613">
        <v>54680585</v>
      </c>
      <c r="G520" s="1613">
        <v>18892070296</v>
      </c>
    </row>
    <row r="521" spans="1:7" ht="17.25" customHeight="1" x14ac:dyDescent="0.2">
      <c r="A521" s="1611">
        <v>13</v>
      </c>
      <c r="B521" s="1611" t="s">
        <v>7169</v>
      </c>
      <c r="C521" s="1611" t="s">
        <v>214</v>
      </c>
      <c r="D521" s="1612">
        <v>0</v>
      </c>
      <c r="E521" s="1706" t="s">
        <v>7592</v>
      </c>
      <c r="F521" s="1613">
        <v>43365659</v>
      </c>
      <c r="G521" s="1613">
        <v>18935435955</v>
      </c>
    </row>
    <row r="522" spans="1:7" ht="17.25" customHeight="1" x14ac:dyDescent="0.2">
      <c r="A522" s="1611">
        <v>13</v>
      </c>
      <c r="B522" s="1611" t="s">
        <v>4016</v>
      </c>
      <c r="C522" s="1611" t="s">
        <v>214</v>
      </c>
      <c r="D522" s="1612">
        <v>0</v>
      </c>
      <c r="E522" s="1706" t="s">
        <v>7592</v>
      </c>
      <c r="F522" s="1613">
        <v>30559999</v>
      </c>
      <c r="G522" s="1613">
        <v>18965995954</v>
      </c>
    </row>
    <row r="523" spans="1:7" ht="17.25" customHeight="1" x14ac:dyDescent="0.2">
      <c r="A523" s="1611">
        <v>13</v>
      </c>
      <c r="B523" s="1611" t="s">
        <v>2032</v>
      </c>
      <c r="C523" s="1611" t="s">
        <v>4017</v>
      </c>
      <c r="D523" s="1612" t="s">
        <v>7555</v>
      </c>
      <c r="E523" s="1706" t="s">
        <v>7592</v>
      </c>
      <c r="F523" s="1613">
        <v>34643000</v>
      </c>
      <c r="G523" s="1613">
        <v>19000638954</v>
      </c>
    </row>
    <row r="524" spans="1:7" ht="17.25" customHeight="1" x14ac:dyDescent="0.2">
      <c r="A524" s="1611">
        <v>13</v>
      </c>
      <c r="B524" s="1611" t="s">
        <v>2039</v>
      </c>
      <c r="C524" s="1611" t="s">
        <v>4018</v>
      </c>
      <c r="D524" s="1612" t="s">
        <v>7555</v>
      </c>
      <c r="E524" s="1706" t="s">
        <v>7592</v>
      </c>
      <c r="F524" s="1613">
        <v>42818181</v>
      </c>
      <c r="G524" s="1613">
        <v>19043457135</v>
      </c>
    </row>
    <row r="525" spans="1:7" ht="17.25" customHeight="1" x14ac:dyDescent="0.2">
      <c r="A525" s="1611">
        <v>13</v>
      </c>
      <c r="B525" s="1611" t="s">
        <v>2028</v>
      </c>
      <c r="C525" s="1611" t="s">
        <v>4019</v>
      </c>
      <c r="D525" s="1612" t="s">
        <v>2024</v>
      </c>
      <c r="E525" s="1706" t="s">
        <v>7592</v>
      </c>
      <c r="F525" s="1613">
        <v>14000000</v>
      </c>
      <c r="G525" s="1613">
        <v>19057457135</v>
      </c>
    </row>
    <row r="526" spans="1:7" ht="17.25" customHeight="1" x14ac:dyDescent="0.2">
      <c r="A526" s="1611">
        <v>13</v>
      </c>
      <c r="B526" s="1611" t="s">
        <v>2028</v>
      </c>
      <c r="C526" s="1611" t="s">
        <v>4020</v>
      </c>
      <c r="D526" s="1612" t="s">
        <v>2024</v>
      </c>
      <c r="E526" s="1706" t="s">
        <v>7592</v>
      </c>
      <c r="F526" s="1613">
        <v>14000000</v>
      </c>
      <c r="G526" s="1613">
        <v>19071457135</v>
      </c>
    </row>
    <row r="527" spans="1:7" ht="17.25" customHeight="1" x14ac:dyDescent="0.2">
      <c r="A527" s="1611">
        <v>13</v>
      </c>
      <c r="B527" s="1611" t="s">
        <v>2037</v>
      </c>
      <c r="C527" s="1611" t="s">
        <v>4021</v>
      </c>
      <c r="D527" s="1612" t="s">
        <v>7555</v>
      </c>
      <c r="E527" s="1706" t="s">
        <v>7592</v>
      </c>
      <c r="F527" s="1613">
        <v>38300000</v>
      </c>
      <c r="G527" s="1613">
        <v>19109757135</v>
      </c>
    </row>
    <row r="528" spans="1:7" ht="17.25" customHeight="1" x14ac:dyDescent="0.2">
      <c r="A528" s="1611">
        <v>13</v>
      </c>
      <c r="B528" s="1611" t="s">
        <v>2027</v>
      </c>
      <c r="C528" s="1611" t="s">
        <v>4022</v>
      </c>
      <c r="D528" s="1612" t="s">
        <v>2024</v>
      </c>
      <c r="E528" s="1706" t="s">
        <v>7592</v>
      </c>
      <c r="F528" s="1613">
        <v>17244273</v>
      </c>
      <c r="G528" s="1613">
        <v>19127001408</v>
      </c>
    </row>
    <row r="529" spans="1:7" ht="17.25" customHeight="1" x14ac:dyDescent="0.2">
      <c r="A529" s="1611">
        <v>13</v>
      </c>
      <c r="B529" s="1611" t="s">
        <v>2039</v>
      </c>
      <c r="C529" s="1611" t="s">
        <v>4023</v>
      </c>
      <c r="D529" s="1612" t="s">
        <v>7555</v>
      </c>
      <c r="E529" s="1706" t="s">
        <v>7592</v>
      </c>
      <c r="F529" s="1613">
        <v>43000000</v>
      </c>
      <c r="G529" s="1613">
        <v>19170001408</v>
      </c>
    </row>
    <row r="530" spans="1:7" ht="17.25" customHeight="1" x14ac:dyDescent="0.2">
      <c r="A530" s="1611">
        <v>13</v>
      </c>
      <c r="B530" s="1611" t="s">
        <v>2037</v>
      </c>
      <c r="C530" s="1611" t="s">
        <v>4024</v>
      </c>
      <c r="D530" s="1612" t="s">
        <v>7555</v>
      </c>
      <c r="E530" s="1706" t="s">
        <v>7592</v>
      </c>
      <c r="F530" s="1613">
        <v>39740909</v>
      </c>
      <c r="G530" s="1613">
        <v>19209742317</v>
      </c>
    </row>
    <row r="531" spans="1:7" ht="17.25" customHeight="1" x14ac:dyDescent="0.2">
      <c r="A531" s="1611">
        <v>13</v>
      </c>
      <c r="B531" s="1611" t="s">
        <v>2027</v>
      </c>
      <c r="C531" s="1611" t="s">
        <v>4025</v>
      </c>
      <c r="D531" s="1612" t="s">
        <v>2024</v>
      </c>
      <c r="E531" s="1706" t="s">
        <v>7592</v>
      </c>
      <c r="F531" s="1613">
        <v>14500000</v>
      </c>
      <c r="G531" s="1613">
        <v>19224242317</v>
      </c>
    </row>
    <row r="532" spans="1:7" ht="17.25" customHeight="1" x14ac:dyDescent="0.2">
      <c r="A532" s="1611">
        <v>13</v>
      </c>
      <c r="B532" s="1611" t="s">
        <v>2039</v>
      </c>
      <c r="C532" s="1611" t="s">
        <v>4026</v>
      </c>
      <c r="D532" s="1612" t="s">
        <v>7555</v>
      </c>
      <c r="E532" s="1706" t="s">
        <v>7592</v>
      </c>
      <c r="F532" s="1613">
        <v>43636364</v>
      </c>
      <c r="G532" s="1613">
        <v>19267878681</v>
      </c>
    </row>
    <row r="533" spans="1:7" ht="17.25" customHeight="1" x14ac:dyDescent="0.2">
      <c r="A533" s="1611">
        <v>13</v>
      </c>
      <c r="B533" s="1611" t="s">
        <v>2043</v>
      </c>
      <c r="C533" s="1611" t="s">
        <v>4027</v>
      </c>
      <c r="D533" s="1612" t="s">
        <v>7555</v>
      </c>
      <c r="E533" s="1706" t="s">
        <v>7592</v>
      </c>
      <c r="F533" s="1613">
        <v>49500000</v>
      </c>
      <c r="G533" s="1613">
        <v>19317378681</v>
      </c>
    </row>
    <row r="534" spans="1:7" ht="17.25" customHeight="1" x14ac:dyDescent="0.2">
      <c r="A534" s="1611">
        <v>13</v>
      </c>
      <c r="B534" s="1611" t="s">
        <v>7158</v>
      </c>
      <c r="C534" s="1611" t="s">
        <v>214</v>
      </c>
      <c r="D534" s="1612">
        <v>0</v>
      </c>
      <c r="E534" s="1706" t="s">
        <v>7592</v>
      </c>
      <c r="F534" s="1613">
        <v>60358233</v>
      </c>
      <c r="G534" s="1613">
        <v>19377736914</v>
      </c>
    </row>
    <row r="535" spans="1:7" ht="17.25" customHeight="1" x14ac:dyDescent="0.2">
      <c r="A535" s="1611">
        <v>13</v>
      </c>
      <c r="B535" s="1611" t="s">
        <v>2046</v>
      </c>
      <c r="C535" s="1611" t="s">
        <v>214</v>
      </c>
      <c r="D535" s="1612" t="s">
        <v>7555</v>
      </c>
      <c r="E535" s="1706" t="s">
        <v>7592</v>
      </c>
      <c r="F535" s="1613">
        <v>-60358233</v>
      </c>
      <c r="G535" s="1613">
        <v>19317378681</v>
      </c>
    </row>
    <row r="536" spans="1:7" ht="17.25" customHeight="1" x14ac:dyDescent="0.2">
      <c r="A536" s="1611">
        <v>13</v>
      </c>
      <c r="B536" s="1611" t="s">
        <v>2046</v>
      </c>
      <c r="C536" s="1611" t="s">
        <v>214</v>
      </c>
      <c r="D536" s="1612" t="s">
        <v>7555</v>
      </c>
      <c r="E536" s="1706" t="s">
        <v>7592</v>
      </c>
      <c r="F536" s="1613">
        <v>60358233</v>
      </c>
      <c r="G536" s="1613">
        <v>19377736914</v>
      </c>
    </row>
    <row r="537" spans="1:7" ht="17.25" customHeight="1" x14ac:dyDescent="0.2">
      <c r="A537" s="1611">
        <v>13</v>
      </c>
      <c r="B537" s="1611" t="s">
        <v>2037</v>
      </c>
      <c r="C537" s="1611" t="s">
        <v>4028</v>
      </c>
      <c r="D537" s="1612" t="s">
        <v>7555</v>
      </c>
      <c r="E537" s="1706" t="s">
        <v>7592</v>
      </c>
      <c r="F537" s="1613">
        <v>40630000</v>
      </c>
      <c r="G537" s="1613">
        <v>19418366914</v>
      </c>
    </row>
    <row r="538" spans="1:7" ht="17.25" customHeight="1" x14ac:dyDescent="0.2">
      <c r="A538" s="1611">
        <v>13</v>
      </c>
      <c r="B538" s="1611" t="s">
        <v>2037</v>
      </c>
      <c r="C538" s="1611" t="s">
        <v>4029</v>
      </c>
      <c r="D538" s="1612" t="s">
        <v>7555</v>
      </c>
      <c r="E538" s="1706" t="s">
        <v>7592</v>
      </c>
      <c r="F538" s="1613">
        <v>40630000</v>
      </c>
      <c r="G538" s="1613">
        <v>19458996914</v>
      </c>
    </row>
    <row r="539" spans="1:7" ht="17.25" customHeight="1" x14ac:dyDescent="0.2">
      <c r="A539" s="1611">
        <v>13</v>
      </c>
      <c r="B539" s="1611" t="s">
        <v>2037</v>
      </c>
      <c r="C539" s="1611" t="s">
        <v>4030</v>
      </c>
      <c r="D539" s="1612" t="s">
        <v>7555</v>
      </c>
      <c r="E539" s="1706" t="s">
        <v>7592</v>
      </c>
      <c r="F539" s="1613">
        <v>40630000</v>
      </c>
      <c r="G539" s="1613">
        <v>19499626914</v>
      </c>
    </row>
    <row r="540" spans="1:7" ht="17.25" customHeight="1" x14ac:dyDescent="0.2">
      <c r="A540" s="1611">
        <v>13</v>
      </c>
      <c r="B540" s="1611" t="s">
        <v>2037</v>
      </c>
      <c r="C540" s="1611" t="s">
        <v>4031</v>
      </c>
      <c r="D540" s="1612" t="s">
        <v>7555</v>
      </c>
      <c r="E540" s="1706" t="s">
        <v>7592</v>
      </c>
      <c r="F540" s="1613">
        <v>40630000</v>
      </c>
      <c r="G540" s="1613">
        <v>19540256914</v>
      </c>
    </row>
    <row r="541" spans="1:7" ht="17.25" customHeight="1" x14ac:dyDescent="0.2">
      <c r="A541" s="1611">
        <v>13</v>
      </c>
      <c r="B541" s="1611" t="s">
        <v>2037</v>
      </c>
      <c r="C541" s="1611" t="s">
        <v>4032</v>
      </c>
      <c r="D541" s="1612" t="s">
        <v>7555</v>
      </c>
      <c r="E541" s="1706" t="s">
        <v>7592</v>
      </c>
      <c r="F541" s="1613">
        <v>37500000</v>
      </c>
      <c r="G541" s="1613">
        <v>19577756914</v>
      </c>
    </row>
    <row r="542" spans="1:7" ht="17.25" customHeight="1" x14ac:dyDescent="0.2">
      <c r="A542" s="1611">
        <v>13</v>
      </c>
      <c r="B542" s="1611" t="s">
        <v>2027</v>
      </c>
      <c r="C542" s="1611" t="s">
        <v>3913</v>
      </c>
      <c r="D542" s="1612" t="s">
        <v>2024</v>
      </c>
      <c r="E542" s="1706" t="s">
        <v>7592</v>
      </c>
      <c r="F542" s="1613">
        <v>12700000</v>
      </c>
      <c r="G542" s="1613">
        <v>19590456914</v>
      </c>
    </row>
    <row r="543" spans="1:7" ht="17.25" customHeight="1" x14ac:dyDescent="0.2">
      <c r="A543" s="1611">
        <v>13</v>
      </c>
      <c r="B543" s="1611" t="s">
        <v>7170</v>
      </c>
      <c r="C543" s="1611" t="s">
        <v>4033</v>
      </c>
      <c r="D543" s="1612">
        <v>0</v>
      </c>
      <c r="E543" s="1706" t="s">
        <v>7557</v>
      </c>
      <c r="F543" s="1613">
        <v>111614378</v>
      </c>
      <c r="G543" s="1613">
        <v>19702071292</v>
      </c>
    </row>
    <row r="544" spans="1:7" ht="17.25" customHeight="1" x14ac:dyDescent="0.2">
      <c r="A544" s="1611">
        <v>13</v>
      </c>
      <c r="B544" s="1611" t="s">
        <v>3666</v>
      </c>
      <c r="C544" s="1611" t="s">
        <v>4034</v>
      </c>
      <c r="D544" s="1612">
        <v>0</v>
      </c>
      <c r="E544" s="1706" t="s">
        <v>7592</v>
      </c>
      <c r="F544" s="1613">
        <v>58200000</v>
      </c>
      <c r="G544" s="1613">
        <v>19760271292</v>
      </c>
    </row>
    <row r="545" spans="1:7" ht="17.25" customHeight="1" x14ac:dyDescent="0.2">
      <c r="A545" s="1611">
        <v>13</v>
      </c>
      <c r="B545" s="1611" t="s">
        <v>3937</v>
      </c>
      <c r="C545" s="1611" t="s">
        <v>3925</v>
      </c>
      <c r="D545" s="1612">
        <v>0</v>
      </c>
      <c r="E545" s="1706" t="s">
        <v>7592</v>
      </c>
      <c r="F545" s="1613">
        <v>39800000</v>
      </c>
      <c r="G545" s="1613">
        <v>19800071292</v>
      </c>
    </row>
    <row r="546" spans="1:7" ht="17.25" customHeight="1" x14ac:dyDescent="0.2">
      <c r="A546" s="1611">
        <v>13</v>
      </c>
      <c r="B546" s="1611" t="s">
        <v>3937</v>
      </c>
      <c r="C546" s="1611" t="s">
        <v>4035</v>
      </c>
      <c r="D546" s="1612">
        <v>0</v>
      </c>
      <c r="E546" s="1706" t="s">
        <v>7592</v>
      </c>
      <c r="F546" s="1613">
        <v>41818182</v>
      </c>
      <c r="G546" s="1613">
        <v>19841889474</v>
      </c>
    </row>
    <row r="547" spans="1:7" ht="17.25" customHeight="1" x14ac:dyDescent="0.2">
      <c r="A547" s="1611">
        <v>13</v>
      </c>
      <c r="B547" s="1611" t="s">
        <v>3670</v>
      </c>
      <c r="C547" s="1611" t="s">
        <v>3597</v>
      </c>
      <c r="D547" s="1612">
        <v>0</v>
      </c>
      <c r="E547" s="1706" t="s">
        <v>7592</v>
      </c>
      <c r="F547" s="1613">
        <v>21820000</v>
      </c>
      <c r="G547" s="1613">
        <v>19863709474</v>
      </c>
    </row>
    <row r="548" spans="1:7" ht="17.25" customHeight="1" x14ac:dyDescent="0.2">
      <c r="A548" s="1611">
        <v>13</v>
      </c>
      <c r="B548" s="1611" t="s">
        <v>3937</v>
      </c>
      <c r="C548" s="1611" t="s">
        <v>4036</v>
      </c>
      <c r="D548" s="1612">
        <v>0</v>
      </c>
      <c r="E548" s="1706" t="s">
        <v>7592</v>
      </c>
      <c r="F548" s="1613">
        <v>37500000</v>
      </c>
      <c r="G548" s="1613">
        <v>19901209474</v>
      </c>
    </row>
    <row r="549" spans="1:7" ht="17.25" customHeight="1" x14ac:dyDescent="0.2">
      <c r="A549" s="1611">
        <v>13</v>
      </c>
      <c r="B549" s="1611" t="s">
        <v>3937</v>
      </c>
      <c r="C549" s="1611" t="s">
        <v>4037</v>
      </c>
      <c r="D549" s="1612">
        <v>0</v>
      </c>
      <c r="E549" s="1706" t="s">
        <v>7592</v>
      </c>
      <c r="F549" s="1613">
        <v>37000000</v>
      </c>
      <c r="G549" s="1613">
        <v>19938209474</v>
      </c>
    </row>
    <row r="550" spans="1:7" ht="17.25" customHeight="1" x14ac:dyDescent="0.2">
      <c r="A550" s="1611">
        <v>13</v>
      </c>
      <c r="B550" s="1611" t="s">
        <v>7171</v>
      </c>
      <c r="C550" s="1611" t="s">
        <v>4038</v>
      </c>
      <c r="D550" s="1612">
        <v>0</v>
      </c>
      <c r="E550" s="1706" t="s">
        <v>7592</v>
      </c>
      <c r="F550" s="1613">
        <v>48480000</v>
      </c>
      <c r="G550" s="1613">
        <v>19986689474</v>
      </c>
    </row>
    <row r="551" spans="1:7" ht="17.25" customHeight="1" x14ac:dyDescent="0.2">
      <c r="A551" s="1611">
        <v>13</v>
      </c>
      <c r="B551" s="1611" t="s">
        <v>3937</v>
      </c>
      <c r="C551" s="1611" t="s">
        <v>3658</v>
      </c>
      <c r="D551" s="1612">
        <v>0</v>
      </c>
      <c r="E551" s="1706" t="s">
        <v>7592</v>
      </c>
      <c r="F551" s="1613">
        <v>12636364</v>
      </c>
      <c r="G551" s="1613">
        <v>19999325838</v>
      </c>
    </row>
    <row r="552" spans="1:7" ht="17.25" customHeight="1" x14ac:dyDescent="0.2">
      <c r="A552" s="1611">
        <v>13</v>
      </c>
      <c r="B552" s="1611" t="s">
        <v>2041</v>
      </c>
      <c r="C552" s="1611" t="s">
        <v>4039</v>
      </c>
      <c r="D552" s="1612" t="s">
        <v>7555</v>
      </c>
      <c r="E552" s="1706" t="s">
        <v>7592</v>
      </c>
      <c r="F552" s="1613">
        <v>72727273</v>
      </c>
      <c r="G552" s="1613">
        <v>20072053111</v>
      </c>
    </row>
    <row r="553" spans="1:7" ht="17.25" customHeight="1" x14ac:dyDescent="0.2">
      <c r="A553" s="1611">
        <v>13</v>
      </c>
      <c r="B553" s="1611" t="s">
        <v>3937</v>
      </c>
      <c r="C553" s="1611" t="s">
        <v>4040</v>
      </c>
      <c r="D553" s="1612">
        <v>0</v>
      </c>
      <c r="E553" s="1706" t="s">
        <v>7592</v>
      </c>
      <c r="F553" s="1613">
        <v>32000000</v>
      </c>
      <c r="G553" s="1613">
        <v>20104053111</v>
      </c>
    </row>
    <row r="554" spans="1:7" ht="17.25" customHeight="1" x14ac:dyDescent="0.2">
      <c r="A554" s="1611">
        <v>13</v>
      </c>
      <c r="B554" s="1611" t="s">
        <v>3937</v>
      </c>
      <c r="C554" s="1611" t="s">
        <v>4041</v>
      </c>
      <c r="D554" s="1612">
        <v>0</v>
      </c>
      <c r="E554" s="1706" t="s">
        <v>7592</v>
      </c>
      <c r="F554" s="1613">
        <v>60850000</v>
      </c>
      <c r="G554" s="1613">
        <v>20164903111</v>
      </c>
    </row>
    <row r="555" spans="1:7" ht="17.25" customHeight="1" x14ac:dyDescent="0.2">
      <c r="A555" s="1611">
        <v>13</v>
      </c>
      <c r="B555" s="1611" t="s">
        <v>2032</v>
      </c>
      <c r="C555" s="1611" t="s">
        <v>4042</v>
      </c>
      <c r="D555" s="1612" t="s">
        <v>7555</v>
      </c>
      <c r="E555" s="1706" t="s">
        <v>7592</v>
      </c>
      <c r="F555" s="1613">
        <v>32727273</v>
      </c>
      <c r="G555" s="1613">
        <v>20197630384</v>
      </c>
    </row>
    <row r="556" spans="1:7" ht="17.25" customHeight="1" x14ac:dyDescent="0.2">
      <c r="A556" s="1611">
        <v>13</v>
      </c>
      <c r="B556" s="1611" t="s">
        <v>2032</v>
      </c>
      <c r="C556" s="1611" t="s">
        <v>4042</v>
      </c>
      <c r="D556" s="1612" t="s">
        <v>7555</v>
      </c>
      <c r="E556" s="1706" t="s">
        <v>7592</v>
      </c>
      <c r="F556" s="1613">
        <v>32727273</v>
      </c>
      <c r="G556" s="1613">
        <v>20230357657</v>
      </c>
    </row>
    <row r="557" spans="1:7" ht="17.25" customHeight="1" x14ac:dyDescent="0.2">
      <c r="A557" s="1611">
        <v>13</v>
      </c>
      <c r="B557" s="1611" t="s">
        <v>2027</v>
      </c>
      <c r="C557" s="1611" t="s">
        <v>3661</v>
      </c>
      <c r="D557" s="1612" t="s">
        <v>2024</v>
      </c>
      <c r="E557" s="1706" t="s">
        <v>7592</v>
      </c>
      <c r="F557" s="1613">
        <v>14080909</v>
      </c>
      <c r="G557" s="1613">
        <v>20244438566</v>
      </c>
    </row>
    <row r="558" spans="1:7" ht="17.25" customHeight="1" x14ac:dyDescent="0.2">
      <c r="A558" s="1611">
        <v>13</v>
      </c>
      <c r="B558" s="1611" t="s">
        <v>2028</v>
      </c>
      <c r="C558" s="1611" t="s">
        <v>3507</v>
      </c>
      <c r="D558" s="1612" t="s">
        <v>2024</v>
      </c>
      <c r="E558" s="1706" t="s">
        <v>7592</v>
      </c>
      <c r="F558" s="1613">
        <v>15460000</v>
      </c>
      <c r="G558" s="1613">
        <v>20259898566</v>
      </c>
    </row>
    <row r="559" spans="1:7" ht="17.25" customHeight="1" x14ac:dyDescent="0.2">
      <c r="A559" s="1611">
        <v>13</v>
      </c>
      <c r="B559" s="1611" t="s">
        <v>3666</v>
      </c>
      <c r="C559" s="1611" t="s">
        <v>4043</v>
      </c>
      <c r="D559" s="1612">
        <v>0</v>
      </c>
      <c r="E559" s="1706" t="s">
        <v>7592</v>
      </c>
      <c r="F559" s="1613">
        <v>60000000</v>
      </c>
      <c r="G559" s="1613">
        <v>20319898566</v>
      </c>
    </row>
    <row r="560" spans="1:7" ht="17.25" customHeight="1" x14ac:dyDescent="0.2">
      <c r="A560" s="1611">
        <v>13</v>
      </c>
      <c r="B560" s="1611" t="s">
        <v>2028</v>
      </c>
      <c r="C560" s="1611" t="s">
        <v>3507</v>
      </c>
      <c r="D560" s="1612" t="s">
        <v>2024</v>
      </c>
      <c r="E560" s="1706" t="s">
        <v>7592</v>
      </c>
      <c r="F560" s="1613">
        <v>-15460000</v>
      </c>
      <c r="G560" s="1613">
        <v>20304438566</v>
      </c>
    </row>
    <row r="561" spans="1:7" ht="17.25" customHeight="1" x14ac:dyDescent="0.2">
      <c r="A561" s="1611">
        <v>13</v>
      </c>
      <c r="B561" s="1611" t="s">
        <v>2028</v>
      </c>
      <c r="C561" s="1611" t="s">
        <v>3507</v>
      </c>
      <c r="D561" s="1612" t="s">
        <v>2024</v>
      </c>
      <c r="E561" s="1706" t="s">
        <v>7592</v>
      </c>
      <c r="F561" s="1613">
        <v>15160000</v>
      </c>
      <c r="G561" s="1613">
        <v>20319598566</v>
      </c>
    </row>
    <row r="562" spans="1:7" ht="17.25" customHeight="1" x14ac:dyDescent="0.2">
      <c r="A562" s="1611">
        <v>13</v>
      </c>
      <c r="B562" s="1611" t="s">
        <v>2041</v>
      </c>
      <c r="C562" s="1611" t="s">
        <v>4044</v>
      </c>
      <c r="D562" s="1612" t="s">
        <v>7555</v>
      </c>
      <c r="E562" s="1706" t="s">
        <v>7592</v>
      </c>
      <c r="F562" s="1613">
        <v>47000000</v>
      </c>
      <c r="G562" s="1613">
        <v>20366598566</v>
      </c>
    </row>
    <row r="563" spans="1:7" ht="17.25" customHeight="1" x14ac:dyDescent="0.2">
      <c r="A563" s="1611">
        <v>13</v>
      </c>
      <c r="B563" s="1611" t="s">
        <v>2039</v>
      </c>
      <c r="C563" s="1611" t="s">
        <v>4045</v>
      </c>
      <c r="D563" s="1612" t="s">
        <v>7555</v>
      </c>
      <c r="E563" s="1706" t="s">
        <v>7592</v>
      </c>
      <c r="F563" s="1613">
        <v>41280000</v>
      </c>
      <c r="G563" s="1613">
        <v>20407878566</v>
      </c>
    </row>
    <row r="564" spans="1:7" ht="17.25" customHeight="1" x14ac:dyDescent="0.2">
      <c r="A564" s="1611">
        <v>13</v>
      </c>
      <c r="B564" s="1611" t="s">
        <v>2028</v>
      </c>
      <c r="C564" s="1611" t="s">
        <v>4046</v>
      </c>
      <c r="D564" s="1612" t="s">
        <v>2024</v>
      </c>
      <c r="E564" s="1706" t="s">
        <v>7592</v>
      </c>
      <c r="F564" s="1613">
        <v>16363636</v>
      </c>
      <c r="G564" s="1613">
        <v>20424242202</v>
      </c>
    </row>
    <row r="565" spans="1:7" ht="17.25" customHeight="1" x14ac:dyDescent="0.2">
      <c r="A565" s="1611">
        <v>13</v>
      </c>
      <c r="B565" s="1611" t="s">
        <v>2026</v>
      </c>
      <c r="C565" s="1611" t="s">
        <v>4047</v>
      </c>
      <c r="D565" s="1612" t="s">
        <v>2024</v>
      </c>
      <c r="E565" s="1706" t="s">
        <v>7592</v>
      </c>
      <c r="F565" s="1613">
        <v>16300000</v>
      </c>
      <c r="G565" s="1613">
        <v>20440542202</v>
      </c>
    </row>
    <row r="566" spans="1:7" ht="17.25" customHeight="1" x14ac:dyDescent="0.2">
      <c r="A566" s="1611">
        <v>13</v>
      </c>
      <c r="B566" s="1611" t="s">
        <v>2032</v>
      </c>
      <c r="C566" s="1611" t="s">
        <v>4048</v>
      </c>
      <c r="D566" s="1612" t="s">
        <v>7555</v>
      </c>
      <c r="E566" s="1706" t="s">
        <v>7592</v>
      </c>
      <c r="F566" s="1613">
        <v>34909091</v>
      </c>
      <c r="G566" s="1613">
        <v>20475451293</v>
      </c>
    </row>
    <row r="567" spans="1:7" ht="17.25" customHeight="1" x14ac:dyDescent="0.2">
      <c r="A567" s="1611">
        <v>13</v>
      </c>
      <c r="B567" s="1611" t="s">
        <v>7156</v>
      </c>
      <c r="C567" s="1611" t="s">
        <v>7567</v>
      </c>
      <c r="D567" s="1612">
        <v>0</v>
      </c>
      <c r="E567" s="1706" t="s">
        <v>7568</v>
      </c>
      <c r="F567" s="1613">
        <v>25990968</v>
      </c>
      <c r="G567" s="1613">
        <v>20501442261</v>
      </c>
    </row>
    <row r="568" spans="1:7" ht="17.25" customHeight="1" x14ac:dyDescent="0.2">
      <c r="A568" s="1611">
        <v>13</v>
      </c>
      <c r="B568" s="1611" t="s">
        <v>2027</v>
      </c>
      <c r="C568" s="1611" t="s">
        <v>3665</v>
      </c>
      <c r="D568" s="1612" t="s">
        <v>2024</v>
      </c>
      <c r="E568" s="1706" t="s">
        <v>7592</v>
      </c>
      <c r="F568" s="1613">
        <v>14590909</v>
      </c>
      <c r="G568" s="1613">
        <v>20516033170</v>
      </c>
    </row>
    <row r="569" spans="1:7" ht="17.25" customHeight="1" x14ac:dyDescent="0.2">
      <c r="A569" s="1611">
        <v>13</v>
      </c>
      <c r="B569" s="1611" t="s">
        <v>2028</v>
      </c>
      <c r="C569" s="1611" t="s">
        <v>4050</v>
      </c>
      <c r="D569" s="1612" t="s">
        <v>2024</v>
      </c>
      <c r="E569" s="1706" t="s">
        <v>7592</v>
      </c>
      <c r="F569" s="1613">
        <v>15350000</v>
      </c>
      <c r="G569" s="1613">
        <v>20531383170</v>
      </c>
    </row>
    <row r="570" spans="1:7" ht="17.25" customHeight="1" x14ac:dyDescent="0.2">
      <c r="A570" s="1611">
        <v>13</v>
      </c>
      <c r="B570" s="1611" t="s">
        <v>2037</v>
      </c>
      <c r="C570" s="1611" t="s">
        <v>4051</v>
      </c>
      <c r="D570" s="1612" t="s">
        <v>7555</v>
      </c>
      <c r="E570" s="1706" t="s">
        <v>7592</v>
      </c>
      <c r="F570" s="1613">
        <v>43000000</v>
      </c>
      <c r="G570" s="1613">
        <v>20574383170</v>
      </c>
    </row>
    <row r="571" spans="1:7" ht="17.25" customHeight="1" x14ac:dyDescent="0.2">
      <c r="A571" s="1611">
        <v>13</v>
      </c>
      <c r="B571" s="1611" t="s">
        <v>2038</v>
      </c>
      <c r="C571" s="1611" t="s">
        <v>4052</v>
      </c>
      <c r="D571" s="1612" t="s">
        <v>7555</v>
      </c>
      <c r="E571" s="1706" t="s">
        <v>7592</v>
      </c>
      <c r="F571" s="1613">
        <v>40550000</v>
      </c>
      <c r="G571" s="1613">
        <v>20614933170</v>
      </c>
    </row>
    <row r="572" spans="1:7" ht="17.25" customHeight="1" x14ac:dyDescent="0.2">
      <c r="A572" s="1611">
        <v>13</v>
      </c>
      <c r="B572" s="1611" t="s">
        <v>4053</v>
      </c>
      <c r="C572" s="1611" t="s">
        <v>3597</v>
      </c>
      <c r="D572" s="1612">
        <v>0</v>
      </c>
      <c r="E572" s="1706" t="s">
        <v>7592</v>
      </c>
      <c r="F572" s="1613">
        <v>1600000</v>
      </c>
      <c r="G572" s="1613">
        <v>20616533170</v>
      </c>
    </row>
    <row r="573" spans="1:7" ht="17.25" customHeight="1" x14ac:dyDescent="0.2">
      <c r="A573" s="1611">
        <v>13</v>
      </c>
      <c r="B573" s="1611" t="s">
        <v>4054</v>
      </c>
      <c r="C573" s="1611" t="s">
        <v>4055</v>
      </c>
      <c r="D573" s="1612">
        <v>0</v>
      </c>
      <c r="E573" s="1706" t="s">
        <v>7592</v>
      </c>
      <c r="F573" s="1613">
        <v>114000000</v>
      </c>
      <c r="G573" s="1613">
        <v>20730533170</v>
      </c>
    </row>
    <row r="574" spans="1:7" ht="17.25" customHeight="1" x14ac:dyDescent="0.2">
      <c r="A574" s="1611">
        <v>13</v>
      </c>
      <c r="B574" s="1611" t="s">
        <v>2027</v>
      </c>
      <c r="C574" s="1611" t="s">
        <v>4056</v>
      </c>
      <c r="D574" s="1612" t="s">
        <v>2024</v>
      </c>
      <c r="E574" s="1706" t="s">
        <v>7592</v>
      </c>
      <c r="F574" s="1613">
        <v>13636363</v>
      </c>
      <c r="G574" s="1613">
        <v>20744169533</v>
      </c>
    </row>
    <row r="575" spans="1:7" ht="17.25" customHeight="1" x14ac:dyDescent="0.2">
      <c r="A575" s="1611">
        <v>13</v>
      </c>
      <c r="B575" s="1611" t="s">
        <v>4057</v>
      </c>
      <c r="C575" s="1611" t="s">
        <v>3597</v>
      </c>
      <c r="D575" s="1612">
        <v>0</v>
      </c>
      <c r="E575" s="1706" t="s">
        <v>7592</v>
      </c>
      <c r="F575" s="1613">
        <v>14640000</v>
      </c>
      <c r="G575" s="1613">
        <v>20758809533</v>
      </c>
    </row>
    <row r="576" spans="1:7" ht="17.25" customHeight="1" x14ac:dyDescent="0.2">
      <c r="A576" s="1611">
        <v>13</v>
      </c>
      <c r="B576" s="1611" t="s">
        <v>2038</v>
      </c>
      <c r="C576" s="1611" t="s">
        <v>4058</v>
      </c>
      <c r="D576" s="1612" t="s">
        <v>7555</v>
      </c>
      <c r="E576" s="1706" t="s">
        <v>7592</v>
      </c>
      <c r="F576" s="1613">
        <v>42000000</v>
      </c>
      <c r="G576" s="1613">
        <v>20800809533</v>
      </c>
    </row>
    <row r="577" spans="1:7" ht="17.25" customHeight="1" x14ac:dyDescent="0.2">
      <c r="A577" s="1611">
        <v>13</v>
      </c>
      <c r="B577" s="1611" t="s">
        <v>2039</v>
      </c>
      <c r="C577" s="1611" t="s">
        <v>4059</v>
      </c>
      <c r="D577" s="1612" t="s">
        <v>7555</v>
      </c>
      <c r="E577" s="1706" t="s">
        <v>7592</v>
      </c>
      <c r="F577" s="1613">
        <v>45363637</v>
      </c>
      <c r="G577" s="1613">
        <v>20846173170</v>
      </c>
    </row>
    <row r="578" spans="1:7" ht="17.25" customHeight="1" x14ac:dyDescent="0.2">
      <c r="A578" s="1611">
        <v>13</v>
      </c>
      <c r="B578" s="1611" t="s">
        <v>3812</v>
      </c>
      <c r="C578" s="1611" t="s">
        <v>4059</v>
      </c>
      <c r="D578" s="1612">
        <v>0</v>
      </c>
      <c r="E578" s="1706" t="s">
        <v>7592</v>
      </c>
      <c r="F578" s="1613">
        <v>5572727</v>
      </c>
      <c r="G578" s="1613">
        <v>20851745897</v>
      </c>
    </row>
    <row r="579" spans="1:7" ht="17.25" customHeight="1" x14ac:dyDescent="0.2">
      <c r="A579" s="1611">
        <v>13</v>
      </c>
      <c r="B579" s="1611" t="s">
        <v>2038</v>
      </c>
      <c r="C579" s="1611" t="s">
        <v>4060</v>
      </c>
      <c r="D579" s="1612" t="s">
        <v>7555</v>
      </c>
      <c r="E579" s="1706" t="s">
        <v>7592</v>
      </c>
      <c r="F579" s="1613">
        <v>40870000</v>
      </c>
      <c r="G579" s="1613">
        <v>20892615897</v>
      </c>
    </row>
    <row r="580" spans="1:7" ht="17.25" customHeight="1" x14ac:dyDescent="0.2">
      <c r="A580" s="1611">
        <v>13</v>
      </c>
      <c r="B580" s="1611" t="s">
        <v>7172</v>
      </c>
      <c r="C580" s="1611" t="s">
        <v>7573</v>
      </c>
      <c r="D580" s="1612">
        <v>0</v>
      </c>
      <c r="E580" s="1706" t="s">
        <v>7574</v>
      </c>
      <c r="F580" s="1613">
        <v>39314480</v>
      </c>
      <c r="G580" s="1613">
        <v>20931930377</v>
      </c>
    </row>
    <row r="581" spans="1:7" ht="17.25" customHeight="1" x14ac:dyDescent="0.2">
      <c r="A581" s="1611">
        <v>13</v>
      </c>
      <c r="B581" s="1611" t="s">
        <v>2038</v>
      </c>
      <c r="C581" s="1611" t="s">
        <v>4062</v>
      </c>
      <c r="D581" s="1612" t="s">
        <v>7555</v>
      </c>
      <c r="E581" s="1706" t="s">
        <v>7592</v>
      </c>
      <c r="F581" s="1613">
        <v>40800000</v>
      </c>
      <c r="G581" s="1613">
        <v>20972730377</v>
      </c>
    </row>
    <row r="582" spans="1:7" ht="17.25" customHeight="1" x14ac:dyDescent="0.2">
      <c r="A582" s="1611">
        <v>13</v>
      </c>
      <c r="B582" s="1611" t="s">
        <v>2037</v>
      </c>
      <c r="C582" s="1611" t="s">
        <v>4063</v>
      </c>
      <c r="D582" s="1612" t="s">
        <v>7555</v>
      </c>
      <c r="E582" s="1706" t="s">
        <v>7592</v>
      </c>
      <c r="F582" s="1613">
        <v>39431818</v>
      </c>
      <c r="G582" s="1613">
        <v>21012162195</v>
      </c>
    </row>
    <row r="583" spans="1:7" ht="17.25" customHeight="1" x14ac:dyDescent="0.2">
      <c r="A583" s="1611">
        <v>13</v>
      </c>
      <c r="B583" s="1611" t="s">
        <v>7173</v>
      </c>
      <c r="C583" s="1611" t="s">
        <v>4064</v>
      </c>
      <c r="D583" s="1612">
        <v>0</v>
      </c>
      <c r="E583" s="1612" t="s">
        <v>3295</v>
      </c>
      <c r="F583" s="1613">
        <v>214380986</v>
      </c>
      <c r="G583" s="1613">
        <v>21226543181</v>
      </c>
    </row>
    <row r="584" spans="1:7" ht="17.25" customHeight="1" x14ac:dyDescent="0.2">
      <c r="A584" s="1611">
        <v>13</v>
      </c>
      <c r="B584" s="1611" t="s">
        <v>7174</v>
      </c>
      <c r="C584" s="1611" t="s">
        <v>4049</v>
      </c>
      <c r="D584" s="1612">
        <v>0</v>
      </c>
      <c r="E584" s="1706" t="s">
        <v>7568</v>
      </c>
      <c r="F584" s="1613">
        <v>545005</v>
      </c>
      <c r="G584" s="1613">
        <v>21227088186</v>
      </c>
    </row>
    <row r="585" spans="1:7" ht="17.25" customHeight="1" x14ac:dyDescent="0.2">
      <c r="A585" s="1611">
        <v>13</v>
      </c>
      <c r="B585" s="1611" t="s">
        <v>2037</v>
      </c>
      <c r="C585" s="1611" t="s">
        <v>4065</v>
      </c>
      <c r="D585" s="1612" t="s">
        <v>7555</v>
      </c>
      <c r="E585" s="1706" t="s">
        <v>7592</v>
      </c>
      <c r="F585" s="1613">
        <v>45006000</v>
      </c>
      <c r="G585" s="1613">
        <v>21272094186</v>
      </c>
    </row>
    <row r="586" spans="1:7" ht="17.25" customHeight="1" x14ac:dyDescent="0.2">
      <c r="A586" s="1611">
        <v>13</v>
      </c>
      <c r="B586" s="1611" t="s">
        <v>2038</v>
      </c>
      <c r="C586" s="1611" t="s">
        <v>4066</v>
      </c>
      <c r="D586" s="1612" t="s">
        <v>7555</v>
      </c>
      <c r="E586" s="1706" t="s">
        <v>7592</v>
      </c>
      <c r="F586" s="1613">
        <v>40818182</v>
      </c>
      <c r="G586" s="1613">
        <v>21312912368</v>
      </c>
    </row>
    <row r="587" spans="1:7" ht="17.25" customHeight="1" x14ac:dyDescent="0.2">
      <c r="A587" s="1611">
        <v>13</v>
      </c>
      <c r="B587" s="1611" t="s">
        <v>2038</v>
      </c>
      <c r="C587" s="1611" t="s">
        <v>4067</v>
      </c>
      <c r="D587" s="1612" t="s">
        <v>7555</v>
      </c>
      <c r="E587" s="1706" t="s">
        <v>7592</v>
      </c>
      <c r="F587" s="1613">
        <v>40200000</v>
      </c>
      <c r="G587" s="1613">
        <v>21353112368</v>
      </c>
    </row>
    <row r="588" spans="1:7" ht="17.25" customHeight="1" x14ac:dyDescent="0.2">
      <c r="A588" s="1611">
        <v>13</v>
      </c>
      <c r="B588" s="1611" t="s">
        <v>2041</v>
      </c>
      <c r="C588" s="1611" t="s">
        <v>4068</v>
      </c>
      <c r="D588" s="1612" t="s">
        <v>7555</v>
      </c>
      <c r="E588" s="1706" t="s">
        <v>7592</v>
      </c>
      <c r="F588" s="1613">
        <v>49400000</v>
      </c>
      <c r="G588" s="1613">
        <v>21402512368</v>
      </c>
    </row>
    <row r="589" spans="1:7" ht="17.25" customHeight="1" x14ac:dyDescent="0.2">
      <c r="A589" s="1611">
        <v>13</v>
      </c>
      <c r="B589" s="1611" t="s">
        <v>2043</v>
      </c>
      <c r="C589" s="1611" t="s">
        <v>4069</v>
      </c>
      <c r="D589" s="1612" t="s">
        <v>7555</v>
      </c>
      <c r="E589" s="1706" t="s">
        <v>7592</v>
      </c>
      <c r="F589" s="1613">
        <v>52727273</v>
      </c>
      <c r="G589" s="1613">
        <v>21455239641</v>
      </c>
    </row>
    <row r="590" spans="1:7" ht="17.25" customHeight="1" x14ac:dyDescent="0.2">
      <c r="A590" s="1611">
        <v>13</v>
      </c>
      <c r="B590" s="1611" t="s">
        <v>4070</v>
      </c>
      <c r="C590" s="1611" t="s">
        <v>4039</v>
      </c>
      <c r="D590" s="1612">
        <v>0</v>
      </c>
      <c r="E590" s="1706" t="s">
        <v>7592</v>
      </c>
      <c r="F590" s="1613">
        <v>14155000</v>
      </c>
      <c r="G590" s="1613">
        <v>21469394641</v>
      </c>
    </row>
    <row r="591" spans="1:7" ht="17.25" customHeight="1" x14ac:dyDescent="0.2">
      <c r="A591" s="1611">
        <v>13</v>
      </c>
      <c r="B591" s="1611" t="s">
        <v>2037</v>
      </c>
      <c r="C591" s="1611" t="s">
        <v>4071</v>
      </c>
      <c r="D591" s="1612" t="s">
        <v>7555</v>
      </c>
      <c r="E591" s="1706" t="s">
        <v>7592</v>
      </c>
      <c r="F591" s="1613">
        <v>36363637</v>
      </c>
      <c r="G591" s="1613">
        <v>21505758278</v>
      </c>
    </row>
    <row r="592" spans="1:7" ht="17.25" customHeight="1" x14ac:dyDescent="0.2">
      <c r="A592" s="1611">
        <v>13</v>
      </c>
      <c r="B592" s="1611" t="s">
        <v>2038</v>
      </c>
      <c r="C592" s="1611" t="s">
        <v>3836</v>
      </c>
      <c r="D592" s="1612" t="s">
        <v>7555</v>
      </c>
      <c r="E592" s="1706" t="s">
        <v>7592</v>
      </c>
      <c r="F592" s="1613">
        <v>38636363</v>
      </c>
      <c r="G592" s="1613">
        <v>21544394641</v>
      </c>
    </row>
    <row r="593" spans="1:7" ht="17.25" customHeight="1" x14ac:dyDescent="0.2">
      <c r="A593" s="1611">
        <v>13</v>
      </c>
      <c r="B593" s="1611" t="s">
        <v>2038</v>
      </c>
      <c r="C593" s="1611" t="s">
        <v>4072</v>
      </c>
      <c r="D593" s="1612" t="s">
        <v>7555</v>
      </c>
      <c r="E593" s="1706" t="s">
        <v>7592</v>
      </c>
      <c r="F593" s="1613">
        <v>40500000</v>
      </c>
      <c r="G593" s="1613">
        <v>21584894641</v>
      </c>
    </row>
    <row r="594" spans="1:7" ht="17.25" customHeight="1" x14ac:dyDescent="0.2">
      <c r="A594" s="1611">
        <v>13</v>
      </c>
      <c r="B594" s="1611" t="s">
        <v>2038</v>
      </c>
      <c r="C594" s="1611" t="s">
        <v>4073</v>
      </c>
      <c r="D594" s="1612" t="s">
        <v>7555</v>
      </c>
      <c r="E594" s="1706" t="s">
        <v>7592</v>
      </c>
      <c r="F594" s="1613">
        <v>39000000</v>
      </c>
      <c r="G594" s="1613">
        <v>21623894641</v>
      </c>
    </row>
    <row r="595" spans="1:7" ht="17.25" customHeight="1" x14ac:dyDescent="0.2">
      <c r="A595" s="1611">
        <v>13</v>
      </c>
      <c r="B595" s="1611" t="s">
        <v>2028</v>
      </c>
      <c r="C595" s="1611" t="s">
        <v>4074</v>
      </c>
      <c r="D595" s="1612" t="s">
        <v>2024</v>
      </c>
      <c r="E595" s="1706" t="s">
        <v>7592</v>
      </c>
      <c r="F595" s="1613">
        <v>14400000</v>
      </c>
      <c r="G595" s="1613">
        <v>21638294641</v>
      </c>
    </row>
    <row r="596" spans="1:7" ht="17.25" customHeight="1" x14ac:dyDescent="0.2">
      <c r="A596" s="1611">
        <v>13</v>
      </c>
      <c r="B596" s="1611" t="s">
        <v>2039</v>
      </c>
      <c r="C596" s="1611" t="s">
        <v>4075</v>
      </c>
      <c r="D596" s="1612" t="s">
        <v>7555</v>
      </c>
      <c r="E596" s="1706" t="s">
        <v>7592</v>
      </c>
      <c r="F596" s="1613">
        <v>42480000</v>
      </c>
      <c r="G596" s="1613">
        <v>21680774641</v>
      </c>
    </row>
    <row r="597" spans="1:7" ht="17.25" customHeight="1" x14ac:dyDescent="0.2">
      <c r="A597" s="1611">
        <v>13</v>
      </c>
      <c r="B597" s="1611" t="s">
        <v>2037</v>
      </c>
      <c r="C597" s="1611" t="s">
        <v>4076</v>
      </c>
      <c r="D597" s="1612" t="s">
        <v>7555</v>
      </c>
      <c r="E597" s="1706" t="s">
        <v>7592</v>
      </c>
      <c r="F597" s="1613">
        <v>36750000</v>
      </c>
      <c r="G597" s="1613">
        <v>21717524641</v>
      </c>
    </row>
    <row r="598" spans="1:7" ht="17.25" customHeight="1" x14ac:dyDescent="0.2">
      <c r="A598" s="1611">
        <v>13</v>
      </c>
      <c r="B598" s="1611" t="s">
        <v>2041</v>
      </c>
      <c r="C598" s="1611" t="s">
        <v>4077</v>
      </c>
      <c r="D598" s="1612" t="s">
        <v>7555</v>
      </c>
      <c r="E598" s="1706" t="s">
        <v>7592</v>
      </c>
      <c r="F598" s="1613">
        <v>49709091</v>
      </c>
      <c r="G598" s="1613">
        <v>21767233732</v>
      </c>
    </row>
    <row r="599" spans="1:7" ht="17.25" customHeight="1" x14ac:dyDescent="0.2">
      <c r="A599" s="1611">
        <v>13</v>
      </c>
      <c r="B599" s="1611" t="s">
        <v>2026</v>
      </c>
      <c r="C599" s="1611" t="s">
        <v>4078</v>
      </c>
      <c r="D599" s="1612" t="s">
        <v>2024</v>
      </c>
      <c r="E599" s="1706" t="s">
        <v>7592</v>
      </c>
      <c r="F599" s="1613">
        <v>29090910</v>
      </c>
      <c r="G599" s="1613">
        <v>21796324642</v>
      </c>
    </row>
    <row r="600" spans="1:7" ht="17.25" customHeight="1" x14ac:dyDescent="0.2">
      <c r="A600" s="1611">
        <v>13</v>
      </c>
      <c r="B600" s="1611" t="s">
        <v>2039</v>
      </c>
      <c r="C600" s="1611" t="s">
        <v>4079</v>
      </c>
      <c r="D600" s="1612" t="s">
        <v>7555</v>
      </c>
      <c r="E600" s="1706" t="s">
        <v>7592</v>
      </c>
      <c r="F600" s="1613">
        <v>40700000</v>
      </c>
      <c r="G600" s="1613">
        <v>21837024642</v>
      </c>
    </row>
    <row r="601" spans="1:7" ht="17.25" customHeight="1" x14ac:dyDescent="0.2">
      <c r="A601" s="1611">
        <v>13</v>
      </c>
      <c r="B601" s="1611" t="s">
        <v>2039</v>
      </c>
      <c r="C601" s="1611" t="s">
        <v>4080</v>
      </c>
      <c r="D601" s="1612" t="s">
        <v>7555</v>
      </c>
      <c r="E601" s="1706" t="s">
        <v>7592</v>
      </c>
      <c r="F601" s="1613">
        <v>43636364</v>
      </c>
      <c r="G601" s="1613">
        <v>21880661006</v>
      </c>
    </row>
    <row r="602" spans="1:7" ht="17.25" customHeight="1" x14ac:dyDescent="0.2">
      <c r="A602" s="1611">
        <v>13</v>
      </c>
      <c r="B602" s="1611" t="s">
        <v>7175</v>
      </c>
      <c r="C602" s="1611" t="s">
        <v>3890</v>
      </c>
      <c r="D602" s="1612">
        <v>0</v>
      </c>
      <c r="E602" s="1612" t="s">
        <v>2025</v>
      </c>
      <c r="F602" s="1613">
        <v>60986989</v>
      </c>
      <c r="G602" s="1613">
        <v>21941647995</v>
      </c>
    </row>
    <row r="603" spans="1:7" ht="17.25" customHeight="1" x14ac:dyDescent="0.2">
      <c r="A603" s="1611">
        <v>13</v>
      </c>
      <c r="B603" s="1611" t="s">
        <v>7176</v>
      </c>
      <c r="C603" s="1611" t="s">
        <v>4081</v>
      </c>
      <c r="D603" s="1612">
        <v>0</v>
      </c>
      <c r="E603" s="1706" t="s">
        <v>7556</v>
      </c>
      <c r="F603" s="1613">
        <v>66114048</v>
      </c>
      <c r="G603" s="1613">
        <v>22007762043</v>
      </c>
    </row>
    <row r="604" spans="1:7" ht="17.25" customHeight="1" x14ac:dyDescent="0.2">
      <c r="A604" s="1611">
        <v>13</v>
      </c>
      <c r="B604" s="1611" t="s">
        <v>7177</v>
      </c>
      <c r="C604" s="1611" t="s">
        <v>4082</v>
      </c>
      <c r="D604" s="1612">
        <v>0</v>
      </c>
      <c r="E604" s="1612" t="s">
        <v>3296</v>
      </c>
      <c r="F604" s="1613">
        <v>155625600</v>
      </c>
      <c r="G604" s="1613">
        <v>22163387643</v>
      </c>
    </row>
    <row r="605" spans="1:7" ht="17.25" customHeight="1" x14ac:dyDescent="0.2">
      <c r="A605" s="1611">
        <v>13</v>
      </c>
      <c r="B605" s="1611" t="s">
        <v>2032</v>
      </c>
      <c r="C605" s="1611" t="s">
        <v>4083</v>
      </c>
      <c r="D605" s="1612" t="s">
        <v>7555</v>
      </c>
      <c r="E605" s="1706" t="s">
        <v>7592</v>
      </c>
      <c r="F605" s="1613">
        <v>33754363</v>
      </c>
      <c r="G605" s="1613">
        <v>22197142006</v>
      </c>
    </row>
    <row r="606" spans="1:7" ht="17.25" customHeight="1" x14ac:dyDescent="0.2">
      <c r="A606" s="1611">
        <v>13</v>
      </c>
      <c r="B606" s="1611" t="s">
        <v>3601</v>
      </c>
      <c r="C606" s="1611" t="s">
        <v>4084</v>
      </c>
      <c r="D606" s="1612">
        <v>0</v>
      </c>
      <c r="E606" s="1706" t="s">
        <v>7592</v>
      </c>
      <c r="F606" s="1613">
        <v>159000000</v>
      </c>
      <c r="G606" s="1613">
        <v>22356142006</v>
      </c>
    </row>
    <row r="607" spans="1:7" ht="17.25" customHeight="1" x14ac:dyDescent="0.2">
      <c r="A607" s="1611">
        <v>13</v>
      </c>
      <c r="B607" s="1611" t="s">
        <v>2032</v>
      </c>
      <c r="C607" s="1611" t="s">
        <v>4085</v>
      </c>
      <c r="D607" s="1612" t="s">
        <v>7555</v>
      </c>
      <c r="E607" s="1706" t="s">
        <v>7592</v>
      </c>
      <c r="F607" s="1613">
        <v>35400000</v>
      </c>
      <c r="G607" s="1613">
        <v>22391542006</v>
      </c>
    </row>
    <row r="608" spans="1:7" ht="17.25" customHeight="1" x14ac:dyDescent="0.2">
      <c r="A608" s="1611">
        <v>13</v>
      </c>
      <c r="B608" s="1611" t="s">
        <v>2026</v>
      </c>
      <c r="C608" s="1611" t="s">
        <v>4086</v>
      </c>
      <c r="D608" s="1612" t="s">
        <v>2024</v>
      </c>
      <c r="E608" s="1706" t="s">
        <v>7592</v>
      </c>
      <c r="F608" s="1613">
        <v>14580909</v>
      </c>
      <c r="G608" s="1613">
        <v>22406122915</v>
      </c>
    </row>
    <row r="609" spans="1:7" ht="17.25" customHeight="1" x14ac:dyDescent="0.2">
      <c r="A609" s="1611">
        <v>13</v>
      </c>
      <c r="B609" s="1611" t="s">
        <v>2038</v>
      </c>
      <c r="C609" s="1611" t="s">
        <v>4087</v>
      </c>
      <c r="D609" s="1612" t="s">
        <v>7555</v>
      </c>
      <c r="E609" s="1706" t="s">
        <v>7592</v>
      </c>
      <c r="F609" s="1613">
        <v>40000000</v>
      </c>
      <c r="G609" s="1613">
        <v>22446122915</v>
      </c>
    </row>
    <row r="610" spans="1:7" ht="17.25" customHeight="1" x14ac:dyDescent="0.2">
      <c r="A610" s="1611">
        <v>13</v>
      </c>
      <c r="B610" s="1611" t="s">
        <v>2038</v>
      </c>
      <c r="C610" s="1611" t="s">
        <v>4088</v>
      </c>
      <c r="D610" s="1612" t="s">
        <v>7555</v>
      </c>
      <c r="E610" s="1706" t="s">
        <v>7592</v>
      </c>
      <c r="F610" s="1613">
        <v>39500000</v>
      </c>
      <c r="G610" s="1613">
        <v>22485622915</v>
      </c>
    </row>
    <row r="611" spans="1:7" ht="17.25" customHeight="1" x14ac:dyDescent="0.2">
      <c r="A611" s="1611">
        <v>13</v>
      </c>
      <c r="B611" s="1611" t="s">
        <v>3651</v>
      </c>
      <c r="C611" s="1611" t="s">
        <v>3597</v>
      </c>
      <c r="D611" s="1612">
        <v>0</v>
      </c>
      <c r="E611" s="1706" t="s">
        <v>7592</v>
      </c>
      <c r="F611" s="1613">
        <v>13764000</v>
      </c>
      <c r="G611" s="1613">
        <v>22499386915</v>
      </c>
    </row>
    <row r="612" spans="1:7" ht="17.25" customHeight="1" x14ac:dyDescent="0.2">
      <c r="A612" s="1611">
        <v>13</v>
      </c>
      <c r="B612" s="1611" t="s">
        <v>2038</v>
      </c>
      <c r="C612" s="1611" t="s">
        <v>4089</v>
      </c>
      <c r="D612" s="1612" t="s">
        <v>7555</v>
      </c>
      <c r="E612" s="1706" t="s">
        <v>7592</v>
      </c>
      <c r="F612" s="1613">
        <v>40700000</v>
      </c>
      <c r="G612" s="1613">
        <v>22540086915</v>
      </c>
    </row>
    <row r="613" spans="1:7" ht="17.25" customHeight="1" x14ac:dyDescent="0.2">
      <c r="A613" s="1611">
        <v>13</v>
      </c>
      <c r="B613" s="1611" t="s">
        <v>2038</v>
      </c>
      <c r="C613" s="1611" t="s">
        <v>4090</v>
      </c>
      <c r="D613" s="1612" t="s">
        <v>7555</v>
      </c>
      <c r="E613" s="1706" t="s">
        <v>7592</v>
      </c>
      <c r="F613" s="1613">
        <v>39000000</v>
      </c>
      <c r="G613" s="1613">
        <v>22579086915</v>
      </c>
    </row>
    <row r="614" spans="1:7" ht="17.25" customHeight="1" x14ac:dyDescent="0.2">
      <c r="A614" s="1611">
        <v>13</v>
      </c>
      <c r="B614" s="1611" t="s">
        <v>2038</v>
      </c>
      <c r="C614" s="1611" t="s">
        <v>4091</v>
      </c>
      <c r="D614" s="1612" t="s">
        <v>7555</v>
      </c>
      <c r="E614" s="1706" t="s">
        <v>7592</v>
      </c>
      <c r="F614" s="1613">
        <v>40000000</v>
      </c>
      <c r="G614" s="1613">
        <v>22619086915</v>
      </c>
    </row>
    <row r="615" spans="1:7" ht="17.25" customHeight="1" x14ac:dyDescent="0.2">
      <c r="A615" s="1611">
        <v>13</v>
      </c>
      <c r="B615" s="1611" t="s">
        <v>2038</v>
      </c>
      <c r="C615" s="1611" t="s">
        <v>3934</v>
      </c>
      <c r="D615" s="1612" t="s">
        <v>7555</v>
      </c>
      <c r="E615" s="1706" t="s">
        <v>7592</v>
      </c>
      <c r="F615" s="1613">
        <v>41000000</v>
      </c>
      <c r="G615" s="1613">
        <v>22660086915</v>
      </c>
    </row>
    <row r="616" spans="1:7" ht="17.25" customHeight="1" x14ac:dyDescent="0.2">
      <c r="A616" s="1611">
        <v>13</v>
      </c>
      <c r="B616" s="1611" t="s">
        <v>2038</v>
      </c>
      <c r="C616" s="1611" t="s">
        <v>4092</v>
      </c>
      <c r="D616" s="1612" t="s">
        <v>7555</v>
      </c>
      <c r="E616" s="1706" t="s">
        <v>7592</v>
      </c>
      <c r="F616" s="1613">
        <v>43000000</v>
      </c>
      <c r="G616" s="1613">
        <v>22703086915</v>
      </c>
    </row>
    <row r="617" spans="1:7" ht="17.25" customHeight="1" x14ac:dyDescent="0.2">
      <c r="A617" s="1611">
        <v>13</v>
      </c>
      <c r="B617" s="1611" t="s">
        <v>2037</v>
      </c>
      <c r="C617" s="1611" t="s">
        <v>4093</v>
      </c>
      <c r="D617" s="1612" t="s">
        <v>7555</v>
      </c>
      <c r="E617" s="1706" t="s">
        <v>7592</v>
      </c>
      <c r="F617" s="1613">
        <v>38633000</v>
      </c>
      <c r="G617" s="1613">
        <v>22741719915</v>
      </c>
    </row>
    <row r="618" spans="1:7" ht="17.25" customHeight="1" x14ac:dyDescent="0.2">
      <c r="A618" s="1611">
        <v>13</v>
      </c>
      <c r="B618" s="1611" t="s">
        <v>2038</v>
      </c>
      <c r="C618" s="1611" t="s">
        <v>4094</v>
      </c>
      <c r="D618" s="1612" t="s">
        <v>7555</v>
      </c>
      <c r="E618" s="1706" t="s">
        <v>7592</v>
      </c>
      <c r="F618" s="1613">
        <v>39272727</v>
      </c>
      <c r="G618" s="1613">
        <v>22780992642</v>
      </c>
    </row>
    <row r="619" spans="1:7" ht="17.25" customHeight="1" x14ac:dyDescent="0.2">
      <c r="A619" s="1611">
        <v>13</v>
      </c>
      <c r="B619" s="1611" t="s">
        <v>2038</v>
      </c>
      <c r="C619" s="1611" t="s">
        <v>4094</v>
      </c>
      <c r="D619" s="1612" t="s">
        <v>7555</v>
      </c>
      <c r="E619" s="1706" t="s">
        <v>7592</v>
      </c>
      <c r="F619" s="1613">
        <v>39272727</v>
      </c>
      <c r="G619" s="1613">
        <v>22820265369</v>
      </c>
    </row>
    <row r="620" spans="1:7" ht="17.25" customHeight="1" x14ac:dyDescent="0.2">
      <c r="A620" s="1611">
        <v>13</v>
      </c>
      <c r="B620" s="1611" t="s">
        <v>2028</v>
      </c>
      <c r="C620" s="1611" t="s">
        <v>4095</v>
      </c>
      <c r="D620" s="1612" t="s">
        <v>2024</v>
      </c>
      <c r="E620" s="1706" t="s">
        <v>7592</v>
      </c>
      <c r="F620" s="1613">
        <v>12499091</v>
      </c>
      <c r="G620" s="1613">
        <v>22832764460</v>
      </c>
    </row>
    <row r="621" spans="1:7" ht="17.25" customHeight="1" x14ac:dyDescent="0.2">
      <c r="A621" s="1611">
        <v>13</v>
      </c>
      <c r="B621" s="1611" t="s">
        <v>2037</v>
      </c>
      <c r="C621" s="1611" t="s">
        <v>4096</v>
      </c>
      <c r="D621" s="1612" t="s">
        <v>7555</v>
      </c>
      <c r="E621" s="1706" t="s">
        <v>7592</v>
      </c>
      <c r="F621" s="1613">
        <v>36000000</v>
      </c>
      <c r="G621" s="1613">
        <v>22868764460</v>
      </c>
    </row>
    <row r="622" spans="1:7" ht="17.25" customHeight="1" x14ac:dyDescent="0.2">
      <c r="A622" s="1611">
        <v>13</v>
      </c>
      <c r="B622" s="1611" t="s">
        <v>2038</v>
      </c>
      <c r="C622" s="1611" t="s">
        <v>4097</v>
      </c>
      <c r="D622" s="1612" t="s">
        <v>7555</v>
      </c>
      <c r="E622" s="1706" t="s">
        <v>7592</v>
      </c>
      <c r="F622" s="1613">
        <v>40500000</v>
      </c>
      <c r="G622" s="1613">
        <v>22909264460</v>
      </c>
    </row>
    <row r="623" spans="1:7" ht="17.25" customHeight="1" x14ac:dyDescent="0.2">
      <c r="A623" s="1611">
        <v>13</v>
      </c>
      <c r="B623" s="1611" t="s">
        <v>2038</v>
      </c>
      <c r="C623" s="1611" t="s">
        <v>4098</v>
      </c>
      <c r="D623" s="1612" t="s">
        <v>7555</v>
      </c>
      <c r="E623" s="1706" t="s">
        <v>7592</v>
      </c>
      <c r="F623" s="1613">
        <v>40500000</v>
      </c>
      <c r="G623" s="1613">
        <v>22949764460</v>
      </c>
    </row>
    <row r="624" spans="1:7" ht="17.25" customHeight="1" x14ac:dyDescent="0.2">
      <c r="A624" s="1611">
        <v>13</v>
      </c>
      <c r="B624" s="1611" t="s">
        <v>2037</v>
      </c>
      <c r="C624" s="1611" t="s">
        <v>3822</v>
      </c>
      <c r="D624" s="1612" t="s">
        <v>7555</v>
      </c>
      <c r="E624" s="1706" t="s">
        <v>7592</v>
      </c>
      <c r="F624" s="1613">
        <v>37250000</v>
      </c>
      <c r="G624" s="1613">
        <v>22987014460</v>
      </c>
    </row>
    <row r="625" spans="1:7" ht="17.25" customHeight="1" x14ac:dyDescent="0.2">
      <c r="A625" s="1611">
        <v>13</v>
      </c>
      <c r="B625" s="1611" t="s">
        <v>2027</v>
      </c>
      <c r="C625" s="1611" t="s">
        <v>4099</v>
      </c>
      <c r="D625" s="1612" t="s">
        <v>2024</v>
      </c>
      <c r="E625" s="1706" t="s">
        <v>7592</v>
      </c>
      <c r="F625" s="1613">
        <v>12480000</v>
      </c>
      <c r="G625" s="1613">
        <v>22999494460</v>
      </c>
    </row>
    <row r="626" spans="1:7" ht="17.25" customHeight="1" x14ac:dyDescent="0.2">
      <c r="A626" s="1611">
        <v>13</v>
      </c>
      <c r="B626" s="1611" t="s">
        <v>2038</v>
      </c>
      <c r="C626" s="1611" t="s">
        <v>4100</v>
      </c>
      <c r="D626" s="1612" t="s">
        <v>7555</v>
      </c>
      <c r="E626" s="1706" t="s">
        <v>7592</v>
      </c>
      <c r="F626" s="1613">
        <v>40100000</v>
      </c>
      <c r="G626" s="1613">
        <v>23039594460</v>
      </c>
    </row>
    <row r="627" spans="1:7" ht="17.25" customHeight="1" x14ac:dyDescent="0.2">
      <c r="A627" s="1611">
        <v>13</v>
      </c>
      <c r="B627" s="1611" t="s">
        <v>2027</v>
      </c>
      <c r="C627" s="1611" t="s">
        <v>3804</v>
      </c>
      <c r="D627" s="1612" t="s">
        <v>2024</v>
      </c>
      <c r="E627" s="1706" t="s">
        <v>7592</v>
      </c>
      <c r="F627" s="1613">
        <v>13300000</v>
      </c>
      <c r="G627" s="1613">
        <v>23052894460</v>
      </c>
    </row>
    <row r="628" spans="1:7" ht="17.25" customHeight="1" x14ac:dyDescent="0.2">
      <c r="A628" s="1611">
        <v>13</v>
      </c>
      <c r="B628" s="1611" t="s">
        <v>4101</v>
      </c>
      <c r="C628" s="1611" t="s">
        <v>4102</v>
      </c>
      <c r="D628" s="1612">
        <v>0</v>
      </c>
      <c r="E628" s="1706" t="s">
        <v>7592</v>
      </c>
      <c r="F628" s="1613">
        <v>16876000</v>
      </c>
      <c r="G628" s="1613">
        <v>23069770460</v>
      </c>
    </row>
    <row r="629" spans="1:7" ht="17.25" customHeight="1" x14ac:dyDescent="0.2">
      <c r="A629" s="1611">
        <v>13</v>
      </c>
      <c r="B629" s="1611" t="s">
        <v>7178</v>
      </c>
      <c r="C629" s="1611" t="s">
        <v>4082</v>
      </c>
      <c r="D629" s="1612">
        <v>0</v>
      </c>
      <c r="E629" s="1612" t="s">
        <v>3296</v>
      </c>
      <c r="F629" s="1613">
        <v>238465920</v>
      </c>
      <c r="G629" s="1613">
        <v>23308236380</v>
      </c>
    </row>
    <row r="630" spans="1:7" ht="17.25" customHeight="1" x14ac:dyDescent="0.2">
      <c r="A630" s="1611">
        <v>13</v>
      </c>
      <c r="B630" s="1611" t="s">
        <v>2038</v>
      </c>
      <c r="C630" s="1611" t="s">
        <v>4103</v>
      </c>
      <c r="D630" s="1612" t="s">
        <v>7555</v>
      </c>
      <c r="E630" s="1706" t="s">
        <v>7592</v>
      </c>
      <c r="F630" s="1613">
        <v>41500000</v>
      </c>
      <c r="G630" s="1613">
        <v>23349736380</v>
      </c>
    </row>
    <row r="631" spans="1:7" ht="17.25" customHeight="1" x14ac:dyDescent="0.2">
      <c r="A631" s="1611">
        <v>13</v>
      </c>
      <c r="B631" s="1611" t="s">
        <v>4104</v>
      </c>
      <c r="C631" s="1611" t="s">
        <v>3597</v>
      </c>
      <c r="D631" s="1612">
        <v>0</v>
      </c>
      <c r="E631" s="1706" t="s">
        <v>7592</v>
      </c>
      <c r="F631" s="1613">
        <v>84722000</v>
      </c>
      <c r="G631" s="1613">
        <v>23434458380</v>
      </c>
    </row>
    <row r="632" spans="1:7" ht="17.25" customHeight="1" x14ac:dyDescent="0.2">
      <c r="A632" s="1611">
        <v>13</v>
      </c>
      <c r="B632" s="1611" t="s">
        <v>2038</v>
      </c>
      <c r="C632" s="1611" t="s">
        <v>4105</v>
      </c>
      <c r="D632" s="1612" t="s">
        <v>7555</v>
      </c>
      <c r="E632" s="1706" t="s">
        <v>7592</v>
      </c>
      <c r="F632" s="1613">
        <v>40000000</v>
      </c>
      <c r="G632" s="1613">
        <v>23474458380</v>
      </c>
    </row>
    <row r="633" spans="1:7" ht="17.25" customHeight="1" x14ac:dyDescent="0.2">
      <c r="A633" s="1611">
        <v>13</v>
      </c>
      <c r="B633" s="1611" t="s">
        <v>2038</v>
      </c>
      <c r="C633" s="1611" t="s">
        <v>4106</v>
      </c>
      <c r="D633" s="1612" t="s">
        <v>7555</v>
      </c>
      <c r="E633" s="1706" t="s">
        <v>7592</v>
      </c>
      <c r="F633" s="1613">
        <v>40909091</v>
      </c>
      <c r="G633" s="1613">
        <v>23515367471</v>
      </c>
    </row>
    <row r="634" spans="1:7" ht="17.25" customHeight="1" x14ac:dyDescent="0.2">
      <c r="A634" s="1611">
        <v>13</v>
      </c>
      <c r="B634" s="1611" t="s">
        <v>2038</v>
      </c>
      <c r="C634" s="1611" t="s">
        <v>4107</v>
      </c>
      <c r="D634" s="1612" t="s">
        <v>7555</v>
      </c>
      <c r="E634" s="1706" t="s">
        <v>7592</v>
      </c>
      <c r="F634" s="1613">
        <v>40454546</v>
      </c>
      <c r="G634" s="1613">
        <v>23555822017</v>
      </c>
    </row>
    <row r="635" spans="1:7" ht="17.25" customHeight="1" x14ac:dyDescent="0.2">
      <c r="A635" s="1611">
        <v>13</v>
      </c>
      <c r="B635" s="1611" t="s">
        <v>2037</v>
      </c>
      <c r="C635" s="1611" t="s">
        <v>4108</v>
      </c>
      <c r="D635" s="1612" t="s">
        <v>7555</v>
      </c>
      <c r="E635" s="1706" t="s">
        <v>7592</v>
      </c>
      <c r="F635" s="1613">
        <v>37500000</v>
      </c>
      <c r="G635" s="1613">
        <v>23593322017</v>
      </c>
    </row>
    <row r="636" spans="1:7" ht="17.25" customHeight="1" x14ac:dyDescent="0.2">
      <c r="A636" s="1611">
        <v>13</v>
      </c>
      <c r="B636" s="1611" t="s">
        <v>2038</v>
      </c>
      <c r="C636" s="1611" t="s">
        <v>4109</v>
      </c>
      <c r="D636" s="1612" t="s">
        <v>7555</v>
      </c>
      <c r="E636" s="1706" t="s">
        <v>7592</v>
      </c>
      <c r="F636" s="1613">
        <v>40500000</v>
      </c>
      <c r="G636" s="1613">
        <v>23633822017</v>
      </c>
    </row>
    <row r="637" spans="1:7" ht="17.25" customHeight="1" x14ac:dyDescent="0.2">
      <c r="A637" s="1611">
        <v>13</v>
      </c>
      <c r="B637" s="1611" t="s">
        <v>3666</v>
      </c>
      <c r="C637" s="1611" t="s">
        <v>4110</v>
      </c>
      <c r="D637" s="1612">
        <v>0</v>
      </c>
      <c r="E637" s="1706" t="s">
        <v>7592</v>
      </c>
      <c r="F637" s="1613">
        <v>60500000</v>
      </c>
      <c r="G637" s="1613">
        <v>23694322017</v>
      </c>
    </row>
    <row r="638" spans="1:7" ht="17.25" customHeight="1" x14ac:dyDescent="0.2">
      <c r="A638" s="1611">
        <v>13</v>
      </c>
      <c r="B638" s="1611" t="s">
        <v>7179</v>
      </c>
      <c r="C638" s="1611" t="s">
        <v>4111</v>
      </c>
      <c r="D638" s="1612">
        <v>0</v>
      </c>
      <c r="E638" s="1706" t="s">
        <v>7592</v>
      </c>
      <c r="F638" s="1613">
        <v>31999909</v>
      </c>
      <c r="G638" s="1613">
        <v>23726321926</v>
      </c>
    </row>
    <row r="639" spans="1:7" ht="17.25" customHeight="1" x14ac:dyDescent="0.2">
      <c r="A639" s="1611">
        <v>13</v>
      </c>
      <c r="B639" s="1611" t="s">
        <v>3666</v>
      </c>
      <c r="C639" s="1611" t="s">
        <v>4112</v>
      </c>
      <c r="D639" s="1612">
        <v>0</v>
      </c>
      <c r="E639" s="1706" t="s">
        <v>7592</v>
      </c>
      <c r="F639" s="1613">
        <v>60168181</v>
      </c>
      <c r="G639" s="1613">
        <v>23786490107</v>
      </c>
    </row>
    <row r="640" spans="1:7" ht="17.25" customHeight="1" x14ac:dyDescent="0.2">
      <c r="A640" s="1611">
        <v>13</v>
      </c>
      <c r="B640" s="1611" t="s">
        <v>2028</v>
      </c>
      <c r="C640" s="1611" t="s">
        <v>4113</v>
      </c>
      <c r="D640" s="1612" t="s">
        <v>2024</v>
      </c>
      <c r="E640" s="1706" t="s">
        <v>7592</v>
      </c>
      <c r="F640" s="1613">
        <v>14000000</v>
      </c>
      <c r="G640" s="1613">
        <v>23800490107</v>
      </c>
    </row>
    <row r="641" spans="1:7" ht="17.25" customHeight="1" x14ac:dyDescent="0.2">
      <c r="A641" s="1611">
        <v>13</v>
      </c>
      <c r="B641" s="1611" t="s">
        <v>2028</v>
      </c>
      <c r="C641" s="1611" t="s">
        <v>4114</v>
      </c>
      <c r="D641" s="1612" t="s">
        <v>2024</v>
      </c>
      <c r="E641" s="1706" t="s">
        <v>7592</v>
      </c>
      <c r="F641" s="1613">
        <v>16100000</v>
      </c>
      <c r="G641" s="1613">
        <v>23816590107</v>
      </c>
    </row>
    <row r="642" spans="1:7" ht="17.25" customHeight="1" x14ac:dyDescent="0.2">
      <c r="A642" s="1611">
        <v>13</v>
      </c>
      <c r="B642" s="1611" t="s">
        <v>2041</v>
      </c>
      <c r="C642" s="1611" t="s">
        <v>4115</v>
      </c>
      <c r="D642" s="1612" t="s">
        <v>7555</v>
      </c>
      <c r="E642" s="1706" t="s">
        <v>7592</v>
      </c>
      <c r="F642" s="1613">
        <v>50000000</v>
      </c>
      <c r="G642" s="1613">
        <v>23866590107</v>
      </c>
    </row>
    <row r="643" spans="1:7" ht="17.25" customHeight="1" x14ac:dyDescent="0.2">
      <c r="A643" s="1611">
        <v>13</v>
      </c>
      <c r="B643" s="1611" t="s">
        <v>2038</v>
      </c>
      <c r="C643" s="1611" t="s">
        <v>4116</v>
      </c>
      <c r="D643" s="1612" t="s">
        <v>7555</v>
      </c>
      <c r="E643" s="1706" t="s">
        <v>7592</v>
      </c>
      <c r="F643" s="1613">
        <v>39500000</v>
      </c>
      <c r="G643" s="1613">
        <v>23906090107</v>
      </c>
    </row>
    <row r="644" spans="1:7" ht="17.25" customHeight="1" x14ac:dyDescent="0.2">
      <c r="A644" s="1611">
        <v>13</v>
      </c>
      <c r="B644" s="1611" t="s">
        <v>2028</v>
      </c>
      <c r="C644" s="1611" t="s">
        <v>4117</v>
      </c>
      <c r="D644" s="1612" t="s">
        <v>2024</v>
      </c>
      <c r="E644" s="1706" t="s">
        <v>7592</v>
      </c>
      <c r="F644" s="1613">
        <v>14500000</v>
      </c>
      <c r="G644" s="1613">
        <v>23920590107</v>
      </c>
    </row>
    <row r="645" spans="1:7" ht="17.25" customHeight="1" x14ac:dyDescent="0.2">
      <c r="A645" s="1611">
        <v>13</v>
      </c>
      <c r="B645" s="1611" t="s">
        <v>4070</v>
      </c>
      <c r="C645" s="1611" t="s">
        <v>4118</v>
      </c>
      <c r="D645" s="1612">
        <v>0</v>
      </c>
      <c r="E645" s="1706" t="s">
        <v>7592</v>
      </c>
      <c r="F645" s="1613">
        <v>4250000</v>
      </c>
      <c r="G645" s="1613">
        <v>23924840107</v>
      </c>
    </row>
    <row r="646" spans="1:7" ht="17.25" customHeight="1" x14ac:dyDescent="0.2">
      <c r="A646" s="1611">
        <v>13</v>
      </c>
      <c r="B646" s="1611" t="s">
        <v>2028</v>
      </c>
      <c r="C646" s="1611" t="s">
        <v>4119</v>
      </c>
      <c r="D646" s="1612" t="s">
        <v>2024</v>
      </c>
      <c r="E646" s="1706" t="s">
        <v>7592</v>
      </c>
      <c r="F646" s="1613">
        <v>13500000</v>
      </c>
      <c r="G646" s="1613">
        <v>23938340107</v>
      </c>
    </row>
    <row r="647" spans="1:7" ht="17.25" customHeight="1" x14ac:dyDescent="0.2">
      <c r="A647" s="1611">
        <v>13</v>
      </c>
      <c r="B647" s="1611" t="s">
        <v>2027</v>
      </c>
      <c r="C647" s="1611" t="s">
        <v>4120</v>
      </c>
      <c r="D647" s="1612" t="s">
        <v>2024</v>
      </c>
      <c r="E647" s="1706" t="s">
        <v>7592</v>
      </c>
      <c r="F647" s="1613">
        <v>13800000</v>
      </c>
      <c r="G647" s="1613">
        <v>23952140107</v>
      </c>
    </row>
    <row r="648" spans="1:7" ht="17.25" customHeight="1" x14ac:dyDescent="0.2">
      <c r="A648" s="1611">
        <v>13</v>
      </c>
      <c r="B648" s="1611" t="s">
        <v>2041</v>
      </c>
      <c r="C648" s="1611" t="s">
        <v>4118</v>
      </c>
      <c r="D648" s="1612" t="s">
        <v>7555</v>
      </c>
      <c r="E648" s="1706" t="s">
        <v>7592</v>
      </c>
      <c r="F648" s="1613">
        <v>49709091</v>
      </c>
      <c r="G648" s="1613">
        <v>24001849198</v>
      </c>
    </row>
    <row r="649" spans="1:7" ht="17.25" customHeight="1" x14ac:dyDescent="0.2">
      <c r="A649" s="1611">
        <v>13</v>
      </c>
      <c r="B649" s="1611" t="s">
        <v>4121</v>
      </c>
      <c r="C649" s="1611" t="s">
        <v>4122</v>
      </c>
      <c r="D649" s="1612">
        <v>0</v>
      </c>
      <c r="E649" s="1706" t="s">
        <v>7592</v>
      </c>
      <c r="F649" s="1613">
        <v>300000</v>
      </c>
      <c r="G649" s="1613">
        <v>24002149198</v>
      </c>
    </row>
    <row r="650" spans="1:7" ht="17.25" customHeight="1" x14ac:dyDescent="0.2">
      <c r="A650" s="1611">
        <v>13</v>
      </c>
      <c r="B650" s="1611" t="s">
        <v>2038</v>
      </c>
      <c r="C650" s="1611" t="s">
        <v>3464</v>
      </c>
      <c r="D650" s="1612" t="s">
        <v>7555</v>
      </c>
      <c r="E650" s="1706" t="s">
        <v>7592</v>
      </c>
      <c r="F650" s="1613">
        <v>40909091</v>
      </c>
      <c r="G650" s="1613">
        <v>24043058289</v>
      </c>
    </row>
    <row r="651" spans="1:7" ht="17.25" customHeight="1" x14ac:dyDescent="0.2">
      <c r="A651" s="1611">
        <v>13</v>
      </c>
      <c r="B651" s="1611" t="s">
        <v>2043</v>
      </c>
      <c r="C651" s="1611" t="s">
        <v>4123</v>
      </c>
      <c r="D651" s="1612" t="s">
        <v>7555</v>
      </c>
      <c r="E651" s="1706" t="s">
        <v>7592</v>
      </c>
      <c r="F651" s="1613">
        <v>54000000</v>
      </c>
      <c r="G651" s="1613">
        <v>24097058289</v>
      </c>
    </row>
    <row r="652" spans="1:7" ht="17.25" customHeight="1" x14ac:dyDescent="0.2">
      <c r="A652" s="1611">
        <v>13</v>
      </c>
      <c r="B652" s="1611" t="s">
        <v>2037</v>
      </c>
      <c r="C652" s="1611" t="s">
        <v>4124</v>
      </c>
      <c r="D652" s="1612" t="s">
        <v>7555</v>
      </c>
      <c r="E652" s="1706" t="s">
        <v>7592</v>
      </c>
      <c r="F652" s="1613">
        <v>36363636</v>
      </c>
      <c r="G652" s="1613">
        <v>24133421925</v>
      </c>
    </row>
    <row r="653" spans="1:7" ht="17.25" customHeight="1" x14ac:dyDescent="0.2">
      <c r="A653" s="1611">
        <v>13</v>
      </c>
      <c r="B653" s="1611" t="s">
        <v>2028</v>
      </c>
      <c r="C653" s="1611" t="s">
        <v>4125</v>
      </c>
      <c r="D653" s="1612" t="s">
        <v>2024</v>
      </c>
      <c r="E653" s="1706" t="s">
        <v>7592</v>
      </c>
      <c r="F653" s="1613">
        <v>16218182</v>
      </c>
      <c r="G653" s="1613">
        <v>24149640107</v>
      </c>
    </row>
    <row r="654" spans="1:7" ht="17.25" customHeight="1" x14ac:dyDescent="0.2">
      <c r="A654" s="1611">
        <v>13</v>
      </c>
      <c r="B654" s="1611" t="s">
        <v>2038</v>
      </c>
      <c r="C654" s="1611" t="s">
        <v>4126</v>
      </c>
      <c r="D654" s="1612" t="s">
        <v>7555</v>
      </c>
      <c r="E654" s="1706" t="s">
        <v>7592</v>
      </c>
      <c r="F654" s="1613">
        <v>40500000</v>
      </c>
      <c r="G654" s="1613">
        <v>24190140107</v>
      </c>
    </row>
    <row r="655" spans="1:7" ht="17.25" customHeight="1" x14ac:dyDescent="0.2">
      <c r="A655" s="1611">
        <v>13</v>
      </c>
      <c r="B655" s="1611" t="s">
        <v>4127</v>
      </c>
      <c r="C655" s="1611" t="s">
        <v>4122</v>
      </c>
      <c r="D655" s="1612">
        <v>0</v>
      </c>
      <c r="E655" s="1706" t="s">
        <v>7592</v>
      </c>
      <c r="F655" s="1613">
        <v>29090910</v>
      </c>
      <c r="G655" s="1613">
        <v>24219231017</v>
      </c>
    </row>
    <row r="656" spans="1:7" ht="17.25" customHeight="1" x14ac:dyDescent="0.2">
      <c r="A656" s="1611">
        <v>13</v>
      </c>
      <c r="B656" s="1611" t="s">
        <v>2038</v>
      </c>
      <c r="C656" s="1611" t="s">
        <v>4128</v>
      </c>
      <c r="D656" s="1612" t="s">
        <v>7555</v>
      </c>
      <c r="E656" s="1706" t="s">
        <v>7592</v>
      </c>
      <c r="F656" s="1613">
        <v>40909090</v>
      </c>
      <c r="G656" s="1613">
        <v>24260140107</v>
      </c>
    </row>
    <row r="657" spans="1:7" ht="17.25" customHeight="1" x14ac:dyDescent="0.2">
      <c r="A657" s="1611">
        <v>13</v>
      </c>
      <c r="B657" s="1611" t="s">
        <v>4129</v>
      </c>
      <c r="C657" s="1611" t="s">
        <v>4130</v>
      </c>
      <c r="D657" s="1612" t="s">
        <v>2024</v>
      </c>
      <c r="E657" s="1706" t="s">
        <v>7592</v>
      </c>
      <c r="F657" s="1613">
        <v>16600000</v>
      </c>
      <c r="G657" s="1613">
        <v>24276740107</v>
      </c>
    </row>
    <row r="658" spans="1:7" ht="17.25" customHeight="1" x14ac:dyDescent="0.2">
      <c r="A658" s="1611">
        <v>13</v>
      </c>
      <c r="B658" s="1611" t="s">
        <v>3883</v>
      </c>
      <c r="C658" s="1611" t="s">
        <v>4125</v>
      </c>
      <c r="D658" s="1612">
        <v>0</v>
      </c>
      <c r="E658" s="1706" t="s">
        <v>7592</v>
      </c>
      <c r="F658" s="1613">
        <v>3600000</v>
      </c>
      <c r="G658" s="1613">
        <v>24280340107</v>
      </c>
    </row>
    <row r="659" spans="1:7" ht="17.25" customHeight="1" x14ac:dyDescent="0.2">
      <c r="A659" s="1611">
        <v>13</v>
      </c>
      <c r="B659" s="1611" t="s">
        <v>4131</v>
      </c>
      <c r="C659" s="1611" t="s">
        <v>3597</v>
      </c>
      <c r="D659" s="1612">
        <v>0</v>
      </c>
      <c r="E659" s="1706" t="s">
        <v>7592</v>
      </c>
      <c r="F659" s="1613">
        <v>2940000</v>
      </c>
      <c r="G659" s="1613">
        <v>24283280107</v>
      </c>
    </row>
    <row r="660" spans="1:7" ht="17.25" customHeight="1" x14ac:dyDescent="0.2">
      <c r="A660" s="1611">
        <v>13</v>
      </c>
      <c r="B660" s="1611" t="s">
        <v>4132</v>
      </c>
      <c r="C660" s="1611" t="s">
        <v>3684</v>
      </c>
      <c r="D660" s="1612">
        <v>0</v>
      </c>
      <c r="E660" s="1706" t="s">
        <v>7592</v>
      </c>
      <c r="F660" s="1613">
        <v>38400000</v>
      </c>
      <c r="G660" s="1613">
        <v>24321680107</v>
      </c>
    </row>
    <row r="661" spans="1:7" ht="17.25" customHeight="1" x14ac:dyDescent="0.2">
      <c r="A661" s="1611">
        <v>13</v>
      </c>
      <c r="B661" s="1611" t="s">
        <v>2028</v>
      </c>
      <c r="C661" s="1611" t="s">
        <v>3804</v>
      </c>
      <c r="D661" s="1612" t="s">
        <v>2024</v>
      </c>
      <c r="E661" s="1706" t="s">
        <v>7592</v>
      </c>
      <c r="F661" s="1613">
        <v>14000000</v>
      </c>
      <c r="G661" s="1613">
        <v>24335680107</v>
      </c>
    </row>
    <row r="662" spans="1:7" ht="17.25" customHeight="1" x14ac:dyDescent="0.2">
      <c r="A662" s="1611">
        <v>13</v>
      </c>
      <c r="B662" s="1611" t="s">
        <v>2043</v>
      </c>
      <c r="C662" s="1611" t="s">
        <v>4133</v>
      </c>
      <c r="D662" s="1612" t="s">
        <v>7555</v>
      </c>
      <c r="E662" s="1706" t="s">
        <v>7592</v>
      </c>
      <c r="F662" s="1613">
        <v>50800000</v>
      </c>
      <c r="G662" s="1613">
        <v>24386480107</v>
      </c>
    </row>
    <row r="663" spans="1:7" ht="17.25" customHeight="1" x14ac:dyDescent="0.2">
      <c r="A663" s="1611">
        <v>13</v>
      </c>
      <c r="B663" s="1611" t="s">
        <v>2028</v>
      </c>
      <c r="C663" s="1611" t="s">
        <v>4134</v>
      </c>
      <c r="D663" s="1612" t="s">
        <v>2024</v>
      </c>
      <c r="E663" s="1706" t="s">
        <v>7592</v>
      </c>
      <c r="F663" s="1613">
        <v>13900000</v>
      </c>
      <c r="G663" s="1613">
        <v>24400380107</v>
      </c>
    </row>
    <row r="664" spans="1:7" ht="17.25" customHeight="1" x14ac:dyDescent="0.2">
      <c r="A664" s="1611">
        <v>13</v>
      </c>
      <c r="B664" s="1611" t="s">
        <v>2038</v>
      </c>
      <c r="C664" s="1611" t="s">
        <v>4087</v>
      </c>
      <c r="D664" s="1612" t="s">
        <v>7555</v>
      </c>
      <c r="E664" s="1706" t="s">
        <v>7592</v>
      </c>
      <c r="F664" s="1613">
        <v>40000000</v>
      </c>
      <c r="G664" s="1613">
        <v>24440380107</v>
      </c>
    </row>
    <row r="665" spans="1:7" ht="17.25" customHeight="1" x14ac:dyDescent="0.2">
      <c r="A665" s="1611">
        <v>13</v>
      </c>
      <c r="B665" s="1611" t="s">
        <v>4135</v>
      </c>
      <c r="C665" s="1611" t="s">
        <v>3618</v>
      </c>
      <c r="D665" s="1612">
        <v>0</v>
      </c>
      <c r="E665" s="1706" t="s">
        <v>7592</v>
      </c>
      <c r="F665" s="1613">
        <v>-485000</v>
      </c>
      <c r="G665" s="1613">
        <v>24439895107</v>
      </c>
    </row>
    <row r="666" spans="1:7" ht="17.25" customHeight="1" x14ac:dyDescent="0.2">
      <c r="A666" s="1611">
        <v>13</v>
      </c>
      <c r="B666" s="1611" t="s">
        <v>2038</v>
      </c>
      <c r="C666" s="1611" t="s">
        <v>3816</v>
      </c>
      <c r="D666" s="1612" t="s">
        <v>7555</v>
      </c>
      <c r="E666" s="1706" t="s">
        <v>7592</v>
      </c>
      <c r="F666" s="1613">
        <v>40500000</v>
      </c>
      <c r="G666" s="1613">
        <v>24480395107</v>
      </c>
    </row>
    <row r="667" spans="1:7" ht="17.25" customHeight="1" x14ac:dyDescent="0.2">
      <c r="A667" s="1611">
        <v>13</v>
      </c>
      <c r="B667" s="1611" t="s">
        <v>2038</v>
      </c>
      <c r="C667" s="1611" t="s">
        <v>4136</v>
      </c>
      <c r="D667" s="1612" t="s">
        <v>7555</v>
      </c>
      <c r="E667" s="1706" t="s">
        <v>7592</v>
      </c>
      <c r="F667" s="1613">
        <v>40500000</v>
      </c>
      <c r="G667" s="1613">
        <v>24520895107</v>
      </c>
    </row>
    <row r="668" spans="1:7" ht="17.25" customHeight="1" x14ac:dyDescent="0.2">
      <c r="A668" s="1611">
        <v>13</v>
      </c>
      <c r="B668" s="1611" t="s">
        <v>2034</v>
      </c>
      <c r="C668" s="1611" t="s">
        <v>4137</v>
      </c>
      <c r="D668" s="1612" t="s">
        <v>7555</v>
      </c>
      <c r="E668" s="1706" t="s">
        <v>7592</v>
      </c>
      <c r="F668" s="1613">
        <v>41053637</v>
      </c>
      <c r="G668" s="1613">
        <v>24561948744</v>
      </c>
    </row>
    <row r="669" spans="1:7" ht="17.25" customHeight="1" x14ac:dyDescent="0.2">
      <c r="A669" s="1611">
        <v>13</v>
      </c>
      <c r="B669" s="1611" t="s">
        <v>2037</v>
      </c>
      <c r="C669" s="1611" t="s">
        <v>4138</v>
      </c>
      <c r="D669" s="1612" t="s">
        <v>7555</v>
      </c>
      <c r="E669" s="1706" t="s">
        <v>7592</v>
      </c>
      <c r="F669" s="1613">
        <v>38450000</v>
      </c>
      <c r="G669" s="1613">
        <v>24600398744</v>
      </c>
    </row>
    <row r="670" spans="1:7" ht="17.25" customHeight="1" x14ac:dyDescent="0.2">
      <c r="A670" s="1611">
        <v>13</v>
      </c>
      <c r="B670" s="1611" t="s">
        <v>2028</v>
      </c>
      <c r="C670" s="1611" t="s">
        <v>4139</v>
      </c>
      <c r="D670" s="1612" t="s">
        <v>2024</v>
      </c>
      <c r="E670" s="1706" t="s">
        <v>7592</v>
      </c>
      <c r="F670" s="1613">
        <v>15000000</v>
      </c>
      <c r="G670" s="1613">
        <v>24615398744</v>
      </c>
    </row>
    <row r="671" spans="1:7" ht="17.25" customHeight="1" x14ac:dyDescent="0.2">
      <c r="A671" s="1611">
        <v>13</v>
      </c>
      <c r="B671" s="1611" t="s">
        <v>2062</v>
      </c>
      <c r="C671" s="1611" t="s">
        <v>4064</v>
      </c>
      <c r="D671" s="1612" t="s">
        <v>2023</v>
      </c>
      <c r="E671" s="1612" t="s">
        <v>3295</v>
      </c>
      <c r="F671" s="1613">
        <v>109141876</v>
      </c>
      <c r="G671" s="1613">
        <v>24724540620</v>
      </c>
    </row>
    <row r="672" spans="1:7" ht="17.25" customHeight="1" x14ac:dyDescent="0.2">
      <c r="A672" s="1611">
        <v>13</v>
      </c>
      <c r="B672" s="1611" t="s">
        <v>2038</v>
      </c>
      <c r="C672" s="1611" t="s">
        <v>4140</v>
      </c>
      <c r="D672" s="1612" t="s">
        <v>7555</v>
      </c>
      <c r="E672" s="1706" t="s">
        <v>7592</v>
      </c>
      <c r="F672" s="1613">
        <v>39300000</v>
      </c>
      <c r="G672" s="1613">
        <v>24763840620</v>
      </c>
    </row>
    <row r="673" spans="1:7" ht="17.25" customHeight="1" x14ac:dyDescent="0.2">
      <c r="A673" s="1611">
        <v>13</v>
      </c>
      <c r="B673" s="1611" t="s">
        <v>2038</v>
      </c>
      <c r="C673" s="1611" t="s">
        <v>4141</v>
      </c>
      <c r="D673" s="1612" t="s">
        <v>7555</v>
      </c>
      <c r="E673" s="1706" t="s">
        <v>7592</v>
      </c>
      <c r="F673" s="1613">
        <v>40000000</v>
      </c>
      <c r="G673" s="1613">
        <v>24803840620</v>
      </c>
    </row>
    <row r="674" spans="1:7" ht="17.25" customHeight="1" x14ac:dyDescent="0.2">
      <c r="A674" s="1611">
        <v>13</v>
      </c>
      <c r="B674" s="1611" t="s">
        <v>2038</v>
      </c>
      <c r="C674" s="1611" t="s">
        <v>4142</v>
      </c>
      <c r="D674" s="1612" t="s">
        <v>7555</v>
      </c>
      <c r="E674" s="1706" t="s">
        <v>7592</v>
      </c>
      <c r="F674" s="1613">
        <v>40909091</v>
      </c>
      <c r="G674" s="1613">
        <v>24844749711</v>
      </c>
    </row>
    <row r="675" spans="1:7" ht="17.25" customHeight="1" x14ac:dyDescent="0.2">
      <c r="A675" s="1611">
        <v>13</v>
      </c>
      <c r="B675" s="1611" t="s">
        <v>2045</v>
      </c>
      <c r="C675" s="1611" t="s">
        <v>4143</v>
      </c>
      <c r="D675" s="1612" t="s">
        <v>7555</v>
      </c>
      <c r="E675" s="1706" t="s">
        <v>7592</v>
      </c>
      <c r="F675" s="1613">
        <v>81700000</v>
      </c>
      <c r="G675" s="1613">
        <v>24926449711</v>
      </c>
    </row>
    <row r="676" spans="1:7" ht="17.25" customHeight="1" x14ac:dyDescent="0.2">
      <c r="A676" s="1611">
        <v>13</v>
      </c>
      <c r="B676" s="1611" t="s">
        <v>2039</v>
      </c>
      <c r="C676" s="1611" t="s">
        <v>3436</v>
      </c>
      <c r="D676" s="1612" t="s">
        <v>7555</v>
      </c>
      <c r="E676" s="1706" t="s">
        <v>7592</v>
      </c>
      <c r="F676" s="1613">
        <v>44194545</v>
      </c>
      <c r="G676" s="1613">
        <v>24970644256</v>
      </c>
    </row>
    <row r="677" spans="1:7" ht="17.25" customHeight="1" x14ac:dyDescent="0.2">
      <c r="A677" s="1611">
        <v>13</v>
      </c>
      <c r="B677" s="1611" t="s">
        <v>2038</v>
      </c>
      <c r="C677" s="1611" t="s">
        <v>4144</v>
      </c>
      <c r="D677" s="1612" t="s">
        <v>7555</v>
      </c>
      <c r="E677" s="1706" t="s">
        <v>7592</v>
      </c>
      <c r="F677" s="1613">
        <v>39500000</v>
      </c>
      <c r="G677" s="1613">
        <v>25010144256</v>
      </c>
    </row>
    <row r="678" spans="1:7" ht="17.25" customHeight="1" x14ac:dyDescent="0.2">
      <c r="A678" s="1611">
        <v>13</v>
      </c>
      <c r="B678" s="1611" t="s">
        <v>2038</v>
      </c>
      <c r="C678" s="1611" t="s">
        <v>4145</v>
      </c>
      <c r="D678" s="1612" t="s">
        <v>7555</v>
      </c>
      <c r="E678" s="1706" t="s">
        <v>7592</v>
      </c>
      <c r="F678" s="1613">
        <v>38500000</v>
      </c>
      <c r="G678" s="1613">
        <v>25048644256</v>
      </c>
    </row>
    <row r="679" spans="1:7" ht="17.25" customHeight="1" x14ac:dyDescent="0.2">
      <c r="A679" s="1611">
        <v>13</v>
      </c>
      <c r="B679" s="1611" t="s">
        <v>2030</v>
      </c>
      <c r="C679" s="1611" t="s">
        <v>4146</v>
      </c>
      <c r="D679" s="1612" t="s">
        <v>7555</v>
      </c>
      <c r="E679" s="1706" t="s">
        <v>7592</v>
      </c>
      <c r="F679" s="1613">
        <v>36000000</v>
      </c>
      <c r="G679" s="1613">
        <v>25084644256</v>
      </c>
    </row>
    <row r="680" spans="1:7" ht="17.25" customHeight="1" x14ac:dyDescent="0.2">
      <c r="A680" s="1611">
        <v>13</v>
      </c>
      <c r="B680" s="1611" t="s">
        <v>2027</v>
      </c>
      <c r="C680" s="1611" t="s">
        <v>4147</v>
      </c>
      <c r="D680" s="1612" t="s">
        <v>2024</v>
      </c>
      <c r="E680" s="1706" t="s">
        <v>7592</v>
      </c>
      <c r="F680" s="1613">
        <v>12500000</v>
      </c>
      <c r="G680" s="1613">
        <v>25097144256</v>
      </c>
    </row>
    <row r="681" spans="1:7" ht="17.25" customHeight="1" x14ac:dyDescent="0.2">
      <c r="A681" s="1611">
        <v>13</v>
      </c>
      <c r="B681" s="1611" t="s">
        <v>2043</v>
      </c>
      <c r="C681" s="1611" t="s">
        <v>4148</v>
      </c>
      <c r="D681" s="1612" t="s">
        <v>7555</v>
      </c>
      <c r="E681" s="1706" t="s">
        <v>7592</v>
      </c>
      <c r="F681" s="1613">
        <v>52000000</v>
      </c>
      <c r="G681" s="1613">
        <v>25149144256</v>
      </c>
    </row>
    <row r="682" spans="1:7" ht="17.25" customHeight="1" x14ac:dyDescent="0.2">
      <c r="A682" s="1611">
        <v>13</v>
      </c>
      <c r="B682" s="1611" t="s">
        <v>2038</v>
      </c>
      <c r="C682" s="1611" t="s">
        <v>4149</v>
      </c>
      <c r="D682" s="1612" t="s">
        <v>7555</v>
      </c>
      <c r="E682" s="1706" t="s">
        <v>7568</v>
      </c>
      <c r="F682" s="1613">
        <v>40500000</v>
      </c>
      <c r="G682" s="1613">
        <v>25189644256</v>
      </c>
    </row>
    <row r="683" spans="1:7" ht="17.25" customHeight="1" x14ac:dyDescent="0.2">
      <c r="A683" s="1611">
        <v>13</v>
      </c>
      <c r="B683" s="1611" t="s">
        <v>2038</v>
      </c>
      <c r="C683" s="1611" t="s">
        <v>4149</v>
      </c>
      <c r="D683" s="1612" t="s">
        <v>7555</v>
      </c>
      <c r="E683" s="1706" t="s">
        <v>7568</v>
      </c>
      <c r="F683" s="1613">
        <v>40500000</v>
      </c>
      <c r="G683" s="1613">
        <v>25230144256</v>
      </c>
    </row>
    <row r="684" spans="1:7" ht="17.25" customHeight="1" x14ac:dyDescent="0.2">
      <c r="A684" s="1611">
        <v>13</v>
      </c>
      <c r="B684" s="1611" t="s">
        <v>2027</v>
      </c>
      <c r="C684" s="1611" t="s">
        <v>4150</v>
      </c>
      <c r="D684" s="1612" t="s">
        <v>2024</v>
      </c>
      <c r="E684" s="1706" t="s">
        <v>7592</v>
      </c>
      <c r="F684" s="1613">
        <v>14200000</v>
      </c>
      <c r="G684" s="1613">
        <v>25244344256</v>
      </c>
    </row>
    <row r="685" spans="1:7" ht="17.25" customHeight="1" x14ac:dyDescent="0.2">
      <c r="A685" s="1611">
        <v>13</v>
      </c>
      <c r="B685" s="1611" t="s">
        <v>2027</v>
      </c>
      <c r="C685" s="1611" t="s">
        <v>4094</v>
      </c>
      <c r="D685" s="1612" t="s">
        <v>2024</v>
      </c>
      <c r="E685" s="1706" t="s">
        <v>7592</v>
      </c>
      <c r="F685" s="1613">
        <v>13200000</v>
      </c>
      <c r="G685" s="1613">
        <v>25257544256</v>
      </c>
    </row>
    <row r="686" spans="1:7" ht="17.25" customHeight="1" x14ac:dyDescent="0.2">
      <c r="A686" s="1611">
        <v>13</v>
      </c>
      <c r="B686" s="1611" t="s">
        <v>2027</v>
      </c>
      <c r="C686" s="1611" t="s">
        <v>4151</v>
      </c>
      <c r="D686" s="1612" t="s">
        <v>2024</v>
      </c>
      <c r="E686" s="1706" t="s">
        <v>7592</v>
      </c>
      <c r="F686" s="1613">
        <v>14320000</v>
      </c>
      <c r="G686" s="1613">
        <v>25271864256</v>
      </c>
    </row>
    <row r="687" spans="1:7" ht="17.25" customHeight="1" x14ac:dyDescent="0.2">
      <c r="A687" s="1611">
        <v>13</v>
      </c>
      <c r="B687" s="1611" t="s">
        <v>4152</v>
      </c>
      <c r="C687" s="1611" t="s">
        <v>4153</v>
      </c>
      <c r="D687" s="1612">
        <v>0</v>
      </c>
      <c r="E687" s="1706" t="s">
        <v>7592</v>
      </c>
      <c r="F687" s="1613">
        <v>10750000</v>
      </c>
      <c r="G687" s="1613">
        <v>25282614256</v>
      </c>
    </row>
    <row r="688" spans="1:7" ht="17.25" customHeight="1" x14ac:dyDescent="0.2">
      <c r="A688" s="1611">
        <v>13</v>
      </c>
      <c r="B688" s="1611" t="s">
        <v>2028</v>
      </c>
      <c r="C688" s="1611" t="s">
        <v>4154</v>
      </c>
      <c r="D688" s="1612" t="s">
        <v>2024</v>
      </c>
      <c r="E688" s="1706" t="s">
        <v>7592</v>
      </c>
      <c r="F688" s="1613">
        <v>15035455</v>
      </c>
      <c r="G688" s="1613">
        <v>25297649711</v>
      </c>
    </row>
    <row r="689" spans="1:7" ht="17.25" customHeight="1" x14ac:dyDescent="0.2">
      <c r="A689" s="1611">
        <v>13</v>
      </c>
      <c r="B689" s="1611" t="s">
        <v>2028</v>
      </c>
      <c r="C689" s="1611" t="s">
        <v>4155</v>
      </c>
      <c r="D689" s="1612" t="s">
        <v>2024</v>
      </c>
      <c r="E689" s="1706" t="s">
        <v>7592</v>
      </c>
      <c r="F689" s="1613">
        <v>15000000</v>
      </c>
      <c r="G689" s="1613">
        <v>25312649711</v>
      </c>
    </row>
    <row r="690" spans="1:7" ht="17.25" customHeight="1" x14ac:dyDescent="0.2">
      <c r="A690" s="1611">
        <v>13</v>
      </c>
      <c r="B690" s="1611" t="s">
        <v>7180</v>
      </c>
      <c r="C690" s="1611" t="s">
        <v>4156</v>
      </c>
      <c r="D690" s="1612">
        <v>0</v>
      </c>
      <c r="E690" s="1706" t="s">
        <v>7592</v>
      </c>
      <c r="F690" s="1613">
        <v>6041818</v>
      </c>
      <c r="G690" s="1613">
        <v>25318691529</v>
      </c>
    </row>
    <row r="691" spans="1:7" ht="17.25" customHeight="1" x14ac:dyDescent="0.2">
      <c r="A691" s="1611">
        <v>13</v>
      </c>
      <c r="B691" s="1611" t="s">
        <v>2038</v>
      </c>
      <c r="C691" s="1611" t="s">
        <v>4157</v>
      </c>
      <c r="D691" s="1612" t="s">
        <v>7555</v>
      </c>
      <c r="E691" s="1706" t="s">
        <v>7592</v>
      </c>
      <c r="F691" s="1613">
        <v>40909091</v>
      </c>
      <c r="G691" s="1613">
        <v>25359600620</v>
      </c>
    </row>
    <row r="692" spans="1:7" ht="17.25" customHeight="1" x14ac:dyDescent="0.2">
      <c r="A692" s="1611">
        <v>13</v>
      </c>
      <c r="B692" s="1611" t="s">
        <v>2037</v>
      </c>
      <c r="C692" s="1611" t="s">
        <v>4138</v>
      </c>
      <c r="D692" s="1612" t="s">
        <v>7555</v>
      </c>
      <c r="E692" s="1706" t="s">
        <v>7592</v>
      </c>
      <c r="F692" s="1613">
        <v>38450000</v>
      </c>
      <c r="G692" s="1613">
        <v>25398050620</v>
      </c>
    </row>
    <row r="693" spans="1:7" ht="17.25" customHeight="1" x14ac:dyDescent="0.2">
      <c r="A693" s="1611">
        <v>13</v>
      </c>
      <c r="B693" s="1611" t="s">
        <v>2027</v>
      </c>
      <c r="C693" s="1611" t="s">
        <v>4158</v>
      </c>
      <c r="D693" s="1612" t="s">
        <v>2024</v>
      </c>
      <c r="E693" s="1706" t="s">
        <v>7592</v>
      </c>
      <c r="F693" s="1613">
        <v>14272727</v>
      </c>
      <c r="G693" s="1613">
        <v>25412323347</v>
      </c>
    </row>
    <row r="694" spans="1:7" ht="17.25" customHeight="1" x14ac:dyDescent="0.2">
      <c r="A694" s="1611">
        <v>13</v>
      </c>
      <c r="B694" s="1611" t="s">
        <v>2039</v>
      </c>
      <c r="C694" s="1611" t="s">
        <v>4159</v>
      </c>
      <c r="D694" s="1612" t="s">
        <v>7555</v>
      </c>
      <c r="E694" s="1706" t="s">
        <v>7592</v>
      </c>
      <c r="F694" s="1613">
        <v>43636363</v>
      </c>
      <c r="G694" s="1613">
        <v>25455959710</v>
      </c>
    </row>
    <row r="695" spans="1:7" ht="17.25" customHeight="1" x14ac:dyDescent="0.2">
      <c r="A695" s="1611">
        <v>13</v>
      </c>
      <c r="B695" s="1611" t="s">
        <v>2038</v>
      </c>
      <c r="C695" s="1611" t="s">
        <v>4160</v>
      </c>
      <c r="D695" s="1612" t="s">
        <v>7555</v>
      </c>
      <c r="E695" s="1706" t="s">
        <v>7592</v>
      </c>
      <c r="F695" s="1613">
        <v>41141000</v>
      </c>
      <c r="G695" s="1613">
        <v>25497100710</v>
      </c>
    </row>
    <row r="696" spans="1:7" ht="17.25" customHeight="1" x14ac:dyDescent="0.2">
      <c r="A696" s="1611">
        <v>13</v>
      </c>
      <c r="B696" s="1611" t="s">
        <v>2037</v>
      </c>
      <c r="C696" s="1611" t="s">
        <v>4138</v>
      </c>
      <c r="D696" s="1612" t="s">
        <v>7555</v>
      </c>
      <c r="E696" s="1706" t="s">
        <v>7592</v>
      </c>
      <c r="F696" s="1613">
        <v>-38450000</v>
      </c>
      <c r="G696" s="1613">
        <v>25458650710</v>
      </c>
    </row>
    <row r="697" spans="1:7" ht="17.25" customHeight="1" x14ac:dyDescent="0.2">
      <c r="A697" s="1611">
        <v>13</v>
      </c>
      <c r="B697" s="1611" t="s">
        <v>2047</v>
      </c>
      <c r="C697" s="1611" t="s">
        <v>4161</v>
      </c>
      <c r="D697" s="1612" t="s">
        <v>7555</v>
      </c>
      <c r="E697" s="1706" t="s">
        <v>7592</v>
      </c>
      <c r="F697" s="1613">
        <v>108000000</v>
      </c>
      <c r="G697" s="1613">
        <v>25566650710</v>
      </c>
    </row>
    <row r="698" spans="1:7" ht="17.25" customHeight="1" x14ac:dyDescent="0.2">
      <c r="A698" s="1611">
        <v>13</v>
      </c>
      <c r="B698" s="1611" t="s">
        <v>2043</v>
      </c>
      <c r="C698" s="1611" t="s">
        <v>4162</v>
      </c>
      <c r="D698" s="1612" t="s">
        <v>7555</v>
      </c>
      <c r="E698" s="1706" t="s">
        <v>7592</v>
      </c>
      <c r="F698" s="1613">
        <v>53000000</v>
      </c>
      <c r="G698" s="1613">
        <v>25619650710</v>
      </c>
    </row>
    <row r="699" spans="1:7" ht="17.25" customHeight="1" x14ac:dyDescent="0.2">
      <c r="A699" s="1611">
        <v>13</v>
      </c>
      <c r="B699" s="1611" t="s">
        <v>2038</v>
      </c>
      <c r="C699" s="1611" t="s">
        <v>4163</v>
      </c>
      <c r="D699" s="1612" t="s">
        <v>7555</v>
      </c>
      <c r="E699" s="1706" t="s">
        <v>7592</v>
      </c>
      <c r="F699" s="1613">
        <v>40909091</v>
      </c>
      <c r="G699" s="1613">
        <v>25660559801</v>
      </c>
    </row>
    <row r="700" spans="1:7" ht="17.25" customHeight="1" x14ac:dyDescent="0.2">
      <c r="A700" s="1611">
        <v>13</v>
      </c>
      <c r="B700" s="1611" t="s">
        <v>2038</v>
      </c>
      <c r="C700" s="1611" t="s">
        <v>4164</v>
      </c>
      <c r="D700" s="1612" t="s">
        <v>7555</v>
      </c>
      <c r="E700" s="1706" t="s">
        <v>7592</v>
      </c>
      <c r="F700" s="1613">
        <v>40500000</v>
      </c>
      <c r="G700" s="1613">
        <v>25701059801</v>
      </c>
    </row>
    <row r="701" spans="1:7" ht="17.25" customHeight="1" x14ac:dyDescent="0.2">
      <c r="A701" s="1611">
        <v>13</v>
      </c>
      <c r="B701" s="1611" t="s">
        <v>2038</v>
      </c>
      <c r="C701" s="1611" t="s">
        <v>4165</v>
      </c>
      <c r="D701" s="1612" t="s">
        <v>7555</v>
      </c>
      <c r="E701" s="1706" t="s">
        <v>7592</v>
      </c>
      <c r="F701" s="1613">
        <v>40454545</v>
      </c>
      <c r="G701" s="1613">
        <v>25741514346</v>
      </c>
    </row>
    <row r="702" spans="1:7" ht="17.25" customHeight="1" x14ac:dyDescent="0.2">
      <c r="A702" s="1611">
        <v>13</v>
      </c>
      <c r="B702" s="1611" t="s">
        <v>2041</v>
      </c>
      <c r="C702" s="1611" t="s">
        <v>4166</v>
      </c>
      <c r="D702" s="1612" t="s">
        <v>7555</v>
      </c>
      <c r="E702" s="1706" t="s">
        <v>7592</v>
      </c>
      <c r="F702" s="1613">
        <v>50000000</v>
      </c>
      <c r="G702" s="1613">
        <v>25791514346</v>
      </c>
    </row>
    <row r="703" spans="1:7" ht="17.25" customHeight="1" x14ac:dyDescent="0.2">
      <c r="A703" s="1611">
        <v>13</v>
      </c>
      <c r="B703" s="1611" t="s">
        <v>3666</v>
      </c>
      <c r="C703" s="1611" t="s">
        <v>4167</v>
      </c>
      <c r="D703" s="1612">
        <v>0</v>
      </c>
      <c r="E703" s="1706" t="s">
        <v>7592</v>
      </c>
      <c r="F703" s="1613">
        <v>60500000</v>
      </c>
      <c r="G703" s="1613">
        <v>25852014346</v>
      </c>
    </row>
    <row r="704" spans="1:7" ht="17.25" customHeight="1" x14ac:dyDescent="0.2">
      <c r="A704" s="1611">
        <v>13</v>
      </c>
      <c r="B704" s="1611" t="s">
        <v>2838</v>
      </c>
      <c r="C704" s="1611" t="s">
        <v>3722</v>
      </c>
      <c r="D704" s="1612" t="s">
        <v>2024</v>
      </c>
      <c r="E704" s="1706" t="s">
        <v>7592</v>
      </c>
      <c r="F704" s="1613">
        <v>25150000</v>
      </c>
      <c r="G704" s="1613">
        <v>25877164346</v>
      </c>
    </row>
    <row r="705" spans="1:7" ht="17.25" customHeight="1" x14ac:dyDescent="0.2">
      <c r="A705" s="1611">
        <v>13</v>
      </c>
      <c r="B705" s="1611" t="s">
        <v>4168</v>
      </c>
      <c r="C705" s="1611" t="s">
        <v>3597</v>
      </c>
      <c r="D705" s="1612">
        <v>0</v>
      </c>
      <c r="E705" s="1706" t="s">
        <v>7592</v>
      </c>
      <c r="F705" s="1613">
        <v>6418000</v>
      </c>
      <c r="G705" s="1613">
        <v>25883582346</v>
      </c>
    </row>
    <row r="706" spans="1:7" ht="17.25" customHeight="1" x14ac:dyDescent="0.2">
      <c r="A706" s="1611">
        <v>13</v>
      </c>
      <c r="B706" s="1611" t="s">
        <v>4169</v>
      </c>
      <c r="C706" s="1611" t="s">
        <v>4170</v>
      </c>
      <c r="D706" s="1612">
        <v>0</v>
      </c>
      <c r="E706" s="1706" t="s">
        <v>7592</v>
      </c>
      <c r="F706" s="1613">
        <v>130160000</v>
      </c>
      <c r="G706" s="1613">
        <v>26013742346</v>
      </c>
    </row>
    <row r="707" spans="1:7" ht="17.25" customHeight="1" x14ac:dyDescent="0.2">
      <c r="A707" s="1611">
        <v>13</v>
      </c>
      <c r="B707" s="1611" t="s">
        <v>2027</v>
      </c>
      <c r="C707" s="1611" t="s">
        <v>3870</v>
      </c>
      <c r="D707" s="1612" t="s">
        <v>2024</v>
      </c>
      <c r="E707" s="1706" t="s">
        <v>7592</v>
      </c>
      <c r="F707" s="1613">
        <v>13600000</v>
      </c>
      <c r="G707" s="1613">
        <v>26027342346</v>
      </c>
    </row>
    <row r="708" spans="1:7" ht="17.25" customHeight="1" x14ac:dyDescent="0.2">
      <c r="A708" s="1611">
        <v>13</v>
      </c>
      <c r="B708" s="1611" t="s">
        <v>7181</v>
      </c>
      <c r="C708" s="1611" t="s">
        <v>4171</v>
      </c>
      <c r="D708" s="1612">
        <v>0</v>
      </c>
      <c r="E708" s="1706" t="s">
        <v>7592</v>
      </c>
      <c r="F708" s="1613">
        <v>8907409</v>
      </c>
      <c r="G708" s="1613">
        <v>26036249755</v>
      </c>
    </row>
    <row r="709" spans="1:7" ht="17.25" customHeight="1" x14ac:dyDescent="0.2">
      <c r="A709" s="1611">
        <v>13</v>
      </c>
      <c r="B709" s="1611" t="s">
        <v>2030</v>
      </c>
      <c r="C709" s="1611" t="s">
        <v>4171</v>
      </c>
      <c r="D709" s="1612" t="s">
        <v>7555</v>
      </c>
      <c r="E709" s="1706" t="s">
        <v>7592</v>
      </c>
      <c r="F709" s="1613">
        <v>-8907409</v>
      </c>
      <c r="G709" s="1613">
        <v>26027342346</v>
      </c>
    </row>
    <row r="710" spans="1:7" ht="17.25" customHeight="1" x14ac:dyDescent="0.2">
      <c r="A710" s="1611">
        <v>13</v>
      </c>
      <c r="B710" s="1611" t="s">
        <v>2030</v>
      </c>
      <c r="C710" s="1611" t="s">
        <v>4171</v>
      </c>
      <c r="D710" s="1612" t="s">
        <v>7555</v>
      </c>
      <c r="E710" s="1706" t="s">
        <v>7592</v>
      </c>
      <c r="F710" s="1613">
        <v>8907409</v>
      </c>
      <c r="G710" s="1613">
        <v>26036249755</v>
      </c>
    </row>
    <row r="711" spans="1:7" ht="17.25" customHeight="1" x14ac:dyDescent="0.2">
      <c r="A711" s="1611">
        <v>13</v>
      </c>
      <c r="B711" s="1611" t="s">
        <v>2028</v>
      </c>
      <c r="C711" s="1611" t="s">
        <v>4172</v>
      </c>
      <c r="D711" s="1612" t="s">
        <v>2024</v>
      </c>
      <c r="E711" s="1706" t="s">
        <v>7592</v>
      </c>
      <c r="F711" s="1613">
        <v>16190000</v>
      </c>
      <c r="G711" s="1613">
        <v>26052439755</v>
      </c>
    </row>
    <row r="712" spans="1:7" ht="17.25" customHeight="1" x14ac:dyDescent="0.2">
      <c r="A712" s="1611">
        <v>13</v>
      </c>
      <c r="B712" s="1611" t="s">
        <v>7182</v>
      </c>
      <c r="C712" s="1611" t="s">
        <v>214</v>
      </c>
      <c r="D712" s="1612">
        <v>0</v>
      </c>
      <c r="E712" s="1706" t="s">
        <v>7592</v>
      </c>
      <c r="F712" s="1613">
        <v>60112724</v>
      </c>
      <c r="G712" s="1613">
        <v>26112552479</v>
      </c>
    </row>
    <row r="713" spans="1:7" ht="17.25" customHeight="1" x14ac:dyDescent="0.2">
      <c r="A713" s="1611">
        <v>13</v>
      </c>
      <c r="B713" s="1611" t="s">
        <v>7183</v>
      </c>
      <c r="C713" s="1611" t="s">
        <v>4015</v>
      </c>
      <c r="D713" s="1612">
        <v>0</v>
      </c>
      <c r="E713" s="1706" t="s">
        <v>7592</v>
      </c>
      <c r="F713" s="1613">
        <v>18266000</v>
      </c>
      <c r="G713" s="1613">
        <v>26130818479</v>
      </c>
    </row>
    <row r="714" spans="1:7" ht="17.25" customHeight="1" x14ac:dyDescent="0.2">
      <c r="A714" s="1611">
        <v>13</v>
      </c>
      <c r="B714" s="1611" t="s">
        <v>2028</v>
      </c>
      <c r="C714" s="1611" t="s">
        <v>4173</v>
      </c>
      <c r="D714" s="1612" t="s">
        <v>2024</v>
      </c>
      <c r="E714" s="1706" t="s">
        <v>7592</v>
      </c>
      <c r="F714" s="1613">
        <v>14260000</v>
      </c>
      <c r="G714" s="1613">
        <v>26145078479</v>
      </c>
    </row>
    <row r="715" spans="1:7" ht="17.25" customHeight="1" x14ac:dyDescent="0.2">
      <c r="A715" s="1611">
        <v>13</v>
      </c>
      <c r="B715" s="1611" t="s">
        <v>2038</v>
      </c>
      <c r="C715" s="1611" t="s">
        <v>3646</v>
      </c>
      <c r="D715" s="1612" t="s">
        <v>7555</v>
      </c>
      <c r="E715" s="1706" t="s">
        <v>7592</v>
      </c>
      <c r="F715" s="1613">
        <v>37727273</v>
      </c>
      <c r="G715" s="1613">
        <v>26182805752</v>
      </c>
    </row>
    <row r="716" spans="1:7" ht="17.25" customHeight="1" x14ac:dyDescent="0.2">
      <c r="A716" s="1611">
        <v>13</v>
      </c>
      <c r="B716" s="1611" t="s">
        <v>4174</v>
      </c>
      <c r="C716" s="1611" t="s">
        <v>3597</v>
      </c>
      <c r="D716" s="1612">
        <v>0</v>
      </c>
      <c r="E716" s="1706" t="s">
        <v>7592</v>
      </c>
      <c r="F716" s="1613">
        <v>25250000</v>
      </c>
      <c r="G716" s="1613">
        <v>26208055752</v>
      </c>
    </row>
    <row r="717" spans="1:7" ht="17.25" customHeight="1" x14ac:dyDescent="0.2">
      <c r="A717" s="1611">
        <v>13</v>
      </c>
      <c r="B717" s="1611" t="s">
        <v>7176</v>
      </c>
      <c r="C717" s="1611" t="s">
        <v>4061</v>
      </c>
      <c r="D717" s="1612">
        <v>0</v>
      </c>
      <c r="E717" s="1706" t="s">
        <v>7574</v>
      </c>
      <c r="F717" s="1613">
        <v>23559146</v>
      </c>
      <c r="G717" s="1613">
        <v>26231614898</v>
      </c>
    </row>
    <row r="718" spans="1:7" ht="17.25" customHeight="1" x14ac:dyDescent="0.2">
      <c r="A718" s="1611">
        <v>13</v>
      </c>
      <c r="B718" s="1611" t="s">
        <v>2041</v>
      </c>
      <c r="C718" s="1611" t="s">
        <v>4175</v>
      </c>
      <c r="D718" s="1612" t="s">
        <v>7555</v>
      </c>
      <c r="E718" s="1706" t="s">
        <v>7561</v>
      </c>
      <c r="F718" s="1613">
        <v>73041025</v>
      </c>
      <c r="G718" s="1613">
        <v>26304655923</v>
      </c>
    </row>
    <row r="719" spans="1:7" ht="17.25" customHeight="1" x14ac:dyDescent="0.2">
      <c r="A719" s="1611">
        <v>13</v>
      </c>
      <c r="B719" s="1611" t="s">
        <v>2038</v>
      </c>
      <c r="C719" s="1611" t="s">
        <v>4176</v>
      </c>
      <c r="D719" s="1612" t="s">
        <v>7555</v>
      </c>
      <c r="E719" s="1706" t="s">
        <v>7592</v>
      </c>
      <c r="F719" s="1613">
        <v>40909091</v>
      </c>
      <c r="G719" s="1613">
        <v>26345565014</v>
      </c>
    </row>
    <row r="720" spans="1:7" ht="17.25" customHeight="1" x14ac:dyDescent="0.2">
      <c r="A720" s="1611">
        <v>13</v>
      </c>
      <c r="B720" s="1611" t="s">
        <v>2038</v>
      </c>
      <c r="C720" s="1611" t="s">
        <v>4177</v>
      </c>
      <c r="D720" s="1612" t="s">
        <v>7555</v>
      </c>
      <c r="E720" s="1706" t="s">
        <v>7592</v>
      </c>
      <c r="F720" s="1613">
        <v>38800000</v>
      </c>
      <c r="G720" s="1613">
        <v>26384365014</v>
      </c>
    </row>
    <row r="721" spans="1:7" ht="17.25" customHeight="1" x14ac:dyDescent="0.2">
      <c r="A721" s="1611">
        <v>13</v>
      </c>
      <c r="B721" s="1611" t="s">
        <v>2038</v>
      </c>
      <c r="C721" s="1611" t="s">
        <v>4178</v>
      </c>
      <c r="D721" s="1612" t="s">
        <v>7555</v>
      </c>
      <c r="E721" s="1706" t="s">
        <v>7592</v>
      </c>
      <c r="F721" s="1613">
        <v>39272727</v>
      </c>
      <c r="G721" s="1613">
        <v>26423637741</v>
      </c>
    </row>
    <row r="722" spans="1:7" ht="17.25" customHeight="1" x14ac:dyDescent="0.2">
      <c r="A722" s="1611">
        <v>13</v>
      </c>
      <c r="B722" s="1611" t="s">
        <v>2038</v>
      </c>
      <c r="C722" s="1611" t="s">
        <v>4179</v>
      </c>
      <c r="D722" s="1612" t="s">
        <v>7555</v>
      </c>
      <c r="E722" s="1706" t="s">
        <v>7592</v>
      </c>
      <c r="F722" s="1613">
        <v>39272727</v>
      </c>
      <c r="G722" s="1613">
        <v>26462910468</v>
      </c>
    </row>
    <row r="723" spans="1:7" ht="17.25" customHeight="1" x14ac:dyDescent="0.2">
      <c r="A723" s="1611">
        <v>13</v>
      </c>
      <c r="B723" s="1611" t="s">
        <v>2038</v>
      </c>
      <c r="C723" s="1611" t="s">
        <v>4180</v>
      </c>
      <c r="D723" s="1612" t="s">
        <v>7555</v>
      </c>
      <c r="E723" s="1706" t="s">
        <v>7592</v>
      </c>
      <c r="F723" s="1613">
        <v>39272727</v>
      </c>
      <c r="G723" s="1613">
        <v>26502183195</v>
      </c>
    </row>
    <row r="724" spans="1:7" ht="17.25" customHeight="1" x14ac:dyDescent="0.2">
      <c r="A724" s="1611">
        <v>13</v>
      </c>
      <c r="B724" s="1611" t="s">
        <v>2038</v>
      </c>
      <c r="C724" s="1611" t="s">
        <v>4181</v>
      </c>
      <c r="D724" s="1612" t="s">
        <v>7555</v>
      </c>
      <c r="E724" s="1706" t="s">
        <v>7592</v>
      </c>
      <c r="F724" s="1613">
        <v>39090909</v>
      </c>
      <c r="G724" s="1613">
        <v>26541274104</v>
      </c>
    </row>
    <row r="725" spans="1:7" ht="17.25" customHeight="1" x14ac:dyDescent="0.2">
      <c r="A725" s="1611">
        <v>13</v>
      </c>
      <c r="B725" s="1611" t="s">
        <v>2037</v>
      </c>
      <c r="C725" s="1611" t="s">
        <v>4165</v>
      </c>
      <c r="D725" s="1612" t="s">
        <v>7555</v>
      </c>
      <c r="E725" s="1706" t="s">
        <v>7592</v>
      </c>
      <c r="F725" s="1613">
        <v>39090909</v>
      </c>
      <c r="G725" s="1613">
        <v>26580365013</v>
      </c>
    </row>
    <row r="726" spans="1:7" ht="17.25" customHeight="1" x14ac:dyDescent="0.2">
      <c r="A726" s="1611">
        <v>13</v>
      </c>
      <c r="B726" s="1611" t="s">
        <v>4182</v>
      </c>
      <c r="C726" s="1611" t="s">
        <v>4183</v>
      </c>
      <c r="D726" s="1612">
        <v>0</v>
      </c>
      <c r="E726" s="1706" t="s">
        <v>7592</v>
      </c>
      <c r="F726" s="1613">
        <v>3600000</v>
      </c>
      <c r="G726" s="1613">
        <v>26583965013</v>
      </c>
    </row>
    <row r="727" spans="1:7" ht="17.25" customHeight="1" x14ac:dyDescent="0.2">
      <c r="A727" s="1611">
        <v>13</v>
      </c>
      <c r="B727" s="1611" t="s">
        <v>2038</v>
      </c>
      <c r="C727" s="1611" t="s">
        <v>4184</v>
      </c>
      <c r="D727" s="1612" t="s">
        <v>7555</v>
      </c>
      <c r="E727" s="1706" t="s">
        <v>7592</v>
      </c>
      <c r="F727" s="1613">
        <v>39000000</v>
      </c>
      <c r="G727" s="1613">
        <v>26622965013</v>
      </c>
    </row>
    <row r="728" spans="1:7" ht="17.25" customHeight="1" x14ac:dyDescent="0.2">
      <c r="A728" s="1611">
        <v>13</v>
      </c>
      <c r="B728" s="1611" t="s">
        <v>2037</v>
      </c>
      <c r="C728" s="1611" t="s">
        <v>4185</v>
      </c>
      <c r="D728" s="1612" t="s">
        <v>7555</v>
      </c>
      <c r="E728" s="1706" t="s">
        <v>7592</v>
      </c>
      <c r="F728" s="1613">
        <v>40636364</v>
      </c>
      <c r="G728" s="1613">
        <v>26663601377</v>
      </c>
    </row>
    <row r="729" spans="1:7" ht="17.25" customHeight="1" x14ac:dyDescent="0.2">
      <c r="A729" s="1611">
        <v>13</v>
      </c>
      <c r="B729" s="1611" t="s">
        <v>3937</v>
      </c>
      <c r="C729" s="1611" t="s">
        <v>4186</v>
      </c>
      <c r="D729" s="1612">
        <v>0</v>
      </c>
      <c r="E729" s="1706" t="s">
        <v>7592</v>
      </c>
      <c r="F729" s="1613">
        <v>50272727</v>
      </c>
      <c r="G729" s="1613">
        <v>26713874104</v>
      </c>
    </row>
    <row r="730" spans="1:7" ht="17.25" customHeight="1" x14ac:dyDescent="0.2">
      <c r="A730" s="1611">
        <v>13</v>
      </c>
      <c r="B730" s="1611" t="s">
        <v>2038</v>
      </c>
      <c r="C730" s="1611" t="s">
        <v>4187</v>
      </c>
      <c r="D730" s="1612" t="s">
        <v>7555</v>
      </c>
      <c r="E730" s="1706" t="s">
        <v>7592</v>
      </c>
      <c r="F730" s="1613">
        <v>40500000</v>
      </c>
      <c r="G730" s="1613">
        <v>26754374104</v>
      </c>
    </row>
    <row r="731" spans="1:7" ht="17.25" customHeight="1" x14ac:dyDescent="0.2">
      <c r="A731" s="1611">
        <v>13</v>
      </c>
      <c r="B731" s="1611" t="s">
        <v>2039</v>
      </c>
      <c r="C731" s="1611" t="s">
        <v>4188</v>
      </c>
      <c r="D731" s="1612" t="s">
        <v>7555</v>
      </c>
      <c r="E731" s="1706" t="s">
        <v>7592</v>
      </c>
      <c r="F731" s="1613">
        <v>41818182</v>
      </c>
      <c r="G731" s="1613">
        <v>26796192286</v>
      </c>
    </row>
    <row r="732" spans="1:7" ht="17.25" customHeight="1" x14ac:dyDescent="0.2">
      <c r="A732" s="1611">
        <v>13</v>
      </c>
      <c r="B732" s="1611" t="s">
        <v>2038</v>
      </c>
      <c r="C732" s="1611" t="s">
        <v>4189</v>
      </c>
      <c r="D732" s="1612" t="s">
        <v>7555</v>
      </c>
      <c r="E732" s="1706" t="s">
        <v>7592</v>
      </c>
      <c r="F732" s="1613">
        <v>40000000</v>
      </c>
      <c r="G732" s="1613">
        <v>26836192286</v>
      </c>
    </row>
    <row r="733" spans="1:7" ht="17.25" customHeight="1" x14ac:dyDescent="0.2">
      <c r="A733" s="1611">
        <v>13</v>
      </c>
      <c r="B733" s="1611" t="s">
        <v>2039</v>
      </c>
      <c r="C733" s="1611" t="s">
        <v>4190</v>
      </c>
      <c r="D733" s="1612" t="s">
        <v>7555</v>
      </c>
      <c r="E733" s="1706" t="s">
        <v>7592</v>
      </c>
      <c r="F733" s="1613">
        <v>39454545</v>
      </c>
      <c r="G733" s="1613">
        <v>26875646831</v>
      </c>
    </row>
    <row r="734" spans="1:7" ht="17.25" customHeight="1" x14ac:dyDescent="0.2">
      <c r="A734" s="1611">
        <v>13</v>
      </c>
      <c r="B734" s="1611" t="s">
        <v>2038</v>
      </c>
      <c r="C734" s="1611" t="s">
        <v>4191</v>
      </c>
      <c r="D734" s="1612" t="s">
        <v>7555</v>
      </c>
      <c r="E734" s="1706" t="s">
        <v>7592</v>
      </c>
      <c r="F734" s="1613">
        <v>40525363</v>
      </c>
      <c r="G734" s="1613">
        <v>26916172194</v>
      </c>
    </row>
    <row r="735" spans="1:7" ht="17.25" customHeight="1" x14ac:dyDescent="0.2">
      <c r="A735" s="1611">
        <v>13</v>
      </c>
      <c r="B735" s="1611" t="s">
        <v>2027</v>
      </c>
      <c r="C735" s="1611" t="s">
        <v>4192</v>
      </c>
      <c r="D735" s="1612" t="s">
        <v>2024</v>
      </c>
      <c r="E735" s="1706" t="s">
        <v>7592</v>
      </c>
      <c r="F735" s="1613">
        <v>13000000</v>
      </c>
      <c r="G735" s="1613">
        <v>26929172194</v>
      </c>
    </row>
    <row r="736" spans="1:7" ht="17.25" customHeight="1" x14ac:dyDescent="0.2">
      <c r="A736" s="1611">
        <v>13</v>
      </c>
      <c r="B736" s="1611" t="s">
        <v>7184</v>
      </c>
      <c r="C736" s="1611" t="s">
        <v>4175</v>
      </c>
      <c r="D736" s="1612" t="s">
        <v>7555</v>
      </c>
      <c r="E736" s="1706" t="s">
        <v>7561</v>
      </c>
      <c r="F736" s="1613">
        <v>235562880</v>
      </c>
      <c r="G736" s="1613">
        <v>27164735074</v>
      </c>
    </row>
    <row r="737" spans="1:7" ht="17.25" customHeight="1" x14ac:dyDescent="0.2">
      <c r="A737" s="1611">
        <v>13</v>
      </c>
      <c r="B737" s="1611" t="s">
        <v>2028</v>
      </c>
      <c r="C737" s="1611" t="s">
        <v>4193</v>
      </c>
      <c r="D737" s="1612" t="s">
        <v>2024</v>
      </c>
      <c r="E737" s="1706" t="s">
        <v>7592</v>
      </c>
      <c r="F737" s="1613">
        <v>1000000</v>
      </c>
      <c r="G737" s="1613">
        <v>27165735074</v>
      </c>
    </row>
    <row r="738" spans="1:7" ht="17.25" customHeight="1" x14ac:dyDescent="0.2">
      <c r="A738" s="1611">
        <v>13</v>
      </c>
      <c r="B738" s="1611" t="s">
        <v>2041</v>
      </c>
      <c r="C738" s="1611" t="s">
        <v>4194</v>
      </c>
      <c r="D738" s="1612" t="s">
        <v>7555</v>
      </c>
      <c r="E738" s="1706" t="s">
        <v>7592</v>
      </c>
      <c r="F738" s="1613">
        <v>50000000</v>
      </c>
      <c r="G738" s="1613">
        <v>27215735074</v>
      </c>
    </row>
    <row r="739" spans="1:7" ht="17.25" customHeight="1" x14ac:dyDescent="0.2">
      <c r="A739" s="1611">
        <v>13</v>
      </c>
      <c r="B739" s="1611" t="s">
        <v>2038</v>
      </c>
      <c r="C739" s="1611" t="s">
        <v>4195</v>
      </c>
      <c r="D739" s="1612" t="s">
        <v>7555</v>
      </c>
      <c r="E739" s="1706" t="s">
        <v>7592</v>
      </c>
      <c r="F739" s="1613">
        <v>38000000</v>
      </c>
      <c r="G739" s="1613">
        <v>27253735074</v>
      </c>
    </row>
    <row r="740" spans="1:7" ht="17.25" customHeight="1" x14ac:dyDescent="0.2">
      <c r="A740" s="1611">
        <v>13</v>
      </c>
      <c r="B740" s="1611" t="s">
        <v>4196</v>
      </c>
      <c r="C740" s="1611" t="s">
        <v>214</v>
      </c>
      <c r="D740" s="1612">
        <v>0</v>
      </c>
      <c r="E740" s="1706" t="s">
        <v>7592</v>
      </c>
      <c r="F740" s="1613">
        <v>149541928</v>
      </c>
      <c r="G740" s="1613">
        <v>27403277002</v>
      </c>
    </row>
    <row r="741" spans="1:7" ht="17.25" customHeight="1" x14ac:dyDescent="0.2">
      <c r="A741" s="1611">
        <v>13</v>
      </c>
      <c r="B741" s="1611" t="s">
        <v>2026</v>
      </c>
      <c r="C741" s="1611" t="s">
        <v>4197</v>
      </c>
      <c r="D741" s="1612" t="s">
        <v>2024</v>
      </c>
      <c r="E741" s="1706" t="s">
        <v>7592</v>
      </c>
      <c r="F741" s="1613">
        <v>12200000</v>
      </c>
      <c r="G741" s="1613">
        <v>27415477002</v>
      </c>
    </row>
    <row r="742" spans="1:7" ht="17.25" customHeight="1" x14ac:dyDescent="0.2">
      <c r="A742" s="1611">
        <v>13</v>
      </c>
      <c r="B742" s="1611" t="s">
        <v>2032</v>
      </c>
      <c r="C742" s="1611" t="s">
        <v>4198</v>
      </c>
      <c r="D742" s="1612" t="s">
        <v>7555</v>
      </c>
      <c r="E742" s="1706" t="s">
        <v>7592</v>
      </c>
      <c r="F742" s="1613">
        <v>32500000</v>
      </c>
      <c r="G742" s="1613">
        <v>27447977002</v>
      </c>
    </row>
    <row r="743" spans="1:7" ht="17.25" customHeight="1" x14ac:dyDescent="0.2">
      <c r="A743" s="1611">
        <v>13</v>
      </c>
      <c r="B743" s="1611" t="s">
        <v>4199</v>
      </c>
      <c r="C743" s="1611" t="s">
        <v>3722</v>
      </c>
      <c r="D743" s="1612">
        <v>0</v>
      </c>
      <c r="E743" s="1706" t="s">
        <v>7592</v>
      </c>
      <c r="F743" s="1613">
        <v>9000000</v>
      </c>
      <c r="G743" s="1613">
        <v>27456977002</v>
      </c>
    </row>
    <row r="744" spans="1:7" ht="17.25" customHeight="1" x14ac:dyDescent="0.2">
      <c r="A744" s="1611">
        <v>13</v>
      </c>
      <c r="B744" s="1611" t="s">
        <v>3670</v>
      </c>
      <c r="C744" s="1611" t="s">
        <v>3597</v>
      </c>
      <c r="D744" s="1612">
        <v>0</v>
      </c>
      <c r="E744" s="1706" t="s">
        <v>7592</v>
      </c>
      <c r="F744" s="1613">
        <v>1740000</v>
      </c>
      <c r="G744" s="1613">
        <v>27458717002</v>
      </c>
    </row>
    <row r="745" spans="1:7" ht="17.25" customHeight="1" x14ac:dyDescent="0.2">
      <c r="A745" s="1611">
        <v>13</v>
      </c>
      <c r="B745" s="1611" t="s">
        <v>2041</v>
      </c>
      <c r="C745" s="1611" t="s">
        <v>4200</v>
      </c>
      <c r="D745" s="1612" t="s">
        <v>7555</v>
      </c>
      <c r="E745" s="1706" t="s">
        <v>7592</v>
      </c>
      <c r="F745" s="1613">
        <v>49300000</v>
      </c>
      <c r="G745" s="1613">
        <v>27508017002</v>
      </c>
    </row>
    <row r="746" spans="1:7" ht="17.25" customHeight="1" x14ac:dyDescent="0.2">
      <c r="A746" s="1611">
        <v>13</v>
      </c>
      <c r="B746" s="1611" t="s">
        <v>2028</v>
      </c>
      <c r="C746" s="1611" t="s">
        <v>4201</v>
      </c>
      <c r="D746" s="1612" t="s">
        <v>2024</v>
      </c>
      <c r="E746" s="1706" t="s">
        <v>7592</v>
      </c>
      <c r="F746" s="1613">
        <v>13363636</v>
      </c>
      <c r="G746" s="1613">
        <v>27521380638</v>
      </c>
    </row>
    <row r="747" spans="1:7" ht="17.25" customHeight="1" x14ac:dyDescent="0.2">
      <c r="A747" s="1611">
        <v>13</v>
      </c>
      <c r="B747" s="1611" t="s">
        <v>2043</v>
      </c>
      <c r="C747" s="1611" t="s">
        <v>4202</v>
      </c>
      <c r="D747" s="1612" t="s">
        <v>7555</v>
      </c>
      <c r="E747" s="1706" t="s">
        <v>7592</v>
      </c>
      <c r="F747" s="1613">
        <v>50000000</v>
      </c>
      <c r="G747" s="1613">
        <v>27571380638</v>
      </c>
    </row>
    <row r="748" spans="1:7" ht="17.25" customHeight="1" x14ac:dyDescent="0.2">
      <c r="A748" s="1611">
        <v>13</v>
      </c>
      <c r="B748" s="1611" t="s">
        <v>2027</v>
      </c>
      <c r="C748" s="1611" t="s">
        <v>4203</v>
      </c>
      <c r="D748" s="1612" t="s">
        <v>2024</v>
      </c>
      <c r="E748" s="1706" t="s">
        <v>7592</v>
      </c>
      <c r="F748" s="1613">
        <v>15181000</v>
      </c>
      <c r="G748" s="1613">
        <v>27586561638</v>
      </c>
    </row>
    <row r="749" spans="1:7" ht="17.25" customHeight="1" x14ac:dyDescent="0.2">
      <c r="A749" s="1611">
        <v>13</v>
      </c>
      <c r="B749" s="1611" t="s">
        <v>4204</v>
      </c>
      <c r="C749" s="1611" t="s">
        <v>3597</v>
      </c>
      <c r="D749" s="1612">
        <v>0</v>
      </c>
      <c r="E749" s="1706" t="s">
        <v>7592</v>
      </c>
      <c r="F749" s="1613">
        <v>21114000</v>
      </c>
      <c r="G749" s="1613">
        <v>27607675638</v>
      </c>
    </row>
    <row r="750" spans="1:7" ht="17.25" customHeight="1" x14ac:dyDescent="0.2">
      <c r="A750" s="1611">
        <v>13</v>
      </c>
      <c r="B750" s="1611" t="s">
        <v>2038</v>
      </c>
      <c r="C750" s="1611" t="s">
        <v>4205</v>
      </c>
      <c r="D750" s="1612" t="s">
        <v>7555</v>
      </c>
      <c r="E750" s="1706" t="s">
        <v>7592</v>
      </c>
      <c r="F750" s="1613">
        <v>40909091</v>
      </c>
      <c r="G750" s="1613">
        <v>27648584729</v>
      </c>
    </row>
    <row r="751" spans="1:7" ht="17.25" customHeight="1" x14ac:dyDescent="0.2">
      <c r="A751" s="1611">
        <v>13</v>
      </c>
      <c r="B751" s="1611" t="s">
        <v>2045</v>
      </c>
      <c r="C751" s="1611" t="s">
        <v>4206</v>
      </c>
      <c r="D751" s="1612" t="s">
        <v>7555</v>
      </c>
      <c r="E751" s="1706" t="s">
        <v>7592</v>
      </c>
      <c r="F751" s="1613">
        <v>78272728</v>
      </c>
      <c r="G751" s="1613">
        <v>27726857457</v>
      </c>
    </row>
    <row r="752" spans="1:7" ht="17.25" customHeight="1" x14ac:dyDescent="0.2">
      <c r="A752" s="1611">
        <v>13</v>
      </c>
      <c r="B752" s="1611" t="s">
        <v>2047</v>
      </c>
      <c r="C752" s="1611" t="s">
        <v>214</v>
      </c>
      <c r="D752" s="1612" t="s">
        <v>7555</v>
      </c>
      <c r="E752" s="1706" t="s">
        <v>7592</v>
      </c>
      <c r="F752" s="1613">
        <v>57035900</v>
      </c>
      <c r="G752" s="1613">
        <v>27783893357</v>
      </c>
    </row>
    <row r="753" spans="1:7" ht="17.25" customHeight="1" x14ac:dyDescent="0.2">
      <c r="A753" s="1611">
        <v>13</v>
      </c>
      <c r="B753" s="1611" t="s">
        <v>7185</v>
      </c>
      <c r="C753" s="1611" t="s">
        <v>3890</v>
      </c>
      <c r="D753" s="1612">
        <v>0</v>
      </c>
      <c r="E753" s="1612" t="s">
        <v>2025</v>
      </c>
      <c r="F753" s="1613">
        <v>71440158</v>
      </c>
      <c r="G753" s="1613">
        <v>27855333515</v>
      </c>
    </row>
    <row r="754" spans="1:7" ht="17.25" customHeight="1" x14ac:dyDescent="0.2">
      <c r="A754" s="1611">
        <v>13</v>
      </c>
      <c r="B754" s="1611" t="s">
        <v>2047</v>
      </c>
      <c r="C754" s="1611" t="s">
        <v>4207</v>
      </c>
      <c r="D754" s="1612" t="s">
        <v>7555</v>
      </c>
      <c r="E754" s="1706" t="s">
        <v>7592</v>
      </c>
      <c r="F754" s="1613">
        <v>103000000</v>
      </c>
      <c r="G754" s="1613">
        <v>27958333515</v>
      </c>
    </row>
    <row r="755" spans="1:7" ht="17.25" customHeight="1" x14ac:dyDescent="0.2">
      <c r="A755" s="1611">
        <v>13</v>
      </c>
      <c r="B755" s="1611" t="s">
        <v>2038</v>
      </c>
      <c r="C755" s="1611" t="s">
        <v>4208</v>
      </c>
      <c r="D755" s="1612" t="s">
        <v>7555</v>
      </c>
      <c r="E755" s="1706" t="s">
        <v>7592</v>
      </c>
      <c r="F755" s="1613">
        <v>40909090</v>
      </c>
      <c r="G755" s="1613">
        <v>27999242605</v>
      </c>
    </row>
    <row r="756" spans="1:7" ht="17.25" customHeight="1" x14ac:dyDescent="0.2">
      <c r="A756" s="1611">
        <v>13</v>
      </c>
      <c r="B756" s="1611" t="s">
        <v>3627</v>
      </c>
      <c r="C756" s="1611" t="s">
        <v>4209</v>
      </c>
      <c r="D756" s="1612">
        <v>0</v>
      </c>
      <c r="E756" s="1706" t="s">
        <v>7592</v>
      </c>
      <c r="F756" s="1613">
        <v>132000000</v>
      </c>
      <c r="G756" s="1613">
        <v>28131242605</v>
      </c>
    </row>
    <row r="757" spans="1:7" ht="17.25" customHeight="1" x14ac:dyDescent="0.2">
      <c r="A757" s="1611">
        <v>13</v>
      </c>
      <c r="B757" s="1611" t="s">
        <v>2045</v>
      </c>
      <c r="C757" s="1611" t="s">
        <v>4210</v>
      </c>
      <c r="D757" s="1612" t="s">
        <v>7555</v>
      </c>
      <c r="E757" s="1706" t="s">
        <v>7592</v>
      </c>
      <c r="F757" s="1613">
        <v>78272728</v>
      </c>
      <c r="G757" s="1613">
        <v>28209515333</v>
      </c>
    </row>
    <row r="758" spans="1:7" ht="17.25" customHeight="1" x14ac:dyDescent="0.2">
      <c r="A758" s="1611">
        <v>13</v>
      </c>
      <c r="B758" s="1611" t="s">
        <v>2045</v>
      </c>
      <c r="C758" s="1611" t="s">
        <v>4210</v>
      </c>
      <c r="D758" s="1612" t="s">
        <v>7555</v>
      </c>
      <c r="E758" s="1706" t="s">
        <v>7592</v>
      </c>
      <c r="F758" s="1613">
        <v>-78272728</v>
      </c>
      <c r="G758" s="1613">
        <v>28131242605</v>
      </c>
    </row>
    <row r="759" spans="1:7" ht="17.25" customHeight="1" x14ac:dyDescent="0.2">
      <c r="A759" s="1611">
        <v>13</v>
      </c>
      <c r="B759" s="1611" t="s">
        <v>2034</v>
      </c>
      <c r="C759" s="1611" t="s">
        <v>4211</v>
      </c>
      <c r="D759" s="1612" t="s">
        <v>7555</v>
      </c>
      <c r="E759" s="1706" t="s">
        <v>7592</v>
      </c>
      <c r="F759" s="1613">
        <v>41272728</v>
      </c>
      <c r="G759" s="1613">
        <v>28172515333</v>
      </c>
    </row>
    <row r="760" spans="1:7" ht="17.25" customHeight="1" x14ac:dyDescent="0.2">
      <c r="A760" s="1611">
        <v>13</v>
      </c>
      <c r="B760" s="1611" t="s">
        <v>2028</v>
      </c>
      <c r="C760" s="1611" t="s">
        <v>4193</v>
      </c>
      <c r="D760" s="1612" t="s">
        <v>2024</v>
      </c>
      <c r="E760" s="1706" t="s">
        <v>7592</v>
      </c>
      <c r="F760" s="1613">
        <v>10000000</v>
      </c>
      <c r="G760" s="1613">
        <v>28182515333</v>
      </c>
    </row>
    <row r="761" spans="1:7" ht="17.25" customHeight="1" x14ac:dyDescent="0.2">
      <c r="A761" s="1611">
        <v>13</v>
      </c>
      <c r="B761" s="1611" t="s">
        <v>2041</v>
      </c>
      <c r="C761" s="1611" t="s">
        <v>4212</v>
      </c>
      <c r="D761" s="1612" t="s">
        <v>7555</v>
      </c>
      <c r="E761" s="1706" t="s">
        <v>7592</v>
      </c>
      <c r="F761" s="1613">
        <v>51500000</v>
      </c>
      <c r="G761" s="1613">
        <v>28234015333</v>
      </c>
    </row>
    <row r="762" spans="1:7" ht="17.25" customHeight="1" x14ac:dyDescent="0.2">
      <c r="A762" s="1611">
        <v>13</v>
      </c>
      <c r="B762" s="1611" t="s">
        <v>2028</v>
      </c>
      <c r="C762" s="1611" t="s">
        <v>4213</v>
      </c>
      <c r="D762" s="1612" t="s">
        <v>2024</v>
      </c>
      <c r="E762" s="1706" t="s">
        <v>7592</v>
      </c>
      <c r="F762" s="1613">
        <v>14000000</v>
      </c>
      <c r="G762" s="1613">
        <v>28248015333</v>
      </c>
    </row>
    <row r="763" spans="1:7" ht="17.25" customHeight="1" x14ac:dyDescent="0.2">
      <c r="A763" s="1611">
        <v>13</v>
      </c>
      <c r="B763" s="1611" t="s">
        <v>2037</v>
      </c>
      <c r="C763" s="1611" t="s">
        <v>4214</v>
      </c>
      <c r="D763" s="1612" t="s">
        <v>7555</v>
      </c>
      <c r="E763" s="1706" t="s">
        <v>7592</v>
      </c>
      <c r="F763" s="1613">
        <v>38181818</v>
      </c>
      <c r="G763" s="1613">
        <v>28286197151</v>
      </c>
    </row>
    <row r="764" spans="1:7" ht="17.25" customHeight="1" x14ac:dyDescent="0.2">
      <c r="A764" s="1611">
        <v>13</v>
      </c>
      <c r="B764" s="1611" t="s">
        <v>2039</v>
      </c>
      <c r="C764" s="1611" t="s">
        <v>4190</v>
      </c>
      <c r="D764" s="1612" t="s">
        <v>7555</v>
      </c>
      <c r="E764" s="1706" t="s">
        <v>7592</v>
      </c>
      <c r="F764" s="1613">
        <v>39454545</v>
      </c>
      <c r="G764" s="1613">
        <v>28325651696</v>
      </c>
    </row>
    <row r="765" spans="1:7" ht="17.25" customHeight="1" x14ac:dyDescent="0.2">
      <c r="A765" s="1611">
        <v>13</v>
      </c>
      <c r="B765" s="1611" t="s">
        <v>2028</v>
      </c>
      <c r="C765" s="1611" t="s">
        <v>4213</v>
      </c>
      <c r="D765" s="1612" t="s">
        <v>2024</v>
      </c>
      <c r="E765" s="1706" t="s">
        <v>7592</v>
      </c>
      <c r="F765" s="1613">
        <v>-14000000</v>
      </c>
      <c r="G765" s="1613">
        <v>28311651696</v>
      </c>
    </row>
    <row r="766" spans="1:7" ht="17.25" customHeight="1" x14ac:dyDescent="0.2">
      <c r="A766" s="1611">
        <v>13</v>
      </c>
      <c r="B766" s="1611" t="s">
        <v>2038</v>
      </c>
      <c r="C766" s="1611" t="s">
        <v>4215</v>
      </c>
      <c r="D766" s="1612" t="s">
        <v>7555</v>
      </c>
      <c r="E766" s="1706" t="s">
        <v>7592</v>
      </c>
      <c r="F766" s="1613">
        <v>40000000</v>
      </c>
      <c r="G766" s="1613">
        <v>28351651696</v>
      </c>
    </row>
    <row r="767" spans="1:7" ht="17.25" customHeight="1" x14ac:dyDescent="0.2">
      <c r="A767" s="1611">
        <v>13</v>
      </c>
      <c r="B767" s="1611" t="s">
        <v>3883</v>
      </c>
      <c r="C767" s="1611" t="s">
        <v>4022</v>
      </c>
      <c r="D767" s="1612">
        <v>0</v>
      </c>
      <c r="E767" s="1706" t="s">
        <v>7592</v>
      </c>
      <c r="F767" s="1613">
        <v>3600000</v>
      </c>
      <c r="G767" s="1613">
        <v>28355251696</v>
      </c>
    </row>
    <row r="768" spans="1:7" ht="17.25" customHeight="1" x14ac:dyDescent="0.2">
      <c r="A768" s="1611">
        <v>13</v>
      </c>
      <c r="B768" s="1611" t="s">
        <v>4216</v>
      </c>
      <c r="C768" s="1611" t="s">
        <v>3597</v>
      </c>
      <c r="D768" s="1612">
        <v>0</v>
      </c>
      <c r="E768" s="1706" t="s">
        <v>7592</v>
      </c>
      <c r="F768" s="1613">
        <v>20627000</v>
      </c>
      <c r="G768" s="1613">
        <v>28375878696</v>
      </c>
    </row>
    <row r="769" spans="1:7" ht="17.25" customHeight="1" x14ac:dyDescent="0.2">
      <c r="A769" s="1611">
        <v>13</v>
      </c>
      <c r="B769" s="1611" t="s">
        <v>3650</v>
      </c>
      <c r="C769" s="1611" t="s">
        <v>3597</v>
      </c>
      <c r="D769" s="1612">
        <v>0</v>
      </c>
      <c r="E769" s="1706" t="s">
        <v>7592</v>
      </c>
      <c r="F769" s="1613">
        <v>19000000</v>
      </c>
      <c r="G769" s="1613">
        <v>28394878696</v>
      </c>
    </row>
    <row r="770" spans="1:7" ht="17.25" customHeight="1" x14ac:dyDescent="0.2">
      <c r="A770" s="1611">
        <v>13</v>
      </c>
      <c r="B770" s="1611" t="s">
        <v>2037</v>
      </c>
      <c r="C770" s="1611" t="s">
        <v>4217</v>
      </c>
      <c r="D770" s="1612" t="s">
        <v>7555</v>
      </c>
      <c r="E770" s="1706" t="s">
        <v>7592</v>
      </c>
      <c r="F770" s="1613">
        <v>38070000</v>
      </c>
      <c r="G770" s="1613">
        <v>28432948696</v>
      </c>
    </row>
    <row r="771" spans="1:7" ht="17.25" customHeight="1" x14ac:dyDescent="0.2">
      <c r="A771" s="1611">
        <v>13</v>
      </c>
      <c r="B771" s="1611" t="s">
        <v>2038</v>
      </c>
      <c r="C771" s="1611" t="s">
        <v>4218</v>
      </c>
      <c r="D771" s="1612" t="s">
        <v>7555</v>
      </c>
      <c r="E771" s="1706" t="s">
        <v>7592</v>
      </c>
      <c r="F771" s="1613">
        <v>39500000</v>
      </c>
      <c r="G771" s="1613">
        <v>28472448696</v>
      </c>
    </row>
    <row r="772" spans="1:7" ht="17.25" customHeight="1" x14ac:dyDescent="0.2">
      <c r="A772" s="1611">
        <v>13</v>
      </c>
      <c r="B772" s="1611" t="s">
        <v>2041</v>
      </c>
      <c r="C772" s="1611" t="s">
        <v>4219</v>
      </c>
      <c r="D772" s="1612" t="s">
        <v>7555</v>
      </c>
      <c r="E772" s="1706" t="s">
        <v>7592</v>
      </c>
      <c r="F772" s="1613">
        <v>72000000</v>
      </c>
      <c r="G772" s="1613">
        <v>28544448696</v>
      </c>
    </row>
    <row r="773" spans="1:7" ht="17.25" customHeight="1" x14ac:dyDescent="0.2">
      <c r="A773" s="1611">
        <v>13</v>
      </c>
      <c r="B773" s="1611" t="s">
        <v>2034</v>
      </c>
      <c r="C773" s="1611" t="s">
        <v>4220</v>
      </c>
      <c r="D773" s="1612" t="s">
        <v>7555</v>
      </c>
      <c r="E773" s="1706" t="s">
        <v>7592</v>
      </c>
      <c r="F773" s="1613">
        <v>41272728</v>
      </c>
      <c r="G773" s="1613">
        <v>28585721424</v>
      </c>
    </row>
    <row r="774" spans="1:7" ht="17.25" customHeight="1" x14ac:dyDescent="0.2">
      <c r="A774" s="1611">
        <v>13</v>
      </c>
      <c r="B774" s="1611" t="s">
        <v>2034</v>
      </c>
      <c r="C774" s="1611" t="s">
        <v>4221</v>
      </c>
      <c r="D774" s="1612" t="s">
        <v>7555</v>
      </c>
      <c r="E774" s="1706" t="s">
        <v>7592</v>
      </c>
      <c r="F774" s="1613">
        <v>41272728</v>
      </c>
      <c r="G774" s="1613">
        <v>28626994152</v>
      </c>
    </row>
    <row r="775" spans="1:7" ht="17.25" customHeight="1" x14ac:dyDescent="0.2">
      <c r="A775" s="1611">
        <v>13</v>
      </c>
      <c r="B775" s="1611" t="s">
        <v>2045</v>
      </c>
      <c r="C775" s="1611" t="s">
        <v>4210</v>
      </c>
      <c r="D775" s="1612" t="s">
        <v>7555</v>
      </c>
      <c r="E775" s="1706" t="s">
        <v>7592</v>
      </c>
      <c r="F775" s="1613">
        <v>78272728</v>
      </c>
      <c r="G775" s="1613">
        <v>28705266880</v>
      </c>
    </row>
    <row r="776" spans="1:7" ht="17.25" customHeight="1" x14ac:dyDescent="0.2">
      <c r="A776" s="1611">
        <v>13</v>
      </c>
      <c r="B776" s="1611" t="s">
        <v>2038</v>
      </c>
      <c r="C776" s="1611" t="s">
        <v>4222</v>
      </c>
      <c r="D776" s="1612" t="s">
        <v>7555</v>
      </c>
      <c r="E776" s="1706" t="s">
        <v>7592</v>
      </c>
      <c r="F776" s="1613">
        <v>40500000</v>
      </c>
      <c r="G776" s="1613">
        <v>28745766880</v>
      </c>
    </row>
    <row r="777" spans="1:7" ht="17.25" customHeight="1" x14ac:dyDescent="0.2">
      <c r="A777" s="1611">
        <v>13</v>
      </c>
      <c r="B777" s="1611" t="s">
        <v>2027</v>
      </c>
      <c r="C777" s="1611" t="s">
        <v>4223</v>
      </c>
      <c r="D777" s="1612" t="s">
        <v>2024</v>
      </c>
      <c r="E777" s="1706" t="s">
        <v>7592</v>
      </c>
      <c r="F777" s="1613">
        <v>14580909</v>
      </c>
      <c r="G777" s="1613">
        <v>28760347789</v>
      </c>
    </row>
    <row r="778" spans="1:7" ht="17.25" customHeight="1" x14ac:dyDescent="0.2">
      <c r="A778" s="1611">
        <v>13</v>
      </c>
      <c r="B778" s="1611" t="s">
        <v>2038</v>
      </c>
      <c r="C778" s="1611" t="s">
        <v>4224</v>
      </c>
      <c r="D778" s="1612" t="s">
        <v>7555</v>
      </c>
      <c r="E778" s="1706" t="s">
        <v>7592</v>
      </c>
      <c r="F778" s="1613">
        <v>40909091</v>
      </c>
      <c r="G778" s="1613">
        <v>28801256880</v>
      </c>
    </row>
    <row r="779" spans="1:7" ht="17.25" customHeight="1" x14ac:dyDescent="0.2">
      <c r="A779" s="1611">
        <v>13</v>
      </c>
      <c r="B779" s="1611" t="s">
        <v>3894</v>
      </c>
      <c r="C779" s="1611" t="s">
        <v>4220</v>
      </c>
      <c r="D779" s="1612">
        <v>0</v>
      </c>
      <c r="E779" s="1706" t="s">
        <v>7592</v>
      </c>
      <c r="F779" s="1613">
        <v>2350000</v>
      </c>
      <c r="G779" s="1613">
        <v>28803606880</v>
      </c>
    </row>
    <row r="780" spans="1:7" ht="17.25" customHeight="1" x14ac:dyDescent="0.2">
      <c r="A780" s="1611">
        <v>13</v>
      </c>
      <c r="B780" s="1611" t="s">
        <v>2038</v>
      </c>
      <c r="C780" s="1611" t="s">
        <v>4225</v>
      </c>
      <c r="D780" s="1612" t="s">
        <v>7555</v>
      </c>
      <c r="E780" s="1706" t="s">
        <v>7592</v>
      </c>
      <c r="F780" s="1613">
        <v>40600000</v>
      </c>
      <c r="G780" s="1613">
        <v>28844206880</v>
      </c>
    </row>
    <row r="781" spans="1:7" ht="17.25" customHeight="1" x14ac:dyDescent="0.2">
      <c r="A781" s="1611">
        <v>13</v>
      </c>
      <c r="B781" s="1611" t="s">
        <v>2038</v>
      </c>
      <c r="C781" s="1611" t="s">
        <v>4024</v>
      </c>
      <c r="D781" s="1612" t="s">
        <v>7555</v>
      </c>
      <c r="E781" s="1706" t="s">
        <v>7592</v>
      </c>
      <c r="F781" s="1613">
        <v>40454545</v>
      </c>
      <c r="G781" s="1613">
        <v>28884661425</v>
      </c>
    </row>
    <row r="782" spans="1:7" ht="17.25" customHeight="1" x14ac:dyDescent="0.2">
      <c r="A782" s="1611">
        <v>13</v>
      </c>
      <c r="B782" s="1611" t="s">
        <v>2041</v>
      </c>
      <c r="C782" s="1611" t="s">
        <v>214</v>
      </c>
      <c r="D782" s="1612" t="s">
        <v>7555</v>
      </c>
      <c r="E782" s="1706" t="s">
        <v>7592</v>
      </c>
      <c r="F782" s="1613">
        <v>41760200</v>
      </c>
      <c r="G782" s="1613">
        <v>28926421625</v>
      </c>
    </row>
    <row r="783" spans="1:7" ht="17.25" customHeight="1" x14ac:dyDescent="0.2">
      <c r="A783" s="1611">
        <v>13</v>
      </c>
      <c r="B783" s="1611" t="s">
        <v>2027</v>
      </c>
      <c r="C783" s="1611" t="s">
        <v>4226</v>
      </c>
      <c r="D783" s="1612" t="s">
        <v>2024</v>
      </c>
      <c r="E783" s="1706" t="s">
        <v>7592</v>
      </c>
      <c r="F783" s="1613">
        <v>12727272</v>
      </c>
      <c r="G783" s="1613">
        <v>28939148897</v>
      </c>
    </row>
    <row r="784" spans="1:7" ht="17.25" customHeight="1" x14ac:dyDescent="0.2">
      <c r="A784" s="1611">
        <v>13</v>
      </c>
      <c r="B784" s="1611" t="s">
        <v>4227</v>
      </c>
      <c r="C784" s="1611" t="s">
        <v>4228</v>
      </c>
      <c r="D784" s="1612">
        <v>0</v>
      </c>
      <c r="E784" s="1706" t="s">
        <v>7592</v>
      </c>
      <c r="F784" s="1613">
        <v>9730000</v>
      </c>
      <c r="G784" s="1613">
        <v>28948878897</v>
      </c>
    </row>
    <row r="785" spans="1:7" ht="17.25" customHeight="1" x14ac:dyDescent="0.2">
      <c r="A785" s="1611">
        <v>13</v>
      </c>
      <c r="B785" s="1611" t="s">
        <v>2028</v>
      </c>
      <c r="C785" s="1611" t="s">
        <v>4229</v>
      </c>
      <c r="D785" s="1612" t="s">
        <v>2024</v>
      </c>
      <c r="E785" s="1706" t="s">
        <v>7592</v>
      </c>
      <c r="F785" s="1613">
        <v>13400000</v>
      </c>
      <c r="G785" s="1613">
        <v>28962278897</v>
      </c>
    </row>
    <row r="786" spans="1:7" ht="17.25" customHeight="1" x14ac:dyDescent="0.2">
      <c r="A786" s="1611">
        <v>13</v>
      </c>
      <c r="B786" s="1611" t="s">
        <v>2028</v>
      </c>
      <c r="C786" s="1611" t="s">
        <v>4230</v>
      </c>
      <c r="D786" s="1612" t="s">
        <v>2024</v>
      </c>
      <c r="E786" s="1706" t="s">
        <v>7592</v>
      </c>
      <c r="F786" s="1613">
        <v>18000000</v>
      </c>
      <c r="G786" s="1613">
        <v>28980278897</v>
      </c>
    </row>
    <row r="787" spans="1:7" ht="17.25" customHeight="1" x14ac:dyDescent="0.2">
      <c r="A787" s="1611">
        <v>13</v>
      </c>
      <c r="B787" s="1611" t="s">
        <v>4231</v>
      </c>
      <c r="C787" s="1611" t="s">
        <v>3597</v>
      </c>
      <c r="D787" s="1612">
        <v>0</v>
      </c>
      <c r="E787" s="1706" t="s">
        <v>7592</v>
      </c>
      <c r="F787" s="1613">
        <v>12650000</v>
      </c>
      <c r="G787" s="1613">
        <v>28992928897</v>
      </c>
    </row>
    <row r="788" spans="1:7" ht="17.25" customHeight="1" x14ac:dyDescent="0.2">
      <c r="A788" s="1611">
        <v>13</v>
      </c>
      <c r="B788" s="1611" t="s">
        <v>2032</v>
      </c>
      <c r="C788" s="1611" t="s">
        <v>4232</v>
      </c>
      <c r="D788" s="1612" t="s">
        <v>7555</v>
      </c>
      <c r="E788" s="1706" t="s">
        <v>7592</v>
      </c>
      <c r="F788" s="1613">
        <v>35000000</v>
      </c>
      <c r="G788" s="1613">
        <v>29027928897</v>
      </c>
    </row>
    <row r="789" spans="1:7" ht="17.25" customHeight="1" x14ac:dyDescent="0.2">
      <c r="A789" s="1611">
        <v>13</v>
      </c>
      <c r="B789" s="1611" t="s">
        <v>2027</v>
      </c>
      <c r="C789" s="1611" t="s">
        <v>4233</v>
      </c>
      <c r="D789" s="1612" t="s">
        <v>2024</v>
      </c>
      <c r="E789" s="1706" t="s">
        <v>7592</v>
      </c>
      <c r="F789" s="1613">
        <v>14000000</v>
      </c>
      <c r="G789" s="1613">
        <v>29041928897</v>
      </c>
    </row>
    <row r="790" spans="1:7" ht="17.25" customHeight="1" x14ac:dyDescent="0.2">
      <c r="A790" s="1611">
        <v>13</v>
      </c>
      <c r="B790" s="1611" t="s">
        <v>2820</v>
      </c>
      <c r="C790" s="1611" t="s">
        <v>4234</v>
      </c>
      <c r="D790" s="1612" t="s">
        <v>2024</v>
      </c>
      <c r="E790" s="1706" t="s">
        <v>7592</v>
      </c>
      <c r="F790" s="1613">
        <v>63181819</v>
      </c>
      <c r="G790" s="1613">
        <v>29105110716</v>
      </c>
    </row>
    <row r="791" spans="1:7" ht="17.25" customHeight="1" x14ac:dyDescent="0.2">
      <c r="A791" s="1611">
        <v>13</v>
      </c>
      <c r="B791" s="1611" t="s">
        <v>3937</v>
      </c>
      <c r="C791" s="1611" t="s">
        <v>4175</v>
      </c>
      <c r="D791" s="1612">
        <v>0</v>
      </c>
      <c r="E791" s="1706" t="s">
        <v>7561</v>
      </c>
      <c r="F791" s="1613">
        <v>235397120</v>
      </c>
      <c r="G791" s="1613">
        <v>29340507836</v>
      </c>
    </row>
    <row r="792" spans="1:7" ht="17.25" customHeight="1" x14ac:dyDescent="0.2">
      <c r="A792" s="1611">
        <v>13</v>
      </c>
      <c r="B792" s="1611" t="s">
        <v>2028</v>
      </c>
      <c r="C792" s="1611" t="s">
        <v>4213</v>
      </c>
      <c r="D792" s="1612" t="s">
        <v>2024</v>
      </c>
      <c r="E792" s="1706" t="s">
        <v>7592</v>
      </c>
      <c r="F792" s="1613">
        <v>14000000</v>
      </c>
      <c r="G792" s="1613">
        <v>29354507836</v>
      </c>
    </row>
    <row r="793" spans="1:7" ht="17.25" customHeight="1" x14ac:dyDescent="0.2">
      <c r="A793" s="1611">
        <v>13</v>
      </c>
      <c r="B793" s="1611" t="s">
        <v>2032</v>
      </c>
      <c r="C793" s="1611" t="s">
        <v>4235</v>
      </c>
      <c r="D793" s="1612" t="s">
        <v>7555</v>
      </c>
      <c r="E793" s="1706" t="s">
        <v>7592</v>
      </c>
      <c r="F793" s="1613">
        <v>34500000</v>
      </c>
      <c r="G793" s="1613">
        <v>29389007836</v>
      </c>
    </row>
    <row r="794" spans="1:7" ht="17.25" customHeight="1" x14ac:dyDescent="0.2">
      <c r="A794" s="1611">
        <v>13</v>
      </c>
      <c r="B794" s="1611" t="s">
        <v>2032</v>
      </c>
      <c r="C794" s="1611" t="s">
        <v>4235</v>
      </c>
      <c r="D794" s="1612" t="s">
        <v>7555</v>
      </c>
      <c r="E794" s="1706" t="s">
        <v>7592</v>
      </c>
      <c r="F794" s="1613">
        <v>34500000</v>
      </c>
      <c r="G794" s="1613">
        <v>29423507836</v>
      </c>
    </row>
    <row r="795" spans="1:7" ht="17.25" customHeight="1" x14ac:dyDescent="0.2">
      <c r="A795" s="1611">
        <v>13</v>
      </c>
      <c r="B795" s="1611" t="s">
        <v>3883</v>
      </c>
      <c r="C795" s="1611" t="s">
        <v>4235</v>
      </c>
      <c r="D795" s="1612">
        <v>0</v>
      </c>
      <c r="E795" s="1706" t="s">
        <v>7592</v>
      </c>
      <c r="F795" s="1613">
        <v>3600000</v>
      </c>
      <c r="G795" s="1613">
        <v>29427107836</v>
      </c>
    </row>
    <row r="796" spans="1:7" ht="17.25" customHeight="1" x14ac:dyDescent="0.2">
      <c r="A796" s="1611">
        <v>13</v>
      </c>
      <c r="B796" s="1611" t="s">
        <v>2038</v>
      </c>
      <c r="C796" s="1611" t="s">
        <v>4236</v>
      </c>
      <c r="D796" s="1612" t="s">
        <v>7555</v>
      </c>
      <c r="E796" s="1706" t="s">
        <v>7592</v>
      </c>
      <c r="F796" s="1613">
        <v>39500000</v>
      </c>
      <c r="G796" s="1613">
        <v>29466607836</v>
      </c>
    </row>
    <row r="797" spans="1:7" ht="17.25" customHeight="1" x14ac:dyDescent="0.2">
      <c r="A797" s="1611">
        <v>13</v>
      </c>
      <c r="B797" s="1611" t="s">
        <v>2038</v>
      </c>
      <c r="C797" s="1611" t="s">
        <v>4237</v>
      </c>
      <c r="D797" s="1612" t="s">
        <v>7555</v>
      </c>
      <c r="E797" s="1706" t="s">
        <v>7592</v>
      </c>
      <c r="F797" s="1613">
        <v>39090909</v>
      </c>
      <c r="G797" s="1613">
        <v>29505698745</v>
      </c>
    </row>
    <row r="798" spans="1:7" ht="17.25" customHeight="1" x14ac:dyDescent="0.2">
      <c r="A798" s="1611">
        <v>13</v>
      </c>
      <c r="B798" s="1611" t="s">
        <v>2041</v>
      </c>
      <c r="C798" s="1611" t="s">
        <v>4238</v>
      </c>
      <c r="D798" s="1612" t="s">
        <v>7555</v>
      </c>
      <c r="E798" s="1706" t="s">
        <v>7592</v>
      </c>
      <c r="F798" s="1613">
        <v>72727273</v>
      </c>
      <c r="G798" s="1613">
        <v>29578426018</v>
      </c>
    </row>
    <row r="799" spans="1:7" ht="17.25" customHeight="1" x14ac:dyDescent="0.2">
      <c r="A799" s="1611">
        <v>13</v>
      </c>
      <c r="B799" s="1611" t="s">
        <v>2043</v>
      </c>
      <c r="C799" s="1611" t="s">
        <v>4239</v>
      </c>
      <c r="D799" s="1612" t="s">
        <v>7555</v>
      </c>
      <c r="E799" s="1706" t="s">
        <v>7592</v>
      </c>
      <c r="F799" s="1613">
        <v>53181818</v>
      </c>
      <c r="G799" s="1613">
        <v>29631607836</v>
      </c>
    </row>
    <row r="800" spans="1:7" ht="17.25" customHeight="1" x14ac:dyDescent="0.2">
      <c r="A800" s="1611">
        <v>13</v>
      </c>
      <c r="B800" s="1611" t="s">
        <v>2039</v>
      </c>
      <c r="C800" s="1611" t="s">
        <v>4240</v>
      </c>
      <c r="D800" s="1612" t="s">
        <v>7555</v>
      </c>
      <c r="E800" s="1706" t="s">
        <v>7592</v>
      </c>
      <c r="F800" s="1613">
        <v>43181818</v>
      </c>
      <c r="G800" s="1613">
        <v>29674789654</v>
      </c>
    </row>
    <row r="801" spans="1:7" ht="17.25" customHeight="1" x14ac:dyDescent="0.2">
      <c r="A801" s="1611">
        <v>13</v>
      </c>
      <c r="B801" s="1611" t="s">
        <v>4070</v>
      </c>
      <c r="C801" s="1611" t="s">
        <v>4241</v>
      </c>
      <c r="D801" s="1612">
        <v>0</v>
      </c>
      <c r="E801" s="1706" t="s">
        <v>7592</v>
      </c>
      <c r="F801" s="1613">
        <v>10260000</v>
      </c>
      <c r="G801" s="1613">
        <v>29685049654</v>
      </c>
    </row>
    <row r="802" spans="1:7" ht="17.25" customHeight="1" x14ac:dyDescent="0.2">
      <c r="A802" s="1611">
        <v>13</v>
      </c>
      <c r="B802" s="1611" t="s">
        <v>2041</v>
      </c>
      <c r="C802" s="1611" t="s">
        <v>4242</v>
      </c>
      <c r="D802" s="1612" t="s">
        <v>7555</v>
      </c>
      <c r="E802" s="1706" t="s">
        <v>7592</v>
      </c>
      <c r="F802" s="1613">
        <v>48000000</v>
      </c>
      <c r="G802" s="1613">
        <v>29733049654</v>
      </c>
    </row>
    <row r="803" spans="1:7" ht="17.25" customHeight="1" x14ac:dyDescent="0.2">
      <c r="A803" s="1611">
        <v>13</v>
      </c>
      <c r="B803" s="1611" t="s">
        <v>2043</v>
      </c>
      <c r="C803" s="1611" t="s">
        <v>4243</v>
      </c>
      <c r="D803" s="1612" t="s">
        <v>7555</v>
      </c>
      <c r="E803" s="1706" t="s">
        <v>7592</v>
      </c>
      <c r="F803" s="1613">
        <v>52000000</v>
      </c>
      <c r="G803" s="1613">
        <v>29785049654</v>
      </c>
    </row>
    <row r="804" spans="1:7" ht="17.25" customHeight="1" x14ac:dyDescent="0.2">
      <c r="A804" s="1611">
        <v>13</v>
      </c>
      <c r="B804" s="1611" t="s">
        <v>2038</v>
      </c>
      <c r="C804" s="1611" t="s">
        <v>3816</v>
      </c>
      <c r="D804" s="1612" t="s">
        <v>7555</v>
      </c>
      <c r="E804" s="1706" t="s">
        <v>7592</v>
      </c>
      <c r="F804" s="1613">
        <v>40500000</v>
      </c>
      <c r="G804" s="1613">
        <v>29825549654</v>
      </c>
    </row>
    <row r="805" spans="1:7" ht="17.25" customHeight="1" x14ac:dyDescent="0.2">
      <c r="A805" s="1611">
        <v>13</v>
      </c>
      <c r="B805" s="1611" t="s">
        <v>2041</v>
      </c>
      <c r="C805" s="1611" t="s">
        <v>4241</v>
      </c>
      <c r="D805" s="1612" t="s">
        <v>7555</v>
      </c>
      <c r="E805" s="1706" t="s">
        <v>7592</v>
      </c>
      <c r="F805" s="1613">
        <v>72727273</v>
      </c>
      <c r="G805" s="1613">
        <v>29898276927</v>
      </c>
    </row>
    <row r="806" spans="1:7" ht="17.25" customHeight="1" x14ac:dyDescent="0.2">
      <c r="A806" s="1611">
        <v>13</v>
      </c>
      <c r="B806" s="1611" t="s">
        <v>4244</v>
      </c>
      <c r="C806" s="1611" t="s">
        <v>3722</v>
      </c>
      <c r="D806" s="1612">
        <v>0</v>
      </c>
      <c r="E806" s="1706" t="s">
        <v>7592</v>
      </c>
      <c r="F806" s="1613">
        <v>25150000</v>
      </c>
      <c r="G806" s="1613">
        <v>29923426927</v>
      </c>
    </row>
    <row r="807" spans="1:7" ht="17.25" customHeight="1" x14ac:dyDescent="0.2">
      <c r="A807" s="1611">
        <v>13</v>
      </c>
      <c r="B807" s="1611" t="s">
        <v>2038</v>
      </c>
      <c r="C807" s="1611" t="s">
        <v>4245</v>
      </c>
      <c r="D807" s="1612" t="s">
        <v>7555</v>
      </c>
      <c r="E807" s="1706" t="s">
        <v>7592</v>
      </c>
      <c r="F807" s="1613">
        <v>40909091</v>
      </c>
      <c r="G807" s="1613">
        <v>29964336018</v>
      </c>
    </row>
    <row r="808" spans="1:7" ht="17.25" customHeight="1" x14ac:dyDescent="0.2">
      <c r="A808" s="1611">
        <v>13</v>
      </c>
      <c r="B808" s="1611" t="s">
        <v>2038</v>
      </c>
      <c r="C808" s="1611" t="s">
        <v>4246</v>
      </c>
      <c r="D808" s="1612" t="s">
        <v>7555</v>
      </c>
      <c r="E808" s="1706" t="s">
        <v>7592</v>
      </c>
      <c r="F808" s="1613">
        <v>40909091</v>
      </c>
      <c r="G808" s="1613">
        <v>30005245109</v>
      </c>
    </row>
    <row r="809" spans="1:7" ht="17.25" customHeight="1" x14ac:dyDescent="0.2">
      <c r="A809" s="1611">
        <v>13</v>
      </c>
      <c r="B809" s="1611" t="s">
        <v>2039</v>
      </c>
      <c r="C809" s="1611" t="s">
        <v>4247</v>
      </c>
      <c r="D809" s="1612" t="s">
        <v>7555</v>
      </c>
      <c r="E809" s="1706" t="s">
        <v>7592</v>
      </c>
      <c r="F809" s="1613">
        <v>43181818</v>
      </c>
      <c r="G809" s="1613">
        <v>30048426927</v>
      </c>
    </row>
    <row r="810" spans="1:7" ht="17.25" customHeight="1" x14ac:dyDescent="0.2">
      <c r="A810" s="1611">
        <v>13</v>
      </c>
      <c r="B810" s="1611" t="s">
        <v>2041</v>
      </c>
      <c r="C810" s="1611" t="s">
        <v>4248</v>
      </c>
      <c r="D810" s="1612" t="s">
        <v>7555</v>
      </c>
      <c r="E810" s="1706" t="s">
        <v>7592</v>
      </c>
      <c r="F810" s="1613">
        <v>50000000</v>
      </c>
      <c r="G810" s="1613">
        <v>30098426927</v>
      </c>
    </row>
    <row r="811" spans="1:7" ht="17.25" customHeight="1" x14ac:dyDescent="0.2">
      <c r="A811" s="1611">
        <v>13</v>
      </c>
      <c r="B811" s="1611" t="s">
        <v>4249</v>
      </c>
      <c r="C811" s="1611" t="s">
        <v>3597</v>
      </c>
      <c r="D811" s="1612">
        <v>0</v>
      </c>
      <c r="E811" s="1706" t="s">
        <v>7592</v>
      </c>
      <c r="F811" s="1613">
        <v>880000</v>
      </c>
      <c r="G811" s="1613">
        <v>30099306927</v>
      </c>
    </row>
    <row r="812" spans="1:7" ht="17.25" customHeight="1" x14ac:dyDescent="0.2">
      <c r="A812" s="1611">
        <v>13</v>
      </c>
      <c r="B812" s="1611" t="s">
        <v>2032</v>
      </c>
      <c r="C812" s="1611" t="s">
        <v>4250</v>
      </c>
      <c r="D812" s="1612" t="s">
        <v>7555</v>
      </c>
      <c r="E812" s="1706" t="s">
        <v>7592</v>
      </c>
      <c r="F812" s="1613">
        <v>39090909</v>
      </c>
      <c r="G812" s="1613">
        <v>30138397836</v>
      </c>
    </row>
    <row r="813" spans="1:7" ht="17.25" customHeight="1" x14ac:dyDescent="0.2">
      <c r="A813" s="1611">
        <v>13</v>
      </c>
      <c r="B813" s="1611" t="s">
        <v>2026</v>
      </c>
      <c r="C813" s="1611" t="s">
        <v>4251</v>
      </c>
      <c r="D813" s="1612" t="s">
        <v>2024</v>
      </c>
      <c r="E813" s="1706" t="s">
        <v>7592</v>
      </c>
      <c r="F813" s="1613">
        <v>13000000</v>
      </c>
      <c r="G813" s="1613">
        <v>30151397836</v>
      </c>
    </row>
    <row r="814" spans="1:7" ht="17.25" customHeight="1" x14ac:dyDescent="0.2">
      <c r="A814" s="1611">
        <v>13</v>
      </c>
      <c r="B814" s="1611" t="s">
        <v>3666</v>
      </c>
      <c r="C814" s="1611" t="s">
        <v>4252</v>
      </c>
      <c r="D814" s="1612">
        <v>0</v>
      </c>
      <c r="E814" s="1706" t="s">
        <v>7592</v>
      </c>
      <c r="F814" s="1613">
        <v>61000000</v>
      </c>
      <c r="G814" s="1613">
        <v>30212397836</v>
      </c>
    </row>
    <row r="815" spans="1:7" ht="17.25" customHeight="1" x14ac:dyDescent="0.2">
      <c r="A815" s="1611">
        <v>13</v>
      </c>
      <c r="B815" s="1611" t="s">
        <v>4253</v>
      </c>
      <c r="C815" s="1611" t="s">
        <v>4254</v>
      </c>
      <c r="D815" s="1612">
        <v>0</v>
      </c>
      <c r="E815" s="1706" t="s">
        <v>7547</v>
      </c>
      <c r="F815" s="1613">
        <v>2151780</v>
      </c>
      <c r="G815" s="1613">
        <v>30214549616</v>
      </c>
    </row>
    <row r="816" spans="1:7" ht="17.25" customHeight="1" x14ac:dyDescent="0.2">
      <c r="A816" s="1611">
        <v>13</v>
      </c>
      <c r="B816" s="1611" t="s">
        <v>2038</v>
      </c>
      <c r="C816" s="1611" t="s">
        <v>3816</v>
      </c>
      <c r="D816" s="1612" t="s">
        <v>7555</v>
      </c>
      <c r="E816" s="1706" t="s">
        <v>7592</v>
      </c>
      <c r="F816" s="1613">
        <v>40500000</v>
      </c>
      <c r="G816" s="1613">
        <v>30255049616</v>
      </c>
    </row>
    <row r="817" spans="1:7" ht="17.25" customHeight="1" x14ac:dyDescent="0.2">
      <c r="A817" s="1611">
        <v>13</v>
      </c>
      <c r="B817" s="1611" t="s">
        <v>2041</v>
      </c>
      <c r="C817" s="1611" t="s">
        <v>4255</v>
      </c>
      <c r="D817" s="1612" t="s">
        <v>7555</v>
      </c>
      <c r="E817" s="1706" t="s">
        <v>7592</v>
      </c>
      <c r="F817" s="1613">
        <v>72727273</v>
      </c>
      <c r="G817" s="1613">
        <v>30327776889</v>
      </c>
    </row>
    <row r="818" spans="1:7" ht="17.25" customHeight="1" x14ac:dyDescent="0.2">
      <c r="A818" s="1611">
        <v>13</v>
      </c>
      <c r="B818" s="1611" t="s">
        <v>2041</v>
      </c>
      <c r="C818" s="1611" t="s">
        <v>4256</v>
      </c>
      <c r="D818" s="1612" t="s">
        <v>7555</v>
      </c>
      <c r="E818" s="1706" t="s">
        <v>7559</v>
      </c>
      <c r="F818" s="1613">
        <v>107087882</v>
      </c>
      <c r="G818" s="1613">
        <v>30434864771</v>
      </c>
    </row>
    <row r="819" spans="1:7" ht="17.25" customHeight="1" x14ac:dyDescent="0.2">
      <c r="A819" s="1611">
        <v>13</v>
      </c>
      <c r="B819" s="1611" t="s">
        <v>3627</v>
      </c>
      <c r="C819" s="1611" t="s">
        <v>4257</v>
      </c>
      <c r="D819" s="1612">
        <v>0</v>
      </c>
      <c r="E819" s="1706" t="s">
        <v>7592</v>
      </c>
      <c r="F819" s="1613">
        <v>133000000</v>
      </c>
      <c r="G819" s="1613">
        <v>30567864771</v>
      </c>
    </row>
    <row r="820" spans="1:7" ht="17.25" customHeight="1" x14ac:dyDescent="0.2">
      <c r="A820" s="1611">
        <v>13</v>
      </c>
      <c r="B820" s="1611" t="s">
        <v>4070</v>
      </c>
      <c r="C820" s="1611" t="s">
        <v>4255</v>
      </c>
      <c r="D820" s="1612">
        <v>0</v>
      </c>
      <c r="E820" s="1706" t="s">
        <v>7592</v>
      </c>
      <c r="F820" s="1613">
        <v>9430000</v>
      </c>
      <c r="G820" s="1613">
        <v>30577294771</v>
      </c>
    </row>
    <row r="821" spans="1:7" ht="17.25" customHeight="1" x14ac:dyDescent="0.2">
      <c r="A821" s="1611">
        <v>13</v>
      </c>
      <c r="B821" s="1611" t="s">
        <v>2038</v>
      </c>
      <c r="C821" s="1611" t="s">
        <v>4258</v>
      </c>
      <c r="D821" s="1612" t="s">
        <v>7555</v>
      </c>
      <c r="E821" s="1706" t="s">
        <v>7592</v>
      </c>
      <c r="F821" s="1613">
        <v>40909090</v>
      </c>
      <c r="G821" s="1613">
        <v>30618203861</v>
      </c>
    </row>
    <row r="822" spans="1:7" ht="17.25" customHeight="1" x14ac:dyDescent="0.2">
      <c r="A822" s="1611">
        <v>13</v>
      </c>
      <c r="B822" s="1611" t="s">
        <v>2039</v>
      </c>
      <c r="C822" s="1611" t="s">
        <v>3742</v>
      </c>
      <c r="D822" s="1612" t="s">
        <v>7555</v>
      </c>
      <c r="E822" s="1706" t="s">
        <v>7592</v>
      </c>
      <c r="F822" s="1613">
        <v>44750000</v>
      </c>
      <c r="G822" s="1613">
        <v>30662953861</v>
      </c>
    </row>
    <row r="823" spans="1:7" ht="17.25" customHeight="1" x14ac:dyDescent="0.2">
      <c r="A823" s="1611">
        <v>13</v>
      </c>
      <c r="B823" s="1611" t="s">
        <v>2027</v>
      </c>
      <c r="C823" s="1611" t="s">
        <v>4072</v>
      </c>
      <c r="D823" s="1612" t="s">
        <v>2024</v>
      </c>
      <c r="E823" s="1706" t="s">
        <v>7592</v>
      </c>
      <c r="F823" s="1613">
        <v>16399091</v>
      </c>
      <c r="G823" s="1613">
        <v>30679352952</v>
      </c>
    </row>
    <row r="824" spans="1:7" ht="17.25" customHeight="1" x14ac:dyDescent="0.2">
      <c r="A824" s="1611">
        <v>13</v>
      </c>
      <c r="B824" s="1611" t="s">
        <v>2027</v>
      </c>
      <c r="C824" s="1611" t="s">
        <v>3808</v>
      </c>
      <c r="D824" s="1612" t="s">
        <v>2024</v>
      </c>
      <c r="E824" s="1706" t="s">
        <v>7592</v>
      </c>
      <c r="F824" s="1613">
        <v>14035455</v>
      </c>
      <c r="G824" s="1613">
        <v>30693388407</v>
      </c>
    </row>
    <row r="825" spans="1:7" ht="17.25" customHeight="1" x14ac:dyDescent="0.2">
      <c r="A825" s="1611">
        <v>13</v>
      </c>
      <c r="B825" s="1611" t="s">
        <v>2820</v>
      </c>
      <c r="C825" s="1611" t="s">
        <v>4259</v>
      </c>
      <c r="D825" s="1612" t="s">
        <v>2024</v>
      </c>
      <c r="E825" s="1706" t="s">
        <v>7592</v>
      </c>
      <c r="F825" s="1613">
        <v>29920000</v>
      </c>
      <c r="G825" s="1613">
        <v>30723308407</v>
      </c>
    </row>
    <row r="826" spans="1:7" ht="17.25" customHeight="1" x14ac:dyDescent="0.2">
      <c r="A826" s="1611">
        <v>13</v>
      </c>
      <c r="B826" s="1611" t="s">
        <v>3670</v>
      </c>
      <c r="C826" s="1611" t="s">
        <v>3597</v>
      </c>
      <c r="D826" s="1612">
        <v>0</v>
      </c>
      <c r="E826" s="1706" t="s">
        <v>7592</v>
      </c>
      <c r="F826" s="1613">
        <v>1920000</v>
      </c>
      <c r="G826" s="1613">
        <v>30725228407</v>
      </c>
    </row>
    <row r="827" spans="1:7" ht="17.25" customHeight="1" x14ac:dyDescent="0.2">
      <c r="A827" s="1611">
        <v>13</v>
      </c>
      <c r="B827" s="1611" t="s">
        <v>2038</v>
      </c>
      <c r="C827" s="1611" t="s">
        <v>4260</v>
      </c>
      <c r="D827" s="1612" t="s">
        <v>7555</v>
      </c>
      <c r="E827" s="1706" t="s">
        <v>7592</v>
      </c>
      <c r="F827" s="1613">
        <v>41363636</v>
      </c>
      <c r="G827" s="1613">
        <v>30766592043</v>
      </c>
    </row>
    <row r="828" spans="1:7" ht="17.25" customHeight="1" x14ac:dyDescent="0.2">
      <c r="A828" s="1611">
        <v>13</v>
      </c>
      <c r="B828" s="1611" t="s">
        <v>2041</v>
      </c>
      <c r="C828" s="1611" t="s">
        <v>4261</v>
      </c>
      <c r="D828" s="1612" t="s">
        <v>7555</v>
      </c>
      <c r="E828" s="1706" t="s">
        <v>7592</v>
      </c>
      <c r="F828" s="1613">
        <v>47800000</v>
      </c>
      <c r="G828" s="1613">
        <v>30814392043</v>
      </c>
    </row>
    <row r="829" spans="1:7" ht="17.25" customHeight="1" x14ac:dyDescent="0.2">
      <c r="A829" s="1611">
        <v>13</v>
      </c>
      <c r="B829" s="1611" t="s">
        <v>2027</v>
      </c>
      <c r="C829" s="1611" t="s">
        <v>4262</v>
      </c>
      <c r="D829" s="1612" t="s">
        <v>2024</v>
      </c>
      <c r="E829" s="1706" t="s">
        <v>7592</v>
      </c>
      <c r="F829" s="1613">
        <v>12727273</v>
      </c>
      <c r="G829" s="1613">
        <v>30827119316</v>
      </c>
    </row>
    <row r="830" spans="1:7" ht="17.25" customHeight="1" x14ac:dyDescent="0.2">
      <c r="A830" s="1611">
        <v>13</v>
      </c>
      <c r="B830" s="1611" t="s">
        <v>2038</v>
      </c>
      <c r="C830" s="1611" t="s">
        <v>4263</v>
      </c>
      <c r="D830" s="1612" t="s">
        <v>7555</v>
      </c>
      <c r="E830" s="1706" t="s">
        <v>7592</v>
      </c>
      <c r="F830" s="1613">
        <v>40550000</v>
      </c>
      <c r="G830" s="1613">
        <v>30867669316</v>
      </c>
    </row>
    <row r="831" spans="1:7" ht="17.25" customHeight="1" x14ac:dyDescent="0.2">
      <c r="A831" s="1611">
        <v>13</v>
      </c>
      <c r="B831" s="1611" t="s">
        <v>2038</v>
      </c>
      <c r="C831" s="1611" t="s">
        <v>4263</v>
      </c>
      <c r="D831" s="1612" t="s">
        <v>7555</v>
      </c>
      <c r="E831" s="1706" t="s">
        <v>7592</v>
      </c>
      <c r="F831" s="1613">
        <v>-40550000</v>
      </c>
      <c r="G831" s="1613">
        <v>30827119316</v>
      </c>
    </row>
    <row r="832" spans="1:7" ht="17.25" customHeight="1" x14ac:dyDescent="0.2">
      <c r="A832" s="1611">
        <v>13</v>
      </c>
      <c r="B832" s="1611" t="s">
        <v>2038</v>
      </c>
      <c r="C832" s="1611" t="s">
        <v>3808</v>
      </c>
      <c r="D832" s="1612" t="s">
        <v>7555</v>
      </c>
      <c r="E832" s="1706" t="s">
        <v>7592</v>
      </c>
      <c r="F832" s="1613">
        <v>40000000</v>
      </c>
      <c r="G832" s="1613">
        <v>30867119316</v>
      </c>
    </row>
    <row r="833" spans="1:7" ht="17.25" customHeight="1" x14ac:dyDescent="0.2">
      <c r="A833" s="1611">
        <v>13</v>
      </c>
      <c r="B833" s="1611" t="s">
        <v>2028</v>
      </c>
      <c r="C833" s="1611" t="s">
        <v>3879</v>
      </c>
      <c r="D833" s="1612" t="s">
        <v>2024</v>
      </c>
      <c r="E833" s="1706" t="s">
        <v>7592</v>
      </c>
      <c r="F833" s="1613">
        <v>14000000</v>
      </c>
      <c r="G833" s="1613">
        <v>30881119316</v>
      </c>
    </row>
    <row r="834" spans="1:7" ht="17.25" customHeight="1" x14ac:dyDescent="0.2">
      <c r="A834" s="1611">
        <v>13</v>
      </c>
      <c r="B834" s="1611" t="s">
        <v>2032</v>
      </c>
      <c r="C834" s="1611" t="s">
        <v>4264</v>
      </c>
      <c r="D834" s="1612" t="s">
        <v>7555</v>
      </c>
      <c r="E834" s="1706" t="s">
        <v>7592</v>
      </c>
      <c r="F834" s="1613">
        <v>34818182</v>
      </c>
      <c r="G834" s="1613">
        <v>30915937498</v>
      </c>
    </row>
    <row r="835" spans="1:7" ht="17.25" customHeight="1" x14ac:dyDescent="0.2">
      <c r="A835" s="1611">
        <v>13</v>
      </c>
      <c r="B835" s="1611" t="s">
        <v>2038</v>
      </c>
      <c r="C835" s="1611" t="s">
        <v>4265</v>
      </c>
      <c r="D835" s="1612" t="s">
        <v>7555</v>
      </c>
      <c r="E835" s="1706" t="s">
        <v>7592</v>
      </c>
      <c r="F835" s="1613">
        <v>40909090</v>
      </c>
      <c r="G835" s="1613">
        <v>30956846588</v>
      </c>
    </row>
    <row r="836" spans="1:7" ht="17.25" customHeight="1" x14ac:dyDescent="0.2">
      <c r="A836" s="1611">
        <v>13</v>
      </c>
      <c r="B836" s="1611" t="s">
        <v>2038</v>
      </c>
      <c r="C836" s="1611" t="s">
        <v>4266</v>
      </c>
      <c r="D836" s="1612" t="s">
        <v>7555</v>
      </c>
      <c r="E836" s="1706" t="s">
        <v>7592</v>
      </c>
      <c r="F836" s="1613">
        <v>40700000</v>
      </c>
      <c r="G836" s="1613">
        <v>30997546588</v>
      </c>
    </row>
    <row r="837" spans="1:7" ht="17.25" customHeight="1" x14ac:dyDescent="0.2">
      <c r="A837" s="1611">
        <v>13</v>
      </c>
      <c r="B837" s="1611" t="s">
        <v>2041</v>
      </c>
      <c r="C837" s="1611" t="s">
        <v>4267</v>
      </c>
      <c r="D837" s="1612" t="s">
        <v>7555</v>
      </c>
      <c r="E837" s="1706" t="s">
        <v>7592</v>
      </c>
      <c r="F837" s="1613">
        <v>48000000</v>
      </c>
      <c r="G837" s="1613">
        <v>31045546588</v>
      </c>
    </row>
    <row r="838" spans="1:7" ht="17.25" customHeight="1" x14ac:dyDescent="0.2">
      <c r="A838" s="1611">
        <v>13</v>
      </c>
      <c r="B838" s="1611" t="s">
        <v>2032</v>
      </c>
      <c r="C838" s="1611" t="s">
        <v>4268</v>
      </c>
      <c r="D838" s="1612" t="s">
        <v>7555</v>
      </c>
      <c r="E838" s="1706" t="s">
        <v>7592</v>
      </c>
      <c r="F838" s="1613">
        <v>32750000</v>
      </c>
      <c r="G838" s="1613">
        <v>31078296588</v>
      </c>
    </row>
    <row r="839" spans="1:7" ht="17.25" customHeight="1" x14ac:dyDescent="0.2">
      <c r="A839" s="1611">
        <v>13</v>
      </c>
      <c r="B839" s="1611" t="s">
        <v>2032</v>
      </c>
      <c r="C839" s="1611" t="s">
        <v>4269</v>
      </c>
      <c r="D839" s="1612" t="s">
        <v>7555</v>
      </c>
      <c r="E839" s="1706" t="s">
        <v>7592</v>
      </c>
      <c r="F839" s="1613">
        <v>33000000</v>
      </c>
      <c r="G839" s="1613">
        <v>31111296588</v>
      </c>
    </row>
    <row r="840" spans="1:7" ht="17.25" customHeight="1" x14ac:dyDescent="0.2">
      <c r="A840" s="1611">
        <v>13</v>
      </c>
      <c r="B840" s="1611" t="s">
        <v>2032</v>
      </c>
      <c r="C840" s="1611" t="s">
        <v>4268</v>
      </c>
      <c r="D840" s="1612" t="s">
        <v>7555</v>
      </c>
      <c r="E840" s="1706" t="s">
        <v>7592</v>
      </c>
      <c r="F840" s="1613">
        <v>-32750000</v>
      </c>
      <c r="G840" s="1613">
        <v>31078546588</v>
      </c>
    </row>
    <row r="841" spans="1:7" ht="17.25" customHeight="1" x14ac:dyDescent="0.2">
      <c r="A841" s="1611">
        <v>13</v>
      </c>
      <c r="B841" s="1611" t="s">
        <v>2041</v>
      </c>
      <c r="C841" s="1611" t="s">
        <v>7590</v>
      </c>
      <c r="D841" s="1612" t="s">
        <v>7555</v>
      </c>
      <c r="E841" s="1706" t="s">
        <v>7575</v>
      </c>
      <c r="F841" s="1613">
        <v>150608301</v>
      </c>
      <c r="G841" s="1613">
        <v>31229154889</v>
      </c>
    </row>
    <row r="842" spans="1:7" ht="17.25" customHeight="1" x14ac:dyDescent="0.2">
      <c r="A842" s="1611">
        <v>13</v>
      </c>
      <c r="B842" s="1611" t="s">
        <v>2028</v>
      </c>
      <c r="C842" s="1611" t="s">
        <v>4271</v>
      </c>
      <c r="D842" s="1612" t="s">
        <v>2024</v>
      </c>
      <c r="E842" s="1706" t="s">
        <v>7592</v>
      </c>
      <c r="F842" s="1613">
        <v>45110000</v>
      </c>
      <c r="G842" s="1613">
        <v>31274264889</v>
      </c>
    </row>
    <row r="843" spans="1:7" ht="17.25" customHeight="1" x14ac:dyDescent="0.2">
      <c r="A843" s="1611">
        <v>13</v>
      </c>
      <c r="B843" s="1611" t="s">
        <v>2028</v>
      </c>
      <c r="C843" s="1611" t="s">
        <v>4271</v>
      </c>
      <c r="D843" s="1612" t="s">
        <v>2024</v>
      </c>
      <c r="E843" s="1706" t="s">
        <v>7592</v>
      </c>
      <c r="F843" s="1613">
        <v>45110000</v>
      </c>
      <c r="G843" s="1613">
        <v>31319374889</v>
      </c>
    </row>
    <row r="844" spans="1:7" ht="17.25" customHeight="1" x14ac:dyDescent="0.2">
      <c r="A844" s="1611">
        <v>13</v>
      </c>
      <c r="B844" s="1611" t="s">
        <v>2028</v>
      </c>
      <c r="C844" s="1611" t="s">
        <v>4271</v>
      </c>
      <c r="D844" s="1612" t="s">
        <v>2024</v>
      </c>
      <c r="E844" s="1706" t="s">
        <v>7592</v>
      </c>
      <c r="F844" s="1613">
        <v>45110000</v>
      </c>
      <c r="G844" s="1613">
        <v>31364484889</v>
      </c>
    </row>
    <row r="845" spans="1:7" ht="17.25" customHeight="1" x14ac:dyDescent="0.2">
      <c r="A845" s="1611">
        <v>13</v>
      </c>
      <c r="B845" s="1611" t="s">
        <v>2028</v>
      </c>
      <c r="C845" s="1611" t="s">
        <v>4271</v>
      </c>
      <c r="D845" s="1612" t="s">
        <v>2024</v>
      </c>
      <c r="E845" s="1706" t="s">
        <v>7592</v>
      </c>
      <c r="F845" s="1613">
        <v>45110000</v>
      </c>
      <c r="G845" s="1613">
        <v>31409594889</v>
      </c>
    </row>
    <row r="846" spans="1:7" ht="17.25" customHeight="1" x14ac:dyDescent="0.2">
      <c r="A846" s="1611">
        <v>13</v>
      </c>
      <c r="B846" s="1611" t="s">
        <v>2028</v>
      </c>
      <c r="C846" s="1611" t="s">
        <v>4271</v>
      </c>
      <c r="D846" s="1612" t="s">
        <v>2024</v>
      </c>
      <c r="E846" s="1706" t="s">
        <v>7592</v>
      </c>
      <c r="F846" s="1613">
        <v>45110000</v>
      </c>
      <c r="G846" s="1613">
        <v>31454704889</v>
      </c>
    </row>
    <row r="847" spans="1:7" ht="17.25" customHeight="1" x14ac:dyDescent="0.2">
      <c r="A847" s="1611">
        <v>13</v>
      </c>
      <c r="B847" s="1611" t="s">
        <v>2028</v>
      </c>
      <c r="C847" s="1611" t="s">
        <v>4271</v>
      </c>
      <c r="D847" s="1612" t="s">
        <v>2024</v>
      </c>
      <c r="E847" s="1706" t="s">
        <v>7592</v>
      </c>
      <c r="F847" s="1613">
        <v>45110000</v>
      </c>
      <c r="G847" s="1613">
        <v>31499814889</v>
      </c>
    </row>
    <row r="848" spans="1:7" ht="17.25" customHeight="1" x14ac:dyDescent="0.2">
      <c r="A848" s="1611">
        <v>13</v>
      </c>
      <c r="B848" s="1611" t="s">
        <v>2041</v>
      </c>
      <c r="C848" s="1611" t="s">
        <v>4272</v>
      </c>
      <c r="D848" s="1612" t="s">
        <v>7555</v>
      </c>
      <c r="E848" s="1706" t="s">
        <v>7592</v>
      </c>
      <c r="F848" s="1613">
        <v>49454545</v>
      </c>
      <c r="G848" s="1613">
        <v>31549269434</v>
      </c>
    </row>
    <row r="849" spans="1:7" ht="17.25" customHeight="1" x14ac:dyDescent="0.2">
      <c r="A849" s="1611">
        <v>13</v>
      </c>
      <c r="B849" s="1611" t="s">
        <v>2038</v>
      </c>
      <c r="C849" s="1611" t="s">
        <v>4273</v>
      </c>
      <c r="D849" s="1612" t="s">
        <v>7555</v>
      </c>
      <c r="E849" s="1706" t="s">
        <v>7592</v>
      </c>
      <c r="F849" s="1613">
        <v>39500000</v>
      </c>
      <c r="G849" s="1613">
        <v>31588769434</v>
      </c>
    </row>
    <row r="850" spans="1:7" ht="17.25" customHeight="1" x14ac:dyDescent="0.2">
      <c r="A850" s="1611">
        <v>13</v>
      </c>
      <c r="B850" s="1611" t="s">
        <v>2028</v>
      </c>
      <c r="C850" s="1611" t="s">
        <v>4271</v>
      </c>
      <c r="D850" s="1612" t="s">
        <v>2024</v>
      </c>
      <c r="E850" s="1706" t="s">
        <v>7592</v>
      </c>
      <c r="F850" s="1613">
        <v>-45110000</v>
      </c>
      <c r="G850" s="1613">
        <v>31543659434</v>
      </c>
    </row>
    <row r="851" spans="1:7" ht="17.25" customHeight="1" x14ac:dyDescent="0.2">
      <c r="A851" s="1611">
        <v>13</v>
      </c>
      <c r="B851" s="1611" t="s">
        <v>2028</v>
      </c>
      <c r="C851" s="1611" t="s">
        <v>4271</v>
      </c>
      <c r="D851" s="1612" t="s">
        <v>2024</v>
      </c>
      <c r="E851" s="1706" t="s">
        <v>7592</v>
      </c>
      <c r="F851" s="1613">
        <v>-45110000</v>
      </c>
      <c r="G851" s="1613">
        <v>31498549434</v>
      </c>
    </row>
    <row r="852" spans="1:7" ht="17.25" customHeight="1" x14ac:dyDescent="0.2">
      <c r="A852" s="1611">
        <v>13</v>
      </c>
      <c r="B852" s="1611" t="s">
        <v>2028</v>
      </c>
      <c r="C852" s="1611" t="s">
        <v>4271</v>
      </c>
      <c r="D852" s="1612" t="s">
        <v>2024</v>
      </c>
      <c r="E852" s="1706" t="s">
        <v>7592</v>
      </c>
      <c r="F852" s="1613">
        <v>-45110000</v>
      </c>
      <c r="G852" s="1613">
        <v>31453439434</v>
      </c>
    </row>
    <row r="853" spans="1:7" ht="17.25" customHeight="1" x14ac:dyDescent="0.2">
      <c r="A853" s="1611">
        <v>13</v>
      </c>
      <c r="B853" s="1611" t="s">
        <v>2028</v>
      </c>
      <c r="C853" s="1611" t="s">
        <v>4271</v>
      </c>
      <c r="D853" s="1612" t="s">
        <v>2024</v>
      </c>
      <c r="E853" s="1706" t="s">
        <v>7592</v>
      </c>
      <c r="F853" s="1613">
        <v>-45110000</v>
      </c>
      <c r="G853" s="1613">
        <v>31408329434</v>
      </c>
    </row>
    <row r="854" spans="1:7" ht="17.25" customHeight="1" x14ac:dyDescent="0.2">
      <c r="A854" s="1611">
        <v>13</v>
      </c>
      <c r="B854" s="1611" t="s">
        <v>2028</v>
      </c>
      <c r="C854" s="1611" t="s">
        <v>4271</v>
      </c>
      <c r="D854" s="1612" t="s">
        <v>2024</v>
      </c>
      <c r="E854" s="1706" t="s">
        <v>7592</v>
      </c>
      <c r="F854" s="1613">
        <v>-45110000</v>
      </c>
      <c r="G854" s="1613">
        <v>31363219434</v>
      </c>
    </row>
    <row r="855" spans="1:7" ht="17.25" customHeight="1" x14ac:dyDescent="0.2">
      <c r="A855" s="1611">
        <v>13</v>
      </c>
      <c r="B855" s="1611" t="s">
        <v>2028</v>
      </c>
      <c r="C855" s="1611" t="s">
        <v>4271</v>
      </c>
      <c r="D855" s="1612" t="s">
        <v>2024</v>
      </c>
      <c r="E855" s="1706" t="s">
        <v>7592</v>
      </c>
      <c r="F855" s="1613">
        <v>-45110000</v>
      </c>
      <c r="G855" s="1613">
        <v>31318109434</v>
      </c>
    </row>
    <row r="856" spans="1:7" ht="17.25" customHeight="1" x14ac:dyDescent="0.2">
      <c r="A856" s="1611">
        <v>13</v>
      </c>
      <c r="B856" s="1611" t="s">
        <v>2028</v>
      </c>
      <c r="C856" s="1611" t="s">
        <v>4274</v>
      </c>
      <c r="D856" s="1612" t="s">
        <v>2024</v>
      </c>
      <c r="E856" s="1706" t="s">
        <v>7592</v>
      </c>
      <c r="F856" s="1613">
        <v>45110000</v>
      </c>
      <c r="G856" s="1613">
        <v>31363219434</v>
      </c>
    </row>
    <row r="857" spans="1:7" ht="17.25" customHeight="1" x14ac:dyDescent="0.2">
      <c r="A857" s="1611">
        <v>13</v>
      </c>
      <c r="B857" s="1611" t="s">
        <v>2028</v>
      </c>
      <c r="C857" s="1611" t="s">
        <v>4274</v>
      </c>
      <c r="D857" s="1612" t="s">
        <v>2024</v>
      </c>
      <c r="E857" s="1706" t="s">
        <v>7592</v>
      </c>
      <c r="F857" s="1613">
        <v>45110000</v>
      </c>
      <c r="G857" s="1613">
        <v>31408329434</v>
      </c>
    </row>
    <row r="858" spans="1:7" ht="17.25" customHeight="1" x14ac:dyDescent="0.2">
      <c r="A858" s="1611">
        <v>13</v>
      </c>
      <c r="B858" s="1611" t="s">
        <v>2028</v>
      </c>
      <c r="C858" s="1611" t="s">
        <v>4274</v>
      </c>
      <c r="D858" s="1612" t="s">
        <v>2024</v>
      </c>
      <c r="E858" s="1706" t="s">
        <v>7592</v>
      </c>
      <c r="F858" s="1613">
        <v>45110000</v>
      </c>
      <c r="G858" s="1613">
        <v>31453439434</v>
      </c>
    </row>
    <row r="859" spans="1:7" ht="17.25" customHeight="1" x14ac:dyDescent="0.2">
      <c r="A859" s="1611">
        <v>13</v>
      </c>
      <c r="B859" s="1611" t="s">
        <v>2028</v>
      </c>
      <c r="C859" s="1611" t="s">
        <v>4274</v>
      </c>
      <c r="D859" s="1612" t="s">
        <v>2024</v>
      </c>
      <c r="E859" s="1706" t="s">
        <v>7592</v>
      </c>
      <c r="F859" s="1613">
        <v>45110000</v>
      </c>
      <c r="G859" s="1613">
        <v>31498549434</v>
      </c>
    </row>
    <row r="860" spans="1:7" ht="17.25" customHeight="1" x14ac:dyDescent="0.2">
      <c r="A860" s="1611">
        <v>13</v>
      </c>
      <c r="B860" s="1611" t="s">
        <v>2028</v>
      </c>
      <c r="C860" s="1611" t="s">
        <v>4274</v>
      </c>
      <c r="D860" s="1612" t="s">
        <v>2024</v>
      </c>
      <c r="E860" s="1706" t="s">
        <v>7592</v>
      </c>
      <c r="F860" s="1613">
        <v>45110000</v>
      </c>
      <c r="G860" s="1613">
        <v>31543659434</v>
      </c>
    </row>
    <row r="861" spans="1:7" ht="17.25" customHeight="1" x14ac:dyDescent="0.2">
      <c r="A861" s="1611">
        <v>13</v>
      </c>
      <c r="B861" s="1611" t="s">
        <v>2028</v>
      </c>
      <c r="C861" s="1611" t="s">
        <v>4274</v>
      </c>
      <c r="D861" s="1612" t="s">
        <v>2024</v>
      </c>
      <c r="E861" s="1706" t="s">
        <v>7592</v>
      </c>
      <c r="F861" s="1613">
        <v>45110000</v>
      </c>
      <c r="G861" s="1613">
        <v>31588769434</v>
      </c>
    </row>
    <row r="862" spans="1:7" ht="17.25" customHeight="1" x14ac:dyDescent="0.2">
      <c r="A862" s="1611">
        <v>13</v>
      </c>
      <c r="B862" s="1611" t="s">
        <v>2026</v>
      </c>
      <c r="C862" s="1611" t="s">
        <v>4275</v>
      </c>
      <c r="D862" s="1612" t="s">
        <v>2024</v>
      </c>
      <c r="E862" s="1706" t="s">
        <v>7592</v>
      </c>
      <c r="F862" s="1613">
        <v>13636364</v>
      </c>
      <c r="G862" s="1613">
        <v>31602405798</v>
      </c>
    </row>
    <row r="863" spans="1:7" ht="17.25" customHeight="1" x14ac:dyDescent="0.2">
      <c r="A863" s="1611">
        <v>13</v>
      </c>
      <c r="B863" s="1611" t="s">
        <v>3883</v>
      </c>
      <c r="C863" s="1611" t="s">
        <v>4276</v>
      </c>
      <c r="D863" s="1612">
        <v>0</v>
      </c>
      <c r="E863" s="1706" t="s">
        <v>7592</v>
      </c>
      <c r="F863" s="1613">
        <v>3600000</v>
      </c>
      <c r="G863" s="1613">
        <v>31606005798</v>
      </c>
    </row>
    <row r="864" spans="1:7" ht="17.25" customHeight="1" x14ac:dyDescent="0.2">
      <c r="A864" s="1611">
        <v>13</v>
      </c>
      <c r="B864" s="1611" t="s">
        <v>2027</v>
      </c>
      <c r="C864" s="1611" t="s">
        <v>4277</v>
      </c>
      <c r="D864" s="1612" t="s">
        <v>2024</v>
      </c>
      <c r="E864" s="1706" t="s">
        <v>7592</v>
      </c>
      <c r="F864" s="1613">
        <v>14000000</v>
      </c>
      <c r="G864" s="1613">
        <v>31620005798</v>
      </c>
    </row>
    <row r="865" spans="1:7" ht="17.25" customHeight="1" x14ac:dyDescent="0.2">
      <c r="A865" s="1611">
        <v>13</v>
      </c>
      <c r="B865" s="1611" t="s">
        <v>2039</v>
      </c>
      <c r="C865" s="1611" t="s">
        <v>4278</v>
      </c>
      <c r="D865" s="1612" t="s">
        <v>7555</v>
      </c>
      <c r="E865" s="1706" t="s">
        <v>7592</v>
      </c>
      <c r="F865" s="1613">
        <v>43636363</v>
      </c>
      <c r="G865" s="1613">
        <v>31663642161</v>
      </c>
    </row>
    <row r="866" spans="1:7" ht="17.25" customHeight="1" x14ac:dyDescent="0.2">
      <c r="A866" s="1611">
        <v>13</v>
      </c>
      <c r="B866" s="1611" t="s">
        <v>2028</v>
      </c>
      <c r="C866" s="1611" t="s">
        <v>4279</v>
      </c>
      <c r="D866" s="1612" t="s">
        <v>2024</v>
      </c>
      <c r="E866" s="1706" t="s">
        <v>7592</v>
      </c>
      <c r="F866" s="1613">
        <v>13000000</v>
      </c>
      <c r="G866" s="1613">
        <v>31676642161</v>
      </c>
    </row>
    <row r="867" spans="1:7" ht="17.25" customHeight="1" x14ac:dyDescent="0.2">
      <c r="A867" s="1611">
        <v>13</v>
      </c>
      <c r="B867" s="1611" t="s">
        <v>2038</v>
      </c>
      <c r="C867" s="1611" t="s">
        <v>4280</v>
      </c>
      <c r="D867" s="1612" t="s">
        <v>7555</v>
      </c>
      <c r="E867" s="1706" t="s">
        <v>7592</v>
      </c>
      <c r="F867" s="1613">
        <v>40909090</v>
      </c>
      <c r="G867" s="1613">
        <v>31717551251</v>
      </c>
    </row>
    <row r="868" spans="1:7" ht="17.25" customHeight="1" x14ac:dyDescent="0.2">
      <c r="A868" s="1611">
        <v>13</v>
      </c>
      <c r="B868" s="1611" t="s">
        <v>2039</v>
      </c>
      <c r="C868" s="1611" t="s">
        <v>4281</v>
      </c>
      <c r="D868" s="1612" t="s">
        <v>7555</v>
      </c>
      <c r="E868" s="1706" t="s">
        <v>7592</v>
      </c>
      <c r="F868" s="1613">
        <v>40500000</v>
      </c>
      <c r="G868" s="1613">
        <v>31758051251</v>
      </c>
    </row>
    <row r="869" spans="1:7" ht="17.25" customHeight="1" x14ac:dyDescent="0.2">
      <c r="A869" s="1611">
        <v>13</v>
      </c>
      <c r="B869" s="1611" t="s">
        <v>2032</v>
      </c>
      <c r="C869" s="1611" t="s">
        <v>4282</v>
      </c>
      <c r="D869" s="1612" t="s">
        <v>7555</v>
      </c>
      <c r="E869" s="1706" t="s">
        <v>7592</v>
      </c>
      <c r="F869" s="1613">
        <v>33000000</v>
      </c>
      <c r="G869" s="1613">
        <v>31791051251</v>
      </c>
    </row>
    <row r="870" spans="1:7" ht="17.25" customHeight="1" x14ac:dyDescent="0.2">
      <c r="A870" s="1611">
        <v>13</v>
      </c>
      <c r="B870" s="1611" t="s">
        <v>2043</v>
      </c>
      <c r="C870" s="1611" t="s">
        <v>4283</v>
      </c>
      <c r="D870" s="1612" t="s">
        <v>7555</v>
      </c>
      <c r="E870" s="1706" t="s">
        <v>7592</v>
      </c>
      <c r="F870" s="1613">
        <v>50000000</v>
      </c>
      <c r="G870" s="1613">
        <v>31841051251</v>
      </c>
    </row>
    <row r="871" spans="1:7" ht="17.25" customHeight="1" x14ac:dyDescent="0.2">
      <c r="A871" s="1611">
        <v>13</v>
      </c>
      <c r="B871" s="1611" t="s">
        <v>2041</v>
      </c>
      <c r="C871" s="1611" t="s">
        <v>4283</v>
      </c>
      <c r="D871" s="1612" t="s">
        <v>7555</v>
      </c>
      <c r="E871" s="1706" t="s">
        <v>7592</v>
      </c>
      <c r="F871" s="1613">
        <v>-50000000</v>
      </c>
      <c r="G871" s="1613">
        <v>31791051251</v>
      </c>
    </row>
    <row r="872" spans="1:7" ht="17.25" customHeight="1" x14ac:dyDescent="0.2">
      <c r="A872" s="1611">
        <v>13</v>
      </c>
      <c r="B872" s="1611" t="s">
        <v>2027</v>
      </c>
      <c r="C872" s="1611" t="s">
        <v>3658</v>
      </c>
      <c r="D872" s="1612" t="s">
        <v>2024</v>
      </c>
      <c r="E872" s="1706" t="s">
        <v>7592</v>
      </c>
      <c r="F872" s="1613">
        <v>13400000</v>
      </c>
      <c r="G872" s="1613">
        <v>31804451251</v>
      </c>
    </row>
    <row r="873" spans="1:7" ht="17.25" customHeight="1" x14ac:dyDescent="0.2">
      <c r="A873" s="1611">
        <v>13</v>
      </c>
      <c r="B873" s="1611" t="s">
        <v>2038</v>
      </c>
      <c r="C873" s="1611" t="s">
        <v>4284</v>
      </c>
      <c r="D873" s="1612" t="s">
        <v>7555</v>
      </c>
      <c r="E873" s="1706" t="s">
        <v>7592</v>
      </c>
      <c r="F873" s="1613">
        <v>38000000</v>
      </c>
      <c r="G873" s="1613">
        <v>31842451251</v>
      </c>
    </row>
    <row r="874" spans="1:7" ht="17.25" customHeight="1" x14ac:dyDescent="0.2">
      <c r="A874" s="1611">
        <v>13</v>
      </c>
      <c r="B874" s="1611" t="s">
        <v>2027</v>
      </c>
      <c r="C874" s="1611" t="s">
        <v>4285</v>
      </c>
      <c r="D874" s="1612" t="s">
        <v>2024</v>
      </c>
      <c r="E874" s="1706" t="s">
        <v>7592</v>
      </c>
      <c r="F874" s="1613">
        <v>15200909</v>
      </c>
      <c r="G874" s="1613">
        <v>31857652160</v>
      </c>
    </row>
    <row r="875" spans="1:7" ht="17.25" customHeight="1" x14ac:dyDescent="0.2">
      <c r="A875" s="1611">
        <v>13</v>
      </c>
      <c r="B875" s="1611" t="s">
        <v>2041</v>
      </c>
      <c r="C875" s="1611" t="s">
        <v>4286</v>
      </c>
      <c r="D875" s="1612" t="s">
        <v>7555</v>
      </c>
      <c r="E875" s="1706" t="s">
        <v>7592</v>
      </c>
      <c r="F875" s="1613">
        <v>48636363</v>
      </c>
      <c r="G875" s="1613">
        <v>31906288523</v>
      </c>
    </row>
    <row r="876" spans="1:7" ht="17.25" customHeight="1" x14ac:dyDescent="0.2">
      <c r="A876" s="1611">
        <v>13</v>
      </c>
      <c r="B876" s="1611" t="s">
        <v>2032</v>
      </c>
      <c r="C876" s="1611" t="s">
        <v>4287</v>
      </c>
      <c r="D876" s="1612" t="s">
        <v>7555</v>
      </c>
      <c r="E876" s="1706" t="s">
        <v>7592</v>
      </c>
      <c r="F876" s="1613">
        <v>32727273</v>
      </c>
      <c r="G876" s="1613">
        <v>31939015796</v>
      </c>
    </row>
    <row r="877" spans="1:7" ht="17.25" customHeight="1" x14ac:dyDescent="0.2">
      <c r="A877" s="1611">
        <v>13</v>
      </c>
      <c r="B877" s="1611" t="s">
        <v>2028</v>
      </c>
      <c r="C877" s="1611" t="s">
        <v>4288</v>
      </c>
      <c r="D877" s="1612" t="s">
        <v>2024</v>
      </c>
      <c r="E877" s="1706" t="s">
        <v>7592</v>
      </c>
      <c r="F877" s="1613">
        <v>15929091</v>
      </c>
      <c r="G877" s="1613">
        <v>31954944887</v>
      </c>
    </row>
    <row r="878" spans="1:7" ht="17.25" customHeight="1" x14ac:dyDescent="0.2">
      <c r="A878" s="1611">
        <v>13</v>
      </c>
      <c r="B878" s="1611" t="s">
        <v>2030</v>
      </c>
      <c r="C878" s="1611" t="s">
        <v>4171</v>
      </c>
      <c r="D878" s="1612" t="s">
        <v>7555</v>
      </c>
      <c r="E878" s="1706" t="s">
        <v>7592</v>
      </c>
      <c r="F878" s="1613">
        <v>35629637</v>
      </c>
      <c r="G878" s="1613">
        <v>31990574524</v>
      </c>
    </row>
    <row r="879" spans="1:7" ht="17.25" customHeight="1" x14ac:dyDescent="0.2">
      <c r="A879" s="1611">
        <v>13</v>
      </c>
      <c r="B879" s="1611" t="s">
        <v>2038</v>
      </c>
      <c r="C879" s="1611" t="s">
        <v>4289</v>
      </c>
      <c r="D879" s="1612" t="s">
        <v>7555</v>
      </c>
      <c r="E879" s="1706" t="s">
        <v>7592</v>
      </c>
      <c r="F879" s="1613">
        <v>40000000</v>
      </c>
      <c r="G879" s="1613">
        <v>32030574524</v>
      </c>
    </row>
    <row r="880" spans="1:7" ht="17.25" customHeight="1" x14ac:dyDescent="0.2">
      <c r="A880" s="1611">
        <v>13</v>
      </c>
      <c r="B880" s="1611" t="s">
        <v>2030</v>
      </c>
      <c r="C880" s="1611" t="s">
        <v>4171</v>
      </c>
      <c r="D880" s="1612" t="s">
        <v>7555</v>
      </c>
      <c r="E880" s="1706" t="s">
        <v>7592</v>
      </c>
      <c r="F880" s="1613">
        <v>-35629637</v>
      </c>
      <c r="G880" s="1613">
        <v>31994944887</v>
      </c>
    </row>
    <row r="881" spans="1:7" ht="17.25" customHeight="1" x14ac:dyDescent="0.2">
      <c r="A881" s="1611">
        <v>13</v>
      </c>
      <c r="B881" s="1611" t="s">
        <v>2030</v>
      </c>
      <c r="C881" s="1611" t="s">
        <v>4171</v>
      </c>
      <c r="D881" s="1612" t="s">
        <v>7555</v>
      </c>
      <c r="E881" s="1706" t="s">
        <v>7592</v>
      </c>
      <c r="F881" s="1613">
        <v>26722227</v>
      </c>
      <c r="G881" s="1613">
        <v>32021667114</v>
      </c>
    </row>
    <row r="882" spans="1:7" ht="17.25" customHeight="1" x14ac:dyDescent="0.2">
      <c r="A882" s="1611">
        <v>13</v>
      </c>
      <c r="B882" s="1611" t="s">
        <v>2039</v>
      </c>
      <c r="C882" s="1611" t="s">
        <v>4081</v>
      </c>
      <c r="D882" s="1612" t="s">
        <v>7555</v>
      </c>
      <c r="E882" s="1706" t="s">
        <v>7556</v>
      </c>
      <c r="F882" s="1613">
        <v>64708336</v>
      </c>
      <c r="G882" s="1613">
        <v>32086375450</v>
      </c>
    </row>
    <row r="883" spans="1:7" ht="17.25" customHeight="1" x14ac:dyDescent="0.2">
      <c r="A883" s="1611">
        <v>13</v>
      </c>
      <c r="B883" s="1611" t="s">
        <v>2038</v>
      </c>
      <c r="C883" s="1611" t="s">
        <v>4290</v>
      </c>
      <c r="D883" s="1612" t="s">
        <v>7555</v>
      </c>
      <c r="E883" s="1706" t="s">
        <v>7592</v>
      </c>
      <c r="F883" s="1613">
        <v>39000000</v>
      </c>
      <c r="G883" s="1613">
        <v>32125375450</v>
      </c>
    </row>
    <row r="884" spans="1:7" ht="17.25" customHeight="1" x14ac:dyDescent="0.2">
      <c r="A884" s="1611">
        <v>14</v>
      </c>
      <c r="B884" s="1611" t="s">
        <v>2027</v>
      </c>
      <c r="C884" s="1611" t="s">
        <v>4291</v>
      </c>
      <c r="D884" s="1612" t="s">
        <v>2024</v>
      </c>
      <c r="E884" s="1706" t="s">
        <v>7592</v>
      </c>
      <c r="F884" s="1613">
        <v>14035455</v>
      </c>
      <c r="G884" s="1613">
        <v>32139410905</v>
      </c>
    </row>
    <row r="885" spans="1:7" ht="17.25" customHeight="1" x14ac:dyDescent="0.2">
      <c r="A885" s="1611">
        <v>14</v>
      </c>
      <c r="B885" s="1611" t="s">
        <v>2032</v>
      </c>
      <c r="C885" s="1611" t="s">
        <v>4292</v>
      </c>
      <c r="D885" s="1612" t="s">
        <v>7555</v>
      </c>
      <c r="E885" s="1706" t="s">
        <v>7592</v>
      </c>
      <c r="F885" s="1613">
        <v>33000000</v>
      </c>
      <c r="G885" s="1613">
        <v>32172410905</v>
      </c>
    </row>
    <row r="886" spans="1:7" ht="17.25" customHeight="1" x14ac:dyDescent="0.2">
      <c r="A886" s="1611">
        <v>14</v>
      </c>
      <c r="B886" s="1611" t="s">
        <v>2032</v>
      </c>
      <c r="C886" s="1611" t="s">
        <v>4293</v>
      </c>
      <c r="D886" s="1612" t="s">
        <v>7555</v>
      </c>
      <c r="E886" s="1706" t="s">
        <v>7592</v>
      </c>
      <c r="F886" s="1613">
        <v>33750000</v>
      </c>
      <c r="G886" s="1613">
        <v>32206160905</v>
      </c>
    </row>
    <row r="887" spans="1:7" ht="17.25" customHeight="1" x14ac:dyDescent="0.2">
      <c r="A887" s="1611">
        <v>14</v>
      </c>
      <c r="B887" s="1611" t="s">
        <v>2032</v>
      </c>
      <c r="C887" s="1611" t="s">
        <v>4268</v>
      </c>
      <c r="D887" s="1612" t="s">
        <v>7555</v>
      </c>
      <c r="E887" s="1706" t="s">
        <v>7592</v>
      </c>
      <c r="F887" s="1613">
        <v>32750000</v>
      </c>
      <c r="G887" s="1613">
        <v>32238910905</v>
      </c>
    </row>
    <row r="888" spans="1:7" ht="17.25" customHeight="1" x14ac:dyDescent="0.2">
      <c r="A888" s="1611">
        <v>14</v>
      </c>
      <c r="B888" s="1611" t="s">
        <v>2027</v>
      </c>
      <c r="C888" s="1611" t="s">
        <v>3447</v>
      </c>
      <c r="D888" s="1612" t="s">
        <v>2024</v>
      </c>
      <c r="E888" s="1706" t="s">
        <v>7592</v>
      </c>
      <c r="F888" s="1613">
        <v>13710000</v>
      </c>
      <c r="G888" s="1613">
        <v>32252620905</v>
      </c>
    </row>
    <row r="889" spans="1:7" ht="17.25" customHeight="1" x14ac:dyDescent="0.2">
      <c r="A889" s="1611">
        <v>14</v>
      </c>
      <c r="B889" s="1611" t="s">
        <v>4294</v>
      </c>
      <c r="C889" s="1611" t="s">
        <v>3597</v>
      </c>
      <c r="D889" s="1612">
        <v>0</v>
      </c>
      <c r="E889" s="1706" t="s">
        <v>7592</v>
      </c>
      <c r="F889" s="1613">
        <v>26254000</v>
      </c>
      <c r="G889" s="1613">
        <v>32278874905</v>
      </c>
    </row>
    <row r="890" spans="1:7" ht="17.25" customHeight="1" x14ac:dyDescent="0.2">
      <c r="A890" s="1611">
        <v>14</v>
      </c>
      <c r="B890" s="1611" t="s">
        <v>2038</v>
      </c>
      <c r="C890" s="1611" t="s">
        <v>4295</v>
      </c>
      <c r="D890" s="1612" t="s">
        <v>7555</v>
      </c>
      <c r="E890" s="1706" t="s">
        <v>7592</v>
      </c>
      <c r="F890" s="1613">
        <v>40000000</v>
      </c>
      <c r="G890" s="1613">
        <v>32318874905</v>
      </c>
    </row>
    <row r="891" spans="1:7" ht="17.25" customHeight="1" x14ac:dyDescent="0.2">
      <c r="A891" s="1611">
        <v>14</v>
      </c>
      <c r="B891" s="1611" t="s">
        <v>2037</v>
      </c>
      <c r="C891" s="1611" t="s">
        <v>4296</v>
      </c>
      <c r="D891" s="1612" t="s">
        <v>7555</v>
      </c>
      <c r="E891" s="1706" t="s">
        <v>7592</v>
      </c>
      <c r="F891" s="1613">
        <v>38500000</v>
      </c>
      <c r="G891" s="1613">
        <v>32357374905</v>
      </c>
    </row>
    <row r="892" spans="1:7" ht="17.25" customHeight="1" x14ac:dyDescent="0.2">
      <c r="A892" s="1611">
        <v>14</v>
      </c>
      <c r="B892" s="1611" t="s">
        <v>2038</v>
      </c>
      <c r="C892" s="1611" t="s">
        <v>3608</v>
      </c>
      <c r="D892" s="1612" t="s">
        <v>7555</v>
      </c>
      <c r="E892" s="1706" t="s">
        <v>7592</v>
      </c>
      <c r="F892" s="1613">
        <v>40181818</v>
      </c>
      <c r="G892" s="1613">
        <v>32397556723</v>
      </c>
    </row>
    <row r="893" spans="1:7" ht="17.25" customHeight="1" x14ac:dyDescent="0.2">
      <c r="A893" s="1611">
        <v>14</v>
      </c>
      <c r="B893" s="1611" t="s">
        <v>2027</v>
      </c>
      <c r="C893" s="1611" t="s">
        <v>4297</v>
      </c>
      <c r="D893" s="1612" t="s">
        <v>2024</v>
      </c>
      <c r="E893" s="1706" t="s">
        <v>7592</v>
      </c>
      <c r="F893" s="1613">
        <v>13000000</v>
      </c>
      <c r="G893" s="1613">
        <v>32410556723</v>
      </c>
    </row>
    <row r="894" spans="1:7" ht="17.25" customHeight="1" x14ac:dyDescent="0.2">
      <c r="A894" s="1611">
        <v>14</v>
      </c>
      <c r="B894" s="1611" t="s">
        <v>2027</v>
      </c>
      <c r="C894" s="1611" t="s">
        <v>4298</v>
      </c>
      <c r="D894" s="1612" t="s">
        <v>2024</v>
      </c>
      <c r="E894" s="1706" t="s">
        <v>7592</v>
      </c>
      <c r="F894" s="1613">
        <v>14272727</v>
      </c>
      <c r="G894" s="1613">
        <v>32424829450</v>
      </c>
    </row>
    <row r="895" spans="1:7" ht="17.25" customHeight="1" x14ac:dyDescent="0.2">
      <c r="A895" s="1611">
        <v>14</v>
      </c>
      <c r="B895" s="1611" t="s">
        <v>2027</v>
      </c>
      <c r="C895" s="1611" t="s">
        <v>4299</v>
      </c>
      <c r="D895" s="1612" t="s">
        <v>2024</v>
      </c>
      <c r="E895" s="1706" t="s">
        <v>7592</v>
      </c>
      <c r="F895" s="1613">
        <v>15300000</v>
      </c>
      <c r="G895" s="1613">
        <v>32440129450</v>
      </c>
    </row>
    <row r="896" spans="1:7" ht="17.25" customHeight="1" x14ac:dyDescent="0.2">
      <c r="A896" s="1611">
        <v>14</v>
      </c>
      <c r="B896" s="1611" t="s">
        <v>2038</v>
      </c>
      <c r="C896" s="1611" t="s">
        <v>4300</v>
      </c>
      <c r="D896" s="1612" t="s">
        <v>7555</v>
      </c>
      <c r="E896" s="1706" t="s">
        <v>7592</v>
      </c>
      <c r="F896" s="1613">
        <v>40000000</v>
      </c>
      <c r="G896" s="1613">
        <v>32480129450</v>
      </c>
    </row>
    <row r="897" spans="1:7" ht="17.25" customHeight="1" x14ac:dyDescent="0.2">
      <c r="A897" s="1611">
        <v>14</v>
      </c>
      <c r="B897" s="1611" t="s">
        <v>2027</v>
      </c>
      <c r="C897" s="1611" t="s">
        <v>4301</v>
      </c>
      <c r="D897" s="1612" t="s">
        <v>2024</v>
      </c>
      <c r="E897" s="1706" t="s">
        <v>7592</v>
      </c>
      <c r="F897" s="1613">
        <v>15300000</v>
      </c>
      <c r="G897" s="1613">
        <v>32495429450</v>
      </c>
    </row>
    <row r="898" spans="1:7" ht="17.25" customHeight="1" x14ac:dyDescent="0.2">
      <c r="A898" s="1611">
        <v>14</v>
      </c>
      <c r="B898" s="1611" t="s">
        <v>2028</v>
      </c>
      <c r="C898" s="1611" t="s">
        <v>4302</v>
      </c>
      <c r="D898" s="1612" t="s">
        <v>2024</v>
      </c>
      <c r="E898" s="1706" t="s">
        <v>7592</v>
      </c>
      <c r="F898" s="1613">
        <v>15300000</v>
      </c>
      <c r="G898" s="1613">
        <v>32510729450</v>
      </c>
    </row>
    <row r="899" spans="1:7" ht="17.25" customHeight="1" x14ac:dyDescent="0.2">
      <c r="A899" s="1611">
        <v>14</v>
      </c>
      <c r="B899" s="1611" t="s">
        <v>2027</v>
      </c>
      <c r="C899" s="1611" t="s">
        <v>3635</v>
      </c>
      <c r="D899" s="1612" t="s">
        <v>2024</v>
      </c>
      <c r="E899" s="1706" t="s">
        <v>7592</v>
      </c>
      <c r="F899" s="1613">
        <v>12800000</v>
      </c>
      <c r="G899" s="1613">
        <v>32523529450</v>
      </c>
    </row>
    <row r="900" spans="1:7" ht="17.25" customHeight="1" x14ac:dyDescent="0.2">
      <c r="A900" s="1611">
        <v>14</v>
      </c>
      <c r="B900" s="1611" t="s">
        <v>2047</v>
      </c>
      <c r="C900" s="1611" t="s">
        <v>214</v>
      </c>
      <c r="D900" s="1612" t="s">
        <v>7555</v>
      </c>
      <c r="E900" s="1706" t="s">
        <v>7592</v>
      </c>
      <c r="F900" s="1613">
        <v>55178000</v>
      </c>
      <c r="G900" s="1613">
        <v>32578707450</v>
      </c>
    </row>
    <row r="901" spans="1:7" ht="17.25" customHeight="1" x14ac:dyDescent="0.2">
      <c r="A901" s="1611">
        <v>14</v>
      </c>
      <c r="B901" s="1611" t="s">
        <v>4303</v>
      </c>
      <c r="C901" s="1611" t="s">
        <v>4263</v>
      </c>
      <c r="D901" s="1612">
        <v>0</v>
      </c>
      <c r="E901" s="1706" t="s">
        <v>7592</v>
      </c>
      <c r="F901" s="1613">
        <v>40550000</v>
      </c>
      <c r="G901" s="1613">
        <v>32619257450</v>
      </c>
    </row>
    <row r="902" spans="1:7" ht="17.25" customHeight="1" x14ac:dyDescent="0.2">
      <c r="A902" s="1611">
        <v>14</v>
      </c>
      <c r="B902" s="1611" t="s">
        <v>2038</v>
      </c>
      <c r="C902" s="1611" t="s">
        <v>4304</v>
      </c>
      <c r="D902" s="1612" t="s">
        <v>7555</v>
      </c>
      <c r="E902" s="1706" t="s">
        <v>7592</v>
      </c>
      <c r="F902" s="1613">
        <v>41500000</v>
      </c>
      <c r="G902" s="1613">
        <v>32660757450</v>
      </c>
    </row>
    <row r="903" spans="1:7" ht="17.25" customHeight="1" x14ac:dyDescent="0.2">
      <c r="A903" s="1611">
        <v>14</v>
      </c>
      <c r="B903" s="1611" t="s">
        <v>7186</v>
      </c>
      <c r="C903" s="1611" t="s">
        <v>4305</v>
      </c>
      <c r="D903" s="1612">
        <v>0</v>
      </c>
      <c r="E903" s="1612" t="s">
        <v>3296</v>
      </c>
      <c r="F903" s="1613">
        <v>205282350</v>
      </c>
      <c r="G903" s="1613">
        <v>32866039800</v>
      </c>
    </row>
    <row r="904" spans="1:7" ht="17.25" customHeight="1" x14ac:dyDescent="0.2">
      <c r="A904" s="1611">
        <v>14</v>
      </c>
      <c r="B904" s="1611" t="s">
        <v>2027</v>
      </c>
      <c r="C904" s="1611" t="s">
        <v>4306</v>
      </c>
      <c r="D904" s="1612" t="s">
        <v>2024</v>
      </c>
      <c r="E904" s="1706" t="s">
        <v>7592</v>
      </c>
      <c r="F904" s="1613">
        <v>14545455</v>
      </c>
      <c r="G904" s="1613">
        <v>32880585255</v>
      </c>
    </row>
    <row r="905" spans="1:7" ht="17.25" customHeight="1" x14ac:dyDescent="0.2">
      <c r="A905" s="1611">
        <v>14</v>
      </c>
      <c r="B905" s="1611" t="s">
        <v>3883</v>
      </c>
      <c r="C905" s="1611" t="s">
        <v>4285</v>
      </c>
      <c r="D905" s="1612">
        <v>0</v>
      </c>
      <c r="E905" s="1706" t="s">
        <v>7592</v>
      </c>
      <c r="F905" s="1613">
        <v>3600000</v>
      </c>
      <c r="G905" s="1613">
        <v>32884185255</v>
      </c>
    </row>
    <row r="906" spans="1:7" ht="17.25" customHeight="1" x14ac:dyDescent="0.2">
      <c r="A906" s="1611">
        <v>14</v>
      </c>
      <c r="B906" s="1611" t="s">
        <v>2039</v>
      </c>
      <c r="C906" s="1611" t="s">
        <v>4307</v>
      </c>
      <c r="D906" s="1612" t="s">
        <v>7555</v>
      </c>
      <c r="E906" s="1706" t="s">
        <v>7592</v>
      </c>
      <c r="F906" s="1613">
        <v>43700000</v>
      </c>
      <c r="G906" s="1613">
        <v>32927885255</v>
      </c>
    </row>
    <row r="907" spans="1:7" ht="17.25" customHeight="1" x14ac:dyDescent="0.2">
      <c r="A907" s="1611">
        <v>14</v>
      </c>
      <c r="B907" s="1611" t="s">
        <v>2028</v>
      </c>
      <c r="C907" s="1611" t="s">
        <v>4308</v>
      </c>
      <c r="D907" s="1612" t="s">
        <v>2024</v>
      </c>
      <c r="E907" s="1706" t="s">
        <v>7592</v>
      </c>
      <c r="F907" s="1613">
        <v>15000000</v>
      </c>
      <c r="G907" s="1613">
        <v>32942885255</v>
      </c>
    </row>
    <row r="908" spans="1:7" ht="17.25" customHeight="1" x14ac:dyDescent="0.2">
      <c r="A908" s="1611">
        <v>14</v>
      </c>
      <c r="B908" s="1611" t="s">
        <v>2038</v>
      </c>
      <c r="C908" s="1611" t="s">
        <v>4309</v>
      </c>
      <c r="D908" s="1612" t="s">
        <v>7555</v>
      </c>
      <c r="E908" s="1706" t="s">
        <v>7592</v>
      </c>
      <c r="F908" s="1613">
        <v>40909091</v>
      </c>
      <c r="G908" s="1613">
        <v>32983794346</v>
      </c>
    </row>
    <row r="909" spans="1:7" ht="17.25" customHeight="1" x14ac:dyDescent="0.2">
      <c r="A909" s="1611">
        <v>14</v>
      </c>
      <c r="B909" s="1611" t="s">
        <v>2027</v>
      </c>
      <c r="C909" s="1611" t="s">
        <v>4310</v>
      </c>
      <c r="D909" s="1612" t="s">
        <v>2024</v>
      </c>
      <c r="E909" s="1706" t="s">
        <v>7592</v>
      </c>
      <c r="F909" s="1613">
        <v>15699091</v>
      </c>
      <c r="G909" s="1613">
        <v>32999493437</v>
      </c>
    </row>
    <row r="910" spans="1:7" ht="17.25" customHeight="1" x14ac:dyDescent="0.2">
      <c r="A910" s="1611">
        <v>14</v>
      </c>
      <c r="B910" s="1611" t="s">
        <v>2037</v>
      </c>
      <c r="C910" s="1611" t="s">
        <v>3662</v>
      </c>
      <c r="D910" s="1612" t="s">
        <v>7555</v>
      </c>
      <c r="E910" s="1706" t="s">
        <v>7592</v>
      </c>
      <c r="F910" s="1613">
        <v>38181818</v>
      </c>
      <c r="G910" s="1613">
        <v>33037675255</v>
      </c>
    </row>
    <row r="911" spans="1:7" ht="17.25" customHeight="1" x14ac:dyDescent="0.2">
      <c r="A911" s="1611">
        <v>14</v>
      </c>
      <c r="B911" s="1611" t="s">
        <v>2038</v>
      </c>
      <c r="C911" s="1611" t="s">
        <v>4311</v>
      </c>
      <c r="D911" s="1612" t="s">
        <v>7555</v>
      </c>
      <c r="E911" s="1706" t="s">
        <v>7592</v>
      </c>
      <c r="F911" s="1613">
        <v>40000000</v>
      </c>
      <c r="G911" s="1613">
        <v>33077675255</v>
      </c>
    </row>
    <row r="912" spans="1:7" ht="17.25" customHeight="1" x14ac:dyDescent="0.2">
      <c r="A912" s="1611">
        <v>14</v>
      </c>
      <c r="B912" s="1611" t="s">
        <v>2032</v>
      </c>
      <c r="C912" s="1611" t="s">
        <v>4312</v>
      </c>
      <c r="D912" s="1612" t="s">
        <v>7555</v>
      </c>
      <c r="E912" s="1706" t="s">
        <v>7592</v>
      </c>
      <c r="F912" s="1613">
        <v>34200000</v>
      </c>
      <c r="G912" s="1613">
        <v>33111875255</v>
      </c>
    </row>
    <row r="913" spans="1:7" ht="17.25" customHeight="1" x14ac:dyDescent="0.2">
      <c r="A913" s="1611">
        <v>14</v>
      </c>
      <c r="B913" s="1611" t="s">
        <v>2028</v>
      </c>
      <c r="C913" s="1611" t="s">
        <v>4313</v>
      </c>
      <c r="D913" s="1612" t="s">
        <v>2024</v>
      </c>
      <c r="E913" s="1706" t="s">
        <v>7592</v>
      </c>
      <c r="F913" s="1613">
        <v>14545455</v>
      </c>
      <c r="G913" s="1613">
        <v>33126420710</v>
      </c>
    </row>
    <row r="914" spans="1:7" ht="17.25" customHeight="1" x14ac:dyDescent="0.2">
      <c r="A914" s="1611">
        <v>14</v>
      </c>
      <c r="B914" s="1611" t="s">
        <v>2038</v>
      </c>
      <c r="C914" s="1611" t="s">
        <v>4235</v>
      </c>
      <c r="D914" s="1612" t="s">
        <v>7555</v>
      </c>
      <c r="E914" s="1706" t="s">
        <v>7592</v>
      </c>
      <c r="F914" s="1613">
        <v>39090910</v>
      </c>
      <c r="G914" s="1613">
        <v>33165511620</v>
      </c>
    </row>
    <row r="915" spans="1:7" ht="17.25" customHeight="1" x14ac:dyDescent="0.2">
      <c r="A915" s="1611">
        <v>14</v>
      </c>
      <c r="B915" s="1611" t="s">
        <v>2032</v>
      </c>
      <c r="C915" s="1611" t="s">
        <v>4314</v>
      </c>
      <c r="D915" s="1612" t="s">
        <v>7555</v>
      </c>
      <c r="E915" s="1706" t="s">
        <v>7592</v>
      </c>
      <c r="F915" s="1613">
        <v>32727272</v>
      </c>
      <c r="G915" s="1613">
        <v>33198238892</v>
      </c>
    </row>
    <row r="916" spans="1:7" ht="17.25" customHeight="1" x14ac:dyDescent="0.2">
      <c r="A916" s="1611">
        <v>14</v>
      </c>
      <c r="B916" s="1611" t="s">
        <v>2032</v>
      </c>
      <c r="C916" s="1611" t="s">
        <v>4315</v>
      </c>
      <c r="D916" s="1612" t="s">
        <v>7555</v>
      </c>
      <c r="E916" s="1706" t="s">
        <v>7592</v>
      </c>
      <c r="F916" s="1613">
        <v>32727272</v>
      </c>
      <c r="G916" s="1613">
        <v>33230966164</v>
      </c>
    </row>
    <row r="917" spans="1:7" ht="17.25" customHeight="1" x14ac:dyDescent="0.2">
      <c r="A917" s="1611">
        <v>14</v>
      </c>
      <c r="B917" s="1611" t="s">
        <v>2028</v>
      </c>
      <c r="C917" s="1611" t="s">
        <v>4316</v>
      </c>
      <c r="D917" s="1612" t="s">
        <v>2024</v>
      </c>
      <c r="E917" s="1706" t="s">
        <v>7592</v>
      </c>
      <c r="F917" s="1613">
        <v>13200000</v>
      </c>
      <c r="G917" s="1613">
        <v>33244166164</v>
      </c>
    </row>
    <row r="918" spans="1:7" ht="17.25" customHeight="1" x14ac:dyDescent="0.2">
      <c r="A918" s="1611">
        <v>14</v>
      </c>
      <c r="B918" s="1611" t="s">
        <v>2038</v>
      </c>
      <c r="C918" s="1611" t="s">
        <v>4317</v>
      </c>
      <c r="D918" s="1612" t="s">
        <v>7555</v>
      </c>
      <c r="E918" s="1706" t="s">
        <v>7592</v>
      </c>
      <c r="F918" s="1613">
        <v>39500000</v>
      </c>
      <c r="G918" s="1613">
        <v>33283666164</v>
      </c>
    </row>
    <row r="919" spans="1:7" ht="17.25" customHeight="1" x14ac:dyDescent="0.2">
      <c r="A919" s="1611">
        <v>14</v>
      </c>
      <c r="B919" s="1611" t="s">
        <v>2041</v>
      </c>
      <c r="C919" s="1611" t="s">
        <v>4061</v>
      </c>
      <c r="D919" s="1612" t="s">
        <v>7555</v>
      </c>
      <c r="E919" s="1706" t="s">
        <v>7574</v>
      </c>
      <c r="F919" s="1613">
        <v>67464202</v>
      </c>
      <c r="G919" s="1613">
        <v>33351130366</v>
      </c>
    </row>
    <row r="920" spans="1:7" ht="17.25" customHeight="1" x14ac:dyDescent="0.2">
      <c r="A920" s="1611">
        <v>14</v>
      </c>
      <c r="B920" s="1611" t="s">
        <v>2038</v>
      </c>
      <c r="C920" s="1611" t="s">
        <v>4318</v>
      </c>
      <c r="D920" s="1612" t="s">
        <v>7555</v>
      </c>
      <c r="E920" s="1706" t="s">
        <v>7592</v>
      </c>
      <c r="F920" s="1613">
        <v>40909091</v>
      </c>
      <c r="G920" s="1613">
        <v>33392039457</v>
      </c>
    </row>
    <row r="921" spans="1:7" ht="17.25" customHeight="1" x14ac:dyDescent="0.2">
      <c r="A921" s="1611">
        <v>14</v>
      </c>
      <c r="B921" s="1611" t="s">
        <v>2038</v>
      </c>
      <c r="C921" s="1611" t="s">
        <v>4319</v>
      </c>
      <c r="D921" s="1612" t="s">
        <v>7555</v>
      </c>
      <c r="E921" s="1706" t="s">
        <v>7592</v>
      </c>
      <c r="F921" s="1613">
        <v>40500000</v>
      </c>
      <c r="G921" s="1613">
        <v>33432539457</v>
      </c>
    </row>
    <row r="922" spans="1:7" ht="17.25" customHeight="1" x14ac:dyDescent="0.2">
      <c r="A922" s="1611">
        <v>14</v>
      </c>
      <c r="B922" s="1611" t="s">
        <v>2027</v>
      </c>
      <c r="C922" s="1611" t="s">
        <v>3461</v>
      </c>
      <c r="D922" s="1612" t="s">
        <v>2024</v>
      </c>
      <c r="E922" s="1706" t="s">
        <v>7592</v>
      </c>
      <c r="F922" s="1613">
        <v>14099000</v>
      </c>
      <c r="G922" s="1613">
        <v>33446638457</v>
      </c>
    </row>
    <row r="923" spans="1:7" ht="17.25" customHeight="1" x14ac:dyDescent="0.2">
      <c r="A923" s="1611">
        <v>14</v>
      </c>
      <c r="B923" s="1611" t="s">
        <v>2038</v>
      </c>
      <c r="C923" s="1611" t="s">
        <v>3424</v>
      </c>
      <c r="D923" s="1612" t="s">
        <v>7555</v>
      </c>
      <c r="E923" s="1706" t="s">
        <v>7592</v>
      </c>
      <c r="F923" s="1613">
        <v>40909090</v>
      </c>
      <c r="G923" s="1613">
        <v>33487547547</v>
      </c>
    </row>
    <row r="924" spans="1:7" ht="17.25" customHeight="1" x14ac:dyDescent="0.2">
      <c r="A924" s="1611">
        <v>14</v>
      </c>
      <c r="B924" s="1611" t="s">
        <v>2027</v>
      </c>
      <c r="C924" s="1611" t="s">
        <v>4320</v>
      </c>
      <c r="D924" s="1612" t="s">
        <v>2024</v>
      </c>
      <c r="E924" s="1706" t="s">
        <v>7592</v>
      </c>
      <c r="F924" s="1613">
        <v>13399091</v>
      </c>
      <c r="G924" s="1613">
        <v>33500946638</v>
      </c>
    </row>
    <row r="925" spans="1:7" ht="17.25" customHeight="1" x14ac:dyDescent="0.2">
      <c r="A925" s="1611">
        <v>14</v>
      </c>
      <c r="B925" s="1611" t="s">
        <v>2032</v>
      </c>
      <c r="C925" s="1611" t="s">
        <v>3714</v>
      </c>
      <c r="D925" s="1612" t="s">
        <v>7555</v>
      </c>
      <c r="E925" s="1706" t="s">
        <v>7592</v>
      </c>
      <c r="F925" s="1613">
        <v>37000000</v>
      </c>
      <c r="G925" s="1613">
        <v>33537946638</v>
      </c>
    </row>
    <row r="926" spans="1:7" ht="17.25" customHeight="1" x14ac:dyDescent="0.2">
      <c r="A926" s="1611">
        <v>14</v>
      </c>
      <c r="B926" s="1611" t="s">
        <v>2027</v>
      </c>
      <c r="C926" s="1611" t="s">
        <v>4321</v>
      </c>
      <c r="D926" s="1612" t="s">
        <v>2024</v>
      </c>
      <c r="E926" s="1706" t="s">
        <v>7592</v>
      </c>
      <c r="F926" s="1613">
        <v>15550000</v>
      </c>
      <c r="G926" s="1613">
        <v>33553496638</v>
      </c>
    </row>
    <row r="927" spans="1:7" ht="17.25" customHeight="1" x14ac:dyDescent="0.2">
      <c r="A927" s="1611">
        <v>14</v>
      </c>
      <c r="B927" s="1611" t="s">
        <v>2027</v>
      </c>
      <c r="C927" s="1611" t="s">
        <v>4322</v>
      </c>
      <c r="D927" s="1612" t="s">
        <v>2024</v>
      </c>
      <c r="E927" s="1706" t="s">
        <v>7592</v>
      </c>
      <c r="F927" s="1613">
        <v>14000000</v>
      </c>
      <c r="G927" s="1613">
        <v>33567496638</v>
      </c>
    </row>
    <row r="928" spans="1:7" ht="17.25" customHeight="1" x14ac:dyDescent="0.2">
      <c r="A928" s="1611">
        <v>14</v>
      </c>
      <c r="B928" s="1611" t="s">
        <v>2039</v>
      </c>
      <c r="C928" s="1611" t="s">
        <v>4323</v>
      </c>
      <c r="D928" s="1612" t="s">
        <v>7555</v>
      </c>
      <c r="E928" s="1706" t="s">
        <v>7592</v>
      </c>
      <c r="F928" s="1613">
        <v>45272727</v>
      </c>
      <c r="G928" s="1613">
        <v>33612769365</v>
      </c>
    </row>
    <row r="929" spans="1:7" ht="17.25" customHeight="1" x14ac:dyDescent="0.2">
      <c r="A929" s="1611">
        <v>14</v>
      </c>
      <c r="B929" s="1611" t="s">
        <v>2027</v>
      </c>
      <c r="C929" s="1611" t="s">
        <v>4324</v>
      </c>
      <c r="D929" s="1612" t="s">
        <v>2024</v>
      </c>
      <c r="E929" s="1706" t="s">
        <v>7592</v>
      </c>
      <c r="F929" s="1613">
        <v>12899091</v>
      </c>
      <c r="G929" s="1613">
        <v>33625668456</v>
      </c>
    </row>
    <row r="930" spans="1:7" ht="17.25" customHeight="1" x14ac:dyDescent="0.2">
      <c r="A930" s="1611">
        <v>14</v>
      </c>
      <c r="B930" s="1611" t="s">
        <v>2037</v>
      </c>
      <c r="C930" s="1611" t="s">
        <v>4225</v>
      </c>
      <c r="D930" s="1612" t="s">
        <v>7555</v>
      </c>
      <c r="E930" s="1706" t="s">
        <v>7592</v>
      </c>
      <c r="F930" s="1613">
        <v>38000000</v>
      </c>
      <c r="G930" s="1613">
        <v>33663668456</v>
      </c>
    </row>
    <row r="931" spans="1:7" ht="17.25" customHeight="1" x14ac:dyDescent="0.2">
      <c r="A931" s="1611">
        <v>14</v>
      </c>
      <c r="B931" s="1611" t="s">
        <v>2028</v>
      </c>
      <c r="C931" s="1611" t="s">
        <v>4325</v>
      </c>
      <c r="D931" s="1612" t="s">
        <v>2024</v>
      </c>
      <c r="E931" s="1706" t="s">
        <v>7592</v>
      </c>
      <c r="F931" s="1613">
        <v>16300000</v>
      </c>
      <c r="G931" s="1613">
        <v>33679968456</v>
      </c>
    </row>
    <row r="932" spans="1:7" ht="17.25" customHeight="1" x14ac:dyDescent="0.2">
      <c r="A932" s="1611">
        <v>14</v>
      </c>
      <c r="B932" s="1611" t="s">
        <v>7186</v>
      </c>
      <c r="C932" s="1611" t="s">
        <v>214</v>
      </c>
      <c r="D932" s="1612">
        <v>0</v>
      </c>
      <c r="E932" s="1706" t="s">
        <v>7592</v>
      </c>
      <c r="F932" s="1613">
        <v>46107400</v>
      </c>
      <c r="G932" s="1613">
        <v>33726075856</v>
      </c>
    </row>
    <row r="933" spans="1:7" ht="17.25" customHeight="1" x14ac:dyDescent="0.2">
      <c r="A933" s="1611">
        <v>14</v>
      </c>
      <c r="B933" s="1611" t="s">
        <v>4326</v>
      </c>
      <c r="C933" s="1611" t="s">
        <v>4111</v>
      </c>
      <c r="D933" s="1612">
        <v>0</v>
      </c>
      <c r="E933" s="1706" t="s">
        <v>7592</v>
      </c>
      <c r="F933" s="1613">
        <v>133284090</v>
      </c>
      <c r="G933" s="1613">
        <v>33859359946</v>
      </c>
    </row>
    <row r="934" spans="1:7" ht="17.25" customHeight="1" x14ac:dyDescent="0.2">
      <c r="A934" s="1611">
        <v>14</v>
      </c>
      <c r="B934" s="1611" t="s">
        <v>2038</v>
      </c>
      <c r="C934" s="1611" t="s">
        <v>4098</v>
      </c>
      <c r="D934" s="1612" t="s">
        <v>7555</v>
      </c>
      <c r="E934" s="1706" t="s">
        <v>7592</v>
      </c>
      <c r="F934" s="1613">
        <v>40500000</v>
      </c>
      <c r="G934" s="1613">
        <v>33899859946</v>
      </c>
    </row>
    <row r="935" spans="1:7" ht="17.25" customHeight="1" x14ac:dyDescent="0.2">
      <c r="A935" s="1611">
        <v>14</v>
      </c>
      <c r="B935" s="1611" t="s">
        <v>2038</v>
      </c>
      <c r="C935" s="1611" t="s">
        <v>4327</v>
      </c>
      <c r="D935" s="1612" t="s">
        <v>7555</v>
      </c>
      <c r="E935" s="1706" t="s">
        <v>7592</v>
      </c>
      <c r="F935" s="1613">
        <v>40500000</v>
      </c>
      <c r="G935" s="1613">
        <v>33940359946</v>
      </c>
    </row>
    <row r="936" spans="1:7" ht="17.25" customHeight="1" x14ac:dyDescent="0.2">
      <c r="A936" s="1611">
        <v>14</v>
      </c>
      <c r="B936" s="1611" t="s">
        <v>2043</v>
      </c>
      <c r="C936" s="1611" t="s">
        <v>4328</v>
      </c>
      <c r="D936" s="1612" t="s">
        <v>7555</v>
      </c>
      <c r="E936" s="1706" t="s">
        <v>7592</v>
      </c>
      <c r="F936" s="1613">
        <v>51500000</v>
      </c>
      <c r="G936" s="1613">
        <v>33991859946</v>
      </c>
    </row>
    <row r="937" spans="1:7" ht="17.25" customHeight="1" x14ac:dyDescent="0.2">
      <c r="A937" s="1611">
        <v>14</v>
      </c>
      <c r="B937" s="1611" t="s">
        <v>2038</v>
      </c>
      <c r="C937" s="1611" t="s">
        <v>4329</v>
      </c>
      <c r="D937" s="1612" t="s">
        <v>7555</v>
      </c>
      <c r="E937" s="1706" t="s">
        <v>7592</v>
      </c>
      <c r="F937" s="1613">
        <v>39600000</v>
      </c>
      <c r="G937" s="1613">
        <v>34031459946</v>
      </c>
    </row>
    <row r="938" spans="1:7" ht="17.25" customHeight="1" x14ac:dyDescent="0.2">
      <c r="A938" s="1611">
        <v>14</v>
      </c>
      <c r="B938" s="1611" t="s">
        <v>2043</v>
      </c>
      <c r="C938" s="1611" t="s">
        <v>4330</v>
      </c>
      <c r="D938" s="1612" t="s">
        <v>7555</v>
      </c>
      <c r="E938" s="1706" t="s">
        <v>7592</v>
      </c>
      <c r="F938" s="1613">
        <v>55000000</v>
      </c>
      <c r="G938" s="1613">
        <v>34086459946</v>
      </c>
    </row>
    <row r="939" spans="1:7" ht="17.25" customHeight="1" x14ac:dyDescent="0.2">
      <c r="A939" s="1611">
        <v>14</v>
      </c>
      <c r="B939" s="1611" t="s">
        <v>2037</v>
      </c>
      <c r="C939" s="1611" t="s">
        <v>4331</v>
      </c>
      <c r="D939" s="1612" t="s">
        <v>7555</v>
      </c>
      <c r="E939" s="1706" t="s">
        <v>7592</v>
      </c>
      <c r="F939" s="1613">
        <v>37272727</v>
      </c>
      <c r="G939" s="1613">
        <v>34123732673</v>
      </c>
    </row>
    <row r="940" spans="1:7" ht="17.25" customHeight="1" x14ac:dyDescent="0.2">
      <c r="A940" s="1611">
        <v>14</v>
      </c>
      <c r="B940" s="1611" t="s">
        <v>2038</v>
      </c>
      <c r="C940" s="1611" t="s">
        <v>4332</v>
      </c>
      <c r="D940" s="1612" t="s">
        <v>7555</v>
      </c>
      <c r="E940" s="1706" t="s">
        <v>7592</v>
      </c>
      <c r="F940" s="1613">
        <v>40909091</v>
      </c>
      <c r="G940" s="1613">
        <v>34164641764</v>
      </c>
    </row>
    <row r="941" spans="1:7" ht="17.25" customHeight="1" x14ac:dyDescent="0.2">
      <c r="A941" s="1611">
        <v>14</v>
      </c>
      <c r="B941" s="1611" t="s">
        <v>2038</v>
      </c>
      <c r="C941" s="1611" t="s">
        <v>4333</v>
      </c>
      <c r="D941" s="1612" t="s">
        <v>7555</v>
      </c>
      <c r="E941" s="1706" t="s">
        <v>7592</v>
      </c>
      <c r="F941" s="1613">
        <v>40000000</v>
      </c>
      <c r="G941" s="1613">
        <v>34204641764</v>
      </c>
    </row>
    <row r="942" spans="1:7" ht="17.25" customHeight="1" x14ac:dyDescent="0.2">
      <c r="A942" s="1611">
        <v>14</v>
      </c>
      <c r="B942" s="1611" t="s">
        <v>2038</v>
      </c>
      <c r="C942" s="1611" t="s">
        <v>4319</v>
      </c>
      <c r="D942" s="1612" t="s">
        <v>7555</v>
      </c>
      <c r="E942" s="1706" t="s">
        <v>7592</v>
      </c>
      <c r="F942" s="1613">
        <v>40500000</v>
      </c>
      <c r="G942" s="1613">
        <v>34245141764</v>
      </c>
    </row>
    <row r="943" spans="1:7" ht="17.25" customHeight="1" x14ac:dyDescent="0.2">
      <c r="A943" s="1611">
        <v>14</v>
      </c>
      <c r="B943" s="1611" t="s">
        <v>2027</v>
      </c>
      <c r="C943" s="1611" t="s">
        <v>4291</v>
      </c>
      <c r="D943" s="1612" t="s">
        <v>2024</v>
      </c>
      <c r="E943" s="1706" t="s">
        <v>7592</v>
      </c>
      <c r="F943" s="1613">
        <v>14035455</v>
      </c>
      <c r="G943" s="1613">
        <v>34259177219</v>
      </c>
    </row>
    <row r="944" spans="1:7" ht="17.25" customHeight="1" x14ac:dyDescent="0.2">
      <c r="A944" s="1611">
        <v>14</v>
      </c>
      <c r="B944" s="1611" t="s">
        <v>4334</v>
      </c>
      <c r="C944" s="1611" t="s">
        <v>3597</v>
      </c>
      <c r="D944" s="1612">
        <v>0</v>
      </c>
      <c r="E944" s="1706" t="s">
        <v>7592</v>
      </c>
      <c r="F944" s="1613">
        <v>4280000</v>
      </c>
      <c r="G944" s="1613">
        <v>34263457219</v>
      </c>
    </row>
    <row r="945" spans="1:7" ht="17.25" customHeight="1" x14ac:dyDescent="0.2">
      <c r="A945" s="1611">
        <v>14</v>
      </c>
      <c r="B945" s="1611" t="s">
        <v>7187</v>
      </c>
      <c r="C945" s="1611" t="s">
        <v>4064</v>
      </c>
      <c r="D945" s="1612">
        <v>0</v>
      </c>
      <c r="E945" s="1612" t="s">
        <v>3295</v>
      </c>
      <c r="F945" s="1613">
        <v>237716756</v>
      </c>
      <c r="G945" s="1613">
        <v>34501173975</v>
      </c>
    </row>
    <row r="946" spans="1:7" ht="17.25" customHeight="1" x14ac:dyDescent="0.2">
      <c r="A946" s="1611">
        <v>14</v>
      </c>
      <c r="B946" s="1611" t="s">
        <v>2041</v>
      </c>
      <c r="C946" s="1611" t="s">
        <v>4283</v>
      </c>
      <c r="D946" s="1612" t="s">
        <v>7555</v>
      </c>
      <c r="E946" s="1706" t="s">
        <v>7592</v>
      </c>
      <c r="F946" s="1613">
        <v>50000000</v>
      </c>
      <c r="G946" s="1613">
        <v>34551173975</v>
      </c>
    </row>
    <row r="947" spans="1:7" ht="17.25" customHeight="1" x14ac:dyDescent="0.2">
      <c r="A947" s="1611">
        <v>14</v>
      </c>
      <c r="B947" s="1611" t="s">
        <v>3627</v>
      </c>
      <c r="C947" s="1611" t="s">
        <v>4335</v>
      </c>
      <c r="D947" s="1612">
        <v>0</v>
      </c>
      <c r="E947" s="1706" t="s">
        <v>7592</v>
      </c>
      <c r="F947" s="1613">
        <v>132000000</v>
      </c>
      <c r="G947" s="1613">
        <v>34683173975</v>
      </c>
    </row>
    <row r="948" spans="1:7" ht="17.25" customHeight="1" x14ac:dyDescent="0.2">
      <c r="A948" s="1611">
        <v>14</v>
      </c>
      <c r="B948" s="1611" t="s">
        <v>2037</v>
      </c>
      <c r="C948" s="1611" t="s">
        <v>4336</v>
      </c>
      <c r="D948" s="1612" t="s">
        <v>7555</v>
      </c>
      <c r="E948" s="1706" t="s">
        <v>7592</v>
      </c>
      <c r="F948" s="1613">
        <v>38600000</v>
      </c>
      <c r="G948" s="1613">
        <v>34721773975</v>
      </c>
    </row>
    <row r="949" spans="1:7" ht="17.25" customHeight="1" x14ac:dyDescent="0.2">
      <c r="A949" s="1611">
        <v>14</v>
      </c>
      <c r="B949" s="1611" t="s">
        <v>2037</v>
      </c>
      <c r="C949" s="1611" t="s">
        <v>3637</v>
      </c>
      <c r="D949" s="1612" t="s">
        <v>7555</v>
      </c>
      <c r="E949" s="1706" t="s">
        <v>7592</v>
      </c>
      <c r="F949" s="1613">
        <v>38300000</v>
      </c>
      <c r="G949" s="1613">
        <v>34760073975</v>
      </c>
    </row>
    <row r="950" spans="1:7" ht="17.25" customHeight="1" x14ac:dyDescent="0.2">
      <c r="A950" s="1611">
        <v>14</v>
      </c>
      <c r="B950" s="1611" t="s">
        <v>2038</v>
      </c>
      <c r="C950" s="1611" t="s">
        <v>4337</v>
      </c>
      <c r="D950" s="1612" t="s">
        <v>7555</v>
      </c>
      <c r="E950" s="1706" t="s">
        <v>7592</v>
      </c>
      <c r="F950" s="1613">
        <v>40000000</v>
      </c>
      <c r="G950" s="1613">
        <v>34800073975</v>
      </c>
    </row>
    <row r="951" spans="1:7" ht="17.25" customHeight="1" x14ac:dyDescent="0.2">
      <c r="A951" s="1611">
        <v>14</v>
      </c>
      <c r="B951" s="1611" t="s">
        <v>2037</v>
      </c>
      <c r="C951" s="1611" t="s">
        <v>3719</v>
      </c>
      <c r="D951" s="1612" t="s">
        <v>7555</v>
      </c>
      <c r="E951" s="1706" t="s">
        <v>7592</v>
      </c>
      <c r="F951" s="1613">
        <v>37272727</v>
      </c>
      <c r="G951" s="1613">
        <v>34837346702</v>
      </c>
    </row>
    <row r="952" spans="1:7" ht="17.25" customHeight="1" x14ac:dyDescent="0.2">
      <c r="A952" s="1611">
        <v>14</v>
      </c>
      <c r="B952" s="1611" t="s">
        <v>2028</v>
      </c>
      <c r="C952" s="1611" t="s">
        <v>4338</v>
      </c>
      <c r="D952" s="1612" t="s">
        <v>2024</v>
      </c>
      <c r="E952" s="1706" t="s">
        <v>7592</v>
      </c>
      <c r="F952" s="1613">
        <v>13545455</v>
      </c>
      <c r="G952" s="1613">
        <v>34850892157</v>
      </c>
    </row>
    <row r="953" spans="1:7" ht="17.25" customHeight="1" x14ac:dyDescent="0.2">
      <c r="A953" s="1611">
        <v>14</v>
      </c>
      <c r="B953" s="1611" t="s">
        <v>2039</v>
      </c>
      <c r="C953" s="1611" t="s">
        <v>4339</v>
      </c>
      <c r="D953" s="1612" t="s">
        <v>7555</v>
      </c>
      <c r="E953" s="1706" t="s">
        <v>7592</v>
      </c>
      <c r="F953" s="1613">
        <v>41720000</v>
      </c>
      <c r="G953" s="1613">
        <v>34892612157</v>
      </c>
    </row>
    <row r="954" spans="1:7" ht="17.25" customHeight="1" x14ac:dyDescent="0.2">
      <c r="A954" s="1611">
        <v>14</v>
      </c>
      <c r="B954" s="1611" t="s">
        <v>2038</v>
      </c>
      <c r="C954" s="1611" t="s">
        <v>4340</v>
      </c>
      <c r="D954" s="1612" t="s">
        <v>7555</v>
      </c>
      <c r="E954" s="1706" t="s">
        <v>7592</v>
      </c>
      <c r="F954" s="1613">
        <v>40909091</v>
      </c>
      <c r="G954" s="1613">
        <v>34933521248</v>
      </c>
    </row>
    <row r="955" spans="1:7" ht="17.25" customHeight="1" x14ac:dyDescent="0.2">
      <c r="A955" s="1611">
        <v>14</v>
      </c>
      <c r="B955" s="1611" t="s">
        <v>2039</v>
      </c>
      <c r="C955" s="1611" t="s">
        <v>4341</v>
      </c>
      <c r="D955" s="1612" t="s">
        <v>7555</v>
      </c>
      <c r="E955" s="1706" t="s">
        <v>7592</v>
      </c>
      <c r="F955" s="1613">
        <v>45454545</v>
      </c>
      <c r="G955" s="1613">
        <v>34978975793</v>
      </c>
    </row>
    <row r="956" spans="1:7" ht="17.25" customHeight="1" x14ac:dyDescent="0.2">
      <c r="A956" s="1611">
        <v>14</v>
      </c>
      <c r="B956" s="1611" t="s">
        <v>2038</v>
      </c>
      <c r="C956" s="1611" t="s">
        <v>4342</v>
      </c>
      <c r="D956" s="1612" t="s">
        <v>7555</v>
      </c>
      <c r="E956" s="1706" t="s">
        <v>7592</v>
      </c>
      <c r="F956" s="1613">
        <v>40500000</v>
      </c>
      <c r="G956" s="1613">
        <v>35019475793</v>
      </c>
    </row>
    <row r="957" spans="1:7" ht="17.25" customHeight="1" x14ac:dyDescent="0.2">
      <c r="A957" s="1611">
        <v>14</v>
      </c>
      <c r="B957" s="1611" t="s">
        <v>2037</v>
      </c>
      <c r="C957" s="1611" t="s">
        <v>4343</v>
      </c>
      <c r="D957" s="1612" t="s">
        <v>7555</v>
      </c>
      <c r="E957" s="1706" t="s">
        <v>7592</v>
      </c>
      <c r="F957" s="1613">
        <v>37727273</v>
      </c>
      <c r="G957" s="1613">
        <v>35057203066</v>
      </c>
    </row>
    <row r="958" spans="1:7" ht="17.25" customHeight="1" x14ac:dyDescent="0.2">
      <c r="A958" s="1611">
        <v>14</v>
      </c>
      <c r="B958" s="1611" t="s">
        <v>2026</v>
      </c>
      <c r="C958" s="1611" t="s">
        <v>4344</v>
      </c>
      <c r="D958" s="1612" t="s">
        <v>2024</v>
      </c>
      <c r="E958" s="1706" t="s">
        <v>7592</v>
      </c>
      <c r="F958" s="1613">
        <v>13636364</v>
      </c>
      <c r="G958" s="1613">
        <v>35070839430</v>
      </c>
    </row>
    <row r="959" spans="1:7" ht="17.25" customHeight="1" x14ac:dyDescent="0.2">
      <c r="A959" s="1611">
        <v>14</v>
      </c>
      <c r="B959" s="1611" t="s">
        <v>2041</v>
      </c>
      <c r="C959" s="1611" t="s">
        <v>4345</v>
      </c>
      <c r="D959" s="1612" t="s">
        <v>7555</v>
      </c>
      <c r="E959" s="1706" t="s">
        <v>7592</v>
      </c>
      <c r="F959" s="1613">
        <v>49000000</v>
      </c>
      <c r="G959" s="1613">
        <v>35119839430</v>
      </c>
    </row>
    <row r="960" spans="1:7" ht="17.25" customHeight="1" x14ac:dyDescent="0.2">
      <c r="A960" s="1611">
        <v>14</v>
      </c>
      <c r="B960" s="1611" t="s">
        <v>7158</v>
      </c>
      <c r="C960" s="1611" t="s">
        <v>4346</v>
      </c>
      <c r="D960" s="1612">
        <v>0</v>
      </c>
      <c r="E960" s="1706" t="s">
        <v>7591</v>
      </c>
      <c r="F960" s="1613">
        <v>77420639</v>
      </c>
      <c r="G960" s="1613">
        <v>35197260069</v>
      </c>
    </row>
    <row r="961" spans="1:7" ht="17.25" customHeight="1" x14ac:dyDescent="0.2">
      <c r="A961" s="1611">
        <v>14</v>
      </c>
      <c r="B961" s="1611" t="s">
        <v>2041</v>
      </c>
      <c r="C961" s="1611" t="s">
        <v>3447</v>
      </c>
      <c r="D961" s="1612" t="s">
        <v>7555</v>
      </c>
      <c r="E961" s="1706" t="s">
        <v>7592</v>
      </c>
      <c r="F961" s="1613">
        <v>49321000</v>
      </c>
      <c r="G961" s="1613">
        <v>35246581069</v>
      </c>
    </row>
    <row r="962" spans="1:7" ht="17.25" customHeight="1" x14ac:dyDescent="0.2">
      <c r="A962" s="1611">
        <v>14</v>
      </c>
      <c r="B962" s="1611" t="s">
        <v>2041</v>
      </c>
      <c r="C962" s="1611" t="s">
        <v>4347</v>
      </c>
      <c r="D962" s="1612" t="s">
        <v>7555</v>
      </c>
      <c r="E962" s="1706" t="s">
        <v>7592</v>
      </c>
      <c r="F962" s="1613">
        <v>50818182</v>
      </c>
      <c r="G962" s="1613">
        <v>35297399251</v>
      </c>
    </row>
    <row r="963" spans="1:7" ht="17.25" customHeight="1" x14ac:dyDescent="0.2">
      <c r="A963" s="1611">
        <v>14</v>
      </c>
      <c r="B963" s="1611" t="s">
        <v>2037</v>
      </c>
      <c r="C963" s="1611" t="s">
        <v>3944</v>
      </c>
      <c r="D963" s="1612" t="s">
        <v>7555</v>
      </c>
      <c r="E963" s="1706" t="s">
        <v>7592</v>
      </c>
      <c r="F963" s="1613">
        <v>38181818</v>
      </c>
      <c r="G963" s="1613">
        <v>35335581069</v>
      </c>
    </row>
    <row r="964" spans="1:7" ht="17.25" customHeight="1" x14ac:dyDescent="0.2">
      <c r="A964" s="1611">
        <v>14</v>
      </c>
      <c r="B964" s="1611" t="s">
        <v>2038</v>
      </c>
      <c r="C964" s="1611" t="s">
        <v>3944</v>
      </c>
      <c r="D964" s="1612" t="s">
        <v>7555</v>
      </c>
      <c r="E964" s="1706" t="s">
        <v>7592</v>
      </c>
      <c r="F964" s="1613">
        <v>40000000</v>
      </c>
      <c r="G964" s="1613">
        <v>35375581069</v>
      </c>
    </row>
    <row r="965" spans="1:7" ht="17.25" customHeight="1" x14ac:dyDescent="0.2">
      <c r="A965" s="1611">
        <v>14</v>
      </c>
      <c r="B965" s="1611" t="s">
        <v>2041</v>
      </c>
      <c r="C965" s="1611" t="s">
        <v>214</v>
      </c>
      <c r="D965" s="1612" t="s">
        <v>7555</v>
      </c>
      <c r="E965" s="1706" t="s">
        <v>7592</v>
      </c>
      <c r="F965" s="1613">
        <v>40776564</v>
      </c>
      <c r="G965" s="1613">
        <v>35416357633</v>
      </c>
    </row>
    <row r="966" spans="1:7" ht="17.25" customHeight="1" x14ac:dyDescent="0.2">
      <c r="A966" s="1611">
        <v>14</v>
      </c>
      <c r="B966" s="1611" t="s">
        <v>3650</v>
      </c>
      <c r="C966" s="1611" t="s">
        <v>3597</v>
      </c>
      <c r="D966" s="1612">
        <v>0</v>
      </c>
      <c r="E966" s="1706" t="s">
        <v>7592</v>
      </c>
      <c r="F966" s="1613">
        <v>19000000</v>
      </c>
      <c r="G966" s="1613">
        <v>35435357633</v>
      </c>
    </row>
    <row r="967" spans="1:7" ht="17.25" customHeight="1" x14ac:dyDescent="0.2">
      <c r="A967" s="1611">
        <v>14</v>
      </c>
      <c r="B967" s="1611" t="s">
        <v>3650</v>
      </c>
      <c r="C967" s="1611" t="s">
        <v>3597</v>
      </c>
      <c r="D967" s="1612">
        <v>0</v>
      </c>
      <c r="E967" s="1706" t="s">
        <v>7592</v>
      </c>
      <c r="F967" s="1613">
        <v>19000000</v>
      </c>
      <c r="G967" s="1613">
        <v>35454357633</v>
      </c>
    </row>
    <row r="968" spans="1:7" ht="17.25" customHeight="1" x14ac:dyDescent="0.2">
      <c r="A968" s="1611">
        <v>14</v>
      </c>
      <c r="B968" s="1611" t="s">
        <v>4348</v>
      </c>
      <c r="C968" s="1611" t="s">
        <v>3597</v>
      </c>
      <c r="D968" s="1612">
        <v>0</v>
      </c>
      <c r="E968" s="1706" t="s">
        <v>7592</v>
      </c>
      <c r="F968" s="1613">
        <v>18140000</v>
      </c>
      <c r="G968" s="1613">
        <v>35472497633</v>
      </c>
    </row>
    <row r="969" spans="1:7" ht="17.25" customHeight="1" x14ac:dyDescent="0.2">
      <c r="A969" s="1611">
        <v>14</v>
      </c>
      <c r="B969" s="1611" t="s">
        <v>2032</v>
      </c>
      <c r="C969" s="1611" t="s">
        <v>4349</v>
      </c>
      <c r="D969" s="1612" t="s">
        <v>7555</v>
      </c>
      <c r="E969" s="1706" t="s">
        <v>7592</v>
      </c>
      <c r="F969" s="1613">
        <v>33100000</v>
      </c>
      <c r="G969" s="1613">
        <v>35505597633</v>
      </c>
    </row>
    <row r="970" spans="1:7" ht="17.25" customHeight="1" x14ac:dyDescent="0.2">
      <c r="A970" s="1611">
        <v>14</v>
      </c>
      <c r="B970" s="1611" t="s">
        <v>2038</v>
      </c>
      <c r="C970" s="1611" t="s">
        <v>4350</v>
      </c>
      <c r="D970" s="1612" t="s">
        <v>7555</v>
      </c>
      <c r="E970" s="1706" t="s">
        <v>7592</v>
      </c>
      <c r="F970" s="1613">
        <v>39550000</v>
      </c>
      <c r="G970" s="1613">
        <v>35545147633</v>
      </c>
    </row>
    <row r="971" spans="1:7" ht="17.25" customHeight="1" x14ac:dyDescent="0.2">
      <c r="A971" s="1611">
        <v>14</v>
      </c>
      <c r="B971" s="1611" t="s">
        <v>2038</v>
      </c>
      <c r="C971" s="1611" t="s">
        <v>4351</v>
      </c>
      <c r="D971" s="1612" t="s">
        <v>7555</v>
      </c>
      <c r="E971" s="1706" t="s">
        <v>7592</v>
      </c>
      <c r="F971" s="1613">
        <v>39400000</v>
      </c>
      <c r="G971" s="1613">
        <v>35584547633</v>
      </c>
    </row>
    <row r="972" spans="1:7" ht="17.25" customHeight="1" x14ac:dyDescent="0.2">
      <c r="A972" s="1611">
        <v>14</v>
      </c>
      <c r="B972" s="1611" t="s">
        <v>2028</v>
      </c>
      <c r="C972" s="1611" t="s">
        <v>4283</v>
      </c>
      <c r="D972" s="1612" t="s">
        <v>2024</v>
      </c>
      <c r="E972" s="1706" t="s">
        <v>7592</v>
      </c>
      <c r="F972" s="1613">
        <v>11818182</v>
      </c>
      <c r="G972" s="1613">
        <v>35596365815</v>
      </c>
    </row>
    <row r="973" spans="1:7" ht="17.25" customHeight="1" x14ac:dyDescent="0.2">
      <c r="A973" s="1611">
        <v>14</v>
      </c>
      <c r="B973" s="1611" t="s">
        <v>2027</v>
      </c>
      <c r="C973" s="1611" t="s">
        <v>4352</v>
      </c>
      <c r="D973" s="1612" t="s">
        <v>2024</v>
      </c>
      <c r="E973" s="1706" t="s">
        <v>7592</v>
      </c>
      <c r="F973" s="1613">
        <v>15909090</v>
      </c>
      <c r="G973" s="1613">
        <v>35612274905</v>
      </c>
    </row>
    <row r="974" spans="1:7" ht="17.25" customHeight="1" x14ac:dyDescent="0.2">
      <c r="A974" s="1611">
        <v>14</v>
      </c>
      <c r="B974" s="1611" t="s">
        <v>2027</v>
      </c>
      <c r="C974" s="1611" t="s">
        <v>4353</v>
      </c>
      <c r="D974" s="1612" t="s">
        <v>2024</v>
      </c>
      <c r="E974" s="1706" t="s">
        <v>7592</v>
      </c>
      <c r="F974" s="1613">
        <v>13000000</v>
      </c>
      <c r="G974" s="1613">
        <v>35625274905</v>
      </c>
    </row>
    <row r="975" spans="1:7" ht="17.25" customHeight="1" x14ac:dyDescent="0.2">
      <c r="A975" s="1611">
        <v>14</v>
      </c>
      <c r="B975" s="1611" t="s">
        <v>2038</v>
      </c>
      <c r="C975" s="1611" t="s">
        <v>4354</v>
      </c>
      <c r="D975" s="1612" t="s">
        <v>7555</v>
      </c>
      <c r="E975" s="1706" t="s">
        <v>7592</v>
      </c>
      <c r="F975" s="1613">
        <v>39090909</v>
      </c>
      <c r="G975" s="1613">
        <v>35664365814</v>
      </c>
    </row>
    <row r="976" spans="1:7" ht="17.25" customHeight="1" x14ac:dyDescent="0.2">
      <c r="A976" s="1611">
        <v>14</v>
      </c>
      <c r="B976" s="1611" t="s">
        <v>2047</v>
      </c>
      <c r="C976" s="1611" t="s">
        <v>4355</v>
      </c>
      <c r="D976" s="1612" t="s">
        <v>7555</v>
      </c>
      <c r="E976" s="1706" t="s">
        <v>7592</v>
      </c>
      <c r="F976" s="1613">
        <v>105500000</v>
      </c>
      <c r="G976" s="1613">
        <v>35769865814</v>
      </c>
    </row>
    <row r="977" spans="1:7" ht="17.25" customHeight="1" x14ac:dyDescent="0.2">
      <c r="A977" s="1611">
        <v>14</v>
      </c>
      <c r="B977" s="1611" t="s">
        <v>2026</v>
      </c>
      <c r="C977" s="1611" t="s">
        <v>3897</v>
      </c>
      <c r="D977" s="1612" t="s">
        <v>2024</v>
      </c>
      <c r="E977" s="1706" t="s">
        <v>7592</v>
      </c>
      <c r="F977" s="1613">
        <v>14000000</v>
      </c>
      <c r="G977" s="1613">
        <v>35783865814</v>
      </c>
    </row>
    <row r="978" spans="1:7" ht="17.25" customHeight="1" x14ac:dyDescent="0.2">
      <c r="A978" s="1611">
        <v>14</v>
      </c>
      <c r="B978" s="1611" t="s">
        <v>2026</v>
      </c>
      <c r="C978" s="1611" t="s">
        <v>4344</v>
      </c>
      <c r="D978" s="1612" t="s">
        <v>2024</v>
      </c>
      <c r="E978" s="1706" t="s">
        <v>7592</v>
      </c>
      <c r="F978" s="1613">
        <v>13636364</v>
      </c>
      <c r="G978" s="1613">
        <v>35797502178</v>
      </c>
    </row>
    <row r="979" spans="1:7" ht="17.25" customHeight="1" x14ac:dyDescent="0.2">
      <c r="A979" s="1611">
        <v>14</v>
      </c>
      <c r="B979" s="1611" t="s">
        <v>2027</v>
      </c>
      <c r="C979" s="1611" t="s">
        <v>4356</v>
      </c>
      <c r="D979" s="1612" t="s">
        <v>2024</v>
      </c>
      <c r="E979" s="1706" t="s">
        <v>7592</v>
      </c>
      <c r="F979" s="1613">
        <v>14035455</v>
      </c>
      <c r="G979" s="1613">
        <v>35811537633</v>
      </c>
    </row>
    <row r="980" spans="1:7" ht="17.25" customHeight="1" x14ac:dyDescent="0.2">
      <c r="A980" s="1611">
        <v>14</v>
      </c>
      <c r="B980" s="1611" t="s">
        <v>2038</v>
      </c>
      <c r="C980" s="1611" t="s">
        <v>4357</v>
      </c>
      <c r="D980" s="1612" t="s">
        <v>7555</v>
      </c>
      <c r="E980" s="1706" t="s">
        <v>7592</v>
      </c>
      <c r="F980" s="1613">
        <v>40000000</v>
      </c>
      <c r="G980" s="1613">
        <v>35851537633</v>
      </c>
    </row>
    <row r="981" spans="1:7" ht="17.25" customHeight="1" x14ac:dyDescent="0.2">
      <c r="A981" s="1611">
        <v>14</v>
      </c>
      <c r="B981" s="1611" t="s">
        <v>2038</v>
      </c>
      <c r="C981" s="1611" t="s">
        <v>4024</v>
      </c>
      <c r="D981" s="1612" t="s">
        <v>7555</v>
      </c>
      <c r="E981" s="1706" t="s">
        <v>7592</v>
      </c>
      <c r="F981" s="1613">
        <v>41272727</v>
      </c>
      <c r="G981" s="1613">
        <v>35892810360</v>
      </c>
    </row>
    <row r="982" spans="1:7" ht="17.25" customHeight="1" x14ac:dyDescent="0.2">
      <c r="A982" s="1611">
        <v>14</v>
      </c>
      <c r="B982" s="1611" t="s">
        <v>2032</v>
      </c>
      <c r="C982" s="1611" t="s">
        <v>4358</v>
      </c>
      <c r="D982" s="1612" t="s">
        <v>7555</v>
      </c>
      <c r="E982" s="1706" t="s">
        <v>7592</v>
      </c>
      <c r="F982" s="1613">
        <v>34000000</v>
      </c>
      <c r="G982" s="1613">
        <v>35926810360</v>
      </c>
    </row>
    <row r="983" spans="1:7" ht="17.25" customHeight="1" x14ac:dyDescent="0.2">
      <c r="A983" s="1611">
        <v>14</v>
      </c>
      <c r="B983" s="1611" t="s">
        <v>2026</v>
      </c>
      <c r="C983" s="1611" t="s">
        <v>4344</v>
      </c>
      <c r="D983" s="1612" t="s">
        <v>2024</v>
      </c>
      <c r="E983" s="1706" t="s">
        <v>7592</v>
      </c>
      <c r="F983" s="1613">
        <v>-13636364</v>
      </c>
      <c r="G983" s="1613">
        <v>35913173996</v>
      </c>
    </row>
    <row r="984" spans="1:7" ht="17.25" customHeight="1" x14ac:dyDescent="0.2">
      <c r="A984" s="1611">
        <v>14</v>
      </c>
      <c r="B984" s="1611" t="s">
        <v>3937</v>
      </c>
      <c r="C984" s="1611" t="s">
        <v>3760</v>
      </c>
      <c r="D984" s="1612">
        <v>0</v>
      </c>
      <c r="E984" s="1706" t="s">
        <v>7592</v>
      </c>
      <c r="F984" s="1613">
        <v>505700000</v>
      </c>
      <c r="G984" s="1613">
        <v>36418873996</v>
      </c>
    </row>
    <row r="985" spans="1:7" ht="17.25" customHeight="1" x14ac:dyDescent="0.2">
      <c r="A985" s="1611">
        <v>14</v>
      </c>
      <c r="B985" s="1611" t="s">
        <v>2038</v>
      </c>
      <c r="C985" s="1611" t="s">
        <v>4359</v>
      </c>
      <c r="D985" s="1612" t="s">
        <v>7555</v>
      </c>
      <c r="E985" s="1706" t="s">
        <v>7592</v>
      </c>
      <c r="F985" s="1613">
        <v>39500000</v>
      </c>
      <c r="G985" s="1613">
        <v>36458373996</v>
      </c>
    </row>
    <row r="986" spans="1:7" ht="17.25" customHeight="1" x14ac:dyDescent="0.2">
      <c r="A986" s="1611">
        <v>14</v>
      </c>
      <c r="B986" s="1611" t="s">
        <v>2039</v>
      </c>
      <c r="C986" s="1611" t="s">
        <v>4360</v>
      </c>
      <c r="D986" s="1612" t="s">
        <v>7555</v>
      </c>
      <c r="E986" s="1706" t="s">
        <v>7592</v>
      </c>
      <c r="F986" s="1613">
        <v>39090909</v>
      </c>
      <c r="G986" s="1613">
        <v>36497464905</v>
      </c>
    </row>
    <row r="987" spans="1:7" ht="17.25" customHeight="1" x14ac:dyDescent="0.2">
      <c r="A987" s="1611">
        <v>14</v>
      </c>
      <c r="B987" s="1611" t="s">
        <v>2039</v>
      </c>
      <c r="C987" s="1611" t="s">
        <v>4361</v>
      </c>
      <c r="D987" s="1612" t="s">
        <v>7555</v>
      </c>
      <c r="E987" s="1706" t="s">
        <v>7592</v>
      </c>
      <c r="F987" s="1613">
        <v>40000000</v>
      </c>
      <c r="G987" s="1613">
        <v>36537464905</v>
      </c>
    </row>
    <row r="988" spans="1:7" ht="17.25" customHeight="1" x14ac:dyDescent="0.2">
      <c r="A988" s="1611">
        <v>14</v>
      </c>
      <c r="B988" s="1611" t="s">
        <v>2041</v>
      </c>
      <c r="C988" s="1611" t="s">
        <v>4362</v>
      </c>
      <c r="D988" s="1612" t="s">
        <v>7555</v>
      </c>
      <c r="E988" s="1706" t="s">
        <v>7592</v>
      </c>
      <c r="F988" s="1613">
        <v>47800000</v>
      </c>
      <c r="G988" s="1613">
        <v>36585264905</v>
      </c>
    </row>
    <row r="989" spans="1:7" ht="17.25" customHeight="1" x14ac:dyDescent="0.2">
      <c r="A989" s="1611">
        <v>14</v>
      </c>
      <c r="B989" s="1611" t="s">
        <v>2027</v>
      </c>
      <c r="C989" s="1611" t="s">
        <v>4363</v>
      </c>
      <c r="D989" s="1612" t="s">
        <v>2024</v>
      </c>
      <c r="E989" s="1706" t="s">
        <v>7592</v>
      </c>
      <c r="F989" s="1613">
        <v>13000000</v>
      </c>
      <c r="G989" s="1613">
        <v>36598264905</v>
      </c>
    </row>
    <row r="990" spans="1:7" ht="17.25" customHeight="1" x14ac:dyDescent="0.2">
      <c r="A990" s="1611">
        <v>14</v>
      </c>
      <c r="B990" s="1611" t="s">
        <v>2039</v>
      </c>
      <c r="C990" s="1611" t="s">
        <v>4364</v>
      </c>
      <c r="D990" s="1612" t="s">
        <v>7555</v>
      </c>
      <c r="E990" s="1706" t="s">
        <v>7592</v>
      </c>
      <c r="F990" s="1613">
        <v>43700000</v>
      </c>
      <c r="G990" s="1613">
        <v>36641964905</v>
      </c>
    </row>
    <row r="991" spans="1:7" ht="17.25" customHeight="1" x14ac:dyDescent="0.2">
      <c r="A991" s="1611">
        <v>14</v>
      </c>
      <c r="B991" s="1611" t="s">
        <v>7186</v>
      </c>
      <c r="C991" s="1611" t="s">
        <v>4305</v>
      </c>
      <c r="D991" s="1612">
        <v>0</v>
      </c>
      <c r="E991" s="1612" t="s">
        <v>3296</v>
      </c>
      <c r="F991" s="1613">
        <v>508411200</v>
      </c>
      <c r="G991" s="1613">
        <v>37150376105</v>
      </c>
    </row>
    <row r="992" spans="1:7" ht="17.25" customHeight="1" x14ac:dyDescent="0.2">
      <c r="A992" s="1611">
        <v>14</v>
      </c>
      <c r="B992" s="1611" t="s">
        <v>2030</v>
      </c>
      <c r="C992" s="1611" t="s">
        <v>3715</v>
      </c>
      <c r="D992" s="1612" t="s">
        <v>7555</v>
      </c>
      <c r="E992" s="1612" t="s">
        <v>2025</v>
      </c>
      <c r="F992" s="1613">
        <v>128936257</v>
      </c>
      <c r="G992" s="1613">
        <v>37279312362</v>
      </c>
    </row>
    <row r="993" spans="1:7" ht="17.25" customHeight="1" x14ac:dyDescent="0.2">
      <c r="A993" s="1611">
        <v>14</v>
      </c>
      <c r="B993" s="1611" t="s">
        <v>2041</v>
      </c>
      <c r="C993" s="1611" t="s">
        <v>4365</v>
      </c>
      <c r="D993" s="1612" t="s">
        <v>7555</v>
      </c>
      <c r="E993" s="1706" t="s">
        <v>7592</v>
      </c>
      <c r="F993" s="1613">
        <v>50000000</v>
      </c>
      <c r="G993" s="1613">
        <v>37329312362</v>
      </c>
    </row>
    <row r="994" spans="1:7" ht="17.25" customHeight="1" x14ac:dyDescent="0.2">
      <c r="A994" s="1611">
        <v>14</v>
      </c>
      <c r="B994" s="1611" t="s">
        <v>2028</v>
      </c>
      <c r="C994" s="1611" t="s">
        <v>4366</v>
      </c>
      <c r="D994" s="1612" t="s">
        <v>2024</v>
      </c>
      <c r="E994" s="1706" t="s">
        <v>7592</v>
      </c>
      <c r="F994" s="1613">
        <v>16363636</v>
      </c>
      <c r="G994" s="1613">
        <v>37345675998</v>
      </c>
    </row>
    <row r="995" spans="1:7" ht="17.25" customHeight="1" x14ac:dyDescent="0.2">
      <c r="A995" s="1611">
        <v>14</v>
      </c>
      <c r="B995" s="1611" t="s">
        <v>2028</v>
      </c>
      <c r="C995" s="1611" t="s">
        <v>4367</v>
      </c>
      <c r="D995" s="1612" t="s">
        <v>2024</v>
      </c>
      <c r="E995" s="1706" t="s">
        <v>7592</v>
      </c>
      <c r="F995" s="1613">
        <v>14350000</v>
      </c>
      <c r="G995" s="1613">
        <v>37360025998</v>
      </c>
    </row>
    <row r="996" spans="1:7" ht="17.25" customHeight="1" x14ac:dyDescent="0.2">
      <c r="A996" s="1611">
        <v>14</v>
      </c>
      <c r="B996" s="1611" t="s">
        <v>2039</v>
      </c>
      <c r="C996" s="1611" t="s">
        <v>4368</v>
      </c>
      <c r="D996" s="1612" t="s">
        <v>7555</v>
      </c>
      <c r="E996" s="1706" t="s">
        <v>7592</v>
      </c>
      <c r="F996" s="1613">
        <v>44545455</v>
      </c>
      <c r="G996" s="1613">
        <v>37404571453</v>
      </c>
    </row>
    <row r="997" spans="1:7" ht="17.25" customHeight="1" x14ac:dyDescent="0.2">
      <c r="A997" s="1611">
        <v>14</v>
      </c>
      <c r="B997" s="1611" t="s">
        <v>2032</v>
      </c>
      <c r="C997" s="1611" t="s">
        <v>4369</v>
      </c>
      <c r="D997" s="1612" t="s">
        <v>7555</v>
      </c>
      <c r="E997" s="1706" t="s">
        <v>7592</v>
      </c>
      <c r="F997" s="1613">
        <v>33800000</v>
      </c>
      <c r="G997" s="1613">
        <v>37438371453</v>
      </c>
    </row>
    <row r="998" spans="1:7" ht="17.25" customHeight="1" x14ac:dyDescent="0.2">
      <c r="A998" s="1611">
        <v>14</v>
      </c>
      <c r="B998" s="1611" t="s">
        <v>2027</v>
      </c>
      <c r="C998" s="1611" t="s">
        <v>4370</v>
      </c>
      <c r="D998" s="1612" t="s">
        <v>2024</v>
      </c>
      <c r="E998" s="1706" t="s">
        <v>7592</v>
      </c>
      <c r="F998" s="1613">
        <v>13800000</v>
      </c>
      <c r="G998" s="1613">
        <v>37452171453</v>
      </c>
    </row>
    <row r="999" spans="1:7" ht="17.25" customHeight="1" x14ac:dyDescent="0.2">
      <c r="A999" s="1611">
        <v>14</v>
      </c>
      <c r="B999" s="1611" t="s">
        <v>2027</v>
      </c>
      <c r="C999" s="1611" t="s">
        <v>4370</v>
      </c>
      <c r="D999" s="1612" t="s">
        <v>2024</v>
      </c>
      <c r="E999" s="1706" t="s">
        <v>7592</v>
      </c>
      <c r="F999" s="1613">
        <v>13800000</v>
      </c>
      <c r="G999" s="1613">
        <v>37465971453</v>
      </c>
    </row>
    <row r="1000" spans="1:7" ht="17.25" customHeight="1" x14ac:dyDescent="0.2">
      <c r="A1000" s="1611">
        <v>14</v>
      </c>
      <c r="B1000" s="1611" t="s">
        <v>2038</v>
      </c>
      <c r="C1000" s="1611" t="s">
        <v>4371</v>
      </c>
      <c r="D1000" s="1612" t="s">
        <v>7555</v>
      </c>
      <c r="E1000" s="1706" t="s">
        <v>7592</v>
      </c>
      <c r="F1000" s="1613">
        <v>40000000</v>
      </c>
      <c r="G1000" s="1613">
        <v>37505971453</v>
      </c>
    </row>
    <row r="1001" spans="1:7" ht="17.25" customHeight="1" x14ac:dyDescent="0.2">
      <c r="A1001" s="1611">
        <v>14</v>
      </c>
      <c r="B1001" s="1611" t="s">
        <v>2038</v>
      </c>
      <c r="C1001" s="1611" t="s">
        <v>4372</v>
      </c>
      <c r="D1001" s="1612" t="s">
        <v>7555</v>
      </c>
      <c r="E1001" s="1706" t="s">
        <v>7592</v>
      </c>
      <c r="F1001" s="1613">
        <v>40400000</v>
      </c>
      <c r="G1001" s="1613">
        <v>37546371453</v>
      </c>
    </row>
    <row r="1002" spans="1:7" ht="17.25" customHeight="1" x14ac:dyDescent="0.2">
      <c r="A1002" s="1611">
        <v>14</v>
      </c>
      <c r="B1002" s="1611" t="s">
        <v>2039</v>
      </c>
      <c r="C1002" s="1611" t="s">
        <v>4373</v>
      </c>
      <c r="D1002" s="1612" t="s">
        <v>7555</v>
      </c>
      <c r="E1002" s="1706" t="s">
        <v>7592</v>
      </c>
      <c r="F1002" s="1613">
        <v>42000000</v>
      </c>
      <c r="G1002" s="1613">
        <v>37588371453</v>
      </c>
    </row>
    <row r="1003" spans="1:7" ht="17.25" customHeight="1" x14ac:dyDescent="0.2">
      <c r="A1003" s="1611">
        <v>14</v>
      </c>
      <c r="B1003" s="1611" t="s">
        <v>2038</v>
      </c>
      <c r="C1003" s="1611" t="s">
        <v>3757</v>
      </c>
      <c r="D1003" s="1612" t="s">
        <v>7555</v>
      </c>
      <c r="E1003" s="1706" t="s">
        <v>7592</v>
      </c>
      <c r="F1003" s="1613">
        <v>40909091</v>
      </c>
      <c r="G1003" s="1613">
        <v>37629280544</v>
      </c>
    </row>
    <row r="1004" spans="1:7" ht="17.25" customHeight="1" x14ac:dyDescent="0.2">
      <c r="A1004" s="1611">
        <v>14</v>
      </c>
      <c r="B1004" s="1611" t="s">
        <v>2043</v>
      </c>
      <c r="C1004" s="1611" t="s">
        <v>4374</v>
      </c>
      <c r="D1004" s="1612" t="s">
        <v>7555</v>
      </c>
      <c r="E1004" s="1706" t="s">
        <v>7592</v>
      </c>
      <c r="F1004" s="1613">
        <v>52000000</v>
      </c>
      <c r="G1004" s="1613">
        <v>37681280544</v>
      </c>
    </row>
    <row r="1005" spans="1:7" ht="17.25" customHeight="1" x14ac:dyDescent="0.2">
      <c r="A1005" s="1611">
        <v>14</v>
      </c>
      <c r="B1005" s="1611" t="s">
        <v>2027</v>
      </c>
      <c r="C1005" s="1611" t="s">
        <v>4375</v>
      </c>
      <c r="D1005" s="1612" t="s">
        <v>2024</v>
      </c>
      <c r="E1005" s="1706" t="s">
        <v>7592</v>
      </c>
      <c r="F1005" s="1613">
        <v>13000000</v>
      </c>
      <c r="G1005" s="1613">
        <v>37694280544</v>
      </c>
    </row>
    <row r="1006" spans="1:7" ht="17.25" customHeight="1" x14ac:dyDescent="0.2">
      <c r="A1006" s="1611">
        <v>14</v>
      </c>
      <c r="B1006" s="1611" t="s">
        <v>2027</v>
      </c>
      <c r="C1006" s="1611" t="s">
        <v>4376</v>
      </c>
      <c r="D1006" s="1612" t="s">
        <v>2024</v>
      </c>
      <c r="E1006" s="1706" t="s">
        <v>7592</v>
      </c>
      <c r="F1006" s="1613">
        <v>14200000</v>
      </c>
      <c r="G1006" s="1613">
        <v>37708480544</v>
      </c>
    </row>
    <row r="1007" spans="1:7" ht="17.25" customHeight="1" x14ac:dyDescent="0.2">
      <c r="A1007" s="1611">
        <v>14</v>
      </c>
      <c r="B1007" s="1611" t="s">
        <v>2032</v>
      </c>
      <c r="C1007" s="1611" t="s">
        <v>4377</v>
      </c>
      <c r="D1007" s="1612" t="s">
        <v>7555</v>
      </c>
      <c r="E1007" s="1706" t="s">
        <v>7592</v>
      </c>
      <c r="F1007" s="1613">
        <v>36363636</v>
      </c>
      <c r="G1007" s="1613">
        <v>37744844180</v>
      </c>
    </row>
    <row r="1008" spans="1:7" ht="17.25" customHeight="1" x14ac:dyDescent="0.2">
      <c r="A1008" s="1611">
        <v>14</v>
      </c>
      <c r="B1008" s="1611" t="s">
        <v>2041</v>
      </c>
      <c r="C1008" s="1611" t="s">
        <v>4378</v>
      </c>
      <c r="D1008" s="1612" t="s">
        <v>7555</v>
      </c>
      <c r="E1008" s="1706" t="s">
        <v>7592</v>
      </c>
      <c r="F1008" s="1613">
        <v>49500000</v>
      </c>
      <c r="G1008" s="1613">
        <v>37794344180</v>
      </c>
    </row>
    <row r="1009" spans="1:7" ht="17.25" customHeight="1" x14ac:dyDescent="0.2">
      <c r="A1009" s="1611">
        <v>14</v>
      </c>
      <c r="B1009" s="1611" t="s">
        <v>2039</v>
      </c>
      <c r="C1009" s="1611" t="s">
        <v>4379</v>
      </c>
      <c r="D1009" s="1612" t="s">
        <v>7555</v>
      </c>
      <c r="E1009" s="1706" t="s">
        <v>7592</v>
      </c>
      <c r="F1009" s="1613">
        <v>40000000</v>
      </c>
      <c r="G1009" s="1613">
        <v>37834344180</v>
      </c>
    </row>
    <row r="1010" spans="1:7" ht="17.25" customHeight="1" x14ac:dyDescent="0.2">
      <c r="A1010" s="1611">
        <v>14</v>
      </c>
      <c r="B1010" s="1611" t="s">
        <v>2027</v>
      </c>
      <c r="C1010" s="1611" t="s">
        <v>4370</v>
      </c>
      <c r="D1010" s="1612" t="s">
        <v>2024</v>
      </c>
      <c r="E1010" s="1706" t="s">
        <v>7592</v>
      </c>
      <c r="F1010" s="1613">
        <v>13800000</v>
      </c>
      <c r="G1010" s="1613">
        <v>37848144180</v>
      </c>
    </row>
    <row r="1011" spans="1:7" ht="17.25" customHeight="1" x14ac:dyDescent="0.2">
      <c r="A1011" s="1611">
        <v>14</v>
      </c>
      <c r="B1011" s="1611" t="s">
        <v>2027</v>
      </c>
      <c r="C1011" s="1611" t="s">
        <v>4370</v>
      </c>
      <c r="D1011" s="1612" t="s">
        <v>2024</v>
      </c>
      <c r="E1011" s="1706" t="s">
        <v>7592</v>
      </c>
      <c r="F1011" s="1613">
        <v>13800000</v>
      </c>
      <c r="G1011" s="1613">
        <v>37861944180</v>
      </c>
    </row>
    <row r="1012" spans="1:7" ht="17.25" customHeight="1" x14ac:dyDescent="0.2">
      <c r="A1012" s="1611">
        <v>14</v>
      </c>
      <c r="B1012" s="1611" t="s">
        <v>2032</v>
      </c>
      <c r="C1012" s="1611" t="s">
        <v>4040</v>
      </c>
      <c r="D1012" s="1612" t="s">
        <v>7555</v>
      </c>
      <c r="E1012" s="1706" t="s">
        <v>7592</v>
      </c>
      <c r="F1012" s="1613">
        <v>32000000</v>
      </c>
      <c r="G1012" s="1613">
        <v>37893944180</v>
      </c>
    </row>
    <row r="1013" spans="1:7" ht="17.25" customHeight="1" x14ac:dyDescent="0.2">
      <c r="A1013" s="1611">
        <v>14</v>
      </c>
      <c r="B1013" s="1611" t="s">
        <v>2038</v>
      </c>
      <c r="C1013" s="1611" t="s">
        <v>4380</v>
      </c>
      <c r="D1013" s="1612" t="s">
        <v>7555</v>
      </c>
      <c r="E1013" s="1706" t="s">
        <v>7592</v>
      </c>
      <c r="F1013" s="1613">
        <v>40000000</v>
      </c>
      <c r="G1013" s="1613">
        <v>37933944180</v>
      </c>
    </row>
    <row r="1014" spans="1:7" ht="17.25" customHeight="1" x14ac:dyDescent="0.2">
      <c r="A1014" s="1611">
        <v>14</v>
      </c>
      <c r="B1014" s="1611" t="s">
        <v>2027</v>
      </c>
      <c r="C1014" s="1611" t="s">
        <v>4381</v>
      </c>
      <c r="D1014" s="1612" t="s">
        <v>2024</v>
      </c>
      <c r="E1014" s="1706" t="s">
        <v>7592</v>
      </c>
      <c r="F1014" s="1613">
        <v>13500000</v>
      </c>
      <c r="G1014" s="1613">
        <v>37947444180</v>
      </c>
    </row>
    <row r="1015" spans="1:7" ht="17.25" customHeight="1" x14ac:dyDescent="0.2">
      <c r="A1015" s="1611">
        <v>14</v>
      </c>
      <c r="B1015" s="1611" t="s">
        <v>7153</v>
      </c>
      <c r="C1015" s="1611" t="s">
        <v>214</v>
      </c>
      <c r="D1015" s="1612">
        <v>0</v>
      </c>
      <c r="E1015" s="1706" t="s">
        <v>7592</v>
      </c>
      <c r="F1015" s="1613">
        <v>55628000</v>
      </c>
      <c r="G1015" s="1613">
        <v>38003072180</v>
      </c>
    </row>
    <row r="1016" spans="1:7" ht="17.25" customHeight="1" x14ac:dyDescent="0.2">
      <c r="A1016" s="1611">
        <v>14</v>
      </c>
      <c r="B1016" s="1611" t="s">
        <v>7186</v>
      </c>
      <c r="C1016" s="1611" t="s">
        <v>214</v>
      </c>
      <c r="D1016" s="1612">
        <v>0</v>
      </c>
      <c r="E1016" s="1706" t="s">
        <v>7592</v>
      </c>
      <c r="F1016" s="1613">
        <v>47515400</v>
      </c>
      <c r="G1016" s="1613">
        <v>38050587580</v>
      </c>
    </row>
    <row r="1017" spans="1:7" ht="17.25" customHeight="1" x14ac:dyDescent="0.2">
      <c r="A1017" s="1611">
        <v>14</v>
      </c>
      <c r="B1017" s="1611" t="s">
        <v>2041</v>
      </c>
      <c r="C1017" s="1611" t="s">
        <v>3874</v>
      </c>
      <c r="D1017" s="1612" t="s">
        <v>7555</v>
      </c>
      <c r="E1017" s="1706" t="s">
        <v>7592</v>
      </c>
      <c r="F1017" s="1613">
        <v>50000000</v>
      </c>
      <c r="G1017" s="1613">
        <v>38100587580</v>
      </c>
    </row>
    <row r="1018" spans="1:7" ht="17.25" customHeight="1" x14ac:dyDescent="0.2">
      <c r="A1018" s="1611">
        <v>14</v>
      </c>
      <c r="B1018" s="1611" t="s">
        <v>4382</v>
      </c>
      <c r="C1018" s="1611" t="s">
        <v>4383</v>
      </c>
      <c r="D1018" s="1612">
        <v>0</v>
      </c>
      <c r="E1018" s="1706" t="s">
        <v>7592</v>
      </c>
      <c r="F1018" s="1613">
        <v>96800000</v>
      </c>
      <c r="G1018" s="1613">
        <v>38197387580</v>
      </c>
    </row>
    <row r="1019" spans="1:7" ht="17.25" customHeight="1" x14ac:dyDescent="0.2">
      <c r="A1019" s="1611">
        <v>14</v>
      </c>
      <c r="B1019" s="1611" t="s">
        <v>2038</v>
      </c>
      <c r="C1019" s="1611" t="s">
        <v>3962</v>
      </c>
      <c r="D1019" s="1612" t="s">
        <v>7555</v>
      </c>
      <c r="E1019" s="1706" t="s">
        <v>7592</v>
      </c>
      <c r="F1019" s="1613">
        <v>40000000</v>
      </c>
      <c r="G1019" s="1613">
        <v>38237387580</v>
      </c>
    </row>
    <row r="1020" spans="1:7" ht="17.25" customHeight="1" x14ac:dyDescent="0.2">
      <c r="A1020" s="1611">
        <v>14</v>
      </c>
      <c r="B1020" s="1611" t="s">
        <v>2028</v>
      </c>
      <c r="C1020" s="1611" t="s">
        <v>4384</v>
      </c>
      <c r="D1020" s="1612" t="s">
        <v>2024</v>
      </c>
      <c r="E1020" s="1706" t="s">
        <v>7592</v>
      </c>
      <c r="F1020" s="1613">
        <v>13600000</v>
      </c>
      <c r="G1020" s="1613">
        <v>38250987580</v>
      </c>
    </row>
    <row r="1021" spans="1:7" ht="17.25" customHeight="1" x14ac:dyDescent="0.2">
      <c r="A1021" s="1611">
        <v>14</v>
      </c>
      <c r="B1021" s="1611" t="s">
        <v>2027</v>
      </c>
      <c r="C1021" s="1611" t="s">
        <v>4385</v>
      </c>
      <c r="D1021" s="1612" t="s">
        <v>2024</v>
      </c>
      <c r="E1021" s="1706" t="s">
        <v>7592</v>
      </c>
      <c r="F1021" s="1613">
        <v>15909091</v>
      </c>
      <c r="G1021" s="1613">
        <v>38266896671</v>
      </c>
    </row>
    <row r="1022" spans="1:7" ht="17.25" customHeight="1" x14ac:dyDescent="0.2">
      <c r="A1022" s="1611">
        <v>14</v>
      </c>
      <c r="B1022" s="1611" t="s">
        <v>2039</v>
      </c>
      <c r="C1022" s="1611" t="s">
        <v>4386</v>
      </c>
      <c r="D1022" s="1612" t="s">
        <v>7555</v>
      </c>
      <c r="E1022" s="1706" t="s">
        <v>7592</v>
      </c>
      <c r="F1022" s="1613">
        <v>44090909</v>
      </c>
      <c r="G1022" s="1613">
        <v>38310987580</v>
      </c>
    </row>
    <row r="1023" spans="1:7" ht="17.25" customHeight="1" x14ac:dyDescent="0.2">
      <c r="A1023" s="1611">
        <v>14</v>
      </c>
      <c r="B1023" s="1611" t="s">
        <v>2039</v>
      </c>
      <c r="C1023" s="1611" t="s">
        <v>4387</v>
      </c>
      <c r="D1023" s="1612" t="s">
        <v>7555</v>
      </c>
      <c r="E1023" s="1706" t="s">
        <v>7592</v>
      </c>
      <c r="F1023" s="1613">
        <v>43000000</v>
      </c>
      <c r="G1023" s="1613">
        <v>38353987580</v>
      </c>
    </row>
    <row r="1024" spans="1:7" ht="17.25" customHeight="1" x14ac:dyDescent="0.2">
      <c r="A1024" s="1611">
        <v>14</v>
      </c>
      <c r="B1024" s="1611" t="s">
        <v>2038</v>
      </c>
      <c r="C1024" s="1611" t="s">
        <v>4388</v>
      </c>
      <c r="D1024" s="1612" t="s">
        <v>7555</v>
      </c>
      <c r="E1024" s="1706" t="s">
        <v>7592</v>
      </c>
      <c r="F1024" s="1613">
        <v>40909091</v>
      </c>
      <c r="G1024" s="1613">
        <v>38394896671</v>
      </c>
    </row>
    <row r="1025" spans="1:7" ht="17.25" customHeight="1" x14ac:dyDescent="0.2">
      <c r="A1025" s="1611">
        <v>14</v>
      </c>
      <c r="B1025" s="1611" t="s">
        <v>2038</v>
      </c>
      <c r="C1025" s="1611" t="s">
        <v>4389</v>
      </c>
      <c r="D1025" s="1612" t="s">
        <v>7555</v>
      </c>
      <c r="E1025" s="1706" t="s">
        <v>7592</v>
      </c>
      <c r="F1025" s="1613">
        <v>40930000</v>
      </c>
      <c r="G1025" s="1613">
        <v>38435826671</v>
      </c>
    </row>
    <row r="1026" spans="1:7" ht="17.25" customHeight="1" x14ac:dyDescent="0.2">
      <c r="A1026" s="1611">
        <v>14</v>
      </c>
      <c r="B1026" s="1611" t="s">
        <v>2027</v>
      </c>
      <c r="C1026" s="1611" t="s">
        <v>4153</v>
      </c>
      <c r="D1026" s="1612" t="s">
        <v>2024</v>
      </c>
      <c r="E1026" s="1706" t="s">
        <v>7592</v>
      </c>
      <c r="F1026" s="1613">
        <v>10750000</v>
      </c>
      <c r="G1026" s="1613">
        <v>38446576671</v>
      </c>
    </row>
    <row r="1027" spans="1:7" ht="17.25" customHeight="1" x14ac:dyDescent="0.2">
      <c r="A1027" s="1611">
        <v>14</v>
      </c>
      <c r="B1027" s="1611" t="s">
        <v>2038</v>
      </c>
      <c r="C1027" s="1611" t="s">
        <v>4390</v>
      </c>
      <c r="D1027" s="1612" t="s">
        <v>7555</v>
      </c>
      <c r="E1027" s="1706" t="s">
        <v>7592</v>
      </c>
      <c r="F1027" s="1613">
        <v>38236363</v>
      </c>
      <c r="G1027" s="1613">
        <v>38484813034</v>
      </c>
    </row>
    <row r="1028" spans="1:7" ht="17.25" customHeight="1" x14ac:dyDescent="0.2">
      <c r="A1028" s="1611">
        <v>14</v>
      </c>
      <c r="B1028" s="1611" t="s">
        <v>2043</v>
      </c>
      <c r="C1028" s="1611" t="s">
        <v>4391</v>
      </c>
      <c r="D1028" s="1612" t="s">
        <v>7555</v>
      </c>
      <c r="E1028" s="1706" t="s">
        <v>7592</v>
      </c>
      <c r="F1028" s="1613">
        <v>54545454</v>
      </c>
      <c r="G1028" s="1613">
        <v>38539358488</v>
      </c>
    </row>
    <row r="1029" spans="1:7" ht="17.25" customHeight="1" x14ac:dyDescent="0.2">
      <c r="A1029" s="1611">
        <v>14</v>
      </c>
      <c r="B1029" s="1611" t="s">
        <v>2038</v>
      </c>
      <c r="C1029" s="1611" t="s">
        <v>4392</v>
      </c>
      <c r="D1029" s="1612" t="s">
        <v>7555</v>
      </c>
      <c r="E1029" s="1706" t="s">
        <v>7592</v>
      </c>
      <c r="F1029" s="1613">
        <v>39545455</v>
      </c>
      <c r="G1029" s="1613">
        <v>38578903943</v>
      </c>
    </row>
    <row r="1030" spans="1:7" ht="17.25" customHeight="1" x14ac:dyDescent="0.2">
      <c r="A1030" s="1611">
        <v>14</v>
      </c>
      <c r="B1030" s="1611" t="s">
        <v>2037</v>
      </c>
      <c r="C1030" s="1611" t="s">
        <v>4393</v>
      </c>
      <c r="D1030" s="1612" t="s">
        <v>7555</v>
      </c>
      <c r="E1030" s="1706" t="s">
        <v>7592</v>
      </c>
      <c r="F1030" s="1613">
        <v>38500000</v>
      </c>
      <c r="G1030" s="1613">
        <v>38617403943</v>
      </c>
    </row>
    <row r="1031" spans="1:7" ht="17.25" customHeight="1" x14ac:dyDescent="0.2">
      <c r="A1031" s="1611">
        <v>14</v>
      </c>
      <c r="B1031" s="1611" t="s">
        <v>2041</v>
      </c>
      <c r="C1031" s="1611" t="s">
        <v>3692</v>
      </c>
      <c r="D1031" s="1612" t="s">
        <v>7555</v>
      </c>
      <c r="E1031" s="1706" t="s">
        <v>7592</v>
      </c>
      <c r="F1031" s="1613">
        <v>50454545</v>
      </c>
      <c r="G1031" s="1613">
        <v>38667858488</v>
      </c>
    </row>
    <row r="1032" spans="1:7" ht="17.25" customHeight="1" x14ac:dyDescent="0.2">
      <c r="A1032" s="1611">
        <v>14</v>
      </c>
      <c r="B1032" s="1611" t="s">
        <v>4394</v>
      </c>
      <c r="C1032" s="1611" t="s">
        <v>3597</v>
      </c>
      <c r="D1032" s="1612">
        <v>0</v>
      </c>
      <c r="E1032" s="1706" t="s">
        <v>7592</v>
      </c>
      <c r="F1032" s="1613">
        <v>27210000</v>
      </c>
      <c r="G1032" s="1613">
        <v>38695068488</v>
      </c>
    </row>
    <row r="1033" spans="1:7" ht="17.25" customHeight="1" x14ac:dyDescent="0.2">
      <c r="A1033" s="1611">
        <v>14</v>
      </c>
      <c r="B1033" s="1611" t="s">
        <v>2039</v>
      </c>
      <c r="C1033" s="1611" t="s">
        <v>4395</v>
      </c>
      <c r="D1033" s="1612" t="s">
        <v>7555</v>
      </c>
      <c r="E1033" s="1706" t="s">
        <v>7592</v>
      </c>
      <c r="F1033" s="1613">
        <v>42200000</v>
      </c>
      <c r="G1033" s="1613">
        <v>38737268488</v>
      </c>
    </row>
    <row r="1034" spans="1:7" ht="17.25" customHeight="1" x14ac:dyDescent="0.2">
      <c r="A1034" s="1611">
        <v>14</v>
      </c>
      <c r="B1034" s="1611" t="s">
        <v>2039</v>
      </c>
      <c r="C1034" s="1611" t="s">
        <v>4396</v>
      </c>
      <c r="D1034" s="1612" t="s">
        <v>7555</v>
      </c>
      <c r="E1034" s="1706" t="s">
        <v>7592</v>
      </c>
      <c r="F1034" s="1613">
        <v>42400000</v>
      </c>
      <c r="G1034" s="1613">
        <v>38779668488</v>
      </c>
    </row>
    <row r="1035" spans="1:7" ht="17.25" customHeight="1" x14ac:dyDescent="0.2">
      <c r="A1035" s="1611">
        <v>14</v>
      </c>
      <c r="B1035" s="1611" t="s">
        <v>2038</v>
      </c>
      <c r="C1035" s="1611" t="s">
        <v>4397</v>
      </c>
      <c r="D1035" s="1612" t="s">
        <v>7555</v>
      </c>
      <c r="E1035" s="1706" t="s">
        <v>7592</v>
      </c>
      <c r="F1035" s="1613">
        <v>39700000</v>
      </c>
      <c r="G1035" s="1613">
        <v>38819368488</v>
      </c>
    </row>
    <row r="1036" spans="1:7" ht="17.25" customHeight="1" x14ac:dyDescent="0.2">
      <c r="A1036" s="1611">
        <v>14</v>
      </c>
      <c r="B1036" s="1611" t="s">
        <v>2027</v>
      </c>
      <c r="C1036" s="1611" t="s">
        <v>4398</v>
      </c>
      <c r="D1036" s="1612" t="s">
        <v>2024</v>
      </c>
      <c r="E1036" s="1706" t="s">
        <v>7592</v>
      </c>
      <c r="F1036" s="1613">
        <v>14909091</v>
      </c>
      <c r="G1036" s="1613">
        <v>38834277579</v>
      </c>
    </row>
    <row r="1037" spans="1:7" ht="17.25" customHeight="1" x14ac:dyDescent="0.2">
      <c r="A1037" s="1611">
        <v>14</v>
      </c>
      <c r="B1037" s="1611" t="s">
        <v>2037</v>
      </c>
      <c r="C1037" s="1611" t="s">
        <v>4399</v>
      </c>
      <c r="D1037" s="1612" t="s">
        <v>7555</v>
      </c>
      <c r="E1037" s="1706" t="s">
        <v>7592</v>
      </c>
      <c r="F1037" s="1613">
        <v>37748000</v>
      </c>
      <c r="G1037" s="1613">
        <v>38872025579</v>
      </c>
    </row>
    <row r="1038" spans="1:7" ht="17.25" customHeight="1" x14ac:dyDescent="0.2">
      <c r="A1038" s="1611">
        <v>14</v>
      </c>
      <c r="B1038" s="1611" t="s">
        <v>2026</v>
      </c>
      <c r="C1038" s="1611" t="s">
        <v>4400</v>
      </c>
      <c r="D1038" s="1612" t="s">
        <v>2024</v>
      </c>
      <c r="E1038" s="1706" t="s">
        <v>7592</v>
      </c>
      <c r="F1038" s="1613">
        <v>13500000</v>
      </c>
      <c r="G1038" s="1613">
        <v>38885525579</v>
      </c>
    </row>
    <row r="1039" spans="1:7" ht="17.25" customHeight="1" x14ac:dyDescent="0.2">
      <c r="A1039" s="1611">
        <v>14</v>
      </c>
      <c r="B1039" s="1611" t="s">
        <v>2041</v>
      </c>
      <c r="C1039" s="1611" t="s">
        <v>4401</v>
      </c>
      <c r="D1039" s="1612" t="s">
        <v>7555</v>
      </c>
      <c r="E1039" s="1706" t="s">
        <v>7592</v>
      </c>
      <c r="F1039" s="1613">
        <v>50000000</v>
      </c>
      <c r="G1039" s="1613">
        <v>38935525579</v>
      </c>
    </row>
    <row r="1040" spans="1:7" ht="17.25" customHeight="1" x14ac:dyDescent="0.2">
      <c r="A1040" s="1611">
        <v>14</v>
      </c>
      <c r="B1040" s="1611" t="s">
        <v>2038</v>
      </c>
      <c r="C1040" s="1611" t="s">
        <v>4402</v>
      </c>
      <c r="D1040" s="1612" t="s">
        <v>7555</v>
      </c>
      <c r="E1040" s="1706" t="s">
        <v>7592</v>
      </c>
      <c r="F1040" s="1613">
        <v>39500000</v>
      </c>
      <c r="G1040" s="1613">
        <v>38975025579</v>
      </c>
    </row>
    <row r="1041" spans="1:7" ht="17.25" customHeight="1" x14ac:dyDescent="0.2">
      <c r="A1041" s="1611">
        <v>14</v>
      </c>
      <c r="B1041" s="1611" t="s">
        <v>2038</v>
      </c>
      <c r="C1041" s="1611" t="s">
        <v>4403</v>
      </c>
      <c r="D1041" s="1612" t="s">
        <v>7555</v>
      </c>
      <c r="E1041" s="1706" t="s">
        <v>7592</v>
      </c>
      <c r="F1041" s="1613">
        <v>38000000</v>
      </c>
      <c r="G1041" s="1613">
        <v>39013025579</v>
      </c>
    </row>
    <row r="1042" spans="1:7" ht="17.25" customHeight="1" x14ac:dyDescent="0.2">
      <c r="A1042" s="1611">
        <v>14</v>
      </c>
      <c r="B1042" s="1611" t="s">
        <v>7188</v>
      </c>
      <c r="C1042" s="1611" t="s">
        <v>4404</v>
      </c>
      <c r="D1042" s="1612">
        <v>0</v>
      </c>
      <c r="E1042" s="1706" t="s">
        <v>7585</v>
      </c>
      <c r="F1042" s="1613">
        <v>285564034</v>
      </c>
      <c r="G1042" s="1613">
        <v>39298589613</v>
      </c>
    </row>
    <row r="1043" spans="1:7" ht="17.25" customHeight="1" x14ac:dyDescent="0.2">
      <c r="A1043" s="1611">
        <v>14</v>
      </c>
      <c r="B1043" s="1611" t="s">
        <v>3670</v>
      </c>
      <c r="C1043" s="1611" t="s">
        <v>3597</v>
      </c>
      <c r="D1043" s="1612">
        <v>0</v>
      </c>
      <c r="E1043" s="1706" t="s">
        <v>7592</v>
      </c>
      <c r="F1043" s="1613">
        <v>49592000</v>
      </c>
      <c r="G1043" s="1613">
        <v>39348181613</v>
      </c>
    </row>
    <row r="1044" spans="1:7" ht="17.25" customHeight="1" x14ac:dyDescent="0.2">
      <c r="A1044" s="1611">
        <v>14</v>
      </c>
      <c r="B1044" s="1611" t="s">
        <v>2028</v>
      </c>
      <c r="C1044" s="1611" t="s">
        <v>4405</v>
      </c>
      <c r="D1044" s="1612" t="s">
        <v>2024</v>
      </c>
      <c r="E1044" s="1706" t="s">
        <v>7592</v>
      </c>
      <c r="F1044" s="1613">
        <v>14263636</v>
      </c>
      <c r="G1044" s="1613">
        <v>39362445249</v>
      </c>
    </row>
    <row r="1045" spans="1:7" ht="17.25" customHeight="1" x14ac:dyDescent="0.2">
      <c r="A1045" s="1611">
        <v>14</v>
      </c>
      <c r="B1045" s="1611" t="s">
        <v>3937</v>
      </c>
      <c r="C1045" s="1611" t="s">
        <v>4405</v>
      </c>
      <c r="D1045" s="1612">
        <v>0</v>
      </c>
      <c r="E1045" s="1706" t="s">
        <v>7592</v>
      </c>
      <c r="F1045" s="1613">
        <v>-14263636</v>
      </c>
      <c r="G1045" s="1613">
        <v>39348181613</v>
      </c>
    </row>
    <row r="1046" spans="1:7" ht="17.25" customHeight="1" x14ac:dyDescent="0.2">
      <c r="A1046" s="1611">
        <v>14</v>
      </c>
      <c r="B1046" s="1611" t="s">
        <v>2028</v>
      </c>
      <c r="C1046" s="1611" t="s">
        <v>4405</v>
      </c>
      <c r="D1046" s="1612" t="s">
        <v>2024</v>
      </c>
      <c r="E1046" s="1706" t="s">
        <v>7592</v>
      </c>
      <c r="F1046" s="1613">
        <v>14263636</v>
      </c>
      <c r="G1046" s="1613">
        <v>39362445249</v>
      </c>
    </row>
    <row r="1047" spans="1:7" ht="17.25" customHeight="1" x14ac:dyDescent="0.2">
      <c r="A1047" s="1611">
        <v>14</v>
      </c>
      <c r="B1047" s="1611" t="s">
        <v>2041</v>
      </c>
      <c r="C1047" s="1611" t="s">
        <v>4406</v>
      </c>
      <c r="D1047" s="1612" t="s">
        <v>7555</v>
      </c>
      <c r="E1047" s="1706" t="s">
        <v>7592</v>
      </c>
      <c r="F1047" s="1613">
        <v>49500000</v>
      </c>
      <c r="G1047" s="1613">
        <v>39411945249</v>
      </c>
    </row>
    <row r="1048" spans="1:7" ht="17.25" customHeight="1" x14ac:dyDescent="0.2">
      <c r="A1048" s="1611">
        <v>14</v>
      </c>
      <c r="B1048" s="1611" t="s">
        <v>2041</v>
      </c>
      <c r="C1048" s="1611" t="s">
        <v>4407</v>
      </c>
      <c r="D1048" s="1612" t="s">
        <v>7555</v>
      </c>
      <c r="E1048" s="1706" t="s">
        <v>7592</v>
      </c>
      <c r="F1048" s="1613">
        <v>50900000</v>
      </c>
      <c r="G1048" s="1613">
        <v>39462845249</v>
      </c>
    </row>
    <row r="1049" spans="1:7" ht="17.25" customHeight="1" x14ac:dyDescent="0.2">
      <c r="A1049" s="1611">
        <v>14</v>
      </c>
      <c r="B1049" s="1611" t="s">
        <v>2026</v>
      </c>
      <c r="C1049" s="1611" t="s">
        <v>3831</v>
      </c>
      <c r="D1049" s="1612" t="s">
        <v>2024</v>
      </c>
      <c r="E1049" s="1706" t="s">
        <v>7592</v>
      </c>
      <c r="F1049" s="1613">
        <v>14308182</v>
      </c>
      <c r="G1049" s="1613">
        <v>39477153431</v>
      </c>
    </row>
    <row r="1050" spans="1:7" ht="17.25" customHeight="1" x14ac:dyDescent="0.2">
      <c r="A1050" s="1611">
        <v>14</v>
      </c>
      <c r="B1050" s="1611" t="s">
        <v>2028</v>
      </c>
      <c r="C1050" s="1611" t="s">
        <v>4408</v>
      </c>
      <c r="D1050" s="1612" t="s">
        <v>2024</v>
      </c>
      <c r="E1050" s="1706" t="s">
        <v>7592</v>
      </c>
      <c r="F1050" s="1613">
        <v>15454545</v>
      </c>
      <c r="G1050" s="1613">
        <v>39492607976</v>
      </c>
    </row>
    <row r="1051" spans="1:7" ht="17.25" customHeight="1" x14ac:dyDescent="0.2">
      <c r="A1051" s="1611">
        <v>14</v>
      </c>
      <c r="B1051" s="1611" t="s">
        <v>2028</v>
      </c>
      <c r="C1051" s="1611" t="s">
        <v>4409</v>
      </c>
      <c r="D1051" s="1612" t="s">
        <v>2024</v>
      </c>
      <c r="E1051" s="1706" t="s">
        <v>7592</v>
      </c>
      <c r="F1051" s="1613">
        <v>15000000</v>
      </c>
      <c r="G1051" s="1613">
        <v>39507607976</v>
      </c>
    </row>
    <row r="1052" spans="1:7" ht="17.25" customHeight="1" x14ac:dyDescent="0.2">
      <c r="A1052" s="1611">
        <v>14</v>
      </c>
      <c r="B1052" s="1611" t="s">
        <v>2027</v>
      </c>
      <c r="C1052" s="1611" t="s">
        <v>4410</v>
      </c>
      <c r="D1052" s="1612" t="s">
        <v>2024</v>
      </c>
      <c r="E1052" s="1706" t="s">
        <v>7592</v>
      </c>
      <c r="F1052" s="1613">
        <v>12700000</v>
      </c>
      <c r="G1052" s="1613">
        <v>39520307976</v>
      </c>
    </row>
    <row r="1053" spans="1:7" ht="17.25" customHeight="1" x14ac:dyDescent="0.2">
      <c r="A1053" s="1611">
        <v>14</v>
      </c>
      <c r="B1053" s="1611" t="s">
        <v>2032</v>
      </c>
      <c r="C1053" s="1611" t="s">
        <v>3775</v>
      </c>
      <c r="D1053" s="1612" t="s">
        <v>7555</v>
      </c>
      <c r="E1053" s="1706" t="s">
        <v>7592</v>
      </c>
      <c r="F1053" s="1613">
        <v>34090909</v>
      </c>
      <c r="G1053" s="1613">
        <v>39554398885</v>
      </c>
    </row>
    <row r="1054" spans="1:7" ht="17.25" customHeight="1" x14ac:dyDescent="0.2">
      <c r="A1054" s="1611">
        <v>14</v>
      </c>
      <c r="B1054" s="1611" t="s">
        <v>2038</v>
      </c>
      <c r="C1054" s="1611" t="s">
        <v>3587</v>
      </c>
      <c r="D1054" s="1612" t="s">
        <v>7555</v>
      </c>
      <c r="E1054" s="1706" t="s">
        <v>7592</v>
      </c>
      <c r="F1054" s="1613">
        <v>40909091</v>
      </c>
      <c r="G1054" s="1613">
        <v>39595307976</v>
      </c>
    </row>
    <row r="1055" spans="1:7" ht="17.25" customHeight="1" x14ac:dyDescent="0.2">
      <c r="A1055" s="1611">
        <v>14</v>
      </c>
      <c r="B1055" s="1611" t="s">
        <v>2034</v>
      </c>
      <c r="C1055" s="1611" t="s">
        <v>4411</v>
      </c>
      <c r="D1055" s="1612" t="s">
        <v>7555</v>
      </c>
      <c r="E1055" s="1706" t="s">
        <v>7592</v>
      </c>
      <c r="F1055" s="1613">
        <v>40454545</v>
      </c>
      <c r="G1055" s="1613">
        <v>39635762521</v>
      </c>
    </row>
    <row r="1056" spans="1:7" ht="17.25" customHeight="1" x14ac:dyDescent="0.2">
      <c r="A1056" s="1611">
        <v>14</v>
      </c>
      <c r="B1056" s="1611" t="s">
        <v>2039</v>
      </c>
      <c r="C1056" s="1611" t="s">
        <v>3608</v>
      </c>
      <c r="D1056" s="1612" t="s">
        <v>7555</v>
      </c>
      <c r="E1056" s="1706" t="s">
        <v>7592</v>
      </c>
      <c r="F1056" s="1613">
        <v>41636364</v>
      </c>
      <c r="G1056" s="1613">
        <v>39677398885</v>
      </c>
    </row>
    <row r="1057" spans="1:7" ht="17.25" customHeight="1" x14ac:dyDescent="0.2">
      <c r="A1057" s="1611">
        <v>14</v>
      </c>
      <c r="B1057" s="1611" t="s">
        <v>2037</v>
      </c>
      <c r="C1057" s="1611" t="s">
        <v>3719</v>
      </c>
      <c r="D1057" s="1612" t="s">
        <v>7555</v>
      </c>
      <c r="E1057" s="1706" t="s">
        <v>7592</v>
      </c>
      <c r="F1057" s="1613">
        <v>36818181</v>
      </c>
      <c r="G1057" s="1613">
        <v>39714217066</v>
      </c>
    </row>
    <row r="1058" spans="1:7" ht="17.25" customHeight="1" x14ac:dyDescent="0.2">
      <c r="A1058" s="1611">
        <v>14</v>
      </c>
      <c r="B1058" s="1611" t="s">
        <v>3670</v>
      </c>
      <c r="C1058" s="1611" t="s">
        <v>3597</v>
      </c>
      <c r="D1058" s="1612">
        <v>0</v>
      </c>
      <c r="E1058" s="1706" t="s">
        <v>7592</v>
      </c>
      <c r="F1058" s="1613">
        <v>13750000</v>
      </c>
      <c r="G1058" s="1613">
        <v>39727967066</v>
      </c>
    </row>
    <row r="1059" spans="1:7" ht="17.25" customHeight="1" x14ac:dyDescent="0.2">
      <c r="A1059" s="1611">
        <v>14</v>
      </c>
      <c r="B1059" s="1611" t="s">
        <v>2038</v>
      </c>
      <c r="C1059" s="1611" t="s">
        <v>4412</v>
      </c>
      <c r="D1059" s="1612" t="s">
        <v>7555</v>
      </c>
      <c r="E1059" s="1706" t="s">
        <v>7592</v>
      </c>
      <c r="F1059" s="1613">
        <v>39090909</v>
      </c>
      <c r="G1059" s="1613">
        <v>39767057975</v>
      </c>
    </row>
    <row r="1060" spans="1:7" ht="17.25" customHeight="1" x14ac:dyDescent="0.2">
      <c r="A1060" s="1611">
        <v>14</v>
      </c>
      <c r="B1060" s="1611" t="s">
        <v>2039</v>
      </c>
      <c r="C1060" s="1611" t="s">
        <v>4413</v>
      </c>
      <c r="D1060" s="1612" t="s">
        <v>7555</v>
      </c>
      <c r="E1060" s="1706" t="s">
        <v>7592</v>
      </c>
      <c r="F1060" s="1613">
        <v>41818181</v>
      </c>
      <c r="G1060" s="1613">
        <v>39808876156</v>
      </c>
    </row>
    <row r="1061" spans="1:7" ht="17.25" customHeight="1" x14ac:dyDescent="0.2">
      <c r="A1061" s="1611">
        <v>14</v>
      </c>
      <c r="B1061" s="1611" t="s">
        <v>2026</v>
      </c>
      <c r="C1061" s="1611" t="s">
        <v>3635</v>
      </c>
      <c r="D1061" s="1612" t="s">
        <v>2024</v>
      </c>
      <c r="E1061" s="1706" t="s">
        <v>7592</v>
      </c>
      <c r="F1061" s="1613">
        <v>14900000</v>
      </c>
      <c r="G1061" s="1613">
        <v>39823776156</v>
      </c>
    </row>
    <row r="1062" spans="1:7" ht="17.25" customHeight="1" x14ac:dyDescent="0.2">
      <c r="A1062" s="1611">
        <v>14</v>
      </c>
      <c r="B1062" s="1611" t="s">
        <v>2041</v>
      </c>
      <c r="C1062" s="1611" t="s">
        <v>4414</v>
      </c>
      <c r="D1062" s="1612" t="s">
        <v>7555</v>
      </c>
      <c r="E1062" s="1706" t="s">
        <v>7592</v>
      </c>
      <c r="F1062" s="1613">
        <v>48636364</v>
      </c>
      <c r="G1062" s="1613">
        <v>39872412520</v>
      </c>
    </row>
    <row r="1063" spans="1:7" ht="17.25" customHeight="1" x14ac:dyDescent="0.2">
      <c r="A1063" s="1611">
        <v>14</v>
      </c>
      <c r="B1063" s="1611" t="s">
        <v>2039</v>
      </c>
      <c r="C1063" s="1611" t="s">
        <v>4415</v>
      </c>
      <c r="D1063" s="1612" t="s">
        <v>7555</v>
      </c>
      <c r="E1063" s="1706" t="s">
        <v>7592</v>
      </c>
      <c r="F1063" s="1613">
        <v>42051000</v>
      </c>
      <c r="G1063" s="1613">
        <v>39914463520</v>
      </c>
    </row>
    <row r="1064" spans="1:7" ht="17.25" customHeight="1" x14ac:dyDescent="0.2">
      <c r="A1064" s="1611">
        <v>14</v>
      </c>
      <c r="B1064" s="1611" t="s">
        <v>2043</v>
      </c>
      <c r="C1064" s="1611" t="s">
        <v>4416</v>
      </c>
      <c r="D1064" s="1612" t="s">
        <v>7555</v>
      </c>
      <c r="E1064" s="1706" t="s">
        <v>7592</v>
      </c>
      <c r="F1064" s="1613">
        <v>53900000</v>
      </c>
      <c r="G1064" s="1613">
        <v>39968363520</v>
      </c>
    </row>
    <row r="1065" spans="1:7" ht="17.25" customHeight="1" x14ac:dyDescent="0.2">
      <c r="A1065" s="1611">
        <v>14</v>
      </c>
      <c r="B1065" s="1611" t="s">
        <v>2038</v>
      </c>
      <c r="C1065" s="1611" t="s">
        <v>4417</v>
      </c>
      <c r="D1065" s="1612" t="s">
        <v>7555</v>
      </c>
      <c r="E1065" s="1706" t="s">
        <v>7592</v>
      </c>
      <c r="F1065" s="1613">
        <v>40000000</v>
      </c>
      <c r="G1065" s="1613">
        <v>40008363520</v>
      </c>
    </row>
    <row r="1066" spans="1:7" ht="17.25" customHeight="1" x14ac:dyDescent="0.2">
      <c r="A1066" s="1611">
        <v>14</v>
      </c>
      <c r="B1066" s="1611" t="s">
        <v>2038</v>
      </c>
      <c r="C1066" s="1611" t="s">
        <v>4418</v>
      </c>
      <c r="D1066" s="1612" t="s">
        <v>7555</v>
      </c>
      <c r="E1066" s="1706" t="s">
        <v>7592</v>
      </c>
      <c r="F1066" s="1613">
        <v>41818182</v>
      </c>
      <c r="G1066" s="1613">
        <v>40050181702</v>
      </c>
    </row>
    <row r="1067" spans="1:7" ht="17.25" customHeight="1" x14ac:dyDescent="0.2">
      <c r="A1067" s="1611">
        <v>14</v>
      </c>
      <c r="B1067" s="1611" t="s">
        <v>2039</v>
      </c>
      <c r="C1067" s="1611" t="s">
        <v>4419</v>
      </c>
      <c r="D1067" s="1612" t="s">
        <v>7555</v>
      </c>
      <c r="E1067" s="1706" t="s">
        <v>7592</v>
      </c>
      <c r="F1067" s="1613">
        <v>42727272</v>
      </c>
      <c r="G1067" s="1613">
        <v>40092908974</v>
      </c>
    </row>
    <row r="1068" spans="1:7" ht="17.25" customHeight="1" x14ac:dyDescent="0.2">
      <c r="A1068" s="1611">
        <v>14</v>
      </c>
      <c r="B1068" s="1611" t="s">
        <v>2037</v>
      </c>
      <c r="C1068" s="1611" t="s">
        <v>4420</v>
      </c>
      <c r="D1068" s="1612" t="s">
        <v>7555</v>
      </c>
      <c r="E1068" s="1706" t="s">
        <v>7592</v>
      </c>
      <c r="F1068" s="1613">
        <v>37500000</v>
      </c>
      <c r="G1068" s="1613">
        <v>40130408974</v>
      </c>
    </row>
    <row r="1069" spans="1:7" ht="17.25" customHeight="1" x14ac:dyDescent="0.2">
      <c r="A1069" s="1611">
        <v>14</v>
      </c>
      <c r="B1069" s="1611" t="s">
        <v>2027</v>
      </c>
      <c r="C1069" s="1611" t="s">
        <v>4237</v>
      </c>
      <c r="D1069" s="1612" t="s">
        <v>2024</v>
      </c>
      <c r="E1069" s="1706" t="s">
        <v>7592</v>
      </c>
      <c r="F1069" s="1613">
        <v>14150000</v>
      </c>
      <c r="G1069" s="1613">
        <v>40144558974</v>
      </c>
    </row>
    <row r="1070" spans="1:7" ht="17.25" customHeight="1" x14ac:dyDescent="0.2">
      <c r="A1070" s="1611">
        <v>14</v>
      </c>
      <c r="B1070" s="1611" t="s">
        <v>2027</v>
      </c>
      <c r="C1070" s="1611" t="s">
        <v>4421</v>
      </c>
      <c r="D1070" s="1612" t="s">
        <v>2024</v>
      </c>
      <c r="E1070" s="1706" t="s">
        <v>7592</v>
      </c>
      <c r="F1070" s="1613">
        <v>14035455</v>
      </c>
      <c r="G1070" s="1613">
        <v>40158594429</v>
      </c>
    </row>
    <row r="1071" spans="1:7" ht="17.25" customHeight="1" x14ac:dyDescent="0.2">
      <c r="A1071" s="1611">
        <v>14</v>
      </c>
      <c r="B1071" s="1611" t="s">
        <v>2027</v>
      </c>
      <c r="C1071" s="1611" t="s">
        <v>4422</v>
      </c>
      <c r="D1071" s="1612" t="s">
        <v>2024</v>
      </c>
      <c r="E1071" s="1706" t="s">
        <v>7592</v>
      </c>
      <c r="F1071" s="1613">
        <v>17800000</v>
      </c>
      <c r="G1071" s="1613">
        <v>40176394429</v>
      </c>
    </row>
    <row r="1072" spans="1:7" ht="17.25" customHeight="1" x14ac:dyDescent="0.2">
      <c r="A1072" s="1611">
        <v>14</v>
      </c>
      <c r="B1072" s="1611" t="s">
        <v>2038</v>
      </c>
      <c r="C1072" s="1611" t="s">
        <v>4423</v>
      </c>
      <c r="D1072" s="1612" t="s">
        <v>7555</v>
      </c>
      <c r="E1072" s="1706" t="s">
        <v>7592</v>
      </c>
      <c r="F1072" s="1613">
        <v>40454545</v>
      </c>
      <c r="G1072" s="1613">
        <v>40216848974</v>
      </c>
    </row>
    <row r="1073" spans="1:7" ht="17.25" customHeight="1" x14ac:dyDescent="0.2">
      <c r="A1073" s="1611">
        <v>14</v>
      </c>
      <c r="B1073" s="1611" t="s">
        <v>2037</v>
      </c>
      <c r="C1073" s="1611" t="s">
        <v>4424</v>
      </c>
      <c r="D1073" s="1612" t="s">
        <v>7555</v>
      </c>
      <c r="E1073" s="1706" t="s">
        <v>7592</v>
      </c>
      <c r="F1073" s="1613">
        <v>38181818</v>
      </c>
      <c r="G1073" s="1613">
        <v>40255030792</v>
      </c>
    </row>
    <row r="1074" spans="1:7" ht="17.25" customHeight="1" x14ac:dyDescent="0.2">
      <c r="A1074" s="1611">
        <v>14</v>
      </c>
      <c r="B1074" s="1611" t="s">
        <v>2038</v>
      </c>
      <c r="C1074" s="1611" t="s">
        <v>4425</v>
      </c>
      <c r="D1074" s="1612" t="s">
        <v>7555</v>
      </c>
      <c r="E1074" s="1706" t="s">
        <v>7592</v>
      </c>
      <c r="F1074" s="1613">
        <v>39800000</v>
      </c>
      <c r="G1074" s="1613">
        <v>40294830792</v>
      </c>
    </row>
    <row r="1075" spans="1:7" ht="17.25" customHeight="1" x14ac:dyDescent="0.2">
      <c r="A1075" s="1611">
        <v>14</v>
      </c>
      <c r="B1075" s="1611" t="s">
        <v>2038</v>
      </c>
      <c r="C1075" s="1611" t="s">
        <v>4426</v>
      </c>
      <c r="D1075" s="1612" t="s">
        <v>7555</v>
      </c>
      <c r="E1075" s="1706" t="s">
        <v>7592</v>
      </c>
      <c r="F1075" s="1613">
        <v>40909090</v>
      </c>
      <c r="G1075" s="1613">
        <v>40335739882</v>
      </c>
    </row>
    <row r="1076" spans="1:7" ht="17.25" customHeight="1" x14ac:dyDescent="0.2">
      <c r="A1076" s="1611">
        <v>14</v>
      </c>
      <c r="B1076" s="1611" t="s">
        <v>2038</v>
      </c>
      <c r="C1076" s="1611" t="s">
        <v>4427</v>
      </c>
      <c r="D1076" s="1612" t="s">
        <v>7555</v>
      </c>
      <c r="E1076" s="1706" t="s">
        <v>7592</v>
      </c>
      <c r="F1076" s="1613">
        <v>39500000</v>
      </c>
      <c r="G1076" s="1613">
        <v>40375239882</v>
      </c>
    </row>
    <row r="1077" spans="1:7" ht="17.25" customHeight="1" x14ac:dyDescent="0.2">
      <c r="A1077" s="1611">
        <v>14</v>
      </c>
      <c r="B1077" s="1611" t="s">
        <v>2041</v>
      </c>
      <c r="C1077" s="1611" t="s">
        <v>214</v>
      </c>
      <c r="D1077" s="1612" t="s">
        <v>7555</v>
      </c>
      <c r="E1077" s="1706" t="s">
        <v>7592</v>
      </c>
      <c r="F1077" s="1613">
        <v>40657200</v>
      </c>
      <c r="G1077" s="1613">
        <v>40415897082</v>
      </c>
    </row>
    <row r="1078" spans="1:7" ht="17.25" customHeight="1" x14ac:dyDescent="0.2">
      <c r="A1078" s="1611">
        <v>14</v>
      </c>
      <c r="B1078" s="1611" t="s">
        <v>2047</v>
      </c>
      <c r="C1078" s="1611" t="s">
        <v>214</v>
      </c>
      <c r="D1078" s="1612" t="s">
        <v>7555</v>
      </c>
      <c r="E1078" s="1706" t="s">
        <v>7592</v>
      </c>
      <c r="F1078" s="1613">
        <v>55628000</v>
      </c>
      <c r="G1078" s="1613">
        <v>40471525082</v>
      </c>
    </row>
    <row r="1079" spans="1:7" ht="17.25" customHeight="1" x14ac:dyDescent="0.2">
      <c r="A1079" s="1611">
        <v>14</v>
      </c>
      <c r="B1079" s="1611" t="s">
        <v>2027</v>
      </c>
      <c r="C1079" s="1611" t="s">
        <v>4428</v>
      </c>
      <c r="D1079" s="1612" t="s">
        <v>2024</v>
      </c>
      <c r="E1079" s="1706" t="s">
        <v>7592</v>
      </c>
      <c r="F1079" s="1613">
        <v>11800000</v>
      </c>
      <c r="G1079" s="1613">
        <v>40483325082</v>
      </c>
    </row>
    <row r="1080" spans="1:7" ht="17.25" customHeight="1" x14ac:dyDescent="0.2">
      <c r="A1080" s="1611">
        <v>14</v>
      </c>
      <c r="B1080" s="1611" t="s">
        <v>2028</v>
      </c>
      <c r="C1080" s="1611" t="s">
        <v>4429</v>
      </c>
      <c r="D1080" s="1612" t="s">
        <v>2024</v>
      </c>
      <c r="E1080" s="1706" t="s">
        <v>7592</v>
      </c>
      <c r="F1080" s="1613">
        <v>15080000</v>
      </c>
      <c r="G1080" s="1613">
        <v>40498405082</v>
      </c>
    </row>
    <row r="1081" spans="1:7" ht="17.25" customHeight="1" x14ac:dyDescent="0.2">
      <c r="A1081" s="1611">
        <v>14</v>
      </c>
      <c r="B1081" s="1611" t="s">
        <v>2041</v>
      </c>
      <c r="C1081" s="1611" t="s">
        <v>4430</v>
      </c>
      <c r="D1081" s="1612" t="s">
        <v>7555</v>
      </c>
      <c r="E1081" s="1706" t="s">
        <v>7592</v>
      </c>
      <c r="F1081" s="1613">
        <v>47000000</v>
      </c>
      <c r="G1081" s="1613">
        <v>40545405082</v>
      </c>
    </row>
    <row r="1082" spans="1:7" ht="17.25" customHeight="1" x14ac:dyDescent="0.2">
      <c r="A1082" s="1611">
        <v>14</v>
      </c>
      <c r="B1082" s="1611" t="s">
        <v>2038</v>
      </c>
      <c r="C1082" s="1611" t="s">
        <v>4431</v>
      </c>
      <c r="D1082" s="1612" t="s">
        <v>7555</v>
      </c>
      <c r="E1082" s="1706" t="s">
        <v>7592</v>
      </c>
      <c r="F1082" s="1613">
        <v>40454545</v>
      </c>
      <c r="G1082" s="1613">
        <v>40585859627</v>
      </c>
    </row>
    <row r="1083" spans="1:7" ht="17.25" customHeight="1" x14ac:dyDescent="0.2">
      <c r="A1083" s="1611">
        <v>14</v>
      </c>
      <c r="B1083" s="1611" t="s">
        <v>2037</v>
      </c>
      <c r="C1083" s="1611" t="s">
        <v>4432</v>
      </c>
      <c r="D1083" s="1612" t="s">
        <v>7555</v>
      </c>
      <c r="E1083" s="1706" t="s">
        <v>7592</v>
      </c>
      <c r="F1083" s="1613">
        <v>39000000</v>
      </c>
      <c r="G1083" s="1613">
        <v>40624859627</v>
      </c>
    </row>
    <row r="1084" spans="1:7" ht="17.25" customHeight="1" x14ac:dyDescent="0.2">
      <c r="A1084" s="1611">
        <v>14</v>
      </c>
      <c r="B1084" s="1611" t="s">
        <v>2032</v>
      </c>
      <c r="C1084" s="1611" t="s">
        <v>4433</v>
      </c>
      <c r="D1084" s="1612" t="s">
        <v>7555</v>
      </c>
      <c r="E1084" s="1706" t="s">
        <v>7592</v>
      </c>
      <c r="F1084" s="1613">
        <v>33909090</v>
      </c>
      <c r="G1084" s="1613">
        <v>40658768717</v>
      </c>
    </row>
    <row r="1085" spans="1:7" ht="17.25" customHeight="1" x14ac:dyDescent="0.2">
      <c r="A1085" s="1611">
        <v>14</v>
      </c>
      <c r="B1085" s="1611" t="s">
        <v>2041</v>
      </c>
      <c r="C1085" s="1611" t="s">
        <v>4434</v>
      </c>
      <c r="D1085" s="1612" t="s">
        <v>7555</v>
      </c>
      <c r="E1085" s="1706" t="s">
        <v>7592</v>
      </c>
      <c r="F1085" s="1613">
        <v>49000000</v>
      </c>
      <c r="G1085" s="1613">
        <v>40707768717</v>
      </c>
    </row>
    <row r="1086" spans="1:7" ht="17.25" customHeight="1" x14ac:dyDescent="0.2">
      <c r="A1086" s="1611">
        <v>14</v>
      </c>
      <c r="B1086" s="1611" t="s">
        <v>7189</v>
      </c>
      <c r="C1086" s="1611" t="s">
        <v>7569</v>
      </c>
      <c r="D1086" s="1612">
        <v>0</v>
      </c>
      <c r="E1086" s="1706" t="s">
        <v>7570</v>
      </c>
      <c r="F1086" s="1613">
        <v>2911704</v>
      </c>
      <c r="G1086" s="1613">
        <v>40710680421</v>
      </c>
    </row>
    <row r="1087" spans="1:7" ht="17.25" customHeight="1" x14ac:dyDescent="0.2">
      <c r="A1087" s="1611">
        <v>14</v>
      </c>
      <c r="B1087" s="1611" t="s">
        <v>2028</v>
      </c>
      <c r="C1087" s="1611" t="s">
        <v>4436</v>
      </c>
      <c r="D1087" s="1612" t="s">
        <v>2024</v>
      </c>
      <c r="E1087" s="1706" t="s">
        <v>7592</v>
      </c>
      <c r="F1087" s="1613">
        <v>16000000</v>
      </c>
      <c r="G1087" s="1613">
        <v>40726680421</v>
      </c>
    </row>
    <row r="1088" spans="1:7" ht="17.25" customHeight="1" x14ac:dyDescent="0.2">
      <c r="A1088" s="1611">
        <v>14</v>
      </c>
      <c r="B1088" s="1611" t="s">
        <v>2041</v>
      </c>
      <c r="C1088" s="1611" t="s">
        <v>4437</v>
      </c>
      <c r="D1088" s="1612" t="s">
        <v>7555</v>
      </c>
      <c r="E1088" s="1706" t="s">
        <v>7592</v>
      </c>
      <c r="F1088" s="1613">
        <v>49000000</v>
      </c>
      <c r="G1088" s="1613">
        <v>40775680421</v>
      </c>
    </row>
    <row r="1089" spans="1:7" ht="17.25" customHeight="1" x14ac:dyDescent="0.2">
      <c r="A1089" s="1611">
        <v>14</v>
      </c>
      <c r="B1089" s="1611" t="s">
        <v>2039</v>
      </c>
      <c r="C1089" s="1611" t="s">
        <v>4438</v>
      </c>
      <c r="D1089" s="1612" t="s">
        <v>7555</v>
      </c>
      <c r="E1089" s="1706" t="s">
        <v>7592</v>
      </c>
      <c r="F1089" s="1613">
        <v>41818180</v>
      </c>
      <c r="G1089" s="1613">
        <v>40817498601</v>
      </c>
    </row>
    <row r="1090" spans="1:7" ht="17.25" customHeight="1" x14ac:dyDescent="0.2">
      <c r="A1090" s="1611">
        <v>14</v>
      </c>
      <c r="B1090" s="1611" t="s">
        <v>2041</v>
      </c>
      <c r="C1090" s="1611" t="s">
        <v>4439</v>
      </c>
      <c r="D1090" s="1612" t="s">
        <v>7555</v>
      </c>
      <c r="E1090" s="1706" t="s">
        <v>7592</v>
      </c>
      <c r="F1090" s="1613">
        <v>49090909</v>
      </c>
      <c r="G1090" s="1613">
        <v>40866589510</v>
      </c>
    </row>
    <row r="1091" spans="1:7" ht="17.25" customHeight="1" x14ac:dyDescent="0.2">
      <c r="A1091" s="1611">
        <v>14</v>
      </c>
      <c r="B1091" s="1611" t="s">
        <v>2027</v>
      </c>
      <c r="C1091" s="1611" t="s">
        <v>4440</v>
      </c>
      <c r="D1091" s="1612" t="s">
        <v>2024</v>
      </c>
      <c r="E1091" s="1706" t="s">
        <v>7592</v>
      </c>
      <c r="F1091" s="1613">
        <v>16768727</v>
      </c>
      <c r="G1091" s="1613">
        <v>40883358237</v>
      </c>
    </row>
    <row r="1092" spans="1:7" ht="17.25" customHeight="1" x14ac:dyDescent="0.2">
      <c r="A1092" s="1611">
        <v>14</v>
      </c>
      <c r="B1092" s="1611" t="s">
        <v>2027</v>
      </c>
      <c r="C1092" s="1611" t="s">
        <v>4441</v>
      </c>
      <c r="D1092" s="1612" t="s">
        <v>2024</v>
      </c>
      <c r="E1092" s="1706" t="s">
        <v>7592</v>
      </c>
      <c r="F1092" s="1613">
        <v>16358000</v>
      </c>
      <c r="G1092" s="1613">
        <v>40899716237</v>
      </c>
    </row>
    <row r="1093" spans="1:7" ht="17.25" customHeight="1" x14ac:dyDescent="0.2">
      <c r="A1093" s="1611">
        <v>14</v>
      </c>
      <c r="B1093" s="1611" t="s">
        <v>2027</v>
      </c>
      <c r="C1093" s="1611" t="s">
        <v>4350</v>
      </c>
      <c r="D1093" s="1612" t="s">
        <v>2024</v>
      </c>
      <c r="E1093" s="1706" t="s">
        <v>7592</v>
      </c>
      <c r="F1093" s="1613">
        <v>12600000</v>
      </c>
      <c r="G1093" s="1613">
        <v>40912316237</v>
      </c>
    </row>
    <row r="1094" spans="1:7" ht="17.25" customHeight="1" x14ac:dyDescent="0.2">
      <c r="A1094" s="1611">
        <v>14</v>
      </c>
      <c r="B1094" s="1611" t="s">
        <v>4442</v>
      </c>
      <c r="C1094" s="1611" t="s">
        <v>4443</v>
      </c>
      <c r="D1094" s="1612">
        <v>0</v>
      </c>
      <c r="E1094" s="1706" t="s">
        <v>7592</v>
      </c>
      <c r="F1094" s="1613">
        <v>42300000</v>
      </c>
      <c r="G1094" s="1613">
        <v>40954616237</v>
      </c>
    </row>
    <row r="1095" spans="1:7" ht="17.25" customHeight="1" x14ac:dyDescent="0.2">
      <c r="A1095" s="1611">
        <v>14</v>
      </c>
      <c r="B1095" s="1611" t="s">
        <v>2028</v>
      </c>
      <c r="C1095" s="1611" t="s">
        <v>4444</v>
      </c>
      <c r="D1095" s="1612" t="s">
        <v>2024</v>
      </c>
      <c r="E1095" s="1706" t="s">
        <v>7592</v>
      </c>
      <c r="F1095" s="1613">
        <v>13670000</v>
      </c>
      <c r="G1095" s="1613">
        <v>40968286237</v>
      </c>
    </row>
    <row r="1096" spans="1:7" ht="17.25" customHeight="1" x14ac:dyDescent="0.2">
      <c r="A1096" s="1611">
        <v>14</v>
      </c>
      <c r="B1096" s="1611" t="s">
        <v>2038</v>
      </c>
      <c r="C1096" s="1611" t="s">
        <v>4445</v>
      </c>
      <c r="D1096" s="1612" t="s">
        <v>7555</v>
      </c>
      <c r="E1096" s="1706" t="s">
        <v>7592</v>
      </c>
      <c r="F1096" s="1613">
        <v>39090909</v>
      </c>
      <c r="G1096" s="1613">
        <v>41007377146</v>
      </c>
    </row>
    <row r="1097" spans="1:7" ht="17.25" customHeight="1" x14ac:dyDescent="0.2">
      <c r="A1097" s="1611">
        <v>14</v>
      </c>
      <c r="B1097" s="1611" t="s">
        <v>2038</v>
      </c>
      <c r="C1097" s="1611" t="s">
        <v>3919</v>
      </c>
      <c r="D1097" s="1612" t="s">
        <v>7555</v>
      </c>
      <c r="E1097" s="1706" t="s">
        <v>7592</v>
      </c>
      <c r="F1097" s="1613">
        <v>40909091</v>
      </c>
      <c r="G1097" s="1613">
        <v>41048286237</v>
      </c>
    </row>
    <row r="1098" spans="1:7" ht="17.25" customHeight="1" x14ac:dyDescent="0.2">
      <c r="A1098" s="1611">
        <v>14</v>
      </c>
      <c r="B1098" s="1611" t="s">
        <v>2038</v>
      </c>
      <c r="C1098" s="1611" t="s">
        <v>4446</v>
      </c>
      <c r="D1098" s="1612" t="s">
        <v>7555</v>
      </c>
      <c r="E1098" s="1706" t="s">
        <v>7592</v>
      </c>
      <c r="F1098" s="1613">
        <v>40000000</v>
      </c>
      <c r="G1098" s="1613">
        <v>41088286237</v>
      </c>
    </row>
    <row r="1099" spans="1:7" ht="17.25" customHeight="1" x14ac:dyDescent="0.2">
      <c r="A1099" s="1611">
        <v>14</v>
      </c>
      <c r="B1099" s="1611" t="s">
        <v>2038</v>
      </c>
      <c r="C1099" s="1611" t="s">
        <v>4116</v>
      </c>
      <c r="D1099" s="1612" t="s">
        <v>7555</v>
      </c>
      <c r="E1099" s="1706" t="s">
        <v>7592</v>
      </c>
      <c r="F1099" s="1613">
        <v>38000000</v>
      </c>
      <c r="G1099" s="1613">
        <v>41126286237</v>
      </c>
    </row>
    <row r="1100" spans="1:7" ht="17.25" customHeight="1" x14ac:dyDescent="0.2">
      <c r="A1100" s="1611">
        <v>14</v>
      </c>
      <c r="B1100" s="1611" t="s">
        <v>2039</v>
      </c>
      <c r="C1100" s="1611" t="s">
        <v>4447</v>
      </c>
      <c r="D1100" s="1612" t="s">
        <v>7555</v>
      </c>
      <c r="E1100" s="1706" t="s">
        <v>7592</v>
      </c>
      <c r="F1100" s="1613">
        <v>43636364</v>
      </c>
      <c r="G1100" s="1613">
        <v>41169922601</v>
      </c>
    </row>
    <row r="1101" spans="1:7" ht="17.25" customHeight="1" x14ac:dyDescent="0.2">
      <c r="A1101" s="1611">
        <v>14</v>
      </c>
      <c r="B1101" s="1611" t="s">
        <v>2038</v>
      </c>
      <c r="C1101" s="1611" t="s">
        <v>4116</v>
      </c>
      <c r="D1101" s="1612" t="s">
        <v>7555</v>
      </c>
      <c r="E1101" s="1706" t="s">
        <v>7592</v>
      </c>
      <c r="F1101" s="1613">
        <v>38000000</v>
      </c>
      <c r="G1101" s="1613">
        <v>41207922601</v>
      </c>
    </row>
    <row r="1102" spans="1:7" ht="17.25" customHeight="1" x14ac:dyDescent="0.2">
      <c r="A1102" s="1611">
        <v>14</v>
      </c>
      <c r="B1102" s="1611" t="s">
        <v>2038</v>
      </c>
      <c r="C1102" s="1611" t="s">
        <v>4116</v>
      </c>
      <c r="D1102" s="1612" t="s">
        <v>7555</v>
      </c>
      <c r="E1102" s="1706" t="s">
        <v>7592</v>
      </c>
      <c r="F1102" s="1613">
        <v>-38000000</v>
      </c>
      <c r="G1102" s="1613">
        <v>41169922601</v>
      </c>
    </row>
    <row r="1103" spans="1:7" ht="17.25" customHeight="1" x14ac:dyDescent="0.2">
      <c r="A1103" s="1611">
        <v>14</v>
      </c>
      <c r="B1103" s="1611" t="s">
        <v>2038</v>
      </c>
      <c r="C1103" s="1611" t="s">
        <v>4126</v>
      </c>
      <c r="D1103" s="1612" t="s">
        <v>7555</v>
      </c>
      <c r="E1103" s="1706" t="s">
        <v>7592</v>
      </c>
      <c r="F1103" s="1613">
        <v>39454545</v>
      </c>
      <c r="G1103" s="1613">
        <v>41209377146</v>
      </c>
    </row>
    <row r="1104" spans="1:7" ht="17.25" customHeight="1" x14ac:dyDescent="0.2">
      <c r="A1104" s="1611">
        <v>14</v>
      </c>
      <c r="B1104" s="1611" t="s">
        <v>2041</v>
      </c>
      <c r="C1104" s="1611" t="s">
        <v>4448</v>
      </c>
      <c r="D1104" s="1612" t="s">
        <v>7555</v>
      </c>
      <c r="E1104" s="1706" t="s">
        <v>7592</v>
      </c>
      <c r="F1104" s="1613">
        <v>49963637</v>
      </c>
      <c r="G1104" s="1613">
        <v>41259340783</v>
      </c>
    </row>
    <row r="1105" spans="1:7" ht="17.25" customHeight="1" x14ac:dyDescent="0.2">
      <c r="A1105" s="1611">
        <v>14</v>
      </c>
      <c r="B1105" s="1611" t="s">
        <v>2032</v>
      </c>
      <c r="C1105" s="1611" t="s">
        <v>4449</v>
      </c>
      <c r="D1105" s="1612" t="s">
        <v>7555</v>
      </c>
      <c r="E1105" s="1706" t="s">
        <v>7592</v>
      </c>
      <c r="F1105" s="1613">
        <v>34000000</v>
      </c>
      <c r="G1105" s="1613">
        <v>41293340783</v>
      </c>
    </row>
    <row r="1106" spans="1:7" ht="17.25" customHeight="1" x14ac:dyDescent="0.2">
      <c r="A1106" s="1611">
        <v>14</v>
      </c>
      <c r="B1106" s="1611" t="s">
        <v>2039</v>
      </c>
      <c r="C1106" s="1611" t="s">
        <v>4450</v>
      </c>
      <c r="D1106" s="1612" t="s">
        <v>7555</v>
      </c>
      <c r="E1106" s="1706" t="s">
        <v>7592</v>
      </c>
      <c r="F1106" s="1613">
        <v>42272727</v>
      </c>
      <c r="G1106" s="1613">
        <v>41335613510</v>
      </c>
    </row>
    <row r="1107" spans="1:7" ht="17.25" customHeight="1" x14ac:dyDescent="0.2">
      <c r="A1107" s="1611">
        <v>14</v>
      </c>
      <c r="B1107" s="1611" t="s">
        <v>3670</v>
      </c>
      <c r="C1107" s="1611" t="s">
        <v>3597</v>
      </c>
      <c r="D1107" s="1612">
        <v>0</v>
      </c>
      <c r="E1107" s="1706" t="s">
        <v>7592</v>
      </c>
      <c r="F1107" s="1613">
        <v>6500000</v>
      </c>
      <c r="G1107" s="1613">
        <v>41342113510</v>
      </c>
    </row>
    <row r="1108" spans="1:7" ht="17.25" customHeight="1" x14ac:dyDescent="0.2">
      <c r="A1108" s="1611">
        <v>14</v>
      </c>
      <c r="B1108" s="1611" t="s">
        <v>2028</v>
      </c>
      <c r="C1108" s="1611" t="s">
        <v>4451</v>
      </c>
      <c r="D1108" s="1612" t="s">
        <v>2024</v>
      </c>
      <c r="E1108" s="1706" t="s">
        <v>7592</v>
      </c>
      <c r="F1108" s="1613">
        <v>15000000</v>
      </c>
      <c r="G1108" s="1613">
        <v>41357113510</v>
      </c>
    </row>
    <row r="1109" spans="1:7" ht="17.25" customHeight="1" x14ac:dyDescent="0.2">
      <c r="A1109" s="1611">
        <v>14</v>
      </c>
      <c r="B1109" s="1611" t="s">
        <v>2038</v>
      </c>
      <c r="C1109" s="1611" t="s">
        <v>3910</v>
      </c>
      <c r="D1109" s="1612" t="s">
        <v>7555</v>
      </c>
      <c r="E1109" s="1706" t="s">
        <v>7592</v>
      </c>
      <c r="F1109" s="1613">
        <v>42527000</v>
      </c>
      <c r="G1109" s="1613">
        <v>41399640510</v>
      </c>
    </row>
    <row r="1110" spans="1:7" ht="17.25" customHeight="1" x14ac:dyDescent="0.2">
      <c r="A1110" s="1611">
        <v>14</v>
      </c>
      <c r="B1110" s="1611" t="s">
        <v>2038</v>
      </c>
      <c r="C1110" s="1611" t="s">
        <v>4452</v>
      </c>
      <c r="D1110" s="1612" t="s">
        <v>7555</v>
      </c>
      <c r="E1110" s="1706" t="s">
        <v>7592</v>
      </c>
      <c r="F1110" s="1613">
        <v>40454545</v>
      </c>
      <c r="G1110" s="1613">
        <v>41440095055</v>
      </c>
    </row>
    <row r="1111" spans="1:7" ht="17.25" customHeight="1" x14ac:dyDescent="0.2">
      <c r="A1111" s="1611">
        <v>14</v>
      </c>
      <c r="B1111" s="1611" t="s">
        <v>2032</v>
      </c>
      <c r="C1111" s="1611" t="s">
        <v>4453</v>
      </c>
      <c r="D1111" s="1612" t="s">
        <v>7555</v>
      </c>
      <c r="E1111" s="1706" t="s">
        <v>7592</v>
      </c>
      <c r="F1111" s="1613">
        <v>35500000</v>
      </c>
      <c r="G1111" s="1613">
        <v>41475595055</v>
      </c>
    </row>
    <row r="1112" spans="1:7" ht="17.25" customHeight="1" x14ac:dyDescent="0.2">
      <c r="A1112" s="1611">
        <v>14</v>
      </c>
      <c r="B1112" s="1611" t="s">
        <v>4070</v>
      </c>
      <c r="C1112" s="1611" t="s">
        <v>4448</v>
      </c>
      <c r="D1112" s="1612">
        <v>0</v>
      </c>
      <c r="E1112" s="1706" t="s">
        <v>7592</v>
      </c>
      <c r="F1112" s="1613">
        <v>3910000</v>
      </c>
      <c r="G1112" s="1613">
        <v>41479505055</v>
      </c>
    </row>
    <row r="1113" spans="1:7" ht="17.25" customHeight="1" x14ac:dyDescent="0.2">
      <c r="A1113" s="1611">
        <v>14</v>
      </c>
      <c r="B1113" s="1611" t="s">
        <v>2028</v>
      </c>
      <c r="C1113" s="1611" t="s">
        <v>4454</v>
      </c>
      <c r="D1113" s="1612" t="s">
        <v>2024</v>
      </c>
      <c r="E1113" s="1706" t="s">
        <v>7592</v>
      </c>
      <c r="F1113" s="1613">
        <v>15000000</v>
      </c>
      <c r="G1113" s="1613">
        <v>41494505055</v>
      </c>
    </row>
    <row r="1114" spans="1:7" ht="17.25" customHeight="1" x14ac:dyDescent="0.2">
      <c r="A1114" s="1611">
        <v>14</v>
      </c>
      <c r="B1114" s="1611" t="s">
        <v>7169</v>
      </c>
      <c r="C1114" s="1611" t="s">
        <v>4270</v>
      </c>
      <c r="D1114" s="1612">
        <v>0</v>
      </c>
      <c r="E1114" s="1706" t="s">
        <v>7575</v>
      </c>
      <c r="F1114" s="1613">
        <v>107227635</v>
      </c>
      <c r="G1114" s="1613">
        <v>41601732690</v>
      </c>
    </row>
    <row r="1115" spans="1:7" ht="17.25" customHeight="1" x14ac:dyDescent="0.2">
      <c r="A1115" s="1611">
        <v>14</v>
      </c>
      <c r="B1115" s="1611" t="s">
        <v>7190</v>
      </c>
      <c r="C1115" s="1611" t="s">
        <v>4455</v>
      </c>
      <c r="D1115" s="1612">
        <v>0</v>
      </c>
      <c r="E1115" s="1706" t="s">
        <v>7592</v>
      </c>
      <c r="F1115" s="1613">
        <v>1350000</v>
      </c>
      <c r="G1115" s="1613">
        <v>41603082690</v>
      </c>
    </row>
    <row r="1116" spans="1:7" ht="17.25" customHeight="1" x14ac:dyDescent="0.2">
      <c r="A1116" s="1611">
        <v>14</v>
      </c>
      <c r="B1116" s="1611" t="s">
        <v>2027</v>
      </c>
      <c r="C1116" s="1611" t="s">
        <v>4456</v>
      </c>
      <c r="D1116" s="1612" t="s">
        <v>2024</v>
      </c>
      <c r="E1116" s="1706" t="s">
        <v>7592</v>
      </c>
      <c r="F1116" s="1613">
        <v>13300000</v>
      </c>
      <c r="G1116" s="1613">
        <v>41616382690</v>
      </c>
    </row>
    <row r="1117" spans="1:7" ht="17.25" customHeight="1" x14ac:dyDescent="0.2">
      <c r="A1117" s="1611">
        <v>14</v>
      </c>
      <c r="B1117" s="1611" t="s">
        <v>2038</v>
      </c>
      <c r="C1117" s="1611" t="s">
        <v>4447</v>
      </c>
      <c r="D1117" s="1612" t="s">
        <v>7555</v>
      </c>
      <c r="E1117" s="1706" t="s">
        <v>7592</v>
      </c>
      <c r="F1117" s="1613">
        <v>42818182</v>
      </c>
      <c r="G1117" s="1613">
        <v>41659200872</v>
      </c>
    </row>
    <row r="1118" spans="1:7" ht="17.25" customHeight="1" x14ac:dyDescent="0.2">
      <c r="A1118" s="1611">
        <v>14</v>
      </c>
      <c r="B1118" s="1611" t="s">
        <v>2041</v>
      </c>
      <c r="C1118" s="1611" t="s">
        <v>4457</v>
      </c>
      <c r="D1118" s="1612" t="s">
        <v>7555</v>
      </c>
      <c r="E1118" s="1706" t="s">
        <v>7592</v>
      </c>
      <c r="F1118" s="1613">
        <v>49545454</v>
      </c>
      <c r="G1118" s="1613">
        <v>41708746326</v>
      </c>
    </row>
    <row r="1119" spans="1:7" ht="17.25" customHeight="1" x14ac:dyDescent="0.2">
      <c r="A1119" s="1611">
        <v>14</v>
      </c>
      <c r="B1119" s="1611" t="s">
        <v>2041</v>
      </c>
      <c r="C1119" s="1611" t="s">
        <v>4458</v>
      </c>
      <c r="D1119" s="1612" t="s">
        <v>7555</v>
      </c>
      <c r="E1119" s="1706" t="s">
        <v>7592</v>
      </c>
      <c r="F1119" s="1613">
        <v>47000000</v>
      </c>
      <c r="G1119" s="1613">
        <v>41755746326</v>
      </c>
    </row>
    <row r="1120" spans="1:7" ht="17.25" customHeight="1" x14ac:dyDescent="0.2">
      <c r="A1120" s="1611">
        <v>14</v>
      </c>
      <c r="B1120" s="1611" t="s">
        <v>2043</v>
      </c>
      <c r="C1120" s="1611" t="s">
        <v>214</v>
      </c>
      <c r="D1120" s="1612" t="s">
        <v>7555</v>
      </c>
      <c r="E1120" s="1706" t="s">
        <v>7592</v>
      </c>
      <c r="F1120" s="1613">
        <v>45227400</v>
      </c>
      <c r="G1120" s="1613">
        <v>41800973726</v>
      </c>
    </row>
    <row r="1121" spans="1:7" ht="17.25" customHeight="1" x14ac:dyDescent="0.2">
      <c r="A1121" s="1611">
        <v>14</v>
      </c>
      <c r="B1121" s="1611" t="s">
        <v>2047</v>
      </c>
      <c r="C1121" s="1611" t="s">
        <v>214</v>
      </c>
      <c r="D1121" s="1612" t="s">
        <v>7555</v>
      </c>
      <c r="E1121" s="1706" t="s">
        <v>7592</v>
      </c>
      <c r="F1121" s="1613">
        <v>55090000</v>
      </c>
      <c r="G1121" s="1613">
        <v>41856063726</v>
      </c>
    </row>
    <row r="1122" spans="1:7" ht="17.25" customHeight="1" x14ac:dyDescent="0.2">
      <c r="A1122" s="1611">
        <v>14</v>
      </c>
      <c r="B1122" s="1611" t="s">
        <v>4596</v>
      </c>
      <c r="C1122" s="1611" t="s">
        <v>4459</v>
      </c>
      <c r="D1122" s="1612">
        <v>0</v>
      </c>
      <c r="E1122" s="1706" t="s">
        <v>7592</v>
      </c>
      <c r="F1122" s="1613">
        <v>44545455</v>
      </c>
      <c r="G1122" s="1613">
        <v>41900609181</v>
      </c>
    </row>
    <row r="1123" spans="1:7" ht="17.25" customHeight="1" x14ac:dyDescent="0.2">
      <c r="A1123" s="1611">
        <v>14</v>
      </c>
      <c r="B1123" s="1611" t="s">
        <v>4596</v>
      </c>
      <c r="C1123" s="1611" t="s">
        <v>4459</v>
      </c>
      <c r="D1123" s="1612">
        <v>0</v>
      </c>
      <c r="E1123" s="1706" t="s">
        <v>7592</v>
      </c>
      <c r="F1123" s="1613">
        <v>-44545455</v>
      </c>
      <c r="G1123" s="1613">
        <v>41856063726</v>
      </c>
    </row>
    <row r="1124" spans="1:7" ht="17.25" customHeight="1" x14ac:dyDescent="0.2">
      <c r="A1124" s="1611">
        <v>14</v>
      </c>
      <c r="B1124" s="1611" t="s">
        <v>2041</v>
      </c>
      <c r="C1124" s="1611" t="s">
        <v>4458</v>
      </c>
      <c r="D1124" s="1612" t="s">
        <v>7555</v>
      </c>
      <c r="E1124" s="1706" t="s">
        <v>7592</v>
      </c>
      <c r="F1124" s="1613">
        <v>-47000000</v>
      </c>
      <c r="G1124" s="1613">
        <v>41809063726</v>
      </c>
    </row>
    <row r="1125" spans="1:7" ht="17.25" customHeight="1" x14ac:dyDescent="0.2">
      <c r="A1125" s="1611">
        <v>14</v>
      </c>
      <c r="B1125" s="1611" t="s">
        <v>2041</v>
      </c>
      <c r="C1125" s="1611" t="s">
        <v>4460</v>
      </c>
      <c r="D1125" s="1612" t="s">
        <v>7555</v>
      </c>
      <c r="E1125" s="1706" t="s">
        <v>7592</v>
      </c>
      <c r="F1125" s="1613">
        <v>47000000</v>
      </c>
      <c r="G1125" s="1613">
        <v>41856063726</v>
      </c>
    </row>
    <row r="1126" spans="1:7" ht="17.25" customHeight="1" x14ac:dyDescent="0.2">
      <c r="A1126" s="1611">
        <v>14</v>
      </c>
      <c r="B1126" s="1611" t="s">
        <v>2028</v>
      </c>
      <c r="C1126" s="1611" t="s">
        <v>4461</v>
      </c>
      <c r="D1126" s="1612" t="s">
        <v>2024</v>
      </c>
      <c r="E1126" s="1706" t="s">
        <v>7592</v>
      </c>
      <c r="F1126" s="1613">
        <v>14000000</v>
      </c>
      <c r="G1126" s="1613">
        <v>41870063726</v>
      </c>
    </row>
    <row r="1127" spans="1:7" ht="17.25" customHeight="1" x14ac:dyDescent="0.2">
      <c r="A1127" s="1611">
        <v>14</v>
      </c>
      <c r="B1127" s="1611" t="s">
        <v>2030</v>
      </c>
      <c r="C1127" s="1611" t="s">
        <v>4462</v>
      </c>
      <c r="D1127" s="1612" t="s">
        <v>7555</v>
      </c>
      <c r="E1127" s="1706" t="s">
        <v>7592</v>
      </c>
      <c r="F1127" s="1613">
        <v>36500000</v>
      </c>
      <c r="G1127" s="1613">
        <v>41906563726</v>
      </c>
    </row>
    <row r="1128" spans="1:7" ht="17.25" customHeight="1" x14ac:dyDescent="0.2">
      <c r="A1128" s="1611">
        <v>14</v>
      </c>
      <c r="B1128" s="1611" t="s">
        <v>2037</v>
      </c>
      <c r="C1128" s="1611" t="s">
        <v>4463</v>
      </c>
      <c r="D1128" s="1612" t="s">
        <v>7555</v>
      </c>
      <c r="E1128" s="1706" t="s">
        <v>7592</v>
      </c>
      <c r="F1128" s="1613">
        <v>38181818</v>
      </c>
      <c r="G1128" s="1613">
        <v>41944745544</v>
      </c>
    </row>
    <row r="1129" spans="1:7" ht="17.25" customHeight="1" x14ac:dyDescent="0.2">
      <c r="A1129" s="1611">
        <v>14</v>
      </c>
      <c r="B1129" s="1611" t="s">
        <v>2027</v>
      </c>
      <c r="C1129" s="1611" t="s">
        <v>4464</v>
      </c>
      <c r="D1129" s="1612" t="s">
        <v>2024</v>
      </c>
      <c r="E1129" s="1706" t="s">
        <v>7592</v>
      </c>
      <c r="F1129" s="1613">
        <v>13000000</v>
      </c>
      <c r="G1129" s="1613">
        <v>41957745544</v>
      </c>
    </row>
    <row r="1130" spans="1:7" ht="17.25" customHeight="1" x14ac:dyDescent="0.2">
      <c r="A1130" s="1611">
        <v>14</v>
      </c>
      <c r="B1130" s="1611" t="s">
        <v>2039</v>
      </c>
      <c r="C1130" s="1611" t="s">
        <v>4465</v>
      </c>
      <c r="D1130" s="1612" t="s">
        <v>7555</v>
      </c>
      <c r="E1130" s="1706" t="s">
        <v>7592</v>
      </c>
      <c r="F1130" s="1613">
        <v>42300000</v>
      </c>
      <c r="G1130" s="1613">
        <v>42000045544</v>
      </c>
    </row>
    <row r="1131" spans="1:7" ht="17.25" customHeight="1" x14ac:dyDescent="0.2">
      <c r="A1131" s="1611">
        <v>14</v>
      </c>
      <c r="B1131" s="1611" t="s">
        <v>2037</v>
      </c>
      <c r="C1131" s="1611" t="s">
        <v>4466</v>
      </c>
      <c r="D1131" s="1612" t="s">
        <v>7555</v>
      </c>
      <c r="E1131" s="1706" t="s">
        <v>7592</v>
      </c>
      <c r="F1131" s="1613">
        <v>37000000</v>
      </c>
      <c r="G1131" s="1613">
        <v>42037045544</v>
      </c>
    </row>
    <row r="1132" spans="1:7" ht="17.25" customHeight="1" x14ac:dyDescent="0.2">
      <c r="A1132" s="1611">
        <v>14</v>
      </c>
      <c r="B1132" s="1611" t="s">
        <v>2028</v>
      </c>
      <c r="C1132" s="1611" t="s">
        <v>4467</v>
      </c>
      <c r="D1132" s="1612" t="s">
        <v>2024</v>
      </c>
      <c r="E1132" s="1706" t="s">
        <v>7592</v>
      </c>
      <c r="F1132" s="1613">
        <v>15272727</v>
      </c>
      <c r="G1132" s="1613">
        <v>42052318271</v>
      </c>
    </row>
    <row r="1133" spans="1:7" ht="17.25" customHeight="1" x14ac:dyDescent="0.2">
      <c r="A1133" s="1611">
        <v>14</v>
      </c>
      <c r="B1133" s="1611" t="s">
        <v>2037</v>
      </c>
      <c r="C1133" s="1611" t="s">
        <v>4468</v>
      </c>
      <c r="D1133" s="1612" t="s">
        <v>7555</v>
      </c>
      <c r="E1133" s="1706" t="s">
        <v>7592</v>
      </c>
      <c r="F1133" s="1613">
        <v>36000000</v>
      </c>
      <c r="G1133" s="1613">
        <v>42088318271</v>
      </c>
    </row>
    <row r="1134" spans="1:7" ht="17.25" customHeight="1" x14ac:dyDescent="0.2">
      <c r="A1134" s="1611">
        <v>14</v>
      </c>
      <c r="B1134" s="1611" t="s">
        <v>2037</v>
      </c>
      <c r="C1134" s="1611" t="s">
        <v>4469</v>
      </c>
      <c r="D1134" s="1612" t="s">
        <v>7555</v>
      </c>
      <c r="E1134" s="1706" t="s">
        <v>7592</v>
      </c>
      <c r="F1134" s="1613">
        <v>37000000</v>
      </c>
      <c r="G1134" s="1613">
        <v>42125318271</v>
      </c>
    </row>
    <row r="1135" spans="1:7" ht="17.25" customHeight="1" x14ac:dyDescent="0.2">
      <c r="A1135" s="1611">
        <v>14</v>
      </c>
      <c r="B1135" s="1611" t="s">
        <v>7191</v>
      </c>
      <c r="C1135" s="1611" t="s">
        <v>4005</v>
      </c>
      <c r="D1135" s="1612">
        <v>0</v>
      </c>
      <c r="E1135" s="1706" t="s">
        <v>7592</v>
      </c>
      <c r="F1135" s="1613">
        <v>108107000</v>
      </c>
      <c r="G1135" s="1613">
        <v>42233425271</v>
      </c>
    </row>
    <row r="1136" spans="1:7" ht="17.25" customHeight="1" x14ac:dyDescent="0.2">
      <c r="A1136" s="1611">
        <v>14</v>
      </c>
      <c r="B1136" s="1611" t="s">
        <v>4596</v>
      </c>
      <c r="C1136" s="1611" t="s">
        <v>4459</v>
      </c>
      <c r="D1136" s="1612">
        <v>0</v>
      </c>
      <c r="E1136" s="1706" t="s">
        <v>7592</v>
      </c>
      <c r="F1136" s="1613">
        <v>44545455</v>
      </c>
      <c r="G1136" s="1613">
        <v>42277970726</v>
      </c>
    </row>
    <row r="1137" spans="1:7" ht="17.25" customHeight="1" x14ac:dyDescent="0.2">
      <c r="A1137" s="1611">
        <v>14</v>
      </c>
      <c r="B1137" s="1611" t="s">
        <v>2034</v>
      </c>
      <c r="C1137" s="1611" t="s">
        <v>4470</v>
      </c>
      <c r="D1137" s="1612" t="s">
        <v>7555</v>
      </c>
      <c r="E1137" s="1706" t="s">
        <v>7592</v>
      </c>
      <c r="F1137" s="1613">
        <v>41390910</v>
      </c>
      <c r="G1137" s="1613">
        <v>42319361636</v>
      </c>
    </row>
    <row r="1138" spans="1:7" ht="17.25" customHeight="1" x14ac:dyDescent="0.2">
      <c r="A1138" s="1611">
        <v>14</v>
      </c>
      <c r="B1138" s="1611" t="s">
        <v>2032</v>
      </c>
      <c r="C1138" s="1611" t="s">
        <v>4471</v>
      </c>
      <c r="D1138" s="1612" t="s">
        <v>7555</v>
      </c>
      <c r="E1138" s="1706" t="s">
        <v>7592</v>
      </c>
      <c r="F1138" s="1613">
        <v>33290909</v>
      </c>
      <c r="G1138" s="1613">
        <v>42352652545</v>
      </c>
    </row>
    <row r="1139" spans="1:7" ht="17.25" customHeight="1" x14ac:dyDescent="0.2">
      <c r="A1139" s="1611">
        <v>14</v>
      </c>
      <c r="B1139" s="1611" t="s">
        <v>2027</v>
      </c>
      <c r="C1139" s="1611" t="s">
        <v>4472</v>
      </c>
      <c r="D1139" s="1612" t="s">
        <v>2024</v>
      </c>
      <c r="E1139" s="1706" t="s">
        <v>7592</v>
      </c>
      <c r="F1139" s="1613">
        <v>15890000</v>
      </c>
      <c r="G1139" s="1613">
        <v>42368542545</v>
      </c>
    </row>
    <row r="1140" spans="1:7" ht="17.25" customHeight="1" x14ac:dyDescent="0.2">
      <c r="A1140" s="1611">
        <v>14</v>
      </c>
      <c r="B1140" s="1611" t="s">
        <v>2038</v>
      </c>
      <c r="C1140" s="1611" t="s">
        <v>4399</v>
      </c>
      <c r="D1140" s="1612" t="s">
        <v>7555</v>
      </c>
      <c r="E1140" s="1706" t="s">
        <v>7592</v>
      </c>
      <c r="F1140" s="1613">
        <v>40909091</v>
      </c>
      <c r="G1140" s="1613">
        <v>42409451636</v>
      </c>
    </row>
    <row r="1141" spans="1:7" ht="17.25" customHeight="1" x14ac:dyDescent="0.2">
      <c r="A1141" s="1611">
        <v>14</v>
      </c>
      <c r="B1141" s="1611" t="s">
        <v>2038</v>
      </c>
      <c r="C1141" s="1611" t="s">
        <v>4399</v>
      </c>
      <c r="D1141" s="1612" t="s">
        <v>7555</v>
      </c>
      <c r="E1141" s="1706" t="s">
        <v>7592</v>
      </c>
      <c r="F1141" s="1613">
        <v>40909091</v>
      </c>
      <c r="G1141" s="1613">
        <v>42450360727</v>
      </c>
    </row>
    <row r="1142" spans="1:7" ht="17.25" customHeight="1" x14ac:dyDescent="0.2">
      <c r="A1142" s="1611">
        <v>14</v>
      </c>
      <c r="B1142" s="1611" t="s">
        <v>2038</v>
      </c>
      <c r="C1142" s="1611" t="s">
        <v>4473</v>
      </c>
      <c r="D1142" s="1612" t="s">
        <v>7555</v>
      </c>
      <c r="E1142" s="1706" t="s">
        <v>7592</v>
      </c>
      <c r="F1142" s="1613">
        <v>40000000</v>
      </c>
      <c r="G1142" s="1613">
        <v>42490360727</v>
      </c>
    </row>
    <row r="1143" spans="1:7" ht="17.25" customHeight="1" x14ac:dyDescent="0.2">
      <c r="A1143" s="1611">
        <v>14</v>
      </c>
      <c r="B1143" s="1611" t="s">
        <v>2038</v>
      </c>
      <c r="C1143" s="1611" t="s">
        <v>4474</v>
      </c>
      <c r="D1143" s="1612" t="s">
        <v>7555</v>
      </c>
      <c r="E1143" s="1706" t="s">
        <v>7592</v>
      </c>
      <c r="F1143" s="1613">
        <v>40090909</v>
      </c>
      <c r="G1143" s="1613">
        <v>42530451636</v>
      </c>
    </row>
    <row r="1144" spans="1:7" ht="17.25" customHeight="1" x14ac:dyDescent="0.2">
      <c r="A1144" s="1611">
        <v>14</v>
      </c>
      <c r="B1144" s="1611" t="s">
        <v>2038</v>
      </c>
      <c r="C1144" s="1611" t="s">
        <v>4475</v>
      </c>
      <c r="D1144" s="1612" t="s">
        <v>7555</v>
      </c>
      <c r="E1144" s="1706" t="s">
        <v>7592</v>
      </c>
      <c r="F1144" s="1613">
        <v>39631000</v>
      </c>
      <c r="G1144" s="1613">
        <v>42570082636</v>
      </c>
    </row>
    <row r="1145" spans="1:7" ht="17.25" customHeight="1" x14ac:dyDescent="0.2">
      <c r="A1145" s="1611">
        <v>14</v>
      </c>
      <c r="B1145" s="1611" t="s">
        <v>2037</v>
      </c>
      <c r="C1145" s="1611" t="s">
        <v>4476</v>
      </c>
      <c r="D1145" s="1612" t="s">
        <v>7555</v>
      </c>
      <c r="E1145" s="1706" t="s">
        <v>7592</v>
      </c>
      <c r="F1145" s="1613">
        <v>38727273</v>
      </c>
      <c r="G1145" s="1613">
        <v>42608809909</v>
      </c>
    </row>
    <row r="1146" spans="1:7" ht="17.25" customHeight="1" x14ac:dyDescent="0.2">
      <c r="A1146" s="1611">
        <v>14</v>
      </c>
      <c r="B1146" s="1611" t="s">
        <v>3812</v>
      </c>
      <c r="C1146" s="1611" t="s">
        <v>4467</v>
      </c>
      <c r="D1146" s="1612">
        <v>0</v>
      </c>
      <c r="E1146" s="1706" t="s">
        <v>7592</v>
      </c>
      <c r="F1146" s="1613">
        <v>545455</v>
      </c>
      <c r="G1146" s="1613">
        <v>42609355364</v>
      </c>
    </row>
    <row r="1147" spans="1:7" ht="17.25" customHeight="1" x14ac:dyDescent="0.2">
      <c r="A1147" s="1611">
        <v>14</v>
      </c>
      <c r="B1147" s="1611" t="s">
        <v>3883</v>
      </c>
      <c r="C1147" s="1611" t="s">
        <v>4477</v>
      </c>
      <c r="D1147" s="1612">
        <v>0</v>
      </c>
      <c r="E1147" s="1706" t="s">
        <v>7592</v>
      </c>
      <c r="F1147" s="1613">
        <v>3600000</v>
      </c>
      <c r="G1147" s="1613">
        <v>42612955364</v>
      </c>
    </row>
    <row r="1148" spans="1:7" ht="17.25" customHeight="1" x14ac:dyDescent="0.2">
      <c r="A1148" s="1611">
        <v>14</v>
      </c>
      <c r="B1148" s="1611" t="s">
        <v>2038</v>
      </c>
      <c r="C1148" s="1611" t="s">
        <v>4389</v>
      </c>
      <c r="D1148" s="1612" t="s">
        <v>7555</v>
      </c>
      <c r="E1148" s="1706" t="s">
        <v>7592</v>
      </c>
      <c r="F1148" s="1613">
        <v>40000000</v>
      </c>
      <c r="G1148" s="1613">
        <v>42652955364</v>
      </c>
    </row>
    <row r="1149" spans="1:7" ht="17.25" customHeight="1" x14ac:dyDescent="0.2">
      <c r="A1149" s="1611">
        <v>14</v>
      </c>
      <c r="B1149" s="1611" t="s">
        <v>2028</v>
      </c>
      <c r="C1149" s="1611" t="s">
        <v>4478</v>
      </c>
      <c r="D1149" s="1612" t="s">
        <v>2024</v>
      </c>
      <c r="E1149" s="1706" t="s">
        <v>7592</v>
      </c>
      <c r="F1149" s="1613">
        <v>15400000</v>
      </c>
      <c r="G1149" s="1613">
        <v>42668355364</v>
      </c>
    </row>
    <row r="1150" spans="1:7" ht="17.25" customHeight="1" x14ac:dyDescent="0.2">
      <c r="A1150" s="1611">
        <v>14</v>
      </c>
      <c r="B1150" s="1611" t="s">
        <v>2027</v>
      </c>
      <c r="C1150" s="1611" t="s">
        <v>4440</v>
      </c>
      <c r="D1150" s="1612" t="s">
        <v>2024</v>
      </c>
      <c r="E1150" s="1706" t="s">
        <v>7592</v>
      </c>
      <c r="F1150" s="1613">
        <v>16768727</v>
      </c>
      <c r="G1150" s="1613">
        <v>42685124091</v>
      </c>
    </row>
    <row r="1151" spans="1:7" ht="17.25" customHeight="1" x14ac:dyDescent="0.2">
      <c r="A1151" s="1611">
        <v>14</v>
      </c>
      <c r="B1151" s="1611" t="s">
        <v>7192</v>
      </c>
      <c r="C1151" s="1611" t="s">
        <v>4435</v>
      </c>
      <c r="D1151" s="1612">
        <v>0</v>
      </c>
      <c r="E1151" s="1706" t="s">
        <v>7571</v>
      </c>
      <c r="F1151" s="1613">
        <v>109372732</v>
      </c>
      <c r="G1151" s="1613">
        <v>42794496823</v>
      </c>
    </row>
    <row r="1152" spans="1:7" ht="17.25" customHeight="1" x14ac:dyDescent="0.2">
      <c r="A1152" s="1611">
        <v>14</v>
      </c>
      <c r="B1152" s="1611" t="s">
        <v>2038</v>
      </c>
      <c r="C1152" s="1611" t="s">
        <v>4479</v>
      </c>
      <c r="D1152" s="1612" t="s">
        <v>7555</v>
      </c>
      <c r="E1152" s="1706" t="s">
        <v>7592</v>
      </c>
      <c r="F1152" s="1613">
        <v>40500000</v>
      </c>
      <c r="G1152" s="1613">
        <v>42834996823</v>
      </c>
    </row>
    <row r="1153" spans="1:7" ht="17.25" customHeight="1" x14ac:dyDescent="0.2">
      <c r="A1153" s="1611">
        <v>14</v>
      </c>
      <c r="B1153" s="1611" t="s">
        <v>2027</v>
      </c>
      <c r="C1153" s="1611" t="s">
        <v>4352</v>
      </c>
      <c r="D1153" s="1612" t="s">
        <v>2024</v>
      </c>
      <c r="E1153" s="1706" t="s">
        <v>7592</v>
      </c>
      <c r="F1153" s="1613">
        <v>16200000</v>
      </c>
      <c r="G1153" s="1613">
        <v>42851196823</v>
      </c>
    </row>
    <row r="1154" spans="1:7" ht="17.25" customHeight="1" x14ac:dyDescent="0.2">
      <c r="A1154" s="1611">
        <v>14</v>
      </c>
      <c r="B1154" s="1611" t="s">
        <v>2038</v>
      </c>
      <c r="C1154" s="1611" t="s">
        <v>4301</v>
      </c>
      <c r="D1154" s="1612" t="s">
        <v>7555</v>
      </c>
      <c r="E1154" s="1706" t="s">
        <v>7592</v>
      </c>
      <c r="F1154" s="1613">
        <v>40500000</v>
      </c>
      <c r="G1154" s="1613">
        <v>42891696823</v>
      </c>
    </row>
    <row r="1155" spans="1:7" ht="17.25" customHeight="1" x14ac:dyDescent="0.2">
      <c r="A1155" s="1611">
        <v>14</v>
      </c>
      <c r="B1155" s="1611" t="s">
        <v>2028</v>
      </c>
      <c r="C1155" s="1611" t="s">
        <v>4480</v>
      </c>
      <c r="D1155" s="1612" t="s">
        <v>2024</v>
      </c>
      <c r="E1155" s="1706" t="s">
        <v>7592</v>
      </c>
      <c r="F1155" s="1613">
        <v>13880909</v>
      </c>
      <c r="G1155" s="1613">
        <v>42905577732</v>
      </c>
    </row>
    <row r="1156" spans="1:7" ht="17.25" customHeight="1" x14ac:dyDescent="0.2">
      <c r="A1156" s="1611">
        <v>14</v>
      </c>
      <c r="B1156" s="1611" t="s">
        <v>2037</v>
      </c>
      <c r="C1156" s="1611" t="s">
        <v>3732</v>
      </c>
      <c r="D1156" s="1612" t="s">
        <v>7555</v>
      </c>
      <c r="E1156" s="1706" t="s">
        <v>7592</v>
      </c>
      <c r="F1156" s="1613">
        <v>37200000</v>
      </c>
      <c r="G1156" s="1613">
        <v>42942777732</v>
      </c>
    </row>
    <row r="1157" spans="1:7" ht="17.25" customHeight="1" x14ac:dyDescent="0.2">
      <c r="A1157" s="1611">
        <v>14</v>
      </c>
      <c r="B1157" s="1611" t="s">
        <v>2038</v>
      </c>
      <c r="C1157" s="1611" t="s">
        <v>4481</v>
      </c>
      <c r="D1157" s="1612" t="s">
        <v>7555</v>
      </c>
      <c r="E1157" s="1706" t="s">
        <v>7592</v>
      </c>
      <c r="F1157" s="1613">
        <v>38050000</v>
      </c>
      <c r="G1157" s="1613">
        <v>42980827732</v>
      </c>
    </row>
    <row r="1158" spans="1:7" ht="17.25" customHeight="1" x14ac:dyDescent="0.2">
      <c r="A1158" s="1611">
        <v>14</v>
      </c>
      <c r="B1158" s="1611" t="s">
        <v>2037</v>
      </c>
      <c r="C1158" s="1611" t="s">
        <v>4331</v>
      </c>
      <c r="D1158" s="1612" t="s">
        <v>7555</v>
      </c>
      <c r="E1158" s="1706" t="s">
        <v>7592</v>
      </c>
      <c r="F1158" s="1613">
        <v>37450000</v>
      </c>
      <c r="G1158" s="1613">
        <v>43018277732</v>
      </c>
    </row>
    <row r="1159" spans="1:7" ht="17.25" customHeight="1" x14ac:dyDescent="0.2">
      <c r="A1159" s="1611">
        <v>14</v>
      </c>
      <c r="B1159" s="1611" t="s">
        <v>2037</v>
      </c>
      <c r="C1159" s="1611" t="s">
        <v>4482</v>
      </c>
      <c r="D1159" s="1612" t="s">
        <v>7555</v>
      </c>
      <c r="E1159" s="1706" t="s">
        <v>7592</v>
      </c>
      <c r="F1159" s="1613">
        <v>38500000</v>
      </c>
      <c r="G1159" s="1613">
        <v>43056777732</v>
      </c>
    </row>
    <row r="1160" spans="1:7" ht="17.25" customHeight="1" x14ac:dyDescent="0.2">
      <c r="A1160" s="1611">
        <v>14</v>
      </c>
      <c r="B1160" s="1611" t="s">
        <v>2038</v>
      </c>
      <c r="C1160" s="1611" t="s">
        <v>4483</v>
      </c>
      <c r="D1160" s="1612" t="s">
        <v>7555</v>
      </c>
      <c r="E1160" s="1706" t="s">
        <v>7592</v>
      </c>
      <c r="F1160" s="1613">
        <v>41618182</v>
      </c>
      <c r="G1160" s="1613">
        <v>43098395914</v>
      </c>
    </row>
    <row r="1161" spans="1:7" ht="17.25" customHeight="1" x14ac:dyDescent="0.2">
      <c r="A1161" s="1611">
        <v>14</v>
      </c>
      <c r="B1161" s="1611" t="s">
        <v>2037</v>
      </c>
      <c r="C1161" s="1611" t="s">
        <v>4484</v>
      </c>
      <c r="D1161" s="1612" t="s">
        <v>7555</v>
      </c>
      <c r="E1161" s="1706" t="s">
        <v>7592</v>
      </c>
      <c r="F1161" s="1613">
        <v>37500000</v>
      </c>
      <c r="G1161" s="1613">
        <v>43135895914</v>
      </c>
    </row>
    <row r="1162" spans="1:7" ht="17.25" customHeight="1" x14ac:dyDescent="0.2">
      <c r="A1162" s="1611">
        <v>14</v>
      </c>
      <c r="B1162" s="1611" t="s">
        <v>2037</v>
      </c>
      <c r="C1162" s="1611" t="s">
        <v>4485</v>
      </c>
      <c r="D1162" s="1612" t="s">
        <v>7555</v>
      </c>
      <c r="E1162" s="1706" t="s">
        <v>7592</v>
      </c>
      <c r="F1162" s="1613">
        <v>38636364</v>
      </c>
      <c r="G1162" s="1613">
        <v>43174532278</v>
      </c>
    </row>
    <row r="1163" spans="1:7" ht="17.25" customHeight="1" x14ac:dyDescent="0.2">
      <c r="A1163" s="1611">
        <v>14</v>
      </c>
      <c r="B1163" s="1611" t="s">
        <v>2032</v>
      </c>
      <c r="C1163" s="1611" t="s">
        <v>4083</v>
      </c>
      <c r="D1163" s="1612" t="s">
        <v>7555</v>
      </c>
      <c r="E1163" s="1706" t="s">
        <v>7592</v>
      </c>
      <c r="F1163" s="1613">
        <v>33500000</v>
      </c>
      <c r="G1163" s="1613">
        <v>43208032278</v>
      </c>
    </row>
    <row r="1164" spans="1:7" ht="17.25" customHeight="1" x14ac:dyDescent="0.2">
      <c r="A1164" s="1611">
        <v>14</v>
      </c>
      <c r="B1164" s="1611" t="s">
        <v>2037</v>
      </c>
      <c r="C1164" s="1611" t="s">
        <v>4486</v>
      </c>
      <c r="D1164" s="1612" t="s">
        <v>7555</v>
      </c>
      <c r="E1164" s="1706" t="s">
        <v>7592</v>
      </c>
      <c r="F1164" s="1613">
        <v>39090909</v>
      </c>
      <c r="G1164" s="1613">
        <v>43247123187</v>
      </c>
    </row>
    <row r="1165" spans="1:7" ht="17.25" customHeight="1" x14ac:dyDescent="0.2">
      <c r="A1165" s="1611">
        <v>14</v>
      </c>
      <c r="B1165" s="1611" t="s">
        <v>2032</v>
      </c>
      <c r="C1165" s="1611" t="s">
        <v>4487</v>
      </c>
      <c r="D1165" s="1612" t="s">
        <v>7555</v>
      </c>
      <c r="E1165" s="1706" t="s">
        <v>7592</v>
      </c>
      <c r="F1165" s="1613">
        <v>33181818</v>
      </c>
      <c r="G1165" s="1613">
        <v>43280305005</v>
      </c>
    </row>
    <row r="1166" spans="1:7" ht="17.25" customHeight="1" x14ac:dyDescent="0.2">
      <c r="A1166" s="1611">
        <v>14</v>
      </c>
      <c r="B1166" s="1611" t="s">
        <v>2038</v>
      </c>
      <c r="C1166" s="1611" t="s">
        <v>4488</v>
      </c>
      <c r="D1166" s="1612" t="s">
        <v>7555</v>
      </c>
      <c r="E1166" s="1706" t="s">
        <v>7592</v>
      </c>
      <c r="F1166" s="1613">
        <v>40500000</v>
      </c>
      <c r="G1166" s="1613">
        <v>43320805005</v>
      </c>
    </row>
    <row r="1167" spans="1:7" ht="17.25" customHeight="1" x14ac:dyDescent="0.2">
      <c r="A1167" s="1611">
        <v>14</v>
      </c>
      <c r="B1167" s="1611" t="s">
        <v>2038</v>
      </c>
      <c r="C1167" s="1611" t="s">
        <v>4489</v>
      </c>
      <c r="D1167" s="1612" t="s">
        <v>7555</v>
      </c>
      <c r="E1167" s="1706" t="s">
        <v>7592</v>
      </c>
      <c r="F1167" s="1613">
        <v>40000000</v>
      </c>
      <c r="G1167" s="1613">
        <v>43360805005</v>
      </c>
    </row>
    <row r="1168" spans="1:7" ht="17.25" customHeight="1" x14ac:dyDescent="0.2">
      <c r="A1168" s="1611">
        <v>14</v>
      </c>
      <c r="B1168" s="1611" t="s">
        <v>4490</v>
      </c>
      <c r="C1168" s="1611" t="s">
        <v>3597</v>
      </c>
      <c r="D1168" s="1612">
        <v>0</v>
      </c>
      <c r="E1168" s="1706" t="s">
        <v>7592</v>
      </c>
      <c r="F1168" s="1613">
        <v>50488000</v>
      </c>
      <c r="G1168" s="1613">
        <v>43411293005</v>
      </c>
    </row>
    <row r="1169" spans="1:7" ht="17.25" customHeight="1" x14ac:dyDescent="0.2">
      <c r="A1169" s="1611">
        <v>14</v>
      </c>
      <c r="B1169" s="1611" t="s">
        <v>2039</v>
      </c>
      <c r="C1169" s="1611" t="s">
        <v>4491</v>
      </c>
      <c r="D1169" s="1612" t="s">
        <v>7555</v>
      </c>
      <c r="E1169" s="1706" t="s">
        <v>7592</v>
      </c>
      <c r="F1169" s="1613">
        <v>45618182</v>
      </c>
      <c r="G1169" s="1613">
        <v>43456911187</v>
      </c>
    </row>
    <row r="1170" spans="1:7" ht="17.25" customHeight="1" x14ac:dyDescent="0.2">
      <c r="A1170" s="1611">
        <v>14</v>
      </c>
      <c r="B1170" s="1611" t="s">
        <v>4070</v>
      </c>
      <c r="C1170" s="1611" t="s">
        <v>4492</v>
      </c>
      <c r="D1170" s="1612">
        <v>0</v>
      </c>
      <c r="E1170" s="1706" t="s">
        <v>7592</v>
      </c>
      <c r="F1170" s="1613">
        <v>6509091</v>
      </c>
      <c r="G1170" s="1613">
        <v>43463420278</v>
      </c>
    </row>
    <row r="1171" spans="1:7" ht="17.25" customHeight="1" x14ac:dyDescent="0.2">
      <c r="A1171" s="1611">
        <v>14</v>
      </c>
      <c r="B1171" s="1611" t="s">
        <v>4493</v>
      </c>
      <c r="C1171" s="1611" t="s">
        <v>4492</v>
      </c>
      <c r="D1171" s="1612">
        <v>0</v>
      </c>
      <c r="E1171" s="1706" t="s">
        <v>7592</v>
      </c>
      <c r="F1171" s="1613">
        <v>272727</v>
      </c>
      <c r="G1171" s="1613">
        <v>43463693005</v>
      </c>
    </row>
    <row r="1172" spans="1:7" ht="17.25" customHeight="1" x14ac:dyDescent="0.2">
      <c r="A1172" s="1611">
        <v>14</v>
      </c>
      <c r="B1172" s="1611" t="s">
        <v>2041</v>
      </c>
      <c r="C1172" s="1611" t="s">
        <v>4494</v>
      </c>
      <c r="D1172" s="1612" t="s">
        <v>7555</v>
      </c>
      <c r="E1172" s="1706" t="s">
        <v>7592</v>
      </c>
      <c r="F1172" s="1613">
        <v>50909091</v>
      </c>
      <c r="G1172" s="1613">
        <v>43514602096</v>
      </c>
    </row>
    <row r="1173" spans="1:7" ht="17.25" customHeight="1" x14ac:dyDescent="0.2">
      <c r="A1173" s="1611">
        <v>14</v>
      </c>
      <c r="B1173" s="1611" t="s">
        <v>2041</v>
      </c>
      <c r="C1173" s="1611" t="s">
        <v>4492</v>
      </c>
      <c r="D1173" s="1612" t="s">
        <v>7555</v>
      </c>
      <c r="E1173" s="1706" t="s">
        <v>7592</v>
      </c>
      <c r="F1173" s="1613">
        <v>49963637</v>
      </c>
      <c r="G1173" s="1613">
        <v>43564565733</v>
      </c>
    </row>
    <row r="1174" spans="1:7" ht="17.25" customHeight="1" x14ac:dyDescent="0.2">
      <c r="A1174" s="1611">
        <v>14</v>
      </c>
      <c r="B1174" s="1611" t="s">
        <v>2041</v>
      </c>
      <c r="C1174" s="1611" t="s">
        <v>4495</v>
      </c>
      <c r="D1174" s="1612" t="s">
        <v>7555</v>
      </c>
      <c r="E1174" s="1706" t="s">
        <v>7592</v>
      </c>
      <c r="F1174" s="1613">
        <v>51180000</v>
      </c>
      <c r="G1174" s="1613">
        <v>43615745733</v>
      </c>
    </row>
    <row r="1175" spans="1:7" ht="17.25" customHeight="1" x14ac:dyDescent="0.2">
      <c r="A1175" s="1611">
        <v>14</v>
      </c>
      <c r="B1175" s="1611" t="s">
        <v>2039</v>
      </c>
      <c r="C1175" s="1611" t="s">
        <v>4496</v>
      </c>
      <c r="D1175" s="1612" t="s">
        <v>7555</v>
      </c>
      <c r="E1175" s="1706" t="s">
        <v>7592</v>
      </c>
      <c r="F1175" s="1613">
        <v>44500000</v>
      </c>
      <c r="G1175" s="1613">
        <v>43660245733</v>
      </c>
    </row>
    <row r="1176" spans="1:7" ht="17.25" customHeight="1" x14ac:dyDescent="0.2">
      <c r="A1176" s="1611">
        <v>14</v>
      </c>
      <c r="B1176" s="1611" t="s">
        <v>2027</v>
      </c>
      <c r="C1176" s="1611" t="s">
        <v>4497</v>
      </c>
      <c r="D1176" s="1612" t="s">
        <v>2024</v>
      </c>
      <c r="E1176" s="1706" t="s">
        <v>7592</v>
      </c>
      <c r="F1176" s="1613">
        <v>14380000</v>
      </c>
      <c r="G1176" s="1613">
        <v>43674625733</v>
      </c>
    </row>
    <row r="1177" spans="1:7" ht="17.25" customHeight="1" x14ac:dyDescent="0.2">
      <c r="A1177" s="1611">
        <v>14</v>
      </c>
      <c r="B1177" s="1611" t="s">
        <v>2028</v>
      </c>
      <c r="C1177" s="1611" t="s">
        <v>4498</v>
      </c>
      <c r="D1177" s="1612" t="s">
        <v>2024</v>
      </c>
      <c r="E1177" s="1706" t="s">
        <v>7592</v>
      </c>
      <c r="F1177" s="1613">
        <v>12585000</v>
      </c>
      <c r="G1177" s="1613">
        <v>43687210733</v>
      </c>
    </row>
    <row r="1178" spans="1:7" ht="17.25" customHeight="1" x14ac:dyDescent="0.2">
      <c r="A1178" s="1611">
        <v>14</v>
      </c>
      <c r="B1178" s="1611" t="s">
        <v>4499</v>
      </c>
      <c r="C1178" s="1611" t="s">
        <v>4491</v>
      </c>
      <c r="D1178" s="1612">
        <v>0</v>
      </c>
      <c r="E1178" s="1706" t="s">
        <v>7592</v>
      </c>
      <c r="F1178" s="1613">
        <v>5636364</v>
      </c>
      <c r="G1178" s="1613">
        <v>43692847097</v>
      </c>
    </row>
    <row r="1179" spans="1:7" ht="17.25" customHeight="1" x14ac:dyDescent="0.2">
      <c r="A1179" s="1611">
        <v>14</v>
      </c>
      <c r="B1179" s="1611" t="s">
        <v>2039</v>
      </c>
      <c r="C1179" s="1611" t="s">
        <v>4500</v>
      </c>
      <c r="D1179" s="1612" t="s">
        <v>7555</v>
      </c>
      <c r="E1179" s="1706" t="s">
        <v>7592</v>
      </c>
      <c r="F1179" s="1613">
        <v>44090909</v>
      </c>
      <c r="G1179" s="1613">
        <v>43736938006</v>
      </c>
    </row>
    <row r="1180" spans="1:7" ht="17.25" customHeight="1" x14ac:dyDescent="0.2">
      <c r="A1180" s="1611">
        <v>14</v>
      </c>
      <c r="B1180" s="1611" t="s">
        <v>2028</v>
      </c>
      <c r="C1180" s="1611" t="s">
        <v>4501</v>
      </c>
      <c r="D1180" s="1612" t="s">
        <v>2024</v>
      </c>
      <c r="E1180" s="1706" t="s">
        <v>7592</v>
      </c>
      <c r="F1180" s="1613">
        <v>14545454</v>
      </c>
      <c r="G1180" s="1613">
        <v>43751483460</v>
      </c>
    </row>
    <row r="1181" spans="1:7" ht="17.25" customHeight="1" x14ac:dyDescent="0.2">
      <c r="A1181" s="1611">
        <v>14</v>
      </c>
      <c r="B1181" s="1611" t="s">
        <v>2037</v>
      </c>
      <c r="C1181" s="1611" t="s">
        <v>4502</v>
      </c>
      <c r="D1181" s="1612" t="s">
        <v>7555</v>
      </c>
      <c r="E1181" s="1706" t="s">
        <v>7592</v>
      </c>
      <c r="F1181" s="1613">
        <v>38500000</v>
      </c>
      <c r="G1181" s="1613">
        <v>43789983460</v>
      </c>
    </row>
    <row r="1182" spans="1:7" ht="17.25" customHeight="1" x14ac:dyDescent="0.2">
      <c r="A1182" s="1611">
        <v>14</v>
      </c>
      <c r="B1182" s="1611" t="s">
        <v>2028</v>
      </c>
      <c r="C1182" s="1611" t="s">
        <v>4455</v>
      </c>
      <c r="D1182" s="1612" t="s">
        <v>2024</v>
      </c>
      <c r="E1182" s="1706" t="s">
        <v>7592</v>
      </c>
      <c r="F1182" s="1613">
        <v>13363636</v>
      </c>
      <c r="G1182" s="1613">
        <v>43803347096</v>
      </c>
    </row>
    <row r="1183" spans="1:7" ht="17.25" customHeight="1" x14ac:dyDescent="0.2">
      <c r="A1183" s="1611">
        <v>14</v>
      </c>
      <c r="B1183" s="1611" t="s">
        <v>2037</v>
      </c>
      <c r="C1183" s="1611" t="s">
        <v>4503</v>
      </c>
      <c r="D1183" s="1612" t="s">
        <v>7555</v>
      </c>
      <c r="E1183" s="1706" t="s">
        <v>7592</v>
      </c>
      <c r="F1183" s="1613">
        <v>38000000</v>
      </c>
      <c r="G1183" s="1613">
        <v>43841347096</v>
      </c>
    </row>
    <row r="1184" spans="1:7" ht="17.25" customHeight="1" x14ac:dyDescent="0.2">
      <c r="A1184" s="1611">
        <v>14</v>
      </c>
      <c r="B1184" s="1611" t="s">
        <v>2039</v>
      </c>
      <c r="C1184" s="1611" t="s">
        <v>4504</v>
      </c>
      <c r="D1184" s="1612" t="s">
        <v>7555</v>
      </c>
      <c r="E1184" s="1706" t="s">
        <v>7592</v>
      </c>
      <c r="F1184" s="1613">
        <v>44750000</v>
      </c>
      <c r="G1184" s="1613">
        <v>43886097096</v>
      </c>
    </row>
    <row r="1185" spans="1:7" ht="17.25" customHeight="1" x14ac:dyDescent="0.2">
      <c r="A1185" s="1611">
        <v>14</v>
      </c>
      <c r="B1185" s="1611" t="s">
        <v>2038</v>
      </c>
      <c r="C1185" s="1611" t="s">
        <v>4505</v>
      </c>
      <c r="D1185" s="1612" t="s">
        <v>7555</v>
      </c>
      <c r="E1185" s="1706" t="s">
        <v>7592</v>
      </c>
      <c r="F1185" s="1613">
        <v>40909090</v>
      </c>
      <c r="G1185" s="1613">
        <v>43927006186</v>
      </c>
    </row>
    <row r="1186" spans="1:7" ht="17.25" customHeight="1" x14ac:dyDescent="0.2">
      <c r="A1186" s="1611">
        <v>14</v>
      </c>
      <c r="B1186" s="1611" t="s">
        <v>2041</v>
      </c>
      <c r="C1186" s="1611" t="s">
        <v>4506</v>
      </c>
      <c r="D1186" s="1612" t="s">
        <v>7555</v>
      </c>
      <c r="E1186" s="1706" t="s">
        <v>7592</v>
      </c>
      <c r="F1186" s="1613">
        <v>49000000</v>
      </c>
      <c r="G1186" s="1613">
        <v>43976006186</v>
      </c>
    </row>
    <row r="1187" spans="1:7" ht="17.25" customHeight="1" x14ac:dyDescent="0.2">
      <c r="A1187" s="1611">
        <v>14</v>
      </c>
      <c r="B1187" s="1611" t="s">
        <v>2039</v>
      </c>
      <c r="C1187" s="1611" t="s">
        <v>4143</v>
      </c>
      <c r="D1187" s="1612" t="s">
        <v>7555</v>
      </c>
      <c r="E1187" s="1706" t="s">
        <v>7592</v>
      </c>
      <c r="F1187" s="1613">
        <v>40800000</v>
      </c>
      <c r="G1187" s="1613">
        <v>44016806186</v>
      </c>
    </row>
    <row r="1188" spans="1:7" ht="17.25" customHeight="1" x14ac:dyDescent="0.2">
      <c r="A1188" s="1611">
        <v>14</v>
      </c>
      <c r="B1188" s="1611" t="s">
        <v>7166</v>
      </c>
      <c r="C1188" s="1611" t="s">
        <v>4005</v>
      </c>
      <c r="D1188" s="1612">
        <v>0</v>
      </c>
      <c r="E1188" s="1706" t="s">
        <v>7592</v>
      </c>
      <c r="F1188" s="1613">
        <v>109560000</v>
      </c>
      <c r="G1188" s="1613">
        <v>44126366186</v>
      </c>
    </row>
    <row r="1189" spans="1:7" ht="17.25" customHeight="1" x14ac:dyDescent="0.2">
      <c r="A1189" s="1611">
        <v>14</v>
      </c>
      <c r="B1189" s="1611" t="s">
        <v>2028</v>
      </c>
      <c r="C1189" s="1611" t="s">
        <v>4507</v>
      </c>
      <c r="D1189" s="1612" t="s">
        <v>2024</v>
      </c>
      <c r="E1189" s="1706" t="s">
        <v>7592</v>
      </c>
      <c r="F1189" s="1613">
        <v>15000000</v>
      </c>
      <c r="G1189" s="1613">
        <v>44141366186</v>
      </c>
    </row>
    <row r="1190" spans="1:7" ht="17.25" customHeight="1" x14ac:dyDescent="0.2">
      <c r="A1190" s="1611">
        <v>14</v>
      </c>
      <c r="B1190" s="1611" t="s">
        <v>2027</v>
      </c>
      <c r="C1190" s="1611" t="s">
        <v>4508</v>
      </c>
      <c r="D1190" s="1612" t="s">
        <v>2024</v>
      </c>
      <c r="E1190" s="1706" t="s">
        <v>7592</v>
      </c>
      <c r="F1190" s="1613">
        <v>15500000</v>
      </c>
      <c r="G1190" s="1613">
        <v>44156866186</v>
      </c>
    </row>
    <row r="1191" spans="1:7" ht="17.25" customHeight="1" x14ac:dyDescent="0.2">
      <c r="A1191" s="1611">
        <v>14</v>
      </c>
      <c r="B1191" s="1611" t="s">
        <v>3937</v>
      </c>
      <c r="C1191" s="1611" t="s">
        <v>4509</v>
      </c>
      <c r="D1191" s="1612">
        <v>0</v>
      </c>
      <c r="E1191" s="1706" t="s">
        <v>7592</v>
      </c>
      <c r="F1191" s="1613">
        <v>34000000</v>
      </c>
      <c r="G1191" s="1613">
        <v>44190866186</v>
      </c>
    </row>
    <row r="1192" spans="1:7" ht="17.25" customHeight="1" x14ac:dyDescent="0.2">
      <c r="A1192" s="1611">
        <v>14</v>
      </c>
      <c r="B1192" s="1611" t="s">
        <v>2039</v>
      </c>
      <c r="C1192" s="1611" t="s">
        <v>4510</v>
      </c>
      <c r="D1192" s="1612" t="s">
        <v>7555</v>
      </c>
      <c r="E1192" s="1706" t="s">
        <v>7592</v>
      </c>
      <c r="F1192" s="1613">
        <v>42300000</v>
      </c>
      <c r="G1192" s="1613">
        <v>44233166186</v>
      </c>
    </row>
    <row r="1193" spans="1:7" ht="17.25" customHeight="1" x14ac:dyDescent="0.2">
      <c r="A1193" s="1611">
        <v>14</v>
      </c>
      <c r="B1193" s="1611" t="s">
        <v>2027</v>
      </c>
      <c r="C1193" s="1611" t="s">
        <v>4511</v>
      </c>
      <c r="D1193" s="1612" t="s">
        <v>2024</v>
      </c>
      <c r="E1193" s="1706" t="s">
        <v>7592</v>
      </c>
      <c r="F1193" s="1613">
        <v>13035455</v>
      </c>
      <c r="G1193" s="1613">
        <v>44246201641</v>
      </c>
    </row>
    <row r="1194" spans="1:7" ht="17.25" customHeight="1" x14ac:dyDescent="0.2">
      <c r="A1194" s="1611">
        <v>14</v>
      </c>
      <c r="B1194" s="1611" t="s">
        <v>2043</v>
      </c>
      <c r="C1194" s="1611" t="s">
        <v>4512</v>
      </c>
      <c r="D1194" s="1612" t="s">
        <v>7555</v>
      </c>
      <c r="E1194" s="1706" t="s">
        <v>7592</v>
      </c>
      <c r="F1194" s="1613">
        <v>51527272</v>
      </c>
      <c r="G1194" s="1613">
        <v>44297728913</v>
      </c>
    </row>
    <row r="1195" spans="1:7" ht="17.25" customHeight="1" x14ac:dyDescent="0.2">
      <c r="A1195" s="1611">
        <v>14</v>
      </c>
      <c r="B1195" s="1611" t="s">
        <v>2038</v>
      </c>
      <c r="C1195" s="1611" t="s">
        <v>4513</v>
      </c>
      <c r="D1195" s="1612" t="s">
        <v>7555</v>
      </c>
      <c r="E1195" s="1706" t="s">
        <v>7592</v>
      </c>
      <c r="F1195" s="1613">
        <v>39000000</v>
      </c>
      <c r="G1195" s="1613">
        <v>44336728913</v>
      </c>
    </row>
    <row r="1196" spans="1:7" ht="17.25" customHeight="1" x14ac:dyDescent="0.2">
      <c r="A1196" s="1611">
        <v>14</v>
      </c>
      <c r="B1196" s="1611" t="s">
        <v>2038</v>
      </c>
      <c r="C1196" s="1611" t="s">
        <v>4514</v>
      </c>
      <c r="D1196" s="1612" t="s">
        <v>7555</v>
      </c>
      <c r="E1196" s="1706" t="s">
        <v>7592</v>
      </c>
      <c r="F1196" s="1613">
        <v>40909091</v>
      </c>
      <c r="G1196" s="1613">
        <v>44377638004</v>
      </c>
    </row>
    <row r="1197" spans="1:7" ht="17.25" customHeight="1" x14ac:dyDescent="0.2">
      <c r="A1197" s="1611">
        <v>14</v>
      </c>
      <c r="B1197" s="1611" t="s">
        <v>3670</v>
      </c>
      <c r="C1197" s="1611" t="s">
        <v>3597</v>
      </c>
      <c r="D1197" s="1612">
        <v>0</v>
      </c>
      <c r="E1197" s="1706" t="s">
        <v>7592</v>
      </c>
      <c r="F1197" s="1613">
        <v>3060000</v>
      </c>
      <c r="G1197" s="1613">
        <v>44380698004</v>
      </c>
    </row>
    <row r="1198" spans="1:7" ht="17.25" customHeight="1" x14ac:dyDescent="0.2">
      <c r="A1198" s="1611">
        <v>14</v>
      </c>
      <c r="B1198" s="1611" t="s">
        <v>3937</v>
      </c>
      <c r="C1198" s="1611" t="s">
        <v>4515</v>
      </c>
      <c r="D1198" s="1612">
        <v>0</v>
      </c>
      <c r="E1198" s="1706" t="s">
        <v>7592</v>
      </c>
      <c r="F1198" s="1613">
        <v>4300000</v>
      </c>
      <c r="G1198" s="1613">
        <v>44384998004</v>
      </c>
    </row>
    <row r="1199" spans="1:7" ht="17.25" customHeight="1" x14ac:dyDescent="0.2">
      <c r="A1199" s="1611">
        <v>14</v>
      </c>
      <c r="B1199" s="1611" t="s">
        <v>2037</v>
      </c>
      <c r="C1199" s="1611" t="s">
        <v>4516</v>
      </c>
      <c r="D1199" s="1612" t="s">
        <v>7555</v>
      </c>
      <c r="E1199" s="1706" t="s">
        <v>7592</v>
      </c>
      <c r="F1199" s="1613">
        <v>37400000</v>
      </c>
      <c r="G1199" s="1613">
        <v>44422398004</v>
      </c>
    </row>
    <row r="1200" spans="1:7" ht="17.25" customHeight="1" x14ac:dyDescent="0.2">
      <c r="A1200" s="1611">
        <v>14</v>
      </c>
      <c r="B1200" s="1611" t="s">
        <v>2028</v>
      </c>
      <c r="C1200" s="1611" t="s">
        <v>4517</v>
      </c>
      <c r="D1200" s="1612" t="s">
        <v>2024</v>
      </c>
      <c r="E1200" s="1706" t="s">
        <v>7592</v>
      </c>
      <c r="F1200" s="1613">
        <v>16710000</v>
      </c>
      <c r="G1200" s="1613">
        <v>44439108004</v>
      </c>
    </row>
    <row r="1201" spans="1:7" ht="17.25" customHeight="1" x14ac:dyDescent="0.2">
      <c r="A1201" s="1611">
        <v>14</v>
      </c>
      <c r="B1201" s="1611" t="s">
        <v>3627</v>
      </c>
      <c r="C1201" s="1611" t="s">
        <v>4515</v>
      </c>
      <c r="D1201" s="1612">
        <v>0</v>
      </c>
      <c r="E1201" s="1706" t="s">
        <v>7592</v>
      </c>
      <c r="F1201" s="1613">
        <v>119354546</v>
      </c>
      <c r="G1201" s="1613">
        <v>44558462550</v>
      </c>
    </row>
    <row r="1202" spans="1:7" ht="17.25" customHeight="1" x14ac:dyDescent="0.2">
      <c r="A1202" s="1611">
        <v>14</v>
      </c>
      <c r="B1202" s="1611" t="s">
        <v>2028</v>
      </c>
      <c r="C1202" s="1611" t="s">
        <v>4518</v>
      </c>
      <c r="D1202" s="1612" t="s">
        <v>2024</v>
      </c>
      <c r="E1202" s="1706" t="s">
        <v>7592</v>
      </c>
      <c r="F1202" s="1613">
        <v>19383636</v>
      </c>
      <c r="G1202" s="1613">
        <v>44577846186</v>
      </c>
    </row>
    <row r="1203" spans="1:7" ht="17.25" customHeight="1" x14ac:dyDescent="0.2">
      <c r="A1203" s="1611">
        <v>14</v>
      </c>
      <c r="B1203" s="1611" t="s">
        <v>2039</v>
      </c>
      <c r="C1203" s="1611" t="s">
        <v>4519</v>
      </c>
      <c r="D1203" s="1612" t="s">
        <v>7555</v>
      </c>
      <c r="E1203" s="1706" t="s">
        <v>7592</v>
      </c>
      <c r="F1203" s="1613">
        <v>41500000</v>
      </c>
      <c r="G1203" s="1613">
        <v>44619346186</v>
      </c>
    </row>
    <row r="1204" spans="1:7" ht="17.25" customHeight="1" x14ac:dyDescent="0.2">
      <c r="A1204" s="1611">
        <v>14</v>
      </c>
      <c r="B1204" s="1611" t="s">
        <v>3627</v>
      </c>
      <c r="C1204" s="1611" t="s">
        <v>4520</v>
      </c>
      <c r="D1204" s="1612">
        <v>0</v>
      </c>
      <c r="E1204" s="1706" t="s">
        <v>7592</v>
      </c>
      <c r="F1204" s="1613">
        <v>119354546</v>
      </c>
      <c r="G1204" s="1613">
        <v>44738700732</v>
      </c>
    </row>
    <row r="1205" spans="1:7" ht="17.25" customHeight="1" x14ac:dyDescent="0.2">
      <c r="A1205" s="1611">
        <v>14</v>
      </c>
      <c r="B1205" s="1611" t="s">
        <v>2039</v>
      </c>
      <c r="C1205" s="1611" t="s">
        <v>3951</v>
      </c>
      <c r="D1205" s="1612" t="s">
        <v>7555</v>
      </c>
      <c r="E1205" s="1706" t="s">
        <v>7592</v>
      </c>
      <c r="F1205" s="1613">
        <v>46030000</v>
      </c>
      <c r="G1205" s="1613">
        <v>44784730732</v>
      </c>
    </row>
    <row r="1206" spans="1:7" ht="17.25" customHeight="1" x14ac:dyDescent="0.2">
      <c r="A1206" s="1611">
        <v>14</v>
      </c>
      <c r="B1206" s="1611" t="s">
        <v>2038</v>
      </c>
      <c r="C1206" s="1611" t="s">
        <v>4521</v>
      </c>
      <c r="D1206" s="1612" t="s">
        <v>7555</v>
      </c>
      <c r="E1206" s="1706" t="s">
        <v>7592</v>
      </c>
      <c r="F1206" s="1613">
        <v>39000000</v>
      </c>
      <c r="G1206" s="1613">
        <v>44823730732</v>
      </c>
    </row>
    <row r="1207" spans="1:7" ht="17.25" customHeight="1" x14ac:dyDescent="0.2">
      <c r="A1207" s="1611">
        <v>14</v>
      </c>
      <c r="B1207" s="1611" t="s">
        <v>2038</v>
      </c>
      <c r="C1207" s="1611" t="s">
        <v>4522</v>
      </c>
      <c r="D1207" s="1612" t="s">
        <v>7555</v>
      </c>
      <c r="E1207" s="1706" t="s">
        <v>7592</v>
      </c>
      <c r="F1207" s="1613">
        <v>39700000</v>
      </c>
      <c r="G1207" s="1613">
        <v>44863430732</v>
      </c>
    </row>
    <row r="1208" spans="1:7" ht="17.25" customHeight="1" x14ac:dyDescent="0.2">
      <c r="A1208" s="1611">
        <v>14</v>
      </c>
      <c r="B1208" s="1611" t="s">
        <v>2028</v>
      </c>
      <c r="C1208" s="1611" t="s">
        <v>4523</v>
      </c>
      <c r="D1208" s="1612" t="s">
        <v>2024</v>
      </c>
      <c r="E1208" s="1706" t="s">
        <v>7592</v>
      </c>
      <c r="F1208" s="1613">
        <v>14500000</v>
      </c>
      <c r="G1208" s="1613">
        <v>44877930732</v>
      </c>
    </row>
    <row r="1209" spans="1:7" ht="17.25" customHeight="1" x14ac:dyDescent="0.2">
      <c r="A1209" s="1611">
        <v>14</v>
      </c>
      <c r="B1209" s="1611" t="s">
        <v>4524</v>
      </c>
      <c r="C1209" s="1611" t="s">
        <v>4520</v>
      </c>
      <c r="D1209" s="1612">
        <v>0</v>
      </c>
      <c r="E1209" s="1706" t="s">
        <v>7592</v>
      </c>
      <c r="F1209" s="1613">
        <v>2715273</v>
      </c>
      <c r="G1209" s="1613">
        <v>44880646005</v>
      </c>
    </row>
    <row r="1210" spans="1:7" ht="17.25" customHeight="1" x14ac:dyDescent="0.2">
      <c r="A1210" s="1611">
        <v>14</v>
      </c>
      <c r="B1210" s="1611" t="s">
        <v>2038</v>
      </c>
      <c r="C1210" s="1611" t="s">
        <v>4525</v>
      </c>
      <c r="D1210" s="1612" t="s">
        <v>7555</v>
      </c>
      <c r="E1210" s="1706" t="s">
        <v>7592</v>
      </c>
      <c r="F1210" s="1613">
        <v>39700000</v>
      </c>
      <c r="G1210" s="1613">
        <v>44920346005</v>
      </c>
    </row>
    <row r="1211" spans="1:7" ht="17.25" customHeight="1" x14ac:dyDescent="0.2">
      <c r="A1211" s="1611">
        <v>14</v>
      </c>
      <c r="B1211" s="1611" t="s">
        <v>2027</v>
      </c>
      <c r="C1211" s="1611" t="s">
        <v>4526</v>
      </c>
      <c r="D1211" s="1612" t="s">
        <v>2024</v>
      </c>
      <c r="E1211" s="1706" t="s">
        <v>7592</v>
      </c>
      <c r="F1211" s="1613">
        <v>11000000</v>
      </c>
      <c r="G1211" s="1613">
        <v>44931346005</v>
      </c>
    </row>
    <row r="1212" spans="1:7" ht="17.25" customHeight="1" x14ac:dyDescent="0.2">
      <c r="A1212" s="1611">
        <v>14</v>
      </c>
      <c r="B1212" s="1611" t="s">
        <v>4527</v>
      </c>
      <c r="C1212" s="1611" t="s">
        <v>3597</v>
      </c>
      <c r="D1212" s="1612">
        <v>0</v>
      </c>
      <c r="E1212" s="1706" t="s">
        <v>7592</v>
      </c>
      <c r="F1212" s="1613">
        <v>18350000</v>
      </c>
      <c r="G1212" s="1613">
        <v>44949696005</v>
      </c>
    </row>
    <row r="1213" spans="1:7" ht="17.25" customHeight="1" x14ac:dyDescent="0.2">
      <c r="A1213" s="1611">
        <v>14</v>
      </c>
      <c r="B1213" s="1611" t="s">
        <v>2039</v>
      </c>
      <c r="C1213" s="1611" t="s">
        <v>4528</v>
      </c>
      <c r="D1213" s="1612" t="s">
        <v>7555</v>
      </c>
      <c r="E1213" s="1706" t="s">
        <v>7592</v>
      </c>
      <c r="F1213" s="1613">
        <v>40300000</v>
      </c>
      <c r="G1213" s="1613">
        <v>44989996005</v>
      </c>
    </row>
    <row r="1214" spans="1:7" ht="17.25" customHeight="1" x14ac:dyDescent="0.2">
      <c r="A1214" s="1611">
        <v>14</v>
      </c>
      <c r="B1214" s="1611" t="s">
        <v>2034</v>
      </c>
      <c r="C1214" s="1611" t="s">
        <v>4529</v>
      </c>
      <c r="D1214" s="1612" t="s">
        <v>7555</v>
      </c>
      <c r="E1214" s="1706" t="s">
        <v>7592</v>
      </c>
      <c r="F1214" s="1613">
        <v>41390910</v>
      </c>
      <c r="G1214" s="1613">
        <v>45031386915</v>
      </c>
    </row>
    <row r="1215" spans="1:7" ht="17.25" customHeight="1" x14ac:dyDescent="0.2">
      <c r="A1215" s="1611">
        <v>14</v>
      </c>
      <c r="B1215" s="1611" t="s">
        <v>3894</v>
      </c>
      <c r="C1215" s="1611" t="s">
        <v>4529</v>
      </c>
      <c r="D1215" s="1612">
        <v>0</v>
      </c>
      <c r="E1215" s="1706" t="s">
        <v>7592</v>
      </c>
      <c r="F1215" s="1613">
        <v>3456000</v>
      </c>
      <c r="G1215" s="1613">
        <v>45034842915</v>
      </c>
    </row>
    <row r="1216" spans="1:7" ht="17.25" customHeight="1" x14ac:dyDescent="0.2">
      <c r="A1216" s="1611">
        <v>14</v>
      </c>
      <c r="B1216" s="1611" t="s">
        <v>2027</v>
      </c>
      <c r="C1216" s="1611" t="s">
        <v>4530</v>
      </c>
      <c r="D1216" s="1612" t="s">
        <v>2024</v>
      </c>
      <c r="E1216" s="1706" t="s">
        <v>7592</v>
      </c>
      <c r="F1216" s="1613">
        <v>12708182</v>
      </c>
      <c r="G1216" s="1613">
        <v>45047551097</v>
      </c>
    </row>
    <row r="1217" spans="1:7" ht="17.25" customHeight="1" x14ac:dyDescent="0.2">
      <c r="A1217" s="1611">
        <v>14</v>
      </c>
      <c r="B1217" s="1611" t="s">
        <v>2037</v>
      </c>
      <c r="C1217" s="1611" t="s">
        <v>4531</v>
      </c>
      <c r="D1217" s="1612" t="s">
        <v>7555</v>
      </c>
      <c r="E1217" s="1706" t="s">
        <v>7592</v>
      </c>
      <c r="F1217" s="1613">
        <v>38500000</v>
      </c>
      <c r="G1217" s="1613">
        <v>45086051097</v>
      </c>
    </row>
    <row r="1218" spans="1:7" ht="17.25" customHeight="1" x14ac:dyDescent="0.2">
      <c r="A1218" s="1611">
        <v>14</v>
      </c>
      <c r="B1218" s="1611" t="s">
        <v>2038</v>
      </c>
      <c r="C1218" s="1611" t="s">
        <v>4532</v>
      </c>
      <c r="D1218" s="1612" t="s">
        <v>7555</v>
      </c>
      <c r="E1218" s="1706" t="s">
        <v>7592</v>
      </c>
      <c r="F1218" s="1613">
        <v>42545455</v>
      </c>
      <c r="G1218" s="1613">
        <v>45128596552</v>
      </c>
    </row>
    <row r="1219" spans="1:7" ht="17.25" customHeight="1" x14ac:dyDescent="0.2">
      <c r="A1219" s="1611">
        <v>14</v>
      </c>
      <c r="B1219" s="1611" t="s">
        <v>7193</v>
      </c>
      <c r="C1219" s="1611" t="s">
        <v>4533</v>
      </c>
      <c r="D1219" s="1612">
        <v>0</v>
      </c>
      <c r="E1219" s="1706" t="s">
        <v>7592</v>
      </c>
      <c r="F1219" s="1613">
        <v>454545</v>
      </c>
      <c r="G1219" s="1613">
        <v>45129051097</v>
      </c>
    </row>
    <row r="1220" spans="1:7" ht="17.25" customHeight="1" x14ac:dyDescent="0.2">
      <c r="A1220" s="1611">
        <v>14</v>
      </c>
      <c r="B1220" s="1611" t="s">
        <v>2055</v>
      </c>
      <c r="C1220" s="1611" t="s">
        <v>214</v>
      </c>
      <c r="D1220" s="1612" t="s">
        <v>7555</v>
      </c>
      <c r="E1220" s="1706" t="s">
        <v>7592</v>
      </c>
      <c r="F1220" s="1613">
        <v>57731000</v>
      </c>
      <c r="G1220" s="1613">
        <v>45186782097</v>
      </c>
    </row>
    <row r="1221" spans="1:7" ht="17.25" customHeight="1" x14ac:dyDescent="0.2">
      <c r="A1221" s="1611">
        <v>14</v>
      </c>
      <c r="B1221" s="1611" t="s">
        <v>2032</v>
      </c>
      <c r="C1221" s="1611" t="s">
        <v>4534</v>
      </c>
      <c r="D1221" s="1612" t="s">
        <v>7555</v>
      </c>
      <c r="E1221" s="1706" t="s">
        <v>7592</v>
      </c>
      <c r="F1221" s="1613">
        <v>35909091</v>
      </c>
      <c r="G1221" s="1613">
        <v>45222691188</v>
      </c>
    </row>
    <row r="1222" spans="1:7" ht="17.25" customHeight="1" x14ac:dyDescent="0.2">
      <c r="A1222" s="1611">
        <v>14</v>
      </c>
      <c r="B1222" s="1611" t="s">
        <v>2027</v>
      </c>
      <c r="C1222" s="1611" t="s">
        <v>4535</v>
      </c>
      <c r="D1222" s="1612" t="s">
        <v>2024</v>
      </c>
      <c r="E1222" s="1706" t="s">
        <v>7592</v>
      </c>
      <c r="F1222" s="1613">
        <v>11100000</v>
      </c>
      <c r="G1222" s="1613">
        <v>45233791188</v>
      </c>
    </row>
    <row r="1223" spans="1:7" ht="17.25" customHeight="1" x14ac:dyDescent="0.2">
      <c r="A1223" s="1611">
        <v>14</v>
      </c>
      <c r="B1223" s="1611" t="s">
        <v>2041</v>
      </c>
      <c r="C1223" s="1611" t="s">
        <v>4536</v>
      </c>
      <c r="D1223" s="1612" t="s">
        <v>7555</v>
      </c>
      <c r="E1223" s="1706" t="s">
        <v>7592</v>
      </c>
      <c r="F1223" s="1613">
        <v>48181818</v>
      </c>
      <c r="G1223" s="1613">
        <v>45281973006</v>
      </c>
    </row>
    <row r="1224" spans="1:7" ht="17.25" customHeight="1" x14ac:dyDescent="0.2">
      <c r="A1224" s="1611">
        <v>14</v>
      </c>
      <c r="B1224" s="1611" t="s">
        <v>2038</v>
      </c>
      <c r="C1224" s="1611" t="s">
        <v>4537</v>
      </c>
      <c r="D1224" s="1612" t="s">
        <v>7555</v>
      </c>
      <c r="E1224" s="1706" t="s">
        <v>7592</v>
      </c>
      <c r="F1224" s="1613">
        <v>41000000</v>
      </c>
      <c r="G1224" s="1613">
        <v>45322973006</v>
      </c>
    </row>
    <row r="1225" spans="1:7" ht="17.25" customHeight="1" x14ac:dyDescent="0.2">
      <c r="A1225" s="1611">
        <v>14</v>
      </c>
      <c r="B1225" s="1611" t="s">
        <v>2027</v>
      </c>
      <c r="C1225" s="1611" t="s">
        <v>4538</v>
      </c>
      <c r="D1225" s="1612" t="s">
        <v>2024</v>
      </c>
      <c r="E1225" s="1706" t="s">
        <v>7592</v>
      </c>
      <c r="F1225" s="1613">
        <v>13545454</v>
      </c>
      <c r="G1225" s="1613">
        <v>45336518460</v>
      </c>
    </row>
    <row r="1226" spans="1:7" ht="17.25" customHeight="1" x14ac:dyDescent="0.2">
      <c r="A1226" s="1611">
        <v>14</v>
      </c>
      <c r="B1226" s="1611" t="s">
        <v>4199</v>
      </c>
      <c r="C1226" s="1611" t="s">
        <v>3722</v>
      </c>
      <c r="D1226" s="1612">
        <v>0</v>
      </c>
      <c r="E1226" s="1706" t="s">
        <v>7592</v>
      </c>
      <c r="F1226" s="1613">
        <v>4500000</v>
      </c>
      <c r="G1226" s="1613">
        <v>45341018460</v>
      </c>
    </row>
    <row r="1227" spans="1:7" ht="17.25" customHeight="1" x14ac:dyDescent="0.2">
      <c r="A1227" s="1611">
        <v>14</v>
      </c>
      <c r="B1227" s="1611" t="s">
        <v>2027</v>
      </c>
      <c r="C1227" s="1611" t="s">
        <v>4502</v>
      </c>
      <c r="D1227" s="1612" t="s">
        <v>2024</v>
      </c>
      <c r="E1227" s="1706" t="s">
        <v>7592</v>
      </c>
      <c r="F1227" s="1613">
        <v>13944545</v>
      </c>
      <c r="G1227" s="1613">
        <v>45354963005</v>
      </c>
    </row>
    <row r="1228" spans="1:7" ht="17.25" customHeight="1" x14ac:dyDescent="0.2">
      <c r="A1228" s="1611">
        <v>14</v>
      </c>
      <c r="B1228" s="1611" t="s">
        <v>2027</v>
      </c>
      <c r="C1228" s="1611" t="s">
        <v>4473</v>
      </c>
      <c r="D1228" s="1612" t="s">
        <v>2024</v>
      </c>
      <c r="E1228" s="1706" t="s">
        <v>7592</v>
      </c>
      <c r="F1228" s="1613">
        <v>13000000</v>
      </c>
      <c r="G1228" s="1613">
        <v>45367963005</v>
      </c>
    </row>
    <row r="1229" spans="1:7" ht="17.25" customHeight="1" x14ac:dyDescent="0.2">
      <c r="A1229" s="1611">
        <v>14</v>
      </c>
      <c r="B1229" s="1611" t="s">
        <v>2026</v>
      </c>
      <c r="C1229" s="1611" t="s">
        <v>3886</v>
      </c>
      <c r="D1229" s="1612" t="s">
        <v>2024</v>
      </c>
      <c r="E1229" s="1706" t="s">
        <v>7592</v>
      </c>
      <c r="F1229" s="1613">
        <v>13363636</v>
      </c>
      <c r="G1229" s="1613">
        <v>45381326641</v>
      </c>
    </row>
    <row r="1230" spans="1:7" ht="17.25" customHeight="1" x14ac:dyDescent="0.2">
      <c r="A1230" s="1611">
        <v>14</v>
      </c>
      <c r="B1230" s="1611" t="s">
        <v>2037</v>
      </c>
      <c r="C1230" s="1611" t="s">
        <v>4539</v>
      </c>
      <c r="D1230" s="1612" t="s">
        <v>7555</v>
      </c>
      <c r="E1230" s="1706" t="s">
        <v>7592</v>
      </c>
      <c r="F1230" s="1613">
        <v>39000000</v>
      </c>
      <c r="G1230" s="1613">
        <v>45420326641</v>
      </c>
    </row>
    <row r="1231" spans="1:7" ht="17.25" customHeight="1" x14ac:dyDescent="0.2">
      <c r="A1231" s="1611">
        <v>14</v>
      </c>
      <c r="B1231" s="1611" t="s">
        <v>2041</v>
      </c>
      <c r="C1231" s="1611" t="s">
        <v>214</v>
      </c>
      <c r="D1231" s="1612" t="s">
        <v>7555</v>
      </c>
      <c r="E1231" s="1706" t="s">
        <v>7592</v>
      </c>
      <c r="F1231" s="1613">
        <v>40849760</v>
      </c>
      <c r="G1231" s="1613">
        <v>45461176401</v>
      </c>
    </row>
    <row r="1232" spans="1:7" ht="17.25" customHeight="1" x14ac:dyDescent="0.2">
      <c r="A1232" s="1611">
        <v>14</v>
      </c>
      <c r="B1232" s="1611" t="s">
        <v>2038</v>
      </c>
      <c r="C1232" s="1611" t="s">
        <v>4540</v>
      </c>
      <c r="D1232" s="1612" t="s">
        <v>7555</v>
      </c>
      <c r="E1232" s="1706" t="s">
        <v>7592</v>
      </c>
      <c r="F1232" s="1613">
        <v>39000000</v>
      </c>
      <c r="G1232" s="1613">
        <v>45500176401</v>
      </c>
    </row>
    <row r="1233" spans="1:7" ht="17.25" customHeight="1" x14ac:dyDescent="0.2">
      <c r="A1233" s="1611">
        <v>14</v>
      </c>
      <c r="B1233" s="1611" t="s">
        <v>2032</v>
      </c>
      <c r="C1233" s="1611" t="s">
        <v>3719</v>
      </c>
      <c r="D1233" s="1612" t="s">
        <v>7555</v>
      </c>
      <c r="E1233" s="1706" t="s">
        <v>7592</v>
      </c>
      <c r="F1233" s="1613">
        <v>33454545</v>
      </c>
      <c r="G1233" s="1613">
        <v>45533630946</v>
      </c>
    </row>
    <row r="1234" spans="1:7" ht="17.25" customHeight="1" x14ac:dyDescent="0.2">
      <c r="A1234" s="1611">
        <v>14</v>
      </c>
      <c r="B1234" s="1611" t="s">
        <v>2028</v>
      </c>
      <c r="C1234" s="1611" t="s">
        <v>4541</v>
      </c>
      <c r="D1234" s="1612" t="s">
        <v>2024</v>
      </c>
      <c r="E1234" s="1706" t="s">
        <v>7592</v>
      </c>
      <c r="F1234" s="1613">
        <v>13820000</v>
      </c>
      <c r="G1234" s="1613">
        <v>45547450946</v>
      </c>
    </row>
    <row r="1235" spans="1:7" ht="17.25" customHeight="1" x14ac:dyDescent="0.2">
      <c r="A1235" s="1611">
        <v>14</v>
      </c>
      <c r="B1235" s="1611" t="s">
        <v>3670</v>
      </c>
      <c r="C1235" s="1611" t="s">
        <v>3597</v>
      </c>
      <c r="D1235" s="1612">
        <v>0</v>
      </c>
      <c r="E1235" s="1706" t="s">
        <v>7592</v>
      </c>
      <c r="F1235" s="1613">
        <v>14948000</v>
      </c>
      <c r="G1235" s="1613">
        <v>45562398946</v>
      </c>
    </row>
    <row r="1236" spans="1:7" ht="17.25" customHeight="1" x14ac:dyDescent="0.2">
      <c r="A1236" s="1611">
        <v>14</v>
      </c>
      <c r="B1236" s="1611" t="s">
        <v>3937</v>
      </c>
      <c r="C1236" s="1611" t="s">
        <v>3597</v>
      </c>
      <c r="D1236" s="1612">
        <v>0</v>
      </c>
      <c r="E1236" s="1706" t="s">
        <v>7592</v>
      </c>
      <c r="F1236" s="1613">
        <v>12000000</v>
      </c>
      <c r="G1236" s="1613">
        <v>45574398946</v>
      </c>
    </row>
    <row r="1237" spans="1:7" ht="17.25" customHeight="1" x14ac:dyDescent="0.2">
      <c r="A1237" s="1611">
        <v>14</v>
      </c>
      <c r="B1237" s="1611" t="s">
        <v>3937</v>
      </c>
      <c r="C1237" s="1611" t="s">
        <v>3597</v>
      </c>
      <c r="D1237" s="1612">
        <v>0</v>
      </c>
      <c r="E1237" s="1706" t="s">
        <v>7592</v>
      </c>
      <c r="F1237" s="1613">
        <v>12000000</v>
      </c>
      <c r="G1237" s="1613">
        <v>45586398946</v>
      </c>
    </row>
    <row r="1238" spans="1:7" ht="17.25" customHeight="1" x14ac:dyDescent="0.2">
      <c r="A1238" s="1611">
        <v>14</v>
      </c>
      <c r="B1238" s="1611" t="s">
        <v>3937</v>
      </c>
      <c r="C1238" s="1611" t="s">
        <v>3597</v>
      </c>
      <c r="D1238" s="1612">
        <v>0</v>
      </c>
      <c r="E1238" s="1706" t="s">
        <v>7592</v>
      </c>
      <c r="F1238" s="1613">
        <v>12000000</v>
      </c>
      <c r="G1238" s="1613">
        <v>45598398946</v>
      </c>
    </row>
    <row r="1239" spans="1:7" ht="17.25" customHeight="1" x14ac:dyDescent="0.2">
      <c r="A1239" s="1611">
        <v>14</v>
      </c>
      <c r="B1239" s="1611" t="s">
        <v>3937</v>
      </c>
      <c r="C1239" s="1611" t="s">
        <v>3597</v>
      </c>
      <c r="D1239" s="1612">
        <v>0</v>
      </c>
      <c r="E1239" s="1706" t="s">
        <v>7592</v>
      </c>
      <c r="F1239" s="1613">
        <v>12000000</v>
      </c>
      <c r="G1239" s="1613">
        <v>45610398946</v>
      </c>
    </row>
    <row r="1240" spans="1:7" ht="17.25" customHeight="1" x14ac:dyDescent="0.2">
      <c r="A1240" s="1611">
        <v>14</v>
      </c>
      <c r="B1240" s="1611" t="s">
        <v>2026</v>
      </c>
      <c r="C1240" s="1611" t="s">
        <v>4142</v>
      </c>
      <c r="D1240" s="1612" t="s">
        <v>2024</v>
      </c>
      <c r="E1240" s="1706" t="s">
        <v>7592</v>
      </c>
      <c r="F1240" s="1613">
        <v>14308182</v>
      </c>
      <c r="G1240" s="1613">
        <v>45624707128</v>
      </c>
    </row>
    <row r="1241" spans="1:7" ht="17.25" customHeight="1" x14ac:dyDescent="0.2">
      <c r="A1241" s="1611">
        <v>14</v>
      </c>
      <c r="B1241" s="1611" t="s">
        <v>2039</v>
      </c>
      <c r="C1241" s="1611" t="s">
        <v>3982</v>
      </c>
      <c r="D1241" s="1612" t="s">
        <v>7555</v>
      </c>
      <c r="E1241" s="1706" t="s">
        <v>7592</v>
      </c>
      <c r="F1241" s="1613">
        <v>44427273</v>
      </c>
      <c r="G1241" s="1613">
        <v>45669134401</v>
      </c>
    </row>
    <row r="1242" spans="1:7" ht="17.25" customHeight="1" x14ac:dyDescent="0.2">
      <c r="A1242" s="1611">
        <v>14</v>
      </c>
      <c r="B1242" s="1611" t="s">
        <v>2038</v>
      </c>
      <c r="C1242" s="1611" t="s">
        <v>4542</v>
      </c>
      <c r="D1242" s="1612" t="s">
        <v>7555</v>
      </c>
      <c r="E1242" s="1706" t="s">
        <v>7592</v>
      </c>
      <c r="F1242" s="1613">
        <v>40909091</v>
      </c>
      <c r="G1242" s="1613">
        <v>45710043492</v>
      </c>
    </row>
    <row r="1243" spans="1:7" ht="17.25" customHeight="1" x14ac:dyDescent="0.2">
      <c r="A1243" s="1611">
        <v>14</v>
      </c>
      <c r="B1243" s="1611" t="s">
        <v>2041</v>
      </c>
      <c r="C1243" s="1611" t="s">
        <v>4543</v>
      </c>
      <c r="D1243" s="1612" t="s">
        <v>7555</v>
      </c>
      <c r="E1243" s="1706" t="s">
        <v>7592</v>
      </c>
      <c r="F1243" s="1613">
        <v>48500000</v>
      </c>
      <c r="G1243" s="1613">
        <v>45758543492</v>
      </c>
    </row>
    <row r="1244" spans="1:7" ht="17.25" customHeight="1" x14ac:dyDescent="0.2">
      <c r="A1244" s="1611">
        <v>14</v>
      </c>
      <c r="B1244" s="1611" t="s">
        <v>2037</v>
      </c>
      <c r="C1244" s="1611" t="s">
        <v>4544</v>
      </c>
      <c r="D1244" s="1612" t="s">
        <v>7555</v>
      </c>
      <c r="E1244" s="1706" t="s">
        <v>7592</v>
      </c>
      <c r="F1244" s="1613">
        <v>39090909</v>
      </c>
      <c r="G1244" s="1613">
        <v>45797634401</v>
      </c>
    </row>
    <row r="1245" spans="1:7" ht="17.25" customHeight="1" x14ac:dyDescent="0.2">
      <c r="A1245" s="1611">
        <v>14</v>
      </c>
      <c r="B1245" s="1611" t="s">
        <v>7194</v>
      </c>
      <c r="C1245" s="1611" t="s">
        <v>214</v>
      </c>
      <c r="D1245" s="1612">
        <v>0</v>
      </c>
      <c r="E1245" s="1706" t="s">
        <v>7592</v>
      </c>
      <c r="F1245" s="1613">
        <v>220712000</v>
      </c>
      <c r="G1245" s="1613">
        <v>46018346401</v>
      </c>
    </row>
    <row r="1246" spans="1:7" ht="17.25" customHeight="1" x14ac:dyDescent="0.2">
      <c r="A1246" s="1611">
        <v>14</v>
      </c>
      <c r="B1246" s="1611" t="s">
        <v>4545</v>
      </c>
      <c r="C1246" s="1611" t="s">
        <v>214</v>
      </c>
      <c r="D1246" s="1612">
        <v>0</v>
      </c>
      <c r="E1246" s="1706" t="s">
        <v>7592</v>
      </c>
      <c r="F1246" s="1613">
        <v>110754000</v>
      </c>
      <c r="G1246" s="1613">
        <v>46129100401</v>
      </c>
    </row>
    <row r="1247" spans="1:7" ht="17.25" customHeight="1" x14ac:dyDescent="0.2">
      <c r="A1247" s="1611">
        <v>14</v>
      </c>
      <c r="B1247" s="1611" t="s">
        <v>4546</v>
      </c>
      <c r="C1247" s="1611" t="s">
        <v>4467</v>
      </c>
      <c r="D1247" s="1612">
        <v>0</v>
      </c>
      <c r="E1247" s="1706" t="s">
        <v>7592</v>
      </c>
      <c r="F1247" s="1613">
        <v>13000000</v>
      </c>
      <c r="G1247" s="1613">
        <v>46142100401</v>
      </c>
    </row>
    <row r="1248" spans="1:7" ht="17.25" customHeight="1" x14ac:dyDescent="0.2">
      <c r="A1248" s="1611">
        <v>14</v>
      </c>
      <c r="B1248" s="1611" t="s">
        <v>7195</v>
      </c>
      <c r="C1248" s="1611" t="s">
        <v>4547</v>
      </c>
      <c r="D1248" s="1612">
        <v>0</v>
      </c>
      <c r="E1248" s="1706" t="s">
        <v>7585</v>
      </c>
      <c r="F1248" s="1613">
        <v>63630758</v>
      </c>
      <c r="G1248" s="1613">
        <v>46205731159</v>
      </c>
    </row>
    <row r="1249" spans="1:7" ht="17.25" customHeight="1" x14ac:dyDescent="0.2">
      <c r="A1249" s="1611">
        <v>14</v>
      </c>
      <c r="B1249" s="1611" t="s">
        <v>3937</v>
      </c>
      <c r="C1249" s="1611" t="s">
        <v>4383</v>
      </c>
      <c r="D1249" s="1612">
        <v>0</v>
      </c>
      <c r="E1249" s="1706" t="s">
        <v>7592</v>
      </c>
      <c r="F1249" s="1613">
        <v>43700000</v>
      </c>
      <c r="G1249" s="1613">
        <v>46249431159</v>
      </c>
    </row>
    <row r="1250" spans="1:7" ht="17.25" customHeight="1" x14ac:dyDescent="0.2">
      <c r="A1250" s="1611">
        <v>14</v>
      </c>
      <c r="B1250" s="1611" t="s">
        <v>2038</v>
      </c>
      <c r="C1250" s="1611" t="s">
        <v>3642</v>
      </c>
      <c r="D1250" s="1612" t="s">
        <v>7555</v>
      </c>
      <c r="E1250" s="1706" t="s">
        <v>7592</v>
      </c>
      <c r="F1250" s="1613">
        <v>39727272</v>
      </c>
      <c r="G1250" s="1613">
        <v>46289158431</v>
      </c>
    </row>
    <row r="1251" spans="1:7" ht="17.25" customHeight="1" x14ac:dyDescent="0.2">
      <c r="A1251" s="1611">
        <v>14</v>
      </c>
      <c r="B1251" s="1611" t="s">
        <v>2067</v>
      </c>
      <c r="C1251" s="1611" t="s">
        <v>4548</v>
      </c>
      <c r="D1251" s="1612" t="s">
        <v>2024</v>
      </c>
      <c r="E1251" s="1706" t="s">
        <v>7592</v>
      </c>
      <c r="F1251" s="1613">
        <v>89090910</v>
      </c>
      <c r="G1251" s="1613">
        <v>46378249341</v>
      </c>
    </row>
    <row r="1252" spans="1:7" ht="17.25" customHeight="1" x14ac:dyDescent="0.2">
      <c r="A1252" s="1611">
        <v>14</v>
      </c>
      <c r="B1252" s="1611" t="s">
        <v>2027</v>
      </c>
      <c r="C1252" s="1611" t="s">
        <v>4549</v>
      </c>
      <c r="D1252" s="1612" t="s">
        <v>2024</v>
      </c>
      <c r="E1252" s="1706" t="s">
        <v>7592</v>
      </c>
      <c r="F1252" s="1613">
        <v>14500000</v>
      </c>
      <c r="G1252" s="1613">
        <v>46392749341</v>
      </c>
    </row>
    <row r="1253" spans="1:7" ht="17.25" customHeight="1" x14ac:dyDescent="0.2">
      <c r="A1253" s="1611">
        <v>14</v>
      </c>
      <c r="B1253" s="1611" t="s">
        <v>2028</v>
      </c>
      <c r="C1253" s="1611" t="s">
        <v>4498</v>
      </c>
      <c r="D1253" s="1612" t="s">
        <v>2024</v>
      </c>
      <c r="E1253" s="1706" t="s">
        <v>7592</v>
      </c>
      <c r="F1253" s="1613">
        <v>13120000</v>
      </c>
      <c r="G1253" s="1613">
        <v>46405869341</v>
      </c>
    </row>
    <row r="1254" spans="1:7" ht="17.25" customHeight="1" x14ac:dyDescent="0.2">
      <c r="A1254" s="1611">
        <v>14</v>
      </c>
      <c r="B1254" s="1611" t="s">
        <v>2028</v>
      </c>
      <c r="C1254" s="1611" t="s">
        <v>4550</v>
      </c>
      <c r="D1254" s="1612" t="s">
        <v>2024</v>
      </c>
      <c r="E1254" s="1706" t="s">
        <v>7592</v>
      </c>
      <c r="F1254" s="1613">
        <v>15150000</v>
      </c>
      <c r="G1254" s="1613">
        <v>46421019341</v>
      </c>
    </row>
    <row r="1255" spans="1:7" ht="17.25" customHeight="1" x14ac:dyDescent="0.2">
      <c r="A1255" s="1611">
        <v>14</v>
      </c>
      <c r="B1255" s="1611" t="s">
        <v>2027</v>
      </c>
      <c r="C1255" s="1611" t="s">
        <v>4551</v>
      </c>
      <c r="D1255" s="1612" t="s">
        <v>2024</v>
      </c>
      <c r="E1255" s="1706" t="s">
        <v>7592</v>
      </c>
      <c r="F1255" s="1613">
        <v>15700000</v>
      </c>
      <c r="G1255" s="1613">
        <v>46436719341</v>
      </c>
    </row>
    <row r="1256" spans="1:7" ht="17.25" customHeight="1" x14ac:dyDescent="0.2">
      <c r="A1256" s="1611">
        <v>14</v>
      </c>
      <c r="B1256" s="1611" t="s">
        <v>2028</v>
      </c>
      <c r="C1256" s="1611" t="s">
        <v>214</v>
      </c>
      <c r="D1256" s="1612" t="s">
        <v>2024</v>
      </c>
      <c r="E1256" s="1706" t="s">
        <v>7592</v>
      </c>
      <c r="F1256" s="1613">
        <v>26627073</v>
      </c>
      <c r="G1256" s="1613">
        <v>46463346414</v>
      </c>
    </row>
    <row r="1257" spans="1:7" ht="17.25" customHeight="1" x14ac:dyDescent="0.2">
      <c r="A1257" s="1611">
        <v>14</v>
      </c>
      <c r="B1257" s="1611" t="s">
        <v>7176</v>
      </c>
      <c r="C1257" s="1611" t="s">
        <v>214</v>
      </c>
      <c r="D1257" s="1612">
        <v>0</v>
      </c>
      <c r="E1257" s="1706" t="s">
        <v>7592</v>
      </c>
      <c r="F1257" s="1613">
        <v>37987200</v>
      </c>
      <c r="G1257" s="1613">
        <v>46501333614</v>
      </c>
    </row>
    <row r="1258" spans="1:7" ht="17.25" customHeight="1" x14ac:dyDescent="0.2">
      <c r="A1258" s="1611">
        <v>14</v>
      </c>
      <c r="B1258" s="1611" t="s">
        <v>2032</v>
      </c>
      <c r="C1258" s="1611" t="s">
        <v>4552</v>
      </c>
      <c r="D1258" s="1612" t="s">
        <v>7555</v>
      </c>
      <c r="E1258" s="1706" t="s">
        <v>7592</v>
      </c>
      <c r="F1258" s="1613">
        <v>35000000</v>
      </c>
      <c r="G1258" s="1613">
        <v>46536333614</v>
      </c>
    </row>
    <row r="1259" spans="1:7" ht="17.25" customHeight="1" x14ac:dyDescent="0.2">
      <c r="A1259" s="1611">
        <v>14</v>
      </c>
      <c r="B1259" s="1611" t="s">
        <v>2028</v>
      </c>
      <c r="C1259" s="1611" t="s">
        <v>214</v>
      </c>
      <c r="D1259" s="1612" t="s">
        <v>2024</v>
      </c>
      <c r="E1259" s="1706" t="s">
        <v>7592</v>
      </c>
      <c r="F1259" s="1613">
        <v>24626164</v>
      </c>
      <c r="G1259" s="1613">
        <v>46560959778</v>
      </c>
    </row>
    <row r="1260" spans="1:7" ht="17.25" customHeight="1" x14ac:dyDescent="0.2">
      <c r="A1260" s="1611">
        <v>14</v>
      </c>
      <c r="B1260" s="1611" t="s">
        <v>2067</v>
      </c>
      <c r="C1260" s="1611" t="s">
        <v>4553</v>
      </c>
      <c r="D1260" s="1612" t="s">
        <v>2024</v>
      </c>
      <c r="E1260" s="1706" t="s">
        <v>7592</v>
      </c>
      <c r="F1260" s="1613">
        <v>89090910</v>
      </c>
      <c r="G1260" s="1613">
        <v>46650050688</v>
      </c>
    </row>
    <row r="1261" spans="1:7" ht="17.25" customHeight="1" x14ac:dyDescent="0.2">
      <c r="A1261" s="1611">
        <v>14</v>
      </c>
      <c r="B1261" s="1611" t="s">
        <v>2028</v>
      </c>
      <c r="C1261" s="1611" t="s">
        <v>4554</v>
      </c>
      <c r="D1261" s="1612" t="s">
        <v>2024</v>
      </c>
      <c r="E1261" s="1706" t="s">
        <v>7592</v>
      </c>
      <c r="F1261" s="1613">
        <v>14210000</v>
      </c>
      <c r="G1261" s="1613">
        <v>46664260688</v>
      </c>
    </row>
    <row r="1262" spans="1:7" ht="17.25" customHeight="1" x14ac:dyDescent="0.2">
      <c r="A1262" s="1611">
        <v>14</v>
      </c>
      <c r="B1262" s="1611" t="s">
        <v>2038</v>
      </c>
      <c r="C1262" s="1611" t="s">
        <v>4009</v>
      </c>
      <c r="D1262" s="1612" t="s">
        <v>7555</v>
      </c>
      <c r="E1262" s="1706" t="s">
        <v>7592</v>
      </c>
      <c r="F1262" s="1613">
        <v>40909091</v>
      </c>
      <c r="G1262" s="1613">
        <v>46705169779</v>
      </c>
    </row>
    <row r="1263" spans="1:7" ht="17.25" customHeight="1" x14ac:dyDescent="0.2">
      <c r="A1263" s="1611">
        <v>14</v>
      </c>
      <c r="B1263" s="1611" t="s">
        <v>2037</v>
      </c>
      <c r="C1263" s="1611" t="s">
        <v>4555</v>
      </c>
      <c r="D1263" s="1612" t="s">
        <v>7555</v>
      </c>
      <c r="E1263" s="1706" t="s">
        <v>7592</v>
      </c>
      <c r="F1263" s="1613">
        <v>36363636</v>
      </c>
      <c r="G1263" s="1613">
        <v>46741533415</v>
      </c>
    </row>
    <row r="1264" spans="1:7" ht="17.25" customHeight="1" x14ac:dyDescent="0.2">
      <c r="A1264" s="1611">
        <v>14</v>
      </c>
      <c r="B1264" s="1611" t="s">
        <v>2037</v>
      </c>
      <c r="C1264" s="1611" t="s">
        <v>4556</v>
      </c>
      <c r="D1264" s="1612" t="s">
        <v>7555</v>
      </c>
      <c r="E1264" s="1706" t="s">
        <v>7592</v>
      </c>
      <c r="F1264" s="1613">
        <v>37727272</v>
      </c>
      <c r="G1264" s="1613">
        <v>46779260687</v>
      </c>
    </row>
    <row r="1265" spans="1:7" ht="17.25" customHeight="1" x14ac:dyDescent="0.2">
      <c r="A1265" s="1611">
        <v>14</v>
      </c>
      <c r="B1265" s="1611" t="s">
        <v>2037</v>
      </c>
      <c r="C1265" s="1611" t="s">
        <v>4557</v>
      </c>
      <c r="D1265" s="1612" t="s">
        <v>7555</v>
      </c>
      <c r="E1265" s="1706" t="s">
        <v>7592</v>
      </c>
      <c r="F1265" s="1613">
        <v>38500000</v>
      </c>
      <c r="G1265" s="1613">
        <v>46817760687</v>
      </c>
    </row>
    <row r="1266" spans="1:7" ht="17.25" customHeight="1" x14ac:dyDescent="0.2">
      <c r="A1266" s="1611">
        <v>14</v>
      </c>
      <c r="B1266" s="1611" t="s">
        <v>3670</v>
      </c>
      <c r="C1266" s="1611" t="s">
        <v>3597</v>
      </c>
      <c r="D1266" s="1612">
        <v>0</v>
      </c>
      <c r="E1266" s="1706" t="s">
        <v>7592</v>
      </c>
      <c r="F1266" s="1613">
        <v>45229000</v>
      </c>
      <c r="G1266" s="1613">
        <v>46862989687</v>
      </c>
    </row>
    <row r="1267" spans="1:7" ht="17.25" customHeight="1" x14ac:dyDescent="0.2">
      <c r="A1267" s="1611">
        <v>14</v>
      </c>
      <c r="B1267" s="1611" t="s">
        <v>2037</v>
      </c>
      <c r="C1267" s="1611" t="s">
        <v>4558</v>
      </c>
      <c r="D1267" s="1612" t="s">
        <v>7555</v>
      </c>
      <c r="E1267" s="1706" t="s">
        <v>7592</v>
      </c>
      <c r="F1267" s="1613">
        <v>34910000</v>
      </c>
      <c r="G1267" s="1613">
        <v>46897899687</v>
      </c>
    </row>
    <row r="1268" spans="1:7" ht="17.25" customHeight="1" x14ac:dyDescent="0.2">
      <c r="A1268" s="1611">
        <v>14</v>
      </c>
      <c r="B1268" s="1611" t="s">
        <v>2038</v>
      </c>
      <c r="C1268" s="1611" t="s">
        <v>4151</v>
      </c>
      <c r="D1268" s="1612" t="s">
        <v>7555</v>
      </c>
      <c r="E1268" s="1706" t="s">
        <v>7592</v>
      </c>
      <c r="F1268" s="1613">
        <v>40181818</v>
      </c>
      <c r="G1268" s="1613">
        <v>46938081505</v>
      </c>
    </row>
    <row r="1269" spans="1:7" ht="17.25" customHeight="1" x14ac:dyDescent="0.2">
      <c r="A1269" s="1611">
        <v>14</v>
      </c>
      <c r="B1269" s="1611" t="s">
        <v>2032</v>
      </c>
      <c r="C1269" s="1611" t="s">
        <v>4559</v>
      </c>
      <c r="D1269" s="1612" t="s">
        <v>7555</v>
      </c>
      <c r="E1269" s="1706" t="s">
        <v>7592</v>
      </c>
      <c r="F1269" s="1613">
        <v>36000000</v>
      </c>
      <c r="G1269" s="1613">
        <v>46974081505</v>
      </c>
    </row>
    <row r="1270" spans="1:7" ht="17.25" customHeight="1" x14ac:dyDescent="0.2">
      <c r="A1270" s="1611">
        <v>14</v>
      </c>
      <c r="B1270" s="1611" t="s">
        <v>3883</v>
      </c>
      <c r="C1270" s="1611" t="s">
        <v>4560</v>
      </c>
      <c r="D1270" s="1612">
        <v>0</v>
      </c>
      <c r="E1270" s="1706" t="s">
        <v>7592</v>
      </c>
      <c r="F1270" s="1613">
        <v>3600000</v>
      </c>
      <c r="G1270" s="1613">
        <v>46977681505</v>
      </c>
    </row>
    <row r="1271" spans="1:7" ht="17.25" customHeight="1" x14ac:dyDescent="0.2">
      <c r="A1271" s="1611">
        <v>14</v>
      </c>
      <c r="B1271" s="1611" t="s">
        <v>2028</v>
      </c>
      <c r="C1271" s="1611" t="s">
        <v>4561</v>
      </c>
      <c r="D1271" s="1612" t="s">
        <v>2024</v>
      </c>
      <c r="E1271" s="1706" t="s">
        <v>7592</v>
      </c>
      <c r="F1271" s="1613">
        <v>13929090</v>
      </c>
      <c r="G1271" s="1613">
        <v>46991610595</v>
      </c>
    </row>
    <row r="1272" spans="1:7" ht="17.25" customHeight="1" x14ac:dyDescent="0.2">
      <c r="A1272" s="1611">
        <v>14</v>
      </c>
      <c r="B1272" s="1611" t="s">
        <v>2032</v>
      </c>
      <c r="C1272" s="1611" t="s">
        <v>4562</v>
      </c>
      <c r="D1272" s="1612" t="s">
        <v>7555</v>
      </c>
      <c r="E1272" s="1706" t="s">
        <v>7592</v>
      </c>
      <c r="F1272" s="1613">
        <v>33800000</v>
      </c>
      <c r="G1272" s="1613">
        <v>47025410595</v>
      </c>
    </row>
    <row r="1273" spans="1:7" ht="17.25" customHeight="1" x14ac:dyDescent="0.2">
      <c r="A1273" s="1611">
        <v>14</v>
      </c>
      <c r="B1273" s="1611" t="s">
        <v>2039</v>
      </c>
      <c r="C1273" s="1611" t="s">
        <v>4563</v>
      </c>
      <c r="D1273" s="1612" t="s">
        <v>7555</v>
      </c>
      <c r="E1273" s="1706" t="s">
        <v>7592</v>
      </c>
      <c r="F1273" s="1613">
        <v>42000000</v>
      </c>
      <c r="G1273" s="1613">
        <v>47067410595</v>
      </c>
    </row>
    <row r="1274" spans="1:7" ht="17.25" customHeight="1" x14ac:dyDescent="0.2">
      <c r="A1274" s="1611">
        <v>14</v>
      </c>
      <c r="B1274" s="1611" t="s">
        <v>2028</v>
      </c>
      <c r="C1274" s="1611" t="s">
        <v>4564</v>
      </c>
      <c r="D1274" s="1612" t="s">
        <v>2024</v>
      </c>
      <c r="E1274" s="1706" t="s">
        <v>7592</v>
      </c>
      <c r="F1274" s="1613">
        <v>16000000</v>
      </c>
      <c r="G1274" s="1613">
        <v>47083410595</v>
      </c>
    </row>
    <row r="1275" spans="1:7" ht="17.25" customHeight="1" x14ac:dyDescent="0.2">
      <c r="A1275" s="1611">
        <v>14</v>
      </c>
      <c r="B1275" s="1611" t="s">
        <v>2028</v>
      </c>
      <c r="C1275" s="1611" t="s">
        <v>4565</v>
      </c>
      <c r="D1275" s="1612" t="s">
        <v>2024</v>
      </c>
      <c r="E1275" s="1706" t="s">
        <v>7592</v>
      </c>
      <c r="F1275" s="1613">
        <v>14300000</v>
      </c>
      <c r="G1275" s="1613">
        <v>47097710595</v>
      </c>
    </row>
    <row r="1276" spans="1:7" ht="17.25" customHeight="1" x14ac:dyDescent="0.2">
      <c r="A1276" s="1611">
        <v>14</v>
      </c>
      <c r="B1276" s="1611" t="s">
        <v>2027</v>
      </c>
      <c r="C1276" s="1611" t="s">
        <v>4566</v>
      </c>
      <c r="D1276" s="1612" t="s">
        <v>2024</v>
      </c>
      <c r="E1276" s="1706" t="s">
        <v>7592</v>
      </c>
      <c r="F1276" s="1613">
        <v>13000000</v>
      </c>
      <c r="G1276" s="1613">
        <v>47110710595</v>
      </c>
    </row>
    <row r="1277" spans="1:7" ht="17.25" customHeight="1" x14ac:dyDescent="0.2">
      <c r="A1277" s="1611">
        <v>14</v>
      </c>
      <c r="B1277" s="1611" t="s">
        <v>2043</v>
      </c>
      <c r="C1277" s="1611" t="s">
        <v>4567</v>
      </c>
      <c r="D1277" s="1612" t="s">
        <v>7555</v>
      </c>
      <c r="E1277" s="1706" t="s">
        <v>7592</v>
      </c>
      <c r="F1277" s="1613">
        <v>51000000</v>
      </c>
      <c r="G1277" s="1613">
        <v>47161710595</v>
      </c>
    </row>
    <row r="1278" spans="1:7" ht="17.25" customHeight="1" x14ac:dyDescent="0.2">
      <c r="A1278" s="1611">
        <v>14</v>
      </c>
      <c r="B1278" s="1611" t="s">
        <v>2027</v>
      </c>
      <c r="C1278" s="1611" t="s">
        <v>4022</v>
      </c>
      <c r="D1278" s="1612" t="s">
        <v>2024</v>
      </c>
      <c r="E1278" s="1706" t="s">
        <v>7592</v>
      </c>
      <c r="F1278" s="1613">
        <v>15300000</v>
      </c>
      <c r="G1278" s="1613">
        <v>47177010595</v>
      </c>
    </row>
    <row r="1279" spans="1:7" ht="17.25" customHeight="1" x14ac:dyDescent="0.2">
      <c r="A1279" s="1611">
        <v>14</v>
      </c>
      <c r="B1279" s="1611" t="s">
        <v>2039</v>
      </c>
      <c r="C1279" s="1611" t="s">
        <v>4568</v>
      </c>
      <c r="D1279" s="1612" t="s">
        <v>7555</v>
      </c>
      <c r="E1279" s="1706" t="s">
        <v>7592</v>
      </c>
      <c r="F1279" s="1613">
        <v>41000000</v>
      </c>
      <c r="G1279" s="1613">
        <v>47218010595</v>
      </c>
    </row>
    <row r="1280" spans="1:7" ht="17.25" customHeight="1" x14ac:dyDescent="0.2">
      <c r="A1280" s="1611">
        <v>14</v>
      </c>
      <c r="B1280" s="1611" t="s">
        <v>7196</v>
      </c>
      <c r="C1280" s="1611" t="s">
        <v>4005</v>
      </c>
      <c r="D1280" s="1612">
        <v>0</v>
      </c>
      <c r="E1280" s="1706" t="s">
        <v>7592</v>
      </c>
      <c r="F1280" s="1613">
        <v>109560000</v>
      </c>
      <c r="G1280" s="1613">
        <v>47327570595</v>
      </c>
    </row>
    <row r="1281" spans="1:7" ht="17.25" customHeight="1" x14ac:dyDescent="0.2">
      <c r="A1281" s="1611">
        <v>14</v>
      </c>
      <c r="B1281" s="1611" t="s">
        <v>2038</v>
      </c>
      <c r="C1281" s="1611" t="s">
        <v>4569</v>
      </c>
      <c r="D1281" s="1612" t="s">
        <v>7555</v>
      </c>
      <c r="E1281" s="1706" t="s">
        <v>7592</v>
      </c>
      <c r="F1281" s="1613">
        <v>40500000</v>
      </c>
      <c r="G1281" s="1613">
        <v>47368070595</v>
      </c>
    </row>
    <row r="1282" spans="1:7" ht="17.25" customHeight="1" x14ac:dyDescent="0.2">
      <c r="A1282" s="1611">
        <v>14</v>
      </c>
      <c r="B1282" s="1611" t="s">
        <v>2039</v>
      </c>
      <c r="C1282" s="1611" t="s">
        <v>4570</v>
      </c>
      <c r="D1282" s="1612" t="s">
        <v>7555</v>
      </c>
      <c r="E1282" s="1706" t="s">
        <v>7592</v>
      </c>
      <c r="F1282" s="1613">
        <v>42363636</v>
      </c>
      <c r="G1282" s="1613">
        <v>47410434231</v>
      </c>
    </row>
    <row r="1283" spans="1:7" ht="17.25" customHeight="1" x14ac:dyDescent="0.2">
      <c r="A1283" s="1611">
        <v>14</v>
      </c>
      <c r="B1283" s="1611" t="s">
        <v>2037</v>
      </c>
      <c r="C1283" s="1611" t="s">
        <v>4571</v>
      </c>
      <c r="D1283" s="1612" t="s">
        <v>7555</v>
      </c>
      <c r="E1283" s="1706" t="s">
        <v>7592</v>
      </c>
      <c r="F1283" s="1613">
        <v>39090909</v>
      </c>
      <c r="G1283" s="1613">
        <v>47449525140</v>
      </c>
    </row>
    <row r="1284" spans="1:7" ht="17.25" customHeight="1" x14ac:dyDescent="0.2">
      <c r="A1284" s="1611">
        <v>14</v>
      </c>
      <c r="B1284" s="1611" t="s">
        <v>2027</v>
      </c>
      <c r="C1284" s="1611" t="s">
        <v>3816</v>
      </c>
      <c r="D1284" s="1612" t="s">
        <v>2024</v>
      </c>
      <c r="E1284" s="1706" t="s">
        <v>7592</v>
      </c>
      <c r="F1284" s="1613">
        <v>13700000</v>
      </c>
      <c r="G1284" s="1613">
        <v>47463225140</v>
      </c>
    </row>
    <row r="1285" spans="1:7" ht="17.25" customHeight="1" x14ac:dyDescent="0.2">
      <c r="A1285" s="1611">
        <v>14</v>
      </c>
      <c r="B1285" s="1611" t="s">
        <v>2041</v>
      </c>
      <c r="C1285" s="1611" t="s">
        <v>3947</v>
      </c>
      <c r="D1285" s="1612" t="s">
        <v>7555</v>
      </c>
      <c r="E1285" s="1706" t="s">
        <v>7592</v>
      </c>
      <c r="F1285" s="1613">
        <v>49090909</v>
      </c>
      <c r="G1285" s="1613">
        <v>47512316049</v>
      </c>
    </row>
    <row r="1286" spans="1:7" ht="17.25" customHeight="1" x14ac:dyDescent="0.2">
      <c r="A1286" s="1611">
        <v>14</v>
      </c>
      <c r="B1286" s="1611" t="s">
        <v>2037</v>
      </c>
      <c r="C1286" s="1611" t="s">
        <v>4572</v>
      </c>
      <c r="D1286" s="1612" t="s">
        <v>7555</v>
      </c>
      <c r="E1286" s="1706" t="s">
        <v>7592</v>
      </c>
      <c r="F1286" s="1613">
        <v>38000000</v>
      </c>
      <c r="G1286" s="1613">
        <v>47550316049</v>
      </c>
    </row>
    <row r="1287" spans="1:7" ht="17.25" customHeight="1" x14ac:dyDescent="0.2">
      <c r="A1287" s="1611">
        <v>14</v>
      </c>
      <c r="B1287" s="1611" t="s">
        <v>2027</v>
      </c>
      <c r="C1287" s="1611" t="s">
        <v>4573</v>
      </c>
      <c r="D1287" s="1612" t="s">
        <v>2024</v>
      </c>
      <c r="E1287" s="1706" t="s">
        <v>7592</v>
      </c>
      <c r="F1287" s="1613">
        <v>14780909</v>
      </c>
      <c r="G1287" s="1613">
        <v>47565096958</v>
      </c>
    </row>
    <row r="1288" spans="1:7" ht="17.25" customHeight="1" x14ac:dyDescent="0.2">
      <c r="A1288" s="1611">
        <v>14</v>
      </c>
      <c r="B1288" s="1611" t="s">
        <v>2037</v>
      </c>
      <c r="C1288" s="1611" t="s">
        <v>4574</v>
      </c>
      <c r="D1288" s="1612" t="s">
        <v>7555</v>
      </c>
      <c r="E1288" s="1706" t="s">
        <v>7592</v>
      </c>
      <c r="F1288" s="1613">
        <v>37727273</v>
      </c>
      <c r="G1288" s="1613">
        <v>47602824231</v>
      </c>
    </row>
    <row r="1289" spans="1:7" ht="17.25" customHeight="1" x14ac:dyDescent="0.2">
      <c r="A1289" s="1611">
        <v>14</v>
      </c>
      <c r="B1289" s="1611" t="s">
        <v>2028</v>
      </c>
      <c r="C1289" s="1611" t="s">
        <v>4575</v>
      </c>
      <c r="D1289" s="1612" t="s">
        <v>2024</v>
      </c>
      <c r="E1289" s="1706" t="s">
        <v>7592</v>
      </c>
      <c r="F1289" s="1613">
        <v>15500000</v>
      </c>
      <c r="G1289" s="1613">
        <v>47618324231</v>
      </c>
    </row>
    <row r="1290" spans="1:7" ht="17.25" customHeight="1" x14ac:dyDescent="0.2">
      <c r="A1290" s="1611">
        <v>14</v>
      </c>
      <c r="B1290" s="1611" t="s">
        <v>3553</v>
      </c>
      <c r="C1290" s="1611" t="s">
        <v>4023</v>
      </c>
      <c r="D1290" s="1612" t="s">
        <v>7555</v>
      </c>
      <c r="E1290" s="1706" t="s">
        <v>7592</v>
      </c>
      <c r="F1290" s="1613">
        <v>40909090.5</v>
      </c>
      <c r="G1290" s="1613">
        <v>23850071206</v>
      </c>
    </row>
    <row r="1291" spans="1:7" ht="17.25" customHeight="1" x14ac:dyDescent="0.2">
      <c r="A1291" s="1611">
        <v>14</v>
      </c>
      <c r="B1291" s="1611" t="s">
        <v>3553</v>
      </c>
      <c r="C1291" s="1611" t="s">
        <v>4023</v>
      </c>
      <c r="D1291" s="1612" t="s">
        <v>7555</v>
      </c>
      <c r="E1291" s="1706" t="s">
        <v>7592</v>
      </c>
      <c r="F1291" s="1613">
        <v>40909090.5</v>
      </c>
      <c r="G1291" s="1613">
        <v>23850071206</v>
      </c>
    </row>
    <row r="1292" spans="1:7" ht="17.25" customHeight="1" x14ac:dyDescent="0.2">
      <c r="A1292" s="1611">
        <v>14</v>
      </c>
      <c r="B1292" s="1611" t="s">
        <v>3937</v>
      </c>
      <c r="C1292" s="1611" t="s">
        <v>4548</v>
      </c>
      <c r="D1292" s="1612">
        <v>0</v>
      </c>
      <c r="E1292" s="1706" t="s">
        <v>7592</v>
      </c>
      <c r="F1292" s="1613">
        <v>4073637</v>
      </c>
      <c r="G1292" s="1613">
        <v>47704216049</v>
      </c>
    </row>
    <row r="1293" spans="1:7" ht="17.25" customHeight="1" x14ac:dyDescent="0.2">
      <c r="A1293" s="1611">
        <v>14</v>
      </c>
      <c r="B1293" s="1611" t="s">
        <v>2028</v>
      </c>
      <c r="C1293" s="1611" t="s">
        <v>4576</v>
      </c>
      <c r="D1293" s="1612" t="s">
        <v>2024</v>
      </c>
      <c r="E1293" s="1706" t="s">
        <v>7592</v>
      </c>
      <c r="F1293" s="1613">
        <v>11500000</v>
      </c>
      <c r="G1293" s="1613">
        <v>47715716049</v>
      </c>
    </row>
    <row r="1294" spans="1:7" ht="17.25" customHeight="1" x14ac:dyDescent="0.2">
      <c r="A1294" s="1611">
        <v>14</v>
      </c>
      <c r="B1294" s="1611" t="s">
        <v>2039</v>
      </c>
      <c r="C1294" s="1611" t="s">
        <v>4577</v>
      </c>
      <c r="D1294" s="1612" t="s">
        <v>7555</v>
      </c>
      <c r="E1294" s="1706" t="s">
        <v>7592</v>
      </c>
      <c r="F1294" s="1613">
        <v>43000000</v>
      </c>
      <c r="G1294" s="1613">
        <v>47758716049</v>
      </c>
    </row>
    <row r="1295" spans="1:7" ht="17.25" customHeight="1" x14ac:dyDescent="0.2">
      <c r="A1295" s="1611">
        <v>14</v>
      </c>
      <c r="B1295" s="1611" t="s">
        <v>2055</v>
      </c>
      <c r="C1295" s="1611" t="s">
        <v>4533</v>
      </c>
      <c r="D1295" s="1612" t="s">
        <v>7555</v>
      </c>
      <c r="E1295" s="1706" t="s">
        <v>7592</v>
      </c>
      <c r="F1295" s="1613">
        <v>64545454</v>
      </c>
      <c r="G1295" s="1613">
        <v>47823261503</v>
      </c>
    </row>
    <row r="1296" spans="1:7" ht="17.25" customHeight="1" x14ac:dyDescent="0.2">
      <c r="A1296" s="1611">
        <v>14</v>
      </c>
      <c r="B1296" s="1611" t="s">
        <v>7153</v>
      </c>
      <c r="C1296" s="1611" t="s">
        <v>214</v>
      </c>
      <c r="D1296" s="1612">
        <v>0</v>
      </c>
      <c r="E1296" s="1706" t="s">
        <v>7592</v>
      </c>
      <c r="F1296" s="1613">
        <v>50868000</v>
      </c>
      <c r="G1296" s="1613">
        <v>47874129503</v>
      </c>
    </row>
    <row r="1297" spans="1:7" ht="17.25" customHeight="1" x14ac:dyDescent="0.2">
      <c r="A1297" s="1611">
        <v>14</v>
      </c>
      <c r="B1297" s="1611" t="s">
        <v>7153</v>
      </c>
      <c r="C1297" s="1611" t="s">
        <v>214</v>
      </c>
      <c r="D1297" s="1612">
        <v>0</v>
      </c>
      <c r="E1297" s="1706" t="s">
        <v>7592</v>
      </c>
      <c r="F1297" s="1613">
        <v>55178000</v>
      </c>
      <c r="G1297" s="1613">
        <v>47929307503</v>
      </c>
    </row>
    <row r="1298" spans="1:7" ht="17.25" customHeight="1" x14ac:dyDescent="0.2">
      <c r="A1298" s="1611">
        <v>14</v>
      </c>
      <c r="B1298" s="1611" t="s">
        <v>2028</v>
      </c>
      <c r="C1298" s="1611" t="s">
        <v>4576</v>
      </c>
      <c r="D1298" s="1612" t="s">
        <v>2024</v>
      </c>
      <c r="E1298" s="1706" t="s">
        <v>7592</v>
      </c>
      <c r="F1298" s="1613">
        <v>-11500000</v>
      </c>
      <c r="G1298" s="1613">
        <v>47917807503</v>
      </c>
    </row>
    <row r="1299" spans="1:7" ht="17.25" customHeight="1" x14ac:dyDescent="0.2">
      <c r="A1299" s="1611">
        <v>14</v>
      </c>
      <c r="B1299" s="1611" t="s">
        <v>2028</v>
      </c>
      <c r="C1299" s="1611" t="s">
        <v>4576</v>
      </c>
      <c r="D1299" s="1612" t="s">
        <v>2024</v>
      </c>
      <c r="E1299" s="1706" t="s">
        <v>7592</v>
      </c>
      <c r="F1299" s="1613">
        <v>12409091</v>
      </c>
      <c r="G1299" s="1613">
        <v>47930216594</v>
      </c>
    </row>
    <row r="1300" spans="1:7" ht="17.25" customHeight="1" x14ac:dyDescent="0.2">
      <c r="A1300" s="1611">
        <v>14</v>
      </c>
      <c r="B1300" s="1611" t="s">
        <v>3937</v>
      </c>
      <c r="C1300" s="1611" t="s">
        <v>3760</v>
      </c>
      <c r="D1300" s="1612">
        <v>0</v>
      </c>
      <c r="E1300" s="1706" t="s">
        <v>7592</v>
      </c>
      <c r="F1300" s="1613">
        <v>1498500000</v>
      </c>
      <c r="G1300" s="1613">
        <v>49428716594</v>
      </c>
    </row>
    <row r="1301" spans="1:7" ht="17.25" customHeight="1" x14ac:dyDescent="0.2">
      <c r="A1301" s="1611">
        <v>14</v>
      </c>
      <c r="B1301" s="1611" t="s">
        <v>4578</v>
      </c>
      <c r="C1301" s="1611" t="s">
        <v>4553</v>
      </c>
      <c r="D1301" s="1612">
        <v>0</v>
      </c>
      <c r="E1301" s="1706" t="s">
        <v>7592</v>
      </c>
      <c r="F1301" s="1613">
        <v>3720000</v>
      </c>
      <c r="G1301" s="1613">
        <v>49432436594</v>
      </c>
    </row>
    <row r="1302" spans="1:7" ht="17.25" customHeight="1" x14ac:dyDescent="0.2">
      <c r="A1302" s="1611">
        <v>14</v>
      </c>
      <c r="B1302" s="1611" t="s">
        <v>2041</v>
      </c>
      <c r="C1302" s="1611" t="s">
        <v>4579</v>
      </c>
      <c r="D1302" s="1612" t="s">
        <v>7555</v>
      </c>
      <c r="E1302" s="1706" t="s">
        <v>7592</v>
      </c>
      <c r="F1302" s="1613">
        <v>50000000</v>
      </c>
      <c r="G1302" s="1613">
        <v>49482436594</v>
      </c>
    </row>
    <row r="1303" spans="1:7" ht="17.25" customHeight="1" x14ac:dyDescent="0.2">
      <c r="A1303" s="1611">
        <v>14</v>
      </c>
      <c r="B1303" s="1611" t="s">
        <v>2039</v>
      </c>
      <c r="C1303" s="1611" t="s">
        <v>4580</v>
      </c>
      <c r="D1303" s="1612" t="s">
        <v>7555</v>
      </c>
      <c r="E1303" s="1706" t="s">
        <v>7592</v>
      </c>
      <c r="F1303" s="1613">
        <v>41000000</v>
      </c>
      <c r="G1303" s="1613">
        <v>49523436594</v>
      </c>
    </row>
    <row r="1304" spans="1:7" ht="17.25" customHeight="1" x14ac:dyDescent="0.2">
      <c r="A1304" s="1611">
        <v>14</v>
      </c>
      <c r="B1304" s="1611" t="s">
        <v>4581</v>
      </c>
      <c r="C1304" s="1611" t="s">
        <v>3760</v>
      </c>
      <c r="D1304" s="1612">
        <v>0</v>
      </c>
      <c r="E1304" s="1706" t="s">
        <v>7592</v>
      </c>
      <c r="F1304" s="1613">
        <v>8000</v>
      </c>
      <c r="G1304" s="1613">
        <v>49523444594</v>
      </c>
    </row>
    <row r="1305" spans="1:7" ht="17.25" customHeight="1" x14ac:dyDescent="0.2">
      <c r="A1305" s="1611">
        <v>14</v>
      </c>
      <c r="B1305" s="1611" t="s">
        <v>2041</v>
      </c>
      <c r="C1305" s="1611" t="s">
        <v>4582</v>
      </c>
      <c r="D1305" s="1612" t="s">
        <v>7555</v>
      </c>
      <c r="E1305" s="1706" t="s">
        <v>7592</v>
      </c>
      <c r="F1305" s="1613">
        <v>47272727</v>
      </c>
      <c r="G1305" s="1613">
        <v>49570717321</v>
      </c>
    </row>
    <row r="1306" spans="1:7" ht="17.25" customHeight="1" x14ac:dyDescent="0.2">
      <c r="A1306" s="1611">
        <v>14</v>
      </c>
      <c r="B1306" s="1611" t="s">
        <v>2039</v>
      </c>
      <c r="C1306" s="1611" t="s">
        <v>4583</v>
      </c>
      <c r="D1306" s="1612" t="s">
        <v>7555</v>
      </c>
      <c r="E1306" s="1706" t="s">
        <v>7592</v>
      </c>
      <c r="F1306" s="1613">
        <v>39700000</v>
      </c>
      <c r="G1306" s="1613">
        <v>49610417321</v>
      </c>
    </row>
    <row r="1307" spans="1:7" ht="17.25" customHeight="1" x14ac:dyDescent="0.2">
      <c r="A1307" s="1611">
        <v>14</v>
      </c>
      <c r="B1307" s="1611" t="s">
        <v>2038</v>
      </c>
      <c r="C1307" s="1611" t="s">
        <v>4584</v>
      </c>
      <c r="D1307" s="1612" t="s">
        <v>7555</v>
      </c>
      <c r="E1307" s="1706" t="s">
        <v>7592</v>
      </c>
      <c r="F1307" s="1613">
        <v>40181818</v>
      </c>
      <c r="G1307" s="1613">
        <v>49650599139</v>
      </c>
    </row>
    <row r="1308" spans="1:7" ht="17.25" customHeight="1" x14ac:dyDescent="0.2">
      <c r="A1308" s="1611">
        <v>14</v>
      </c>
      <c r="B1308" s="1611" t="s">
        <v>2039</v>
      </c>
      <c r="C1308" s="1611" t="s">
        <v>4585</v>
      </c>
      <c r="D1308" s="1612" t="s">
        <v>7555</v>
      </c>
      <c r="E1308" s="1706" t="s">
        <v>7592</v>
      </c>
      <c r="F1308" s="1613">
        <v>44450000</v>
      </c>
      <c r="G1308" s="1613">
        <v>49695049139</v>
      </c>
    </row>
    <row r="1309" spans="1:7" ht="17.25" customHeight="1" x14ac:dyDescent="0.2">
      <c r="A1309" s="1611">
        <v>14</v>
      </c>
      <c r="B1309" s="1611" t="s">
        <v>3670</v>
      </c>
      <c r="C1309" s="1611" t="s">
        <v>3597</v>
      </c>
      <c r="D1309" s="1612">
        <v>0</v>
      </c>
      <c r="E1309" s="1706" t="s">
        <v>7592</v>
      </c>
      <c r="F1309" s="1613">
        <v>11130000</v>
      </c>
      <c r="G1309" s="1613">
        <v>49706179139</v>
      </c>
    </row>
    <row r="1310" spans="1:7" ht="17.25" customHeight="1" x14ac:dyDescent="0.2">
      <c r="A1310" s="1611">
        <v>14</v>
      </c>
      <c r="B1310" s="1611" t="s">
        <v>7197</v>
      </c>
      <c r="C1310" s="1611" t="s">
        <v>4064</v>
      </c>
      <c r="D1310" s="1612">
        <v>0</v>
      </c>
      <c r="E1310" s="1612" t="s">
        <v>3295</v>
      </c>
      <c r="F1310" s="1613">
        <v>213775240</v>
      </c>
      <c r="G1310" s="1613">
        <v>49919954379</v>
      </c>
    </row>
    <row r="1311" spans="1:7" ht="17.25" customHeight="1" x14ac:dyDescent="0.2">
      <c r="A1311" s="1611">
        <v>14</v>
      </c>
      <c r="B1311" s="1611" t="s">
        <v>2028</v>
      </c>
      <c r="C1311" s="1611" t="s">
        <v>4586</v>
      </c>
      <c r="D1311" s="1612" t="s">
        <v>2024</v>
      </c>
      <c r="E1311" s="1706" t="s">
        <v>7592</v>
      </c>
      <c r="F1311" s="1613">
        <v>14000000</v>
      </c>
      <c r="G1311" s="1613">
        <v>49933954379</v>
      </c>
    </row>
    <row r="1312" spans="1:7" ht="17.25" customHeight="1" x14ac:dyDescent="0.2">
      <c r="A1312" s="1611">
        <v>14</v>
      </c>
      <c r="B1312" s="1611" t="s">
        <v>2039</v>
      </c>
      <c r="C1312" s="1611" t="s">
        <v>4456</v>
      </c>
      <c r="D1312" s="1612" t="s">
        <v>7555</v>
      </c>
      <c r="E1312" s="1706" t="s">
        <v>7592</v>
      </c>
      <c r="F1312" s="1613">
        <v>43227272</v>
      </c>
      <c r="G1312" s="1613">
        <v>49977181651</v>
      </c>
    </row>
    <row r="1313" spans="1:7" ht="17.25" customHeight="1" x14ac:dyDescent="0.2">
      <c r="A1313" s="1611">
        <v>14</v>
      </c>
      <c r="B1313" s="1611" t="s">
        <v>2032</v>
      </c>
      <c r="C1313" s="1611" t="s">
        <v>4087</v>
      </c>
      <c r="D1313" s="1612" t="s">
        <v>7555</v>
      </c>
      <c r="E1313" s="1706" t="s">
        <v>7592</v>
      </c>
      <c r="F1313" s="1613">
        <v>33500000</v>
      </c>
      <c r="G1313" s="1613">
        <v>50010681651</v>
      </c>
    </row>
    <row r="1314" spans="1:7" ht="17.25" customHeight="1" x14ac:dyDescent="0.2">
      <c r="A1314" s="1611">
        <v>14</v>
      </c>
      <c r="B1314" s="1611" t="s">
        <v>2032</v>
      </c>
      <c r="C1314" s="1611" t="s">
        <v>4087</v>
      </c>
      <c r="D1314" s="1612" t="s">
        <v>7555</v>
      </c>
      <c r="E1314" s="1706" t="s">
        <v>7592</v>
      </c>
      <c r="F1314" s="1613">
        <v>34120000</v>
      </c>
      <c r="G1314" s="1613">
        <v>50044801651</v>
      </c>
    </row>
    <row r="1315" spans="1:7" ht="17.25" customHeight="1" x14ac:dyDescent="0.2">
      <c r="A1315" s="1611">
        <v>14</v>
      </c>
      <c r="B1315" s="1611" t="s">
        <v>2038</v>
      </c>
      <c r="C1315" s="1611" t="s">
        <v>4087</v>
      </c>
      <c r="D1315" s="1612" t="s">
        <v>7555</v>
      </c>
      <c r="E1315" s="1706" t="s">
        <v>7592</v>
      </c>
      <c r="F1315" s="1613">
        <v>40000000</v>
      </c>
      <c r="G1315" s="1613">
        <v>50084801651</v>
      </c>
    </row>
    <row r="1316" spans="1:7" ht="17.25" customHeight="1" x14ac:dyDescent="0.2">
      <c r="A1316" s="1611">
        <v>14</v>
      </c>
      <c r="B1316" s="1611" t="s">
        <v>2038</v>
      </c>
      <c r="C1316" s="1611" t="s">
        <v>4087</v>
      </c>
      <c r="D1316" s="1612" t="s">
        <v>7555</v>
      </c>
      <c r="E1316" s="1706" t="s">
        <v>7592</v>
      </c>
      <c r="F1316" s="1613">
        <v>40000000</v>
      </c>
      <c r="G1316" s="1613">
        <v>50124801651</v>
      </c>
    </row>
    <row r="1317" spans="1:7" ht="17.25" customHeight="1" x14ac:dyDescent="0.2">
      <c r="A1317" s="1611">
        <v>14</v>
      </c>
      <c r="B1317" s="1611" t="s">
        <v>2041</v>
      </c>
      <c r="C1317" s="1611" t="s">
        <v>4587</v>
      </c>
      <c r="D1317" s="1612" t="s">
        <v>7555</v>
      </c>
      <c r="E1317" s="1706" t="s">
        <v>7592</v>
      </c>
      <c r="F1317" s="1613">
        <v>48000000</v>
      </c>
      <c r="G1317" s="1613">
        <v>50172801651</v>
      </c>
    </row>
    <row r="1318" spans="1:7" ht="17.25" customHeight="1" x14ac:dyDescent="0.2">
      <c r="A1318" s="1611">
        <v>14</v>
      </c>
      <c r="B1318" s="1611" t="s">
        <v>2039</v>
      </c>
      <c r="C1318" s="1611" t="s">
        <v>4010</v>
      </c>
      <c r="D1318" s="1612" t="s">
        <v>7555</v>
      </c>
      <c r="E1318" s="1706" t="s">
        <v>7592</v>
      </c>
      <c r="F1318" s="1613">
        <v>41818182</v>
      </c>
      <c r="G1318" s="1613">
        <v>50214619833</v>
      </c>
    </row>
    <row r="1319" spans="1:7" ht="17.25" customHeight="1" x14ac:dyDescent="0.2">
      <c r="A1319" s="1611">
        <v>14</v>
      </c>
      <c r="B1319" s="1611" t="s">
        <v>2026</v>
      </c>
      <c r="C1319" s="1611" t="s">
        <v>4588</v>
      </c>
      <c r="D1319" s="1612" t="s">
        <v>2024</v>
      </c>
      <c r="E1319" s="1706" t="s">
        <v>7592</v>
      </c>
      <c r="F1319" s="1613">
        <v>13140000</v>
      </c>
      <c r="G1319" s="1613">
        <v>50227759833</v>
      </c>
    </row>
    <row r="1320" spans="1:7" ht="17.25" customHeight="1" x14ac:dyDescent="0.2">
      <c r="A1320" s="1611">
        <v>14</v>
      </c>
      <c r="B1320" s="1611" t="s">
        <v>2027</v>
      </c>
      <c r="C1320" s="1611" t="s">
        <v>3964</v>
      </c>
      <c r="D1320" s="1612" t="s">
        <v>2024</v>
      </c>
      <c r="E1320" s="1706" t="s">
        <v>7592</v>
      </c>
      <c r="F1320" s="1613">
        <v>15000000</v>
      </c>
      <c r="G1320" s="1613">
        <v>50242759833</v>
      </c>
    </row>
    <row r="1321" spans="1:7" ht="17.25" customHeight="1" x14ac:dyDescent="0.2">
      <c r="A1321" s="1611">
        <v>14</v>
      </c>
      <c r="B1321" s="1611" t="s">
        <v>2028</v>
      </c>
      <c r="C1321" s="1611" t="s">
        <v>4589</v>
      </c>
      <c r="D1321" s="1612" t="s">
        <v>2024</v>
      </c>
      <c r="E1321" s="1706" t="s">
        <v>7592</v>
      </c>
      <c r="F1321" s="1613">
        <v>14000000</v>
      </c>
      <c r="G1321" s="1613">
        <v>50256759833</v>
      </c>
    </row>
    <row r="1322" spans="1:7" ht="17.25" customHeight="1" x14ac:dyDescent="0.2">
      <c r="A1322" s="1611">
        <v>14</v>
      </c>
      <c r="B1322" s="1611" t="s">
        <v>2028</v>
      </c>
      <c r="C1322" s="1611" t="s">
        <v>4590</v>
      </c>
      <c r="D1322" s="1612" t="s">
        <v>2024</v>
      </c>
      <c r="E1322" s="1706" t="s">
        <v>7592</v>
      </c>
      <c r="F1322" s="1613">
        <v>14272727</v>
      </c>
      <c r="G1322" s="1613">
        <v>50271032560</v>
      </c>
    </row>
    <row r="1323" spans="1:7" ht="17.25" customHeight="1" x14ac:dyDescent="0.2">
      <c r="A1323" s="1611">
        <v>14</v>
      </c>
      <c r="B1323" s="1611" t="s">
        <v>2028</v>
      </c>
      <c r="C1323" s="1611" t="s">
        <v>4591</v>
      </c>
      <c r="D1323" s="1612" t="s">
        <v>2024</v>
      </c>
      <c r="E1323" s="1706" t="s">
        <v>7592</v>
      </c>
      <c r="F1323" s="1613">
        <v>13590909</v>
      </c>
      <c r="G1323" s="1613">
        <v>50284623469</v>
      </c>
    </row>
    <row r="1324" spans="1:7" ht="17.25" customHeight="1" x14ac:dyDescent="0.2">
      <c r="A1324" s="1611">
        <v>14</v>
      </c>
      <c r="B1324" s="1611" t="s">
        <v>3812</v>
      </c>
      <c r="C1324" s="1611" t="s">
        <v>3749</v>
      </c>
      <c r="D1324" s="1612">
        <v>0</v>
      </c>
      <c r="E1324" s="1706" t="s">
        <v>7592</v>
      </c>
      <c r="F1324" s="1613">
        <v>10500000</v>
      </c>
      <c r="G1324" s="1613">
        <v>50295123469</v>
      </c>
    </row>
    <row r="1325" spans="1:7" ht="17.25" customHeight="1" x14ac:dyDescent="0.2">
      <c r="A1325" s="1611">
        <v>14</v>
      </c>
      <c r="B1325" s="1611" t="s">
        <v>2028</v>
      </c>
      <c r="C1325" s="1611" t="s">
        <v>3648</v>
      </c>
      <c r="D1325" s="1612" t="s">
        <v>2024</v>
      </c>
      <c r="E1325" s="1706" t="s">
        <v>7592</v>
      </c>
      <c r="F1325" s="1613">
        <v>13500000</v>
      </c>
      <c r="G1325" s="1613">
        <v>50308623469</v>
      </c>
    </row>
    <row r="1326" spans="1:7" ht="17.25" customHeight="1" x14ac:dyDescent="0.2">
      <c r="A1326" s="1611">
        <v>14</v>
      </c>
      <c r="B1326" s="1611" t="s">
        <v>2045</v>
      </c>
      <c r="C1326" s="1611" t="s">
        <v>3749</v>
      </c>
      <c r="D1326" s="1612" t="s">
        <v>7555</v>
      </c>
      <c r="E1326" s="1706" t="s">
        <v>7592</v>
      </c>
      <c r="F1326" s="1613">
        <v>78990910</v>
      </c>
      <c r="G1326" s="1613">
        <v>50387614379</v>
      </c>
    </row>
    <row r="1327" spans="1:7" ht="17.25" customHeight="1" x14ac:dyDescent="0.2">
      <c r="A1327" s="1611">
        <v>14</v>
      </c>
      <c r="B1327" s="1611" t="s">
        <v>2026</v>
      </c>
      <c r="C1327" s="1611" t="s">
        <v>4592</v>
      </c>
      <c r="D1327" s="1612" t="s">
        <v>2024</v>
      </c>
      <c r="E1327" s="1706" t="s">
        <v>7592</v>
      </c>
      <c r="F1327" s="1613">
        <v>13527272</v>
      </c>
      <c r="G1327" s="1613">
        <v>50401141651</v>
      </c>
    </row>
    <row r="1328" spans="1:7" ht="17.25" customHeight="1" x14ac:dyDescent="0.2">
      <c r="A1328" s="1611">
        <v>14</v>
      </c>
      <c r="B1328" s="1611" t="s">
        <v>2028</v>
      </c>
      <c r="C1328" s="1611" t="s">
        <v>4593</v>
      </c>
      <c r="D1328" s="1612" t="s">
        <v>2024</v>
      </c>
      <c r="E1328" s="1706" t="s">
        <v>7592</v>
      </c>
      <c r="F1328" s="1613">
        <v>16000000</v>
      </c>
      <c r="G1328" s="1613">
        <v>50417141651</v>
      </c>
    </row>
    <row r="1329" spans="1:7" ht="17.25" customHeight="1" x14ac:dyDescent="0.2">
      <c r="A1329" s="1611">
        <v>14</v>
      </c>
      <c r="B1329" s="1611" t="s">
        <v>2028</v>
      </c>
      <c r="C1329" s="1611" t="s">
        <v>4594</v>
      </c>
      <c r="D1329" s="1612" t="s">
        <v>2024</v>
      </c>
      <c r="E1329" s="1706" t="s">
        <v>7592</v>
      </c>
      <c r="F1329" s="1613">
        <v>16350000</v>
      </c>
      <c r="G1329" s="1613">
        <v>50433491651</v>
      </c>
    </row>
    <row r="1330" spans="1:7" ht="17.25" customHeight="1" x14ac:dyDescent="0.2">
      <c r="A1330" s="1611">
        <v>14</v>
      </c>
      <c r="B1330" s="1611" t="s">
        <v>2032</v>
      </c>
      <c r="C1330" s="1611" t="s">
        <v>4595</v>
      </c>
      <c r="D1330" s="1612" t="s">
        <v>7555</v>
      </c>
      <c r="E1330" s="1706" t="s">
        <v>7592</v>
      </c>
      <c r="F1330" s="1613">
        <v>35200000</v>
      </c>
      <c r="G1330" s="1613">
        <v>50468691651</v>
      </c>
    </row>
    <row r="1331" spans="1:7" ht="17.25" customHeight="1" x14ac:dyDescent="0.2">
      <c r="A1331" s="1611">
        <v>14</v>
      </c>
      <c r="B1331" s="1611" t="s">
        <v>4596</v>
      </c>
      <c r="C1331" s="1611" t="s">
        <v>4597</v>
      </c>
      <c r="D1331" s="1612">
        <v>0</v>
      </c>
      <c r="E1331" s="1706" t="s">
        <v>7592</v>
      </c>
      <c r="F1331" s="1613">
        <v>42045455</v>
      </c>
      <c r="G1331" s="1613">
        <v>50510737106</v>
      </c>
    </row>
    <row r="1332" spans="1:7" ht="17.25" customHeight="1" x14ac:dyDescent="0.2">
      <c r="A1332" s="1611">
        <v>14</v>
      </c>
      <c r="B1332" s="1611" t="s">
        <v>4596</v>
      </c>
      <c r="C1332" s="1611" t="s">
        <v>4598</v>
      </c>
      <c r="D1332" s="1612">
        <v>0</v>
      </c>
      <c r="E1332" s="1706" t="s">
        <v>7592</v>
      </c>
      <c r="F1332" s="1613">
        <v>41818182</v>
      </c>
      <c r="G1332" s="1613">
        <v>50552555288</v>
      </c>
    </row>
    <row r="1333" spans="1:7" ht="17.25" customHeight="1" x14ac:dyDescent="0.2">
      <c r="A1333" s="1611">
        <v>14</v>
      </c>
      <c r="B1333" s="1611" t="s">
        <v>2028</v>
      </c>
      <c r="C1333" s="1611" t="s">
        <v>4599</v>
      </c>
      <c r="D1333" s="1612" t="s">
        <v>2024</v>
      </c>
      <c r="E1333" s="1706" t="s">
        <v>7592</v>
      </c>
      <c r="F1333" s="1613">
        <v>13950000</v>
      </c>
      <c r="G1333" s="1613">
        <v>50566505288</v>
      </c>
    </row>
    <row r="1334" spans="1:7" ht="17.25" customHeight="1" x14ac:dyDescent="0.2">
      <c r="A1334" s="1611">
        <v>14</v>
      </c>
      <c r="B1334" s="1611" t="s">
        <v>2039</v>
      </c>
      <c r="C1334" s="1611" t="s">
        <v>4600</v>
      </c>
      <c r="D1334" s="1612" t="s">
        <v>7555</v>
      </c>
      <c r="E1334" s="1706" t="s">
        <v>7592</v>
      </c>
      <c r="F1334" s="1613">
        <v>40909090</v>
      </c>
      <c r="G1334" s="1613">
        <v>50607414378</v>
      </c>
    </row>
    <row r="1335" spans="1:7" ht="17.25" customHeight="1" x14ac:dyDescent="0.2">
      <c r="A1335" s="1611">
        <v>14</v>
      </c>
      <c r="B1335" s="1611" t="s">
        <v>2038</v>
      </c>
      <c r="C1335" s="1611" t="s">
        <v>4295</v>
      </c>
      <c r="D1335" s="1612" t="s">
        <v>7555</v>
      </c>
      <c r="E1335" s="1706" t="s">
        <v>7592</v>
      </c>
      <c r="F1335" s="1613">
        <v>40000000</v>
      </c>
      <c r="G1335" s="1613">
        <v>50647414378</v>
      </c>
    </row>
    <row r="1336" spans="1:7" ht="17.25" customHeight="1" x14ac:dyDescent="0.2">
      <c r="A1336" s="1611">
        <v>14</v>
      </c>
      <c r="B1336" s="1611" t="s">
        <v>2027</v>
      </c>
      <c r="C1336" s="1611" t="s">
        <v>4601</v>
      </c>
      <c r="D1336" s="1612" t="s">
        <v>2024</v>
      </c>
      <c r="E1336" s="1706" t="s">
        <v>7592</v>
      </c>
      <c r="F1336" s="1613">
        <v>15300000</v>
      </c>
      <c r="G1336" s="1613">
        <v>50662714378</v>
      </c>
    </row>
    <row r="1337" spans="1:7" ht="17.25" customHeight="1" x14ac:dyDescent="0.2">
      <c r="A1337" s="1611">
        <v>14</v>
      </c>
      <c r="B1337" s="1611" t="s">
        <v>2027</v>
      </c>
      <c r="C1337" s="1611" t="s">
        <v>4602</v>
      </c>
      <c r="D1337" s="1612" t="s">
        <v>2024</v>
      </c>
      <c r="E1337" s="1706" t="s">
        <v>7592</v>
      </c>
      <c r="F1337" s="1613">
        <v>13720000</v>
      </c>
      <c r="G1337" s="1613">
        <v>50676434378</v>
      </c>
    </row>
    <row r="1338" spans="1:7" ht="17.25" customHeight="1" x14ac:dyDescent="0.2">
      <c r="A1338" s="1611">
        <v>14</v>
      </c>
      <c r="B1338" s="1611" t="s">
        <v>2027</v>
      </c>
      <c r="C1338" s="1611" t="s">
        <v>4601</v>
      </c>
      <c r="D1338" s="1612" t="s">
        <v>2024</v>
      </c>
      <c r="E1338" s="1706" t="s">
        <v>7592</v>
      </c>
      <c r="F1338" s="1613">
        <v>-15300000</v>
      </c>
      <c r="G1338" s="1613">
        <v>50661134378</v>
      </c>
    </row>
    <row r="1339" spans="1:7" ht="17.25" customHeight="1" x14ac:dyDescent="0.2">
      <c r="A1339" s="1611">
        <v>14</v>
      </c>
      <c r="B1339" s="1611" t="s">
        <v>2055</v>
      </c>
      <c r="C1339" s="1611" t="s">
        <v>4603</v>
      </c>
      <c r="D1339" s="1612" t="s">
        <v>7555</v>
      </c>
      <c r="E1339" s="1706" t="s">
        <v>7592</v>
      </c>
      <c r="F1339" s="1613">
        <v>63181818</v>
      </c>
      <c r="G1339" s="1613">
        <v>50724316196</v>
      </c>
    </row>
    <row r="1340" spans="1:7" ht="17.25" customHeight="1" x14ac:dyDescent="0.2">
      <c r="A1340" s="1611">
        <v>14</v>
      </c>
      <c r="B1340" s="1611" t="s">
        <v>2027</v>
      </c>
      <c r="C1340" s="1611" t="s">
        <v>4604</v>
      </c>
      <c r="D1340" s="1612" t="s">
        <v>2024</v>
      </c>
      <c r="E1340" s="1706" t="s">
        <v>7592</v>
      </c>
      <c r="F1340" s="1613">
        <v>12800000</v>
      </c>
      <c r="G1340" s="1613">
        <v>50737116196</v>
      </c>
    </row>
    <row r="1341" spans="1:7" ht="17.25" customHeight="1" x14ac:dyDescent="0.2">
      <c r="A1341" s="1611">
        <v>14</v>
      </c>
      <c r="B1341" s="1611" t="s">
        <v>2039</v>
      </c>
      <c r="C1341" s="1611" t="s">
        <v>4605</v>
      </c>
      <c r="D1341" s="1612" t="s">
        <v>7555</v>
      </c>
      <c r="E1341" s="1706" t="s">
        <v>7592</v>
      </c>
      <c r="F1341" s="1613">
        <v>40700000</v>
      </c>
      <c r="G1341" s="1613">
        <v>50777816196</v>
      </c>
    </row>
    <row r="1342" spans="1:7" ht="17.25" customHeight="1" x14ac:dyDescent="0.2">
      <c r="A1342" s="1611">
        <v>14</v>
      </c>
      <c r="B1342" s="1611" t="s">
        <v>2039</v>
      </c>
      <c r="C1342" s="1611" t="s">
        <v>4606</v>
      </c>
      <c r="D1342" s="1612" t="s">
        <v>7555</v>
      </c>
      <c r="E1342" s="1706" t="s">
        <v>7592</v>
      </c>
      <c r="F1342" s="1613">
        <v>44000000</v>
      </c>
      <c r="G1342" s="1613">
        <v>50821816196</v>
      </c>
    </row>
    <row r="1343" spans="1:7" ht="17.25" customHeight="1" x14ac:dyDescent="0.2">
      <c r="A1343" s="1611">
        <v>14</v>
      </c>
      <c r="B1343" s="1611" t="s">
        <v>2043</v>
      </c>
      <c r="C1343" s="1611" t="s">
        <v>4607</v>
      </c>
      <c r="D1343" s="1612" t="s">
        <v>7555</v>
      </c>
      <c r="E1343" s="1706" t="s">
        <v>7592</v>
      </c>
      <c r="F1343" s="1613">
        <v>53600000</v>
      </c>
      <c r="G1343" s="1613">
        <v>50875416196</v>
      </c>
    </row>
    <row r="1344" spans="1:7" ht="17.25" customHeight="1" x14ac:dyDescent="0.2">
      <c r="A1344" s="1611">
        <v>14</v>
      </c>
      <c r="B1344" s="1611" t="s">
        <v>2028</v>
      </c>
      <c r="C1344" s="1611" t="s">
        <v>4608</v>
      </c>
      <c r="D1344" s="1612" t="s">
        <v>2024</v>
      </c>
      <c r="E1344" s="1706" t="s">
        <v>7592</v>
      </c>
      <c r="F1344" s="1613">
        <v>16000000</v>
      </c>
      <c r="G1344" s="1613">
        <v>50891416196</v>
      </c>
    </row>
    <row r="1345" spans="1:7" ht="17.25" customHeight="1" x14ac:dyDescent="0.2">
      <c r="A1345" s="1611">
        <v>14</v>
      </c>
      <c r="B1345" s="1611" t="s">
        <v>2027</v>
      </c>
      <c r="C1345" s="1611" t="s">
        <v>4601</v>
      </c>
      <c r="D1345" s="1612" t="s">
        <v>2024</v>
      </c>
      <c r="E1345" s="1706" t="s">
        <v>7592</v>
      </c>
      <c r="F1345" s="1613">
        <v>15060000</v>
      </c>
      <c r="G1345" s="1613">
        <v>50906476196</v>
      </c>
    </row>
    <row r="1346" spans="1:7" ht="17.25" customHeight="1" x14ac:dyDescent="0.2">
      <c r="A1346" s="1611">
        <v>14</v>
      </c>
      <c r="B1346" s="1611" t="s">
        <v>2028</v>
      </c>
      <c r="C1346" s="1611" t="s">
        <v>3635</v>
      </c>
      <c r="D1346" s="1612" t="s">
        <v>2024</v>
      </c>
      <c r="E1346" s="1706" t="s">
        <v>7592</v>
      </c>
      <c r="F1346" s="1613">
        <v>13500000</v>
      </c>
      <c r="G1346" s="1613">
        <v>50919976196</v>
      </c>
    </row>
    <row r="1347" spans="1:7" ht="17.25" customHeight="1" x14ac:dyDescent="0.2">
      <c r="A1347" s="1611">
        <v>14</v>
      </c>
      <c r="B1347" s="1611" t="s">
        <v>2037</v>
      </c>
      <c r="C1347" s="1611" t="s">
        <v>4609</v>
      </c>
      <c r="D1347" s="1612" t="s">
        <v>7555</v>
      </c>
      <c r="E1347" s="1706" t="s">
        <v>7592</v>
      </c>
      <c r="F1347" s="1613">
        <v>35324000</v>
      </c>
      <c r="G1347" s="1613">
        <v>50955300196</v>
      </c>
    </row>
    <row r="1348" spans="1:7" ht="17.25" customHeight="1" x14ac:dyDescent="0.2">
      <c r="A1348" s="1611">
        <v>14</v>
      </c>
      <c r="B1348" s="1611" t="s">
        <v>7156</v>
      </c>
      <c r="C1348" s="1611" t="s">
        <v>4610</v>
      </c>
      <c r="D1348" s="1612">
        <v>0</v>
      </c>
      <c r="E1348" s="1706" t="s">
        <v>7592</v>
      </c>
      <c r="F1348" s="1613">
        <v>13630725</v>
      </c>
      <c r="G1348" s="1613">
        <v>50968930921</v>
      </c>
    </row>
    <row r="1349" spans="1:7" ht="17.25" customHeight="1" x14ac:dyDescent="0.2">
      <c r="A1349" s="1611">
        <v>14</v>
      </c>
      <c r="B1349" s="1611" t="s">
        <v>2055</v>
      </c>
      <c r="C1349" s="1611" t="s">
        <v>4611</v>
      </c>
      <c r="D1349" s="1612" t="s">
        <v>7555</v>
      </c>
      <c r="E1349" s="1706" t="s">
        <v>7592</v>
      </c>
      <c r="F1349" s="1613">
        <v>60000000</v>
      </c>
      <c r="G1349" s="1613">
        <v>51028930921</v>
      </c>
    </row>
    <row r="1350" spans="1:7" ht="17.25" customHeight="1" x14ac:dyDescent="0.2">
      <c r="A1350" s="1611">
        <v>14</v>
      </c>
      <c r="B1350" s="1611" t="s">
        <v>2029</v>
      </c>
      <c r="C1350" s="1611" t="s">
        <v>4612</v>
      </c>
      <c r="D1350" s="1612" t="s">
        <v>2024</v>
      </c>
      <c r="E1350" s="1706" t="s">
        <v>7592</v>
      </c>
      <c r="F1350" s="1613">
        <v>45200000</v>
      </c>
      <c r="G1350" s="1613">
        <v>51074130921</v>
      </c>
    </row>
    <row r="1351" spans="1:7" ht="17.25" customHeight="1" x14ac:dyDescent="0.2">
      <c r="A1351" s="1611">
        <v>14</v>
      </c>
      <c r="B1351" s="1611" t="s">
        <v>2039</v>
      </c>
      <c r="C1351" s="1611" t="s">
        <v>4469</v>
      </c>
      <c r="D1351" s="1612" t="s">
        <v>7555</v>
      </c>
      <c r="E1351" s="1706" t="s">
        <v>7592</v>
      </c>
      <c r="F1351" s="1613">
        <v>40000000</v>
      </c>
      <c r="G1351" s="1613">
        <v>51114130921</v>
      </c>
    </row>
    <row r="1352" spans="1:7" ht="17.25" customHeight="1" x14ac:dyDescent="0.2">
      <c r="A1352" s="1611">
        <v>14</v>
      </c>
      <c r="B1352" s="1611" t="s">
        <v>2039</v>
      </c>
      <c r="C1352" s="1611" t="s">
        <v>4613</v>
      </c>
      <c r="D1352" s="1612" t="s">
        <v>7555</v>
      </c>
      <c r="E1352" s="1706" t="s">
        <v>7592</v>
      </c>
      <c r="F1352" s="1613">
        <v>42000000</v>
      </c>
      <c r="G1352" s="1613">
        <v>51156130921</v>
      </c>
    </row>
    <row r="1353" spans="1:7" ht="17.25" customHeight="1" x14ac:dyDescent="0.2">
      <c r="A1353" s="1611">
        <v>14</v>
      </c>
      <c r="B1353" s="1611" t="s">
        <v>3812</v>
      </c>
      <c r="C1353" s="1611" t="s">
        <v>4459</v>
      </c>
      <c r="D1353" s="1612">
        <v>0</v>
      </c>
      <c r="E1353" s="1706" t="s">
        <v>7592</v>
      </c>
      <c r="F1353" s="1613">
        <v>4266364</v>
      </c>
      <c r="G1353" s="1613">
        <v>51160397285</v>
      </c>
    </row>
    <row r="1354" spans="1:7" ht="17.25" customHeight="1" x14ac:dyDescent="0.2">
      <c r="A1354" s="1611">
        <v>14</v>
      </c>
      <c r="B1354" s="1611" t="s">
        <v>2067</v>
      </c>
      <c r="C1354" s="1611" t="s">
        <v>4459</v>
      </c>
      <c r="D1354" s="1612" t="s">
        <v>2024</v>
      </c>
      <c r="E1354" s="1706" t="s">
        <v>7592</v>
      </c>
      <c r="F1354" s="1613">
        <v>44545455</v>
      </c>
      <c r="G1354" s="1613">
        <v>51204942740</v>
      </c>
    </row>
    <row r="1355" spans="1:7" ht="17.25" customHeight="1" x14ac:dyDescent="0.2">
      <c r="A1355" s="1611">
        <v>14</v>
      </c>
      <c r="B1355" s="1611" t="s">
        <v>2039</v>
      </c>
      <c r="C1355" s="1611" t="s">
        <v>3697</v>
      </c>
      <c r="D1355" s="1612" t="s">
        <v>7555</v>
      </c>
      <c r="E1355" s="1706" t="s">
        <v>7592</v>
      </c>
      <c r="F1355" s="1613">
        <v>72545455</v>
      </c>
      <c r="G1355" s="1613">
        <v>51277488195</v>
      </c>
    </row>
    <row r="1356" spans="1:7" ht="17.25" customHeight="1" x14ac:dyDescent="0.2">
      <c r="A1356" s="1611">
        <v>14</v>
      </c>
      <c r="B1356" s="1611" t="s">
        <v>2037</v>
      </c>
      <c r="C1356" s="1611" t="s">
        <v>4614</v>
      </c>
      <c r="D1356" s="1612" t="s">
        <v>7555</v>
      </c>
      <c r="E1356" s="1706" t="s">
        <v>7592</v>
      </c>
      <c r="F1356" s="1613">
        <v>35300000</v>
      </c>
      <c r="G1356" s="1613">
        <v>51312788195</v>
      </c>
    </row>
    <row r="1357" spans="1:7" ht="17.25" customHeight="1" x14ac:dyDescent="0.2">
      <c r="A1357" s="1611">
        <v>14</v>
      </c>
      <c r="B1357" s="1611" t="s">
        <v>2037</v>
      </c>
      <c r="C1357" s="1611" t="s">
        <v>4106</v>
      </c>
      <c r="D1357" s="1612" t="s">
        <v>7555</v>
      </c>
      <c r="E1357" s="1706" t="s">
        <v>7592</v>
      </c>
      <c r="F1357" s="1613">
        <v>36363636</v>
      </c>
      <c r="G1357" s="1613">
        <v>51349151831</v>
      </c>
    </row>
    <row r="1358" spans="1:7" ht="17.25" customHeight="1" x14ac:dyDescent="0.2">
      <c r="A1358" s="1611">
        <v>14</v>
      </c>
      <c r="B1358" s="1611" t="s">
        <v>2037</v>
      </c>
      <c r="C1358" s="1611" t="s">
        <v>4615</v>
      </c>
      <c r="D1358" s="1612" t="s">
        <v>7555</v>
      </c>
      <c r="E1358" s="1706" t="s">
        <v>7592</v>
      </c>
      <c r="F1358" s="1613">
        <v>33200000</v>
      </c>
      <c r="G1358" s="1613">
        <v>51382351831</v>
      </c>
    </row>
    <row r="1359" spans="1:7" ht="17.25" customHeight="1" x14ac:dyDescent="0.2">
      <c r="A1359" s="1611">
        <v>14</v>
      </c>
      <c r="B1359" s="1611" t="s">
        <v>3812</v>
      </c>
      <c r="C1359" s="1611" t="s">
        <v>3697</v>
      </c>
      <c r="D1359" s="1612">
        <v>0</v>
      </c>
      <c r="E1359" s="1706" t="s">
        <v>7592</v>
      </c>
      <c r="F1359" s="1613">
        <v>6417000</v>
      </c>
      <c r="G1359" s="1613">
        <v>51388768831</v>
      </c>
    </row>
    <row r="1360" spans="1:7" ht="17.25" customHeight="1" x14ac:dyDescent="0.2">
      <c r="A1360" s="1611">
        <v>14</v>
      </c>
      <c r="B1360" s="1611" t="s">
        <v>2067</v>
      </c>
      <c r="C1360" s="1611" t="s">
        <v>4616</v>
      </c>
      <c r="D1360" s="1612" t="s">
        <v>2024</v>
      </c>
      <c r="E1360" s="1706" t="s">
        <v>7592</v>
      </c>
      <c r="F1360" s="1613">
        <v>87090909</v>
      </c>
      <c r="G1360" s="1613">
        <v>51475859740</v>
      </c>
    </row>
    <row r="1361" spans="1:7" ht="17.25" customHeight="1" x14ac:dyDescent="0.2">
      <c r="A1361" s="1611">
        <v>14</v>
      </c>
      <c r="B1361" s="1611" t="s">
        <v>2028</v>
      </c>
      <c r="C1361" s="1611" t="s">
        <v>4617</v>
      </c>
      <c r="D1361" s="1612" t="s">
        <v>2024</v>
      </c>
      <c r="E1361" s="1706" t="s">
        <v>7592</v>
      </c>
      <c r="F1361" s="1613">
        <v>15500000</v>
      </c>
      <c r="G1361" s="1613">
        <v>51491359740</v>
      </c>
    </row>
    <row r="1362" spans="1:7" ht="17.25" customHeight="1" x14ac:dyDescent="0.2">
      <c r="A1362" s="1611">
        <v>14</v>
      </c>
      <c r="B1362" s="1611" t="s">
        <v>2039</v>
      </c>
      <c r="C1362" s="1611" t="s">
        <v>4618</v>
      </c>
      <c r="D1362" s="1612" t="s">
        <v>7555</v>
      </c>
      <c r="E1362" s="1706" t="s">
        <v>7592</v>
      </c>
      <c r="F1362" s="1613">
        <v>45000000</v>
      </c>
      <c r="G1362" s="1613">
        <v>51536359740</v>
      </c>
    </row>
    <row r="1363" spans="1:7" ht="17.25" customHeight="1" x14ac:dyDescent="0.2">
      <c r="A1363" s="1611">
        <v>14</v>
      </c>
      <c r="B1363" s="1611" t="s">
        <v>2037</v>
      </c>
      <c r="C1363" s="1611" t="s">
        <v>4619</v>
      </c>
      <c r="D1363" s="1612" t="s">
        <v>7555</v>
      </c>
      <c r="E1363" s="1706" t="s">
        <v>7592</v>
      </c>
      <c r="F1363" s="1613">
        <v>35200000</v>
      </c>
      <c r="G1363" s="1613">
        <v>51571559740</v>
      </c>
    </row>
    <row r="1364" spans="1:7" ht="17.25" customHeight="1" x14ac:dyDescent="0.2">
      <c r="A1364" s="1611">
        <v>14</v>
      </c>
      <c r="B1364" s="1611" t="s">
        <v>3670</v>
      </c>
      <c r="C1364" s="1611" t="s">
        <v>3597</v>
      </c>
      <c r="D1364" s="1612">
        <v>0</v>
      </c>
      <c r="E1364" s="1706" t="s">
        <v>7592</v>
      </c>
      <c r="F1364" s="1613">
        <v>80360000</v>
      </c>
      <c r="G1364" s="1613">
        <v>51651919740</v>
      </c>
    </row>
    <row r="1365" spans="1:7" ht="17.25" customHeight="1" x14ac:dyDescent="0.2">
      <c r="A1365" s="1611">
        <v>14</v>
      </c>
      <c r="B1365" s="1611" t="s">
        <v>2041</v>
      </c>
      <c r="C1365" s="1611" t="s">
        <v>214</v>
      </c>
      <c r="D1365" s="1612" t="s">
        <v>7555</v>
      </c>
      <c r="E1365" s="1706" t="s">
        <v>7592</v>
      </c>
      <c r="F1365" s="1613">
        <v>38534800</v>
      </c>
      <c r="G1365" s="1613">
        <v>51690454540</v>
      </c>
    </row>
    <row r="1366" spans="1:7" ht="17.25" customHeight="1" x14ac:dyDescent="0.2">
      <c r="A1366" s="1611">
        <v>14</v>
      </c>
      <c r="B1366" s="1611" t="s">
        <v>2038</v>
      </c>
      <c r="C1366" s="1611" t="s">
        <v>4620</v>
      </c>
      <c r="D1366" s="1612" t="s">
        <v>7555</v>
      </c>
      <c r="E1366" s="1706" t="s">
        <v>7592</v>
      </c>
      <c r="F1366" s="1613">
        <v>39000000</v>
      </c>
      <c r="G1366" s="1613">
        <v>51729454540</v>
      </c>
    </row>
    <row r="1367" spans="1:7" ht="17.25" customHeight="1" x14ac:dyDescent="0.2">
      <c r="A1367" s="1611">
        <v>14</v>
      </c>
      <c r="B1367" s="1611" t="s">
        <v>3063</v>
      </c>
      <c r="C1367" s="1611" t="s">
        <v>3597</v>
      </c>
      <c r="D1367" s="1612">
        <v>0</v>
      </c>
      <c r="E1367" s="1706" t="s">
        <v>7592</v>
      </c>
      <c r="F1367" s="1613">
        <v>12000000</v>
      </c>
      <c r="G1367" s="1613">
        <v>51741454540</v>
      </c>
    </row>
    <row r="1368" spans="1:7" ht="17.25" customHeight="1" x14ac:dyDescent="0.2">
      <c r="A1368" s="1611">
        <v>14</v>
      </c>
      <c r="B1368" s="1611" t="s">
        <v>3063</v>
      </c>
      <c r="C1368" s="1611" t="s">
        <v>3597</v>
      </c>
      <c r="D1368" s="1612">
        <v>0</v>
      </c>
      <c r="E1368" s="1706" t="s">
        <v>7592</v>
      </c>
      <c r="F1368" s="1613">
        <v>12000000</v>
      </c>
      <c r="G1368" s="1613">
        <v>51753454540</v>
      </c>
    </row>
    <row r="1369" spans="1:7" ht="17.25" customHeight="1" x14ac:dyDescent="0.2">
      <c r="A1369" s="1611">
        <v>14</v>
      </c>
      <c r="B1369" s="1611" t="s">
        <v>3063</v>
      </c>
      <c r="C1369" s="1611" t="s">
        <v>3597</v>
      </c>
      <c r="D1369" s="1612">
        <v>0</v>
      </c>
      <c r="E1369" s="1706" t="s">
        <v>7592</v>
      </c>
      <c r="F1369" s="1613">
        <v>12000000</v>
      </c>
      <c r="G1369" s="1613">
        <v>51765454540</v>
      </c>
    </row>
    <row r="1370" spans="1:7" ht="17.25" customHeight="1" x14ac:dyDescent="0.2">
      <c r="A1370" s="1611">
        <v>14</v>
      </c>
      <c r="B1370" s="1611" t="s">
        <v>3063</v>
      </c>
      <c r="C1370" s="1611" t="s">
        <v>3597</v>
      </c>
      <c r="D1370" s="1612">
        <v>0</v>
      </c>
      <c r="E1370" s="1706" t="s">
        <v>7592</v>
      </c>
      <c r="F1370" s="1613">
        <v>12000000</v>
      </c>
      <c r="G1370" s="1613">
        <v>51777454540</v>
      </c>
    </row>
    <row r="1371" spans="1:7" ht="17.25" customHeight="1" x14ac:dyDescent="0.2">
      <c r="A1371" s="1611">
        <v>14</v>
      </c>
      <c r="B1371" s="1611" t="s">
        <v>3063</v>
      </c>
      <c r="C1371" s="1611" t="s">
        <v>3597</v>
      </c>
      <c r="D1371" s="1612">
        <v>0</v>
      </c>
      <c r="E1371" s="1706" t="s">
        <v>7592</v>
      </c>
      <c r="F1371" s="1613">
        <v>12000000</v>
      </c>
      <c r="G1371" s="1613">
        <v>51789454540</v>
      </c>
    </row>
    <row r="1372" spans="1:7" ht="17.25" customHeight="1" x14ac:dyDescent="0.2">
      <c r="A1372" s="1611">
        <v>14</v>
      </c>
      <c r="B1372" s="1611" t="s">
        <v>3670</v>
      </c>
      <c r="C1372" s="1611" t="s">
        <v>3597</v>
      </c>
      <c r="D1372" s="1612">
        <v>0</v>
      </c>
      <c r="E1372" s="1706" t="s">
        <v>7592</v>
      </c>
      <c r="F1372" s="1613">
        <v>35880000</v>
      </c>
      <c r="G1372" s="1613">
        <v>51825334540</v>
      </c>
    </row>
    <row r="1373" spans="1:7" ht="17.25" customHeight="1" x14ac:dyDescent="0.2">
      <c r="A1373" s="1611">
        <v>14</v>
      </c>
      <c r="B1373" s="1611" t="s">
        <v>7158</v>
      </c>
      <c r="C1373" s="1611" t="s">
        <v>4621</v>
      </c>
      <c r="D1373" s="1612">
        <v>0</v>
      </c>
      <c r="E1373" s="1612" t="s">
        <v>3298</v>
      </c>
      <c r="F1373" s="1613">
        <v>149759573</v>
      </c>
      <c r="G1373" s="1613">
        <v>51975094113</v>
      </c>
    </row>
    <row r="1374" spans="1:7" ht="17.25" customHeight="1" x14ac:dyDescent="0.2">
      <c r="A1374" s="1611">
        <v>14</v>
      </c>
      <c r="B1374" s="1611" t="s">
        <v>7197</v>
      </c>
      <c r="C1374" s="1611" t="s">
        <v>4064</v>
      </c>
      <c r="D1374" s="1612">
        <v>0</v>
      </c>
      <c r="E1374" s="1612" t="s">
        <v>3295</v>
      </c>
      <c r="F1374" s="1613">
        <v>204512110</v>
      </c>
      <c r="G1374" s="1613">
        <v>52179606223</v>
      </c>
    </row>
    <row r="1375" spans="1:7" ht="17.25" customHeight="1" x14ac:dyDescent="0.2">
      <c r="A1375" s="1611">
        <v>14</v>
      </c>
      <c r="B1375" s="1611" t="s">
        <v>3670</v>
      </c>
      <c r="C1375" s="1611" t="s">
        <v>3597</v>
      </c>
      <c r="D1375" s="1612">
        <v>0</v>
      </c>
      <c r="E1375" s="1706" t="s">
        <v>7592</v>
      </c>
      <c r="F1375" s="1613">
        <v>21236000</v>
      </c>
      <c r="G1375" s="1613">
        <v>52200842223</v>
      </c>
    </row>
    <row r="1376" spans="1:7" ht="17.25" customHeight="1" x14ac:dyDescent="0.2">
      <c r="A1376" s="1611">
        <v>14</v>
      </c>
      <c r="B1376" s="1611" t="s">
        <v>3670</v>
      </c>
      <c r="C1376" s="1611" t="s">
        <v>3597</v>
      </c>
      <c r="D1376" s="1612">
        <v>0</v>
      </c>
      <c r="E1376" s="1706" t="s">
        <v>7592</v>
      </c>
      <c r="F1376" s="1613">
        <v>22302000</v>
      </c>
      <c r="G1376" s="1613">
        <v>52223144223</v>
      </c>
    </row>
    <row r="1377" spans="1:7" ht="17.25" customHeight="1" x14ac:dyDescent="0.2">
      <c r="A1377" s="1611">
        <v>14</v>
      </c>
      <c r="B1377" s="1611" t="s">
        <v>2028</v>
      </c>
      <c r="C1377" s="1611" t="s">
        <v>4622</v>
      </c>
      <c r="D1377" s="1612" t="s">
        <v>2024</v>
      </c>
      <c r="E1377" s="1706" t="s">
        <v>7592</v>
      </c>
      <c r="F1377" s="1613">
        <v>13818180</v>
      </c>
      <c r="G1377" s="1613">
        <v>52236962403</v>
      </c>
    </row>
    <row r="1378" spans="1:7" ht="17.25" customHeight="1" x14ac:dyDescent="0.2">
      <c r="A1378" s="1611">
        <v>14</v>
      </c>
      <c r="B1378" s="1611" t="s">
        <v>4623</v>
      </c>
      <c r="C1378" s="1611" t="s">
        <v>4624</v>
      </c>
      <c r="D1378" s="1612">
        <v>0</v>
      </c>
      <c r="E1378" s="1706" t="s">
        <v>7592</v>
      </c>
      <c r="F1378" s="1613">
        <v>3282727</v>
      </c>
      <c r="G1378" s="1613">
        <v>52240245130</v>
      </c>
    </row>
    <row r="1379" spans="1:7" ht="17.25" customHeight="1" x14ac:dyDescent="0.2">
      <c r="A1379" s="1611">
        <v>14</v>
      </c>
      <c r="B1379" s="1611" t="s">
        <v>2041</v>
      </c>
      <c r="C1379" s="1611" t="s">
        <v>4625</v>
      </c>
      <c r="D1379" s="1612" t="s">
        <v>7555</v>
      </c>
      <c r="E1379" s="1706" t="s">
        <v>7592</v>
      </c>
      <c r="F1379" s="1613">
        <v>49963637</v>
      </c>
      <c r="G1379" s="1613">
        <v>52290208767</v>
      </c>
    </row>
    <row r="1380" spans="1:7" ht="17.25" customHeight="1" x14ac:dyDescent="0.2">
      <c r="A1380" s="1611">
        <v>14</v>
      </c>
      <c r="B1380" s="1611" t="s">
        <v>2040</v>
      </c>
      <c r="C1380" s="1611" t="s">
        <v>3464</v>
      </c>
      <c r="D1380" s="1612" t="s">
        <v>7555</v>
      </c>
      <c r="E1380" s="1706" t="s">
        <v>7592</v>
      </c>
      <c r="F1380" s="1613">
        <v>46363636</v>
      </c>
      <c r="G1380" s="1613">
        <v>52336572403</v>
      </c>
    </row>
    <row r="1381" spans="1:7" ht="17.25" customHeight="1" x14ac:dyDescent="0.2">
      <c r="A1381" s="1611">
        <v>14</v>
      </c>
      <c r="B1381" s="1611" t="s">
        <v>2037</v>
      </c>
      <c r="C1381" s="1611" t="s">
        <v>4626</v>
      </c>
      <c r="D1381" s="1612" t="s">
        <v>7555</v>
      </c>
      <c r="E1381" s="1706" t="s">
        <v>7592</v>
      </c>
      <c r="F1381" s="1613">
        <v>34000000</v>
      </c>
      <c r="G1381" s="1613">
        <v>52370572403</v>
      </c>
    </row>
    <row r="1382" spans="1:7" ht="17.25" customHeight="1" x14ac:dyDescent="0.2">
      <c r="A1382" s="1611">
        <v>14</v>
      </c>
      <c r="B1382" s="1611" t="s">
        <v>2037</v>
      </c>
      <c r="C1382" s="1611" t="s">
        <v>4452</v>
      </c>
      <c r="D1382" s="1612" t="s">
        <v>7555</v>
      </c>
      <c r="E1382" s="1706" t="s">
        <v>7592</v>
      </c>
      <c r="F1382" s="1613">
        <v>34400000</v>
      </c>
      <c r="G1382" s="1613">
        <v>52404972403</v>
      </c>
    </row>
    <row r="1383" spans="1:7" ht="17.25" customHeight="1" x14ac:dyDescent="0.2">
      <c r="A1383" s="1611">
        <v>14</v>
      </c>
      <c r="B1383" s="1611" t="s">
        <v>2041</v>
      </c>
      <c r="C1383" s="1611" t="s">
        <v>4624</v>
      </c>
      <c r="D1383" s="1612" t="s">
        <v>7555</v>
      </c>
      <c r="E1383" s="1706" t="s">
        <v>7592</v>
      </c>
      <c r="F1383" s="1613">
        <v>72727273</v>
      </c>
      <c r="G1383" s="1613">
        <v>52477699676</v>
      </c>
    </row>
    <row r="1384" spans="1:7" ht="17.25" customHeight="1" x14ac:dyDescent="0.2">
      <c r="A1384" s="1611">
        <v>14</v>
      </c>
      <c r="B1384" s="1611" t="s">
        <v>2041</v>
      </c>
      <c r="C1384" s="1611" t="s">
        <v>4624</v>
      </c>
      <c r="D1384" s="1612" t="s">
        <v>7555</v>
      </c>
      <c r="E1384" s="1706" t="s">
        <v>7592</v>
      </c>
      <c r="F1384" s="1613">
        <v>-72727273</v>
      </c>
      <c r="G1384" s="1613">
        <v>52404972403</v>
      </c>
    </row>
    <row r="1385" spans="1:7" ht="17.25" customHeight="1" x14ac:dyDescent="0.2">
      <c r="A1385" s="1611">
        <v>14</v>
      </c>
      <c r="B1385" s="1611" t="s">
        <v>3937</v>
      </c>
      <c r="C1385" s="1611" t="s">
        <v>4624</v>
      </c>
      <c r="D1385" s="1612">
        <v>0</v>
      </c>
      <c r="E1385" s="1706" t="s">
        <v>7592</v>
      </c>
      <c r="F1385" s="1613">
        <v>72727273</v>
      </c>
      <c r="G1385" s="1613">
        <v>52477699676</v>
      </c>
    </row>
    <row r="1386" spans="1:7" ht="17.25" customHeight="1" x14ac:dyDescent="0.2">
      <c r="A1386" s="1611">
        <v>14</v>
      </c>
      <c r="B1386" s="1611" t="s">
        <v>2037</v>
      </c>
      <c r="C1386" s="1611" t="s">
        <v>4627</v>
      </c>
      <c r="D1386" s="1612" t="s">
        <v>7555</v>
      </c>
      <c r="E1386" s="1706" t="s">
        <v>7592</v>
      </c>
      <c r="F1386" s="1613">
        <v>33181818</v>
      </c>
      <c r="G1386" s="1613">
        <v>52510881494</v>
      </c>
    </row>
    <row r="1387" spans="1:7" ht="17.25" customHeight="1" x14ac:dyDescent="0.2">
      <c r="A1387" s="1611">
        <v>14</v>
      </c>
      <c r="B1387" s="1611" t="s">
        <v>2037</v>
      </c>
      <c r="C1387" s="1611" t="s">
        <v>4628</v>
      </c>
      <c r="D1387" s="1612" t="s">
        <v>7555</v>
      </c>
      <c r="E1387" s="1706" t="s">
        <v>7592</v>
      </c>
      <c r="F1387" s="1613">
        <v>35363636</v>
      </c>
      <c r="G1387" s="1613">
        <v>52546245130</v>
      </c>
    </row>
    <row r="1388" spans="1:7" ht="17.25" customHeight="1" x14ac:dyDescent="0.2">
      <c r="A1388" s="1611">
        <v>14</v>
      </c>
      <c r="B1388" s="1611" t="s">
        <v>3670</v>
      </c>
      <c r="C1388" s="1611" t="s">
        <v>3597</v>
      </c>
      <c r="D1388" s="1612">
        <v>0</v>
      </c>
      <c r="E1388" s="1706" t="s">
        <v>7592</v>
      </c>
      <c r="F1388" s="1613">
        <v>14076000</v>
      </c>
      <c r="G1388" s="1613">
        <v>52560321130</v>
      </c>
    </row>
    <row r="1389" spans="1:7" ht="17.25" customHeight="1" x14ac:dyDescent="0.2">
      <c r="A1389" s="1611">
        <v>14</v>
      </c>
      <c r="B1389" s="1611" t="s">
        <v>2037</v>
      </c>
      <c r="C1389" s="1611" t="s">
        <v>4629</v>
      </c>
      <c r="D1389" s="1612" t="s">
        <v>7555</v>
      </c>
      <c r="E1389" s="1706" t="s">
        <v>7592</v>
      </c>
      <c r="F1389" s="1613">
        <v>33450000</v>
      </c>
      <c r="G1389" s="1613">
        <v>52593771130</v>
      </c>
    </row>
    <row r="1390" spans="1:7" ht="17.25" customHeight="1" x14ac:dyDescent="0.2">
      <c r="A1390" s="1611">
        <v>14</v>
      </c>
      <c r="B1390" s="1611" t="s">
        <v>3937</v>
      </c>
      <c r="C1390" s="1611" t="s">
        <v>4630</v>
      </c>
      <c r="D1390" s="1612">
        <v>0</v>
      </c>
      <c r="E1390" s="1706" t="s">
        <v>7592</v>
      </c>
      <c r="F1390" s="1613">
        <v>14000000</v>
      </c>
      <c r="G1390" s="1613">
        <v>52607771130</v>
      </c>
    </row>
    <row r="1391" spans="1:7" ht="17.25" customHeight="1" x14ac:dyDescent="0.2">
      <c r="A1391" s="1611">
        <v>14</v>
      </c>
      <c r="B1391" s="1611" t="s">
        <v>4070</v>
      </c>
      <c r="C1391" s="1611" t="s">
        <v>4631</v>
      </c>
      <c r="D1391" s="1612">
        <v>0</v>
      </c>
      <c r="E1391" s="1706" t="s">
        <v>7592</v>
      </c>
      <c r="F1391" s="1613">
        <v>2316364</v>
      </c>
      <c r="G1391" s="1613">
        <v>52610087494</v>
      </c>
    </row>
    <row r="1392" spans="1:7" ht="17.25" customHeight="1" x14ac:dyDescent="0.2">
      <c r="A1392" s="1611">
        <v>14</v>
      </c>
      <c r="B1392" s="1611" t="s">
        <v>7198</v>
      </c>
      <c r="C1392" s="1611" t="s">
        <v>4632</v>
      </c>
      <c r="D1392" s="1612">
        <v>0</v>
      </c>
      <c r="E1392" s="1706" t="s">
        <v>7592</v>
      </c>
      <c r="F1392" s="1613">
        <v>14337209</v>
      </c>
      <c r="G1392" s="1613">
        <v>52624424703</v>
      </c>
    </row>
    <row r="1393" spans="1:7" ht="17.25" customHeight="1" x14ac:dyDescent="0.2">
      <c r="A1393" s="1611">
        <v>14</v>
      </c>
      <c r="B1393" s="1611" t="s">
        <v>7199</v>
      </c>
      <c r="C1393" s="1611" t="s">
        <v>4256</v>
      </c>
      <c r="D1393" s="1612">
        <v>0</v>
      </c>
      <c r="E1393" s="1706" t="s">
        <v>7559</v>
      </c>
      <c r="F1393" s="1613">
        <v>4822106</v>
      </c>
      <c r="G1393" s="1613">
        <v>52629246809</v>
      </c>
    </row>
    <row r="1394" spans="1:7" ht="17.25" customHeight="1" x14ac:dyDescent="0.2">
      <c r="A1394" s="1611">
        <v>14</v>
      </c>
      <c r="B1394" s="1611" t="s">
        <v>2039</v>
      </c>
      <c r="C1394" s="1611" t="s">
        <v>4484</v>
      </c>
      <c r="D1394" s="1612" t="s">
        <v>7555</v>
      </c>
      <c r="E1394" s="1706" t="s">
        <v>7592</v>
      </c>
      <c r="F1394" s="1613">
        <v>41545454</v>
      </c>
      <c r="G1394" s="1613">
        <v>52670792263</v>
      </c>
    </row>
    <row r="1395" spans="1:7" ht="17.25" customHeight="1" x14ac:dyDescent="0.2">
      <c r="A1395" s="1611">
        <v>14</v>
      </c>
      <c r="B1395" s="1611" t="s">
        <v>2037</v>
      </c>
      <c r="C1395" s="1611" t="s">
        <v>4633</v>
      </c>
      <c r="D1395" s="1612" t="s">
        <v>7555</v>
      </c>
      <c r="E1395" s="1706" t="s">
        <v>7592</v>
      </c>
      <c r="F1395" s="1613">
        <v>34000000</v>
      </c>
      <c r="G1395" s="1613">
        <v>52704792263</v>
      </c>
    </row>
    <row r="1396" spans="1:7" ht="17.25" customHeight="1" x14ac:dyDescent="0.2">
      <c r="A1396" s="1611">
        <v>14</v>
      </c>
      <c r="B1396" s="1611" t="s">
        <v>2037</v>
      </c>
      <c r="C1396" s="1611" t="s">
        <v>4634</v>
      </c>
      <c r="D1396" s="1612" t="s">
        <v>7555</v>
      </c>
      <c r="E1396" s="1706" t="s">
        <v>7592</v>
      </c>
      <c r="F1396" s="1613">
        <v>33720000</v>
      </c>
      <c r="G1396" s="1613">
        <v>52738512263</v>
      </c>
    </row>
    <row r="1397" spans="1:7" ht="17.25" customHeight="1" x14ac:dyDescent="0.2">
      <c r="A1397" s="1611">
        <v>14</v>
      </c>
      <c r="B1397" s="1611" t="s">
        <v>2037</v>
      </c>
      <c r="C1397" s="1611" t="s">
        <v>4635</v>
      </c>
      <c r="D1397" s="1612" t="s">
        <v>7555</v>
      </c>
      <c r="E1397" s="1706" t="s">
        <v>7592</v>
      </c>
      <c r="F1397" s="1613">
        <v>35000000</v>
      </c>
      <c r="G1397" s="1613">
        <v>52773512263</v>
      </c>
    </row>
    <row r="1398" spans="1:7" ht="17.25" customHeight="1" x14ac:dyDescent="0.2">
      <c r="A1398" s="1611">
        <v>14</v>
      </c>
      <c r="B1398" s="1611" t="s">
        <v>2037</v>
      </c>
      <c r="C1398" s="1611" t="s">
        <v>4636</v>
      </c>
      <c r="D1398" s="1612" t="s">
        <v>7555</v>
      </c>
      <c r="E1398" s="1706" t="s">
        <v>7592</v>
      </c>
      <c r="F1398" s="1613">
        <v>32909091</v>
      </c>
      <c r="G1398" s="1613">
        <v>52806421354</v>
      </c>
    </row>
    <row r="1399" spans="1:7" ht="17.25" customHeight="1" x14ac:dyDescent="0.2">
      <c r="A1399" s="1611">
        <v>14</v>
      </c>
      <c r="B1399" s="1611" t="s">
        <v>2037</v>
      </c>
      <c r="C1399" s="1611" t="s">
        <v>4637</v>
      </c>
      <c r="D1399" s="1612" t="s">
        <v>7555</v>
      </c>
      <c r="E1399" s="1706" t="s">
        <v>7592</v>
      </c>
      <c r="F1399" s="1613">
        <v>34200000</v>
      </c>
      <c r="G1399" s="1613">
        <v>52840621354</v>
      </c>
    </row>
    <row r="1400" spans="1:7" ht="17.25" customHeight="1" x14ac:dyDescent="0.2">
      <c r="A1400" s="1611">
        <v>14</v>
      </c>
      <c r="B1400" s="1611" t="s">
        <v>2039</v>
      </c>
      <c r="C1400" s="1611" t="s">
        <v>4290</v>
      </c>
      <c r="D1400" s="1612" t="s">
        <v>7555</v>
      </c>
      <c r="E1400" s="1706" t="s">
        <v>7592</v>
      </c>
      <c r="F1400" s="1613">
        <v>40500000</v>
      </c>
      <c r="G1400" s="1613">
        <v>52881121354</v>
      </c>
    </row>
    <row r="1401" spans="1:7" ht="17.25" customHeight="1" x14ac:dyDescent="0.2">
      <c r="A1401" s="1611">
        <v>14</v>
      </c>
      <c r="B1401" s="1611" t="s">
        <v>2027</v>
      </c>
      <c r="C1401" s="1611" t="s">
        <v>4638</v>
      </c>
      <c r="D1401" s="1612" t="s">
        <v>2024</v>
      </c>
      <c r="E1401" s="1706" t="s">
        <v>7592</v>
      </c>
      <c r="F1401" s="1613">
        <v>14317000</v>
      </c>
      <c r="G1401" s="1613">
        <v>52895438354</v>
      </c>
    </row>
    <row r="1402" spans="1:7" ht="17.25" customHeight="1" x14ac:dyDescent="0.2">
      <c r="A1402" s="1611">
        <v>14</v>
      </c>
      <c r="B1402" s="1611" t="s">
        <v>2039</v>
      </c>
      <c r="C1402" s="1611" t="s">
        <v>4639</v>
      </c>
      <c r="D1402" s="1612" t="s">
        <v>7555</v>
      </c>
      <c r="E1402" s="1706" t="s">
        <v>7592</v>
      </c>
      <c r="F1402" s="1613">
        <v>41000000</v>
      </c>
      <c r="G1402" s="1613">
        <v>52936438354</v>
      </c>
    </row>
    <row r="1403" spans="1:7" ht="17.25" customHeight="1" x14ac:dyDescent="0.2">
      <c r="A1403" s="1611">
        <v>14</v>
      </c>
      <c r="B1403" s="1611" t="s">
        <v>2028</v>
      </c>
      <c r="C1403" s="1611" t="s">
        <v>4640</v>
      </c>
      <c r="D1403" s="1612" t="s">
        <v>2024</v>
      </c>
      <c r="E1403" s="1706" t="s">
        <v>7592</v>
      </c>
      <c r="F1403" s="1613">
        <v>14100000</v>
      </c>
      <c r="G1403" s="1613">
        <v>52950538354</v>
      </c>
    </row>
    <row r="1404" spans="1:7" ht="17.25" customHeight="1" x14ac:dyDescent="0.2">
      <c r="A1404" s="1611">
        <v>14</v>
      </c>
      <c r="B1404" s="1611" t="s">
        <v>2055</v>
      </c>
      <c r="C1404" s="1611" t="s">
        <v>4641</v>
      </c>
      <c r="D1404" s="1612" t="s">
        <v>7555</v>
      </c>
      <c r="E1404" s="1706" t="s">
        <v>7592</v>
      </c>
      <c r="F1404" s="1613">
        <v>61820000</v>
      </c>
      <c r="G1404" s="1613">
        <v>53012358354</v>
      </c>
    </row>
    <row r="1405" spans="1:7" ht="17.25" customHeight="1" x14ac:dyDescent="0.2">
      <c r="A1405" s="1611">
        <v>14</v>
      </c>
      <c r="B1405" s="1611" t="s">
        <v>2027</v>
      </c>
      <c r="C1405" s="1611" t="s">
        <v>3635</v>
      </c>
      <c r="D1405" s="1612" t="s">
        <v>2024</v>
      </c>
      <c r="E1405" s="1706" t="s">
        <v>7592</v>
      </c>
      <c r="F1405" s="1613">
        <v>13181818</v>
      </c>
      <c r="G1405" s="1613">
        <v>53025540172</v>
      </c>
    </row>
    <row r="1406" spans="1:7" ht="17.25" customHeight="1" x14ac:dyDescent="0.2">
      <c r="A1406" s="1611">
        <v>14</v>
      </c>
      <c r="B1406" s="1611" t="s">
        <v>2032</v>
      </c>
      <c r="C1406" s="1611" t="s">
        <v>4642</v>
      </c>
      <c r="D1406" s="1612" t="s">
        <v>7555</v>
      </c>
      <c r="E1406" s="1706" t="s">
        <v>7592</v>
      </c>
      <c r="F1406" s="1613">
        <v>33300000</v>
      </c>
      <c r="G1406" s="1613">
        <v>53058840172</v>
      </c>
    </row>
    <row r="1407" spans="1:7" ht="17.25" customHeight="1" x14ac:dyDescent="0.2">
      <c r="A1407" s="1611">
        <v>14</v>
      </c>
      <c r="B1407" s="1611" t="s">
        <v>2027</v>
      </c>
      <c r="C1407" s="1611" t="s">
        <v>4560</v>
      </c>
      <c r="D1407" s="1612" t="s">
        <v>2024</v>
      </c>
      <c r="E1407" s="1706" t="s">
        <v>7592</v>
      </c>
      <c r="F1407" s="1613">
        <v>13800000</v>
      </c>
      <c r="G1407" s="1613">
        <v>53072640172</v>
      </c>
    </row>
    <row r="1408" spans="1:7" ht="17.25" customHeight="1" x14ac:dyDescent="0.2">
      <c r="A1408" s="1611">
        <v>14</v>
      </c>
      <c r="B1408" s="1611" t="s">
        <v>2041</v>
      </c>
      <c r="C1408" s="1611" t="s">
        <v>4631</v>
      </c>
      <c r="D1408" s="1612" t="s">
        <v>7555</v>
      </c>
      <c r="E1408" s="1706" t="s">
        <v>7592</v>
      </c>
      <c r="F1408" s="1613">
        <v>72727273</v>
      </c>
      <c r="G1408" s="1613">
        <v>53145367445</v>
      </c>
    </row>
    <row r="1409" spans="1:7" ht="17.25" customHeight="1" x14ac:dyDescent="0.2">
      <c r="A1409" s="1611">
        <v>14</v>
      </c>
      <c r="B1409" s="1611" t="s">
        <v>2037</v>
      </c>
      <c r="C1409" s="1611" t="s">
        <v>4643</v>
      </c>
      <c r="D1409" s="1612" t="s">
        <v>7555</v>
      </c>
      <c r="E1409" s="1706" t="s">
        <v>7592</v>
      </c>
      <c r="F1409" s="1613">
        <v>35000000</v>
      </c>
      <c r="G1409" s="1613">
        <v>53180367445</v>
      </c>
    </row>
    <row r="1410" spans="1:7" ht="17.25" customHeight="1" x14ac:dyDescent="0.2">
      <c r="A1410" s="1611">
        <v>14</v>
      </c>
      <c r="B1410" s="1611" t="s">
        <v>2037</v>
      </c>
      <c r="C1410" s="1611" t="s">
        <v>4644</v>
      </c>
      <c r="D1410" s="1612" t="s">
        <v>7555</v>
      </c>
      <c r="E1410" s="1706" t="s">
        <v>7592</v>
      </c>
      <c r="F1410" s="1613">
        <v>36363636</v>
      </c>
      <c r="G1410" s="1613">
        <v>53216731081</v>
      </c>
    </row>
    <row r="1411" spans="1:7" ht="17.25" customHeight="1" x14ac:dyDescent="0.2">
      <c r="A1411" s="1611">
        <v>14</v>
      </c>
      <c r="B1411" s="1611" t="s">
        <v>2037</v>
      </c>
      <c r="C1411" s="1611" t="s">
        <v>4645</v>
      </c>
      <c r="D1411" s="1612" t="s">
        <v>7555</v>
      </c>
      <c r="E1411" s="1706" t="s">
        <v>7592</v>
      </c>
      <c r="F1411" s="1613">
        <v>34545454</v>
      </c>
      <c r="G1411" s="1613">
        <v>53251276535</v>
      </c>
    </row>
    <row r="1412" spans="1:7" ht="17.25" customHeight="1" x14ac:dyDescent="0.2">
      <c r="A1412" s="1611">
        <v>14</v>
      </c>
      <c r="B1412" s="1611" t="s">
        <v>2037</v>
      </c>
      <c r="C1412" s="1611" t="s">
        <v>4646</v>
      </c>
      <c r="D1412" s="1612" t="s">
        <v>7555</v>
      </c>
      <c r="E1412" s="1706" t="s">
        <v>7592</v>
      </c>
      <c r="F1412" s="1613">
        <v>35000000</v>
      </c>
      <c r="G1412" s="1613">
        <v>53286276535</v>
      </c>
    </row>
    <row r="1413" spans="1:7" ht="17.25" customHeight="1" x14ac:dyDescent="0.2">
      <c r="A1413" s="1611">
        <v>14</v>
      </c>
      <c r="B1413" s="1611" t="s">
        <v>4070</v>
      </c>
      <c r="C1413" s="1611" t="s">
        <v>4625</v>
      </c>
      <c r="D1413" s="1612">
        <v>0</v>
      </c>
      <c r="E1413" s="1706" t="s">
        <v>7592</v>
      </c>
      <c r="F1413" s="1613">
        <v>12000000</v>
      </c>
      <c r="G1413" s="1613">
        <v>53298276535</v>
      </c>
    </row>
    <row r="1414" spans="1:7" ht="17.25" customHeight="1" x14ac:dyDescent="0.2">
      <c r="A1414" s="1611">
        <v>14</v>
      </c>
      <c r="B1414" s="1611" t="s">
        <v>2041</v>
      </c>
      <c r="C1414" s="1611" t="s">
        <v>4647</v>
      </c>
      <c r="D1414" s="1612" t="s">
        <v>7555</v>
      </c>
      <c r="E1414" s="1706" t="s">
        <v>7592</v>
      </c>
      <c r="F1414" s="1613">
        <v>45454545</v>
      </c>
      <c r="G1414" s="1613">
        <v>53343731080</v>
      </c>
    </row>
    <row r="1415" spans="1:7" ht="17.25" customHeight="1" x14ac:dyDescent="0.2">
      <c r="A1415" s="1611">
        <v>14</v>
      </c>
      <c r="B1415" s="1611" t="s">
        <v>2040</v>
      </c>
      <c r="C1415" s="1611" t="s">
        <v>4648</v>
      </c>
      <c r="D1415" s="1612" t="s">
        <v>7555</v>
      </c>
      <c r="E1415" s="1706" t="s">
        <v>7592</v>
      </c>
      <c r="F1415" s="1613">
        <v>42000000</v>
      </c>
      <c r="G1415" s="1613">
        <v>53385731080</v>
      </c>
    </row>
    <row r="1416" spans="1:7" ht="17.25" customHeight="1" x14ac:dyDescent="0.2">
      <c r="A1416" s="1611">
        <v>14</v>
      </c>
      <c r="B1416" s="1611" t="s">
        <v>2038</v>
      </c>
      <c r="C1416" s="1611" t="s">
        <v>4649</v>
      </c>
      <c r="D1416" s="1612" t="s">
        <v>7555</v>
      </c>
      <c r="E1416" s="1706" t="s">
        <v>7592</v>
      </c>
      <c r="F1416" s="1613">
        <v>40070000</v>
      </c>
      <c r="G1416" s="1613">
        <v>53425801080</v>
      </c>
    </row>
    <row r="1417" spans="1:7" ht="17.25" customHeight="1" x14ac:dyDescent="0.2">
      <c r="A1417" s="1611">
        <v>14</v>
      </c>
      <c r="B1417" s="1611" t="s">
        <v>2032</v>
      </c>
      <c r="C1417" s="1611" t="s">
        <v>4318</v>
      </c>
      <c r="D1417" s="1612" t="s">
        <v>7555</v>
      </c>
      <c r="E1417" s="1706" t="s">
        <v>7592</v>
      </c>
      <c r="F1417" s="1613">
        <v>36363636</v>
      </c>
      <c r="G1417" s="1613">
        <v>53462164716</v>
      </c>
    </row>
    <row r="1418" spans="1:7" ht="17.25" customHeight="1" x14ac:dyDescent="0.2">
      <c r="A1418" s="1611">
        <v>14</v>
      </c>
      <c r="B1418" s="1611" t="s">
        <v>2041</v>
      </c>
      <c r="C1418" s="1611" t="s">
        <v>4650</v>
      </c>
      <c r="D1418" s="1612" t="s">
        <v>7555</v>
      </c>
      <c r="E1418" s="1706" t="s">
        <v>7592</v>
      </c>
      <c r="F1418" s="1613">
        <v>47400000</v>
      </c>
      <c r="G1418" s="1613">
        <v>53509564716</v>
      </c>
    </row>
    <row r="1419" spans="1:7" ht="17.25" customHeight="1" x14ac:dyDescent="0.2">
      <c r="A1419" s="1611">
        <v>14</v>
      </c>
      <c r="B1419" s="1611" t="s">
        <v>2037</v>
      </c>
      <c r="C1419" s="1611" t="s">
        <v>4651</v>
      </c>
      <c r="D1419" s="1612" t="s">
        <v>7555</v>
      </c>
      <c r="E1419" s="1706" t="s">
        <v>7592</v>
      </c>
      <c r="F1419" s="1613">
        <v>34500000</v>
      </c>
      <c r="G1419" s="1613">
        <v>53544064716</v>
      </c>
    </row>
    <row r="1420" spans="1:7" ht="17.25" customHeight="1" x14ac:dyDescent="0.2">
      <c r="A1420" s="1611">
        <v>14</v>
      </c>
      <c r="B1420" s="1611" t="s">
        <v>2049</v>
      </c>
      <c r="C1420" s="1611" t="s">
        <v>4597</v>
      </c>
      <c r="D1420" s="1612" t="s">
        <v>2023</v>
      </c>
      <c r="E1420" s="1706" t="s">
        <v>7592</v>
      </c>
      <c r="F1420" s="1613">
        <v>42045455</v>
      </c>
      <c r="G1420" s="1613">
        <v>53586110171</v>
      </c>
    </row>
    <row r="1421" spans="1:7" ht="17.25" customHeight="1" x14ac:dyDescent="0.2">
      <c r="A1421" s="1611">
        <v>14</v>
      </c>
      <c r="B1421" s="1611" t="s">
        <v>2038</v>
      </c>
      <c r="C1421" s="1611" t="s">
        <v>4652</v>
      </c>
      <c r="D1421" s="1612" t="s">
        <v>7555</v>
      </c>
      <c r="E1421" s="1706" t="s">
        <v>7592</v>
      </c>
      <c r="F1421" s="1613">
        <v>40000000</v>
      </c>
      <c r="G1421" s="1613">
        <v>53626110171</v>
      </c>
    </row>
    <row r="1422" spans="1:7" ht="17.25" customHeight="1" x14ac:dyDescent="0.2">
      <c r="A1422" s="1611">
        <v>14</v>
      </c>
      <c r="B1422" s="1611" t="s">
        <v>2041</v>
      </c>
      <c r="C1422" s="1611" t="s">
        <v>4653</v>
      </c>
      <c r="D1422" s="1612" t="s">
        <v>7555</v>
      </c>
      <c r="E1422" s="1706" t="s">
        <v>7592</v>
      </c>
      <c r="F1422" s="1613">
        <v>49500000</v>
      </c>
      <c r="G1422" s="1613">
        <v>53675610171</v>
      </c>
    </row>
    <row r="1423" spans="1:7" ht="17.25" customHeight="1" x14ac:dyDescent="0.2">
      <c r="A1423" s="1611">
        <v>14</v>
      </c>
      <c r="B1423" s="1611" t="s">
        <v>2040</v>
      </c>
      <c r="C1423" s="1611" t="s">
        <v>4654</v>
      </c>
      <c r="D1423" s="1612" t="s">
        <v>7555</v>
      </c>
      <c r="E1423" s="1706" t="s">
        <v>7592</v>
      </c>
      <c r="F1423" s="1613">
        <v>46363636</v>
      </c>
      <c r="G1423" s="1613">
        <v>53721973807</v>
      </c>
    </row>
    <row r="1424" spans="1:7" ht="17.25" customHeight="1" x14ac:dyDescent="0.2">
      <c r="A1424" s="1611">
        <v>14</v>
      </c>
      <c r="B1424" s="1611" t="s">
        <v>2039</v>
      </c>
      <c r="C1424" s="1611" t="s">
        <v>4655</v>
      </c>
      <c r="D1424" s="1612" t="s">
        <v>7555</v>
      </c>
      <c r="E1424" s="1706" t="s">
        <v>7592</v>
      </c>
      <c r="F1424" s="1613">
        <v>40909091</v>
      </c>
      <c r="G1424" s="1613">
        <v>53762882898</v>
      </c>
    </row>
    <row r="1425" spans="1:7" ht="17.25" customHeight="1" x14ac:dyDescent="0.2">
      <c r="A1425" s="1611">
        <v>14</v>
      </c>
      <c r="B1425" s="1611" t="s">
        <v>2039</v>
      </c>
      <c r="C1425" s="1611" t="s">
        <v>4656</v>
      </c>
      <c r="D1425" s="1612" t="s">
        <v>7555</v>
      </c>
      <c r="E1425" s="1706" t="s">
        <v>7592</v>
      </c>
      <c r="F1425" s="1613">
        <v>38500000</v>
      </c>
      <c r="G1425" s="1613">
        <v>53801382898</v>
      </c>
    </row>
    <row r="1426" spans="1:7" ht="17.25" customHeight="1" x14ac:dyDescent="0.2">
      <c r="A1426" s="1611">
        <v>14</v>
      </c>
      <c r="B1426" s="1611" t="s">
        <v>7155</v>
      </c>
      <c r="C1426" s="1611" t="s">
        <v>214</v>
      </c>
      <c r="D1426" s="1612">
        <v>0</v>
      </c>
      <c r="E1426" s="1706" t="s">
        <v>7592</v>
      </c>
      <c r="F1426" s="1613">
        <v>33934800</v>
      </c>
      <c r="G1426" s="1613">
        <v>53835317698</v>
      </c>
    </row>
    <row r="1427" spans="1:7" ht="17.25" customHeight="1" x14ac:dyDescent="0.2">
      <c r="A1427" s="1611">
        <v>14</v>
      </c>
      <c r="B1427" s="1611" t="s">
        <v>7154</v>
      </c>
      <c r="C1427" s="1611" t="s">
        <v>214</v>
      </c>
      <c r="D1427" s="1612">
        <v>0</v>
      </c>
      <c r="E1427" s="1706" t="s">
        <v>7592</v>
      </c>
      <c r="F1427" s="1613">
        <v>39850059</v>
      </c>
      <c r="G1427" s="1613">
        <v>53875167757</v>
      </c>
    </row>
    <row r="1428" spans="1:7" ht="17.25" customHeight="1" x14ac:dyDescent="0.2">
      <c r="A1428" s="1611">
        <v>14</v>
      </c>
      <c r="B1428" s="1611" t="s">
        <v>2043</v>
      </c>
      <c r="C1428" s="1611" t="s">
        <v>4657</v>
      </c>
      <c r="D1428" s="1612" t="s">
        <v>7555</v>
      </c>
      <c r="E1428" s="1706" t="s">
        <v>7592</v>
      </c>
      <c r="F1428" s="1613">
        <v>53181818</v>
      </c>
      <c r="G1428" s="1613">
        <v>53928349575</v>
      </c>
    </row>
    <row r="1429" spans="1:7" ht="17.25" customHeight="1" x14ac:dyDescent="0.2">
      <c r="A1429" s="1611">
        <v>14</v>
      </c>
      <c r="B1429" s="1611" t="s">
        <v>2028</v>
      </c>
      <c r="C1429" s="1611" t="s">
        <v>3957</v>
      </c>
      <c r="D1429" s="1612" t="s">
        <v>2024</v>
      </c>
      <c r="E1429" s="1706" t="s">
        <v>7592</v>
      </c>
      <c r="F1429" s="1613">
        <v>46450000</v>
      </c>
      <c r="G1429" s="1613">
        <v>53974799575</v>
      </c>
    </row>
    <row r="1430" spans="1:7" ht="17.25" customHeight="1" x14ac:dyDescent="0.2">
      <c r="A1430" s="1611">
        <v>14</v>
      </c>
      <c r="B1430" s="1611" t="s">
        <v>2028</v>
      </c>
      <c r="C1430" s="1611" t="s">
        <v>4658</v>
      </c>
      <c r="D1430" s="1612" t="s">
        <v>2024</v>
      </c>
      <c r="E1430" s="1706" t="s">
        <v>7592</v>
      </c>
      <c r="F1430" s="1613">
        <v>13500000</v>
      </c>
      <c r="G1430" s="1613">
        <v>53988299575</v>
      </c>
    </row>
    <row r="1431" spans="1:7" ht="17.25" customHeight="1" x14ac:dyDescent="0.2">
      <c r="A1431" s="1611">
        <v>14</v>
      </c>
      <c r="B1431" s="1611" t="s">
        <v>2037</v>
      </c>
      <c r="C1431" s="1611" t="s">
        <v>3594</v>
      </c>
      <c r="D1431" s="1612" t="s">
        <v>7555</v>
      </c>
      <c r="E1431" s="1706" t="s">
        <v>7592</v>
      </c>
      <c r="F1431" s="1613">
        <v>33000000</v>
      </c>
      <c r="G1431" s="1613">
        <v>54021299575</v>
      </c>
    </row>
    <row r="1432" spans="1:7" ht="17.25" customHeight="1" x14ac:dyDescent="0.2">
      <c r="A1432" s="1611">
        <v>14</v>
      </c>
      <c r="B1432" s="1611" t="s">
        <v>2037</v>
      </c>
      <c r="C1432" s="1611" t="s">
        <v>4017</v>
      </c>
      <c r="D1432" s="1612" t="s">
        <v>7555</v>
      </c>
      <c r="E1432" s="1706" t="s">
        <v>7592</v>
      </c>
      <c r="F1432" s="1613">
        <v>34000000</v>
      </c>
      <c r="G1432" s="1613">
        <v>54055299575</v>
      </c>
    </row>
    <row r="1433" spans="1:7" ht="17.25" customHeight="1" x14ac:dyDescent="0.2">
      <c r="A1433" s="1611">
        <v>14</v>
      </c>
      <c r="B1433" s="1611" t="s">
        <v>2037</v>
      </c>
      <c r="C1433" s="1611" t="s">
        <v>4659</v>
      </c>
      <c r="D1433" s="1612" t="s">
        <v>7555</v>
      </c>
      <c r="E1433" s="1706" t="s">
        <v>7592</v>
      </c>
      <c r="F1433" s="1613">
        <v>33363636</v>
      </c>
      <c r="G1433" s="1613">
        <v>54088663211</v>
      </c>
    </row>
    <row r="1434" spans="1:7" ht="17.25" customHeight="1" x14ac:dyDescent="0.2">
      <c r="A1434" s="1611">
        <v>14</v>
      </c>
      <c r="B1434" s="1611" t="s">
        <v>2038</v>
      </c>
      <c r="C1434" s="1611" t="s">
        <v>4660</v>
      </c>
      <c r="D1434" s="1612" t="s">
        <v>7555</v>
      </c>
      <c r="E1434" s="1706" t="s">
        <v>7592</v>
      </c>
      <c r="F1434" s="1613">
        <v>40909090</v>
      </c>
      <c r="G1434" s="1613">
        <v>54129572301</v>
      </c>
    </row>
    <row r="1435" spans="1:7" ht="17.25" customHeight="1" x14ac:dyDescent="0.2">
      <c r="A1435" s="1611">
        <v>14</v>
      </c>
      <c r="B1435" s="1611" t="s">
        <v>2027</v>
      </c>
      <c r="C1435" s="1611" t="s">
        <v>4661</v>
      </c>
      <c r="D1435" s="1612" t="s">
        <v>2024</v>
      </c>
      <c r="E1435" s="1706" t="s">
        <v>7592</v>
      </c>
      <c r="F1435" s="1613">
        <v>13217273</v>
      </c>
      <c r="G1435" s="1613">
        <v>54142789574</v>
      </c>
    </row>
    <row r="1436" spans="1:7" ht="17.25" customHeight="1" x14ac:dyDescent="0.2">
      <c r="A1436" s="1611">
        <v>14</v>
      </c>
      <c r="B1436" s="1611" t="s">
        <v>3937</v>
      </c>
      <c r="C1436" s="1611" t="s">
        <v>4612</v>
      </c>
      <c r="D1436" s="1612">
        <v>0</v>
      </c>
      <c r="E1436" s="1706" t="s">
        <v>7592</v>
      </c>
      <c r="F1436" s="1613">
        <v>20000000</v>
      </c>
      <c r="G1436" s="1613">
        <v>54162789574</v>
      </c>
    </row>
    <row r="1437" spans="1:7" ht="17.25" customHeight="1" x14ac:dyDescent="0.2">
      <c r="A1437" s="1611">
        <v>14</v>
      </c>
      <c r="B1437" s="1611" t="s">
        <v>7162</v>
      </c>
      <c r="C1437" s="1611" t="s">
        <v>3890</v>
      </c>
      <c r="D1437" s="1612">
        <v>0</v>
      </c>
      <c r="E1437" s="1612" t="s">
        <v>2025</v>
      </c>
      <c r="F1437" s="1613">
        <v>195578341</v>
      </c>
      <c r="G1437" s="1613">
        <v>54358367915</v>
      </c>
    </row>
    <row r="1438" spans="1:7" ht="17.25" customHeight="1" x14ac:dyDescent="0.2">
      <c r="A1438" s="1611">
        <v>14</v>
      </c>
      <c r="B1438" s="1611" t="s">
        <v>2039</v>
      </c>
      <c r="C1438" s="1611" t="s">
        <v>4662</v>
      </c>
      <c r="D1438" s="1612" t="s">
        <v>7555</v>
      </c>
      <c r="E1438" s="1706" t="s">
        <v>7592</v>
      </c>
      <c r="F1438" s="1613">
        <v>72545455</v>
      </c>
      <c r="G1438" s="1613">
        <v>54430913370</v>
      </c>
    </row>
    <row r="1439" spans="1:7" ht="17.25" customHeight="1" x14ac:dyDescent="0.2">
      <c r="A1439" s="1611">
        <v>14</v>
      </c>
      <c r="B1439" s="1611" t="s">
        <v>2028</v>
      </c>
      <c r="C1439" s="1611" t="s">
        <v>4663</v>
      </c>
      <c r="D1439" s="1612" t="s">
        <v>2024</v>
      </c>
      <c r="E1439" s="1706" t="s">
        <v>7592</v>
      </c>
      <c r="F1439" s="1613">
        <v>14200000</v>
      </c>
      <c r="G1439" s="1613">
        <v>54445113370</v>
      </c>
    </row>
    <row r="1440" spans="1:7" ht="17.25" customHeight="1" x14ac:dyDescent="0.2">
      <c r="A1440" s="1611">
        <v>14</v>
      </c>
      <c r="B1440" s="1611" t="s">
        <v>2039</v>
      </c>
      <c r="C1440" s="1611" t="s">
        <v>4664</v>
      </c>
      <c r="D1440" s="1612" t="s">
        <v>7555</v>
      </c>
      <c r="E1440" s="1706" t="s">
        <v>7592</v>
      </c>
      <c r="F1440" s="1613">
        <v>40500000</v>
      </c>
      <c r="G1440" s="1613">
        <v>54485613370</v>
      </c>
    </row>
    <row r="1441" spans="1:7" ht="17.25" customHeight="1" x14ac:dyDescent="0.2">
      <c r="A1441" s="1611">
        <v>14</v>
      </c>
      <c r="B1441" s="1611" t="s">
        <v>2039</v>
      </c>
      <c r="C1441" s="1611" t="s">
        <v>4048</v>
      </c>
      <c r="D1441" s="1612" t="s">
        <v>7555</v>
      </c>
      <c r="E1441" s="1706" t="s">
        <v>7592</v>
      </c>
      <c r="F1441" s="1613">
        <v>40500000</v>
      </c>
      <c r="G1441" s="1613">
        <v>54526113370</v>
      </c>
    </row>
    <row r="1442" spans="1:7" ht="17.25" customHeight="1" x14ac:dyDescent="0.2">
      <c r="A1442" s="1611">
        <v>14</v>
      </c>
      <c r="B1442" s="1611" t="s">
        <v>2041</v>
      </c>
      <c r="C1442" s="1611" t="s">
        <v>4665</v>
      </c>
      <c r="D1442" s="1612" t="s">
        <v>7555</v>
      </c>
      <c r="E1442" s="1706" t="s">
        <v>7592</v>
      </c>
      <c r="F1442" s="1613">
        <v>49636363</v>
      </c>
      <c r="G1442" s="1613">
        <v>54575749733</v>
      </c>
    </row>
    <row r="1443" spans="1:7" ht="17.25" customHeight="1" x14ac:dyDescent="0.2">
      <c r="A1443" s="1611">
        <v>14</v>
      </c>
      <c r="B1443" s="1611" t="s">
        <v>2026</v>
      </c>
      <c r="C1443" s="1611" t="s">
        <v>4666</v>
      </c>
      <c r="D1443" s="1612" t="s">
        <v>2024</v>
      </c>
      <c r="E1443" s="1706" t="s">
        <v>7592</v>
      </c>
      <c r="F1443" s="1613">
        <v>13412727</v>
      </c>
      <c r="G1443" s="1613">
        <v>54589162460</v>
      </c>
    </row>
    <row r="1444" spans="1:7" ht="17.25" customHeight="1" x14ac:dyDescent="0.2">
      <c r="A1444" s="1611">
        <v>14</v>
      </c>
      <c r="B1444" s="1611" t="s">
        <v>2027</v>
      </c>
      <c r="C1444" s="1611" t="s">
        <v>4667</v>
      </c>
      <c r="D1444" s="1612" t="s">
        <v>2024</v>
      </c>
      <c r="E1444" s="1706" t="s">
        <v>7592</v>
      </c>
      <c r="F1444" s="1613">
        <v>14126364</v>
      </c>
      <c r="G1444" s="1613">
        <v>54603288824</v>
      </c>
    </row>
    <row r="1445" spans="1:7" ht="17.25" customHeight="1" x14ac:dyDescent="0.2">
      <c r="A1445" s="1611">
        <v>14</v>
      </c>
      <c r="B1445" s="1611" t="s">
        <v>2037</v>
      </c>
      <c r="C1445" s="1611" t="s">
        <v>4668</v>
      </c>
      <c r="D1445" s="1612" t="s">
        <v>7555</v>
      </c>
      <c r="E1445" s="1706" t="s">
        <v>7592</v>
      </c>
      <c r="F1445" s="1613">
        <v>36363636</v>
      </c>
      <c r="G1445" s="1613">
        <v>54639652460</v>
      </c>
    </row>
    <row r="1446" spans="1:7" ht="17.25" customHeight="1" x14ac:dyDescent="0.2">
      <c r="A1446" s="1611">
        <v>14</v>
      </c>
      <c r="B1446" s="1611" t="s">
        <v>7200</v>
      </c>
      <c r="C1446" s="1611" t="s">
        <v>4621</v>
      </c>
      <c r="D1446" s="1612">
        <v>0</v>
      </c>
      <c r="E1446" s="1612" t="s">
        <v>3298</v>
      </c>
      <c r="F1446" s="1613">
        <v>77271549</v>
      </c>
      <c r="G1446" s="1613">
        <v>54716924009</v>
      </c>
    </row>
    <row r="1447" spans="1:7" ht="17.25" customHeight="1" x14ac:dyDescent="0.2">
      <c r="A1447" s="1611">
        <v>14</v>
      </c>
      <c r="B1447" s="1611" t="s">
        <v>3937</v>
      </c>
      <c r="C1447" s="1611" t="s">
        <v>4669</v>
      </c>
      <c r="D1447" s="1612">
        <v>0</v>
      </c>
      <c r="E1447" s="1706" t="s">
        <v>7592</v>
      </c>
      <c r="F1447" s="1613">
        <v>33636364</v>
      </c>
      <c r="G1447" s="1613">
        <v>54750560373</v>
      </c>
    </row>
    <row r="1448" spans="1:7" ht="17.25" customHeight="1" x14ac:dyDescent="0.2">
      <c r="A1448" s="1611">
        <v>14</v>
      </c>
      <c r="B1448" s="1611" t="s">
        <v>2028</v>
      </c>
      <c r="C1448" s="1611" t="s">
        <v>4670</v>
      </c>
      <c r="D1448" s="1612" t="s">
        <v>2024</v>
      </c>
      <c r="E1448" s="1706" t="s">
        <v>7592</v>
      </c>
      <c r="F1448" s="1613">
        <v>14000000</v>
      </c>
      <c r="G1448" s="1613">
        <v>54764560373</v>
      </c>
    </row>
    <row r="1449" spans="1:7" ht="17.25" customHeight="1" x14ac:dyDescent="0.2">
      <c r="A1449" s="1611">
        <v>14</v>
      </c>
      <c r="B1449" s="1611" t="s">
        <v>2037</v>
      </c>
      <c r="C1449" s="1611" t="s">
        <v>4671</v>
      </c>
      <c r="D1449" s="1612" t="s">
        <v>7555</v>
      </c>
      <c r="E1449" s="1706" t="s">
        <v>7592</v>
      </c>
      <c r="F1449" s="1613">
        <v>33200000</v>
      </c>
      <c r="G1449" s="1613">
        <v>54797760373</v>
      </c>
    </row>
    <row r="1450" spans="1:7" ht="17.25" customHeight="1" x14ac:dyDescent="0.2">
      <c r="A1450" s="1611">
        <v>14</v>
      </c>
      <c r="B1450" s="1611" t="s">
        <v>7156</v>
      </c>
      <c r="C1450" s="1611" t="s">
        <v>214</v>
      </c>
      <c r="D1450" s="1612">
        <v>0</v>
      </c>
      <c r="E1450" s="1706" t="s">
        <v>7592</v>
      </c>
      <c r="F1450" s="1613">
        <v>26085800</v>
      </c>
      <c r="G1450" s="1613">
        <v>54823846173</v>
      </c>
    </row>
    <row r="1451" spans="1:7" ht="17.25" customHeight="1" x14ac:dyDescent="0.2">
      <c r="A1451" s="1611">
        <v>14</v>
      </c>
      <c r="B1451" s="1611" t="s">
        <v>7154</v>
      </c>
      <c r="C1451" s="1611" t="s">
        <v>214</v>
      </c>
      <c r="D1451" s="1612">
        <v>0</v>
      </c>
      <c r="E1451" s="1706" t="s">
        <v>7592</v>
      </c>
      <c r="F1451" s="1613">
        <v>41932200</v>
      </c>
      <c r="G1451" s="1613">
        <v>54865778373</v>
      </c>
    </row>
    <row r="1452" spans="1:7" ht="17.25" customHeight="1" x14ac:dyDescent="0.2">
      <c r="A1452" s="1611">
        <v>14</v>
      </c>
      <c r="B1452" s="1611" t="s">
        <v>2037</v>
      </c>
      <c r="C1452" s="1611" t="s">
        <v>4672</v>
      </c>
      <c r="D1452" s="1612" t="s">
        <v>7555</v>
      </c>
      <c r="E1452" s="1706" t="s">
        <v>7592</v>
      </c>
      <c r="F1452" s="1613">
        <v>34000000</v>
      </c>
      <c r="G1452" s="1613">
        <v>54899778373</v>
      </c>
    </row>
    <row r="1453" spans="1:7" ht="17.25" customHeight="1" x14ac:dyDescent="0.2">
      <c r="A1453" s="1611">
        <v>14</v>
      </c>
      <c r="B1453" s="1611" t="s">
        <v>2037</v>
      </c>
      <c r="C1453" s="1611" t="s">
        <v>4673</v>
      </c>
      <c r="D1453" s="1612" t="s">
        <v>7555</v>
      </c>
      <c r="E1453" s="1706" t="s">
        <v>7592</v>
      </c>
      <c r="F1453" s="1613">
        <v>35000000</v>
      </c>
      <c r="G1453" s="1613">
        <v>54934778373</v>
      </c>
    </row>
    <row r="1454" spans="1:7" ht="17.25" customHeight="1" x14ac:dyDescent="0.2">
      <c r="A1454" s="1611">
        <v>14</v>
      </c>
      <c r="B1454" s="1611" t="s">
        <v>7201</v>
      </c>
      <c r="C1454" s="1611" t="s">
        <v>3890</v>
      </c>
      <c r="D1454" s="1612">
        <v>0</v>
      </c>
      <c r="E1454" s="1612" t="s">
        <v>2025</v>
      </c>
      <c r="F1454" s="1613">
        <v>72799037</v>
      </c>
      <c r="G1454" s="1613">
        <v>55007577410</v>
      </c>
    </row>
    <row r="1455" spans="1:7" ht="17.25" customHeight="1" x14ac:dyDescent="0.2">
      <c r="A1455" s="1611">
        <v>14</v>
      </c>
      <c r="B1455" s="1611" t="s">
        <v>3937</v>
      </c>
      <c r="C1455" s="1611" t="s">
        <v>4671</v>
      </c>
      <c r="D1455" s="1612">
        <v>0</v>
      </c>
      <c r="E1455" s="1706" t="s">
        <v>7592</v>
      </c>
      <c r="F1455" s="1613">
        <v>-33200000</v>
      </c>
      <c r="G1455" s="1613">
        <v>54974377410</v>
      </c>
    </row>
    <row r="1456" spans="1:7" ht="17.25" customHeight="1" x14ac:dyDescent="0.2">
      <c r="A1456" s="1611">
        <v>14</v>
      </c>
      <c r="B1456" s="1611" t="s">
        <v>4674</v>
      </c>
      <c r="C1456" s="1611" t="s">
        <v>4671</v>
      </c>
      <c r="D1456" s="1612">
        <v>0</v>
      </c>
      <c r="E1456" s="1706" t="s">
        <v>7592</v>
      </c>
      <c r="F1456" s="1613">
        <v>33200000</v>
      </c>
      <c r="G1456" s="1613">
        <v>55007577410</v>
      </c>
    </row>
    <row r="1457" spans="1:7" ht="17.25" customHeight="1" x14ac:dyDescent="0.2">
      <c r="A1457" s="1611">
        <v>14</v>
      </c>
      <c r="B1457" s="1611" t="s">
        <v>3937</v>
      </c>
      <c r="C1457" s="1611" t="s">
        <v>4675</v>
      </c>
      <c r="D1457" s="1612">
        <v>0</v>
      </c>
      <c r="E1457" s="1706" t="s">
        <v>7592</v>
      </c>
      <c r="F1457" s="1613">
        <v>14254545</v>
      </c>
      <c r="G1457" s="1613">
        <v>55021831955</v>
      </c>
    </row>
    <row r="1458" spans="1:7" ht="17.25" customHeight="1" x14ac:dyDescent="0.2">
      <c r="A1458" s="1611">
        <v>14</v>
      </c>
      <c r="B1458" s="1611" t="s">
        <v>3937</v>
      </c>
      <c r="C1458" s="1611" t="s">
        <v>4676</v>
      </c>
      <c r="D1458" s="1612">
        <v>0</v>
      </c>
      <c r="E1458" s="1706" t="s">
        <v>7592</v>
      </c>
      <c r="F1458" s="1613">
        <v>38500000</v>
      </c>
      <c r="G1458" s="1613">
        <v>55060331955</v>
      </c>
    </row>
    <row r="1459" spans="1:7" ht="17.25" customHeight="1" x14ac:dyDescent="0.2">
      <c r="A1459" s="1611">
        <v>14</v>
      </c>
      <c r="B1459" s="1611" t="s">
        <v>3937</v>
      </c>
      <c r="C1459" s="1611" t="s">
        <v>4662</v>
      </c>
      <c r="D1459" s="1612">
        <v>0</v>
      </c>
      <c r="E1459" s="1706" t="s">
        <v>7592</v>
      </c>
      <c r="F1459" s="1613">
        <v>2890800</v>
      </c>
      <c r="G1459" s="1613">
        <v>55063222755</v>
      </c>
    </row>
    <row r="1460" spans="1:7" ht="17.25" customHeight="1" x14ac:dyDescent="0.2">
      <c r="A1460" s="1611">
        <v>14</v>
      </c>
      <c r="B1460" s="1611" t="s">
        <v>3937</v>
      </c>
      <c r="C1460" s="1611" t="s">
        <v>4675</v>
      </c>
      <c r="D1460" s="1612">
        <v>0</v>
      </c>
      <c r="E1460" s="1706" t="s">
        <v>7592</v>
      </c>
      <c r="F1460" s="1613">
        <v>-14254545</v>
      </c>
      <c r="G1460" s="1613">
        <v>55048968210</v>
      </c>
    </row>
    <row r="1461" spans="1:7" ht="17.25" customHeight="1" x14ac:dyDescent="0.2">
      <c r="A1461" s="1611">
        <v>14</v>
      </c>
      <c r="B1461" s="1611" t="s">
        <v>3937</v>
      </c>
      <c r="C1461" s="1611" t="s">
        <v>3438</v>
      </c>
      <c r="D1461" s="1612">
        <v>0</v>
      </c>
      <c r="E1461" s="1706" t="s">
        <v>7592</v>
      </c>
      <c r="F1461" s="1613">
        <v>14254545</v>
      </c>
      <c r="G1461" s="1613">
        <v>55063222755</v>
      </c>
    </row>
    <row r="1462" spans="1:7" ht="17.25" customHeight="1" x14ac:dyDescent="0.2">
      <c r="A1462" s="1611">
        <v>14</v>
      </c>
      <c r="B1462" s="1611" t="s">
        <v>3937</v>
      </c>
      <c r="C1462" s="1611" t="s">
        <v>4677</v>
      </c>
      <c r="D1462" s="1612">
        <v>0</v>
      </c>
      <c r="E1462" s="1706" t="s">
        <v>7592</v>
      </c>
      <c r="F1462" s="1613">
        <v>53000000</v>
      </c>
      <c r="G1462" s="1613">
        <v>55116222755</v>
      </c>
    </row>
    <row r="1463" spans="1:7" ht="17.25" customHeight="1" x14ac:dyDescent="0.2">
      <c r="A1463" s="1611">
        <v>14</v>
      </c>
      <c r="B1463" s="1611"/>
      <c r="C1463" s="1611" t="s">
        <v>3597</v>
      </c>
      <c r="D1463" s="1612">
        <v>0</v>
      </c>
      <c r="E1463" s="1706" t="s">
        <v>7592</v>
      </c>
      <c r="F1463" s="1613">
        <v>31282000</v>
      </c>
      <c r="G1463" s="1613">
        <v>55147504755</v>
      </c>
    </row>
    <row r="1464" spans="1:7" ht="17.25" customHeight="1" x14ac:dyDescent="0.2">
      <c r="A1464" s="1611">
        <v>14</v>
      </c>
      <c r="B1464" s="1611" t="s">
        <v>3937</v>
      </c>
      <c r="C1464" s="1611" t="s">
        <v>4678</v>
      </c>
      <c r="D1464" s="1612">
        <v>0</v>
      </c>
      <c r="E1464" s="1706" t="s">
        <v>7592</v>
      </c>
      <c r="F1464" s="1613">
        <v>34500000</v>
      </c>
      <c r="G1464" s="1613">
        <v>55182004755</v>
      </c>
    </row>
    <row r="1465" spans="1:7" ht="17.25" customHeight="1" x14ac:dyDescent="0.2">
      <c r="A1465" s="1611">
        <v>14</v>
      </c>
      <c r="B1465" s="1611" t="s">
        <v>3937</v>
      </c>
      <c r="C1465" s="1611" t="s">
        <v>4679</v>
      </c>
      <c r="D1465" s="1612">
        <v>0</v>
      </c>
      <c r="E1465" s="1706" t="s">
        <v>7592</v>
      </c>
      <c r="F1465" s="1613">
        <v>15200000</v>
      </c>
      <c r="G1465" s="1613">
        <v>55197204755</v>
      </c>
    </row>
    <row r="1466" spans="1:7" ht="17.25" customHeight="1" x14ac:dyDescent="0.2">
      <c r="A1466" s="1611">
        <v>14</v>
      </c>
      <c r="B1466" s="1611" t="s">
        <v>3937</v>
      </c>
      <c r="C1466" s="1611" t="s">
        <v>4680</v>
      </c>
      <c r="D1466" s="1612">
        <v>0</v>
      </c>
      <c r="E1466" s="1706" t="s">
        <v>7592</v>
      </c>
      <c r="F1466" s="1613">
        <v>62000000</v>
      </c>
      <c r="G1466" s="1613">
        <v>55259204755</v>
      </c>
    </row>
    <row r="1467" spans="1:7" ht="17.25" customHeight="1" x14ac:dyDescent="0.2">
      <c r="A1467" s="1611">
        <v>14</v>
      </c>
      <c r="B1467" s="1611" t="s">
        <v>7202</v>
      </c>
      <c r="C1467" s="1611" t="s">
        <v>4681</v>
      </c>
      <c r="D1467" s="1612">
        <v>0</v>
      </c>
      <c r="E1467" s="1706" t="s">
        <v>7592</v>
      </c>
      <c r="F1467" s="1613">
        <v>6370000</v>
      </c>
      <c r="G1467" s="1613">
        <v>55265574755</v>
      </c>
    </row>
    <row r="1468" spans="1:7" ht="17.25" customHeight="1" x14ac:dyDescent="0.2">
      <c r="A1468" s="1611">
        <v>14</v>
      </c>
      <c r="B1468" s="1611" t="s">
        <v>7203</v>
      </c>
      <c r="C1468" s="1611" t="s">
        <v>4682</v>
      </c>
      <c r="D1468" s="1612">
        <v>0</v>
      </c>
      <c r="E1468" s="1706" t="s">
        <v>7592</v>
      </c>
      <c r="F1468" s="1613">
        <v>34390118</v>
      </c>
      <c r="G1468" s="1613">
        <v>55299964873</v>
      </c>
    </row>
    <row r="1469" spans="1:7" ht="17.25" customHeight="1" x14ac:dyDescent="0.2">
      <c r="A1469" s="1611">
        <v>14</v>
      </c>
      <c r="B1469" s="1611" t="s">
        <v>3937</v>
      </c>
      <c r="C1469" s="1611" t="s">
        <v>4619</v>
      </c>
      <c r="D1469" s="1612">
        <v>0</v>
      </c>
      <c r="E1469" s="1706" t="s">
        <v>7592</v>
      </c>
      <c r="F1469" s="1613">
        <v>34000000</v>
      </c>
      <c r="G1469" s="1613">
        <v>55333964873</v>
      </c>
    </row>
    <row r="1470" spans="1:7" ht="17.25" customHeight="1" x14ac:dyDescent="0.2">
      <c r="A1470" s="1611">
        <v>14</v>
      </c>
      <c r="B1470" s="1611" t="s">
        <v>3937</v>
      </c>
      <c r="C1470" s="1611" t="s">
        <v>4683</v>
      </c>
      <c r="D1470" s="1612">
        <v>0</v>
      </c>
      <c r="E1470" s="1706" t="s">
        <v>7592</v>
      </c>
      <c r="F1470" s="1613">
        <v>34800000</v>
      </c>
      <c r="G1470" s="1613">
        <v>55368764873</v>
      </c>
    </row>
    <row r="1471" spans="1:7" ht="17.25" customHeight="1" x14ac:dyDescent="0.2">
      <c r="A1471" s="1611">
        <v>14</v>
      </c>
      <c r="B1471" s="1611" t="s">
        <v>3937</v>
      </c>
      <c r="C1471" s="1611" t="s">
        <v>4684</v>
      </c>
      <c r="D1471" s="1612">
        <v>0</v>
      </c>
      <c r="E1471" s="1706" t="s">
        <v>7592</v>
      </c>
      <c r="F1471" s="1613">
        <v>35000000</v>
      </c>
      <c r="G1471" s="1613">
        <v>55403764873</v>
      </c>
    </row>
    <row r="1472" spans="1:7" ht="17.25" customHeight="1" x14ac:dyDescent="0.2">
      <c r="A1472" s="1611">
        <v>14</v>
      </c>
      <c r="B1472" s="1611" t="s">
        <v>3937</v>
      </c>
      <c r="C1472" s="1611" t="s">
        <v>4685</v>
      </c>
      <c r="D1472" s="1612">
        <v>0</v>
      </c>
      <c r="E1472" s="1706" t="s">
        <v>7592</v>
      </c>
      <c r="F1472" s="1613">
        <v>40000000</v>
      </c>
      <c r="G1472" s="1613">
        <v>55443764873</v>
      </c>
    </row>
    <row r="1473" spans="1:7" ht="17.25" customHeight="1" x14ac:dyDescent="0.2">
      <c r="A1473" s="1611">
        <v>14</v>
      </c>
      <c r="B1473" s="1611" t="s">
        <v>3937</v>
      </c>
      <c r="C1473" s="1611" t="s">
        <v>4686</v>
      </c>
      <c r="D1473" s="1612">
        <v>0</v>
      </c>
      <c r="E1473" s="1706" t="s">
        <v>7592</v>
      </c>
      <c r="F1473" s="1613">
        <v>13200000</v>
      </c>
      <c r="G1473" s="1613">
        <v>55456964873</v>
      </c>
    </row>
    <row r="1474" spans="1:7" ht="17.25" customHeight="1" x14ac:dyDescent="0.2">
      <c r="A1474" s="1611">
        <v>14</v>
      </c>
      <c r="B1474" s="1611" t="s">
        <v>3937</v>
      </c>
      <c r="C1474" s="1611" t="s">
        <v>4687</v>
      </c>
      <c r="D1474" s="1612">
        <v>0</v>
      </c>
      <c r="E1474" s="1706" t="s">
        <v>7592</v>
      </c>
      <c r="F1474" s="1613">
        <v>72727273</v>
      </c>
      <c r="G1474" s="1613">
        <v>55529692146</v>
      </c>
    </row>
    <row r="1475" spans="1:7" ht="17.25" customHeight="1" x14ac:dyDescent="0.2">
      <c r="A1475" s="1611">
        <v>14</v>
      </c>
      <c r="B1475" s="1611" t="s">
        <v>4688</v>
      </c>
      <c r="C1475" s="1611" t="s">
        <v>4689</v>
      </c>
      <c r="D1475" s="1612">
        <v>0</v>
      </c>
      <c r="E1475" s="1612" t="s">
        <v>3307</v>
      </c>
      <c r="F1475" s="1613">
        <v>673978</v>
      </c>
      <c r="G1475" s="1613">
        <v>55530366124</v>
      </c>
    </row>
    <row r="1476" spans="1:7" ht="17.25" customHeight="1" x14ac:dyDescent="0.2">
      <c r="A1476" s="1611">
        <v>14</v>
      </c>
      <c r="B1476" s="1611" t="s">
        <v>7197</v>
      </c>
      <c r="C1476" s="1611" t="s">
        <v>4064</v>
      </c>
      <c r="D1476" s="1612">
        <v>0</v>
      </c>
      <c r="E1476" s="1612" t="s">
        <v>3295</v>
      </c>
      <c r="F1476" s="1613">
        <v>207091219</v>
      </c>
      <c r="G1476" s="1613">
        <v>55737457343</v>
      </c>
    </row>
    <row r="1477" spans="1:7" ht="17.25" customHeight="1" x14ac:dyDescent="0.2">
      <c r="A1477" s="1611">
        <v>14</v>
      </c>
      <c r="B1477" s="1611" t="s">
        <v>3937</v>
      </c>
      <c r="C1477" s="1611" t="s">
        <v>4690</v>
      </c>
      <c r="D1477" s="1612">
        <v>0</v>
      </c>
      <c r="E1477" s="1706" t="s">
        <v>7592</v>
      </c>
      <c r="F1477" s="1613">
        <v>43000000</v>
      </c>
      <c r="G1477" s="1613">
        <v>55780457343</v>
      </c>
    </row>
    <row r="1478" spans="1:7" ht="17.25" customHeight="1" x14ac:dyDescent="0.2">
      <c r="A1478" s="1611">
        <v>14</v>
      </c>
      <c r="B1478" s="1611" t="s">
        <v>3937</v>
      </c>
      <c r="C1478" s="1611" t="s">
        <v>4691</v>
      </c>
      <c r="D1478" s="1612">
        <v>0</v>
      </c>
      <c r="E1478" s="1706" t="s">
        <v>7592</v>
      </c>
      <c r="F1478" s="1613">
        <v>39000000</v>
      </c>
      <c r="G1478" s="1613">
        <v>55819457343</v>
      </c>
    </row>
    <row r="1479" spans="1:7" ht="17.25" customHeight="1" x14ac:dyDescent="0.2">
      <c r="A1479" s="1611">
        <v>14</v>
      </c>
      <c r="B1479" s="1611" t="s">
        <v>3937</v>
      </c>
      <c r="C1479" s="1611" t="s">
        <v>4017</v>
      </c>
      <c r="D1479" s="1612">
        <v>0</v>
      </c>
      <c r="E1479" s="1706" t="s">
        <v>7592</v>
      </c>
      <c r="F1479" s="1613">
        <v>34000000</v>
      </c>
      <c r="G1479" s="1613">
        <v>55853457343</v>
      </c>
    </row>
    <row r="1480" spans="1:7" ht="17.25" customHeight="1" x14ac:dyDescent="0.2">
      <c r="A1480" s="1611">
        <v>14</v>
      </c>
      <c r="B1480" s="1611" t="s">
        <v>3937</v>
      </c>
      <c r="C1480" s="1611" t="s">
        <v>4692</v>
      </c>
      <c r="D1480" s="1612">
        <v>0</v>
      </c>
      <c r="E1480" s="1706" t="s">
        <v>7592</v>
      </c>
      <c r="F1480" s="1613">
        <v>72727273</v>
      </c>
      <c r="G1480" s="1613">
        <v>55926184616</v>
      </c>
    </row>
    <row r="1481" spans="1:7" ht="17.25" customHeight="1" x14ac:dyDescent="0.2">
      <c r="A1481" s="1611">
        <v>14</v>
      </c>
      <c r="B1481" s="1611" t="s">
        <v>3937</v>
      </c>
      <c r="C1481" s="1611" t="s">
        <v>4693</v>
      </c>
      <c r="D1481" s="1612">
        <v>0</v>
      </c>
      <c r="E1481" s="1706" t="s">
        <v>7592</v>
      </c>
      <c r="F1481" s="1613">
        <v>41818182</v>
      </c>
      <c r="G1481" s="1613">
        <v>55968002798</v>
      </c>
    </row>
    <row r="1482" spans="1:7" ht="17.25" customHeight="1" x14ac:dyDescent="0.2">
      <c r="A1482" s="1611">
        <v>14</v>
      </c>
      <c r="B1482" s="1611" t="s">
        <v>3937</v>
      </c>
      <c r="C1482" s="1611" t="s">
        <v>4694</v>
      </c>
      <c r="D1482" s="1612">
        <v>0</v>
      </c>
      <c r="E1482" s="1706" t="s">
        <v>7592</v>
      </c>
      <c r="F1482" s="1613">
        <v>13500000</v>
      </c>
      <c r="G1482" s="1613">
        <v>55981502798</v>
      </c>
    </row>
    <row r="1483" spans="1:7" ht="17.25" customHeight="1" x14ac:dyDescent="0.2">
      <c r="A1483" s="1611">
        <v>14</v>
      </c>
      <c r="B1483" s="1611" t="s">
        <v>3937</v>
      </c>
      <c r="C1483" s="1611" t="s">
        <v>4695</v>
      </c>
      <c r="D1483" s="1612">
        <v>0</v>
      </c>
      <c r="E1483" s="1706" t="s">
        <v>7592</v>
      </c>
      <c r="F1483" s="1613">
        <v>15000000</v>
      </c>
      <c r="G1483" s="1613">
        <v>55996502798</v>
      </c>
    </row>
    <row r="1484" spans="1:7" ht="17.25" customHeight="1" x14ac:dyDescent="0.2">
      <c r="A1484" s="1611">
        <v>14</v>
      </c>
      <c r="B1484" s="1611" t="s">
        <v>7204</v>
      </c>
      <c r="C1484" s="1611" t="s">
        <v>4692</v>
      </c>
      <c r="D1484" s="1612">
        <v>0</v>
      </c>
      <c r="E1484" s="1706" t="s">
        <v>7592</v>
      </c>
      <c r="F1484" s="1613">
        <v>5290909</v>
      </c>
      <c r="G1484" s="1613">
        <v>56001793707</v>
      </c>
    </row>
    <row r="1485" spans="1:7" ht="17.25" customHeight="1" x14ac:dyDescent="0.2">
      <c r="A1485" s="1611">
        <v>14</v>
      </c>
      <c r="B1485" s="1611" t="s">
        <v>3937</v>
      </c>
      <c r="C1485" s="1611" t="s">
        <v>4696</v>
      </c>
      <c r="D1485" s="1612">
        <v>0</v>
      </c>
      <c r="E1485" s="1706" t="s">
        <v>7592</v>
      </c>
      <c r="F1485" s="1613">
        <v>43460000</v>
      </c>
      <c r="G1485" s="1613">
        <v>56045253707</v>
      </c>
    </row>
    <row r="1486" spans="1:7" ht="17.25" customHeight="1" x14ac:dyDescent="0.2">
      <c r="A1486" s="1611">
        <v>14</v>
      </c>
      <c r="B1486" s="1611" t="s">
        <v>7205</v>
      </c>
      <c r="C1486" s="1611" t="s">
        <v>4612</v>
      </c>
      <c r="D1486" s="1612">
        <v>0</v>
      </c>
      <c r="E1486" s="1706" t="s">
        <v>7592</v>
      </c>
      <c r="F1486" s="1613">
        <v>25200000</v>
      </c>
      <c r="G1486" s="1613">
        <v>56070453707</v>
      </c>
    </row>
    <row r="1487" spans="1:7" ht="17.25" customHeight="1" x14ac:dyDescent="0.2">
      <c r="A1487" s="1611">
        <v>14</v>
      </c>
      <c r="B1487" s="1611" t="s">
        <v>3937</v>
      </c>
      <c r="C1487" s="1611" t="s">
        <v>4697</v>
      </c>
      <c r="D1487" s="1612">
        <v>0</v>
      </c>
      <c r="E1487" s="1706" t="s">
        <v>7592</v>
      </c>
      <c r="F1487" s="1613">
        <v>33400000</v>
      </c>
      <c r="G1487" s="1613">
        <v>56103853707</v>
      </c>
    </row>
    <row r="1488" spans="1:7" ht="17.25" customHeight="1" x14ac:dyDescent="0.2">
      <c r="A1488" s="1611">
        <v>14</v>
      </c>
      <c r="B1488" s="1611" t="s">
        <v>3937</v>
      </c>
      <c r="C1488" s="1611" t="s">
        <v>3910</v>
      </c>
      <c r="D1488" s="1612">
        <v>0</v>
      </c>
      <c r="E1488" s="1706" t="s">
        <v>7592</v>
      </c>
      <c r="F1488" s="1613">
        <v>41000000</v>
      </c>
      <c r="G1488" s="1613">
        <v>56144853707</v>
      </c>
    </row>
    <row r="1489" spans="1:7" ht="17.25" customHeight="1" x14ac:dyDescent="0.2">
      <c r="A1489" s="1611">
        <v>14</v>
      </c>
      <c r="B1489" s="1611" t="s">
        <v>3937</v>
      </c>
      <c r="C1489" s="1611" t="s">
        <v>4698</v>
      </c>
      <c r="D1489" s="1612">
        <v>0</v>
      </c>
      <c r="E1489" s="1706" t="s">
        <v>7592</v>
      </c>
      <c r="F1489" s="1613">
        <v>34454545</v>
      </c>
      <c r="G1489" s="1613">
        <v>56179308252</v>
      </c>
    </row>
    <row r="1490" spans="1:7" ht="17.25" customHeight="1" x14ac:dyDescent="0.2">
      <c r="A1490" s="1611">
        <v>14</v>
      </c>
      <c r="B1490" s="1611" t="s">
        <v>3937</v>
      </c>
      <c r="C1490" s="1611" t="s">
        <v>4699</v>
      </c>
      <c r="D1490" s="1612">
        <v>0</v>
      </c>
      <c r="E1490" s="1706" t="s">
        <v>7592</v>
      </c>
      <c r="F1490" s="1613">
        <v>35000000</v>
      </c>
      <c r="G1490" s="1613">
        <v>56214308252</v>
      </c>
    </row>
    <row r="1491" spans="1:7" ht="17.25" customHeight="1" x14ac:dyDescent="0.2">
      <c r="A1491" s="1611">
        <v>14</v>
      </c>
      <c r="B1491" s="1611" t="s">
        <v>3937</v>
      </c>
      <c r="C1491" s="1611" t="s">
        <v>4700</v>
      </c>
      <c r="D1491" s="1612">
        <v>0</v>
      </c>
      <c r="E1491" s="1706" t="s">
        <v>7592</v>
      </c>
      <c r="F1491" s="1613">
        <v>34200000</v>
      </c>
      <c r="G1491" s="1613">
        <v>56248508252</v>
      </c>
    </row>
    <row r="1492" spans="1:7" ht="17.25" customHeight="1" x14ac:dyDescent="0.2">
      <c r="A1492" s="1611">
        <v>14</v>
      </c>
      <c r="B1492" s="1611" t="s">
        <v>3937</v>
      </c>
      <c r="C1492" s="1611" t="s">
        <v>4701</v>
      </c>
      <c r="D1492" s="1612">
        <v>0</v>
      </c>
      <c r="E1492" s="1706" t="s">
        <v>7592</v>
      </c>
      <c r="F1492" s="1613">
        <v>33200000</v>
      </c>
      <c r="G1492" s="1613">
        <v>56281708252</v>
      </c>
    </row>
    <row r="1493" spans="1:7" ht="17.25" customHeight="1" x14ac:dyDescent="0.2">
      <c r="A1493" s="1611">
        <v>14</v>
      </c>
      <c r="B1493" s="1611" t="s">
        <v>3937</v>
      </c>
      <c r="C1493" s="1611" t="s">
        <v>4702</v>
      </c>
      <c r="D1493" s="1612">
        <v>0</v>
      </c>
      <c r="E1493" s="1706" t="s">
        <v>7592</v>
      </c>
      <c r="F1493" s="1613">
        <v>43300000</v>
      </c>
      <c r="G1493" s="1613">
        <v>56325008252</v>
      </c>
    </row>
    <row r="1494" spans="1:7" ht="17.25" customHeight="1" x14ac:dyDescent="0.2">
      <c r="A1494" s="1611">
        <v>14</v>
      </c>
      <c r="B1494" s="1611" t="s">
        <v>3937</v>
      </c>
      <c r="C1494" s="1611" t="s">
        <v>4703</v>
      </c>
      <c r="D1494" s="1612">
        <v>0</v>
      </c>
      <c r="E1494" s="1706" t="s">
        <v>7592</v>
      </c>
      <c r="F1494" s="1613">
        <v>52000000</v>
      </c>
      <c r="G1494" s="1613">
        <v>56377008252</v>
      </c>
    </row>
    <row r="1495" spans="1:7" ht="17.25" customHeight="1" x14ac:dyDescent="0.2">
      <c r="A1495" s="1611">
        <v>14</v>
      </c>
      <c r="B1495" s="1611" t="s">
        <v>7197</v>
      </c>
      <c r="C1495" s="1611" t="s">
        <v>7587</v>
      </c>
      <c r="D1495" s="1612">
        <v>0</v>
      </c>
      <c r="E1495" s="1706" t="s">
        <v>7585</v>
      </c>
      <c r="F1495" s="1613">
        <v>93059542</v>
      </c>
      <c r="G1495" s="1613">
        <v>56470067794</v>
      </c>
    </row>
    <row r="1496" spans="1:7" ht="17.25" customHeight="1" x14ac:dyDescent="0.2">
      <c r="A1496" s="1611">
        <v>14</v>
      </c>
      <c r="B1496" s="1611" t="s">
        <v>3937</v>
      </c>
      <c r="C1496" s="1611" t="s">
        <v>3438</v>
      </c>
      <c r="D1496" s="1612">
        <v>0</v>
      </c>
      <c r="E1496" s="1706" t="s">
        <v>7592</v>
      </c>
      <c r="F1496" s="1613">
        <v>41714200</v>
      </c>
      <c r="G1496" s="1613">
        <v>56511781994</v>
      </c>
    </row>
    <row r="1497" spans="1:7" ht="17.25" customHeight="1" x14ac:dyDescent="0.2">
      <c r="A1497" s="1611">
        <v>14</v>
      </c>
      <c r="B1497" s="1611" t="s">
        <v>3937</v>
      </c>
      <c r="C1497" s="1611" t="s">
        <v>3438</v>
      </c>
      <c r="D1497" s="1612">
        <v>0</v>
      </c>
      <c r="E1497" s="1706" t="s">
        <v>7592</v>
      </c>
      <c r="F1497" s="1613">
        <v>41714200</v>
      </c>
      <c r="G1497" s="1613">
        <v>56553496194</v>
      </c>
    </row>
    <row r="1498" spans="1:7" ht="17.25" customHeight="1" x14ac:dyDescent="0.2">
      <c r="A1498" s="1611">
        <v>14</v>
      </c>
      <c r="B1498" s="1611" t="s">
        <v>3937</v>
      </c>
      <c r="C1498" s="1611" t="s">
        <v>3438</v>
      </c>
      <c r="D1498" s="1612">
        <v>0</v>
      </c>
      <c r="E1498" s="1706" t="s">
        <v>7592</v>
      </c>
      <c r="F1498" s="1613">
        <v>41714200</v>
      </c>
      <c r="G1498" s="1613">
        <v>56595210394</v>
      </c>
    </row>
    <row r="1499" spans="1:7" ht="17.25" customHeight="1" x14ac:dyDescent="0.2">
      <c r="A1499" s="1611">
        <v>14</v>
      </c>
      <c r="B1499" s="1611" t="s">
        <v>3937</v>
      </c>
      <c r="C1499" s="1611" t="s">
        <v>3438</v>
      </c>
      <c r="D1499" s="1612">
        <v>0</v>
      </c>
      <c r="E1499" s="1706" t="s">
        <v>7592</v>
      </c>
      <c r="F1499" s="1613">
        <v>41714200</v>
      </c>
      <c r="G1499" s="1613">
        <v>56636924594</v>
      </c>
    </row>
    <row r="1500" spans="1:7" ht="17.25" customHeight="1" x14ac:dyDescent="0.2">
      <c r="A1500" s="1611">
        <v>14</v>
      </c>
      <c r="B1500" s="1611" t="s">
        <v>3937</v>
      </c>
      <c r="C1500" s="1611" t="s">
        <v>3438</v>
      </c>
      <c r="D1500" s="1612">
        <v>0</v>
      </c>
      <c r="E1500" s="1706" t="s">
        <v>7592</v>
      </c>
      <c r="F1500" s="1613">
        <v>32081600</v>
      </c>
      <c r="G1500" s="1613">
        <v>56669006194</v>
      </c>
    </row>
    <row r="1501" spans="1:7" ht="17.25" customHeight="1" x14ac:dyDescent="0.2">
      <c r="A1501" s="1611">
        <v>14</v>
      </c>
      <c r="B1501" s="1611" t="s">
        <v>3937</v>
      </c>
      <c r="C1501" s="1611" t="s">
        <v>3438</v>
      </c>
      <c r="D1501" s="1612">
        <v>0</v>
      </c>
      <c r="E1501" s="1706" t="s">
        <v>7592</v>
      </c>
      <c r="F1501" s="1613">
        <v>32081600</v>
      </c>
      <c r="G1501" s="1613">
        <v>56701087794</v>
      </c>
    </row>
    <row r="1502" spans="1:7" ht="17.25" customHeight="1" x14ac:dyDescent="0.2">
      <c r="A1502" s="1611">
        <v>14</v>
      </c>
      <c r="B1502" s="1611" t="s">
        <v>3937</v>
      </c>
      <c r="C1502" s="1611" t="s">
        <v>3438</v>
      </c>
      <c r="D1502" s="1612">
        <v>0</v>
      </c>
      <c r="E1502" s="1706" t="s">
        <v>7592</v>
      </c>
      <c r="F1502" s="1613">
        <v>32081600</v>
      </c>
      <c r="G1502" s="1613">
        <v>56733169394</v>
      </c>
    </row>
    <row r="1503" spans="1:7" ht="17.25" customHeight="1" x14ac:dyDescent="0.2">
      <c r="A1503" s="1611">
        <v>14</v>
      </c>
      <c r="B1503" s="1611" t="s">
        <v>3937</v>
      </c>
      <c r="C1503" s="1611" t="s">
        <v>3438</v>
      </c>
      <c r="D1503" s="1612">
        <v>0</v>
      </c>
      <c r="E1503" s="1706" t="s">
        <v>7592</v>
      </c>
      <c r="F1503" s="1613">
        <v>32081600</v>
      </c>
      <c r="G1503" s="1613">
        <v>56765250994</v>
      </c>
    </row>
    <row r="1504" spans="1:7" ht="17.25" customHeight="1" x14ac:dyDescent="0.2">
      <c r="A1504" s="1611">
        <v>14</v>
      </c>
      <c r="B1504" s="1611" t="s">
        <v>3937</v>
      </c>
      <c r="C1504" s="1611" t="s">
        <v>3438</v>
      </c>
      <c r="D1504" s="1612">
        <v>0</v>
      </c>
      <c r="E1504" s="1706" t="s">
        <v>7592</v>
      </c>
      <c r="F1504" s="1613">
        <v>32081600</v>
      </c>
      <c r="G1504" s="1613">
        <v>56797332594</v>
      </c>
    </row>
    <row r="1505" spans="1:7" ht="17.25" customHeight="1" x14ac:dyDescent="0.2">
      <c r="A1505" s="1611">
        <v>14</v>
      </c>
      <c r="B1505" s="1611" t="s">
        <v>3937</v>
      </c>
      <c r="C1505" s="1611" t="s">
        <v>3438</v>
      </c>
      <c r="D1505" s="1612">
        <v>0</v>
      </c>
      <c r="E1505" s="1706" t="s">
        <v>7592</v>
      </c>
      <c r="F1505" s="1613">
        <v>32081600</v>
      </c>
      <c r="G1505" s="1613">
        <v>56829414194</v>
      </c>
    </row>
    <row r="1506" spans="1:7" ht="17.25" customHeight="1" x14ac:dyDescent="0.2">
      <c r="A1506" s="1611">
        <v>14</v>
      </c>
      <c r="B1506" s="1611" t="s">
        <v>3937</v>
      </c>
      <c r="C1506" s="1611" t="s">
        <v>3438</v>
      </c>
      <c r="D1506" s="1612">
        <v>0</v>
      </c>
      <c r="E1506" s="1706" t="s">
        <v>7592</v>
      </c>
      <c r="F1506" s="1613">
        <v>32081600</v>
      </c>
      <c r="G1506" s="1613">
        <v>56861495794</v>
      </c>
    </row>
    <row r="1507" spans="1:7" ht="17.25" customHeight="1" x14ac:dyDescent="0.2">
      <c r="A1507" s="1611">
        <v>14</v>
      </c>
      <c r="B1507" s="1611" t="s">
        <v>3937</v>
      </c>
      <c r="C1507" s="1611" t="s">
        <v>3438</v>
      </c>
      <c r="D1507" s="1612">
        <v>0</v>
      </c>
      <c r="E1507" s="1706" t="s">
        <v>7592</v>
      </c>
      <c r="F1507" s="1613">
        <v>32081600</v>
      </c>
      <c r="G1507" s="1613">
        <v>56893577394</v>
      </c>
    </row>
    <row r="1508" spans="1:7" ht="17.25" customHeight="1" x14ac:dyDescent="0.2">
      <c r="A1508" s="1611">
        <v>14</v>
      </c>
      <c r="B1508" s="1611" t="s">
        <v>3937</v>
      </c>
      <c r="C1508" s="1611" t="s">
        <v>3438</v>
      </c>
      <c r="D1508" s="1612">
        <v>0</v>
      </c>
      <c r="E1508" s="1706" t="s">
        <v>7592</v>
      </c>
      <c r="F1508" s="1613">
        <v>32081600</v>
      </c>
      <c r="G1508" s="1613">
        <v>56925658994</v>
      </c>
    </row>
    <row r="1509" spans="1:7" ht="17.25" customHeight="1" x14ac:dyDescent="0.2">
      <c r="A1509" s="1611">
        <v>14</v>
      </c>
      <c r="B1509" s="1611" t="s">
        <v>3937</v>
      </c>
      <c r="C1509" s="1611" t="s">
        <v>3438</v>
      </c>
      <c r="D1509" s="1612">
        <v>0</v>
      </c>
      <c r="E1509" s="1706" t="s">
        <v>7592</v>
      </c>
      <c r="F1509" s="1613">
        <v>32081600</v>
      </c>
      <c r="G1509" s="1613">
        <v>56957740594</v>
      </c>
    </row>
    <row r="1510" spans="1:7" ht="17.25" customHeight="1" x14ac:dyDescent="0.2">
      <c r="A1510" s="1611">
        <v>14</v>
      </c>
      <c r="B1510" s="1611" t="s">
        <v>3937</v>
      </c>
      <c r="C1510" s="1611" t="s">
        <v>3438</v>
      </c>
      <c r="D1510" s="1612">
        <v>0</v>
      </c>
      <c r="E1510" s="1706" t="s">
        <v>7592</v>
      </c>
      <c r="F1510" s="1613">
        <v>32081600</v>
      </c>
      <c r="G1510" s="1613">
        <v>56989822194</v>
      </c>
    </row>
    <row r="1511" spans="1:7" ht="17.25" customHeight="1" x14ac:dyDescent="0.2">
      <c r="A1511" s="1611">
        <v>14</v>
      </c>
      <c r="B1511" s="1611" t="s">
        <v>3937</v>
      </c>
      <c r="C1511" s="1611" t="s">
        <v>3438</v>
      </c>
      <c r="D1511" s="1612">
        <v>0</v>
      </c>
      <c r="E1511" s="1706" t="s">
        <v>7592</v>
      </c>
      <c r="F1511" s="1613">
        <v>32081600</v>
      </c>
      <c r="G1511" s="1613">
        <v>57021903794</v>
      </c>
    </row>
    <row r="1512" spans="1:7" ht="17.25" customHeight="1" x14ac:dyDescent="0.2">
      <c r="A1512" s="1611">
        <v>14</v>
      </c>
      <c r="B1512" s="1611" t="s">
        <v>3937</v>
      </c>
      <c r="C1512" s="1611" t="s">
        <v>3438</v>
      </c>
      <c r="D1512" s="1612">
        <v>0</v>
      </c>
      <c r="E1512" s="1706" t="s">
        <v>7592</v>
      </c>
      <c r="F1512" s="1613">
        <v>32081600</v>
      </c>
      <c r="G1512" s="1613">
        <v>57053985394</v>
      </c>
    </row>
    <row r="1513" spans="1:7" ht="17.25" customHeight="1" x14ac:dyDescent="0.2">
      <c r="A1513" s="1611">
        <v>14</v>
      </c>
      <c r="B1513" s="1611" t="s">
        <v>3937</v>
      </c>
      <c r="C1513" s="1611" t="s">
        <v>4704</v>
      </c>
      <c r="D1513" s="1612">
        <v>0</v>
      </c>
      <c r="E1513" s="1706" t="s">
        <v>7592</v>
      </c>
      <c r="F1513" s="1613">
        <v>42727272</v>
      </c>
      <c r="G1513" s="1613">
        <v>57096712666</v>
      </c>
    </row>
    <row r="1514" spans="1:7" ht="17.25" customHeight="1" x14ac:dyDescent="0.2">
      <c r="A1514" s="1611">
        <v>14</v>
      </c>
      <c r="B1514" s="1611" t="s">
        <v>3937</v>
      </c>
      <c r="C1514" s="1611" t="s">
        <v>4153</v>
      </c>
      <c r="D1514" s="1612">
        <v>0</v>
      </c>
      <c r="E1514" s="1706" t="s">
        <v>7592</v>
      </c>
      <c r="F1514" s="1613">
        <v>10750000</v>
      </c>
      <c r="G1514" s="1613">
        <v>57107462666</v>
      </c>
    </row>
    <row r="1515" spans="1:7" ht="17.25" customHeight="1" x14ac:dyDescent="0.2">
      <c r="A1515" s="1611">
        <v>14</v>
      </c>
      <c r="B1515" s="1611" t="s">
        <v>3937</v>
      </c>
      <c r="C1515" s="1611" t="s">
        <v>4705</v>
      </c>
      <c r="D1515" s="1612">
        <v>0</v>
      </c>
      <c r="E1515" s="1706" t="s">
        <v>7592</v>
      </c>
      <c r="F1515" s="1613">
        <v>34454545</v>
      </c>
      <c r="G1515" s="1613">
        <v>57141917211</v>
      </c>
    </row>
    <row r="1516" spans="1:7" ht="17.25" customHeight="1" x14ac:dyDescent="0.2">
      <c r="A1516" s="1611">
        <v>14</v>
      </c>
      <c r="B1516" s="1611" t="s">
        <v>3937</v>
      </c>
      <c r="C1516" s="1611" t="s">
        <v>4706</v>
      </c>
      <c r="D1516" s="1612">
        <v>0</v>
      </c>
      <c r="E1516" s="1706" t="s">
        <v>7592</v>
      </c>
      <c r="F1516" s="1613">
        <v>36363636</v>
      </c>
      <c r="G1516" s="1613">
        <v>57178280847</v>
      </c>
    </row>
    <row r="1517" spans="1:7" ht="17.25" customHeight="1" x14ac:dyDescent="0.2">
      <c r="A1517" s="1611">
        <v>14</v>
      </c>
      <c r="B1517" s="1611" t="s">
        <v>3937</v>
      </c>
      <c r="C1517" s="1611" t="s">
        <v>4707</v>
      </c>
      <c r="D1517" s="1612">
        <v>0</v>
      </c>
      <c r="E1517" s="1706" t="s">
        <v>7592</v>
      </c>
      <c r="F1517" s="1613">
        <v>34000000</v>
      </c>
      <c r="G1517" s="1613">
        <v>57212280847</v>
      </c>
    </row>
    <row r="1518" spans="1:7" ht="17.25" customHeight="1" x14ac:dyDescent="0.2">
      <c r="A1518" s="1611">
        <v>14</v>
      </c>
      <c r="B1518" s="1611" t="s">
        <v>3937</v>
      </c>
      <c r="C1518" s="1611" t="s">
        <v>4560</v>
      </c>
      <c r="D1518" s="1612">
        <v>0</v>
      </c>
      <c r="E1518" s="1706" t="s">
        <v>7592</v>
      </c>
      <c r="F1518" s="1613">
        <v>13853636</v>
      </c>
      <c r="G1518" s="1613">
        <v>57226134483</v>
      </c>
    </row>
    <row r="1519" spans="1:7" ht="17.25" customHeight="1" x14ac:dyDescent="0.2">
      <c r="A1519" s="1611">
        <v>14</v>
      </c>
      <c r="B1519" s="1611" t="s">
        <v>3937</v>
      </c>
      <c r="C1519" s="1611" t="s">
        <v>4708</v>
      </c>
      <c r="D1519" s="1612">
        <v>0</v>
      </c>
      <c r="E1519" s="1706" t="s">
        <v>7592</v>
      </c>
      <c r="F1519" s="1613">
        <v>16500000</v>
      </c>
      <c r="G1519" s="1613">
        <v>57242634483</v>
      </c>
    </row>
    <row r="1520" spans="1:7" ht="17.25" customHeight="1" x14ac:dyDescent="0.2">
      <c r="A1520" s="1611">
        <v>14</v>
      </c>
      <c r="B1520" s="1611" t="s">
        <v>3937</v>
      </c>
      <c r="C1520" s="1611" t="s">
        <v>4709</v>
      </c>
      <c r="D1520" s="1612">
        <v>0</v>
      </c>
      <c r="E1520" s="1706" t="s">
        <v>7592</v>
      </c>
      <c r="F1520" s="1613">
        <v>25213637</v>
      </c>
      <c r="G1520" s="1613">
        <v>57267848120</v>
      </c>
    </row>
    <row r="1521" spans="1:7" ht="17.25" customHeight="1" x14ac:dyDescent="0.2">
      <c r="A1521" s="1611">
        <v>14</v>
      </c>
      <c r="B1521" s="1611" t="s">
        <v>3937</v>
      </c>
      <c r="C1521" s="1611" t="s">
        <v>4710</v>
      </c>
      <c r="D1521" s="1612">
        <v>0</v>
      </c>
      <c r="E1521" s="1706" t="s">
        <v>7592</v>
      </c>
      <c r="F1521" s="1613">
        <v>61000000</v>
      </c>
      <c r="G1521" s="1613">
        <v>57328848120</v>
      </c>
    </row>
    <row r="1522" spans="1:7" ht="17.25" customHeight="1" x14ac:dyDescent="0.2">
      <c r="A1522" s="1611">
        <v>14</v>
      </c>
      <c r="B1522" s="1611" t="s">
        <v>3937</v>
      </c>
      <c r="C1522" s="1611" t="s">
        <v>4711</v>
      </c>
      <c r="D1522" s="1612">
        <v>0</v>
      </c>
      <c r="E1522" s="1706" t="s">
        <v>7592</v>
      </c>
      <c r="F1522" s="1613">
        <v>32000000</v>
      </c>
      <c r="G1522" s="1613">
        <v>57360848120</v>
      </c>
    </row>
    <row r="1523" spans="1:7" ht="17.25" customHeight="1" x14ac:dyDescent="0.2">
      <c r="A1523" s="1611">
        <v>14</v>
      </c>
      <c r="B1523" s="1611" t="s">
        <v>3937</v>
      </c>
      <c r="C1523" s="1611" t="s">
        <v>3983</v>
      </c>
      <c r="D1523" s="1612">
        <v>0</v>
      </c>
      <c r="E1523" s="1706" t="s">
        <v>7592</v>
      </c>
      <c r="F1523" s="1613">
        <v>34800000</v>
      </c>
      <c r="G1523" s="1613">
        <v>57395648120</v>
      </c>
    </row>
    <row r="1524" spans="1:7" ht="17.25" customHeight="1" x14ac:dyDescent="0.2">
      <c r="A1524" s="1611">
        <v>14</v>
      </c>
      <c r="B1524" s="1611" t="s">
        <v>7202</v>
      </c>
      <c r="C1524" s="1611" t="s">
        <v>4681</v>
      </c>
      <c r="D1524" s="1612">
        <v>0</v>
      </c>
      <c r="E1524" s="1706" t="s">
        <v>7592</v>
      </c>
      <c r="F1524" s="1613">
        <v>6750000</v>
      </c>
      <c r="G1524" s="1613">
        <v>57402398120</v>
      </c>
    </row>
    <row r="1525" spans="1:7" ht="17.25" customHeight="1" x14ac:dyDescent="0.2">
      <c r="A1525" s="1611">
        <v>14</v>
      </c>
      <c r="B1525" s="1611" t="s">
        <v>3937</v>
      </c>
      <c r="C1525" s="1611" t="s">
        <v>4712</v>
      </c>
      <c r="D1525" s="1612">
        <v>0</v>
      </c>
      <c r="E1525" s="1706" t="s">
        <v>7592</v>
      </c>
      <c r="F1525" s="1613">
        <v>34000000</v>
      </c>
      <c r="G1525" s="1613">
        <v>57436398120</v>
      </c>
    </row>
    <row r="1526" spans="1:7" ht="17.25" customHeight="1" x14ac:dyDescent="0.2">
      <c r="A1526" s="1611">
        <v>14</v>
      </c>
      <c r="B1526" s="1611" t="s">
        <v>3937</v>
      </c>
      <c r="C1526" s="1611" t="s">
        <v>3658</v>
      </c>
      <c r="D1526" s="1612">
        <v>0</v>
      </c>
      <c r="E1526" s="1706" t="s">
        <v>7592</v>
      </c>
      <c r="F1526" s="1613">
        <v>12636364</v>
      </c>
      <c r="G1526" s="1613">
        <v>57449034484</v>
      </c>
    </row>
    <row r="1527" spans="1:7" ht="17.25" customHeight="1" x14ac:dyDescent="0.2">
      <c r="A1527" s="1611">
        <v>14</v>
      </c>
      <c r="B1527" s="1611" t="s">
        <v>3937</v>
      </c>
      <c r="C1527" s="1611" t="s">
        <v>4290</v>
      </c>
      <c r="D1527" s="1612">
        <v>0</v>
      </c>
      <c r="E1527" s="1706" t="s">
        <v>7592</v>
      </c>
      <c r="F1527" s="1613">
        <v>33500000</v>
      </c>
      <c r="G1527" s="1613">
        <v>57482534484</v>
      </c>
    </row>
    <row r="1528" spans="1:7" ht="17.25" customHeight="1" x14ac:dyDescent="0.2">
      <c r="A1528" s="1611">
        <v>14</v>
      </c>
      <c r="B1528" s="1611" t="s">
        <v>3937</v>
      </c>
      <c r="C1528" s="1611" t="s">
        <v>3733</v>
      </c>
      <c r="D1528" s="1612">
        <v>0</v>
      </c>
      <c r="E1528" s="1706" t="s">
        <v>7592</v>
      </c>
      <c r="F1528" s="1613">
        <v>33000000</v>
      </c>
      <c r="G1528" s="1613">
        <v>57515534484</v>
      </c>
    </row>
    <row r="1529" spans="1:7" ht="17.25" customHeight="1" x14ac:dyDescent="0.2">
      <c r="A1529" s="1611">
        <v>14</v>
      </c>
      <c r="B1529" s="1611" t="s">
        <v>3937</v>
      </c>
      <c r="C1529" s="1611" t="s">
        <v>4713</v>
      </c>
      <c r="D1529" s="1612">
        <v>0</v>
      </c>
      <c r="E1529" s="1706" t="s">
        <v>7592</v>
      </c>
      <c r="F1529" s="1613">
        <v>33100000</v>
      </c>
      <c r="G1529" s="1613">
        <v>57548634484</v>
      </c>
    </row>
    <row r="1530" spans="1:7" ht="17.25" customHeight="1" x14ac:dyDescent="0.2">
      <c r="A1530" s="1611">
        <v>14</v>
      </c>
      <c r="B1530" s="1611" t="s">
        <v>7206</v>
      </c>
      <c r="C1530" s="1611" t="s">
        <v>3597</v>
      </c>
      <c r="D1530" s="1612">
        <v>0</v>
      </c>
      <c r="E1530" s="1706" t="s">
        <v>7592</v>
      </c>
      <c r="F1530" s="1613">
        <v>22618000</v>
      </c>
      <c r="G1530" s="1613">
        <v>57571252484</v>
      </c>
    </row>
    <row r="1531" spans="1:7" ht="17.25" customHeight="1" x14ac:dyDescent="0.2">
      <c r="A1531" s="1611">
        <v>14</v>
      </c>
      <c r="B1531" s="1611" t="s">
        <v>3937</v>
      </c>
      <c r="C1531" s="1611" t="s">
        <v>4535</v>
      </c>
      <c r="D1531" s="1612">
        <v>0</v>
      </c>
      <c r="E1531" s="1706" t="s">
        <v>7592</v>
      </c>
      <c r="F1531" s="1613">
        <v>13800000</v>
      </c>
      <c r="G1531" s="1613">
        <v>57585052484</v>
      </c>
    </row>
    <row r="1532" spans="1:7" ht="17.25" customHeight="1" x14ac:dyDescent="0.2">
      <c r="A1532" s="1611">
        <v>14</v>
      </c>
      <c r="B1532" s="1611" t="s">
        <v>3937</v>
      </c>
      <c r="C1532" s="1611" t="s">
        <v>4714</v>
      </c>
      <c r="D1532" s="1612">
        <v>0</v>
      </c>
      <c r="E1532" s="1706" t="s">
        <v>7592</v>
      </c>
      <c r="F1532" s="1613">
        <v>16000000</v>
      </c>
      <c r="G1532" s="1613">
        <v>57601052484</v>
      </c>
    </row>
    <row r="1533" spans="1:7" ht="17.25" customHeight="1" x14ac:dyDescent="0.2">
      <c r="A1533" s="1611">
        <v>14</v>
      </c>
      <c r="B1533" s="1611" t="s">
        <v>3937</v>
      </c>
      <c r="C1533" s="1611" t="s">
        <v>4715</v>
      </c>
      <c r="D1533" s="1612">
        <v>0</v>
      </c>
      <c r="E1533" s="1706" t="s">
        <v>7592</v>
      </c>
      <c r="F1533" s="1613">
        <v>35000000</v>
      </c>
      <c r="G1533" s="1613">
        <v>57636052484</v>
      </c>
    </row>
    <row r="1534" spans="1:7" ht="17.25" customHeight="1" x14ac:dyDescent="0.2">
      <c r="A1534" s="1611">
        <v>14</v>
      </c>
      <c r="B1534" s="1611" t="s">
        <v>3937</v>
      </c>
      <c r="C1534" s="1611" t="s">
        <v>4716</v>
      </c>
      <c r="D1534" s="1612">
        <v>0</v>
      </c>
      <c r="E1534" s="1706" t="s">
        <v>7592</v>
      </c>
      <c r="F1534" s="1613">
        <v>35000000</v>
      </c>
      <c r="G1534" s="1613">
        <v>57671052484</v>
      </c>
    </row>
    <row r="1535" spans="1:7" ht="17.25" customHeight="1" x14ac:dyDescent="0.2">
      <c r="A1535" s="1611">
        <v>14</v>
      </c>
      <c r="B1535" s="1611" t="s">
        <v>3937</v>
      </c>
      <c r="C1535" s="1611" t="s">
        <v>3597</v>
      </c>
      <c r="D1535" s="1612">
        <v>0</v>
      </c>
      <c r="E1535" s="1706" t="s">
        <v>7592</v>
      </c>
      <c r="F1535" s="1613">
        <v>12000000</v>
      </c>
      <c r="G1535" s="1613">
        <v>57683052484</v>
      </c>
    </row>
    <row r="1536" spans="1:7" ht="17.25" customHeight="1" x14ac:dyDescent="0.2">
      <c r="A1536" s="1611">
        <v>14</v>
      </c>
      <c r="B1536" s="1611" t="s">
        <v>3937</v>
      </c>
      <c r="C1536" s="1611" t="s">
        <v>4717</v>
      </c>
      <c r="D1536" s="1612">
        <v>0</v>
      </c>
      <c r="E1536" s="1706" t="s">
        <v>7592</v>
      </c>
      <c r="F1536" s="1613">
        <v>34500000</v>
      </c>
      <c r="G1536" s="1613">
        <v>57717552484</v>
      </c>
    </row>
    <row r="1537" spans="1:7" ht="17.25" customHeight="1" x14ac:dyDescent="0.2">
      <c r="A1537" s="1611">
        <v>14</v>
      </c>
      <c r="B1537" s="1611" t="s">
        <v>3937</v>
      </c>
      <c r="C1537" s="1611" t="s">
        <v>4718</v>
      </c>
      <c r="D1537" s="1612">
        <v>0</v>
      </c>
      <c r="E1537" s="1706" t="s">
        <v>7592</v>
      </c>
      <c r="F1537" s="1613">
        <v>33000000</v>
      </c>
      <c r="G1537" s="1613">
        <v>57750552484</v>
      </c>
    </row>
    <row r="1538" spans="1:7" ht="17.25" customHeight="1" x14ac:dyDescent="0.2">
      <c r="A1538" s="1611">
        <v>14</v>
      </c>
      <c r="B1538" s="1611" t="s">
        <v>3937</v>
      </c>
      <c r="C1538" s="1611" t="s">
        <v>4719</v>
      </c>
      <c r="D1538" s="1612">
        <v>0</v>
      </c>
      <c r="E1538" s="1706" t="s">
        <v>7592</v>
      </c>
      <c r="F1538" s="1613">
        <v>32000000</v>
      </c>
      <c r="G1538" s="1613">
        <v>57782552484</v>
      </c>
    </row>
    <row r="1539" spans="1:7" ht="17.25" customHeight="1" x14ac:dyDescent="0.2">
      <c r="A1539" s="1611">
        <v>14</v>
      </c>
      <c r="B1539" s="1611" t="s">
        <v>3937</v>
      </c>
      <c r="C1539" s="1611" t="s">
        <v>4322</v>
      </c>
      <c r="D1539" s="1612">
        <v>0</v>
      </c>
      <c r="E1539" s="1706" t="s">
        <v>7592</v>
      </c>
      <c r="F1539" s="1613">
        <v>34200000</v>
      </c>
      <c r="G1539" s="1613">
        <v>57816752484</v>
      </c>
    </row>
    <row r="1540" spans="1:7" ht="17.25" customHeight="1" x14ac:dyDescent="0.2">
      <c r="A1540" s="1611">
        <v>14</v>
      </c>
      <c r="B1540" s="1611" t="s">
        <v>3937</v>
      </c>
      <c r="C1540" s="1611" t="s">
        <v>3836</v>
      </c>
      <c r="D1540" s="1612">
        <v>0</v>
      </c>
      <c r="E1540" s="1706" t="s">
        <v>7592</v>
      </c>
      <c r="F1540" s="1613">
        <v>34272727</v>
      </c>
      <c r="G1540" s="1613">
        <v>57851025211</v>
      </c>
    </row>
    <row r="1541" spans="1:7" ht="17.25" customHeight="1" x14ac:dyDescent="0.2">
      <c r="A1541" s="1611">
        <v>14</v>
      </c>
      <c r="B1541" s="1611" t="s">
        <v>3937</v>
      </c>
      <c r="C1541" s="1611" t="s">
        <v>4163</v>
      </c>
      <c r="D1541" s="1612">
        <v>0</v>
      </c>
      <c r="E1541" s="1706" t="s">
        <v>7592</v>
      </c>
      <c r="F1541" s="1613">
        <v>34200000</v>
      </c>
      <c r="G1541" s="1613">
        <v>57885225211</v>
      </c>
    </row>
    <row r="1542" spans="1:7" ht="17.25" customHeight="1" x14ac:dyDescent="0.2">
      <c r="A1542" s="1611">
        <v>14</v>
      </c>
      <c r="B1542" s="1611" t="s">
        <v>3937</v>
      </c>
      <c r="C1542" s="1611" t="s">
        <v>4351</v>
      </c>
      <c r="D1542" s="1612">
        <v>0</v>
      </c>
      <c r="E1542" s="1706" t="s">
        <v>7592</v>
      </c>
      <c r="F1542" s="1613">
        <v>34500000</v>
      </c>
      <c r="G1542" s="1613">
        <v>57919725211</v>
      </c>
    </row>
    <row r="1543" spans="1:7" ht="17.25" customHeight="1" x14ac:dyDescent="0.2">
      <c r="A1543" s="1611">
        <v>14</v>
      </c>
      <c r="B1543" s="1611" t="s">
        <v>7202</v>
      </c>
      <c r="C1543" s="1611" t="s">
        <v>4681</v>
      </c>
      <c r="D1543" s="1612">
        <v>0</v>
      </c>
      <c r="E1543" s="1706" t="s">
        <v>7592</v>
      </c>
      <c r="F1543" s="1613">
        <v>9790000</v>
      </c>
      <c r="G1543" s="1613">
        <v>57929515211</v>
      </c>
    </row>
    <row r="1544" spans="1:7" ht="17.25" customHeight="1" x14ac:dyDescent="0.2">
      <c r="A1544" s="1611">
        <v>14</v>
      </c>
      <c r="B1544" s="1611" t="s">
        <v>2041</v>
      </c>
      <c r="C1544" s="1611" t="s">
        <v>214</v>
      </c>
      <c r="D1544" s="1612" t="s">
        <v>7555</v>
      </c>
      <c r="E1544" s="1706" t="s">
        <v>7592</v>
      </c>
      <c r="F1544" s="1613">
        <v>40128200</v>
      </c>
      <c r="G1544" s="1613">
        <v>57969643411</v>
      </c>
    </row>
    <row r="1545" spans="1:7" ht="17.25" customHeight="1" x14ac:dyDescent="0.2">
      <c r="A1545" s="1611">
        <v>14</v>
      </c>
      <c r="B1545" s="1611" t="s">
        <v>7186</v>
      </c>
      <c r="C1545" s="1611" t="s">
        <v>214</v>
      </c>
      <c r="D1545" s="1612">
        <v>0</v>
      </c>
      <c r="E1545" s="1706" t="s">
        <v>7592</v>
      </c>
      <c r="F1545" s="1613">
        <v>45409400</v>
      </c>
      <c r="G1545" s="1613">
        <v>58015052811</v>
      </c>
    </row>
    <row r="1546" spans="1:7" ht="17.25" customHeight="1" x14ac:dyDescent="0.2">
      <c r="A1546" s="1611">
        <v>14</v>
      </c>
      <c r="B1546" s="1611" t="s">
        <v>3937</v>
      </c>
      <c r="C1546" s="1611" t="s">
        <v>4720</v>
      </c>
      <c r="D1546" s="1612">
        <v>0</v>
      </c>
      <c r="E1546" s="1706" t="s">
        <v>7592</v>
      </c>
      <c r="F1546" s="1613">
        <v>32000000</v>
      </c>
      <c r="G1546" s="1613">
        <v>58047052811</v>
      </c>
    </row>
    <row r="1547" spans="1:7" ht="17.25" customHeight="1" x14ac:dyDescent="0.2">
      <c r="A1547" s="1611">
        <v>14</v>
      </c>
      <c r="B1547" s="1611" t="s">
        <v>3937</v>
      </c>
      <c r="C1547" s="1611" t="s">
        <v>4055</v>
      </c>
      <c r="D1547" s="1612">
        <v>0</v>
      </c>
      <c r="E1547" s="1706" t="s">
        <v>7592</v>
      </c>
      <c r="F1547" s="1613">
        <v>35000000</v>
      </c>
      <c r="G1547" s="1613">
        <v>58082052811</v>
      </c>
    </row>
    <row r="1548" spans="1:7" ht="17.25" customHeight="1" x14ac:dyDescent="0.2">
      <c r="A1548" s="1611">
        <v>14</v>
      </c>
      <c r="B1548" s="1611" t="s">
        <v>3937</v>
      </c>
      <c r="C1548" s="1611" t="s">
        <v>3597</v>
      </c>
      <c r="D1548" s="1612">
        <v>0</v>
      </c>
      <c r="E1548" s="1706" t="s">
        <v>7592</v>
      </c>
      <c r="F1548" s="1613">
        <v>7790000</v>
      </c>
      <c r="G1548" s="1613">
        <v>58089842811</v>
      </c>
    </row>
    <row r="1549" spans="1:7" ht="17.25" customHeight="1" x14ac:dyDescent="0.2">
      <c r="A1549" s="1611">
        <v>14</v>
      </c>
      <c r="B1549" s="1611" t="s">
        <v>3937</v>
      </c>
      <c r="C1549" s="1611" t="s">
        <v>3597</v>
      </c>
      <c r="D1549" s="1612">
        <v>0</v>
      </c>
      <c r="E1549" s="1706" t="s">
        <v>7592</v>
      </c>
      <c r="F1549" s="1613">
        <v>7790000</v>
      </c>
      <c r="G1549" s="1613">
        <v>58097632811</v>
      </c>
    </row>
    <row r="1550" spans="1:7" ht="17.25" customHeight="1" x14ac:dyDescent="0.2">
      <c r="A1550" s="1611">
        <v>14</v>
      </c>
      <c r="B1550" s="1611" t="s">
        <v>3937</v>
      </c>
      <c r="C1550" s="1611" t="s">
        <v>3597</v>
      </c>
      <c r="D1550" s="1612">
        <v>0</v>
      </c>
      <c r="E1550" s="1706" t="s">
        <v>7592</v>
      </c>
      <c r="F1550" s="1613">
        <v>7790000</v>
      </c>
      <c r="G1550" s="1613">
        <v>58105422811</v>
      </c>
    </row>
    <row r="1551" spans="1:7" ht="17.25" customHeight="1" x14ac:dyDescent="0.2">
      <c r="A1551" s="1611">
        <v>14</v>
      </c>
      <c r="B1551" s="1611" t="s">
        <v>3937</v>
      </c>
      <c r="C1551" s="1611" t="s">
        <v>4721</v>
      </c>
      <c r="D1551" s="1612">
        <v>0</v>
      </c>
      <c r="E1551" s="1706" t="s">
        <v>7592</v>
      </c>
      <c r="F1551" s="1613">
        <v>33000000</v>
      </c>
      <c r="G1551" s="1613">
        <v>58138422811</v>
      </c>
    </row>
    <row r="1552" spans="1:7" ht="17.25" customHeight="1" x14ac:dyDescent="0.2">
      <c r="A1552" s="1611">
        <v>14</v>
      </c>
      <c r="B1552" s="1611" t="s">
        <v>3937</v>
      </c>
      <c r="C1552" s="1611" t="s">
        <v>4462</v>
      </c>
      <c r="D1552" s="1612">
        <v>0</v>
      </c>
      <c r="E1552" s="1706" t="s">
        <v>7592</v>
      </c>
      <c r="F1552" s="1613">
        <v>33500000</v>
      </c>
      <c r="G1552" s="1613">
        <v>58171922811</v>
      </c>
    </row>
    <row r="1553" spans="1:7" ht="17.25" customHeight="1" x14ac:dyDescent="0.2">
      <c r="A1553" s="1611">
        <v>14</v>
      </c>
      <c r="B1553" s="1611" t="s">
        <v>3937</v>
      </c>
      <c r="C1553" s="1611" t="s">
        <v>4722</v>
      </c>
      <c r="D1553" s="1612">
        <v>0</v>
      </c>
      <c r="E1553" s="1706" t="s">
        <v>7592</v>
      </c>
      <c r="F1553" s="1613">
        <v>34000000</v>
      </c>
      <c r="G1553" s="1613">
        <v>58205922811</v>
      </c>
    </row>
    <row r="1554" spans="1:7" ht="17.25" customHeight="1" x14ac:dyDescent="0.2">
      <c r="A1554" s="1611">
        <v>14</v>
      </c>
      <c r="B1554" s="1611" t="s">
        <v>3937</v>
      </c>
      <c r="C1554" s="1611" t="s">
        <v>4723</v>
      </c>
      <c r="D1554" s="1612">
        <v>0</v>
      </c>
      <c r="E1554" s="1706" t="s">
        <v>7592</v>
      </c>
      <c r="F1554" s="1613">
        <v>13200000</v>
      </c>
      <c r="G1554" s="1613">
        <v>58219122811</v>
      </c>
    </row>
    <row r="1555" spans="1:7" ht="17.25" customHeight="1" x14ac:dyDescent="0.2">
      <c r="A1555" s="1611">
        <v>14</v>
      </c>
      <c r="B1555" s="1611" t="s">
        <v>3937</v>
      </c>
      <c r="C1555" s="1611" t="s">
        <v>4308</v>
      </c>
      <c r="D1555" s="1612">
        <v>0</v>
      </c>
      <c r="E1555" s="1706" t="s">
        <v>7592</v>
      </c>
      <c r="F1555" s="1613">
        <v>15000000</v>
      </c>
      <c r="G1555" s="1613">
        <v>58234122811</v>
      </c>
    </row>
    <row r="1556" spans="1:7" ht="17.25" customHeight="1" x14ac:dyDescent="0.2">
      <c r="A1556" s="1611">
        <v>14</v>
      </c>
      <c r="B1556" s="1611" t="s">
        <v>3937</v>
      </c>
      <c r="C1556" s="1611" t="s">
        <v>4724</v>
      </c>
      <c r="D1556" s="1612">
        <v>0</v>
      </c>
      <c r="E1556" s="1706" t="s">
        <v>7592</v>
      </c>
      <c r="F1556" s="1613">
        <v>12000000</v>
      </c>
      <c r="G1556" s="1613">
        <v>58246122811</v>
      </c>
    </row>
    <row r="1557" spans="1:7" ht="17.25" customHeight="1" x14ac:dyDescent="0.2">
      <c r="A1557" s="1611">
        <v>14</v>
      </c>
      <c r="B1557" s="1611" t="s">
        <v>3937</v>
      </c>
      <c r="C1557" s="1611" t="s">
        <v>4725</v>
      </c>
      <c r="D1557" s="1612">
        <v>0</v>
      </c>
      <c r="E1557" s="1706" t="s">
        <v>7592</v>
      </c>
      <c r="F1557" s="1613">
        <v>14817273</v>
      </c>
      <c r="G1557" s="1613">
        <v>58260940084</v>
      </c>
    </row>
    <row r="1558" spans="1:7" ht="17.25" customHeight="1" x14ac:dyDescent="0.2">
      <c r="A1558" s="1611">
        <v>14</v>
      </c>
      <c r="B1558" s="1611" t="s">
        <v>3937</v>
      </c>
      <c r="C1558" s="1611" t="s">
        <v>3692</v>
      </c>
      <c r="D1558" s="1612">
        <v>0</v>
      </c>
      <c r="E1558" s="1706" t="s">
        <v>7592</v>
      </c>
      <c r="F1558" s="1613">
        <v>15500000</v>
      </c>
      <c r="G1558" s="1613">
        <v>58276440084</v>
      </c>
    </row>
    <row r="1559" spans="1:7" ht="17.25" customHeight="1" x14ac:dyDescent="0.2">
      <c r="A1559" s="1611">
        <v>14</v>
      </c>
      <c r="B1559" s="1611" t="s">
        <v>3937</v>
      </c>
      <c r="C1559" s="1611" t="s">
        <v>3692</v>
      </c>
      <c r="D1559" s="1612">
        <v>0</v>
      </c>
      <c r="E1559" s="1706" t="s">
        <v>7592</v>
      </c>
      <c r="F1559" s="1613">
        <v>15500000</v>
      </c>
      <c r="G1559" s="1613">
        <v>58291940084</v>
      </c>
    </row>
    <row r="1560" spans="1:7" ht="17.25" customHeight="1" x14ac:dyDescent="0.2">
      <c r="A1560" s="1611">
        <v>14</v>
      </c>
      <c r="B1560" s="1611" t="s">
        <v>3937</v>
      </c>
      <c r="C1560" s="1611" t="s">
        <v>4726</v>
      </c>
      <c r="D1560" s="1612">
        <v>0</v>
      </c>
      <c r="E1560" s="1706" t="s">
        <v>7592</v>
      </c>
      <c r="F1560" s="1613">
        <v>17800000</v>
      </c>
      <c r="G1560" s="1613">
        <v>58309740084</v>
      </c>
    </row>
    <row r="1561" spans="1:7" ht="17.25" customHeight="1" x14ac:dyDescent="0.2">
      <c r="A1561" s="1611">
        <v>14</v>
      </c>
      <c r="B1561" s="1611" t="s">
        <v>3937</v>
      </c>
      <c r="C1561" s="1611" t="s">
        <v>4727</v>
      </c>
      <c r="D1561" s="1612">
        <v>0</v>
      </c>
      <c r="E1561" s="1706" t="s">
        <v>7592</v>
      </c>
      <c r="F1561" s="1613">
        <v>49963637</v>
      </c>
      <c r="G1561" s="1613">
        <v>58359703721</v>
      </c>
    </row>
    <row r="1562" spans="1:7" ht="17.25" customHeight="1" x14ac:dyDescent="0.2">
      <c r="A1562" s="1611">
        <v>14</v>
      </c>
      <c r="B1562" s="1611" t="s">
        <v>7153</v>
      </c>
      <c r="C1562" s="1611" t="s">
        <v>214</v>
      </c>
      <c r="D1562" s="1612">
        <v>0</v>
      </c>
      <c r="E1562" s="1706" t="s">
        <v>7592</v>
      </c>
      <c r="F1562" s="1613">
        <v>54878000</v>
      </c>
      <c r="G1562" s="1613">
        <v>58414581721</v>
      </c>
    </row>
    <row r="1563" spans="1:7" ht="17.25" customHeight="1" x14ac:dyDescent="0.2">
      <c r="A1563" s="1611">
        <v>14</v>
      </c>
      <c r="B1563" s="1611" t="s">
        <v>3937</v>
      </c>
      <c r="C1563" s="1611" t="s">
        <v>4728</v>
      </c>
      <c r="D1563" s="1612">
        <v>0</v>
      </c>
      <c r="E1563" s="1706" t="s">
        <v>7592</v>
      </c>
      <c r="F1563" s="1613">
        <v>49090909</v>
      </c>
      <c r="G1563" s="1613">
        <v>58463672630</v>
      </c>
    </row>
    <row r="1564" spans="1:7" ht="17.25" customHeight="1" x14ac:dyDescent="0.2">
      <c r="A1564" s="1611">
        <v>14</v>
      </c>
      <c r="B1564" s="1611" t="s">
        <v>2041</v>
      </c>
      <c r="C1564" s="1611" t="s">
        <v>214</v>
      </c>
      <c r="D1564" s="1612" t="s">
        <v>7555</v>
      </c>
      <c r="E1564" s="1706" t="s">
        <v>7592</v>
      </c>
      <c r="F1564" s="1613">
        <v>25457000</v>
      </c>
      <c r="G1564" s="1613">
        <v>58489129630</v>
      </c>
    </row>
    <row r="1565" spans="1:7" ht="17.25" customHeight="1" x14ac:dyDescent="0.2">
      <c r="A1565" s="1611">
        <v>14</v>
      </c>
      <c r="B1565" s="1611" t="s">
        <v>3670</v>
      </c>
      <c r="C1565" s="1611" t="s">
        <v>3597</v>
      </c>
      <c r="D1565" s="1612">
        <v>0</v>
      </c>
      <c r="E1565" s="1706" t="s">
        <v>7592</v>
      </c>
      <c r="F1565" s="1613">
        <v>13640000</v>
      </c>
      <c r="G1565" s="1613">
        <v>58502769630</v>
      </c>
    </row>
    <row r="1566" spans="1:7" ht="17.25" customHeight="1" x14ac:dyDescent="0.2">
      <c r="A1566" s="1611">
        <v>14</v>
      </c>
      <c r="B1566" s="1611" t="s">
        <v>3937</v>
      </c>
      <c r="C1566" s="1611" t="s">
        <v>4619</v>
      </c>
      <c r="D1566" s="1612">
        <v>0</v>
      </c>
      <c r="E1566" s="1706" t="s">
        <v>7592</v>
      </c>
      <c r="F1566" s="1613">
        <v>34545454</v>
      </c>
      <c r="G1566" s="1613">
        <v>58537315084</v>
      </c>
    </row>
    <row r="1567" spans="1:7" ht="17.25" customHeight="1" x14ac:dyDescent="0.2">
      <c r="A1567" s="1611">
        <v>14</v>
      </c>
      <c r="B1567" s="1611" t="s">
        <v>3937</v>
      </c>
      <c r="C1567" s="1611" t="s">
        <v>4619</v>
      </c>
      <c r="D1567" s="1612">
        <v>0</v>
      </c>
      <c r="E1567" s="1706" t="s">
        <v>7592</v>
      </c>
      <c r="F1567" s="1613">
        <v>33636363</v>
      </c>
      <c r="G1567" s="1613">
        <v>58570951447</v>
      </c>
    </row>
    <row r="1568" spans="1:7" ht="17.25" customHeight="1" x14ac:dyDescent="0.2">
      <c r="A1568" s="1611">
        <v>14</v>
      </c>
      <c r="B1568" s="1611" t="s">
        <v>3937</v>
      </c>
      <c r="C1568" s="1611" t="s">
        <v>4729</v>
      </c>
      <c r="D1568" s="1612">
        <v>0</v>
      </c>
      <c r="E1568" s="1706" t="s">
        <v>7592</v>
      </c>
      <c r="F1568" s="1613">
        <v>35272727</v>
      </c>
      <c r="G1568" s="1613">
        <v>58606224174</v>
      </c>
    </row>
    <row r="1569" spans="1:7" ht="17.25" customHeight="1" x14ac:dyDescent="0.2">
      <c r="A1569" s="1611">
        <v>14</v>
      </c>
      <c r="B1569" s="1611" t="s">
        <v>3937</v>
      </c>
      <c r="C1569" s="1611" t="s">
        <v>4730</v>
      </c>
      <c r="D1569" s="1612">
        <v>0</v>
      </c>
      <c r="E1569" s="1706" t="s">
        <v>7592</v>
      </c>
      <c r="F1569" s="1613">
        <v>35545454</v>
      </c>
      <c r="G1569" s="1613">
        <v>58641769628</v>
      </c>
    </row>
    <row r="1570" spans="1:7" ht="17.25" customHeight="1" x14ac:dyDescent="0.2">
      <c r="A1570" s="1611">
        <v>14</v>
      </c>
      <c r="B1570" s="1611" t="s">
        <v>3937</v>
      </c>
      <c r="C1570" s="1611" t="s">
        <v>4731</v>
      </c>
      <c r="D1570" s="1612">
        <v>0</v>
      </c>
      <c r="E1570" s="1706" t="s">
        <v>7592</v>
      </c>
      <c r="F1570" s="1613">
        <v>44090909</v>
      </c>
      <c r="G1570" s="1613">
        <v>58685860537</v>
      </c>
    </row>
    <row r="1571" spans="1:7" ht="17.25" customHeight="1" x14ac:dyDescent="0.2">
      <c r="A1571" s="1611">
        <v>14</v>
      </c>
      <c r="B1571" s="1611" t="s">
        <v>3937</v>
      </c>
      <c r="C1571" s="1611" t="s">
        <v>4732</v>
      </c>
      <c r="D1571" s="1612">
        <v>0</v>
      </c>
      <c r="E1571" s="1706" t="s">
        <v>7592</v>
      </c>
      <c r="F1571" s="1613">
        <v>40500000</v>
      </c>
      <c r="G1571" s="1613">
        <v>58726360537</v>
      </c>
    </row>
    <row r="1572" spans="1:7" ht="17.25" customHeight="1" x14ac:dyDescent="0.2">
      <c r="A1572" s="1611">
        <v>14</v>
      </c>
      <c r="B1572" s="1611" t="s">
        <v>3937</v>
      </c>
      <c r="C1572" s="1611" t="s">
        <v>4266</v>
      </c>
      <c r="D1572" s="1612">
        <v>0</v>
      </c>
      <c r="E1572" s="1706" t="s">
        <v>7592</v>
      </c>
      <c r="F1572" s="1613">
        <v>34000000</v>
      </c>
      <c r="G1572" s="1613">
        <v>58760360537</v>
      </c>
    </row>
    <row r="1573" spans="1:7" ht="17.25" customHeight="1" x14ac:dyDescent="0.2">
      <c r="A1573" s="1611">
        <v>14</v>
      </c>
      <c r="B1573" s="1611" t="s">
        <v>3937</v>
      </c>
      <c r="C1573" s="1611" t="s">
        <v>4733</v>
      </c>
      <c r="D1573" s="1612">
        <v>0</v>
      </c>
      <c r="E1573" s="1706" t="s">
        <v>7592</v>
      </c>
      <c r="F1573" s="1613">
        <v>15000000</v>
      </c>
      <c r="G1573" s="1613">
        <v>58775360537</v>
      </c>
    </row>
    <row r="1574" spans="1:7" ht="17.25" customHeight="1" x14ac:dyDescent="0.2">
      <c r="A1574" s="1611">
        <v>14</v>
      </c>
      <c r="B1574" s="1611" t="s">
        <v>3937</v>
      </c>
      <c r="C1574" s="1611" t="s">
        <v>4734</v>
      </c>
      <c r="D1574" s="1612">
        <v>0</v>
      </c>
      <c r="E1574" s="1706" t="s">
        <v>7592</v>
      </c>
      <c r="F1574" s="1613">
        <v>61000000</v>
      </c>
      <c r="G1574" s="1613">
        <v>58836360537</v>
      </c>
    </row>
    <row r="1575" spans="1:7" ht="17.25" customHeight="1" x14ac:dyDescent="0.2">
      <c r="A1575" s="1611">
        <v>14</v>
      </c>
      <c r="B1575" s="1611" t="s">
        <v>3937</v>
      </c>
      <c r="C1575" s="1611" t="s">
        <v>4735</v>
      </c>
      <c r="D1575" s="1612">
        <v>0</v>
      </c>
      <c r="E1575" s="1706" t="s">
        <v>7592</v>
      </c>
      <c r="F1575" s="1613">
        <v>52200000</v>
      </c>
      <c r="G1575" s="1613">
        <v>58888560537</v>
      </c>
    </row>
    <row r="1576" spans="1:7" ht="17.25" customHeight="1" x14ac:dyDescent="0.2">
      <c r="A1576" s="1611">
        <v>14</v>
      </c>
      <c r="B1576" s="1611" t="s">
        <v>3937</v>
      </c>
      <c r="C1576" s="1611" t="s">
        <v>4736</v>
      </c>
      <c r="D1576" s="1612">
        <v>0</v>
      </c>
      <c r="E1576" s="1706" t="s">
        <v>7592</v>
      </c>
      <c r="F1576" s="1613">
        <v>14545454</v>
      </c>
      <c r="G1576" s="1613">
        <v>58903105991</v>
      </c>
    </row>
    <row r="1577" spans="1:7" ht="17.25" customHeight="1" x14ac:dyDescent="0.2">
      <c r="A1577" s="1611">
        <v>14</v>
      </c>
      <c r="B1577" s="1611" t="s">
        <v>7170</v>
      </c>
      <c r="C1577" s="1611" t="s">
        <v>4064</v>
      </c>
      <c r="D1577" s="1612">
        <v>0</v>
      </c>
      <c r="E1577" s="1612" t="s">
        <v>3295</v>
      </c>
      <c r="F1577" s="1613">
        <v>95661373</v>
      </c>
      <c r="G1577" s="1613">
        <v>58998767364</v>
      </c>
    </row>
    <row r="1578" spans="1:7" ht="17.25" customHeight="1" x14ac:dyDescent="0.2">
      <c r="A1578" s="1611">
        <v>14</v>
      </c>
      <c r="B1578" s="1611" t="s">
        <v>3937</v>
      </c>
      <c r="C1578" s="1611" t="s">
        <v>4737</v>
      </c>
      <c r="D1578" s="1612">
        <v>0</v>
      </c>
      <c r="E1578" s="1706" t="s">
        <v>7592</v>
      </c>
      <c r="F1578" s="1613">
        <v>35818181</v>
      </c>
      <c r="G1578" s="1613">
        <v>59034585545</v>
      </c>
    </row>
    <row r="1579" spans="1:7" ht="17.25" customHeight="1" x14ac:dyDescent="0.2">
      <c r="A1579" s="1611">
        <v>14</v>
      </c>
      <c r="B1579" s="1611" t="s">
        <v>3937</v>
      </c>
      <c r="C1579" s="1611" t="s">
        <v>4738</v>
      </c>
      <c r="D1579" s="1612">
        <v>0</v>
      </c>
      <c r="E1579" s="1706" t="s">
        <v>7592</v>
      </c>
      <c r="F1579" s="1613">
        <v>61400000</v>
      </c>
      <c r="G1579" s="1613">
        <v>59095985545</v>
      </c>
    </row>
    <row r="1580" spans="1:7" ht="17.25" customHeight="1" x14ac:dyDescent="0.2">
      <c r="A1580" s="1611">
        <v>14</v>
      </c>
      <c r="B1580" s="1611" t="s">
        <v>3937</v>
      </c>
      <c r="C1580" s="1611" t="s">
        <v>4739</v>
      </c>
      <c r="D1580" s="1612">
        <v>0</v>
      </c>
      <c r="E1580" s="1706" t="s">
        <v>7592</v>
      </c>
      <c r="F1580" s="1613">
        <v>34200000</v>
      </c>
      <c r="G1580" s="1613">
        <v>59130185545</v>
      </c>
    </row>
    <row r="1581" spans="1:7" ht="17.25" customHeight="1" x14ac:dyDescent="0.2">
      <c r="A1581" s="1611">
        <v>14</v>
      </c>
      <c r="B1581" s="1611" t="s">
        <v>3937</v>
      </c>
      <c r="C1581" s="1611" t="s">
        <v>4740</v>
      </c>
      <c r="D1581" s="1612">
        <v>0</v>
      </c>
      <c r="E1581" s="1706" t="s">
        <v>7592</v>
      </c>
      <c r="F1581" s="1613">
        <v>33909091</v>
      </c>
      <c r="G1581" s="1613">
        <v>59164094636</v>
      </c>
    </row>
    <row r="1582" spans="1:7" ht="17.25" customHeight="1" x14ac:dyDescent="0.2">
      <c r="A1582" s="1611">
        <v>14</v>
      </c>
      <c r="B1582" s="1611" t="s">
        <v>7207</v>
      </c>
      <c r="C1582" s="1611" t="s">
        <v>4681</v>
      </c>
      <c r="D1582" s="1612">
        <v>0</v>
      </c>
      <c r="E1582" s="1706" t="s">
        <v>7592</v>
      </c>
      <c r="F1582" s="1613">
        <v>8910000</v>
      </c>
      <c r="G1582" s="1613">
        <v>59173004636</v>
      </c>
    </row>
    <row r="1583" spans="1:7" ht="17.25" customHeight="1" x14ac:dyDescent="0.2">
      <c r="A1583" s="1611">
        <v>14</v>
      </c>
      <c r="B1583" s="1611" t="s">
        <v>3937</v>
      </c>
      <c r="C1583" s="1611" t="s">
        <v>4741</v>
      </c>
      <c r="D1583" s="1612">
        <v>0</v>
      </c>
      <c r="E1583" s="1706" t="s">
        <v>7592</v>
      </c>
      <c r="F1583" s="1613">
        <v>40000000</v>
      </c>
      <c r="G1583" s="1613">
        <v>59213004636</v>
      </c>
    </row>
    <row r="1584" spans="1:7" ht="17.25" customHeight="1" x14ac:dyDescent="0.2">
      <c r="A1584" s="1611">
        <v>14</v>
      </c>
      <c r="B1584" s="1611" t="s">
        <v>3937</v>
      </c>
      <c r="C1584" s="1611" t="s">
        <v>4742</v>
      </c>
      <c r="D1584" s="1612">
        <v>0</v>
      </c>
      <c r="E1584" s="1706" t="s">
        <v>7592</v>
      </c>
      <c r="F1584" s="1613">
        <v>33000000</v>
      </c>
      <c r="G1584" s="1613">
        <v>59246004636</v>
      </c>
    </row>
    <row r="1585" spans="1:7" ht="17.25" customHeight="1" x14ac:dyDescent="0.2">
      <c r="A1585" s="1611">
        <v>14</v>
      </c>
      <c r="B1585" s="1611" t="s">
        <v>3937</v>
      </c>
      <c r="C1585" s="1611" t="s">
        <v>4743</v>
      </c>
      <c r="D1585" s="1612">
        <v>0</v>
      </c>
      <c r="E1585" s="1706" t="s">
        <v>7592</v>
      </c>
      <c r="F1585" s="1613">
        <v>13363636</v>
      </c>
      <c r="G1585" s="1613">
        <v>59259368272</v>
      </c>
    </row>
    <row r="1586" spans="1:7" ht="17.25" customHeight="1" x14ac:dyDescent="0.2">
      <c r="A1586" s="1611">
        <v>14</v>
      </c>
      <c r="B1586" s="1611" t="s">
        <v>7208</v>
      </c>
      <c r="C1586" s="1611" t="s">
        <v>4744</v>
      </c>
      <c r="D1586" s="1612">
        <v>0</v>
      </c>
      <c r="E1586" s="1706" t="s">
        <v>7592</v>
      </c>
      <c r="F1586" s="1613">
        <v>103319466</v>
      </c>
      <c r="G1586" s="1613">
        <v>59362687738</v>
      </c>
    </row>
    <row r="1587" spans="1:7" ht="17.25" customHeight="1" x14ac:dyDescent="0.2">
      <c r="A1587" s="1611">
        <v>14</v>
      </c>
      <c r="B1587" s="1611" t="s">
        <v>7209</v>
      </c>
      <c r="C1587" s="1611" t="s">
        <v>3890</v>
      </c>
      <c r="D1587" s="1612">
        <v>0</v>
      </c>
      <c r="E1587" s="1612" t="s">
        <v>2025</v>
      </c>
      <c r="F1587" s="1613">
        <v>31264260</v>
      </c>
      <c r="G1587" s="1613">
        <v>59393951998</v>
      </c>
    </row>
    <row r="1588" spans="1:7" ht="17.25" customHeight="1" x14ac:dyDescent="0.2">
      <c r="A1588" s="1611">
        <v>14</v>
      </c>
      <c r="B1588" s="1611" t="s">
        <v>3937</v>
      </c>
      <c r="C1588" s="1611" t="s">
        <v>4745</v>
      </c>
      <c r="D1588" s="1612">
        <v>0</v>
      </c>
      <c r="E1588" s="1706" t="s">
        <v>7592</v>
      </c>
      <c r="F1588" s="1613">
        <v>34318181</v>
      </c>
      <c r="G1588" s="1613">
        <v>59428270179</v>
      </c>
    </row>
    <row r="1589" spans="1:7" ht="17.25" customHeight="1" x14ac:dyDescent="0.2">
      <c r="A1589" s="1611">
        <v>14</v>
      </c>
      <c r="B1589" s="1611" t="s">
        <v>7210</v>
      </c>
      <c r="C1589" s="1611" t="s">
        <v>4746</v>
      </c>
      <c r="D1589" s="1612">
        <v>0</v>
      </c>
      <c r="E1589" s="1706" t="s">
        <v>7592</v>
      </c>
      <c r="F1589" s="1613">
        <v>3600000</v>
      </c>
      <c r="G1589" s="1613">
        <v>59431870179</v>
      </c>
    </row>
    <row r="1590" spans="1:7" ht="17.25" customHeight="1" x14ac:dyDescent="0.2">
      <c r="A1590" s="1611">
        <v>14</v>
      </c>
      <c r="B1590" s="1611" t="s">
        <v>3937</v>
      </c>
      <c r="C1590" s="1611" t="s">
        <v>4747</v>
      </c>
      <c r="D1590" s="1612">
        <v>0</v>
      </c>
      <c r="E1590" s="1706" t="s">
        <v>7592</v>
      </c>
      <c r="F1590" s="1613">
        <v>13818181</v>
      </c>
      <c r="G1590" s="1613">
        <v>59445688360</v>
      </c>
    </row>
    <row r="1591" spans="1:7" ht="17.25" customHeight="1" x14ac:dyDescent="0.2">
      <c r="A1591" s="1611">
        <v>14</v>
      </c>
      <c r="B1591" s="1611" t="s">
        <v>3937</v>
      </c>
      <c r="C1591" s="1611" t="s">
        <v>4748</v>
      </c>
      <c r="D1591" s="1612">
        <v>0</v>
      </c>
      <c r="E1591" s="1706" t="s">
        <v>7592</v>
      </c>
      <c r="F1591" s="1613">
        <v>13600000</v>
      </c>
      <c r="G1591" s="1613">
        <v>59459288360</v>
      </c>
    </row>
    <row r="1592" spans="1:7" ht="17.25" customHeight="1" x14ac:dyDescent="0.2">
      <c r="A1592" s="1611">
        <v>14</v>
      </c>
      <c r="B1592" s="1611" t="s">
        <v>3670</v>
      </c>
      <c r="C1592" s="1611" t="s">
        <v>3597</v>
      </c>
      <c r="D1592" s="1612">
        <v>0</v>
      </c>
      <c r="E1592" s="1706" t="s">
        <v>7592</v>
      </c>
      <c r="F1592" s="1613">
        <v>54582000</v>
      </c>
      <c r="G1592" s="1613">
        <v>59513870360</v>
      </c>
    </row>
    <row r="1593" spans="1:7" ht="17.25" customHeight="1" x14ac:dyDescent="0.2">
      <c r="A1593" s="1611">
        <v>14</v>
      </c>
      <c r="B1593" s="1611" t="s">
        <v>3937</v>
      </c>
      <c r="C1593" s="1611" t="s">
        <v>4749</v>
      </c>
      <c r="D1593" s="1612">
        <v>0</v>
      </c>
      <c r="E1593" s="1706" t="s">
        <v>7592</v>
      </c>
      <c r="F1593" s="1613">
        <v>36272727</v>
      </c>
      <c r="G1593" s="1613">
        <v>59550143087</v>
      </c>
    </row>
    <row r="1594" spans="1:7" ht="17.25" customHeight="1" x14ac:dyDescent="0.2">
      <c r="A1594" s="1611">
        <v>14</v>
      </c>
      <c r="B1594" s="1611" t="s">
        <v>3937</v>
      </c>
      <c r="C1594" s="1611" t="s">
        <v>4750</v>
      </c>
      <c r="D1594" s="1612">
        <v>0</v>
      </c>
      <c r="E1594" s="1706" t="s">
        <v>7592</v>
      </c>
      <c r="F1594" s="1613">
        <v>40909090</v>
      </c>
      <c r="G1594" s="1613">
        <v>59591052177</v>
      </c>
    </row>
    <row r="1595" spans="1:7" ht="17.25" customHeight="1" x14ac:dyDescent="0.2">
      <c r="A1595" s="1611">
        <v>14</v>
      </c>
      <c r="B1595" s="1611" t="s">
        <v>3937</v>
      </c>
      <c r="C1595" s="1611" t="s">
        <v>3820</v>
      </c>
      <c r="D1595" s="1612">
        <v>0</v>
      </c>
      <c r="E1595" s="1706" t="s">
        <v>7592</v>
      </c>
      <c r="F1595" s="1613">
        <v>41272727</v>
      </c>
      <c r="G1595" s="1613">
        <v>59632324904</v>
      </c>
    </row>
    <row r="1596" spans="1:7" ht="17.25" customHeight="1" x14ac:dyDescent="0.2">
      <c r="A1596" s="1611">
        <v>14</v>
      </c>
      <c r="B1596" s="1611" t="s">
        <v>3937</v>
      </c>
      <c r="C1596" s="1611" t="s">
        <v>4751</v>
      </c>
      <c r="D1596" s="1612">
        <v>0</v>
      </c>
      <c r="E1596" s="1706" t="s">
        <v>7592</v>
      </c>
      <c r="F1596" s="1613">
        <v>38500000</v>
      </c>
      <c r="G1596" s="1613">
        <v>59670824904</v>
      </c>
    </row>
    <row r="1597" spans="1:7" ht="17.25" customHeight="1" x14ac:dyDescent="0.2">
      <c r="A1597" s="1611">
        <v>14</v>
      </c>
      <c r="B1597" s="1611" t="s">
        <v>3937</v>
      </c>
      <c r="C1597" s="1611" t="s">
        <v>4750</v>
      </c>
      <c r="D1597" s="1612">
        <v>0</v>
      </c>
      <c r="E1597" s="1706" t="s">
        <v>7592</v>
      </c>
      <c r="F1597" s="1613">
        <v>-40909090</v>
      </c>
      <c r="G1597" s="1613">
        <v>59629915814</v>
      </c>
    </row>
    <row r="1598" spans="1:7" ht="17.25" customHeight="1" x14ac:dyDescent="0.2">
      <c r="A1598" s="1611">
        <v>14</v>
      </c>
      <c r="B1598" s="1611" t="s">
        <v>3937</v>
      </c>
      <c r="C1598" s="1611" t="s">
        <v>4749</v>
      </c>
      <c r="D1598" s="1612">
        <v>0</v>
      </c>
      <c r="E1598" s="1706" t="s">
        <v>7592</v>
      </c>
      <c r="F1598" s="1613">
        <v>-36272727</v>
      </c>
      <c r="G1598" s="1613">
        <v>59593643087</v>
      </c>
    </row>
    <row r="1599" spans="1:7" ht="17.25" customHeight="1" x14ac:dyDescent="0.2">
      <c r="A1599" s="1611">
        <v>14</v>
      </c>
      <c r="B1599" s="1611" t="s">
        <v>3937</v>
      </c>
      <c r="C1599" s="1611" t="s">
        <v>4752</v>
      </c>
      <c r="D1599" s="1612">
        <v>0</v>
      </c>
      <c r="E1599" s="1706" t="s">
        <v>7592</v>
      </c>
      <c r="F1599" s="1613">
        <v>40909090</v>
      </c>
      <c r="G1599" s="1613">
        <v>59634552177</v>
      </c>
    </row>
    <row r="1600" spans="1:7" ht="17.25" customHeight="1" x14ac:dyDescent="0.2">
      <c r="A1600" s="1611">
        <v>14</v>
      </c>
      <c r="B1600" s="1611" t="s">
        <v>3937</v>
      </c>
      <c r="C1600" s="1611" t="s">
        <v>4569</v>
      </c>
      <c r="D1600" s="1612">
        <v>0</v>
      </c>
      <c r="E1600" s="1706" t="s">
        <v>7592</v>
      </c>
      <c r="F1600" s="1613">
        <v>36272727</v>
      </c>
      <c r="G1600" s="1613">
        <v>59670824904</v>
      </c>
    </row>
    <row r="1601" spans="1:7" ht="17.25" customHeight="1" x14ac:dyDescent="0.2">
      <c r="A1601" s="1611">
        <v>14</v>
      </c>
      <c r="B1601" s="1611" t="s">
        <v>2068</v>
      </c>
      <c r="C1601" s="1611" t="s">
        <v>214</v>
      </c>
      <c r="D1601" s="1612" t="s">
        <v>2024</v>
      </c>
      <c r="E1601" s="1706" t="s">
        <v>7592</v>
      </c>
      <c r="F1601" s="1613">
        <v>46158000</v>
      </c>
      <c r="G1601" s="1613">
        <v>59716982904</v>
      </c>
    </row>
    <row r="1602" spans="1:7" ht="17.25" customHeight="1" x14ac:dyDescent="0.2">
      <c r="A1602" s="1611">
        <v>14</v>
      </c>
      <c r="B1602" s="1611" t="s">
        <v>3937</v>
      </c>
      <c r="C1602" s="1611" t="s">
        <v>4753</v>
      </c>
      <c r="D1602" s="1612">
        <v>0</v>
      </c>
      <c r="E1602" s="1706" t="s">
        <v>7592</v>
      </c>
      <c r="F1602" s="1613">
        <v>33636364</v>
      </c>
      <c r="G1602" s="1613">
        <v>59750619268</v>
      </c>
    </row>
    <row r="1603" spans="1:7" ht="17.25" customHeight="1" x14ac:dyDescent="0.2">
      <c r="A1603" s="1611">
        <v>14</v>
      </c>
      <c r="B1603" s="1611" t="s">
        <v>3937</v>
      </c>
      <c r="C1603" s="1611" t="s">
        <v>4754</v>
      </c>
      <c r="D1603" s="1612">
        <v>0</v>
      </c>
      <c r="E1603" s="1706" t="s">
        <v>7592</v>
      </c>
      <c r="F1603" s="1613">
        <v>33636364</v>
      </c>
      <c r="G1603" s="1613">
        <v>59784255632</v>
      </c>
    </row>
    <row r="1604" spans="1:7" ht="17.25" customHeight="1" x14ac:dyDescent="0.2">
      <c r="A1604" s="1611">
        <v>14</v>
      </c>
      <c r="B1604" s="1611" t="s">
        <v>3937</v>
      </c>
      <c r="C1604" s="1611" t="s">
        <v>3672</v>
      </c>
      <c r="D1604" s="1612">
        <v>0</v>
      </c>
      <c r="E1604" s="1706" t="s">
        <v>7592</v>
      </c>
      <c r="F1604" s="1613">
        <v>35000000</v>
      </c>
      <c r="G1604" s="1613">
        <v>59819255632</v>
      </c>
    </row>
    <row r="1605" spans="1:7" ht="17.25" customHeight="1" x14ac:dyDescent="0.2">
      <c r="A1605" s="1611">
        <v>14</v>
      </c>
      <c r="B1605" s="1611" t="s">
        <v>3937</v>
      </c>
      <c r="C1605" s="1611" t="s">
        <v>4535</v>
      </c>
      <c r="D1605" s="1612">
        <v>0</v>
      </c>
      <c r="E1605" s="1706" t="s">
        <v>7592</v>
      </c>
      <c r="F1605" s="1613">
        <v>13000000</v>
      </c>
      <c r="G1605" s="1613">
        <v>59832255632</v>
      </c>
    </row>
    <row r="1606" spans="1:7" ht="17.25" customHeight="1" x14ac:dyDescent="0.2">
      <c r="A1606" s="1611">
        <v>14</v>
      </c>
      <c r="B1606" s="1611" t="s">
        <v>3937</v>
      </c>
      <c r="C1606" s="1611" t="s">
        <v>4755</v>
      </c>
      <c r="D1606" s="1612">
        <v>0</v>
      </c>
      <c r="E1606" s="1706" t="s">
        <v>7592</v>
      </c>
      <c r="F1606" s="1613">
        <v>48900000</v>
      </c>
      <c r="G1606" s="1613">
        <v>59881155632</v>
      </c>
    </row>
    <row r="1607" spans="1:7" ht="17.25" customHeight="1" x14ac:dyDescent="0.2">
      <c r="A1607" s="1611">
        <v>14</v>
      </c>
      <c r="B1607" s="1611" t="s">
        <v>3937</v>
      </c>
      <c r="C1607" s="1611" t="s">
        <v>4535</v>
      </c>
      <c r="D1607" s="1612">
        <v>0</v>
      </c>
      <c r="E1607" s="1706" t="s">
        <v>7592</v>
      </c>
      <c r="F1607" s="1613">
        <v>13000000</v>
      </c>
      <c r="G1607" s="1613">
        <v>59894155632</v>
      </c>
    </row>
    <row r="1608" spans="1:7" ht="17.25" customHeight="1" x14ac:dyDescent="0.2">
      <c r="A1608" s="1611">
        <v>14</v>
      </c>
      <c r="B1608" s="1611" t="s">
        <v>4756</v>
      </c>
      <c r="C1608" s="1611" t="s">
        <v>4111</v>
      </c>
      <c r="D1608" s="1612">
        <v>0</v>
      </c>
      <c r="E1608" s="1706" t="s">
        <v>7592</v>
      </c>
      <c r="F1608" s="1613">
        <v>24022000</v>
      </c>
      <c r="G1608" s="1613">
        <v>59918177632</v>
      </c>
    </row>
    <row r="1609" spans="1:7" ht="17.25" customHeight="1" x14ac:dyDescent="0.2">
      <c r="A1609" s="1611">
        <v>14</v>
      </c>
      <c r="B1609" s="1611" t="s">
        <v>7153</v>
      </c>
      <c r="C1609" s="1611" t="s">
        <v>4744</v>
      </c>
      <c r="D1609" s="1612">
        <v>0</v>
      </c>
      <c r="E1609" s="1706" t="s">
        <v>7592</v>
      </c>
      <c r="F1609" s="1613">
        <v>64330954</v>
      </c>
      <c r="G1609" s="1613">
        <v>59982508586</v>
      </c>
    </row>
    <row r="1610" spans="1:7" ht="17.25" customHeight="1" x14ac:dyDescent="0.2">
      <c r="A1610" s="1611">
        <v>14</v>
      </c>
      <c r="B1610" s="1611" t="s">
        <v>2041</v>
      </c>
      <c r="C1610" s="1611" t="s">
        <v>214</v>
      </c>
      <c r="D1610" s="1612" t="s">
        <v>7555</v>
      </c>
      <c r="E1610" s="1706" t="s">
        <v>7592</v>
      </c>
      <c r="F1610" s="1613">
        <v>40148200</v>
      </c>
      <c r="G1610" s="1613">
        <v>60022656786</v>
      </c>
    </row>
    <row r="1611" spans="1:7" ht="17.25" customHeight="1" x14ac:dyDescent="0.2">
      <c r="A1611" s="1611">
        <v>14</v>
      </c>
      <c r="B1611" s="1611" t="s">
        <v>3937</v>
      </c>
      <c r="C1611" s="1611" t="s">
        <v>4757</v>
      </c>
      <c r="D1611" s="1612">
        <v>0</v>
      </c>
      <c r="E1611" s="1706" t="s">
        <v>7592</v>
      </c>
      <c r="F1611" s="1613">
        <v>43000000</v>
      </c>
      <c r="G1611" s="1613">
        <v>60065656786</v>
      </c>
    </row>
    <row r="1612" spans="1:7" ht="17.25" customHeight="1" x14ac:dyDescent="0.2">
      <c r="A1612" s="1611">
        <v>14</v>
      </c>
      <c r="B1612" s="1611" t="s">
        <v>3937</v>
      </c>
      <c r="C1612" s="1611" t="s">
        <v>4758</v>
      </c>
      <c r="D1612" s="1612">
        <v>0</v>
      </c>
      <c r="E1612" s="1706" t="s">
        <v>7592</v>
      </c>
      <c r="F1612" s="1613">
        <v>33500000</v>
      </c>
      <c r="G1612" s="1613">
        <v>60099156786</v>
      </c>
    </row>
    <row r="1613" spans="1:7" ht="17.25" customHeight="1" x14ac:dyDescent="0.2">
      <c r="A1613" s="1611">
        <v>14</v>
      </c>
      <c r="B1613" s="1611" t="s">
        <v>3937</v>
      </c>
      <c r="C1613" s="1611" t="s">
        <v>4481</v>
      </c>
      <c r="D1613" s="1612">
        <v>0</v>
      </c>
      <c r="E1613" s="1706" t="s">
        <v>7592</v>
      </c>
      <c r="F1613" s="1613">
        <v>32500000</v>
      </c>
      <c r="G1613" s="1613">
        <v>60131656786</v>
      </c>
    </row>
    <row r="1614" spans="1:7" ht="17.25" customHeight="1" x14ac:dyDescent="0.2">
      <c r="A1614" s="1611">
        <v>14</v>
      </c>
      <c r="B1614" s="1611" t="s">
        <v>3937</v>
      </c>
      <c r="C1614" s="1611" t="s">
        <v>4759</v>
      </c>
      <c r="D1614" s="1612">
        <v>0</v>
      </c>
      <c r="E1614" s="1706" t="s">
        <v>7592</v>
      </c>
      <c r="F1614" s="1613">
        <v>35000000</v>
      </c>
      <c r="G1614" s="1613">
        <v>60166656786</v>
      </c>
    </row>
    <row r="1615" spans="1:7" ht="17.25" customHeight="1" x14ac:dyDescent="0.2">
      <c r="A1615" s="1611">
        <v>14</v>
      </c>
      <c r="B1615" s="1611" t="s">
        <v>3937</v>
      </c>
      <c r="C1615" s="1611" t="s">
        <v>4760</v>
      </c>
      <c r="D1615" s="1612">
        <v>0</v>
      </c>
      <c r="E1615" s="1706" t="s">
        <v>7592</v>
      </c>
      <c r="F1615" s="1613">
        <v>39000000</v>
      </c>
      <c r="G1615" s="1613">
        <v>60205656786</v>
      </c>
    </row>
    <row r="1616" spans="1:7" ht="17.25" customHeight="1" x14ac:dyDescent="0.2">
      <c r="A1616" s="1611">
        <v>14</v>
      </c>
      <c r="B1616" s="1611" t="s">
        <v>7211</v>
      </c>
      <c r="C1616" s="1611" t="s">
        <v>4761</v>
      </c>
      <c r="D1616" s="1612">
        <v>0</v>
      </c>
      <c r="E1616" s="1706" t="s">
        <v>7574</v>
      </c>
      <c r="F1616" s="1613">
        <v>926028</v>
      </c>
      <c r="G1616" s="1613">
        <v>60206582814</v>
      </c>
    </row>
    <row r="1617" spans="1:7" ht="17.25" customHeight="1" x14ac:dyDescent="0.2">
      <c r="A1617" s="1611">
        <v>14</v>
      </c>
      <c r="B1617" s="1611" t="s">
        <v>3937</v>
      </c>
      <c r="C1617" s="1611" t="s">
        <v>4762</v>
      </c>
      <c r="D1617" s="1612">
        <v>0</v>
      </c>
      <c r="E1617" s="1706" t="s">
        <v>7592</v>
      </c>
      <c r="F1617" s="1613">
        <v>14800000</v>
      </c>
      <c r="G1617" s="1613">
        <v>60221382814</v>
      </c>
    </row>
    <row r="1618" spans="1:7" ht="17.25" customHeight="1" x14ac:dyDescent="0.2">
      <c r="A1618" s="1611">
        <v>14</v>
      </c>
      <c r="B1618" s="1611" t="s">
        <v>3937</v>
      </c>
      <c r="C1618" s="1611" t="s">
        <v>4763</v>
      </c>
      <c r="D1618" s="1612">
        <v>0</v>
      </c>
      <c r="E1618" s="1706" t="s">
        <v>7592</v>
      </c>
      <c r="F1618" s="1613">
        <v>33454545</v>
      </c>
      <c r="G1618" s="1613">
        <v>60254837359</v>
      </c>
    </row>
    <row r="1619" spans="1:7" ht="17.25" customHeight="1" x14ac:dyDescent="0.2">
      <c r="A1619" s="1611">
        <v>14</v>
      </c>
      <c r="B1619" s="1611" t="s">
        <v>3937</v>
      </c>
      <c r="C1619" s="1611" t="s">
        <v>4764</v>
      </c>
      <c r="D1619" s="1612">
        <v>0</v>
      </c>
      <c r="E1619" s="1706" t="s">
        <v>7592</v>
      </c>
      <c r="F1619" s="1613">
        <v>42000000</v>
      </c>
      <c r="G1619" s="1613">
        <v>60296837359</v>
      </c>
    </row>
    <row r="1620" spans="1:7" ht="17.25" customHeight="1" x14ac:dyDescent="0.2">
      <c r="A1620" s="1611">
        <v>14</v>
      </c>
      <c r="B1620" s="1611" t="s">
        <v>3937</v>
      </c>
      <c r="C1620" s="1611" t="s">
        <v>4765</v>
      </c>
      <c r="D1620" s="1612">
        <v>0</v>
      </c>
      <c r="E1620" s="1706" t="s">
        <v>7592</v>
      </c>
      <c r="F1620" s="1613">
        <v>33000000</v>
      </c>
      <c r="G1620" s="1613">
        <v>60329837359</v>
      </c>
    </row>
    <row r="1621" spans="1:7" ht="17.25" customHeight="1" x14ac:dyDescent="0.2">
      <c r="A1621" s="1611">
        <v>14</v>
      </c>
      <c r="B1621" s="1611" t="s">
        <v>3937</v>
      </c>
      <c r="C1621" s="1611" t="s">
        <v>4766</v>
      </c>
      <c r="D1621" s="1612">
        <v>0</v>
      </c>
      <c r="E1621" s="1706" t="s">
        <v>7592</v>
      </c>
      <c r="F1621" s="1613">
        <v>50000000</v>
      </c>
      <c r="G1621" s="1613">
        <v>60379837359</v>
      </c>
    </row>
    <row r="1622" spans="1:7" ht="17.25" customHeight="1" x14ac:dyDescent="0.2">
      <c r="A1622" s="1611">
        <v>14</v>
      </c>
      <c r="B1622" s="1611" t="s">
        <v>3937</v>
      </c>
      <c r="C1622" s="1611" t="s">
        <v>4767</v>
      </c>
      <c r="D1622" s="1612">
        <v>0</v>
      </c>
      <c r="E1622" s="1706" t="s">
        <v>7592</v>
      </c>
      <c r="F1622" s="1613">
        <v>15454545</v>
      </c>
      <c r="G1622" s="1613">
        <v>60395291904</v>
      </c>
    </row>
    <row r="1623" spans="1:7" ht="17.25" customHeight="1" x14ac:dyDescent="0.2">
      <c r="A1623" s="1611">
        <v>14</v>
      </c>
      <c r="B1623" s="1611" t="s">
        <v>2055</v>
      </c>
      <c r="C1623" s="1611" t="s">
        <v>214</v>
      </c>
      <c r="D1623" s="1612" t="s">
        <v>7555</v>
      </c>
      <c r="E1623" s="1706" t="s">
        <v>7592</v>
      </c>
      <c r="F1623" s="1613">
        <v>56107000</v>
      </c>
      <c r="G1623" s="1613">
        <v>60451398904</v>
      </c>
    </row>
    <row r="1624" spans="1:7" ht="17.25" customHeight="1" x14ac:dyDescent="0.2">
      <c r="A1624" s="1611">
        <v>14</v>
      </c>
      <c r="B1624" s="1611" t="s">
        <v>3937</v>
      </c>
      <c r="C1624" s="1611" t="s">
        <v>4768</v>
      </c>
      <c r="D1624" s="1612">
        <v>0</v>
      </c>
      <c r="E1624" s="1706" t="s">
        <v>7592</v>
      </c>
      <c r="F1624" s="1613">
        <v>35454545</v>
      </c>
      <c r="G1624" s="1613">
        <v>60486853449</v>
      </c>
    </row>
    <row r="1625" spans="1:7" ht="17.25" customHeight="1" x14ac:dyDescent="0.2">
      <c r="A1625" s="1611">
        <v>14</v>
      </c>
      <c r="B1625" s="1611" t="s">
        <v>3937</v>
      </c>
      <c r="C1625" s="1611" t="s">
        <v>4769</v>
      </c>
      <c r="D1625" s="1612">
        <v>0</v>
      </c>
      <c r="E1625" s="1706" t="s">
        <v>7592</v>
      </c>
      <c r="F1625" s="1613">
        <v>33000000</v>
      </c>
      <c r="G1625" s="1613">
        <v>60519853449</v>
      </c>
    </row>
    <row r="1626" spans="1:7" ht="17.25" customHeight="1" x14ac:dyDescent="0.2">
      <c r="A1626" s="1611">
        <v>14</v>
      </c>
      <c r="B1626" s="1611" t="s">
        <v>3937</v>
      </c>
      <c r="C1626" s="1611" t="s">
        <v>4770</v>
      </c>
      <c r="D1626" s="1612">
        <v>0</v>
      </c>
      <c r="E1626" s="1706" t="s">
        <v>7592</v>
      </c>
      <c r="F1626" s="1613">
        <v>3600000</v>
      </c>
      <c r="G1626" s="1613">
        <v>60523453449</v>
      </c>
    </row>
    <row r="1627" spans="1:7" ht="17.25" customHeight="1" x14ac:dyDescent="0.2">
      <c r="A1627" s="1611">
        <v>14</v>
      </c>
      <c r="B1627" s="1611" t="s">
        <v>3937</v>
      </c>
      <c r="C1627" s="1611" t="s">
        <v>4771</v>
      </c>
      <c r="D1627" s="1612">
        <v>0</v>
      </c>
      <c r="E1627" s="1706" t="s">
        <v>7592</v>
      </c>
      <c r="F1627" s="1613">
        <v>35000000</v>
      </c>
      <c r="G1627" s="1613">
        <v>60558453449</v>
      </c>
    </row>
    <row r="1628" spans="1:7" ht="17.25" customHeight="1" x14ac:dyDescent="0.2">
      <c r="A1628" s="1611">
        <v>14</v>
      </c>
      <c r="B1628" s="1611" t="s">
        <v>3937</v>
      </c>
      <c r="C1628" s="1611" t="s">
        <v>4772</v>
      </c>
      <c r="D1628" s="1612">
        <v>0</v>
      </c>
      <c r="E1628" s="1706" t="s">
        <v>7592</v>
      </c>
      <c r="F1628" s="1613">
        <v>34050000</v>
      </c>
      <c r="G1628" s="1613">
        <v>60592503449</v>
      </c>
    </row>
    <row r="1629" spans="1:7" ht="17.25" customHeight="1" x14ac:dyDescent="0.2">
      <c r="A1629" s="1611">
        <v>14</v>
      </c>
      <c r="B1629" s="1611" t="s">
        <v>3937</v>
      </c>
      <c r="C1629" s="1611" t="s">
        <v>4773</v>
      </c>
      <c r="D1629" s="1612">
        <v>0</v>
      </c>
      <c r="E1629" s="1706" t="s">
        <v>7592</v>
      </c>
      <c r="F1629" s="1613">
        <v>150000000</v>
      </c>
      <c r="G1629" s="1613">
        <v>60742503449</v>
      </c>
    </row>
    <row r="1630" spans="1:7" ht="17.25" customHeight="1" x14ac:dyDescent="0.2">
      <c r="A1630" s="1611">
        <v>14</v>
      </c>
      <c r="B1630" s="1611" t="s">
        <v>7212</v>
      </c>
      <c r="C1630" s="1611" t="s">
        <v>3597</v>
      </c>
      <c r="D1630" s="1612">
        <v>0</v>
      </c>
      <c r="E1630" s="1706" t="s">
        <v>7592</v>
      </c>
      <c r="F1630" s="1613">
        <v>14630000</v>
      </c>
      <c r="G1630" s="1613">
        <v>60757133449</v>
      </c>
    </row>
    <row r="1631" spans="1:7" ht="17.25" customHeight="1" x14ac:dyDescent="0.2">
      <c r="A1631" s="1611">
        <v>14</v>
      </c>
      <c r="B1631" s="1611" t="s">
        <v>3937</v>
      </c>
      <c r="C1631" s="1611" t="s">
        <v>4774</v>
      </c>
      <c r="D1631" s="1612">
        <v>0</v>
      </c>
      <c r="E1631" s="1706" t="s">
        <v>7592</v>
      </c>
      <c r="F1631" s="1613">
        <v>40000000</v>
      </c>
      <c r="G1631" s="1613">
        <v>60797133449</v>
      </c>
    </row>
    <row r="1632" spans="1:7" ht="17.25" customHeight="1" x14ac:dyDescent="0.2">
      <c r="A1632" s="1611">
        <v>14</v>
      </c>
      <c r="B1632" s="1611" t="s">
        <v>7153</v>
      </c>
      <c r="C1632" s="1611" t="s">
        <v>4775</v>
      </c>
      <c r="D1632" s="1612">
        <v>0</v>
      </c>
      <c r="E1632" s="1706" t="s">
        <v>7592</v>
      </c>
      <c r="F1632" s="1613">
        <v>67344018</v>
      </c>
      <c r="G1632" s="1613">
        <v>60864477467</v>
      </c>
    </row>
    <row r="1633" spans="1:7" ht="17.25" customHeight="1" x14ac:dyDescent="0.2">
      <c r="A1633" s="1611">
        <v>14</v>
      </c>
      <c r="B1633" s="1611" t="s">
        <v>3937</v>
      </c>
      <c r="C1633" s="1611" t="s">
        <v>4776</v>
      </c>
      <c r="D1633" s="1612">
        <v>0</v>
      </c>
      <c r="E1633" s="1706" t="s">
        <v>7592</v>
      </c>
      <c r="F1633" s="1613">
        <v>13500000</v>
      </c>
      <c r="G1633" s="1613">
        <v>60877977467</v>
      </c>
    </row>
    <row r="1634" spans="1:7" ht="17.25" customHeight="1" x14ac:dyDescent="0.2">
      <c r="A1634" s="1611">
        <v>14</v>
      </c>
      <c r="B1634" s="1611" t="s">
        <v>3937</v>
      </c>
      <c r="C1634" s="1611" t="s">
        <v>4777</v>
      </c>
      <c r="D1634" s="1612">
        <v>0</v>
      </c>
      <c r="E1634" s="1706" t="s">
        <v>7592</v>
      </c>
      <c r="F1634" s="1613">
        <v>34450000</v>
      </c>
      <c r="G1634" s="1613">
        <v>60912427467</v>
      </c>
    </row>
    <row r="1635" spans="1:7" ht="17.25" customHeight="1" x14ac:dyDescent="0.2">
      <c r="A1635" s="1611">
        <v>14</v>
      </c>
      <c r="B1635" s="1611" t="s">
        <v>3937</v>
      </c>
      <c r="C1635" s="1611" t="s">
        <v>3659</v>
      </c>
      <c r="D1635" s="1612">
        <v>0</v>
      </c>
      <c r="E1635" s="1706" t="s">
        <v>7592</v>
      </c>
      <c r="F1635" s="1613">
        <v>34000000</v>
      </c>
      <c r="G1635" s="1613">
        <v>60946427467</v>
      </c>
    </row>
    <row r="1636" spans="1:7" ht="17.25" customHeight="1" x14ac:dyDescent="0.2">
      <c r="A1636" s="1611">
        <v>14</v>
      </c>
      <c r="B1636" s="1611" t="s">
        <v>3937</v>
      </c>
      <c r="C1636" s="1611" t="s">
        <v>4778</v>
      </c>
      <c r="D1636" s="1612">
        <v>0</v>
      </c>
      <c r="E1636" s="1706" t="s">
        <v>7592</v>
      </c>
      <c r="F1636" s="1613">
        <v>49500000</v>
      </c>
      <c r="G1636" s="1613">
        <v>60995927467</v>
      </c>
    </row>
    <row r="1637" spans="1:7" ht="17.25" customHeight="1" x14ac:dyDescent="0.2">
      <c r="A1637" s="1611">
        <v>14</v>
      </c>
      <c r="B1637" s="1611" t="s">
        <v>3937</v>
      </c>
      <c r="C1637" s="1611" t="s">
        <v>4779</v>
      </c>
      <c r="D1637" s="1612">
        <v>0</v>
      </c>
      <c r="E1637" s="1706" t="s">
        <v>7592</v>
      </c>
      <c r="F1637" s="1613">
        <v>51000000</v>
      </c>
      <c r="G1637" s="1613">
        <v>61046927467</v>
      </c>
    </row>
    <row r="1638" spans="1:7" ht="17.25" customHeight="1" x14ac:dyDescent="0.2">
      <c r="A1638" s="1611">
        <v>14</v>
      </c>
      <c r="B1638" s="1611" t="s">
        <v>3937</v>
      </c>
      <c r="C1638" s="1611" t="s">
        <v>4780</v>
      </c>
      <c r="D1638" s="1612">
        <v>0</v>
      </c>
      <c r="E1638" s="1706" t="s">
        <v>7592</v>
      </c>
      <c r="F1638" s="1613">
        <v>58500000</v>
      </c>
      <c r="G1638" s="1613">
        <v>61105427467</v>
      </c>
    </row>
    <row r="1639" spans="1:7" ht="17.25" customHeight="1" x14ac:dyDescent="0.2">
      <c r="A1639" s="1611">
        <v>14</v>
      </c>
      <c r="B1639" s="1611" t="s">
        <v>3937</v>
      </c>
      <c r="C1639" s="1611" t="s">
        <v>3722</v>
      </c>
      <c r="D1639" s="1612">
        <v>0</v>
      </c>
      <c r="E1639" s="1706" t="s">
        <v>7592</v>
      </c>
      <c r="F1639" s="1613">
        <v>23220000</v>
      </c>
      <c r="G1639" s="1613">
        <v>61128647467</v>
      </c>
    </row>
    <row r="1640" spans="1:7" ht="17.25" customHeight="1" x14ac:dyDescent="0.2">
      <c r="A1640" s="1611">
        <v>14</v>
      </c>
      <c r="B1640" s="1611" t="s">
        <v>7213</v>
      </c>
      <c r="C1640" s="1611" t="s">
        <v>4781</v>
      </c>
      <c r="D1640" s="1612">
        <v>0</v>
      </c>
      <c r="E1640" s="1706" t="s">
        <v>7547</v>
      </c>
      <c r="F1640" s="1613">
        <v>19813236</v>
      </c>
      <c r="G1640" s="1613">
        <v>61148460703</v>
      </c>
    </row>
    <row r="1641" spans="1:7" ht="17.25" customHeight="1" x14ac:dyDescent="0.2">
      <c r="A1641" s="1611">
        <v>14</v>
      </c>
      <c r="B1641" s="1611" t="s">
        <v>3937</v>
      </c>
      <c r="C1641" s="1611" t="s">
        <v>4782</v>
      </c>
      <c r="D1641" s="1612">
        <v>0</v>
      </c>
      <c r="E1641" s="1706" t="s">
        <v>7592</v>
      </c>
      <c r="F1641" s="1613">
        <v>13517000</v>
      </c>
      <c r="G1641" s="1613">
        <v>61161977703</v>
      </c>
    </row>
    <row r="1642" spans="1:7" ht="17.25" customHeight="1" x14ac:dyDescent="0.2">
      <c r="A1642" s="1611">
        <v>14</v>
      </c>
      <c r="B1642" s="1611" t="s">
        <v>7214</v>
      </c>
      <c r="C1642" s="1611" t="s">
        <v>4621</v>
      </c>
      <c r="D1642" s="1612">
        <v>0</v>
      </c>
      <c r="E1642" s="1612" t="s">
        <v>3298</v>
      </c>
      <c r="F1642" s="1613">
        <v>53158093</v>
      </c>
      <c r="G1642" s="1613">
        <v>61215135796</v>
      </c>
    </row>
    <row r="1643" spans="1:7" ht="17.25" customHeight="1" x14ac:dyDescent="0.2">
      <c r="A1643" s="1611">
        <v>14</v>
      </c>
      <c r="B1643" s="1611" t="s">
        <v>3937</v>
      </c>
      <c r="C1643" s="1611" t="s">
        <v>4783</v>
      </c>
      <c r="D1643" s="1612">
        <v>0</v>
      </c>
      <c r="E1643" s="1706" t="s">
        <v>7592</v>
      </c>
      <c r="F1643" s="1613">
        <v>34363636</v>
      </c>
      <c r="G1643" s="1613">
        <v>61249499432</v>
      </c>
    </row>
    <row r="1644" spans="1:7" ht="17.25" customHeight="1" x14ac:dyDescent="0.2">
      <c r="A1644" s="1611">
        <v>14</v>
      </c>
      <c r="B1644" s="1611" t="s">
        <v>3937</v>
      </c>
      <c r="C1644" s="1611" t="s">
        <v>3808</v>
      </c>
      <c r="D1644" s="1612">
        <v>0</v>
      </c>
      <c r="E1644" s="1706" t="s">
        <v>7592</v>
      </c>
      <c r="F1644" s="1613">
        <v>40000000</v>
      </c>
      <c r="G1644" s="1613">
        <v>61289499432</v>
      </c>
    </row>
    <row r="1645" spans="1:7" ht="17.25" customHeight="1" x14ac:dyDescent="0.2">
      <c r="A1645" s="1611">
        <v>14</v>
      </c>
      <c r="B1645" s="1611" t="s">
        <v>3937</v>
      </c>
      <c r="C1645" s="1611" t="s">
        <v>4784</v>
      </c>
      <c r="D1645" s="1612">
        <v>0</v>
      </c>
      <c r="E1645" s="1706" t="s">
        <v>7592</v>
      </c>
      <c r="F1645" s="1613">
        <v>40909090</v>
      </c>
      <c r="G1645" s="1613">
        <v>61330408522</v>
      </c>
    </row>
    <row r="1646" spans="1:7" ht="17.25" customHeight="1" x14ac:dyDescent="0.2">
      <c r="A1646" s="1611">
        <v>14</v>
      </c>
      <c r="B1646" s="1611" t="s">
        <v>3937</v>
      </c>
      <c r="C1646" s="1611" t="s">
        <v>4785</v>
      </c>
      <c r="D1646" s="1612">
        <v>0</v>
      </c>
      <c r="E1646" s="1706" t="s">
        <v>7592</v>
      </c>
      <c r="F1646" s="1613">
        <v>5545455</v>
      </c>
      <c r="G1646" s="1613">
        <v>61335953977</v>
      </c>
    </row>
    <row r="1647" spans="1:7" ht="17.25" customHeight="1" x14ac:dyDescent="0.2">
      <c r="A1647" s="1611">
        <v>14</v>
      </c>
      <c r="B1647" s="1611" t="s">
        <v>3937</v>
      </c>
      <c r="C1647" s="1611" t="s">
        <v>4785</v>
      </c>
      <c r="D1647" s="1612">
        <v>0</v>
      </c>
      <c r="E1647" s="1706" t="s">
        <v>7592</v>
      </c>
      <c r="F1647" s="1613">
        <v>41818182</v>
      </c>
      <c r="G1647" s="1613">
        <v>61377772159</v>
      </c>
    </row>
    <row r="1648" spans="1:7" ht="17.25" customHeight="1" x14ac:dyDescent="0.2">
      <c r="A1648" s="1611">
        <v>14</v>
      </c>
      <c r="B1648" s="1611" t="s">
        <v>3937</v>
      </c>
      <c r="C1648" s="1611" t="s">
        <v>4786</v>
      </c>
      <c r="D1648" s="1612">
        <v>0</v>
      </c>
      <c r="E1648" s="1706" t="s">
        <v>7592</v>
      </c>
      <c r="F1648" s="1613">
        <v>15400000</v>
      </c>
      <c r="G1648" s="1613">
        <v>61393172159</v>
      </c>
    </row>
    <row r="1649" spans="1:7" ht="17.25" customHeight="1" x14ac:dyDescent="0.2">
      <c r="A1649" s="1611">
        <v>14</v>
      </c>
      <c r="B1649" s="1611" t="s">
        <v>3937</v>
      </c>
      <c r="C1649" s="1611" t="s">
        <v>4787</v>
      </c>
      <c r="D1649" s="1612">
        <v>0</v>
      </c>
      <c r="E1649" s="1706" t="s">
        <v>7592</v>
      </c>
      <c r="F1649" s="1613">
        <v>35418181</v>
      </c>
      <c r="G1649" s="1613">
        <v>61428590340</v>
      </c>
    </row>
    <row r="1650" spans="1:7" ht="17.25" customHeight="1" x14ac:dyDescent="0.2">
      <c r="A1650" s="1611">
        <v>14</v>
      </c>
      <c r="B1650" s="1611" t="s">
        <v>3937</v>
      </c>
      <c r="C1650" s="1611" t="s">
        <v>4788</v>
      </c>
      <c r="D1650" s="1612">
        <v>0</v>
      </c>
      <c r="E1650" s="1706" t="s">
        <v>7592</v>
      </c>
      <c r="F1650" s="1613">
        <v>35818182</v>
      </c>
      <c r="G1650" s="1613">
        <v>61464408522</v>
      </c>
    </row>
    <row r="1651" spans="1:7" ht="17.25" customHeight="1" x14ac:dyDescent="0.2">
      <c r="A1651" s="1611">
        <v>14</v>
      </c>
      <c r="B1651" s="1611" t="s">
        <v>3937</v>
      </c>
      <c r="C1651" s="1611" t="s">
        <v>3586</v>
      </c>
      <c r="D1651" s="1612">
        <v>0</v>
      </c>
      <c r="E1651" s="1706" t="s">
        <v>7592</v>
      </c>
      <c r="F1651" s="1613">
        <v>32500000</v>
      </c>
      <c r="G1651" s="1613">
        <v>61496908522</v>
      </c>
    </row>
    <row r="1652" spans="1:7" ht="17.25" customHeight="1" x14ac:dyDescent="0.2">
      <c r="A1652" s="1611">
        <v>14</v>
      </c>
      <c r="B1652" s="1611" t="s">
        <v>3937</v>
      </c>
      <c r="C1652" s="1611" t="s">
        <v>4789</v>
      </c>
      <c r="D1652" s="1612">
        <v>0</v>
      </c>
      <c r="E1652" s="1706" t="s">
        <v>7592</v>
      </c>
      <c r="F1652" s="1613">
        <v>34700000</v>
      </c>
      <c r="G1652" s="1613">
        <v>61531608522</v>
      </c>
    </row>
    <row r="1653" spans="1:7" ht="17.25" customHeight="1" x14ac:dyDescent="0.2">
      <c r="A1653" s="1611">
        <v>14</v>
      </c>
      <c r="B1653" s="1611" t="s">
        <v>3937</v>
      </c>
      <c r="C1653" s="1611" t="s">
        <v>4790</v>
      </c>
      <c r="D1653" s="1612">
        <v>0</v>
      </c>
      <c r="E1653" s="1706" t="s">
        <v>7592</v>
      </c>
      <c r="F1653" s="1613">
        <v>34000000</v>
      </c>
      <c r="G1653" s="1613">
        <v>61565608522</v>
      </c>
    </row>
    <row r="1654" spans="1:7" ht="17.25" customHeight="1" x14ac:dyDescent="0.2">
      <c r="A1654" s="1611">
        <v>14</v>
      </c>
      <c r="B1654" s="1611" t="s">
        <v>3937</v>
      </c>
      <c r="C1654" s="1611" t="s">
        <v>3635</v>
      </c>
      <c r="D1654" s="1612">
        <v>0</v>
      </c>
      <c r="E1654" s="1706" t="s">
        <v>7592</v>
      </c>
      <c r="F1654" s="1613">
        <v>12800000</v>
      </c>
      <c r="G1654" s="1613">
        <v>61578408522</v>
      </c>
    </row>
    <row r="1655" spans="1:7" ht="17.25" customHeight="1" x14ac:dyDescent="0.2">
      <c r="A1655" s="1611">
        <v>14</v>
      </c>
      <c r="B1655" s="1611" t="s">
        <v>3937</v>
      </c>
      <c r="C1655" s="1611" t="s">
        <v>4021</v>
      </c>
      <c r="D1655" s="1612">
        <v>0</v>
      </c>
      <c r="E1655" s="1706" t="s">
        <v>7592</v>
      </c>
      <c r="F1655" s="1613">
        <v>35400000</v>
      </c>
      <c r="G1655" s="1613">
        <v>61613808522</v>
      </c>
    </row>
    <row r="1656" spans="1:7" ht="17.25" customHeight="1" x14ac:dyDescent="0.2">
      <c r="A1656" s="1611">
        <v>14</v>
      </c>
      <c r="B1656" s="1611" t="s">
        <v>3937</v>
      </c>
      <c r="C1656" s="1611" t="s">
        <v>4791</v>
      </c>
      <c r="D1656" s="1612">
        <v>0</v>
      </c>
      <c r="E1656" s="1706" t="s">
        <v>7592</v>
      </c>
      <c r="F1656" s="1613">
        <v>60000000</v>
      </c>
      <c r="G1656" s="1613">
        <v>61673808522</v>
      </c>
    </row>
    <row r="1657" spans="1:7" ht="17.25" customHeight="1" x14ac:dyDescent="0.2">
      <c r="A1657" s="1611">
        <v>14</v>
      </c>
      <c r="B1657" s="1611" t="s">
        <v>3937</v>
      </c>
      <c r="C1657" s="1611" t="s">
        <v>3850</v>
      </c>
      <c r="D1657" s="1612">
        <v>0</v>
      </c>
      <c r="E1657" s="1706" t="s">
        <v>7592</v>
      </c>
      <c r="F1657" s="1613">
        <v>13900000</v>
      </c>
      <c r="G1657" s="1613">
        <v>61687708522</v>
      </c>
    </row>
    <row r="1658" spans="1:7" ht="17.25" customHeight="1" x14ac:dyDescent="0.2">
      <c r="A1658" s="1611">
        <v>14</v>
      </c>
      <c r="B1658" s="1611" t="s">
        <v>3937</v>
      </c>
      <c r="C1658" s="1611" t="s">
        <v>4792</v>
      </c>
      <c r="D1658" s="1612">
        <v>0</v>
      </c>
      <c r="E1658" s="1706" t="s">
        <v>7592</v>
      </c>
      <c r="F1658" s="1613">
        <v>45909091</v>
      </c>
      <c r="G1658" s="1613">
        <v>61733617613</v>
      </c>
    </row>
    <row r="1659" spans="1:7" ht="17.25" customHeight="1" x14ac:dyDescent="0.2">
      <c r="A1659" s="1611">
        <v>14</v>
      </c>
      <c r="B1659" s="1611" t="s">
        <v>7215</v>
      </c>
      <c r="C1659" s="1611" t="s">
        <v>4681</v>
      </c>
      <c r="D1659" s="1612">
        <v>0</v>
      </c>
      <c r="E1659" s="1706" t="s">
        <v>7592</v>
      </c>
      <c r="F1659" s="1613">
        <v>740000</v>
      </c>
      <c r="G1659" s="1613">
        <v>61734357613</v>
      </c>
    </row>
    <row r="1660" spans="1:7" ht="17.25" customHeight="1" x14ac:dyDescent="0.2">
      <c r="A1660" s="1611">
        <v>14</v>
      </c>
      <c r="B1660" s="1611" t="s">
        <v>3937</v>
      </c>
      <c r="C1660" s="1611" t="s">
        <v>4793</v>
      </c>
      <c r="D1660" s="1612">
        <v>0</v>
      </c>
      <c r="E1660" s="1706" t="s">
        <v>7592</v>
      </c>
      <c r="F1660" s="1613">
        <v>13233500</v>
      </c>
      <c r="G1660" s="1613">
        <v>61747591113</v>
      </c>
    </row>
    <row r="1661" spans="1:7" ht="17.25" customHeight="1" x14ac:dyDescent="0.2">
      <c r="A1661" s="1611">
        <v>14</v>
      </c>
      <c r="B1661" s="1611" t="s">
        <v>7216</v>
      </c>
      <c r="C1661" s="1611" t="s">
        <v>4013</v>
      </c>
      <c r="D1661" s="1612">
        <v>0</v>
      </c>
      <c r="E1661" s="1706" t="s">
        <v>7560</v>
      </c>
      <c r="F1661" s="1613">
        <v>4409944</v>
      </c>
      <c r="G1661" s="1613">
        <v>61752001057</v>
      </c>
    </row>
    <row r="1662" spans="1:7" ht="17.25" customHeight="1" x14ac:dyDescent="0.2">
      <c r="A1662" s="1611">
        <v>14</v>
      </c>
      <c r="B1662" s="1611" t="s">
        <v>3937</v>
      </c>
      <c r="C1662" s="1611" t="s">
        <v>4794</v>
      </c>
      <c r="D1662" s="1612">
        <v>0</v>
      </c>
      <c r="E1662" s="1706" t="s">
        <v>7592</v>
      </c>
      <c r="F1662" s="1613">
        <v>35418181</v>
      </c>
      <c r="G1662" s="1613">
        <v>61787419238</v>
      </c>
    </row>
    <row r="1663" spans="1:7" ht="17.25" customHeight="1" x14ac:dyDescent="0.2">
      <c r="A1663" s="1611">
        <v>14</v>
      </c>
      <c r="B1663" s="1611" t="s">
        <v>3937</v>
      </c>
      <c r="C1663" s="1611" t="s">
        <v>4795</v>
      </c>
      <c r="D1663" s="1612">
        <v>0</v>
      </c>
      <c r="E1663" s="1706" t="s">
        <v>7592</v>
      </c>
      <c r="F1663" s="1613">
        <v>43000000</v>
      </c>
      <c r="G1663" s="1613">
        <v>61830419238</v>
      </c>
    </row>
    <row r="1664" spans="1:7" ht="17.25" customHeight="1" x14ac:dyDescent="0.2">
      <c r="A1664" s="1611">
        <v>14</v>
      </c>
      <c r="B1664" s="1611" t="s">
        <v>3937</v>
      </c>
      <c r="C1664" s="1611" t="s">
        <v>4796</v>
      </c>
      <c r="D1664" s="1612">
        <v>0</v>
      </c>
      <c r="E1664" s="1706" t="s">
        <v>7592</v>
      </c>
      <c r="F1664" s="1613">
        <v>41500000</v>
      </c>
      <c r="G1664" s="1613">
        <v>61871919238</v>
      </c>
    </row>
    <row r="1665" spans="1:7" ht="17.25" customHeight="1" x14ac:dyDescent="0.2">
      <c r="A1665" s="1611">
        <v>14</v>
      </c>
      <c r="B1665" s="1611" t="s">
        <v>2047</v>
      </c>
      <c r="C1665" s="1611" t="s">
        <v>214</v>
      </c>
      <c r="D1665" s="1612" t="s">
        <v>7555</v>
      </c>
      <c r="E1665" s="1706" t="s">
        <v>7592</v>
      </c>
      <c r="F1665" s="1613">
        <v>55043200</v>
      </c>
      <c r="G1665" s="1613">
        <v>61926962438</v>
      </c>
    </row>
    <row r="1666" spans="1:7" ht="17.25" customHeight="1" x14ac:dyDescent="0.2">
      <c r="A1666" s="1611">
        <v>14</v>
      </c>
      <c r="B1666" s="1611" t="s">
        <v>3937</v>
      </c>
      <c r="C1666" s="1611" t="s">
        <v>4797</v>
      </c>
      <c r="D1666" s="1612">
        <v>0</v>
      </c>
      <c r="E1666" s="1706" t="s">
        <v>7592</v>
      </c>
      <c r="F1666" s="1613">
        <v>34000000</v>
      </c>
      <c r="G1666" s="1613">
        <v>61960962438</v>
      </c>
    </row>
    <row r="1667" spans="1:7" ht="17.25" customHeight="1" x14ac:dyDescent="0.2">
      <c r="A1667" s="1611">
        <v>14</v>
      </c>
      <c r="B1667" s="1611" t="s">
        <v>3937</v>
      </c>
      <c r="C1667" s="1611" t="s">
        <v>4798</v>
      </c>
      <c r="D1667" s="1612">
        <v>0</v>
      </c>
      <c r="E1667" s="1706" t="s">
        <v>7592</v>
      </c>
      <c r="F1667" s="1613">
        <v>34000000</v>
      </c>
      <c r="G1667" s="1613">
        <v>61994962438</v>
      </c>
    </row>
    <row r="1668" spans="1:7" ht="17.25" customHeight="1" x14ac:dyDescent="0.2">
      <c r="A1668" s="1611">
        <v>14</v>
      </c>
      <c r="B1668" s="1611" t="s">
        <v>3937</v>
      </c>
      <c r="C1668" s="1611" t="s">
        <v>4799</v>
      </c>
      <c r="D1668" s="1612">
        <v>0</v>
      </c>
      <c r="E1668" s="1706" t="s">
        <v>7592</v>
      </c>
      <c r="F1668" s="1613">
        <v>13700000</v>
      </c>
      <c r="G1668" s="1613">
        <v>62008662438</v>
      </c>
    </row>
    <row r="1669" spans="1:7" ht="17.25" customHeight="1" x14ac:dyDescent="0.2">
      <c r="A1669" s="1611">
        <v>14</v>
      </c>
      <c r="B1669" s="1611" t="s">
        <v>3937</v>
      </c>
      <c r="C1669" s="1611" t="s">
        <v>4800</v>
      </c>
      <c r="D1669" s="1612">
        <v>0</v>
      </c>
      <c r="E1669" s="1706" t="s">
        <v>7592</v>
      </c>
      <c r="F1669" s="1613">
        <v>33000000</v>
      </c>
      <c r="G1669" s="1613">
        <v>62041662438</v>
      </c>
    </row>
    <row r="1670" spans="1:7" ht="17.25" customHeight="1" x14ac:dyDescent="0.2">
      <c r="A1670" s="1611">
        <v>14</v>
      </c>
      <c r="B1670" s="1611" t="s">
        <v>3937</v>
      </c>
      <c r="C1670" s="1611" t="s">
        <v>4801</v>
      </c>
      <c r="D1670" s="1612">
        <v>0</v>
      </c>
      <c r="E1670" s="1706" t="s">
        <v>7592</v>
      </c>
      <c r="F1670" s="1613">
        <v>13300000</v>
      </c>
      <c r="G1670" s="1613">
        <v>62054962438</v>
      </c>
    </row>
    <row r="1671" spans="1:7" ht="17.25" customHeight="1" x14ac:dyDescent="0.2">
      <c r="A1671" s="1611">
        <v>14</v>
      </c>
      <c r="B1671" s="1611" t="s">
        <v>3937</v>
      </c>
      <c r="C1671" s="1611" t="s">
        <v>4802</v>
      </c>
      <c r="D1671" s="1612">
        <v>0</v>
      </c>
      <c r="E1671" s="1706" t="s">
        <v>7592</v>
      </c>
      <c r="F1671" s="1613">
        <v>16500000</v>
      </c>
      <c r="G1671" s="1613">
        <v>62071462438</v>
      </c>
    </row>
    <row r="1672" spans="1:7" ht="17.25" customHeight="1" x14ac:dyDescent="0.2">
      <c r="A1672" s="1611">
        <v>14</v>
      </c>
      <c r="B1672" s="1611" t="s">
        <v>3937</v>
      </c>
      <c r="C1672" s="1611" t="s">
        <v>4803</v>
      </c>
      <c r="D1672" s="1612">
        <v>0</v>
      </c>
      <c r="E1672" s="1706" t="s">
        <v>7592</v>
      </c>
      <c r="F1672" s="1613">
        <v>49300000</v>
      </c>
      <c r="G1672" s="1613">
        <v>62120762438</v>
      </c>
    </row>
    <row r="1673" spans="1:7" ht="17.25" customHeight="1" x14ac:dyDescent="0.2">
      <c r="A1673" s="1611">
        <v>14</v>
      </c>
      <c r="B1673" s="1611" t="s">
        <v>7154</v>
      </c>
      <c r="C1673" s="1611" t="s">
        <v>214</v>
      </c>
      <c r="D1673" s="1612">
        <v>0</v>
      </c>
      <c r="E1673" s="1706" t="s">
        <v>7592</v>
      </c>
      <c r="F1673" s="1613">
        <v>40148200</v>
      </c>
      <c r="G1673" s="1613">
        <v>62160910638</v>
      </c>
    </row>
    <row r="1674" spans="1:7" ht="17.25" customHeight="1" x14ac:dyDescent="0.2">
      <c r="A1674" s="1611">
        <v>14</v>
      </c>
      <c r="B1674" s="1611" t="s">
        <v>3937</v>
      </c>
      <c r="C1674" s="1611" t="s">
        <v>4804</v>
      </c>
      <c r="D1674" s="1612">
        <v>0</v>
      </c>
      <c r="E1674" s="1706" t="s">
        <v>7592</v>
      </c>
      <c r="F1674" s="1613">
        <v>14217273</v>
      </c>
      <c r="G1674" s="1613">
        <v>62175127911</v>
      </c>
    </row>
    <row r="1675" spans="1:7" ht="17.25" customHeight="1" x14ac:dyDescent="0.2">
      <c r="A1675" s="1611">
        <v>14</v>
      </c>
      <c r="B1675" s="1611" t="s">
        <v>3937</v>
      </c>
      <c r="C1675" s="1611" t="s">
        <v>4804</v>
      </c>
      <c r="D1675" s="1612">
        <v>0</v>
      </c>
      <c r="E1675" s="1706" t="s">
        <v>7592</v>
      </c>
      <c r="F1675" s="1613">
        <v>35000000</v>
      </c>
      <c r="G1675" s="1613">
        <v>62210127911</v>
      </c>
    </row>
    <row r="1676" spans="1:7" ht="17.25" customHeight="1" x14ac:dyDescent="0.2">
      <c r="A1676" s="1611">
        <v>14</v>
      </c>
      <c r="B1676" s="1611" t="s">
        <v>3937</v>
      </c>
      <c r="C1676" s="1611" t="s">
        <v>4805</v>
      </c>
      <c r="D1676" s="1612">
        <v>0</v>
      </c>
      <c r="E1676" s="1706" t="s">
        <v>7592</v>
      </c>
      <c r="F1676" s="1613">
        <v>35000000</v>
      </c>
      <c r="G1676" s="1613">
        <v>62245127911</v>
      </c>
    </row>
    <row r="1677" spans="1:7" ht="17.25" customHeight="1" x14ac:dyDescent="0.2">
      <c r="A1677" s="1611">
        <v>14</v>
      </c>
      <c r="B1677" s="1611" t="s">
        <v>3937</v>
      </c>
      <c r="C1677" s="1611" t="s">
        <v>4806</v>
      </c>
      <c r="D1677" s="1612">
        <v>0</v>
      </c>
      <c r="E1677" s="1706" t="s">
        <v>7592</v>
      </c>
      <c r="F1677" s="1613">
        <v>42000000</v>
      </c>
      <c r="G1677" s="1613">
        <v>62287127911</v>
      </c>
    </row>
    <row r="1678" spans="1:7" ht="17.25" customHeight="1" x14ac:dyDescent="0.2">
      <c r="A1678" s="1611">
        <v>14</v>
      </c>
      <c r="B1678" s="1611" t="s">
        <v>3937</v>
      </c>
      <c r="C1678" s="1611" t="s">
        <v>4058</v>
      </c>
      <c r="D1678" s="1612">
        <v>0</v>
      </c>
      <c r="E1678" s="1706" t="s">
        <v>7592</v>
      </c>
      <c r="F1678" s="1613">
        <v>13600000</v>
      </c>
      <c r="G1678" s="1613">
        <v>62300727911</v>
      </c>
    </row>
    <row r="1679" spans="1:7" ht="17.25" customHeight="1" x14ac:dyDescent="0.2">
      <c r="A1679" s="1611">
        <v>14</v>
      </c>
      <c r="B1679" s="1611" t="s">
        <v>3937</v>
      </c>
      <c r="C1679" s="1611" t="s">
        <v>4807</v>
      </c>
      <c r="D1679" s="1612">
        <v>0</v>
      </c>
      <c r="E1679" s="1706" t="s">
        <v>7592</v>
      </c>
      <c r="F1679" s="1613">
        <v>32000000</v>
      </c>
      <c r="G1679" s="1613">
        <v>62332727911</v>
      </c>
    </row>
    <row r="1680" spans="1:7" ht="17.25" customHeight="1" x14ac:dyDescent="0.2">
      <c r="A1680" s="1611">
        <v>14</v>
      </c>
      <c r="B1680" s="1611" t="s">
        <v>3937</v>
      </c>
      <c r="C1680" s="1611" t="s">
        <v>4808</v>
      </c>
      <c r="D1680" s="1612">
        <v>0</v>
      </c>
      <c r="E1680" s="1706" t="s">
        <v>7592</v>
      </c>
      <c r="F1680" s="1613">
        <v>51300000</v>
      </c>
      <c r="G1680" s="1613">
        <v>62384027911</v>
      </c>
    </row>
    <row r="1681" spans="1:7" ht="17.25" customHeight="1" x14ac:dyDescent="0.2">
      <c r="A1681" s="1611">
        <v>14</v>
      </c>
      <c r="B1681" s="1611" t="s">
        <v>3937</v>
      </c>
      <c r="C1681" s="1611" t="s">
        <v>4809</v>
      </c>
      <c r="D1681" s="1612">
        <v>0</v>
      </c>
      <c r="E1681" s="1706" t="s">
        <v>7592</v>
      </c>
      <c r="F1681" s="1613">
        <v>35000000</v>
      </c>
      <c r="G1681" s="1613">
        <v>62419027911</v>
      </c>
    </row>
    <row r="1682" spans="1:7" ht="17.25" customHeight="1" x14ac:dyDescent="0.2">
      <c r="A1682" s="1611">
        <v>14</v>
      </c>
      <c r="B1682" s="1611" t="s">
        <v>3937</v>
      </c>
      <c r="C1682" s="1611" t="s">
        <v>4809</v>
      </c>
      <c r="D1682" s="1612">
        <v>0</v>
      </c>
      <c r="E1682" s="1706" t="s">
        <v>7592</v>
      </c>
      <c r="F1682" s="1613">
        <v>40000000</v>
      </c>
      <c r="G1682" s="1613">
        <v>62459027911</v>
      </c>
    </row>
    <row r="1683" spans="1:7" ht="17.25" customHeight="1" x14ac:dyDescent="0.2">
      <c r="A1683" s="1611">
        <v>14</v>
      </c>
      <c r="B1683" s="1611" t="s">
        <v>7217</v>
      </c>
      <c r="C1683" s="1611" t="s">
        <v>3597</v>
      </c>
      <c r="D1683" s="1612">
        <v>0</v>
      </c>
      <c r="E1683" s="1706" t="s">
        <v>7592</v>
      </c>
      <c r="F1683" s="1613">
        <v>54420000</v>
      </c>
      <c r="G1683" s="1613">
        <v>62513447911</v>
      </c>
    </row>
    <row r="1684" spans="1:7" ht="17.25" customHeight="1" x14ac:dyDescent="0.2">
      <c r="A1684" s="1611">
        <v>14</v>
      </c>
      <c r="B1684" s="1611" t="s">
        <v>3937</v>
      </c>
      <c r="C1684" s="1611" t="s">
        <v>4720</v>
      </c>
      <c r="D1684" s="1612">
        <v>0</v>
      </c>
      <c r="E1684" s="1706" t="s">
        <v>7592</v>
      </c>
      <c r="F1684" s="1613">
        <v>32500000</v>
      </c>
      <c r="G1684" s="1613">
        <v>62545947911</v>
      </c>
    </row>
    <row r="1685" spans="1:7" ht="17.25" customHeight="1" x14ac:dyDescent="0.2">
      <c r="A1685" s="1611">
        <v>14</v>
      </c>
      <c r="B1685" s="1611" t="s">
        <v>3937</v>
      </c>
      <c r="C1685" s="1611" t="s">
        <v>4810</v>
      </c>
      <c r="D1685" s="1612">
        <v>0</v>
      </c>
      <c r="E1685" s="1706" t="s">
        <v>7592</v>
      </c>
      <c r="F1685" s="1613">
        <v>49090909</v>
      </c>
      <c r="G1685" s="1613">
        <v>62595038820</v>
      </c>
    </row>
    <row r="1686" spans="1:7" ht="17.25" customHeight="1" x14ac:dyDescent="0.2">
      <c r="A1686" s="1611">
        <v>14</v>
      </c>
      <c r="B1686" s="1611" t="s">
        <v>3937</v>
      </c>
      <c r="C1686" s="1611" t="s">
        <v>4811</v>
      </c>
      <c r="D1686" s="1612">
        <v>0</v>
      </c>
      <c r="E1686" s="1706" t="s">
        <v>7592</v>
      </c>
      <c r="F1686" s="1613">
        <v>33000000</v>
      </c>
      <c r="G1686" s="1613">
        <v>62628038820</v>
      </c>
    </row>
    <row r="1687" spans="1:7" ht="17.25" customHeight="1" x14ac:dyDescent="0.2">
      <c r="A1687" s="1611">
        <v>14</v>
      </c>
      <c r="B1687" s="1611" t="s">
        <v>7218</v>
      </c>
      <c r="C1687" s="1611" t="s">
        <v>4681</v>
      </c>
      <c r="D1687" s="1612">
        <v>0</v>
      </c>
      <c r="E1687" s="1706" t="s">
        <v>7592</v>
      </c>
      <c r="F1687" s="1613">
        <v>8160000</v>
      </c>
      <c r="G1687" s="1613">
        <v>62636198820</v>
      </c>
    </row>
    <row r="1688" spans="1:7" ht="17.25" customHeight="1" x14ac:dyDescent="0.2">
      <c r="A1688" s="1611">
        <v>14</v>
      </c>
      <c r="B1688" s="1611" t="s">
        <v>7219</v>
      </c>
      <c r="C1688" s="1611" t="s">
        <v>3597</v>
      </c>
      <c r="D1688" s="1612">
        <v>0</v>
      </c>
      <c r="E1688" s="1706" t="s">
        <v>7592</v>
      </c>
      <c r="F1688" s="1613">
        <v>2320000</v>
      </c>
      <c r="G1688" s="1613">
        <v>62638518820</v>
      </c>
    </row>
    <row r="1689" spans="1:7" ht="17.25" customHeight="1" x14ac:dyDescent="0.2">
      <c r="A1689" s="1611">
        <v>14</v>
      </c>
      <c r="B1689" s="1611" t="s">
        <v>7220</v>
      </c>
      <c r="C1689" s="1611" t="s">
        <v>3764</v>
      </c>
      <c r="D1689" s="1612">
        <v>0</v>
      </c>
      <c r="E1689" s="1706" t="s">
        <v>7592</v>
      </c>
      <c r="F1689" s="1613">
        <v>4400000</v>
      </c>
      <c r="G1689" s="1613">
        <v>62642918820</v>
      </c>
    </row>
    <row r="1690" spans="1:7" ht="17.25" customHeight="1" x14ac:dyDescent="0.2">
      <c r="A1690" s="1611">
        <v>14</v>
      </c>
      <c r="B1690" s="1611" t="s">
        <v>3937</v>
      </c>
      <c r="C1690" s="1611" t="s">
        <v>3764</v>
      </c>
      <c r="D1690" s="1612">
        <v>0</v>
      </c>
      <c r="E1690" s="1706" t="s">
        <v>7592</v>
      </c>
      <c r="F1690" s="1613">
        <v>13635455</v>
      </c>
      <c r="G1690" s="1613">
        <v>62656554275</v>
      </c>
    </row>
    <row r="1691" spans="1:7" ht="17.25" customHeight="1" x14ac:dyDescent="0.2">
      <c r="A1691" s="1611">
        <v>14</v>
      </c>
      <c r="B1691" s="1611" t="s">
        <v>3937</v>
      </c>
      <c r="C1691" s="1611" t="s">
        <v>4812</v>
      </c>
      <c r="D1691" s="1612">
        <v>0</v>
      </c>
      <c r="E1691" s="1706" t="s">
        <v>7592</v>
      </c>
      <c r="F1691" s="1613">
        <v>14300000</v>
      </c>
      <c r="G1691" s="1613">
        <v>62670854275</v>
      </c>
    </row>
    <row r="1692" spans="1:7" ht="17.25" customHeight="1" x14ac:dyDescent="0.2">
      <c r="A1692" s="1611">
        <v>14</v>
      </c>
      <c r="B1692" s="1611" t="s">
        <v>3937</v>
      </c>
      <c r="C1692" s="1611" t="s">
        <v>4813</v>
      </c>
      <c r="D1692" s="1612">
        <v>0</v>
      </c>
      <c r="E1692" s="1706" t="s">
        <v>7592</v>
      </c>
      <c r="F1692" s="1613">
        <v>33181818</v>
      </c>
      <c r="G1692" s="1613">
        <v>62704036093</v>
      </c>
    </row>
    <row r="1693" spans="1:7" ht="17.25" customHeight="1" x14ac:dyDescent="0.2">
      <c r="A1693" s="1611">
        <v>14</v>
      </c>
      <c r="B1693" s="1611" t="s">
        <v>3937</v>
      </c>
      <c r="C1693" s="1611" t="s">
        <v>3722</v>
      </c>
      <c r="D1693" s="1612">
        <v>0</v>
      </c>
      <c r="E1693" s="1706" t="s">
        <v>7592</v>
      </c>
      <c r="F1693" s="1613">
        <v>20400000</v>
      </c>
      <c r="G1693" s="1613">
        <v>62724436093</v>
      </c>
    </row>
    <row r="1694" spans="1:7" ht="17.25" customHeight="1" x14ac:dyDescent="0.2">
      <c r="A1694" s="1611">
        <v>14</v>
      </c>
      <c r="B1694" s="1611" t="s">
        <v>3937</v>
      </c>
      <c r="C1694" s="1611" t="s">
        <v>4462</v>
      </c>
      <c r="D1694" s="1612">
        <v>0</v>
      </c>
      <c r="E1694" s="1706" t="s">
        <v>7592</v>
      </c>
      <c r="F1694" s="1613">
        <v>32681818</v>
      </c>
      <c r="G1694" s="1613">
        <v>62757117911</v>
      </c>
    </row>
    <row r="1695" spans="1:7" ht="17.25" customHeight="1" x14ac:dyDescent="0.2">
      <c r="A1695" s="1611">
        <v>14</v>
      </c>
      <c r="B1695" s="1611" t="s">
        <v>3937</v>
      </c>
      <c r="C1695" s="1611" t="s">
        <v>4814</v>
      </c>
      <c r="D1695" s="1612">
        <v>0</v>
      </c>
      <c r="E1695" s="1706" t="s">
        <v>7592</v>
      </c>
      <c r="F1695" s="1613">
        <v>35454545</v>
      </c>
      <c r="G1695" s="1613">
        <v>62792572456</v>
      </c>
    </row>
    <row r="1696" spans="1:7" ht="17.25" customHeight="1" x14ac:dyDescent="0.2">
      <c r="A1696" s="1611">
        <v>14</v>
      </c>
      <c r="B1696" s="1611" t="s">
        <v>3937</v>
      </c>
      <c r="C1696" s="1611" t="s">
        <v>4815</v>
      </c>
      <c r="D1696" s="1612">
        <v>0</v>
      </c>
      <c r="E1696" s="1706" t="s">
        <v>7592</v>
      </c>
      <c r="F1696" s="1613">
        <v>36363636</v>
      </c>
      <c r="G1696" s="1613">
        <v>62828936092</v>
      </c>
    </row>
    <row r="1697" spans="1:7" ht="17.25" customHeight="1" x14ac:dyDescent="0.2">
      <c r="A1697" s="1611">
        <v>14</v>
      </c>
      <c r="B1697" s="1611" t="s">
        <v>3937</v>
      </c>
      <c r="C1697" s="1611" t="s">
        <v>4816</v>
      </c>
      <c r="D1697" s="1612">
        <v>0</v>
      </c>
      <c r="E1697" s="1706" t="s">
        <v>7592</v>
      </c>
      <c r="F1697" s="1613">
        <v>13490000</v>
      </c>
      <c r="G1697" s="1613">
        <v>62842426092</v>
      </c>
    </row>
    <row r="1698" spans="1:7" ht="17.25" customHeight="1" x14ac:dyDescent="0.2">
      <c r="A1698" s="1611">
        <v>14</v>
      </c>
      <c r="B1698" s="1611" t="s">
        <v>3937</v>
      </c>
      <c r="C1698" s="1611" t="s">
        <v>3722</v>
      </c>
      <c r="D1698" s="1612">
        <v>0</v>
      </c>
      <c r="E1698" s="1706" t="s">
        <v>7592</v>
      </c>
      <c r="F1698" s="1613">
        <v>23500000</v>
      </c>
      <c r="G1698" s="1613">
        <v>62865926092</v>
      </c>
    </row>
    <row r="1699" spans="1:7" ht="17.25" customHeight="1" x14ac:dyDescent="0.2">
      <c r="A1699" s="1611">
        <v>14</v>
      </c>
      <c r="B1699" s="1611" t="s">
        <v>3937</v>
      </c>
      <c r="C1699" s="1611" t="s">
        <v>4817</v>
      </c>
      <c r="D1699" s="1612">
        <v>0</v>
      </c>
      <c r="E1699" s="1706" t="s">
        <v>7592</v>
      </c>
      <c r="F1699" s="1613">
        <v>34090909</v>
      </c>
      <c r="G1699" s="1613">
        <v>62900017001</v>
      </c>
    </row>
    <row r="1700" spans="1:7" ht="17.25" customHeight="1" x14ac:dyDescent="0.2">
      <c r="A1700" s="1611">
        <v>14</v>
      </c>
      <c r="B1700" s="1611" t="s">
        <v>3937</v>
      </c>
      <c r="C1700" s="1611" t="s">
        <v>4818</v>
      </c>
      <c r="D1700" s="1612">
        <v>0</v>
      </c>
      <c r="E1700" s="1706" t="s">
        <v>7592</v>
      </c>
      <c r="F1700" s="1613">
        <v>35500000</v>
      </c>
      <c r="G1700" s="1613">
        <v>62935517001</v>
      </c>
    </row>
    <row r="1701" spans="1:7" ht="17.25" customHeight="1" x14ac:dyDescent="0.2">
      <c r="A1701" s="1611">
        <v>14</v>
      </c>
      <c r="B1701" s="1611" t="s">
        <v>3937</v>
      </c>
      <c r="C1701" s="1611" t="s">
        <v>4819</v>
      </c>
      <c r="D1701" s="1612">
        <v>0</v>
      </c>
      <c r="E1701" s="1706" t="s">
        <v>7592</v>
      </c>
      <c r="F1701" s="1613">
        <v>50000000</v>
      </c>
      <c r="G1701" s="1613">
        <v>62985517001</v>
      </c>
    </row>
    <row r="1702" spans="1:7" ht="17.25" customHeight="1" x14ac:dyDescent="0.2">
      <c r="A1702" s="1611">
        <v>14</v>
      </c>
      <c r="B1702" s="1611" t="s">
        <v>3937</v>
      </c>
      <c r="C1702" s="1611" t="s">
        <v>4820</v>
      </c>
      <c r="D1702" s="1612">
        <v>0</v>
      </c>
      <c r="E1702" s="1706" t="s">
        <v>7592</v>
      </c>
      <c r="F1702" s="1613">
        <v>36280000</v>
      </c>
      <c r="G1702" s="1613">
        <v>63021797001</v>
      </c>
    </row>
    <row r="1703" spans="1:7" ht="17.25" customHeight="1" x14ac:dyDescent="0.2">
      <c r="A1703" s="1611">
        <v>14</v>
      </c>
      <c r="B1703" s="1611" t="s">
        <v>3937</v>
      </c>
      <c r="C1703" s="1611" t="s">
        <v>4821</v>
      </c>
      <c r="D1703" s="1612">
        <v>0</v>
      </c>
      <c r="E1703" s="1706" t="s">
        <v>7592</v>
      </c>
      <c r="F1703" s="1613">
        <v>33000000</v>
      </c>
      <c r="G1703" s="1613">
        <v>63054797001</v>
      </c>
    </row>
    <row r="1704" spans="1:7" ht="17.25" customHeight="1" x14ac:dyDescent="0.2">
      <c r="A1704" s="1611">
        <v>14</v>
      </c>
      <c r="B1704" s="1611" t="s">
        <v>3937</v>
      </c>
      <c r="C1704" s="1611" t="s">
        <v>4822</v>
      </c>
      <c r="D1704" s="1612">
        <v>0</v>
      </c>
      <c r="E1704" s="1706" t="s">
        <v>7592</v>
      </c>
      <c r="F1704" s="1613">
        <v>41818182</v>
      </c>
      <c r="G1704" s="1613">
        <v>63096615183</v>
      </c>
    </row>
    <row r="1705" spans="1:7" ht="17.25" customHeight="1" x14ac:dyDescent="0.2">
      <c r="A1705" s="1611">
        <v>14</v>
      </c>
      <c r="B1705" s="1611" t="s">
        <v>3937</v>
      </c>
      <c r="C1705" s="1611" t="s">
        <v>4822</v>
      </c>
      <c r="D1705" s="1612">
        <v>0</v>
      </c>
      <c r="E1705" s="1706" t="s">
        <v>7592</v>
      </c>
      <c r="F1705" s="1613">
        <v>-41818182</v>
      </c>
      <c r="G1705" s="1613">
        <v>63054797001</v>
      </c>
    </row>
    <row r="1706" spans="1:7" ht="17.25" customHeight="1" x14ac:dyDescent="0.2">
      <c r="A1706" s="1611">
        <v>14</v>
      </c>
      <c r="B1706" s="1611" t="s">
        <v>3937</v>
      </c>
      <c r="C1706" s="1611" t="s">
        <v>4823</v>
      </c>
      <c r="D1706" s="1612">
        <v>0</v>
      </c>
      <c r="E1706" s="1706" t="s">
        <v>7592</v>
      </c>
      <c r="F1706" s="1613">
        <v>14308182</v>
      </c>
      <c r="G1706" s="1613">
        <v>63069105183</v>
      </c>
    </row>
    <row r="1707" spans="1:7" ht="17.25" customHeight="1" x14ac:dyDescent="0.2">
      <c r="A1707" s="1611">
        <v>14</v>
      </c>
      <c r="B1707" s="1611" t="s">
        <v>3937</v>
      </c>
      <c r="C1707" s="1611" t="s">
        <v>4469</v>
      </c>
      <c r="D1707" s="1612">
        <v>0</v>
      </c>
      <c r="E1707" s="1706" t="s">
        <v>7592</v>
      </c>
      <c r="F1707" s="1613">
        <v>14308182</v>
      </c>
      <c r="G1707" s="1613">
        <v>63083413365</v>
      </c>
    </row>
    <row r="1708" spans="1:7" ht="17.25" customHeight="1" x14ac:dyDescent="0.2">
      <c r="A1708" s="1611">
        <v>14</v>
      </c>
      <c r="B1708" s="1611" t="s">
        <v>3937</v>
      </c>
      <c r="C1708" s="1611" t="s">
        <v>4824</v>
      </c>
      <c r="D1708" s="1612">
        <v>0</v>
      </c>
      <c r="E1708" s="1706" t="s">
        <v>7592</v>
      </c>
      <c r="F1708" s="1613">
        <v>35000000</v>
      </c>
      <c r="G1708" s="1613">
        <v>63118413365</v>
      </c>
    </row>
    <row r="1709" spans="1:7" ht="17.25" customHeight="1" x14ac:dyDescent="0.2">
      <c r="A1709" s="1611">
        <v>14</v>
      </c>
      <c r="B1709" s="1611" t="s">
        <v>3937</v>
      </c>
      <c r="C1709" s="1611" t="s">
        <v>4825</v>
      </c>
      <c r="D1709" s="1612">
        <v>0</v>
      </c>
      <c r="E1709" s="1706" t="s">
        <v>7592</v>
      </c>
      <c r="F1709" s="1613">
        <v>61000000</v>
      </c>
      <c r="G1709" s="1613">
        <v>63179413365</v>
      </c>
    </row>
    <row r="1710" spans="1:7" ht="17.25" customHeight="1" x14ac:dyDescent="0.2">
      <c r="A1710" s="1611">
        <v>14</v>
      </c>
      <c r="B1710" s="1611" t="s">
        <v>3937</v>
      </c>
      <c r="C1710" s="1611" t="s">
        <v>4826</v>
      </c>
      <c r="D1710" s="1612">
        <v>0</v>
      </c>
      <c r="E1710" s="1706" t="s">
        <v>7592</v>
      </c>
      <c r="F1710" s="1613">
        <v>52000000</v>
      </c>
      <c r="G1710" s="1613">
        <v>63231413365</v>
      </c>
    </row>
    <row r="1711" spans="1:7" ht="17.25" customHeight="1" x14ac:dyDescent="0.2">
      <c r="A1711" s="1611">
        <v>14</v>
      </c>
      <c r="B1711" s="1611" t="s">
        <v>3937</v>
      </c>
      <c r="C1711" s="1611" t="s">
        <v>4827</v>
      </c>
      <c r="D1711" s="1612">
        <v>0</v>
      </c>
      <c r="E1711" s="1706" t="s">
        <v>7592</v>
      </c>
      <c r="F1711" s="1613">
        <v>42200000</v>
      </c>
      <c r="G1711" s="1613">
        <v>63273613365</v>
      </c>
    </row>
    <row r="1712" spans="1:7" ht="17.25" customHeight="1" x14ac:dyDescent="0.2">
      <c r="A1712" s="1611">
        <v>14</v>
      </c>
      <c r="B1712" s="1611" t="s">
        <v>3937</v>
      </c>
      <c r="C1712" s="1611" t="s">
        <v>4828</v>
      </c>
      <c r="D1712" s="1612">
        <v>0</v>
      </c>
      <c r="E1712" s="1706" t="s">
        <v>7592</v>
      </c>
      <c r="F1712" s="1613">
        <v>40500000</v>
      </c>
      <c r="G1712" s="1613">
        <v>63314113365</v>
      </c>
    </row>
    <row r="1713" spans="1:7" ht="17.25" customHeight="1" x14ac:dyDescent="0.2">
      <c r="A1713" s="1611">
        <v>14</v>
      </c>
      <c r="B1713" s="1611" t="s">
        <v>7221</v>
      </c>
      <c r="C1713" s="1611" t="s">
        <v>4681</v>
      </c>
      <c r="D1713" s="1612">
        <v>0</v>
      </c>
      <c r="E1713" s="1706" t="s">
        <v>7592</v>
      </c>
      <c r="F1713" s="1613">
        <v>18160000</v>
      </c>
      <c r="G1713" s="1613">
        <v>63332273365</v>
      </c>
    </row>
    <row r="1714" spans="1:7" ht="17.25" customHeight="1" x14ac:dyDescent="0.2">
      <c r="A1714" s="1611">
        <v>14</v>
      </c>
      <c r="B1714" s="1611" t="s">
        <v>3937</v>
      </c>
      <c r="C1714" s="1611" t="s">
        <v>4829</v>
      </c>
      <c r="D1714" s="1612">
        <v>0</v>
      </c>
      <c r="E1714" s="1706" t="s">
        <v>7592</v>
      </c>
      <c r="F1714" s="1613">
        <v>13700000</v>
      </c>
      <c r="G1714" s="1613">
        <v>63345973365</v>
      </c>
    </row>
    <row r="1715" spans="1:7" ht="17.25" customHeight="1" x14ac:dyDescent="0.2">
      <c r="A1715" s="1611">
        <v>14</v>
      </c>
      <c r="B1715" s="1611" t="s">
        <v>3937</v>
      </c>
      <c r="C1715" s="1611" t="s">
        <v>4830</v>
      </c>
      <c r="D1715" s="1612">
        <v>0</v>
      </c>
      <c r="E1715" s="1706" t="s">
        <v>7592</v>
      </c>
      <c r="F1715" s="1613">
        <v>33181818</v>
      </c>
      <c r="G1715" s="1613">
        <v>63379155183</v>
      </c>
    </row>
    <row r="1716" spans="1:7" ht="17.25" customHeight="1" x14ac:dyDescent="0.2">
      <c r="A1716" s="1611">
        <v>14</v>
      </c>
      <c r="B1716" s="1611" t="s">
        <v>3937</v>
      </c>
      <c r="C1716" s="1611" t="s">
        <v>4831</v>
      </c>
      <c r="D1716" s="1612">
        <v>0</v>
      </c>
      <c r="E1716" s="1706" t="s">
        <v>7592</v>
      </c>
      <c r="F1716" s="1613">
        <v>33000000</v>
      </c>
      <c r="G1716" s="1613">
        <v>63412155183</v>
      </c>
    </row>
    <row r="1717" spans="1:7" ht="17.25" customHeight="1" x14ac:dyDescent="0.2">
      <c r="A1717" s="1611">
        <v>14</v>
      </c>
      <c r="B1717" s="1611" t="s">
        <v>3937</v>
      </c>
      <c r="C1717" s="1611" t="s">
        <v>4832</v>
      </c>
      <c r="D1717" s="1612">
        <v>0</v>
      </c>
      <c r="E1717" s="1706" t="s">
        <v>7592</v>
      </c>
      <c r="F1717" s="1613">
        <v>31000000</v>
      </c>
      <c r="G1717" s="1613">
        <v>63443155183</v>
      </c>
    </row>
    <row r="1718" spans="1:7" ht="17.25" customHeight="1" x14ac:dyDescent="0.2">
      <c r="A1718" s="1611">
        <v>14</v>
      </c>
      <c r="B1718" s="1611" t="s">
        <v>3937</v>
      </c>
      <c r="C1718" s="1611" t="s">
        <v>3729</v>
      </c>
      <c r="D1718" s="1612">
        <v>0</v>
      </c>
      <c r="E1718" s="1706" t="s">
        <v>7592</v>
      </c>
      <c r="F1718" s="1613">
        <v>18740000</v>
      </c>
      <c r="G1718" s="1613">
        <v>63461895183</v>
      </c>
    </row>
    <row r="1719" spans="1:7" ht="17.25" customHeight="1" x14ac:dyDescent="0.2">
      <c r="A1719" s="1611">
        <v>14</v>
      </c>
      <c r="B1719" s="1611" t="s">
        <v>3937</v>
      </c>
      <c r="C1719" s="1611" t="s">
        <v>4833</v>
      </c>
      <c r="D1719" s="1612">
        <v>0</v>
      </c>
      <c r="E1719" s="1706" t="s">
        <v>7592</v>
      </c>
      <c r="F1719" s="1613">
        <v>35645454</v>
      </c>
      <c r="G1719" s="1613">
        <v>63497540637</v>
      </c>
    </row>
    <row r="1720" spans="1:7" ht="17.25" customHeight="1" x14ac:dyDescent="0.2">
      <c r="A1720" s="1611">
        <v>14</v>
      </c>
      <c r="B1720" s="1611" t="s">
        <v>3937</v>
      </c>
      <c r="C1720" s="1611" t="s">
        <v>214</v>
      </c>
      <c r="D1720" s="1612">
        <v>0</v>
      </c>
      <c r="E1720" s="1706" t="s">
        <v>7592</v>
      </c>
      <c r="F1720" s="1613">
        <v>41640200</v>
      </c>
      <c r="G1720" s="1613">
        <v>63539180837</v>
      </c>
    </row>
    <row r="1721" spans="1:7" ht="17.25" customHeight="1" x14ac:dyDescent="0.2">
      <c r="A1721" s="1611">
        <v>14</v>
      </c>
      <c r="B1721" s="1611" t="s">
        <v>3937</v>
      </c>
      <c r="C1721" s="1611" t="s">
        <v>4834</v>
      </c>
      <c r="D1721" s="1612">
        <v>0</v>
      </c>
      <c r="E1721" s="1706" t="s">
        <v>7592</v>
      </c>
      <c r="F1721" s="1613">
        <v>32600000</v>
      </c>
      <c r="G1721" s="1613">
        <v>63571780837</v>
      </c>
    </row>
    <row r="1722" spans="1:7" ht="17.25" customHeight="1" x14ac:dyDescent="0.2">
      <c r="A1722" s="1611">
        <v>14</v>
      </c>
      <c r="B1722" s="1611" t="s">
        <v>3937</v>
      </c>
      <c r="C1722" s="1611" t="s">
        <v>4835</v>
      </c>
      <c r="D1722" s="1612">
        <v>0</v>
      </c>
      <c r="E1722" s="1706" t="s">
        <v>7592</v>
      </c>
      <c r="F1722" s="1613">
        <v>33236363</v>
      </c>
      <c r="G1722" s="1613">
        <v>63605017200</v>
      </c>
    </row>
    <row r="1723" spans="1:7" ht="17.25" customHeight="1" x14ac:dyDescent="0.2">
      <c r="A1723" s="1611">
        <v>14</v>
      </c>
      <c r="B1723" s="1611" t="s">
        <v>3937</v>
      </c>
      <c r="C1723" s="1611" t="s">
        <v>4836</v>
      </c>
      <c r="D1723" s="1612">
        <v>0</v>
      </c>
      <c r="E1723" s="1706" t="s">
        <v>7592</v>
      </c>
      <c r="F1723" s="1613">
        <v>33600000</v>
      </c>
      <c r="G1723" s="1613">
        <v>63638617200</v>
      </c>
    </row>
    <row r="1724" spans="1:7" ht="17.25" customHeight="1" x14ac:dyDescent="0.2">
      <c r="A1724" s="1611">
        <v>14</v>
      </c>
      <c r="B1724" s="1611" t="s">
        <v>3937</v>
      </c>
      <c r="C1724" s="1611" t="s">
        <v>4837</v>
      </c>
      <c r="D1724" s="1612">
        <v>0</v>
      </c>
      <c r="E1724" s="1706" t="s">
        <v>7592</v>
      </c>
      <c r="F1724" s="1613">
        <v>45454545</v>
      </c>
      <c r="G1724" s="1613">
        <v>63684071745</v>
      </c>
    </row>
    <row r="1725" spans="1:7" ht="17.25" customHeight="1" x14ac:dyDescent="0.2">
      <c r="A1725" s="1611">
        <v>14</v>
      </c>
      <c r="B1725" s="1611" t="s">
        <v>3937</v>
      </c>
      <c r="C1725" s="1611" t="s">
        <v>4838</v>
      </c>
      <c r="D1725" s="1612">
        <v>0</v>
      </c>
      <c r="E1725" s="1706" t="s">
        <v>7592</v>
      </c>
      <c r="F1725" s="1613">
        <v>142000000</v>
      </c>
      <c r="G1725" s="1613">
        <v>63826071745</v>
      </c>
    </row>
    <row r="1726" spans="1:7" ht="17.25" customHeight="1" x14ac:dyDescent="0.2">
      <c r="A1726" s="1611">
        <v>14</v>
      </c>
      <c r="B1726" s="1611" t="s">
        <v>3937</v>
      </c>
      <c r="C1726" s="1611" t="s">
        <v>4839</v>
      </c>
      <c r="D1726" s="1612">
        <v>0</v>
      </c>
      <c r="E1726" s="1706" t="s">
        <v>7592</v>
      </c>
      <c r="F1726" s="1613">
        <v>13800000</v>
      </c>
      <c r="G1726" s="1613">
        <v>63839871745</v>
      </c>
    </row>
    <row r="1727" spans="1:7" ht="17.25" customHeight="1" x14ac:dyDescent="0.2">
      <c r="A1727" s="1611">
        <v>14</v>
      </c>
      <c r="B1727" s="1611" t="s">
        <v>3937</v>
      </c>
      <c r="C1727" s="1611" t="s">
        <v>4840</v>
      </c>
      <c r="D1727" s="1612">
        <v>0</v>
      </c>
      <c r="E1727" s="1706" t="s">
        <v>7592</v>
      </c>
      <c r="F1727" s="1613">
        <v>49000000</v>
      </c>
      <c r="G1727" s="1613">
        <v>63888871745</v>
      </c>
    </row>
    <row r="1728" spans="1:7" ht="17.25" customHeight="1" x14ac:dyDescent="0.2">
      <c r="A1728" s="1611">
        <v>14</v>
      </c>
      <c r="B1728" s="1611" t="s">
        <v>3937</v>
      </c>
      <c r="C1728" s="1611" t="s">
        <v>4841</v>
      </c>
      <c r="D1728" s="1612">
        <v>0</v>
      </c>
      <c r="E1728" s="1706" t="s">
        <v>7592</v>
      </c>
      <c r="F1728" s="1613">
        <v>42000000</v>
      </c>
      <c r="G1728" s="1613">
        <v>63930871745</v>
      </c>
    </row>
    <row r="1729" spans="1:7" ht="17.25" customHeight="1" x14ac:dyDescent="0.2">
      <c r="A1729" s="1611">
        <v>14</v>
      </c>
      <c r="B1729" s="1611" t="s">
        <v>7222</v>
      </c>
      <c r="C1729" s="1611" t="s">
        <v>3597</v>
      </c>
      <c r="D1729" s="1612">
        <v>0</v>
      </c>
      <c r="E1729" s="1706" t="s">
        <v>7592</v>
      </c>
      <c r="F1729" s="1613">
        <v>72200000</v>
      </c>
      <c r="G1729" s="1613">
        <v>64003071745</v>
      </c>
    </row>
    <row r="1730" spans="1:7" ht="17.25" customHeight="1" x14ac:dyDescent="0.2">
      <c r="A1730" s="1611">
        <v>14</v>
      </c>
      <c r="B1730" s="1611" t="s">
        <v>7214</v>
      </c>
      <c r="C1730" s="1611" t="s">
        <v>3890</v>
      </c>
      <c r="D1730" s="1612">
        <v>0</v>
      </c>
      <c r="E1730" s="1612" t="s">
        <v>2025</v>
      </c>
      <c r="F1730" s="1613">
        <v>78781890</v>
      </c>
      <c r="G1730" s="1613">
        <v>64081853635</v>
      </c>
    </row>
    <row r="1731" spans="1:7" ht="17.25" customHeight="1" x14ac:dyDescent="0.2">
      <c r="A1731" s="1611">
        <v>14</v>
      </c>
      <c r="B1731" s="1611" t="s">
        <v>3937</v>
      </c>
      <c r="C1731" s="1611" t="s">
        <v>4842</v>
      </c>
      <c r="D1731" s="1612">
        <v>0</v>
      </c>
      <c r="E1731" s="1706" t="s">
        <v>7592</v>
      </c>
      <c r="F1731" s="1613">
        <v>63900000</v>
      </c>
      <c r="G1731" s="1613">
        <v>64145753635</v>
      </c>
    </row>
    <row r="1732" spans="1:7" ht="17.25" customHeight="1" x14ac:dyDescent="0.2">
      <c r="A1732" s="1611">
        <v>14</v>
      </c>
      <c r="B1732" s="1611" t="s">
        <v>3937</v>
      </c>
      <c r="C1732" s="1611" t="s">
        <v>4843</v>
      </c>
      <c r="D1732" s="1612">
        <v>0</v>
      </c>
      <c r="E1732" s="1706" t="s">
        <v>7592</v>
      </c>
      <c r="F1732" s="1613">
        <v>53636364</v>
      </c>
      <c r="G1732" s="1613">
        <v>64199389999</v>
      </c>
    </row>
    <row r="1733" spans="1:7" ht="17.25" customHeight="1" x14ac:dyDescent="0.2">
      <c r="A1733" s="1611">
        <v>14</v>
      </c>
      <c r="B1733" s="1611" t="s">
        <v>3937</v>
      </c>
      <c r="C1733" s="1611" t="s">
        <v>4844</v>
      </c>
      <c r="D1733" s="1612">
        <v>0</v>
      </c>
      <c r="E1733" s="1706" t="s">
        <v>7592</v>
      </c>
      <c r="F1733" s="1613">
        <v>33000000</v>
      </c>
      <c r="G1733" s="1613">
        <v>64232389999</v>
      </c>
    </row>
    <row r="1734" spans="1:7" ht="17.25" customHeight="1" x14ac:dyDescent="0.2">
      <c r="A1734" s="1611">
        <v>14</v>
      </c>
      <c r="B1734" s="1611" t="s">
        <v>3937</v>
      </c>
      <c r="C1734" s="1611" t="s">
        <v>4845</v>
      </c>
      <c r="D1734" s="1612">
        <v>0</v>
      </c>
      <c r="E1734" s="1706" t="s">
        <v>7592</v>
      </c>
      <c r="F1734" s="1613">
        <v>49090909</v>
      </c>
      <c r="G1734" s="1613">
        <v>64281480908</v>
      </c>
    </row>
    <row r="1735" spans="1:7" ht="17.25" customHeight="1" x14ac:dyDescent="0.2">
      <c r="A1735" s="1611">
        <v>14</v>
      </c>
      <c r="B1735" s="1611" t="s">
        <v>3937</v>
      </c>
      <c r="C1735" s="1611" t="s">
        <v>4822</v>
      </c>
      <c r="D1735" s="1612">
        <v>0</v>
      </c>
      <c r="E1735" s="1706" t="s">
        <v>7592</v>
      </c>
      <c r="F1735" s="1613">
        <v>50000000</v>
      </c>
      <c r="G1735" s="1613">
        <v>64331480908</v>
      </c>
    </row>
    <row r="1736" spans="1:7" ht="17.25" customHeight="1" x14ac:dyDescent="0.2">
      <c r="A1736" s="1611">
        <v>14</v>
      </c>
      <c r="B1736" s="1611" t="s">
        <v>3937</v>
      </c>
      <c r="C1736" s="1611" t="s">
        <v>4846</v>
      </c>
      <c r="D1736" s="1612">
        <v>0</v>
      </c>
      <c r="E1736" s="1706" t="s">
        <v>7592</v>
      </c>
      <c r="F1736" s="1613">
        <v>42363636</v>
      </c>
      <c r="G1736" s="1613">
        <v>64373844544</v>
      </c>
    </row>
    <row r="1737" spans="1:7" ht="17.25" customHeight="1" x14ac:dyDescent="0.2">
      <c r="A1737" s="1611">
        <v>14</v>
      </c>
      <c r="B1737" s="1611" t="s">
        <v>3937</v>
      </c>
      <c r="C1737" s="1611" t="s">
        <v>4847</v>
      </c>
      <c r="D1737" s="1612">
        <v>0</v>
      </c>
      <c r="E1737" s="1706" t="s">
        <v>7592</v>
      </c>
      <c r="F1737" s="1613">
        <v>14000000</v>
      </c>
      <c r="G1737" s="1613">
        <v>64387844544</v>
      </c>
    </row>
    <row r="1738" spans="1:7" ht="17.25" customHeight="1" x14ac:dyDescent="0.2">
      <c r="A1738" s="1611">
        <v>14</v>
      </c>
      <c r="B1738" s="1611" t="s">
        <v>3937</v>
      </c>
      <c r="C1738" s="1611" t="s">
        <v>4848</v>
      </c>
      <c r="D1738" s="1612">
        <v>0</v>
      </c>
      <c r="E1738" s="1706" t="s">
        <v>7592</v>
      </c>
      <c r="F1738" s="1613">
        <v>14000000</v>
      </c>
      <c r="G1738" s="1613">
        <v>64401844544</v>
      </c>
    </row>
    <row r="1739" spans="1:7" ht="17.25" customHeight="1" x14ac:dyDescent="0.2">
      <c r="A1739" s="1611">
        <v>14</v>
      </c>
      <c r="B1739" s="1611" t="s">
        <v>3937</v>
      </c>
      <c r="C1739" s="1611" t="s">
        <v>4849</v>
      </c>
      <c r="D1739" s="1612">
        <v>0</v>
      </c>
      <c r="E1739" s="1706" t="s">
        <v>7592</v>
      </c>
      <c r="F1739" s="1613">
        <v>138000000</v>
      </c>
      <c r="G1739" s="1613">
        <v>64539844544</v>
      </c>
    </row>
    <row r="1740" spans="1:7" ht="17.25" customHeight="1" x14ac:dyDescent="0.2">
      <c r="A1740" s="1611">
        <v>14</v>
      </c>
      <c r="B1740" s="1611" t="s">
        <v>3937</v>
      </c>
      <c r="C1740" s="1611" t="s">
        <v>4850</v>
      </c>
      <c r="D1740" s="1612">
        <v>0</v>
      </c>
      <c r="E1740" s="1706" t="s">
        <v>7592</v>
      </c>
      <c r="F1740" s="1613">
        <v>40909090</v>
      </c>
      <c r="G1740" s="1613">
        <v>64580753634</v>
      </c>
    </row>
    <row r="1741" spans="1:7" ht="17.25" customHeight="1" x14ac:dyDescent="0.2">
      <c r="A1741" s="1611">
        <v>14</v>
      </c>
      <c r="B1741" s="1611" t="s">
        <v>3937</v>
      </c>
      <c r="C1741" s="1611" t="s">
        <v>4851</v>
      </c>
      <c r="D1741" s="1612">
        <v>0</v>
      </c>
      <c r="E1741" s="1706" t="s">
        <v>7592</v>
      </c>
      <c r="F1741" s="1613">
        <v>32000000</v>
      </c>
      <c r="G1741" s="1613">
        <v>64612753634</v>
      </c>
    </row>
    <row r="1742" spans="1:7" ht="17.25" customHeight="1" x14ac:dyDescent="0.2">
      <c r="A1742" s="1611">
        <v>14</v>
      </c>
      <c r="B1742" s="1611" t="s">
        <v>3937</v>
      </c>
      <c r="C1742" s="1611" t="s">
        <v>4852</v>
      </c>
      <c r="D1742" s="1612">
        <v>0</v>
      </c>
      <c r="E1742" s="1706" t="s">
        <v>7592</v>
      </c>
      <c r="F1742" s="1613">
        <v>41390910</v>
      </c>
      <c r="G1742" s="1613">
        <v>64654144544</v>
      </c>
    </row>
    <row r="1743" spans="1:7" ht="17.25" customHeight="1" x14ac:dyDescent="0.2">
      <c r="A1743" s="1611">
        <v>14</v>
      </c>
      <c r="B1743" s="1611" t="s">
        <v>3937</v>
      </c>
      <c r="C1743" s="1611" t="s">
        <v>4853</v>
      </c>
      <c r="D1743" s="1612">
        <v>0</v>
      </c>
      <c r="E1743" s="1706" t="s">
        <v>7592</v>
      </c>
      <c r="F1743" s="1613">
        <v>137000000</v>
      </c>
      <c r="G1743" s="1613">
        <v>64791144544</v>
      </c>
    </row>
    <row r="1744" spans="1:7" ht="17.25" customHeight="1" x14ac:dyDescent="0.2">
      <c r="A1744" s="1611">
        <v>14</v>
      </c>
      <c r="B1744" s="1611" t="s">
        <v>3937</v>
      </c>
      <c r="C1744" s="1611" t="s">
        <v>4661</v>
      </c>
      <c r="D1744" s="1612">
        <v>0</v>
      </c>
      <c r="E1744" s="1706" t="s">
        <v>7592</v>
      </c>
      <c r="F1744" s="1613">
        <v>13217273</v>
      </c>
      <c r="G1744" s="1613">
        <v>64804361817</v>
      </c>
    </row>
    <row r="1745" spans="1:7" ht="17.25" customHeight="1" x14ac:dyDescent="0.2">
      <c r="A1745" s="1611">
        <v>14</v>
      </c>
      <c r="B1745" s="1611" t="s">
        <v>3937</v>
      </c>
      <c r="C1745" s="1611" t="s">
        <v>4854</v>
      </c>
      <c r="D1745" s="1612">
        <v>0</v>
      </c>
      <c r="E1745" s="1706" t="s">
        <v>7592</v>
      </c>
      <c r="F1745" s="1613">
        <v>35000000</v>
      </c>
      <c r="G1745" s="1613">
        <v>64839361817</v>
      </c>
    </row>
    <row r="1746" spans="1:7" ht="17.25" customHeight="1" x14ac:dyDescent="0.2">
      <c r="A1746" s="1611">
        <v>14</v>
      </c>
      <c r="B1746" s="1611" t="s">
        <v>7223</v>
      </c>
      <c r="C1746" s="1611" t="s">
        <v>4852</v>
      </c>
      <c r="D1746" s="1612">
        <v>0</v>
      </c>
      <c r="E1746" s="1706" t="s">
        <v>7592</v>
      </c>
      <c r="F1746" s="1613">
        <v>2385455</v>
      </c>
      <c r="G1746" s="1613">
        <v>64841747272</v>
      </c>
    </row>
    <row r="1747" spans="1:7" ht="17.25" customHeight="1" x14ac:dyDescent="0.2">
      <c r="A1747" s="1611">
        <v>14</v>
      </c>
      <c r="B1747" s="1611" t="s">
        <v>3937</v>
      </c>
      <c r="C1747" s="1611" t="s">
        <v>4855</v>
      </c>
      <c r="D1747" s="1612">
        <v>0</v>
      </c>
      <c r="E1747" s="1706" t="s">
        <v>7592</v>
      </c>
      <c r="F1747" s="1613">
        <v>14000000</v>
      </c>
      <c r="G1747" s="1613">
        <v>64855747272</v>
      </c>
    </row>
    <row r="1748" spans="1:7" ht="17.25" customHeight="1" x14ac:dyDescent="0.2">
      <c r="A1748" s="1611">
        <v>14</v>
      </c>
      <c r="B1748" s="1611" t="s">
        <v>3937</v>
      </c>
      <c r="C1748" s="1611" t="s">
        <v>4856</v>
      </c>
      <c r="D1748" s="1612">
        <v>0</v>
      </c>
      <c r="E1748" s="1706" t="s">
        <v>7592</v>
      </c>
      <c r="F1748" s="1613">
        <v>40727272</v>
      </c>
      <c r="G1748" s="1613">
        <v>64896474544</v>
      </c>
    </row>
    <row r="1749" spans="1:7" ht="17.25" customHeight="1" x14ac:dyDescent="0.2">
      <c r="A1749" s="1611">
        <v>14</v>
      </c>
      <c r="B1749" s="1611" t="s">
        <v>3937</v>
      </c>
      <c r="C1749" s="1611" t="s">
        <v>4857</v>
      </c>
      <c r="D1749" s="1612">
        <v>0</v>
      </c>
      <c r="E1749" s="1706" t="s">
        <v>7592</v>
      </c>
      <c r="F1749" s="1613">
        <v>41600000</v>
      </c>
      <c r="G1749" s="1613">
        <v>64938074544</v>
      </c>
    </row>
    <row r="1750" spans="1:7" ht="17.25" customHeight="1" x14ac:dyDescent="0.2">
      <c r="A1750" s="1611">
        <v>14</v>
      </c>
      <c r="B1750" s="1611" t="s">
        <v>7224</v>
      </c>
      <c r="C1750" s="1611" t="s">
        <v>4858</v>
      </c>
      <c r="D1750" s="1612">
        <v>0</v>
      </c>
      <c r="E1750" s="1706" t="s">
        <v>7592</v>
      </c>
      <c r="F1750" s="1613">
        <v>233126364</v>
      </c>
      <c r="G1750" s="1613">
        <v>65171200908</v>
      </c>
    </row>
    <row r="1751" spans="1:7" ht="17.25" customHeight="1" x14ac:dyDescent="0.2">
      <c r="A1751" s="1611">
        <v>14</v>
      </c>
      <c r="B1751" s="1611" t="s">
        <v>3937</v>
      </c>
      <c r="C1751" s="1611" t="s">
        <v>4859</v>
      </c>
      <c r="D1751" s="1612">
        <v>0</v>
      </c>
      <c r="E1751" s="1706" t="s">
        <v>7592</v>
      </c>
      <c r="F1751" s="1613">
        <v>95500000</v>
      </c>
      <c r="G1751" s="1613">
        <v>65266700908</v>
      </c>
    </row>
    <row r="1752" spans="1:7" ht="17.25" customHeight="1" x14ac:dyDescent="0.2">
      <c r="A1752" s="1611">
        <v>14</v>
      </c>
      <c r="B1752" s="1611" t="s">
        <v>3937</v>
      </c>
      <c r="C1752" s="1611" t="s">
        <v>4859</v>
      </c>
      <c r="D1752" s="1612">
        <v>0</v>
      </c>
      <c r="E1752" s="1706" t="s">
        <v>7592</v>
      </c>
      <c r="F1752" s="1613">
        <v>1623500000</v>
      </c>
      <c r="G1752" s="1613">
        <v>66890200908</v>
      </c>
    </row>
    <row r="1753" spans="1:7" ht="17.25" customHeight="1" x14ac:dyDescent="0.2">
      <c r="A1753" s="1611">
        <v>14</v>
      </c>
      <c r="B1753" s="1611" t="s">
        <v>3937</v>
      </c>
      <c r="C1753" s="1611" t="s">
        <v>4859</v>
      </c>
      <c r="D1753" s="1612">
        <v>0</v>
      </c>
      <c r="E1753" s="1706" t="s">
        <v>7592</v>
      </c>
      <c r="F1753" s="1613">
        <v>-95500000</v>
      </c>
      <c r="G1753" s="1613">
        <v>66794700908</v>
      </c>
    </row>
    <row r="1754" spans="1:7" ht="17.25" customHeight="1" x14ac:dyDescent="0.2">
      <c r="A1754" s="1611">
        <v>14</v>
      </c>
      <c r="B1754" s="1611" t="s">
        <v>3937</v>
      </c>
      <c r="C1754" s="1611" t="s">
        <v>4859</v>
      </c>
      <c r="D1754" s="1612">
        <v>0</v>
      </c>
      <c r="E1754" s="1706" t="s">
        <v>7592</v>
      </c>
      <c r="F1754" s="1613">
        <v>-1623500000</v>
      </c>
      <c r="G1754" s="1613">
        <v>65171200908</v>
      </c>
    </row>
    <row r="1755" spans="1:7" ht="17.25" customHeight="1" x14ac:dyDescent="0.2">
      <c r="A1755" s="1611">
        <v>14</v>
      </c>
      <c r="B1755" s="1611" t="s">
        <v>3937</v>
      </c>
      <c r="C1755" s="1611" t="s">
        <v>4859</v>
      </c>
      <c r="D1755" s="1612">
        <v>0</v>
      </c>
      <c r="E1755" s="1706" t="s">
        <v>7592</v>
      </c>
      <c r="F1755" s="1613">
        <v>1623500000</v>
      </c>
      <c r="G1755" s="1613">
        <v>66794700908</v>
      </c>
    </row>
    <row r="1756" spans="1:7" ht="17.25" customHeight="1" x14ac:dyDescent="0.2">
      <c r="A1756" s="1611">
        <v>14</v>
      </c>
      <c r="B1756" s="1611" t="s">
        <v>3937</v>
      </c>
      <c r="C1756" s="1611" t="s">
        <v>4859</v>
      </c>
      <c r="D1756" s="1612">
        <v>0</v>
      </c>
      <c r="E1756" s="1706" t="s">
        <v>7592</v>
      </c>
      <c r="F1756" s="1613">
        <v>95500000</v>
      </c>
      <c r="G1756" s="1613">
        <v>66890200908</v>
      </c>
    </row>
    <row r="1757" spans="1:7" ht="17.25" customHeight="1" x14ac:dyDescent="0.2">
      <c r="A1757" s="1611">
        <v>14</v>
      </c>
      <c r="B1757" s="1611" t="s">
        <v>3937</v>
      </c>
      <c r="C1757" s="1611" t="s">
        <v>4860</v>
      </c>
      <c r="D1757" s="1612">
        <v>0</v>
      </c>
      <c r="E1757" s="1706" t="s">
        <v>7592</v>
      </c>
      <c r="F1757" s="1613">
        <v>35254545</v>
      </c>
      <c r="G1757" s="1613">
        <v>66925455453</v>
      </c>
    </row>
    <row r="1758" spans="1:7" ht="17.25" customHeight="1" x14ac:dyDescent="0.2">
      <c r="A1758" s="1611">
        <v>14</v>
      </c>
      <c r="B1758" s="1611" t="s">
        <v>3937</v>
      </c>
      <c r="C1758" s="1611" t="s">
        <v>4861</v>
      </c>
      <c r="D1758" s="1612">
        <v>0</v>
      </c>
      <c r="E1758" s="1706" t="s">
        <v>7592</v>
      </c>
      <c r="F1758" s="1613">
        <v>34000000</v>
      </c>
      <c r="G1758" s="1613">
        <v>66959455453</v>
      </c>
    </row>
    <row r="1759" spans="1:7" ht="17.25" customHeight="1" x14ac:dyDescent="0.2">
      <c r="A1759" s="1611">
        <v>14</v>
      </c>
      <c r="B1759" s="1611" t="s">
        <v>3937</v>
      </c>
      <c r="C1759" s="1611" t="s">
        <v>4862</v>
      </c>
      <c r="D1759" s="1612">
        <v>0</v>
      </c>
      <c r="E1759" s="1706" t="s">
        <v>7592</v>
      </c>
      <c r="F1759" s="1613">
        <v>32700000</v>
      </c>
      <c r="G1759" s="1613">
        <v>66992155453</v>
      </c>
    </row>
    <row r="1760" spans="1:7" ht="17.25" customHeight="1" x14ac:dyDescent="0.2">
      <c r="A1760" s="1611">
        <v>14</v>
      </c>
      <c r="B1760" s="1611" t="s">
        <v>3937</v>
      </c>
      <c r="C1760" s="1611" t="s">
        <v>4863</v>
      </c>
      <c r="D1760" s="1612">
        <v>0</v>
      </c>
      <c r="E1760" s="1706" t="s">
        <v>7592</v>
      </c>
      <c r="F1760" s="1613">
        <v>104909091</v>
      </c>
      <c r="G1760" s="1613">
        <v>67097064544</v>
      </c>
    </row>
    <row r="1761" spans="1:7" ht="17.25" customHeight="1" x14ac:dyDescent="0.2">
      <c r="A1761" s="1611">
        <v>14</v>
      </c>
      <c r="B1761" s="1611" t="s">
        <v>3937</v>
      </c>
      <c r="C1761" s="1611" t="s">
        <v>4863</v>
      </c>
      <c r="D1761" s="1612">
        <v>0</v>
      </c>
      <c r="E1761" s="1706" t="s">
        <v>7592</v>
      </c>
      <c r="F1761" s="1613">
        <v>-104909091</v>
      </c>
      <c r="G1761" s="1613">
        <v>66992155453</v>
      </c>
    </row>
    <row r="1762" spans="1:7" ht="17.25" customHeight="1" x14ac:dyDescent="0.2">
      <c r="A1762" s="1611">
        <v>14</v>
      </c>
      <c r="B1762" s="1611" t="s">
        <v>3937</v>
      </c>
      <c r="C1762" s="1611" t="s">
        <v>3667</v>
      </c>
      <c r="D1762" s="1612">
        <v>0</v>
      </c>
      <c r="E1762" s="1706" t="s">
        <v>7592</v>
      </c>
      <c r="F1762" s="1613">
        <v>104909091</v>
      </c>
      <c r="G1762" s="1613">
        <v>67097064544</v>
      </c>
    </row>
    <row r="1763" spans="1:7" ht="17.25" customHeight="1" x14ac:dyDescent="0.2">
      <c r="A1763" s="1611">
        <v>14</v>
      </c>
      <c r="B1763" s="1611" t="s">
        <v>3937</v>
      </c>
      <c r="C1763" s="1611" t="s">
        <v>4151</v>
      </c>
      <c r="D1763" s="1612">
        <v>0</v>
      </c>
      <c r="E1763" s="1706" t="s">
        <v>7592</v>
      </c>
      <c r="F1763" s="1613">
        <v>33300000</v>
      </c>
      <c r="G1763" s="1613">
        <v>67130364544</v>
      </c>
    </row>
    <row r="1764" spans="1:7" ht="17.25" customHeight="1" x14ac:dyDescent="0.2">
      <c r="A1764" s="1611">
        <v>14</v>
      </c>
      <c r="B1764" s="1611" t="s">
        <v>3937</v>
      </c>
      <c r="C1764" s="1611" t="s">
        <v>4864</v>
      </c>
      <c r="D1764" s="1612">
        <v>0</v>
      </c>
      <c r="E1764" s="1706" t="s">
        <v>7592</v>
      </c>
      <c r="F1764" s="1613">
        <v>35000000</v>
      </c>
      <c r="G1764" s="1613">
        <v>67165364544</v>
      </c>
    </row>
    <row r="1765" spans="1:7" ht="17.25" customHeight="1" x14ac:dyDescent="0.2">
      <c r="A1765" s="1611">
        <v>14</v>
      </c>
      <c r="B1765" s="1611" t="s">
        <v>3937</v>
      </c>
      <c r="C1765" s="1611" t="s">
        <v>4865</v>
      </c>
      <c r="D1765" s="1612">
        <v>0</v>
      </c>
      <c r="E1765" s="1706" t="s">
        <v>7592</v>
      </c>
      <c r="F1765" s="1613">
        <v>16363636</v>
      </c>
      <c r="G1765" s="1613">
        <v>67181728180</v>
      </c>
    </row>
    <row r="1766" spans="1:7" ht="17.25" customHeight="1" x14ac:dyDescent="0.2">
      <c r="A1766" s="1611">
        <v>14</v>
      </c>
      <c r="B1766" s="1611" t="s">
        <v>3937</v>
      </c>
      <c r="C1766" s="1611" t="s">
        <v>4866</v>
      </c>
      <c r="D1766" s="1612">
        <v>0</v>
      </c>
      <c r="E1766" s="1706" t="s">
        <v>7592</v>
      </c>
      <c r="F1766" s="1613">
        <v>17580273</v>
      </c>
      <c r="G1766" s="1613">
        <v>67199308453</v>
      </c>
    </row>
    <row r="1767" spans="1:7" ht="17.25" customHeight="1" x14ac:dyDescent="0.2">
      <c r="A1767" s="1611">
        <v>14</v>
      </c>
      <c r="B1767" s="1611" t="s">
        <v>3937</v>
      </c>
      <c r="C1767" s="1611" t="s">
        <v>4859</v>
      </c>
      <c r="D1767" s="1612">
        <v>0</v>
      </c>
      <c r="E1767" s="1706" t="s">
        <v>7592</v>
      </c>
      <c r="F1767" s="1613">
        <v>79500000</v>
      </c>
      <c r="G1767" s="1613">
        <v>67278808453</v>
      </c>
    </row>
    <row r="1768" spans="1:7" ht="17.25" customHeight="1" x14ac:dyDescent="0.2">
      <c r="A1768" s="1611">
        <v>14</v>
      </c>
      <c r="B1768" s="1611" t="s">
        <v>3937</v>
      </c>
      <c r="C1768" s="1611" t="s">
        <v>4859</v>
      </c>
      <c r="D1768" s="1612">
        <v>0</v>
      </c>
      <c r="E1768" s="1706" t="s">
        <v>7592</v>
      </c>
      <c r="F1768" s="1613">
        <v>1351500000</v>
      </c>
      <c r="G1768" s="1613">
        <v>68630308453</v>
      </c>
    </row>
    <row r="1769" spans="1:7" ht="17.25" customHeight="1" x14ac:dyDescent="0.2">
      <c r="A1769" s="1611">
        <v>14</v>
      </c>
      <c r="B1769" s="1611" t="s">
        <v>3937</v>
      </c>
      <c r="C1769" s="1611" t="s">
        <v>4669</v>
      </c>
      <c r="D1769" s="1612">
        <v>0</v>
      </c>
      <c r="E1769" s="1706" t="s">
        <v>7592</v>
      </c>
      <c r="F1769" s="1613">
        <v>33856363</v>
      </c>
      <c r="G1769" s="1613">
        <v>68664164816</v>
      </c>
    </row>
    <row r="1770" spans="1:7" ht="17.25" customHeight="1" x14ac:dyDescent="0.2">
      <c r="A1770" s="1611">
        <v>14</v>
      </c>
      <c r="B1770" s="1611" t="s">
        <v>3937</v>
      </c>
      <c r="C1770" s="1611" t="s">
        <v>4859</v>
      </c>
      <c r="D1770" s="1612">
        <v>0</v>
      </c>
      <c r="E1770" s="1706" t="s">
        <v>7592</v>
      </c>
      <c r="F1770" s="1613">
        <v>-79500000</v>
      </c>
      <c r="G1770" s="1613">
        <v>68584664816</v>
      </c>
    </row>
    <row r="1771" spans="1:7" ht="17.25" customHeight="1" x14ac:dyDescent="0.2">
      <c r="A1771" s="1611">
        <v>14</v>
      </c>
      <c r="B1771" s="1611" t="s">
        <v>3937</v>
      </c>
      <c r="C1771" s="1611" t="s">
        <v>4859</v>
      </c>
      <c r="D1771" s="1612">
        <v>0</v>
      </c>
      <c r="E1771" s="1706" t="s">
        <v>7592</v>
      </c>
      <c r="F1771" s="1613">
        <v>-1351500000</v>
      </c>
      <c r="G1771" s="1613">
        <v>67233164816</v>
      </c>
    </row>
    <row r="1772" spans="1:7" ht="17.25" customHeight="1" x14ac:dyDescent="0.2">
      <c r="A1772" s="1611">
        <v>14</v>
      </c>
      <c r="B1772" s="1611" t="s">
        <v>3937</v>
      </c>
      <c r="C1772" s="1611" t="s">
        <v>4859</v>
      </c>
      <c r="D1772" s="1612">
        <v>0</v>
      </c>
      <c r="E1772" s="1706" t="s">
        <v>7592</v>
      </c>
      <c r="F1772" s="1613">
        <v>1431000000</v>
      </c>
      <c r="G1772" s="1613">
        <v>68664164816</v>
      </c>
    </row>
    <row r="1773" spans="1:7" ht="17.25" customHeight="1" x14ac:dyDescent="0.2">
      <c r="A1773" s="1611">
        <v>14</v>
      </c>
      <c r="B1773" s="1611" t="s">
        <v>3937</v>
      </c>
      <c r="C1773" s="1611" t="s">
        <v>4867</v>
      </c>
      <c r="D1773" s="1612">
        <v>0</v>
      </c>
      <c r="E1773" s="1706" t="s">
        <v>7592</v>
      </c>
      <c r="F1773" s="1613">
        <v>40127273</v>
      </c>
      <c r="G1773" s="1613">
        <v>68704292089</v>
      </c>
    </row>
    <row r="1774" spans="1:7" ht="17.25" customHeight="1" x14ac:dyDescent="0.2">
      <c r="A1774" s="1611">
        <v>14</v>
      </c>
      <c r="B1774" s="1611" t="s">
        <v>3937</v>
      </c>
      <c r="C1774" s="1611" t="s">
        <v>4868</v>
      </c>
      <c r="D1774" s="1612">
        <v>0</v>
      </c>
      <c r="E1774" s="1706" t="s">
        <v>7592</v>
      </c>
      <c r="F1774" s="1613">
        <v>50000000</v>
      </c>
      <c r="G1774" s="1613">
        <v>68754292089</v>
      </c>
    </row>
    <row r="1775" spans="1:7" ht="17.25" customHeight="1" x14ac:dyDescent="0.2">
      <c r="A1775" s="1611">
        <v>14</v>
      </c>
      <c r="B1775" s="1611" t="s">
        <v>3937</v>
      </c>
      <c r="C1775" s="1611" t="s">
        <v>4869</v>
      </c>
      <c r="D1775" s="1612">
        <v>0</v>
      </c>
      <c r="E1775" s="1706" t="s">
        <v>7592</v>
      </c>
      <c r="F1775" s="1613">
        <v>49170000</v>
      </c>
      <c r="G1775" s="1613">
        <v>68803462089</v>
      </c>
    </row>
    <row r="1776" spans="1:7" ht="17.25" customHeight="1" x14ac:dyDescent="0.2">
      <c r="A1776" s="1611">
        <v>14</v>
      </c>
      <c r="B1776" s="1611" t="s">
        <v>3937</v>
      </c>
      <c r="C1776" s="1611" t="s">
        <v>4870</v>
      </c>
      <c r="D1776" s="1612">
        <v>0</v>
      </c>
      <c r="E1776" s="1706" t="s">
        <v>7592</v>
      </c>
      <c r="F1776" s="1613">
        <v>51000000</v>
      </c>
      <c r="G1776" s="1613">
        <v>68854462089</v>
      </c>
    </row>
    <row r="1777" spans="1:7" ht="17.25" customHeight="1" x14ac:dyDescent="0.2">
      <c r="A1777" s="1611">
        <v>14</v>
      </c>
      <c r="B1777" s="1611" t="s">
        <v>7155</v>
      </c>
      <c r="C1777" s="1611" t="s">
        <v>3890</v>
      </c>
      <c r="D1777" s="1612">
        <v>0</v>
      </c>
      <c r="E1777" s="1612" t="s">
        <v>2025</v>
      </c>
      <c r="F1777" s="1613">
        <v>107500264</v>
      </c>
      <c r="G1777" s="1613">
        <v>68961962353</v>
      </c>
    </row>
    <row r="1778" spans="1:7" ht="17.25" customHeight="1" x14ac:dyDescent="0.2">
      <c r="A1778" s="1611">
        <v>14</v>
      </c>
      <c r="B1778" s="1611" t="s">
        <v>3937</v>
      </c>
      <c r="C1778" s="1611" t="s">
        <v>4871</v>
      </c>
      <c r="D1778" s="1612">
        <v>0</v>
      </c>
      <c r="E1778" s="1706" t="s">
        <v>7592</v>
      </c>
      <c r="F1778" s="1613">
        <v>15000000</v>
      </c>
      <c r="G1778" s="1613">
        <v>68976962353</v>
      </c>
    </row>
    <row r="1779" spans="1:7" ht="17.25" customHeight="1" x14ac:dyDescent="0.2">
      <c r="A1779" s="1611">
        <v>14</v>
      </c>
      <c r="B1779" s="1611" t="s">
        <v>3937</v>
      </c>
      <c r="C1779" s="1611" t="s">
        <v>4872</v>
      </c>
      <c r="D1779" s="1612">
        <v>0</v>
      </c>
      <c r="E1779" s="1706" t="s">
        <v>7592</v>
      </c>
      <c r="F1779" s="1613">
        <v>35000000</v>
      </c>
      <c r="G1779" s="1613">
        <v>69011962353</v>
      </c>
    </row>
    <row r="1780" spans="1:7" ht="17.25" customHeight="1" x14ac:dyDescent="0.2">
      <c r="A1780" s="1611">
        <v>14</v>
      </c>
      <c r="B1780" s="1611" t="s">
        <v>3937</v>
      </c>
      <c r="C1780" s="1611" t="s">
        <v>4873</v>
      </c>
      <c r="D1780" s="1612">
        <v>0</v>
      </c>
      <c r="E1780" s="1706" t="s">
        <v>7592</v>
      </c>
      <c r="F1780" s="1613">
        <v>33636363</v>
      </c>
      <c r="G1780" s="1613">
        <v>69045598716</v>
      </c>
    </row>
    <row r="1781" spans="1:7" ht="17.25" customHeight="1" x14ac:dyDescent="0.2">
      <c r="A1781" s="1611">
        <v>14</v>
      </c>
      <c r="B1781" s="1611" t="s">
        <v>3937</v>
      </c>
      <c r="C1781" s="1611" t="s">
        <v>4739</v>
      </c>
      <c r="D1781" s="1612">
        <v>0</v>
      </c>
      <c r="E1781" s="1706" t="s">
        <v>7592</v>
      </c>
      <c r="F1781" s="1613">
        <v>35000000</v>
      </c>
      <c r="G1781" s="1613">
        <v>69080598716</v>
      </c>
    </row>
    <row r="1782" spans="1:7" ht="17.25" customHeight="1" x14ac:dyDescent="0.2">
      <c r="A1782" s="1611">
        <v>14</v>
      </c>
      <c r="B1782" s="1611" t="s">
        <v>4874</v>
      </c>
      <c r="C1782" s="1611" t="s">
        <v>4875</v>
      </c>
      <c r="D1782" s="1612">
        <v>0</v>
      </c>
      <c r="E1782" s="1706" t="s">
        <v>7592</v>
      </c>
      <c r="F1782" s="1613">
        <v>98000000</v>
      </c>
      <c r="G1782" s="1613">
        <v>69178598716</v>
      </c>
    </row>
    <row r="1783" spans="1:7" ht="17.25" customHeight="1" x14ac:dyDescent="0.2">
      <c r="A1783" s="1611">
        <v>14</v>
      </c>
      <c r="B1783" s="1611" t="s">
        <v>3937</v>
      </c>
      <c r="C1783" s="1611" t="s">
        <v>4876</v>
      </c>
      <c r="D1783" s="1612">
        <v>0</v>
      </c>
      <c r="E1783" s="1706" t="s">
        <v>7592</v>
      </c>
      <c r="F1783" s="1613">
        <v>72545455</v>
      </c>
      <c r="G1783" s="1613">
        <v>69251144171</v>
      </c>
    </row>
    <row r="1784" spans="1:7" ht="17.25" customHeight="1" x14ac:dyDescent="0.2">
      <c r="A1784" s="1611">
        <v>14</v>
      </c>
      <c r="B1784" s="1611" t="s">
        <v>3937</v>
      </c>
      <c r="C1784" s="1611" t="s">
        <v>4877</v>
      </c>
      <c r="D1784" s="1612">
        <v>0</v>
      </c>
      <c r="E1784" s="1706" t="s">
        <v>7592</v>
      </c>
      <c r="F1784" s="1613">
        <v>52890910</v>
      </c>
      <c r="G1784" s="1613">
        <v>69304035081</v>
      </c>
    </row>
    <row r="1785" spans="1:7" ht="17.25" customHeight="1" x14ac:dyDescent="0.2">
      <c r="A1785" s="1611">
        <v>14</v>
      </c>
      <c r="B1785" s="1611" t="s">
        <v>3937</v>
      </c>
      <c r="C1785" s="1611" t="s">
        <v>4878</v>
      </c>
      <c r="D1785" s="1612">
        <v>0</v>
      </c>
      <c r="E1785" s="1706" t="s">
        <v>7592</v>
      </c>
      <c r="F1785" s="1613">
        <v>14650000</v>
      </c>
      <c r="G1785" s="1613">
        <v>69318685081</v>
      </c>
    </row>
    <row r="1786" spans="1:7" ht="17.25" customHeight="1" x14ac:dyDescent="0.2">
      <c r="A1786" s="1611">
        <v>14</v>
      </c>
      <c r="B1786" s="1611" t="s">
        <v>3937</v>
      </c>
      <c r="C1786" s="1611" t="s">
        <v>4879</v>
      </c>
      <c r="D1786" s="1612">
        <v>0</v>
      </c>
      <c r="E1786" s="1706" t="s">
        <v>7592</v>
      </c>
      <c r="F1786" s="1613">
        <v>15000000</v>
      </c>
      <c r="G1786" s="1613">
        <v>69333685081</v>
      </c>
    </row>
    <row r="1787" spans="1:7" ht="17.25" customHeight="1" x14ac:dyDescent="0.2">
      <c r="A1787" s="1611">
        <v>14</v>
      </c>
      <c r="B1787" s="1611" t="s">
        <v>3937</v>
      </c>
      <c r="C1787" s="1611" t="s">
        <v>4880</v>
      </c>
      <c r="D1787" s="1612">
        <v>0</v>
      </c>
      <c r="E1787" s="1706" t="s">
        <v>7592</v>
      </c>
      <c r="F1787" s="1613">
        <v>40700000</v>
      </c>
      <c r="G1787" s="1613">
        <v>69374385081</v>
      </c>
    </row>
    <row r="1788" spans="1:7" ht="17.25" customHeight="1" x14ac:dyDescent="0.2">
      <c r="A1788" s="1611">
        <v>14</v>
      </c>
      <c r="B1788" s="1611" t="s">
        <v>3937</v>
      </c>
      <c r="C1788" s="1611" t="s">
        <v>4881</v>
      </c>
      <c r="D1788" s="1612">
        <v>0</v>
      </c>
      <c r="E1788" s="1706" t="s">
        <v>7592</v>
      </c>
      <c r="F1788" s="1613">
        <v>140000000</v>
      </c>
      <c r="G1788" s="1613">
        <v>69514385081</v>
      </c>
    </row>
    <row r="1789" spans="1:7" ht="17.25" customHeight="1" x14ac:dyDescent="0.2">
      <c r="A1789" s="1611">
        <v>14</v>
      </c>
      <c r="B1789" s="1611" t="s">
        <v>7225</v>
      </c>
      <c r="C1789" s="1611" t="s">
        <v>4876</v>
      </c>
      <c r="D1789" s="1612">
        <v>0</v>
      </c>
      <c r="E1789" s="1706" t="s">
        <v>7592</v>
      </c>
      <c r="F1789" s="1613">
        <v>12690000</v>
      </c>
      <c r="G1789" s="1613">
        <v>69527075081</v>
      </c>
    </row>
    <row r="1790" spans="1:7" ht="17.25" customHeight="1" x14ac:dyDescent="0.2">
      <c r="A1790" s="1611">
        <v>14</v>
      </c>
      <c r="B1790" s="1611" t="s">
        <v>7226</v>
      </c>
      <c r="C1790" s="1611" t="s">
        <v>4882</v>
      </c>
      <c r="D1790" s="1612">
        <v>0</v>
      </c>
      <c r="E1790" s="1706" t="s">
        <v>7557</v>
      </c>
      <c r="F1790" s="1613">
        <v>5263630</v>
      </c>
      <c r="G1790" s="1613">
        <v>69532338711</v>
      </c>
    </row>
    <row r="1791" spans="1:7" ht="17.25" customHeight="1" x14ac:dyDescent="0.2">
      <c r="A1791" s="1611">
        <v>14</v>
      </c>
      <c r="B1791" s="1611" t="s">
        <v>3937</v>
      </c>
      <c r="C1791" s="1611" t="s">
        <v>4883</v>
      </c>
      <c r="D1791" s="1612">
        <v>0</v>
      </c>
      <c r="E1791" s="1706" t="s">
        <v>7592</v>
      </c>
      <c r="F1791" s="1613">
        <v>41000000</v>
      </c>
      <c r="G1791" s="1613">
        <v>69573338711</v>
      </c>
    </row>
    <row r="1792" spans="1:7" ht="17.25" customHeight="1" x14ac:dyDescent="0.2">
      <c r="A1792" s="1611">
        <v>14</v>
      </c>
      <c r="B1792" s="1611" t="s">
        <v>3937</v>
      </c>
      <c r="C1792" s="1611" t="s">
        <v>4884</v>
      </c>
      <c r="D1792" s="1612">
        <v>0</v>
      </c>
      <c r="E1792" s="1706" t="s">
        <v>7592</v>
      </c>
      <c r="F1792" s="1613">
        <v>12700000</v>
      </c>
      <c r="G1792" s="1613">
        <v>69586038711</v>
      </c>
    </row>
    <row r="1793" spans="1:7" ht="17.25" customHeight="1" x14ac:dyDescent="0.2">
      <c r="A1793" s="1611">
        <v>14</v>
      </c>
      <c r="B1793" s="1611" t="s">
        <v>3937</v>
      </c>
      <c r="C1793" s="1611" t="s">
        <v>4885</v>
      </c>
      <c r="D1793" s="1612">
        <v>0</v>
      </c>
      <c r="E1793" s="1706" t="s">
        <v>7592</v>
      </c>
      <c r="F1793" s="1613">
        <v>54000000</v>
      </c>
      <c r="G1793" s="1613">
        <v>69640038711</v>
      </c>
    </row>
    <row r="1794" spans="1:7" ht="17.25" customHeight="1" x14ac:dyDescent="0.2">
      <c r="A1794" s="1611">
        <v>14</v>
      </c>
      <c r="B1794" s="1611" t="s">
        <v>3937</v>
      </c>
      <c r="C1794" s="1611" t="s">
        <v>4886</v>
      </c>
      <c r="D1794" s="1612">
        <v>0</v>
      </c>
      <c r="E1794" s="1706" t="s">
        <v>7592</v>
      </c>
      <c r="F1794" s="1613">
        <v>51000000</v>
      </c>
      <c r="G1794" s="1613">
        <v>69691038711</v>
      </c>
    </row>
    <row r="1795" spans="1:7" ht="17.25" customHeight="1" x14ac:dyDescent="0.2">
      <c r="A1795" s="1611">
        <v>14</v>
      </c>
      <c r="B1795" s="1611" t="s">
        <v>7227</v>
      </c>
      <c r="C1795" s="1611" t="s">
        <v>4887</v>
      </c>
      <c r="D1795" s="1612">
        <v>0</v>
      </c>
      <c r="E1795" s="1706" t="s">
        <v>7592</v>
      </c>
      <c r="F1795" s="1613">
        <v>18181819</v>
      </c>
      <c r="G1795" s="1613">
        <v>69709220530</v>
      </c>
    </row>
    <row r="1796" spans="1:7" ht="17.25" customHeight="1" x14ac:dyDescent="0.2">
      <c r="A1796" s="1611">
        <v>14</v>
      </c>
      <c r="B1796" s="1611" t="s">
        <v>3937</v>
      </c>
      <c r="C1796" s="1611" t="s">
        <v>4888</v>
      </c>
      <c r="D1796" s="1612">
        <v>0</v>
      </c>
      <c r="E1796" s="1706" t="s">
        <v>7592</v>
      </c>
      <c r="F1796" s="1613">
        <v>53800000</v>
      </c>
      <c r="G1796" s="1613">
        <v>69763020530</v>
      </c>
    </row>
    <row r="1797" spans="1:7" ht="17.25" customHeight="1" x14ac:dyDescent="0.2">
      <c r="A1797" s="1611">
        <v>14</v>
      </c>
      <c r="B1797" s="1611" t="s">
        <v>3937</v>
      </c>
      <c r="C1797" s="1611" t="s">
        <v>4889</v>
      </c>
      <c r="D1797" s="1612">
        <v>0</v>
      </c>
      <c r="E1797" s="1706" t="s">
        <v>7592</v>
      </c>
      <c r="F1797" s="1613">
        <v>13400000</v>
      </c>
      <c r="G1797" s="1613">
        <v>69776420530</v>
      </c>
    </row>
    <row r="1798" spans="1:7" ht="17.25" customHeight="1" x14ac:dyDescent="0.2">
      <c r="A1798" s="1611">
        <v>14</v>
      </c>
      <c r="B1798" s="1611" t="s">
        <v>3937</v>
      </c>
      <c r="C1798" s="1611" t="s">
        <v>3719</v>
      </c>
      <c r="D1798" s="1612">
        <v>0</v>
      </c>
      <c r="E1798" s="1706" t="s">
        <v>7592</v>
      </c>
      <c r="F1798" s="1613">
        <v>33500000</v>
      </c>
      <c r="G1798" s="1613">
        <v>69809920530</v>
      </c>
    </row>
    <row r="1799" spans="1:7" ht="17.25" customHeight="1" x14ac:dyDescent="0.2">
      <c r="A1799" s="1611">
        <v>14</v>
      </c>
      <c r="B1799" s="1611" t="s">
        <v>3937</v>
      </c>
      <c r="C1799" s="1611" t="s">
        <v>4100</v>
      </c>
      <c r="D1799" s="1612">
        <v>0</v>
      </c>
      <c r="E1799" s="1706" t="s">
        <v>7592</v>
      </c>
      <c r="F1799" s="1613">
        <v>36000000</v>
      </c>
      <c r="G1799" s="1613">
        <v>69845920530</v>
      </c>
    </row>
    <row r="1800" spans="1:7" ht="17.25" customHeight="1" x14ac:dyDescent="0.2">
      <c r="A1800" s="1611">
        <v>14</v>
      </c>
      <c r="B1800" s="1611" t="s">
        <v>3937</v>
      </c>
      <c r="C1800" s="1611" t="s">
        <v>3820</v>
      </c>
      <c r="D1800" s="1612">
        <v>0</v>
      </c>
      <c r="E1800" s="1706" t="s">
        <v>7592</v>
      </c>
      <c r="F1800" s="1613">
        <v>14900000</v>
      </c>
      <c r="G1800" s="1613">
        <v>69860820530</v>
      </c>
    </row>
    <row r="1801" spans="1:7" ht="17.25" customHeight="1" x14ac:dyDescent="0.2">
      <c r="A1801" s="1611">
        <v>14</v>
      </c>
      <c r="B1801" s="1611" t="s">
        <v>3937</v>
      </c>
      <c r="C1801" s="1611" t="s">
        <v>3820</v>
      </c>
      <c r="D1801" s="1612">
        <v>0</v>
      </c>
      <c r="E1801" s="1706" t="s">
        <v>7592</v>
      </c>
      <c r="F1801" s="1613">
        <v>-14900000</v>
      </c>
      <c r="G1801" s="1613">
        <v>69845920530</v>
      </c>
    </row>
    <row r="1802" spans="1:7" ht="17.25" customHeight="1" x14ac:dyDescent="0.2">
      <c r="A1802" s="1611">
        <v>14</v>
      </c>
      <c r="B1802" s="1611" t="s">
        <v>3937</v>
      </c>
      <c r="C1802" s="1611" t="s">
        <v>4890</v>
      </c>
      <c r="D1802" s="1612">
        <v>0</v>
      </c>
      <c r="E1802" s="1706" t="s">
        <v>7592</v>
      </c>
      <c r="F1802" s="1613">
        <v>14900000</v>
      </c>
      <c r="G1802" s="1613">
        <v>69860820530</v>
      </c>
    </row>
    <row r="1803" spans="1:7" ht="17.25" customHeight="1" x14ac:dyDescent="0.2">
      <c r="A1803" s="1611">
        <v>15</v>
      </c>
      <c r="B1803" s="1611" t="s">
        <v>3937</v>
      </c>
      <c r="C1803" s="1611" t="s">
        <v>4891</v>
      </c>
      <c r="D1803" s="1612">
        <v>0</v>
      </c>
      <c r="E1803" s="1706" t="s">
        <v>7592</v>
      </c>
      <c r="F1803" s="1613">
        <v>15581818</v>
      </c>
      <c r="G1803" s="1613">
        <v>69876402348</v>
      </c>
    </row>
    <row r="1804" spans="1:7" ht="17.25" customHeight="1" x14ac:dyDescent="0.2">
      <c r="A1804" s="1611">
        <v>15</v>
      </c>
      <c r="B1804" s="1611" t="s">
        <v>3937</v>
      </c>
      <c r="C1804" s="1611" t="s">
        <v>4892</v>
      </c>
      <c r="D1804" s="1612">
        <v>0</v>
      </c>
      <c r="E1804" s="1706" t="s">
        <v>7592</v>
      </c>
      <c r="F1804" s="1613">
        <v>47181818</v>
      </c>
      <c r="G1804" s="1613">
        <v>69923584166</v>
      </c>
    </row>
    <row r="1805" spans="1:7" ht="17.25" customHeight="1" x14ac:dyDescent="0.2">
      <c r="A1805" s="1611">
        <v>15</v>
      </c>
      <c r="B1805" s="1611" t="s">
        <v>3937</v>
      </c>
      <c r="C1805" s="1611" t="s">
        <v>4891</v>
      </c>
      <c r="D1805" s="1612">
        <v>0</v>
      </c>
      <c r="E1805" s="1706" t="s">
        <v>7592</v>
      </c>
      <c r="F1805" s="1613">
        <v>-15581818</v>
      </c>
      <c r="G1805" s="1613">
        <v>69908002348</v>
      </c>
    </row>
    <row r="1806" spans="1:7" ht="17.25" customHeight="1" x14ac:dyDescent="0.2">
      <c r="A1806" s="1611">
        <v>15</v>
      </c>
      <c r="B1806" s="1611" t="s">
        <v>3937</v>
      </c>
      <c r="C1806" s="1611" t="s">
        <v>4891</v>
      </c>
      <c r="D1806" s="1612">
        <v>0</v>
      </c>
      <c r="E1806" s="1706" t="s">
        <v>7592</v>
      </c>
      <c r="F1806" s="1613">
        <v>15672727</v>
      </c>
      <c r="G1806" s="1613">
        <v>69923675075</v>
      </c>
    </row>
    <row r="1807" spans="1:7" ht="17.25" customHeight="1" x14ac:dyDescent="0.2">
      <c r="A1807" s="1611">
        <v>15</v>
      </c>
      <c r="B1807" s="1611" t="s">
        <v>7228</v>
      </c>
      <c r="C1807" s="1611" t="s">
        <v>4681</v>
      </c>
      <c r="D1807" s="1612">
        <v>0</v>
      </c>
      <c r="E1807" s="1706" t="s">
        <v>7592</v>
      </c>
      <c r="F1807" s="1613">
        <v>5650000</v>
      </c>
      <c r="G1807" s="1613">
        <v>69929325075</v>
      </c>
    </row>
    <row r="1808" spans="1:7" ht="17.25" customHeight="1" x14ac:dyDescent="0.2">
      <c r="A1808" s="1611">
        <v>15</v>
      </c>
      <c r="B1808" s="1611" t="s">
        <v>3937</v>
      </c>
      <c r="C1808" s="1611" t="s">
        <v>4893</v>
      </c>
      <c r="D1808" s="1612">
        <v>0</v>
      </c>
      <c r="E1808" s="1706" t="s">
        <v>7592</v>
      </c>
      <c r="F1808" s="1613">
        <v>147000000</v>
      </c>
      <c r="G1808" s="1613">
        <v>70076325075</v>
      </c>
    </row>
    <row r="1809" spans="1:7" ht="17.25" customHeight="1" x14ac:dyDescent="0.2">
      <c r="A1809" s="1611">
        <v>15</v>
      </c>
      <c r="B1809" s="1611" t="s">
        <v>3937</v>
      </c>
      <c r="C1809" s="1611" t="s">
        <v>4893</v>
      </c>
      <c r="D1809" s="1612">
        <v>0</v>
      </c>
      <c r="E1809" s="1706" t="s">
        <v>7592</v>
      </c>
      <c r="F1809" s="1613">
        <v>147000000</v>
      </c>
      <c r="G1809" s="1613">
        <v>70223325075</v>
      </c>
    </row>
    <row r="1810" spans="1:7" ht="17.25" customHeight="1" x14ac:dyDescent="0.2">
      <c r="A1810" s="1611">
        <v>15</v>
      </c>
      <c r="B1810" s="1611" t="s">
        <v>3937</v>
      </c>
      <c r="C1810" s="1611" t="s">
        <v>3438</v>
      </c>
      <c r="D1810" s="1612">
        <v>0</v>
      </c>
      <c r="E1810" s="1706" t="s">
        <v>7592</v>
      </c>
      <c r="F1810" s="1613">
        <v>32081600</v>
      </c>
      <c r="G1810" s="1613">
        <v>70255406675</v>
      </c>
    </row>
    <row r="1811" spans="1:7" ht="17.25" customHeight="1" x14ac:dyDescent="0.2">
      <c r="A1811" s="1611">
        <v>15</v>
      </c>
      <c r="B1811" s="1611" t="s">
        <v>3937</v>
      </c>
      <c r="C1811" s="1611" t="s">
        <v>4894</v>
      </c>
      <c r="D1811" s="1612">
        <v>0</v>
      </c>
      <c r="E1811" s="1706" t="s">
        <v>7592</v>
      </c>
      <c r="F1811" s="1613">
        <v>42500000</v>
      </c>
      <c r="G1811" s="1613">
        <v>70297906675</v>
      </c>
    </row>
    <row r="1812" spans="1:7" ht="17.25" customHeight="1" x14ac:dyDescent="0.2">
      <c r="A1812" s="1611">
        <v>15</v>
      </c>
      <c r="B1812" s="1611" t="s">
        <v>3937</v>
      </c>
      <c r="C1812" s="1611" t="s">
        <v>4895</v>
      </c>
      <c r="D1812" s="1612">
        <v>0</v>
      </c>
      <c r="E1812" s="1706" t="s">
        <v>7592</v>
      </c>
      <c r="F1812" s="1613">
        <v>13899090</v>
      </c>
      <c r="G1812" s="1613">
        <v>70311805765</v>
      </c>
    </row>
    <row r="1813" spans="1:7" ht="17.25" customHeight="1" x14ac:dyDescent="0.2">
      <c r="A1813" s="1611">
        <v>15</v>
      </c>
      <c r="B1813" s="1611" t="s">
        <v>3937</v>
      </c>
      <c r="C1813" s="1611" t="s">
        <v>4896</v>
      </c>
      <c r="D1813" s="1612">
        <v>0</v>
      </c>
      <c r="E1813" s="1706" t="s">
        <v>7592</v>
      </c>
      <c r="F1813" s="1613">
        <v>34000000</v>
      </c>
      <c r="G1813" s="1613">
        <v>70345805765</v>
      </c>
    </row>
    <row r="1814" spans="1:7" ht="17.25" customHeight="1" x14ac:dyDescent="0.2">
      <c r="A1814" s="1611">
        <v>15</v>
      </c>
      <c r="B1814" s="1611" t="s">
        <v>3937</v>
      </c>
      <c r="C1814" s="1611" t="s">
        <v>4897</v>
      </c>
      <c r="D1814" s="1612">
        <v>0</v>
      </c>
      <c r="E1814" s="1706" t="s">
        <v>7592</v>
      </c>
      <c r="F1814" s="1613">
        <v>33500000</v>
      </c>
      <c r="G1814" s="1613">
        <v>70379305765</v>
      </c>
    </row>
    <row r="1815" spans="1:7" ht="17.25" customHeight="1" x14ac:dyDescent="0.2">
      <c r="A1815" s="1611">
        <v>15</v>
      </c>
      <c r="B1815" s="1611" t="s">
        <v>3937</v>
      </c>
      <c r="C1815" s="1611" t="s">
        <v>4898</v>
      </c>
      <c r="D1815" s="1612">
        <v>0</v>
      </c>
      <c r="E1815" s="1706" t="s">
        <v>7592</v>
      </c>
      <c r="F1815" s="1613">
        <v>155000000</v>
      </c>
      <c r="G1815" s="1613">
        <v>70534305765</v>
      </c>
    </row>
    <row r="1816" spans="1:7" ht="17.25" customHeight="1" x14ac:dyDescent="0.2">
      <c r="A1816" s="1611">
        <v>15</v>
      </c>
      <c r="B1816" s="1611" t="s">
        <v>3937</v>
      </c>
      <c r="C1816" s="1611" t="s">
        <v>4899</v>
      </c>
      <c r="D1816" s="1612">
        <v>0</v>
      </c>
      <c r="E1816" s="1706" t="s">
        <v>7592</v>
      </c>
      <c r="F1816" s="1613">
        <v>40500000</v>
      </c>
      <c r="G1816" s="1613">
        <v>70574805765</v>
      </c>
    </row>
    <row r="1817" spans="1:7" ht="17.25" customHeight="1" x14ac:dyDescent="0.2">
      <c r="A1817" s="1611">
        <v>15</v>
      </c>
      <c r="B1817" s="1611" t="s">
        <v>3937</v>
      </c>
      <c r="C1817" s="1611" t="s">
        <v>4900</v>
      </c>
      <c r="D1817" s="1612">
        <v>0</v>
      </c>
      <c r="E1817" s="1706" t="s">
        <v>7592</v>
      </c>
      <c r="F1817" s="1613">
        <v>40509091</v>
      </c>
      <c r="G1817" s="1613">
        <v>70615314856</v>
      </c>
    </row>
    <row r="1818" spans="1:7" ht="17.25" customHeight="1" x14ac:dyDescent="0.2">
      <c r="A1818" s="1611">
        <v>15</v>
      </c>
      <c r="B1818" s="1611" t="s">
        <v>3937</v>
      </c>
      <c r="C1818" s="1611" t="s">
        <v>4901</v>
      </c>
      <c r="D1818" s="1612">
        <v>0</v>
      </c>
      <c r="E1818" s="1706" t="s">
        <v>7592</v>
      </c>
      <c r="F1818" s="1613">
        <v>13600000</v>
      </c>
      <c r="G1818" s="1613">
        <v>70628914856</v>
      </c>
    </row>
    <row r="1819" spans="1:7" ht="17.25" customHeight="1" x14ac:dyDescent="0.2">
      <c r="A1819" s="1611">
        <v>15</v>
      </c>
      <c r="B1819" s="1611" t="s">
        <v>3937</v>
      </c>
      <c r="C1819" s="1611" t="s">
        <v>4777</v>
      </c>
      <c r="D1819" s="1612">
        <v>0</v>
      </c>
      <c r="E1819" s="1706" t="s">
        <v>7592</v>
      </c>
      <c r="F1819" s="1613">
        <v>33000000</v>
      </c>
      <c r="G1819" s="1613">
        <v>70661914856</v>
      </c>
    </row>
    <row r="1820" spans="1:7" ht="17.25" customHeight="1" x14ac:dyDescent="0.2">
      <c r="A1820" s="1611">
        <v>15</v>
      </c>
      <c r="B1820" s="1611" t="s">
        <v>3937</v>
      </c>
      <c r="C1820" s="1611" t="s">
        <v>4902</v>
      </c>
      <c r="D1820" s="1612">
        <v>0</v>
      </c>
      <c r="E1820" s="1706" t="s">
        <v>7592</v>
      </c>
      <c r="F1820" s="1613">
        <v>44768909</v>
      </c>
      <c r="G1820" s="1613">
        <v>70706683765</v>
      </c>
    </row>
    <row r="1821" spans="1:7" ht="17.25" customHeight="1" x14ac:dyDescent="0.2">
      <c r="A1821" s="1611">
        <v>15</v>
      </c>
      <c r="B1821" s="1611" t="s">
        <v>3937</v>
      </c>
      <c r="C1821" s="1611" t="s">
        <v>4903</v>
      </c>
      <c r="D1821" s="1612">
        <v>0</v>
      </c>
      <c r="E1821" s="1706" t="s">
        <v>7592</v>
      </c>
      <c r="F1821" s="1613">
        <v>126000000</v>
      </c>
      <c r="G1821" s="1613">
        <v>70832683765</v>
      </c>
    </row>
    <row r="1822" spans="1:7" ht="17.25" customHeight="1" x14ac:dyDescent="0.2">
      <c r="A1822" s="1611">
        <v>15</v>
      </c>
      <c r="B1822" s="1611" t="s">
        <v>3937</v>
      </c>
      <c r="C1822" s="1611" t="s">
        <v>4903</v>
      </c>
      <c r="D1822" s="1612">
        <v>0</v>
      </c>
      <c r="E1822" s="1706" t="s">
        <v>7592</v>
      </c>
      <c r="F1822" s="1613">
        <v>126000000</v>
      </c>
      <c r="G1822" s="1613">
        <v>70958683765</v>
      </c>
    </row>
    <row r="1823" spans="1:7" ht="17.25" customHeight="1" x14ac:dyDescent="0.2">
      <c r="A1823" s="1611">
        <v>15</v>
      </c>
      <c r="B1823" s="1611" t="s">
        <v>7229</v>
      </c>
      <c r="C1823" s="1611" t="s">
        <v>3597</v>
      </c>
      <c r="D1823" s="1612">
        <v>0</v>
      </c>
      <c r="E1823" s="1706" t="s">
        <v>7592</v>
      </c>
      <c r="F1823" s="1613">
        <v>38155000</v>
      </c>
      <c r="G1823" s="1613">
        <v>70996838765</v>
      </c>
    </row>
    <row r="1824" spans="1:7" ht="17.25" customHeight="1" x14ac:dyDescent="0.2">
      <c r="A1824" s="1611">
        <v>15</v>
      </c>
      <c r="B1824" s="1611" t="s">
        <v>7186</v>
      </c>
      <c r="C1824" s="1611" t="s">
        <v>4305</v>
      </c>
      <c r="D1824" s="1612">
        <v>0</v>
      </c>
      <c r="E1824" s="1612" t="s">
        <v>3296</v>
      </c>
      <c r="F1824" s="1613">
        <v>212947800</v>
      </c>
      <c r="G1824" s="1613">
        <v>71209786565</v>
      </c>
    </row>
    <row r="1825" spans="1:7" ht="17.25" customHeight="1" x14ac:dyDescent="0.2">
      <c r="A1825" s="1611">
        <v>15</v>
      </c>
      <c r="B1825" s="1611" t="s">
        <v>3937</v>
      </c>
      <c r="C1825" s="1611" t="s">
        <v>4904</v>
      </c>
      <c r="D1825" s="1612">
        <v>0</v>
      </c>
      <c r="E1825" s="1706" t="s">
        <v>7592</v>
      </c>
      <c r="F1825" s="1613">
        <v>16950000</v>
      </c>
      <c r="G1825" s="1613">
        <v>71226736565</v>
      </c>
    </row>
    <row r="1826" spans="1:7" ht="17.25" customHeight="1" x14ac:dyDescent="0.2">
      <c r="A1826" s="1611">
        <v>15</v>
      </c>
      <c r="B1826" s="1611" t="s">
        <v>3937</v>
      </c>
      <c r="C1826" s="1611" t="s">
        <v>4905</v>
      </c>
      <c r="D1826" s="1612">
        <v>0</v>
      </c>
      <c r="E1826" s="1706" t="s">
        <v>7592</v>
      </c>
      <c r="F1826" s="1613">
        <v>34000000</v>
      </c>
      <c r="G1826" s="1613">
        <v>71260736565</v>
      </c>
    </row>
    <row r="1827" spans="1:7" ht="17.25" customHeight="1" x14ac:dyDescent="0.2">
      <c r="A1827" s="1611">
        <v>15</v>
      </c>
      <c r="B1827" s="1611" t="s">
        <v>3937</v>
      </c>
      <c r="C1827" s="1611" t="s">
        <v>4906</v>
      </c>
      <c r="D1827" s="1612">
        <v>0</v>
      </c>
      <c r="E1827" s="1706" t="s">
        <v>7592</v>
      </c>
      <c r="F1827" s="1613">
        <v>13800000</v>
      </c>
      <c r="G1827" s="1613">
        <v>71274536565</v>
      </c>
    </row>
    <row r="1828" spans="1:7" ht="17.25" customHeight="1" x14ac:dyDescent="0.2">
      <c r="A1828" s="1611">
        <v>15</v>
      </c>
      <c r="B1828" s="1611" t="s">
        <v>3937</v>
      </c>
      <c r="C1828" s="1611" t="s">
        <v>4907</v>
      </c>
      <c r="D1828" s="1612">
        <v>0</v>
      </c>
      <c r="E1828" s="1706" t="s">
        <v>7592</v>
      </c>
      <c r="F1828" s="1613">
        <v>49800000</v>
      </c>
      <c r="G1828" s="1613">
        <v>71324336565</v>
      </c>
    </row>
    <row r="1829" spans="1:7" ht="17.25" customHeight="1" x14ac:dyDescent="0.2">
      <c r="A1829" s="1611">
        <v>15</v>
      </c>
      <c r="B1829" s="1611" t="s">
        <v>7230</v>
      </c>
      <c r="C1829" s="1611" t="s">
        <v>4681</v>
      </c>
      <c r="D1829" s="1612">
        <v>0</v>
      </c>
      <c r="E1829" s="1706" t="s">
        <v>7592</v>
      </c>
      <c r="F1829" s="1613">
        <v>13040000</v>
      </c>
      <c r="G1829" s="1613">
        <v>71337376565</v>
      </c>
    </row>
    <row r="1830" spans="1:7" ht="17.25" customHeight="1" x14ac:dyDescent="0.2">
      <c r="A1830" s="1611">
        <v>15</v>
      </c>
      <c r="B1830" s="1611" t="s">
        <v>3937</v>
      </c>
      <c r="C1830" s="1611" t="s">
        <v>4908</v>
      </c>
      <c r="D1830" s="1612">
        <v>0</v>
      </c>
      <c r="E1830" s="1706" t="s">
        <v>7592</v>
      </c>
      <c r="F1830" s="1613">
        <v>140000000</v>
      </c>
      <c r="G1830" s="1613">
        <v>71477376565</v>
      </c>
    </row>
    <row r="1831" spans="1:7" ht="17.25" customHeight="1" x14ac:dyDescent="0.2">
      <c r="A1831" s="1611">
        <v>15</v>
      </c>
      <c r="B1831" s="1611" t="s">
        <v>3937</v>
      </c>
      <c r="C1831" s="1611" t="s">
        <v>4103</v>
      </c>
      <c r="D1831" s="1612">
        <v>0</v>
      </c>
      <c r="E1831" s="1706" t="s">
        <v>7592</v>
      </c>
      <c r="F1831" s="1613">
        <v>38500000</v>
      </c>
      <c r="G1831" s="1613">
        <v>71515876565</v>
      </c>
    </row>
    <row r="1832" spans="1:7" ht="17.25" customHeight="1" x14ac:dyDescent="0.2">
      <c r="A1832" s="1611">
        <v>15</v>
      </c>
      <c r="B1832" s="1611" t="s">
        <v>3937</v>
      </c>
      <c r="C1832" s="1611" t="s">
        <v>4909</v>
      </c>
      <c r="D1832" s="1612">
        <v>0</v>
      </c>
      <c r="E1832" s="1706" t="s">
        <v>7592</v>
      </c>
      <c r="F1832" s="1613">
        <v>60454545</v>
      </c>
      <c r="G1832" s="1613">
        <v>71576331110</v>
      </c>
    </row>
    <row r="1833" spans="1:7" ht="17.25" customHeight="1" x14ac:dyDescent="0.2">
      <c r="A1833" s="1611">
        <v>15</v>
      </c>
      <c r="B1833" s="1611" t="s">
        <v>3937</v>
      </c>
      <c r="C1833" s="1611" t="s">
        <v>4910</v>
      </c>
      <c r="D1833" s="1612">
        <v>0</v>
      </c>
      <c r="E1833" s="1706" t="s">
        <v>7592</v>
      </c>
      <c r="F1833" s="1613">
        <v>33000000</v>
      </c>
      <c r="G1833" s="1613">
        <v>71609331110</v>
      </c>
    </row>
    <row r="1834" spans="1:7" ht="17.25" customHeight="1" x14ac:dyDescent="0.2">
      <c r="A1834" s="1611">
        <v>15</v>
      </c>
      <c r="B1834" s="1611" t="s">
        <v>3937</v>
      </c>
      <c r="C1834" s="1611" t="s">
        <v>4911</v>
      </c>
      <c r="D1834" s="1612">
        <v>0</v>
      </c>
      <c r="E1834" s="1706" t="s">
        <v>7592</v>
      </c>
      <c r="F1834" s="1613">
        <v>49000000</v>
      </c>
      <c r="G1834" s="1613">
        <v>71658331110</v>
      </c>
    </row>
    <row r="1835" spans="1:7" ht="17.25" customHeight="1" x14ac:dyDescent="0.2">
      <c r="A1835" s="1611">
        <v>15</v>
      </c>
      <c r="B1835" s="1611" t="s">
        <v>3937</v>
      </c>
      <c r="C1835" s="1611" t="s">
        <v>3727</v>
      </c>
      <c r="D1835" s="1612">
        <v>0</v>
      </c>
      <c r="E1835" s="1706" t="s">
        <v>7592</v>
      </c>
      <c r="F1835" s="1613">
        <v>47000000</v>
      </c>
      <c r="G1835" s="1613">
        <v>71705331110</v>
      </c>
    </row>
    <row r="1836" spans="1:7" ht="17.25" customHeight="1" x14ac:dyDescent="0.2">
      <c r="A1836" s="1611">
        <v>15</v>
      </c>
      <c r="B1836" s="1611" t="s">
        <v>3937</v>
      </c>
      <c r="C1836" s="1611" t="s">
        <v>4912</v>
      </c>
      <c r="D1836" s="1612">
        <v>0</v>
      </c>
      <c r="E1836" s="1706" t="s">
        <v>7592</v>
      </c>
      <c r="F1836" s="1613">
        <v>42000000</v>
      </c>
      <c r="G1836" s="1613">
        <v>71747331110</v>
      </c>
    </row>
    <row r="1837" spans="1:7" ht="17.25" customHeight="1" x14ac:dyDescent="0.2">
      <c r="A1837" s="1611">
        <v>15</v>
      </c>
      <c r="B1837" s="1611" t="s">
        <v>3937</v>
      </c>
      <c r="C1837" s="1611" t="s">
        <v>3668</v>
      </c>
      <c r="D1837" s="1612">
        <v>0</v>
      </c>
      <c r="E1837" s="1706" t="s">
        <v>7592</v>
      </c>
      <c r="F1837" s="1613">
        <v>140000000</v>
      </c>
      <c r="G1837" s="1613">
        <v>71887331110</v>
      </c>
    </row>
    <row r="1838" spans="1:7" ht="17.25" customHeight="1" x14ac:dyDescent="0.2">
      <c r="A1838" s="1611">
        <v>15</v>
      </c>
      <c r="B1838" s="1611" t="s">
        <v>3937</v>
      </c>
      <c r="C1838" s="1611" t="s">
        <v>4913</v>
      </c>
      <c r="D1838" s="1612">
        <v>0</v>
      </c>
      <c r="E1838" s="1706" t="s">
        <v>7592</v>
      </c>
      <c r="F1838" s="1613">
        <v>128000000</v>
      </c>
      <c r="G1838" s="1613">
        <v>72015331110</v>
      </c>
    </row>
    <row r="1839" spans="1:7" ht="17.25" customHeight="1" x14ac:dyDescent="0.2">
      <c r="A1839" s="1611">
        <v>15</v>
      </c>
      <c r="B1839" s="1611" t="s">
        <v>3937</v>
      </c>
      <c r="C1839" s="1611" t="s">
        <v>4914</v>
      </c>
      <c r="D1839" s="1612">
        <v>0</v>
      </c>
      <c r="E1839" s="1706" t="s">
        <v>7592</v>
      </c>
      <c r="F1839" s="1613">
        <v>34545455</v>
      </c>
      <c r="G1839" s="1613">
        <v>72049876565</v>
      </c>
    </row>
    <row r="1840" spans="1:7" ht="17.25" customHeight="1" x14ac:dyDescent="0.2">
      <c r="A1840" s="1611">
        <v>15</v>
      </c>
      <c r="B1840" s="1611" t="s">
        <v>3937</v>
      </c>
      <c r="C1840" s="1611" t="s">
        <v>4915</v>
      </c>
      <c r="D1840" s="1612">
        <v>0</v>
      </c>
      <c r="E1840" s="1706" t="s">
        <v>7592</v>
      </c>
      <c r="F1840" s="1613">
        <v>132000000</v>
      </c>
      <c r="G1840" s="1613">
        <v>72181876565</v>
      </c>
    </row>
    <row r="1841" spans="1:7" ht="17.25" customHeight="1" x14ac:dyDescent="0.2">
      <c r="A1841" s="1611">
        <v>15</v>
      </c>
      <c r="B1841" s="1611" t="s">
        <v>3937</v>
      </c>
      <c r="C1841" s="1611" t="s">
        <v>4916</v>
      </c>
      <c r="D1841" s="1612">
        <v>0</v>
      </c>
      <c r="E1841" s="1706" t="s">
        <v>7592</v>
      </c>
      <c r="F1841" s="1613">
        <v>50909090</v>
      </c>
      <c r="G1841" s="1613">
        <v>72232785655</v>
      </c>
    </row>
    <row r="1842" spans="1:7" ht="17.25" customHeight="1" x14ac:dyDescent="0.2">
      <c r="A1842" s="1611">
        <v>15</v>
      </c>
      <c r="B1842" s="1611" t="s">
        <v>3937</v>
      </c>
      <c r="C1842" s="1611" t="s">
        <v>4917</v>
      </c>
      <c r="D1842" s="1612">
        <v>0</v>
      </c>
      <c r="E1842" s="1706" t="s">
        <v>7592</v>
      </c>
      <c r="F1842" s="1613">
        <v>128000000</v>
      </c>
      <c r="G1842" s="1613">
        <v>72360785655</v>
      </c>
    </row>
    <row r="1843" spans="1:7" ht="17.25" customHeight="1" x14ac:dyDescent="0.2">
      <c r="A1843" s="1611">
        <v>15</v>
      </c>
      <c r="B1843" s="1611" t="s">
        <v>3937</v>
      </c>
      <c r="C1843" s="1611" t="s">
        <v>4068</v>
      </c>
      <c r="D1843" s="1612">
        <v>0</v>
      </c>
      <c r="E1843" s="1706" t="s">
        <v>7592</v>
      </c>
      <c r="F1843" s="1613">
        <v>150000000</v>
      </c>
      <c r="G1843" s="1613">
        <v>72510785655</v>
      </c>
    </row>
    <row r="1844" spans="1:7" ht="17.25" customHeight="1" x14ac:dyDescent="0.2">
      <c r="A1844" s="1611">
        <v>15</v>
      </c>
      <c r="B1844" s="1611" t="s">
        <v>3937</v>
      </c>
      <c r="C1844" s="1611" t="s">
        <v>4918</v>
      </c>
      <c r="D1844" s="1612">
        <v>0</v>
      </c>
      <c r="E1844" s="1706" t="s">
        <v>7592</v>
      </c>
      <c r="F1844" s="1613">
        <v>15100000</v>
      </c>
      <c r="G1844" s="1613">
        <v>72525885655</v>
      </c>
    </row>
    <row r="1845" spans="1:7" ht="17.25" customHeight="1" x14ac:dyDescent="0.2">
      <c r="A1845" s="1611">
        <v>15</v>
      </c>
      <c r="B1845" s="1611" t="s">
        <v>3937</v>
      </c>
      <c r="C1845" s="1611" t="s">
        <v>4919</v>
      </c>
      <c r="D1845" s="1612">
        <v>0</v>
      </c>
      <c r="E1845" s="1706" t="s">
        <v>7592</v>
      </c>
      <c r="F1845" s="1613">
        <v>50000000</v>
      </c>
      <c r="G1845" s="1613">
        <v>72575885655</v>
      </c>
    </row>
    <row r="1846" spans="1:7" ht="17.25" customHeight="1" x14ac:dyDescent="0.2">
      <c r="A1846" s="1611">
        <v>15</v>
      </c>
      <c r="B1846" s="1611" t="s">
        <v>3937</v>
      </c>
      <c r="C1846" s="1611" t="s">
        <v>4920</v>
      </c>
      <c r="D1846" s="1612">
        <v>0</v>
      </c>
      <c r="E1846" s="1706" t="s">
        <v>7592</v>
      </c>
      <c r="F1846" s="1613">
        <v>13000000</v>
      </c>
      <c r="G1846" s="1613">
        <v>72588885655</v>
      </c>
    </row>
    <row r="1847" spans="1:7" ht="17.25" customHeight="1" x14ac:dyDescent="0.2">
      <c r="A1847" s="1611">
        <v>15</v>
      </c>
      <c r="B1847" s="1611" t="s">
        <v>3937</v>
      </c>
      <c r="C1847" s="1611" t="s">
        <v>4332</v>
      </c>
      <c r="D1847" s="1612">
        <v>0</v>
      </c>
      <c r="E1847" s="1706" t="s">
        <v>7592</v>
      </c>
      <c r="F1847" s="1613">
        <v>36363636</v>
      </c>
      <c r="G1847" s="1613">
        <v>72625249291</v>
      </c>
    </row>
    <row r="1848" spans="1:7" ht="17.25" customHeight="1" x14ac:dyDescent="0.2">
      <c r="A1848" s="1611">
        <v>15</v>
      </c>
      <c r="B1848" s="1611" t="s">
        <v>3937</v>
      </c>
      <c r="C1848" s="1611" t="s">
        <v>4921</v>
      </c>
      <c r="D1848" s="1612">
        <v>0</v>
      </c>
      <c r="E1848" s="1706" t="s">
        <v>7592</v>
      </c>
      <c r="F1848" s="1613">
        <v>34500000</v>
      </c>
      <c r="G1848" s="1613">
        <v>72659749291</v>
      </c>
    </row>
    <row r="1849" spans="1:7" ht="17.25" customHeight="1" x14ac:dyDescent="0.2">
      <c r="A1849" s="1611">
        <v>15</v>
      </c>
      <c r="B1849" s="1611" t="s">
        <v>3937</v>
      </c>
      <c r="C1849" s="1611" t="s">
        <v>4922</v>
      </c>
      <c r="D1849" s="1612">
        <v>0</v>
      </c>
      <c r="E1849" s="1706" t="s">
        <v>7592</v>
      </c>
      <c r="F1849" s="1613">
        <v>34500000</v>
      </c>
      <c r="G1849" s="1613">
        <v>72694249291</v>
      </c>
    </row>
    <row r="1850" spans="1:7" ht="17.25" customHeight="1" x14ac:dyDescent="0.2">
      <c r="A1850" s="1611">
        <v>15</v>
      </c>
      <c r="B1850" s="1611" t="s">
        <v>3937</v>
      </c>
      <c r="C1850" s="1611" t="s">
        <v>3642</v>
      </c>
      <c r="D1850" s="1612">
        <v>0</v>
      </c>
      <c r="E1850" s="1706" t="s">
        <v>7592</v>
      </c>
      <c r="F1850" s="1613">
        <v>35400000</v>
      </c>
      <c r="G1850" s="1613">
        <v>72729649291</v>
      </c>
    </row>
    <row r="1851" spans="1:7" ht="17.25" customHeight="1" x14ac:dyDescent="0.2">
      <c r="A1851" s="1611">
        <v>15</v>
      </c>
      <c r="B1851" s="1611" t="s">
        <v>3937</v>
      </c>
      <c r="C1851" s="1611" t="s">
        <v>4923</v>
      </c>
      <c r="D1851" s="1612">
        <v>0</v>
      </c>
      <c r="E1851" s="1706" t="s">
        <v>7592</v>
      </c>
      <c r="F1851" s="1613">
        <v>34000000</v>
      </c>
      <c r="G1851" s="1613">
        <v>72763649291</v>
      </c>
    </row>
    <row r="1852" spans="1:7" ht="17.25" customHeight="1" x14ac:dyDescent="0.2">
      <c r="A1852" s="1611">
        <v>15</v>
      </c>
      <c r="B1852" s="1611" t="s">
        <v>3937</v>
      </c>
      <c r="C1852" s="1611" t="s">
        <v>4924</v>
      </c>
      <c r="D1852" s="1612">
        <v>0</v>
      </c>
      <c r="E1852" s="1706" t="s">
        <v>7592</v>
      </c>
      <c r="F1852" s="1613">
        <v>36363636</v>
      </c>
      <c r="G1852" s="1613">
        <v>72800012927</v>
      </c>
    </row>
    <row r="1853" spans="1:7" ht="17.25" customHeight="1" x14ac:dyDescent="0.2">
      <c r="A1853" s="1611">
        <v>15</v>
      </c>
      <c r="B1853" s="1611" t="s">
        <v>3937</v>
      </c>
      <c r="C1853" s="1611" t="s">
        <v>4925</v>
      </c>
      <c r="D1853" s="1612">
        <v>0</v>
      </c>
      <c r="E1853" s="1706" t="s">
        <v>7592</v>
      </c>
      <c r="F1853" s="1613">
        <v>40000000</v>
      </c>
      <c r="G1853" s="1613">
        <v>72840012927</v>
      </c>
    </row>
    <row r="1854" spans="1:7" ht="17.25" customHeight="1" x14ac:dyDescent="0.2">
      <c r="A1854" s="1611">
        <v>15</v>
      </c>
      <c r="B1854" s="1611" t="s">
        <v>3937</v>
      </c>
      <c r="C1854" s="1611" t="s">
        <v>4926</v>
      </c>
      <c r="D1854" s="1612">
        <v>0</v>
      </c>
      <c r="E1854" s="1706" t="s">
        <v>7592</v>
      </c>
      <c r="F1854" s="1613">
        <v>43500000</v>
      </c>
      <c r="G1854" s="1613">
        <v>72883512927</v>
      </c>
    </row>
    <row r="1855" spans="1:7" ht="17.25" customHeight="1" x14ac:dyDescent="0.2">
      <c r="A1855" s="1611">
        <v>15</v>
      </c>
      <c r="B1855" s="1611" t="s">
        <v>3937</v>
      </c>
      <c r="C1855" s="1611" t="s">
        <v>4927</v>
      </c>
      <c r="D1855" s="1612">
        <v>0</v>
      </c>
      <c r="E1855" s="1706" t="s">
        <v>7592</v>
      </c>
      <c r="F1855" s="1613">
        <v>44000000</v>
      </c>
      <c r="G1855" s="1613">
        <v>72927512927</v>
      </c>
    </row>
    <row r="1856" spans="1:7" ht="17.25" customHeight="1" x14ac:dyDescent="0.2">
      <c r="A1856" s="1611">
        <v>15</v>
      </c>
      <c r="B1856" s="1611" t="s">
        <v>3937</v>
      </c>
      <c r="C1856" s="1611" t="s">
        <v>4928</v>
      </c>
      <c r="D1856" s="1612">
        <v>0</v>
      </c>
      <c r="E1856" s="1706" t="s">
        <v>7592</v>
      </c>
      <c r="F1856" s="1613">
        <v>53800000</v>
      </c>
      <c r="G1856" s="1613">
        <v>72981312927</v>
      </c>
    </row>
    <row r="1857" spans="1:7" ht="17.25" customHeight="1" x14ac:dyDescent="0.2">
      <c r="A1857" s="1611">
        <v>15</v>
      </c>
      <c r="B1857" s="1611" t="s">
        <v>3937</v>
      </c>
      <c r="C1857" s="1611" t="s">
        <v>4888</v>
      </c>
      <c r="D1857" s="1612">
        <v>0</v>
      </c>
      <c r="E1857" s="1706" t="s">
        <v>7592</v>
      </c>
      <c r="F1857" s="1613">
        <v>53800000</v>
      </c>
      <c r="G1857" s="1613">
        <v>73035112927</v>
      </c>
    </row>
    <row r="1858" spans="1:7" ht="17.25" customHeight="1" x14ac:dyDescent="0.2">
      <c r="A1858" s="1611">
        <v>15</v>
      </c>
      <c r="B1858" s="1611" t="s">
        <v>3937</v>
      </c>
      <c r="C1858" s="1611" t="s">
        <v>4888</v>
      </c>
      <c r="D1858" s="1612">
        <v>0</v>
      </c>
      <c r="E1858" s="1706" t="s">
        <v>7592</v>
      </c>
      <c r="F1858" s="1613">
        <v>-53800000</v>
      </c>
      <c r="G1858" s="1613">
        <v>72981312927</v>
      </c>
    </row>
    <row r="1859" spans="1:7" ht="17.25" customHeight="1" x14ac:dyDescent="0.2">
      <c r="A1859" s="1611">
        <v>15</v>
      </c>
      <c r="B1859" s="1611" t="s">
        <v>3937</v>
      </c>
      <c r="C1859" s="1611" t="s">
        <v>4929</v>
      </c>
      <c r="D1859" s="1612">
        <v>0</v>
      </c>
      <c r="E1859" s="1706" t="s">
        <v>7592</v>
      </c>
      <c r="F1859" s="1613">
        <v>35000000</v>
      </c>
      <c r="G1859" s="1613">
        <v>73016312927</v>
      </c>
    </row>
    <row r="1860" spans="1:7" ht="17.25" customHeight="1" x14ac:dyDescent="0.2">
      <c r="A1860" s="1611">
        <v>15</v>
      </c>
      <c r="B1860" s="1611" t="s">
        <v>3937</v>
      </c>
      <c r="C1860" s="1611" t="s">
        <v>4930</v>
      </c>
      <c r="D1860" s="1612">
        <v>0</v>
      </c>
      <c r="E1860" s="1706" t="s">
        <v>7592</v>
      </c>
      <c r="F1860" s="1613">
        <v>40000000</v>
      </c>
      <c r="G1860" s="1613">
        <v>73056312927</v>
      </c>
    </row>
    <row r="1861" spans="1:7" ht="17.25" customHeight="1" x14ac:dyDescent="0.2">
      <c r="A1861" s="1611">
        <v>15</v>
      </c>
      <c r="B1861" s="1611" t="s">
        <v>3937</v>
      </c>
      <c r="C1861" s="1611" t="s">
        <v>3834</v>
      </c>
      <c r="D1861" s="1612">
        <v>0</v>
      </c>
      <c r="E1861" s="1706" t="s">
        <v>7592</v>
      </c>
      <c r="F1861" s="1613">
        <v>14500000</v>
      </c>
      <c r="G1861" s="1613">
        <v>73070812927</v>
      </c>
    </row>
    <row r="1862" spans="1:7" ht="17.25" customHeight="1" x14ac:dyDescent="0.2">
      <c r="A1862" s="1611">
        <v>15</v>
      </c>
      <c r="B1862" s="1611" t="s">
        <v>3937</v>
      </c>
      <c r="C1862" s="1611" t="s">
        <v>4931</v>
      </c>
      <c r="D1862" s="1612">
        <v>0</v>
      </c>
      <c r="E1862" s="1706" t="s">
        <v>7592</v>
      </c>
      <c r="F1862" s="1613">
        <v>41750000</v>
      </c>
      <c r="G1862" s="1613">
        <v>73112562927</v>
      </c>
    </row>
    <row r="1863" spans="1:7" ht="17.25" customHeight="1" x14ac:dyDescent="0.2">
      <c r="A1863" s="1611">
        <v>15</v>
      </c>
      <c r="B1863" s="1611" t="s">
        <v>3937</v>
      </c>
      <c r="C1863" s="1611" t="s">
        <v>4932</v>
      </c>
      <c r="D1863" s="1612">
        <v>0</v>
      </c>
      <c r="E1863" s="1706" t="s">
        <v>7592</v>
      </c>
      <c r="F1863" s="1613">
        <v>34500000</v>
      </c>
      <c r="G1863" s="1613">
        <v>73147062927</v>
      </c>
    </row>
    <row r="1864" spans="1:7" ht="17.25" customHeight="1" x14ac:dyDescent="0.2">
      <c r="A1864" s="1611">
        <v>15</v>
      </c>
      <c r="B1864" s="1611" t="s">
        <v>3937</v>
      </c>
      <c r="C1864" s="1611" t="s">
        <v>4933</v>
      </c>
      <c r="D1864" s="1612">
        <v>0</v>
      </c>
      <c r="E1864" s="1706" t="s">
        <v>7592</v>
      </c>
      <c r="F1864" s="1613">
        <v>14853363</v>
      </c>
      <c r="G1864" s="1613">
        <v>73161916290</v>
      </c>
    </row>
    <row r="1865" spans="1:7" ht="17.25" customHeight="1" x14ac:dyDescent="0.2">
      <c r="A1865" s="1611">
        <v>15</v>
      </c>
      <c r="B1865" s="1611" t="s">
        <v>3937</v>
      </c>
      <c r="C1865" s="1611" t="s">
        <v>4923</v>
      </c>
      <c r="D1865" s="1612">
        <v>0</v>
      </c>
      <c r="E1865" s="1706" t="s">
        <v>7592</v>
      </c>
      <c r="F1865" s="1613">
        <v>34000000</v>
      </c>
      <c r="G1865" s="1613">
        <v>73195916290</v>
      </c>
    </row>
    <row r="1866" spans="1:7" ht="17.25" customHeight="1" x14ac:dyDescent="0.2">
      <c r="A1866" s="1611">
        <v>15</v>
      </c>
      <c r="B1866" s="1611" t="s">
        <v>3937</v>
      </c>
      <c r="C1866" s="1611" t="s">
        <v>4934</v>
      </c>
      <c r="D1866" s="1612">
        <v>0</v>
      </c>
      <c r="E1866" s="1706" t="s">
        <v>7592</v>
      </c>
      <c r="F1866" s="1613">
        <v>34090909</v>
      </c>
      <c r="G1866" s="1613">
        <v>73230007199</v>
      </c>
    </row>
    <row r="1867" spans="1:7" ht="17.25" customHeight="1" x14ac:dyDescent="0.2">
      <c r="A1867" s="1611">
        <v>15</v>
      </c>
      <c r="B1867" s="1611" t="s">
        <v>7231</v>
      </c>
      <c r="C1867" s="1611" t="s">
        <v>4904</v>
      </c>
      <c r="D1867" s="1612">
        <v>0</v>
      </c>
      <c r="E1867" s="1706" t="s">
        <v>7592</v>
      </c>
      <c r="F1867" s="1613">
        <v>-909091</v>
      </c>
      <c r="G1867" s="1613">
        <v>73229098108</v>
      </c>
    </row>
    <row r="1868" spans="1:7" ht="17.25" customHeight="1" x14ac:dyDescent="0.2">
      <c r="A1868" s="1611">
        <v>15</v>
      </c>
      <c r="B1868" s="1611" t="s">
        <v>3937</v>
      </c>
      <c r="C1868" s="1611" t="s">
        <v>4935</v>
      </c>
      <c r="D1868" s="1612">
        <v>0</v>
      </c>
      <c r="E1868" s="1706" t="s">
        <v>7592</v>
      </c>
      <c r="F1868" s="1613">
        <v>43636363</v>
      </c>
      <c r="G1868" s="1613">
        <v>73272734471</v>
      </c>
    </row>
    <row r="1869" spans="1:7" ht="17.25" customHeight="1" x14ac:dyDescent="0.2">
      <c r="A1869" s="1611">
        <v>15</v>
      </c>
      <c r="B1869" s="1611" t="s">
        <v>3937</v>
      </c>
      <c r="C1869" s="1611" t="s">
        <v>4936</v>
      </c>
      <c r="D1869" s="1612">
        <v>0</v>
      </c>
      <c r="E1869" s="1706" t="s">
        <v>7592</v>
      </c>
      <c r="F1869" s="1613">
        <v>44000000</v>
      </c>
      <c r="G1869" s="1613">
        <v>73316734471</v>
      </c>
    </row>
    <row r="1870" spans="1:7" ht="17.25" customHeight="1" x14ac:dyDescent="0.2">
      <c r="A1870" s="1611">
        <v>15</v>
      </c>
      <c r="B1870" s="1611" t="s">
        <v>3937</v>
      </c>
      <c r="C1870" s="1611" t="s">
        <v>4937</v>
      </c>
      <c r="D1870" s="1612">
        <v>0</v>
      </c>
      <c r="E1870" s="1706" t="s">
        <v>7592</v>
      </c>
      <c r="F1870" s="1613">
        <v>36000000</v>
      </c>
      <c r="G1870" s="1613">
        <v>73352734471</v>
      </c>
    </row>
    <row r="1871" spans="1:7" ht="17.25" customHeight="1" x14ac:dyDescent="0.2">
      <c r="A1871" s="1611">
        <v>15</v>
      </c>
      <c r="B1871" s="1611" t="s">
        <v>3937</v>
      </c>
      <c r="C1871" s="1611" t="s">
        <v>4938</v>
      </c>
      <c r="D1871" s="1612">
        <v>0</v>
      </c>
      <c r="E1871" s="1706" t="s">
        <v>7592</v>
      </c>
      <c r="F1871" s="1613">
        <v>15200000</v>
      </c>
      <c r="G1871" s="1613">
        <v>73367934471</v>
      </c>
    </row>
    <row r="1872" spans="1:7" ht="17.25" customHeight="1" x14ac:dyDescent="0.2">
      <c r="A1872" s="1611">
        <v>15</v>
      </c>
      <c r="B1872" s="1611" t="s">
        <v>7232</v>
      </c>
      <c r="C1872" s="1611" t="s">
        <v>4681</v>
      </c>
      <c r="D1872" s="1612">
        <v>0</v>
      </c>
      <c r="E1872" s="1706" t="s">
        <v>7592</v>
      </c>
      <c r="F1872" s="1613">
        <v>17270000</v>
      </c>
      <c r="G1872" s="1613">
        <v>73385204471</v>
      </c>
    </row>
    <row r="1873" spans="1:7" ht="17.25" customHeight="1" x14ac:dyDescent="0.2">
      <c r="A1873" s="1611">
        <v>15</v>
      </c>
      <c r="B1873" s="1611" t="s">
        <v>3937</v>
      </c>
      <c r="C1873" s="1611" t="s">
        <v>4851</v>
      </c>
      <c r="D1873" s="1612">
        <v>0</v>
      </c>
      <c r="E1873" s="1706" t="s">
        <v>7592</v>
      </c>
      <c r="F1873" s="1613">
        <v>32000000</v>
      </c>
      <c r="G1873" s="1613">
        <v>73417204471</v>
      </c>
    </row>
    <row r="1874" spans="1:7" ht="17.25" customHeight="1" x14ac:dyDescent="0.2">
      <c r="A1874" s="1611">
        <v>15</v>
      </c>
      <c r="B1874" s="1611" t="s">
        <v>3937</v>
      </c>
      <c r="C1874" s="1611" t="s">
        <v>4939</v>
      </c>
      <c r="D1874" s="1612">
        <v>0</v>
      </c>
      <c r="E1874" s="1706" t="s">
        <v>7592</v>
      </c>
      <c r="F1874" s="1613">
        <v>34000000</v>
      </c>
      <c r="G1874" s="1613">
        <v>73451204471</v>
      </c>
    </row>
    <row r="1875" spans="1:7" ht="17.25" customHeight="1" x14ac:dyDescent="0.2">
      <c r="A1875" s="1611">
        <v>15</v>
      </c>
      <c r="B1875" s="1611" t="s">
        <v>3937</v>
      </c>
      <c r="C1875" s="1611" t="s">
        <v>4940</v>
      </c>
      <c r="D1875" s="1612">
        <v>0</v>
      </c>
      <c r="E1875" s="1706" t="s">
        <v>7592</v>
      </c>
      <c r="F1875" s="1613">
        <v>43500000</v>
      </c>
      <c r="G1875" s="1613">
        <v>73494704471</v>
      </c>
    </row>
    <row r="1876" spans="1:7" ht="17.25" customHeight="1" x14ac:dyDescent="0.2">
      <c r="A1876" s="1611">
        <v>15</v>
      </c>
      <c r="B1876" s="1611" t="s">
        <v>7233</v>
      </c>
      <c r="C1876" s="1611" t="s">
        <v>3597</v>
      </c>
      <c r="D1876" s="1612">
        <v>0</v>
      </c>
      <c r="E1876" s="1706" t="s">
        <v>7592</v>
      </c>
      <c r="F1876" s="1613">
        <v>98946000</v>
      </c>
      <c r="G1876" s="1613">
        <v>73593650471</v>
      </c>
    </row>
    <row r="1877" spans="1:7" ht="17.25" customHeight="1" x14ac:dyDescent="0.2">
      <c r="A1877" s="1611">
        <v>15</v>
      </c>
      <c r="B1877" s="1611" t="s">
        <v>3937</v>
      </c>
      <c r="C1877" s="1611" t="s">
        <v>4941</v>
      </c>
      <c r="D1877" s="1612">
        <v>0</v>
      </c>
      <c r="E1877" s="1706" t="s">
        <v>7592</v>
      </c>
      <c r="F1877" s="1613">
        <v>43636363</v>
      </c>
      <c r="G1877" s="1613">
        <v>73637286834</v>
      </c>
    </row>
    <row r="1878" spans="1:7" ht="17.25" customHeight="1" x14ac:dyDescent="0.2">
      <c r="A1878" s="1611">
        <v>15</v>
      </c>
      <c r="B1878" s="1611" t="s">
        <v>3937</v>
      </c>
      <c r="C1878" s="1611" t="s">
        <v>4942</v>
      </c>
      <c r="D1878" s="1612">
        <v>0</v>
      </c>
      <c r="E1878" s="1706" t="s">
        <v>7592</v>
      </c>
      <c r="F1878" s="1613">
        <v>42790000</v>
      </c>
      <c r="G1878" s="1613">
        <v>73680076834</v>
      </c>
    </row>
    <row r="1879" spans="1:7" ht="17.25" customHeight="1" x14ac:dyDescent="0.2">
      <c r="A1879" s="1611">
        <v>15</v>
      </c>
      <c r="B1879" s="1611" t="s">
        <v>7234</v>
      </c>
      <c r="C1879" s="1611" t="s">
        <v>4662</v>
      </c>
      <c r="D1879" s="1612">
        <v>0</v>
      </c>
      <c r="E1879" s="1706" t="s">
        <v>7592</v>
      </c>
      <c r="F1879" s="1613">
        <v>6418182</v>
      </c>
      <c r="G1879" s="1613">
        <v>73686495016</v>
      </c>
    </row>
    <row r="1880" spans="1:7" ht="17.25" customHeight="1" x14ac:dyDescent="0.2">
      <c r="A1880" s="1611">
        <v>15</v>
      </c>
      <c r="B1880" s="1611" t="s">
        <v>3937</v>
      </c>
      <c r="C1880" s="1611" t="s">
        <v>4943</v>
      </c>
      <c r="D1880" s="1612">
        <v>0</v>
      </c>
      <c r="E1880" s="1706" t="s">
        <v>7592</v>
      </c>
      <c r="F1880" s="1613">
        <v>50000000</v>
      </c>
      <c r="G1880" s="1613">
        <v>73736495016</v>
      </c>
    </row>
    <row r="1881" spans="1:7" ht="17.25" customHeight="1" x14ac:dyDescent="0.2">
      <c r="A1881" s="1611">
        <v>15</v>
      </c>
      <c r="B1881" s="1611" t="s">
        <v>3937</v>
      </c>
      <c r="C1881" s="1611" t="s">
        <v>4944</v>
      </c>
      <c r="D1881" s="1612">
        <v>0</v>
      </c>
      <c r="E1881" s="1706" t="s">
        <v>7592</v>
      </c>
      <c r="F1881" s="1613">
        <v>50909091</v>
      </c>
      <c r="G1881" s="1613">
        <v>73787404107</v>
      </c>
    </row>
    <row r="1882" spans="1:7" ht="17.25" customHeight="1" x14ac:dyDescent="0.2">
      <c r="A1882" s="1611">
        <v>15</v>
      </c>
      <c r="B1882" s="1611" t="s">
        <v>3937</v>
      </c>
      <c r="C1882" s="1611" t="s">
        <v>4945</v>
      </c>
      <c r="D1882" s="1612">
        <v>0</v>
      </c>
      <c r="E1882" s="1706" t="s">
        <v>7592</v>
      </c>
      <c r="F1882" s="1613">
        <v>51500000</v>
      </c>
      <c r="G1882" s="1613">
        <v>73838904107</v>
      </c>
    </row>
    <row r="1883" spans="1:7" ht="17.25" customHeight="1" x14ac:dyDescent="0.2">
      <c r="A1883" s="1611">
        <v>15</v>
      </c>
      <c r="B1883" s="1611" t="s">
        <v>3937</v>
      </c>
      <c r="C1883" s="1611" t="s">
        <v>4946</v>
      </c>
      <c r="D1883" s="1612">
        <v>0</v>
      </c>
      <c r="E1883" s="1706" t="s">
        <v>7592</v>
      </c>
      <c r="F1883" s="1613">
        <v>43000000</v>
      </c>
      <c r="G1883" s="1613">
        <v>73881904107</v>
      </c>
    </row>
    <row r="1884" spans="1:7" ht="17.25" customHeight="1" x14ac:dyDescent="0.2">
      <c r="A1884" s="1611">
        <v>15</v>
      </c>
      <c r="B1884" s="1611" t="s">
        <v>3937</v>
      </c>
      <c r="C1884" s="1611" t="s">
        <v>4947</v>
      </c>
      <c r="D1884" s="1612">
        <v>0</v>
      </c>
      <c r="E1884" s="1706" t="s">
        <v>7592</v>
      </c>
      <c r="F1884" s="1613">
        <v>14500000</v>
      </c>
      <c r="G1884" s="1613">
        <v>73896404107</v>
      </c>
    </row>
    <row r="1885" spans="1:7" ht="17.25" customHeight="1" x14ac:dyDescent="0.2">
      <c r="A1885" s="1611">
        <v>15</v>
      </c>
      <c r="B1885" s="1611" t="s">
        <v>3937</v>
      </c>
      <c r="C1885" s="1611" t="s">
        <v>4948</v>
      </c>
      <c r="D1885" s="1612">
        <v>0</v>
      </c>
      <c r="E1885" s="1706" t="s">
        <v>7592</v>
      </c>
      <c r="F1885" s="1613">
        <v>49950000</v>
      </c>
      <c r="G1885" s="1613">
        <v>73946354107</v>
      </c>
    </row>
    <row r="1886" spans="1:7" ht="17.25" customHeight="1" x14ac:dyDescent="0.2">
      <c r="A1886" s="1611">
        <v>15</v>
      </c>
      <c r="B1886" s="1611" t="s">
        <v>3937</v>
      </c>
      <c r="C1886" s="1611" t="s">
        <v>4949</v>
      </c>
      <c r="D1886" s="1612">
        <v>0</v>
      </c>
      <c r="E1886" s="1706" t="s">
        <v>7592</v>
      </c>
      <c r="F1886" s="1613">
        <v>129000000</v>
      </c>
      <c r="G1886" s="1613">
        <v>74075354107</v>
      </c>
    </row>
    <row r="1887" spans="1:7" ht="17.25" customHeight="1" x14ac:dyDescent="0.2">
      <c r="A1887" s="1611">
        <v>15</v>
      </c>
      <c r="B1887" s="1611" t="s">
        <v>7170</v>
      </c>
      <c r="C1887" s="1611" t="s">
        <v>4404</v>
      </c>
      <c r="D1887" s="1612">
        <v>0</v>
      </c>
      <c r="E1887" s="1706" t="s">
        <v>7585</v>
      </c>
      <c r="F1887" s="1613">
        <v>315573720</v>
      </c>
      <c r="G1887" s="1613">
        <v>74390927827</v>
      </c>
    </row>
    <row r="1888" spans="1:7" ht="17.25" customHeight="1" x14ac:dyDescent="0.2">
      <c r="A1888" s="1611">
        <v>15</v>
      </c>
      <c r="B1888" s="1611" t="s">
        <v>3937</v>
      </c>
      <c r="C1888" s="1611" t="s">
        <v>4950</v>
      </c>
      <c r="D1888" s="1612">
        <v>0</v>
      </c>
      <c r="E1888" s="1706" t="s">
        <v>7592</v>
      </c>
      <c r="F1888" s="1613">
        <v>50909090</v>
      </c>
      <c r="G1888" s="1613">
        <v>74441836917</v>
      </c>
    </row>
    <row r="1889" spans="1:7" ht="17.25" customHeight="1" x14ac:dyDescent="0.2">
      <c r="A1889" s="1611">
        <v>15</v>
      </c>
      <c r="B1889" s="1611" t="s">
        <v>3937</v>
      </c>
      <c r="C1889" s="1611" t="s">
        <v>4951</v>
      </c>
      <c r="D1889" s="1612">
        <v>0</v>
      </c>
      <c r="E1889" s="1706" t="s">
        <v>7592</v>
      </c>
      <c r="F1889" s="1613">
        <v>56000000</v>
      </c>
      <c r="G1889" s="1613">
        <v>74497836917</v>
      </c>
    </row>
    <row r="1890" spans="1:7" ht="17.25" customHeight="1" x14ac:dyDescent="0.2">
      <c r="A1890" s="1611">
        <v>15</v>
      </c>
      <c r="B1890" s="1611" t="s">
        <v>7235</v>
      </c>
      <c r="C1890" s="1611" t="s">
        <v>3438</v>
      </c>
      <c r="D1890" s="1612">
        <v>0</v>
      </c>
      <c r="E1890" s="1706" t="s">
        <v>7592</v>
      </c>
      <c r="F1890" s="1613">
        <v>30394000</v>
      </c>
      <c r="G1890" s="1613">
        <v>74528230917</v>
      </c>
    </row>
    <row r="1891" spans="1:7" ht="17.25" customHeight="1" x14ac:dyDescent="0.2">
      <c r="A1891" s="1611">
        <v>15</v>
      </c>
      <c r="B1891" s="1611" t="s">
        <v>7235</v>
      </c>
      <c r="C1891" s="1611" t="s">
        <v>3438</v>
      </c>
      <c r="D1891" s="1612">
        <v>0</v>
      </c>
      <c r="E1891" s="1706" t="s">
        <v>7592</v>
      </c>
      <c r="F1891" s="1613">
        <v>30394000</v>
      </c>
      <c r="G1891" s="1613">
        <v>74558624917</v>
      </c>
    </row>
    <row r="1892" spans="1:7" ht="17.25" customHeight="1" x14ac:dyDescent="0.2">
      <c r="A1892" s="1611">
        <v>15</v>
      </c>
      <c r="B1892" s="1611" t="s">
        <v>7235</v>
      </c>
      <c r="C1892" s="1611" t="s">
        <v>3438</v>
      </c>
      <c r="D1892" s="1612">
        <v>0</v>
      </c>
      <c r="E1892" s="1706" t="s">
        <v>7592</v>
      </c>
      <c r="F1892" s="1613">
        <v>30394000</v>
      </c>
      <c r="G1892" s="1613">
        <v>74589018917</v>
      </c>
    </row>
    <row r="1893" spans="1:7" ht="17.25" customHeight="1" x14ac:dyDescent="0.2">
      <c r="A1893" s="1611">
        <v>15</v>
      </c>
      <c r="B1893" s="1611" t="s">
        <v>7235</v>
      </c>
      <c r="C1893" s="1611" t="s">
        <v>3438</v>
      </c>
      <c r="D1893" s="1612">
        <v>0</v>
      </c>
      <c r="E1893" s="1706" t="s">
        <v>7592</v>
      </c>
      <c r="F1893" s="1613">
        <v>30394000</v>
      </c>
      <c r="G1893" s="1613">
        <v>74619412917</v>
      </c>
    </row>
    <row r="1894" spans="1:7" ht="17.25" customHeight="1" x14ac:dyDescent="0.2">
      <c r="A1894" s="1611">
        <v>15</v>
      </c>
      <c r="B1894" s="1611" t="s">
        <v>7235</v>
      </c>
      <c r="C1894" s="1611" t="s">
        <v>3438</v>
      </c>
      <c r="D1894" s="1612">
        <v>0</v>
      </c>
      <c r="E1894" s="1706" t="s">
        <v>7592</v>
      </c>
      <c r="F1894" s="1613">
        <v>30394000</v>
      </c>
      <c r="G1894" s="1613">
        <v>74649806917</v>
      </c>
    </row>
    <row r="1895" spans="1:7" ht="17.25" customHeight="1" x14ac:dyDescent="0.2">
      <c r="A1895" s="1611">
        <v>15</v>
      </c>
      <c r="B1895" s="1611" t="s">
        <v>7235</v>
      </c>
      <c r="C1895" s="1611" t="s">
        <v>3438</v>
      </c>
      <c r="D1895" s="1612">
        <v>0</v>
      </c>
      <c r="E1895" s="1706" t="s">
        <v>7592</v>
      </c>
      <c r="F1895" s="1613">
        <v>30394000</v>
      </c>
      <c r="G1895" s="1613">
        <v>74680200917</v>
      </c>
    </row>
    <row r="1896" spans="1:7" ht="17.25" customHeight="1" x14ac:dyDescent="0.2">
      <c r="A1896" s="1611">
        <v>15</v>
      </c>
      <c r="B1896" s="1611" t="s">
        <v>7235</v>
      </c>
      <c r="C1896" s="1611" t="s">
        <v>3438</v>
      </c>
      <c r="D1896" s="1612">
        <v>0</v>
      </c>
      <c r="E1896" s="1706" t="s">
        <v>7592</v>
      </c>
      <c r="F1896" s="1613">
        <v>30394000</v>
      </c>
      <c r="G1896" s="1613">
        <v>74710594917</v>
      </c>
    </row>
    <row r="1897" spans="1:7" ht="17.25" customHeight="1" x14ac:dyDescent="0.2">
      <c r="A1897" s="1611">
        <v>15</v>
      </c>
      <c r="B1897" s="1611" t="s">
        <v>7235</v>
      </c>
      <c r="C1897" s="1611" t="s">
        <v>3438</v>
      </c>
      <c r="D1897" s="1612">
        <v>0</v>
      </c>
      <c r="E1897" s="1706" t="s">
        <v>7592</v>
      </c>
      <c r="F1897" s="1613">
        <v>30394000</v>
      </c>
      <c r="G1897" s="1613">
        <v>74740988917</v>
      </c>
    </row>
    <row r="1898" spans="1:7" ht="17.25" customHeight="1" x14ac:dyDescent="0.2">
      <c r="A1898" s="1611">
        <v>15</v>
      </c>
      <c r="B1898" s="1611" t="s">
        <v>7235</v>
      </c>
      <c r="C1898" s="1611" t="s">
        <v>3438</v>
      </c>
      <c r="D1898" s="1612">
        <v>0</v>
      </c>
      <c r="E1898" s="1706" t="s">
        <v>7592</v>
      </c>
      <c r="F1898" s="1613">
        <v>30394000</v>
      </c>
      <c r="G1898" s="1613">
        <v>74771382917</v>
      </c>
    </row>
    <row r="1899" spans="1:7" ht="17.25" customHeight="1" x14ac:dyDescent="0.2">
      <c r="A1899" s="1611">
        <v>15</v>
      </c>
      <c r="B1899" s="1611" t="s">
        <v>7235</v>
      </c>
      <c r="C1899" s="1611" t="s">
        <v>3438</v>
      </c>
      <c r="D1899" s="1612">
        <v>0</v>
      </c>
      <c r="E1899" s="1706" t="s">
        <v>7592</v>
      </c>
      <c r="F1899" s="1613">
        <v>30394000</v>
      </c>
      <c r="G1899" s="1613">
        <v>74801776917</v>
      </c>
    </row>
    <row r="1900" spans="1:7" ht="17.25" customHeight="1" x14ac:dyDescent="0.2">
      <c r="A1900" s="1611">
        <v>15</v>
      </c>
      <c r="B1900" s="1611" t="s">
        <v>7235</v>
      </c>
      <c r="C1900" s="1611" t="s">
        <v>3438</v>
      </c>
      <c r="D1900" s="1612">
        <v>0</v>
      </c>
      <c r="E1900" s="1706" t="s">
        <v>7592</v>
      </c>
      <c r="F1900" s="1613">
        <v>30394000</v>
      </c>
      <c r="G1900" s="1613">
        <v>74832170917</v>
      </c>
    </row>
    <row r="1901" spans="1:7" ht="17.25" customHeight="1" x14ac:dyDescent="0.2">
      <c r="A1901" s="1611">
        <v>15</v>
      </c>
      <c r="B1901" s="1611" t="s">
        <v>7236</v>
      </c>
      <c r="C1901" s="1611" t="s">
        <v>3438</v>
      </c>
      <c r="D1901" s="1612">
        <v>0</v>
      </c>
      <c r="E1901" s="1706" t="s">
        <v>7592</v>
      </c>
      <c r="F1901" s="1613">
        <v>49744000</v>
      </c>
      <c r="G1901" s="1613">
        <v>74881914917</v>
      </c>
    </row>
    <row r="1902" spans="1:7" ht="17.25" customHeight="1" x14ac:dyDescent="0.2">
      <c r="A1902" s="1611">
        <v>15</v>
      </c>
      <c r="B1902" s="1611" t="s">
        <v>7236</v>
      </c>
      <c r="C1902" s="1611" t="s">
        <v>3438</v>
      </c>
      <c r="D1902" s="1612">
        <v>0</v>
      </c>
      <c r="E1902" s="1706" t="s">
        <v>7592</v>
      </c>
      <c r="F1902" s="1613">
        <v>49744000</v>
      </c>
      <c r="G1902" s="1613">
        <v>74931658917</v>
      </c>
    </row>
    <row r="1903" spans="1:7" ht="17.25" customHeight="1" x14ac:dyDescent="0.2">
      <c r="A1903" s="1611">
        <v>15</v>
      </c>
      <c r="B1903" s="1611" t="s">
        <v>7236</v>
      </c>
      <c r="C1903" s="1611" t="s">
        <v>3438</v>
      </c>
      <c r="D1903" s="1612">
        <v>0</v>
      </c>
      <c r="E1903" s="1706" t="s">
        <v>7592</v>
      </c>
      <c r="F1903" s="1613">
        <v>49744000</v>
      </c>
      <c r="G1903" s="1613">
        <v>74981402917</v>
      </c>
    </row>
    <row r="1904" spans="1:7" ht="17.25" customHeight="1" x14ac:dyDescent="0.2">
      <c r="A1904" s="1611">
        <v>15</v>
      </c>
      <c r="B1904" s="1611" t="s">
        <v>7236</v>
      </c>
      <c r="C1904" s="1611" t="s">
        <v>3438</v>
      </c>
      <c r="D1904" s="1612">
        <v>0</v>
      </c>
      <c r="E1904" s="1706" t="s">
        <v>7592</v>
      </c>
      <c r="F1904" s="1613">
        <v>49744000</v>
      </c>
      <c r="G1904" s="1613">
        <v>75031146917</v>
      </c>
    </row>
    <row r="1905" spans="1:7" ht="17.25" customHeight="1" x14ac:dyDescent="0.2">
      <c r="A1905" s="1611">
        <v>15</v>
      </c>
      <c r="B1905" s="1611" t="s">
        <v>7236</v>
      </c>
      <c r="C1905" s="1611" t="s">
        <v>3438</v>
      </c>
      <c r="D1905" s="1612">
        <v>0</v>
      </c>
      <c r="E1905" s="1706" t="s">
        <v>7592</v>
      </c>
      <c r="F1905" s="1613">
        <v>49744000</v>
      </c>
      <c r="G1905" s="1613">
        <v>75080890917</v>
      </c>
    </row>
    <row r="1906" spans="1:7" ht="17.25" customHeight="1" x14ac:dyDescent="0.2">
      <c r="A1906" s="1611">
        <v>15</v>
      </c>
      <c r="B1906" s="1611" t="s">
        <v>7236</v>
      </c>
      <c r="C1906" s="1611" t="s">
        <v>3438</v>
      </c>
      <c r="D1906" s="1612">
        <v>0</v>
      </c>
      <c r="E1906" s="1706" t="s">
        <v>7592</v>
      </c>
      <c r="F1906" s="1613">
        <v>49744000</v>
      </c>
      <c r="G1906" s="1613">
        <v>75130634917</v>
      </c>
    </row>
    <row r="1907" spans="1:7" ht="17.25" customHeight="1" x14ac:dyDescent="0.2">
      <c r="A1907" s="1611">
        <v>15</v>
      </c>
      <c r="B1907" s="1611" t="s">
        <v>7236</v>
      </c>
      <c r="C1907" s="1611" t="s">
        <v>3438</v>
      </c>
      <c r="D1907" s="1612">
        <v>0</v>
      </c>
      <c r="E1907" s="1706" t="s">
        <v>7592</v>
      </c>
      <c r="F1907" s="1613">
        <v>49744000</v>
      </c>
      <c r="G1907" s="1613">
        <v>75180378917</v>
      </c>
    </row>
    <row r="1908" spans="1:7" ht="17.25" customHeight="1" x14ac:dyDescent="0.2">
      <c r="A1908" s="1611">
        <v>15</v>
      </c>
      <c r="B1908" s="1611" t="s">
        <v>7236</v>
      </c>
      <c r="C1908" s="1611" t="s">
        <v>3438</v>
      </c>
      <c r="D1908" s="1612">
        <v>0</v>
      </c>
      <c r="E1908" s="1706" t="s">
        <v>7592</v>
      </c>
      <c r="F1908" s="1613">
        <v>49744000</v>
      </c>
      <c r="G1908" s="1613">
        <v>75230122917</v>
      </c>
    </row>
    <row r="1909" spans="1:7" ht="17.25" customHeight="1" x14ac:dyDescent="0.2">
      <c r="A1909" s="1611">
        <v>15</v>
      </c>
      <c r="B1909" s="1611" t="s">
        <v>7236</v>
      </c>
      <c r="C1909" s="1611" t="s">
        <v>3438</v>
      </c>
      <c r="D1909" s="1612">
        <v>0</v>
      </c>
      <c r="E1909" s="1706" t="s">
        <v>7592</v>
      </c>
      <c r="F1909" s="1613">
        <v>49744000</v>
      </c>
      <c r="G1909" s="1613">
        <v>75279866917</v>
      </c>
    </row>
    <row r="1910" spans="1:7" ht="17.25" customHeight="1" x14ac:dyDescent="0.2">
      <c r="A1910" s="1611">
        <v>15</v>
      </c>
      <c r="B1910" s="1611" t="s">
        <v>7236</v>
      </c>
      <c r="C1910" s="1611" t="s">
        <v>3438</v>
      </c>
      <c r="D1910" s="1612">
        <v>0</v>
      </c>
      <c r="E1910" s="1706" t="s">
        <v>7592</v>
      </c>
      <c r="F1910" s="1613">
        <v>49744000</v>
      </c>
      <c r="G1910" s="1613">
        <v>75329610917</v>
      </c>
    </row>
    <row r="1911" spans="1:7" ht="17.25" customHeight="1" x14ac:dyDescent="0.2">
      <c r="A1911" s="1611">
        <v>15</v>
      </c>
      <c r="B1911" s="1611" t="s">
        <v>7236</v>
      </c>
      <c r="C1911" s="1611" t="s">
        <v>3438</v>
      </c>
      <c r="D1911" s="1612">
        <v>0</v>
      </c>
      <c r="E1911" s="1706" t="s">
        <v>7592</v>
      </c>
      <c r="F1911" s="1613">
        <v>49744000</v>
      </c>
      <c r="G1911" s="1613">
        <v>75379354917</v>
      </c>
    </row>
    <row r="1912" spans="1:7" ht="17.25" customHeight="1" x14ac:dyDescent="0.2">
      <c r="A1912" s="1611">
        <v>15</v>
      </c>
      <c r="B1912" s="1611" t="s">
        <v>3937</v>
      </c>
      <c r="C1912" s="1611" t="s">
        <v>4952</v>
      </c>
      <c r="D1912" s="1612">
        <v>0</v>
      </c>
      <c r="E1912" s="1706" t="s">
        <v>7592</v>
      </c>
      <c r="F1912" s="1613">
        <v>36909090</v>
      </c>
      <c r="G1912" s="1613">
        <v>75416264007</v>
      </c>
    </row>
    <row r="1913" spans="1:7" ht="17.25" customHeight="1" x14ac:dyDescent="0.2">
      <c r="A1913" s="1611">
        <v>15</v>
      </c>
      <c r="B1913" s="1611" t="s">
        <v>7235</v>
      </c>
      <c r="C1913" s="1611" t="s">
        <v>3438</v>
      </c>
      <c r="D1913" s="1612">
        <v>0</v>
      </c>
      <c r="E1913" s="1706" t="s">
        <v>7592</v>
      </c>
      <c r="F1913" s="1613">
        <v>-30394000</v>
      </c>
      <c r="G1913" s="1613">
        <v>75385870007</v>
      </c>
    </row>
    <row r="1914" spans="1:7" ht="17.25" customHeight="1" x14ac:dyDescent="0.2">
      <c r="A1914" s="1611">
        <v>15</v>
      </c>
      <c r="B1914" s="1611" t="s">
        <v>7235</v>
      </c>
      <c r="C1914" s="1611" t="s">
        <v>3438</v>
      </c>
      <c r="D1914" s="1612">
        <v>0</v>
      </c>
      <c r="E1914" s="1706" t="s">
        <v>7592</v>
      </c>
      <c r="F1914" s="1613">
        <v>-30394000</v>
      </c>
      <c r="G1914" s="1613">
        <v>75355476007</v>
      </c>
    </row>
    <row r="1915" spans="1:7" ht="17.25" customHeight="1" x14ac:dyDescent="0.2">
      <c r="A1915" s="1611">
        <v>15</v>
      </c>
      <c r="B1915" s="1611" t="s">
        <v>3937</v>
      </c>
      <c r="C1915" s="1611" t="s">
        <v>4953</v>
      </c>
      <c r="D1915" s="1612">
        <v>0</v>
      </c>
      <c r="E1915" s="1706" t="s">
        <v>7592</v>
      </c>
      <c r="F1915" s="1613">
        <v>14626363</v>
      </c>
      <c r="G1915" s="1613">
        <v>75370102370</v>
      </c>
    </row>
    <row r="1916" spans="1:7" ht="17.25" customHeight="1" x14ac:dyDescent="0.2">
      <c r="A1916" s="1611">
        <v>15</v>
      </c>
      <c r="B1916" s="1611" t="s">
        <v>3937</v>
      </c>
      <c r="C1916" s="1611" t="s">
        <v>4954</v>
      </c>
      <c r="D1916" s="1612">
        <v>0</v>
      </c>
      <c r="E1916" s="1706" t="s">
        <v>7592</v>
      </c>
      <c r="F1916" s="1613">
        <v>12800000</v>
      </c>
      <c r="G1916" s="1613">
        <v>75382902370</v>
      </c>
    </row>
    <row r="1917" spans="1:7" ht="17.25" customHeight="1" x14ac:dyDescent="0.2">
      <c r="A1917" s="1611">
        <v>15</v>
      </c>
      <c r="B1917" s="1611" t="s">
        <v>3937</v>
      </c>
      <c r="C1917" s="1611" t="s">
        <v>4955</v>
      </c>
      <c r="D1917" s="1612">
        <v>0</v>
      </c>
      <c r="E1917" s="1706" t="s">
        <v>7592</v>
      </c>
      <c r="F1917" s="1613">
        <v>35727273</v>
      </c>
      <c r="G1917" s="1613">
        <v>75418629643</v>
      </c>
    </row>
    <row r="1918" spans="1:7" ht="17.25" customHeight="1" x14ac:dyDescent="0.2">
      <c r="A1918" s="1611">
        <v>15</v>
      </c>
      <c r="B1918" s="1611" t="s">
        <v>3937</v>
      </c>
      <c r="C1918" s="1611" t="s">
        <v>4956</v>
      </c>
      <c r="D1918" s="1612">
        <v>0</v>
      </c>
      <c r="E1918" s="1706" t="s">
        <v>7592</v>
      </c>
      <c r="F1918" s="1613">
        <v>42327272</v>
      </c>
      <c r="G1918" s="1613">
        <v>75460956915</v>
      </c>
    </row>
    <row r="1919" spans="1:7" ht="17.25" customHeight="1" x14ac:dyDescent="0.2">
      <c r="A1919" s="1611">
        <v>15</v>
      </c>
      <c r="B1919" s="1611" t="s">
        <v>3937</v>
      </c>
      <c r="C1919" s="1611" t="s">
        <v>4957</v>
      </c>
      <c r="D1919" s="1612">
        <v>0</v>
      </c>
      <c r="E1919" s="1706" t="s">
        <v>7592</v>
      </c>
      <c r="F1919" s="1613">
        <v>35090909</v>
      </c>
      <c r="G1919" s="1613">
        <v>75496047824</v>
      </c>
    </row>
    <row r="1920" spans="1:7" ht="17.25" customHeight="1" x14ac:dyDescent="0.2">
      <c r="A1920" s="1611">
        <v>15</v>
      </c>
      <c r="B1920" s="1611" t="s">
        <v>7235</v>
      </c>
      <c r="C1920" s="1611" t="s">
        <v>3438</v>
      </c>
      <c r="D1920" s="1612">
        <v>0</v>
      </c>
      <c r="E1920" s="1706" t="s">
        <v>7592</v>
      </c>
      <c r="F1920" s="1613">
        <v>30394000</v>
      </c>
      <c r="G1920" s="1613">
        <v>75526441824</v>
      </c>
    </row>
    <row r="1921" spans="1:7" ht="17.25" customHeight="1" x14ac:dyDescent="0.2">
      <c r="A1921" s="1611">
        <v>15</v>
      </c>
      <c r="B1921" s="1611" t="s">
        <v>7235</v>
      </c>
      <c r="C1921" s="1611" t="s">
        <v>3438</v>
      </c>
      <c r="D1921" s="1612">
        <v>0</v>
      </c>
      <c r="E1921" s="1706" t="s">
        <v>7592</v>
      </c>
      <c r="F1921" s="1613">
        <v>30394000</v>
      </c>
      <c r="G1921" s="1613">
        <v>75556835824</v>
      </c>
    </row>
    <row r="1922" spans="1:7" ht="17.25" customHeight="1" x14ac:dyDescent="0.2">
      <c r="A1922" s="1611">
        <v>15</v>
      </c>
      <c r="B1922" s="1611" t="s">
        <v>7235</v>
      </c>
      <c r="C1922" s="1611" t="s">
        <v>3438</v>
      </c>
      <c r="D1922" s="1612">
        <v>0</v>
      </c>
      <c r="E1922" s="1706" t="s">
        <v>7592</v>
      </c>
      <c r="F1922" s="1613">
        <v>-30394000</v>
      </c>
      <c r="G1922" s="1613">
        <v>75526441824</v>
      </c>
    </row>
    <row r="1923" spans="1:7" ht="17.25" customHeight="1" x14ac:dyDescent="0.2">
      <c r="A1923" s="1611">
        <v>15</v>
      </c>
      <c r="B1923" s="1611" t="s">
        <v>7235</v>
      </c>
      <c r="C1923" s="1611" t="s">
        <v>3438</v>
      </c>
      <c r="D1923" s="1612">
        <v>0</v>
      </c>
      <c r="E1923" s="1706" t="s">
        <v>7592</v>
      </c>
      <c r="F1923" s="1613">
        <v>-30394000</v>
      </c>
      <c r="G1923" s="1613">
        <v>75496047824</v>
      </c>
    </row>
    <row r="1924" spans="1:7" ht="17.25" customHeight="1" x14ac:dyDescent="0.2">
      <c r="A1924" s="1611">
        <v>15</v>
      </c>
      <c r="B1924" s="1611" t="s">
        <v>3937</v>
      </c>
      <c r="C1924" s="1611" t="s">
        <v>4958</v>
      </c>
      <c r="D1924" s="1612">
        <v>0</v>
      </c>
      <c r="E1924" s="1706" t="s">
        <v>7592</v>
      </c>
      <c r="F1924" s="1613">
        <v>47000000</v>
      </c>
      <c r="G1924" s="1613">
        <v>75543047824</v>
      </c>
    </row>
    <row r="1925" spans="1:7" ht="17.25" customHeight="1" x14ac:dyDescent="0.2">
      <c r="A1925" s="1611">
        <v>15</v>
      </c>
      <c r="B1925" s="1611" t="s">
        <v>3937</v>
      </c>
      <c r="C1925" s="1611" t="s">
        <v>4959</v>
      </c>
      <c r="D1925" s="1612">
        <v>0</v>
      </c>
      <c r="E1925" s="1706" t="s">
        <v>7592</v>
      </c>
      <c r="F1925" s="1613">
        <v>37000000</v>
      </c>
      <c r="G1925" s="1613">
        <v>75580047824</v>
      </c>
    </row>
    <row r="1926" spans="1:7" ht="17.25" customHeight="1" x14ac:dyDescent="0.2">
      <c r="A1926" s="1611">
        <v>15</v>
      </c>
      <c r="B1926" s="1611" t="s">
        <v>3937</v>
      </c>
      <c r="C1926" s="1611" t="s">
        <v>3836</v>
      </c>
      <c r="D1926" s="1612">
        <v>0</v>
      </c>
      <c r="E1926" s="1706" t="s">
        <v>7592</v>
      </c>
      <c r="F1926" s="1613">
        <v>34818182</v>
      </c>
      <c r="G1926" s="1613">
        <v>75614866006</v>
      </c>
    </row>
    <row r="1927" spans="1:7" ht="17.25" customHeight="1" x14ac:dyDescent="0.2">
      <c r="A1927" s="1611">
        <v>15</v>
      </c>
      <c r="B1927" s="1611" t="s">
        <v>3937</v>
      </c>
      <c r="C1927" s="1611" t="s">
        <v>3537</v>
      </c>
      <c r="D1927" s="1612">
        <v>0</v>
      </c>
      <c r="E1927" s="1706" t="s">
        <v>7592</v>
      </c>
      <c r="F1927" s="1613">
        <v>35454545</v>
      </c>
      <c r="G1927" s="1613">
        <v>75650320551</v>
      </c>
    </row>
    <row r="1928" spans="1:7" ht="17.25" customHeight="1" x14ac:dyDescent="0.2">
      <c r="A1928" s="1611">
        <v>15</v>
      </c>
      <c r="B1928" s="1611" t="s">
        <v>7235</v>
      </c>
      <c r="C1928" s="1611" t="s">
        <v>3438</v>
      </c>
      <c r="D1928" s="1612">
        <v>0</v>
      </c>
      <c r="E1928" s="1706" t="s">
        <v>7592</v>
      </c>
      <c r="F1928" s="1613">
        <v>30394000</v>
      </c>
      <c r="G1928" s="1613">
        <v>75680714551</v>
      </c>
    </row>
    <row r="1929" spans="1:7" ht="17.25" customHeight="1" x14ac:dyDescent="0.2">
      <c r="A1929" s="1611">
        <v>15</v>
      </c>
      <c r="B1929" s="1611" t="s">
        <v>7235</v>
      </c>
      <c r="C1929" s="1611" t="s">
        <v>3438</v>
      </c>
      <c r="D1929" s="1612">
        <v>0</v>
      </c>
      <c r="E1929" s="1706" t="s">
        <v>7592</v>
      </c>
      <c r="F1929" s="1613">
        <v>30394000</v>
      </c>
      <c r="G1929" s="1613">
        <v>75711108551</v>
      </c>
    </row>
    <row r="1930" spans="1:7" ht="17.25" customHeight="1" x14ac:dyDescent="0.2">
      <c r="A1930" s="1611">
        <v>15</v>
      </c>
      <c r="B1930" s="1611" t="s">
        <v>3937</v>
      </c>
      <c r="C1930" s="1611" t="s">
        <v>3424</v>
      </c>
      <c r="D1930" s="1612">
        <v>0</v>
      </c>
      <c r="E1930" s="1706" t="s">
        <v>7592</v>
      </c>
      <c r="F1930" s="1613">
        <v>35454545</v>
      </c>
      <c r="G1930" s="1613">
        <v>75746563096</v>
      </c>
    </row>
    <row r="1931" spans="1:7" ht="17.25" customHeight="1" x14ac:dyDescent="0.2">
      <c r="A1931" s="1611">
        <v>15</v>
      </c>
      <c r="B1931" s="1611" t="s">
        <v>3937</v>
      </c>
      <c r="C1931" s="1611" t="s">
        <v>4960</v>
      </c>
      <c r="D1931" s="1612">
        <v>0</v>
      </c>
      <c r="E1931" s="1706" t="s">
        <v>7592</v>
      </c>
      <c r="F1931" s="1613">
        <v>14000000</v>
      </c>
      <c r="G1931" s="1613">
        <v>75760563096</v>
      </c>
    </row>
    <row r="1932" spans="1:7" ht="17.25" customHeight="1" x14ac:dyDescent="0.2">
      <c r="A1932" s="1611">
        <v>15</v>
      </c>
      <c r="B1932" s="1611" t="s">
        <v>3937</v>
      </c>
      <c r="C1932" s="1611" t="s">
        <v>4961</v>
      </c>
      <c r="D1932" s="1612">
        <v>0</v>
      </c>
      <c r="E1932" s="1706" t="s">
        <v>7592</v>
      </c>
      <c r="F1932" s="1613">
        <v>16760000</v>
      </c>
      <c r="G1932" s="1613">
        <v>75777323096</v>
      </c>
    </row>
    <row r="1933" spans="1:7" ht="17.25" customHeight="1" x14ac:dyDescent="0.2">
      <c r="A1933" s="1611">
        <v>15</v>
      </c>
      <c r="B1933" s="1611" t="s">
        <v>3937</v>
      </c>
      <c r="C1933" s="1611" t="s">
        <v>4962</v>
      </c>
      <c r="D1933" s="1612">
        <v>0</v>
      </c>
      <c r="E1933" s="1706" t="s">
        <v>7592</v>
      </c>
      <c r="F1933" s="1613">
        <v>128000000</v>
      </c>
      <c r="G1933" s="1613">
        <v>75905323096</v>
      </c>
    </row>
    <row r="1934" spans="1:7" ht="17.25" customHeight="1" x14ac:dyDescent="0.2">
      <c r="A1934" s="1611">
        <v>15</v>
      </c>
      <c r="B1934" s="1611" t="s">
        <v>3937</v>
      </c>
      <c r="C1934" s="1611" t="s">
        <v>3760</v>
      </c>
      <c r="D1934" s="1612">
        <v>0</v>
      </c>
      <c r="E1934" s="1706" t="s">
        <v>7592</v>
      </c>
      <c r="F1934" s="1613">
        <v>1420930000</v>
      </c>
      <c r="G1934" s="1613">
        <v>77326253096</v>
      </c>
    </row>
    <row r="1935" spans="1:7" ht="17.25" customHeight="1" x14ac:dyDescent="0.2">
      <c r="A1935" s="1611">
        <v>15</v>
      </c>
      <c r="B1935" s="1611" t="s">
        <v>3937</v>
      </c>
      <c r="C1935" s="1611" t="s">
        <v>3760</v>
      </c>
      <c r="D1935" s="1612">
        <v>0</v>
      </c>
      <c r="E1935" s="1706" t="s">
        <v>7592</v>
      </c>
      <c r="F1935" s="1613">
        <v>766740000</v>
      </c>
      <c r="G1935" s="1613">
        <v>78092993096</v>
      </c>
    </row>
    <row r="1936" spans="1:7" ht="17.25" customHeight="1" x14ac:dyDescent="0.2">
      <c r="A1936" s="1611">
        <v>15</v>
      </c>
      <c r="B1936" s="1611" t="s">
        <v>3937</v>
      </c>
      <c r="C1936" s="1611" t="s">
        <v>4963</v>
      </c>
      <c r="D1936" s="1612">
        <v>0</v>
      </c>
      <c r="E1936" s="1706" t="s">
        <v>7592</v>
      </c>
      <c r="F1936" s="1613">
        <v>50750000</v>
      </c>
      <c r="G1936" s="1613">
        <v>78143743096</v>
      </c>
    </row>
    <row r="1937" spans="1:7" ht="17.25" customHeight="1" x14ac:dyDescent="0.2">
      <c r="A1937" s="1611">
        <v>15</v>
      </c>
      <c r="B1937" s="1611" t="s">
        <v>3937</v>
      </c>
      <c r="C1937" s="1611" t="s">
        <v>4074</v>
      </c>
      <c r="D1937" s="1612">
        <v>0</v>
      </c>
      <c r="E1937" s="1706" t="s">
        <v>7592</v>
      </c>
      <c r="F1937" s="1613">
        <v>13300000</v>
      </c>
      <c r="G1937" s="1613">
        <v>78157043096</v>
      </c>
    </row>
    <row r="1938" spans="1:7" ht="17.25" customHeight="1" x14ac:dyDescent="0.2">
      <c r="A1938" s="1611">
        <v>15</v>
      </c>
      <c r="B1938" s="1611" t="s">
        <v>7153</v>
      </c>
      <c r="C1938" s="1611" t="s">
        <v>4964</v>
      </c>
      <c r="D1938" s="1612">
        <v>0</v>
      </c>
      <c r="E1938" s="1612" t="s">
        <v>3299</v>
      </c>
      <c r="F1938" s="1613">
        <v>127548600</v>
      </c>
      <c r="G1938" s="1613">
        <v>78284591696</v>
      </c>
    </row>
    <row r="1939" spans="1:7" ht="17.25" customHeight="1" x14ac:dyDescent="0.2">
      <c r="A1939" s="1611">
        <v>15</v>
      </c>
      <c r="B1939" s="1611" t="s">
        <v>7155</v>
      </c>
      <c r="C1939" s="1611" t="s">
        <v>3890</v>
      </c>
      <c r="D1939" s="1612">
        <v>0</v>
      </c>
      <c r="E1939" s="1612" t="s">
        <v>2025</v>
      </c>
      <c r="F1939" s="1613">
        <v>37182316</v>
      </c>
      <c r="G1939" s="1613">
        <v>78321774012</v>
      </c>
    </row>
    <row r="1940" spans="1:7" ht="17.25" customHeight="1" x14ac:dyDescent="0.2">
      <c r="A1940" s="1611">
        <v>15</v>
      </c>
      <c r="B1940" s="1611" t="s">
        <v>3937</v>
      </c>
      <c r="C1940" s="1611" t="s">
        <v>4965</v>
      </c>
      <c r="D1940" s="1612">
        <v>0</v>
      </c>
      <c r="E1940" s="1706" t="s">
        <v>7592</v>
      </c>
      <c r="F1940" s="1613">
        <v>50500000</v>
      </c>
      <c r="G1940" s="1613">
        <v>78372274012</v>
      </c>
    </row>
    <row r="1941" spans="1:7" ht="17.25" customHeight="1" x14ac:dyDescent="0.2">
      <c r="A1941" s="1611">
        <v>15</v>
      </c>
      <c r="B1941" s="1611" t="s">
        <v>3937</v>
      </c>
      <c r="C1941" s="1611" t="s">
        <v>4966</v>
      </c>
      <c r="D1941" s="1612">
        <v>0</v>
      </c>
      <c r="E1941" s="1706" t="s">
        <v>7592</v>
      </c>
      <c r="F1941" s="1613">
        <v>18000000</v>
      </c>
      <c r="G1941" s="1613">
        <v>78390274012</v>
      </c>
    </row>
    <row r="1942" spans="1:7" ht="17.25" customHeight="1" x14ac:dyDescent="0.2">
      <c r="A1942" s="1611">
        <v>15</v>
      </c>
      <c r="B1942" s="1611" t="s">
        <v>3937</v>
      </c>
      <c r="C1942" s="1611" t="s">
        <v>4967</v>
      </c>
      <c r="D1942" s="1612">
        <v>0</v>
      </c>
      <c r="E1942" s="1706" t="s">
        <v>7592</v>
      </c>
      <c r="F1942" s="1613">
        <v>38000000</v>
      </c>
      <c r="G1942" s="1613">
        <v>78428274012</v>
      </c>
    </row>
    <row r="1943" spans="1:7" ht="17.25" customHeight="1" x14ac:dyDescent="0.2">
      <c r="A1943" s="1611">
        <v>15</v>
      </c>
      <c r="B1943" s="1611" t="s">
        <v>3937</v>
      </c>
      <c r="C1943" s="1611" t="s">
        <v>4968</v>
      </c>
      <c r="D1943" s="1612">
        <v>0</v>
      </c>
      <c r="E1943" s="1706" t="s">
        <v>7592</v>
      </c>
      <c r="F1943" s="1613">
        <v>50359091</v>
      </c>
      <c r="G1943" s="1613">
        <v>78478633103</v>
      </c>
    </row>
    <row r="1944" spans="1:7" ht="17.25" customHeight="1" x14ac:dyDescent="0.2">
      <c r="A1944" s="1611">
        <v>15</v>
      </c>
      <c r="B1944" s="1611" t="s">
        <v>3937</v>
      </c>
      <c r="C1944" s="1611" t="s">
        <v>4969</v>
      </c>
      <c r="D1944" s="1612">
        <v>0</v>
      </c>
      <c r="E1944" s="1706" t="s">
        <v>7592</v>
      </c>
      <c r="F1944" s="1613">
        <v>50500000</v>
      </c>
      <c r="G1944" s="1613">
        <v>78529133103</v>
      </c>
    </row>
    <row r="1945" spans="1:7" ht="17.25" customHeight="1" x14ac:dyDescent="0.2">
      <c r="A1945" s="1611">
        <v>15</v>
      </c>
      <c r="B1945" s="1611" t="s">
        <v>3937</v>
      </c>
      <c r="C1945" s="1611" t="s">
        <v>4970</v>
      </c>
      <c r="D1945" s="1612">
        <v>0</v>
      </c>
      <c r="E1945" s="1706" t="s">
        <v>7592</v>
      </c>
      <c r="F1945" s="1613">
        <v>50454545</v>
      </c>
      <c r="G1945" s="1613">
        <v>78579587648</v>
      </c>
    </row>
    <row r="1946" spans="1:7" ht="17.25" customHeight="1" x14ac:dyDescent="0.2">
      <c r="A1946" s="1611">
        <v>15</v>
      </c>
      <c r="B1946" s="1611" t="s">
        <v>7237</v>
      </c>
      <c r="C1946" s="1611" t="s">
        <v>3597</v>
      </c>
      <c r="D1946" s="1612">
        <v>0</v>
      </c>
      <c r="E1946" s="1706" t="s">
        <v>7592</v>
      </c>
      <c r="F1946" s="1613">
        <v>24742000</v>
      </c>
      <c r="G1946" s="1613">
        <v>78604329648</v>
      </c>
    </row>
    <row r="1947" spans="1:7" ht="17.25" customHeight="1" x14ac:dyDescent="0.2">
      <c r="A1947" s="1611">
        <v>15</v>
      </c>
      <c r="B1947" s="1611" t="s">
        <v>3937</v>
      </c>
      <c r="C1947" s="1611" t="s">
        <v>4971</v>
      </c>
      <c r="D1947" s="1612">
        <v>0</v>
      </c>
      <c r="E1947" s="1706" t="s">
        <v>7592</v>
      </c>
      <c r="F1947" s="1613">
        <v>144000000</v>
      </c>
      <c r="G1947" s="1613">
        <v>78748329648</v>
      </c>
    </row>
    <row r="1948" spans="1:7" ht="17.25" customHeight="1" x14ac:dyDescent="0.2">
      <c r="A1948" s="1611">
        <v>15</v>
      </c>
      <c r="B1948" s="1611" t="s">
        <v>3937</v>
      </c>
      <c r="C1948" s="1611" t="s">
        <v>4972</v>
      </c>
      <c r="D1948" s="1612">
        <v>0</v>
      </c>
      <c r="E1948" s="1706" t="s">
        <v>7592</v>
      </c>
      <c r="F1948" s="1613">
        <v>60500000</v>
      </c>
      <c r="G1948" s="1613">
        <v>78808829648</v>
      </c>
    </row>
    <row r="1949" spans="1:7" ht="17.25" customHeight="1" x14ac:dyDescent="0.2">
      <c r="A1949" s="1611">
        <v>15</v>
      </c>
      <c r="B1949" s="1611" t="s">
        <v>3937</v>
      </c>
      <c r="C1949" s="1611" t="s">
        <v>4973</v>
      </c>
      <c r="D1949" s="1612">
        <v>0</v>
      </c>
      <c r="E1949" s="1706" t="s">
        <v>7592</v>
      </c>
      <c r="F1949" s="1613">
        <v>60909091</v>
      </c>
      <c r="G1949" s="1613">
        <v>78869738739</v>
      </c>
    </row>
    <row r="1950" spans="1:7" ht="17.25" customHeight="1" x14ac:dyDescent="0.2">
      <c r="A1950" s="1611">
        <v>15</v>
      </c>
      <c r="B1950" s="1611" t="s">
        <v>3937</v>
      </c>
      <c r="C1950" s="1611" t="s">
        <v>4058</v>
      </c>
      <c r="D1950" s="1612">
        <v>0</v>
      </c>
      <c r="E1950" s="1706" t="s">
        <v>7592</v>
      </c>
      <c r="F1950" s="1613">
        <v>13600000</v>
      </c>
      <c r="G1950" s="1613">
        <v>78883338739</v>
      </c>
    </row>
    <row r="1951" spans="1:7" ht="17.25" customHeight="1" x14ac:dyDescent="0.2">
      <c r="A1951" s="1611">
        <v>15</v>
      </c>
      <c r="B1951" s="1611" t="s">
        <v>7238</v>
      </c>
      <c r="C1951" s="1611" t="s">
        <v>3597</v>
      </c>
      <c r="D1951" s="1612">
        <v>0</v>
      </c>
      <c r="E1951" s="1706" t="s">
        <v>7592</v>
      </c>
      <c r="F1951" s="1613">
        <v>12000000</v>
      </c>
      <c r="G1951" s="1613">
        <v>78895338739</v>
      </c>
    </row>
    <row r="1952" spans="1:7" ht="17.25" customHeight="1" x14ac:dyDescent="0.2">
      <c r="A1952" s="1611">
        <v>15</v>
      </c>
      <c r="B1952" s="1611" t="s">
        <v>3937</v>
      </c>
      <c r="C1952" s="1611" t="s">
        <v>4974</v>
      </c>
      <c r="D1952" s="1612">
        <v>0</v>
      </c>
      <c r="E1952" s="1706" t="s">
        <v>7592</v>
      </c>
      <c r="F1952" s="1613">
        <v>14300000</v>
      </c>
      <c r="G1952" s="1613">
        <v>78909638739</v>
      </c>
    </row>
    <row r="1953" spans="1:7" ht="17.25" customHeight="1" x14ac:dyDescent="0.2">
      <c r="A1953" s="1611">
        <v>15</v>
      </c>
      <c r="B1953" s="1611" t="s">
        <v>3937</v>
      </c>
      <c r="C1953" s="1611" t="s">
        <v>4975</v>
      </c>
      <c r="D1953" s="1612">
        <v>0</v>
      </c>
      <c r="E1953" s="1706" t="s">
        <v>7592</v>
      </c>
      <c r="F1953" s="1613">
        <v>128000000</v>
      </c>
      <c r="G1953" s="1613">
        <v>79037638739</v>
      </c>
    </row>
    <row r="1954" spans="1:7" ht="17.25" customHeight="1" x14ac:dyDescent="0.2">
      <c r="A1954" s="1611">
        <v>15</v>
      </c>
      <c r="B1954" s="1611" t="s">
        <v>3937</v>
      </c>
      <c r="C1954" s="1611" t="s">
        <v>4976</v>
      </c>
      <c r="D1954" s="1612">
        <v>0</v>
      </c>
      <c r="E1954" s="1706" t="s">
        <v>7592</v>
      </c>
      <c r="F1954" s="1613">
        <v>42727273</v>
      </c>
      <c r="G1954" s="1613">
        <v>79080366012</v>
      </c>
    </row>
    <row r="1955" spans="1:7" ht="17.25" customHeight="1" x14ac:dyDescent="0.2">
      <c r="A1955" s="1611">
        <v>15</v>
      </c>
      <c r="B1955" s="1611" t="s">
        <v>3937</v>
      </c>
      <c r="C1955" s="1611" t="s">
        <v>4977</v>
      </c>
      <c r="D1955" s="1612">
        <v>0</v>
      </c>
      <c r="E1955" s="1706" t="s">
        <v>7592</v>
      </c>
      <c r="F1955" s="1613">
        <v>39327273</v>
      </c>
      <c r="G1955" s="1613">
        <v>79119693285</v>
      </c>
    </row>
    <row r="1956" spans="1:7" ht="17.25" customHeight="1" x14ac:dyDescent="0.2">
      <c r="A1956" s="1611">
        <v>15</v>
      </c>
      <c r="B1956" s="1611" t="s">
        <v>3937</v>
      </c>
      <c r="C1956" s="1611" t="s">
        <v>4978</v>
      </c>
      <c r="D1956" s="1612">
        <v>0</v>
      </c>
      <c r="E1956" s="1706" t="s">
        <v>7592</v>
      </c>
      <c r="F1956" s="1613">
        <v>13181819</v>
      </c>
      <c r="G1956" s="1613">
        <v>79132875104</v>
      </c>
    </row>
    <row r="1957" spans="1:7" ht="17.25" customHeight="1" x14ac:dyDescent="0.2">
      <c r="A1957" s="1611">
        <v>15</v>
      </c>
      <c r="B1957" s="1611" t="s">
        <v>3937</v>
      </c>
      <c r="C1957" s="1611" t="s">
        <v>4979</v>
      </c>
      <c r="D1957" s="1612">
        <v>0</v>
      </c>
      <c r="E1957" s="1706" t="s">
        <v>7592</v>
      </c>
      <c r="F1957" s="1613">
        <v>133000000</v>
      </c>
      <c r="G1957" s="1613">
        <v>79265875104</v>
      </c>
    </row>
    <row r="1958" spans="1:7" ht="17.25" customHeight="1" x14ac:dyDescent="0.2">
      <c r="A1958" s="1611">
        <v>15</v>
      </c>
      <c r="B1958" s="1611" t="s">
        <v>3937</v>
      </c>
      <c r="C1958" s="1611" t="s">
        <v>4980</v>
      </c>
      <c r="D1958" s="1612">
        <v>0</v>
      </c>
      <c r="E1958" s="1706" t="s">
        <v>7592</v>
      </c>
      <c r="F1958" s="1613">
        <v>14645455</v>
      </c>
      <c r="G1958" s="1613">
        <v>79280520559</v>
      </c>
    </row>
    <row r="1959" spans="1:7" ht="17.25" customHeight="1" x14ac:dyDescent="0.2">
      <c r="A1959" s="1611">
        <v>15</v>
      </c>
      <c r="B1959" s="1611" t="s">
        <v>3937</v>
      </c>
      <c r="C1959" s="1611" t="s">
        <v>4981</v>
      </c>
      <c r="D1959" s="1612">
        <v>0</v>
      </c>
      <c r="E1959" s="1706" t="s">
        <v>7592</v>
      </c>
      <c r="F1959" s="1613">
        <v>36400000</v>
      </c>
      <c r="G1959" s="1613">
        <v>79316920559</v>
      </c>
    </row>
    <row r="1960" spans="1:7" ht="17.25" customHeight="1" x14ac:dyDescent="0.2">
      <c r="A1960" s="1611">
        <v>15</v>
      </c>
      <c r="B1960" s="1611" t="s">
        <v>3937</v>
      </c>
      <c r="C1960" s="1611" t="s">
        <v>4982</v>
      </c>
      <c r="D1960" s="1612">
        <v>0</v>
      </c>
      <c r="E1960" s="1706" t="s">
        <v>7592</v>
      </c>
      <c r="F1960" s="1613">
        <v>36000000</v>
      </c>
      <c r="G1960" s="1613">
        <v>79352920559</v>
      </c>
    </row>
    <row r="1961" spans="1:7" ht="17.25" customHeight="1" x14ac:dyDescent="0.2">
      <c r="A1961" s="1611">
        <v>15</v>
      </c>
      <c r="B1961" s="1611" t="s">
        <v>3937</v>
      </c>
      <c r="C1961" s="1611" t="s">
        <v>3836</v>
      </c>
      <c r="D1961" s="1612">
        <v>0</v>
      </c>
      <c r="E1961" s="1706" t="s">
        <v>7592</v>
      </c>
      <c r="F1961" s="1613">
        <v>33909091</v>
      </c>
      <c r="G1961" s="1613">
        <v>79386829650</v>
      </c>
    </row>
    <row r="1962" spans="1:7" ht="17.25" customHeight="1" x14ac:dyDescent="0.2">
      <c r="A1962" s="1611">
        <v>15</v>
      </c>
      <c r="B1962" s="1611" t="s">
        <v>3937</v>
      </c>
      <c r="C1962" s="1611" t="s">
        <v>4983</v>
      </c>
      <c r="D1962" s="1612">
        <v>0</v>
      </c>
      <c r="E1962" s="1706" t="s">
        <v>7592</v>
      </c>
      <c r="F1962" s="1613">
        <v>43000000</v>
      </c>
      <c r="G1962" s="1613">
        <v>79429829650</v>
      </c>
    </row>
    <row r="1963" spans="1:7" ht="17.25" customHeight="1" x14ac:dyDescent="0.2">
      <c r="A1963" s="1611">
        <v>15</v>
      </c>
      <c r="B1963" s="1611" t="s">
        <v>7239</v>
      </c>
      <c r="C1963" s="1611" t="s">
        <v>4621</v>
      </c>
      <c r="D1963" s="1612">
        <v>0</v>
      </c>
      <c r="E1963" s="1612" t="s">
        <v>3298</v>
      </c>
      <c r="F1963" s="1613">
        <v>120138536</v>
      </c>
      <c r="G1963" s="1613">
        <v>79549968186</v>
      </c>
    </row>
    <row r="1964" spans="1:7" ht="17.25" customHeight="1" x14ac:dyDescent="0.2">
      <c r="A1964" s="1611">
        <v>15</v>
      </c>
      <c r="B1964" s="1611" t="s">
        <v>3937</v>
      </c>
      <c r="C1964" s="1611" t="s">
        <v>4984</v>
      </c>
      <c r="D1964" s="1612">
        <v>0</v>
      </c>
      <c r="E1964" s="1706" t="s">
        <v>7592</v>
      </c>
      <c r="F1964" s="1613">
        <v>41500000</v>
      </c>
      <c r="G1964" s="1613">
        <v>79591468186</v>
      </c>
    </row>
    <row r="1965" spans="1:7" ht="17.25" customHeight="1" x14ac:dyDescent="0.2">
      <c r="A1965" s="1611">
        <v>15</v>
      </c>
      <c r="B1965" s="1611" t="s">
        <v>3937</v>
      </c>
      <c r="C1965" s="1611" t="s">
        <v>4985</v>
      </c>
      <c r="D1965" s="1612">
        <v>0</v>
      </c>
      <c r="E1965" s="1706" t="s">
        <v>7592</v>
      </c>
      <c r="F1965" s="1613">
        <v>42400000</v>
      </c>
      <c r="G1965" s="1613">
        <v>79633868186</v>
      </c>
    </row>
    <row r="1966" spans="1:7" ht="17.25" customHeight="1" x14ac:dyDescent="0.2">
      <c r="A1966" s="1611">
        <v>15</v>
      </c>
      <c r="B1966" s="1611" t="s">
        <v>7240</v>
      </c>
      <c r="C1966" s="1611" t="s">
        <v>4986</v>
      </c>
      <c r="D1966" s="1612">
        <v>0</v>
      </c>
      <c r="E1966" s="1706" t="s">
        <v>7592</v>
      </c>
      <c r="F1966" s="1613">
        <v>97588500</v>
      </c>
      <c r="G1966" s="1613">
        <v>79731456686</v>
      </c>
    </row>
    <row r="1967" spans="1:7" ht="17.25" customHeight="1" x14ac:dyDescent="0.2">
      <c r="A1967" s="1611">
        <v>15</v>
      </c>
      <c r="B1967" s="1611" t="s">
        <v>3937</v>
      </c>
      <c r="C1967" s="1611" t="s">
        <v>4987</v>
      </c>
      <c r="D1967" s="1612">
        <v>0</v>
      </c>
      <c r="E1967" s="1706" t="s">
        <v>7592</v>
      </c>
      <c r="F1967" s="1613">
        <v>41590909</v>
      </c>
      <c r="G1967" s="1613">
        <v>79773047595</v>
      </c>
    </row>
    <row r="1968" spans="1:7" ht="17.25" customHeight="1" x14ac:dyDescent="0.2">
      <c r="A1968" s="1611">
        <v>15</v>
      </c>
      <c r="B1968" s="1611" t="s">
        <v>3937</v>
      </c>
      <c r="C1968" s="1611" t="s">
        <v>4988</v>
      </c>
      <c r="D1968" s="1612">
        <v>0</v>
      </c>
      <c r="E1968" s="1706" t="s">
        <v>7592</v>
      </c>
      <c r="F1968" s="1613">
        <v>50500000</v>
      </c>
      <c r="G1968" s="1613">
        <v>79823547595</v>
      </c>
    </row>
    <row r="1969" spans="1:7" ht="17.25" customHeight="1" x14ac:dyDescent="0.2">
      <c r="A1969" s="1611">
        <v>15</v>
      </c>
      <c r="B1969" s="1611" t="s">
        <v>3937</v>
      </c>
      <c r="C1969" s="1611" t="s">
        <v>4989</v>
      </c>
      <c r="D1969" s="1612">
        <v>0</v>
      </c>
      <c r="E1969" s="1706" t="s">
        <v>7592</v>
      </c>
      <c r="F1969" s="1613">
        <v>40750000</v>
      </c>
      <c r="G1969" s="1613">
        <v>79864297595</v>
      </c>
    </row>
    <row r="1970" spans="1:7" ht="17.25" customHeight="1" x14ac:dyDescent="0.2">
      <c r="A1970" s="1611">
        <v>15</v>
      </c>
      <c r="B1970" s="1611" t="s">
        <v>3937</v>
      </c>
      <c r="C1970" s="1611" t="s">
        <v>4960</v>
      </c>
      <c r="D1970" s="1612">
        <v>0</v>
      </c>
      <c r="E1970" s="1706" t="s">
        <v>7592</v>
      </c>
      <c r="F1970" s="1613">
        <v>12500000</v>
      </c>
      <c r="G1970" s="1613">
        <v>79876797595</v>
      </c>
    </row>
    <row r="1971" spans="1:7" ht="17.25" customHeight="1" x14ac:dyDescent="0.2">
      <c r="A1971" s="1611">
        <v>15</v>
      </c>
      <c r="B1971" s="1611" t="s">
        <v>7241</v>
      </c>
      <c r="C1971" s="1611" t="s">
        <v>3597</v>
      </c>
      <c r="D1971" s="1612">
        <v>0</v>
      </c>
      <c r="E1971" s="1706" t="s">
        <v>7592</v>
      </c>
      <c r="F1971" s="1613">
        <v>19214000</v>
      </c>
      <c r="G1971" s="1613">
        <v>79896011595</v>
      </c>
    </row>
    <row r="1972" spans="1:7" ht="17.25" customHeight="1" x14ac:dyDescent="0.2">
      <c r="A1972" s="1611">
        <v>15</v>
      </c>
      <c r="B1972" s="1611" t="s">
        <v>7242</v>
      </c>
      <c r="C1972" s="1611" t="s">
        <v>3597</v>
      </c>
      <c r="D1972" s="1612">
        <v>0</v>
      </c>
      <c r="E1972" s="1706" t="s">
        <v>7592</v>
      </c>
      <c r="F1972" s="1613">
        <v>12000000</v>
      </c>
      <c r="G1972" s="1613">
        <v>79908011595</v>
      </c>
    </row>
    <row r="1973" spans="1:7" ht="17.25" customHeight="1" x14ac:dyDescent="0.2">
      <c r="A1973" s="1611">
        <v>15</v>
      </c>
      <c r="B1973" s="1611" t="s">
        <v>3937</v>
      </c>
      <c r="C1973" s="1611" t="s">
        <v>4990</v>
      </c>
      <c r="D1973" s="1612">
        <v>0</v>
      </c>
      <c r="E1973" s="1706" t="s">
        <v>7592</v>
      </c>
      <c r="F1973" s="1613">
        <v>53500000</v>
      </c>
      <c r="G1973" s="1613">
        <v>79961511595</v>
      </c>
    </row>
    <row r="1974" spans="1:7" ht="17.25" customHeight="1" x14ac:dyDescent="0.2">
      <c r="A1974" s="1611">
        <v>15</v>
      </c>
      <c r="B1974" s="1611" t="s">
        <v>3937</v>
      </c>
      <c r="C1974" s="1611" t="s">
        <v>4024</v>
      </c>
      <c r="D1974" s="1612">
        <v>0</v>
      </c>
      <c r="E1974" s="1706" t="s">
        <v>7592</v>
      </c>
      <c r="F1974" s="1613">
        <v>35800000</v>
      </c>
      <c r="G1974" s="1613">
        <v>79997311595</v>
      </c>
    </row>
    <row r="1975" spans="1:7" ht="17.25" customHeight="1" x14ac:dyDescent="0.2">
      <c r="A1975" s="1611">
        <v>15</v>
      </c>
      <c r="B1975" s="1611" t="s">
        <v>3937</v>
      </c>
      <c r="C1975" s="1611" t="s">
        <v>4991</v>
      </c>
      <c r="D1975" s="1612">
        <v>0</v>
      </c>
      <c r="E1975" s="1706" t="s">
        <v>7592</v>
      </c>
      <c r="F1975" s="1613">
        <v>37272727</v>
      </c>
      <c r="G1975" s="1613">
        <v>80034584322</v>
      </c>
    </row>
    <row r="1976" spans="1:7" ht="17.25" customHeight="1" x14ac:dyDescent="0.2">
      <c r="A1976" s="1611">
        <v>15</v>
      </c>
      <c r="B1976" s="1611" t="s">
        <v>3937</v>
      </c>
      <c r="C1976" s="1611" t="s">
        <v>4992</v>
      </c>
      <c r="D1976" s="1612">
        <v>0</v>
      </c>
      <c r="E1976" s="1706" t="s">
        <v>7592</v>
      </c>
      <c r="F1976" s="1613">
        <v>37272727</v>
      </c>
      <c r="G1976" s="1613">
        <v>80071857049</v>
      </c>
    </row>
    <row r="1977" spans="1:7" ht="17.25" customHeight="1" x14ac:dyDescent="0.2">
      <c r="A1977" s="1611">
        <v>15</v>
      </c>
      <c r="B1977" s="1611" t="s">
        <v>3937</v>
      </c>
      <c r="C1977" s="1611" t="s">
        <v>4993</v>
      </c>
      <c r="D1977" s="1612">
        <v>0</v>
      </c>
      <c r="E1977" s="1706" t="s">
        <v>7592</v>
      </c>
      <c r="F1977" s="1613">
        <v>49750000</v>
      </c>
      <c r="G1977" s="1613">
        <v>80121607049</v>
      </c>
    </row>
    <row r="1978" spans="1:7" ht="17.25" customHeight="1" x14ac:dyDescent="0.2">
      <c r="A1978" s="1611">
        <v>15</v>
      </c>
      <c r="B1978" s="1611" t="s">
        <v>7243</v>
      </c>
      <c r="C1978" s="1611" t="s">
        <v>4994</v>
      </c>
      <c r="D1978" s="1612">
        <v>0</v>
      </c>
      <c r="E1978" s="1706" t="s">
        <v>7592</v>
      </c>
      <c r="F1978" s="1613">
        <v>909091</v>
      </c>
      <c r="G1978" s="1613">
        <v>80122516140</v>
      </c>
    </row>
    <row r="1979" spans="1:7" ht="17.25" customHeight="1" x14ac:dyDescent="0.2">
      <c r="A1979" s="1611">
        <v>15</v>
      </c>
      <c r="B1979" s="1611" t="s">
        <v>3937</v>
      </c>
      <c r="C1979" s="1611" t="s">
        <v>3928</v>
      </c>
      <c r="D1979" s="1612">
        <v>0</v>
      </c>
      <c r="E1979" s="1706" t="s">
        <v>7592</v>
      </c>
      <c r="F1979" s="1613">
        <v>14793637</v>
      </c>
      <c r="G1979" s="1613">
        <v>80137309777</v>
      </c>
    </row>
    <row r="1980" spans="1:7" ht="17.25" customHeight="1" x14ac:dyDescent="0.2">
      <c r="A1980" s="1611">
        <v>15</v>
      </c>
      <c r="B1980" s="1611" t="s">
        <v>3937</v>
      </c>
      <c r="C1980" s="1611" t="s">
        <v>4995</v>
      </c>
      <c r="D1980" s="1612">
        <v>0</v>
      </c>
      <c r="E1980" s="1706" t="s">
        <v>7592</v>
      </c>
      <c r="F1980" s="1613">
        <v>35000000</v>
      </c>
      <c r="G1980" s="1613">
        <v>80172309777</v>
      </c>
    </row>
    <row r="1981" spans="1:7" ht="17.25" customHeight="1" x14ac:dyDescent="0.2">
      <c r="A1981" s="1611">
        <v>15</v>
      </c>
      <c r="B1981" s="1611" t="s">
        <v>3937</v>
      </c>
      <c r="C1981" s="1611" t="s">
        <v>4996</v>
      </c>
      <c r="D1981" s="1612">
        <v>0</v>
      </c>
      <c r="E1981" s="1706" t="s">
        <v>7592</v>
      </c>
      <c r="F1981" s="1613">
        <v>52450000</v>
      </c>
      <c r="G1981" s="1613">
        <v>80224759777</v>
      </c>
    </row>
    <row r="1982" spans="1:7" ht="17.25" customHeight="1" x14ac:dyDescent="0.2">
      <c r="A1982" s="1611">
        <v>15</v>
      </c>
      <c r="B1982" s="1611" t="s">
        <v>7154</v>
      </c>
      <c r="C1982" s="1611" t="s">
        <v>4997</v>
      </c>
      <c r="D1982" s="1612">
        <v>0</v>
      </c>
      <c r="E1982" s="1706" t="s">
        <v>7592</v>
      </c>
      <c r="F1982" s="1613">
        <v>49545455</v>
      </c>
      <c r="G1982" s="1613">
        <v>80274305232</v>
      </c>
    </row>
    <row r="1983" spans="1:7" ht="17.25" customHeight="1" x14ac:dyDescent="0.2">
      <c r="A1983" s="1611">
        <v>15</v>
      </c>
      <c r="B1983" s="1611" t="s">
        <v>7154</v>
      </c>
      <c r="C1983" s="1611" t="s">
        <v>4998</v>
      </c>
      <c r="D1983" s="1612">
        <v>0</v>
      </c>
      <c r="E1983" s="1706" t="s">
        <v>7592</v>
      </c>
      <c r="F1983" s="1613">
        <v>50359091</v>
      </c>
      <c r="G1983" s="1613">
        <v>80324664323</v>
      </c>
    </row>
    <row r="1984" spans="1:7" ht="17.25" customHeight="1" x14ac:dyDescent="0.2">
      <c r="A1984" s="1611">
        <v>15</v>
      </c>
      <c r="B1984" s="1611" t="s">
        <v>7154</v>
      </c>
      <c r="C1984" s="1611" t="s">
        <v>4061</v>
      </c>
      <c r="D1984" s="1612">
        <v>0</v>
      </c>
      <c r="E1984" s="1706" t="s">
        <v>7574</v>
      </c>
      <c r="F1984" s="1613">
        <v>29861217</v>
      </c>
      <c r="G1984" s="1613">
        <v>80354525540</v>
      </c>
    </row>
    <row r="1985" spans="1:7" ht="17.25" customHeight="1" x14ac:dyDescent="0.2">
      <c r="A1985" s="1611">
        <v>15</v>
      </c>
      <c r="B1985" s="1611" t="s">
        <v>7203</v>
      </c>
      <c r="C1985" s="1611" t="s">
        <v>4239</v>
      </c>
      <c r="D1985" s="1612">
        <v>0</v>
      </c>
      <c r="E1985" s="1706" t="s">
        <v>7592</v>
      </c>
      <c r="F1985" s="1613">
        <v>36500000</v>
      </c>
      <c r="G1985" s="1613">
        <v>80391025540</v>
      </c>
    </row>
    <row r="1986" spans="1:7" ht="17.25" customHeight="1" x14ac:dyDescent="0.2">
      <c r="A1986" s="1611">
        <v>15</v>
      </c>
      <c r="B1986" s="1611" t="s">
        <v>7176</v>
      </c>
      <c r="C1986" s="1611" t="s">
        <v>4239</v>
      </c>
      <c r="D1986" s="1612">
        <v>0</v>
      </c>
      <c r="E1986" s="1706" t="s">
        <v>7592</v>
      </c>
      <c r="F1986" s="1613">
        <v>44500000</v>
      </c>
      <c r="G1986" s="1613">
        <v>80435525540</v>
      </c>
    </row>
    <row r="1987" spans="1:7" ht="17.25" customHeight="1" x14ac:dyDescent="0.2">
      <c r="A1987" s="1611">
        <v>15</v>
      </c>
      <c r="B1987" s="1611" t="s">
        <v>7156</v>
      </c>
      <c r="C1987" s="1611" t="s">
        <v>4999</v>
      </c>
      <c r="D1987" s="1612">
        <v>0</v>
      </c>
      <c r="E1987" s="1706" t="s">
        <v>7592</v>
      </c>
      <c r="F1987" s="1613">
        <v>12381819</v>
      </c>
      <c r="G1987" s="1613">
        <v>80447907359</v>
      </c>
    </row>
    <row r="1988" spans="1:7" ht="17.25" customHeight="1" x14ac:dyDescent="0.2">
      <c r="A1988" s="1611">
        <v>15</v>
      </c>
      <c r="B1988" s="1611" t="s">
        <v>7156</v>
      </c>
      <c r="C1988" s="1611" t="s">
        <v>5000</v>
      </c>
      <c r="D1988" s="1612">
        <v>0</v>
      </c>
      <c r="E1988" s="1706" t="s">
        <v>7592</v>
      </c>
      <c r="F1988" s="1613">
        <v>13181818</v>
      </c>
      <c r="G1988" s="1613">
        <v>80461089177</v>
      </c>
    </row>
    <row r="1989" spans="1:7" ht="17.25" customHeight="1" x14ac:dyDescent="0.2">
      <c r="A1989" s="1611">
        <v>15</v>
      </c>
      <c r="B1989" s="1611" t="s">
        <v>7224</v>
      </c>
      <c r="C1989" s="1611" t="s">
        <v>5001</v>
      </c>
      <c r="D1989" s="1612">
        <v>0</v>
      </c>
      <c r="E1989" s="1706" t="s">
        <v>7592</v>
      </c>
      <c r="F1989" s="1613">
        <v>642928745</v>
      </c>
      <c r="G1989" s="1613">
        <v>81104017922</v>
      </c>
    </row>
    <row r="1990" spans="1:7" ht="17.25" customHeight="1" x14ac:dyDescent="0.2">
      <c r="A1990" s="1611">
        <v>15</v>
      </c>
      <c r="B1990" s="1611" t="s">
        <v>7224</v>
      </c>
      <c r="C1990" s="1611" t="s">
        <v>5001</v>
      </c>
      <c r="D1990" s="1612">
        <v>0</v>
      </c>
      <c r="E1990" s="1706" t="s">
        <v>7592</v>
      </c>
      <c r="F1990" s="1613">
        <v>-642928745</v>
      </c>
      <c r="G1990" s="1613">
        <v>80461089177</v>
      </c>
    </row>
    <row r="1991" spans="1:7" ht="17.25" customHeight="1" x14ac:dyDescent="0.2">
      <c r="A1991" s="1611">
        <v>15</v>
      </c>
      <c r="B1991" s="1611" t="s">
        <v>7224</v>
      </c>
      <c r="C1991" s="1611" t="s">
        <v>4858</v>
      </c>
      <c r="D1991" s="1612">
        <v>0</v>
      </c>
      <c r="E1991" s="1706" t="s">
        <v>7592</v>
      </c>
      <c r="F1991" s="1613">
        <v>642928745</v>
      </c>
      <c r="G1991" s="1613">
        <v>81104017922</v>
      </c>
    </row>
    <row r="1992" spans="1:7" ht="17.25" customHeight="1" x14ac:dyDescent="0.2">
      <c r="A1992" s="1611">
        <v>15</v>
      </c>
      <c r="B1992" s="1611" t="s">
        <v>7208</v>
      </c>
      <c r="C1992" s="1611" t="s">
        <v>4621</v>
      </c>
      <c r="D1992" s="1612">
        <v>0</v>
      </c>
      <c r="E1992" s="1612" t="s">
        <v>3298</v>
      </c>
      <c r="F1992" s="1613">
        <v>253504199</v>
      </c>
      <c r="G1992" s="1613">
        <v>81357522121</v>
      </c>
    </row>
    <row r="1993" spans="1:7" ht="17.25" customHeight="1" x14ac:dyDescent="0.2">
      <c r="A1993" s="1611">
        <v>15</v>
      </c>
      <c r="B1993" s="1611" t="s">
        <v>7244</v>
      </c>
      <c r="C1993" s="1611" t="s">
        <v>5002</v>
      </c>
      <c r="D1993" s="1612">
        <v>0</v>
      </c>
      <c r="E1993" s="1706" t="s">
        <v>7592</v>
      </c>
      <c r="F1993" s="1613">
        <v>9090909</v>
      </c>
      <c r="G1993" s="1613">
        <v>81366613030</v>
      </c>
    </row>
    <row r="1994" spans="1:7" ht="17.25" customHeight="1" x14ac:dyDescent="0.2">
      <c r="A1994" s="1611">
        <v>15</v>
      </c>
      <c r="B1994" s="1611" t="s">
        <v>7156</v>
      </c>
      <c r="C1994" s="1611" t="s">
        <v>4429</v>
      </c>
      <c r="D1994" s="1612">
        <v>0</v>
      </c>
      <c r="E1994" s="1706" t="s">
        <v>7592</v>
      </c>
      <c r="F1994" s="1613">
        <v>16810000</v>
      </c>
      <c r="G1994" s="1613">
        <v>81383423030</v>
      </c>
    </row>
    <row r="1995" spans="1:7" ht="17.25" customHeight="1" x14ac:dyDescent="0.2">
      <c r="A1995" s="1611">
        <v>15</v>
      </c>
      <c r="B1995" s="1611" t="s">
        <v>7156</v>
      </c>
      <c r="C1995" s="1611" t="s">
        <v>5003</v>
      </c>
      <c r="D1995" s="1612">
        <v>0</v>
      </c>
      <c r="E1995" s="1706" t="s">
        <v>7592</v>
      </c>
      <c r="F1995" s="1613">
        <v>14363636</v>
      </c>
      <c r="G1995" s="1613">
        <v>81397786666</v>
      </c>
    </row>
    <row r="1996" spans="1:7" ht="17.25" customHeight="1" x14ac:dyDescent="0.2">
      <c r="A1996" s="1611">
        <v>15</v>
      </c>
      <c r="B1996" s="1611" t="s">
        <v>7203</v>
      </c>
      <c r="C1996" s="1611" t="s">
        <v>5004</v>
      </c>
      <c r="D1996" s="1612">
        <v>0</v>
      </c>
      <c r="E1996" s="1706" t="s">
        <v>7592</v>
      </c>
      <c r="F1996" s="1613">
        <v>32000000</v>
      </c>
      <c r="G1996" s="1613">
        <v>81429786666</v>
      </c>
    </row>
    <row r="1997" spans="1:7" ht="17.25" customHeight="1" x14ac:dyDescent="0.2">
      <c r="A1997" s="1611">
        <v>15</v>
      </c>
      <c r="B1997" s="1611" t="s">
        <v>7203</v>
      </c>
      <c r="C1997" s="1611" t="s">
        <v>5004</v>
      </c>
      <c r="D1997" s="1612">
        <v>0</v>
      </c>
      <c r="E1997" s="1706" t="s">
        <v>7592</v>
      </c>
      <c r="F1997" s="1613">
        <v>32000000</v>
      </c>
      <c r="G1997" s="1613">
        <v>81461786666</v>
      </c>
    </row>
    <row r="1998" spans="1:7" ht="17.25" customHeight="1" x14ac:dyDescent="0.2">
      <c r="A1998" s="1611">
        <v>15</v>
      </c>
      <c r="B1998" s="1611" t="s">
        <v>7203</v>
      </c>
      <c r="C1998" s="1611" t="s">
        <v>5004</v>
      </c>
      <c r="D1998" s="1612">
        <v>0</v>
      </c>
      <c r="E1998" s="1706" t="s">
        <v>7592</v>
      </c>
      <c r="F1998" s="1613">
        <v>32000000</v>
      </c>
      <c r="G1998" s="1613">
        <v>81493786666</v>
      </c>
    </row>
    <row r="1999" spans="1:7" ht="17.25" customHeight="1" x14ac:dyDescent="0.2">
      <c r="A1999" s="1611">
        <v>15</v>
      </c>
      <c r="B1999" s="1611" t="s">
        <v>7245</v>
      </c>
      <c r="C1999" s="1611" t="s">
        <v>5005</v>
      </c>
      <c r="D1999" s="1612">
        <v>0</v>
      </c>
      <c r="E1999" s="1706" t="s">
        <v>7592</v>
      </c>
      <c r="F1999" s="1613">
        <v>40730000</v>
      </c>
      <c r="G1999" s="1613">
        <v>81534516666</v>
      </c>
    </row>
    <row r="2000" spans="1:7" ht="17.25" customHeight="1" x14ac:dyDescent="0.2">
      <c r="A2000" s="1611">
        <v>15</v>
      </c>
      <c r="B2000" s="1611" t="s">
        <v>7156</v>
      </c>
      <c r="C2000" s="1611" t="s">
        <v>3656</v>
      </c>
      <c r="D2000" s="1612">
        <v>0</v>
      </c>
      <c r="E2000" s="1706" t="s">
        <v>7592</v>
      </c>
      <c r="F2000" s="1613">
        <v>15700000</v>
      </c>
      <c r="G2000" s="1613">
        <v>81550216666</v>
      </c>
    </row>
    <row r="2001" spans="1:7" ht="17.25" customHeight="1" x14ac:dyDescent="0.2">
      <c r="A2001" s="1611">
        <v>15</v>
      </c>
      <c r="B2001" s="1611" t="s">
        <v>7203</v>
      </c>
      <c r="C2001" s="1611" t="s">
        <v>5006</v>
      </c>
      <c r="D2001" s="1612">
        <v>0</v>
      </c>
      <c r="E2001" s="1706" t="s">
        <v>7592</v>
      </c>
      <c r="F2001" s="1613">
        <v>36363636</v>
      </c>
      <c r="G2001" s="1613">
        <v>81586580302</v>
      </c>
    </row>
    <row r="2002" spans="1:7" ht="17.25" customHeight="1" x14ac:dyDescent="0.2">
      <c r="A2002" s="1611">
        <v>15</v>
      </c>
      <c r="B2002" s="1611" t="s">
        <v>7154</v>
      </c>
      <c r="C2002" s="1611" t="s">
        <v>5007</v>
      </c>
      <c r="D2002" s="1612">
        <v>0</v>
      </c>
      <c r="E2002" s="1706" t="s">
        <v>7592</v>
      </c>
      <c r="F2002" s="1613">
        <v>49545454</v>
      </c>
      <c r="G2002" s="1613">
        <v>81636125756</v>
      </c>
    </row>
    <row r="2003" spans="1:7" ht="17.25" customHeight="1" x14ac:dyDescent="0.2">
      <c r="A2003" s="1611">
        <v>15</v>
      </c>
      <c r="B2003" s="1611" t="s">
        <v>7154</v>
      </c>
      <c r="C2003" s="1611" t="s">
        <v>5008</v>
      </c>
      <c r="D2003" s="1612">
        <v>0</v>
      </c>
      <c r="E2003" s="1706" t="s">
        <v>7592</v>
      </c>
      <c r="F2003" s="1613">
        <v>50909091</v>
      </c>
      <c r="G2003" s="1613">
        <v>81687034847</v>
      </c>
    </row>
    <row r="2004" spans="1:7" ht="17.25" customHeight="1" x14ac:dyDescent="0.2">
      <c r="A2004" s="1611">
        <v>15</v>
      </c>
      <c r="B2004" s="1611" t="s">
        <v>7246</v>
      </c>
      <c r="C2004" s="1611" t="s">
        <v>4383</v>
      </c>
      <c r="D2004" s="1612">
        <v>0</v>
      </c>
      <c r="E2004" s="1706" t="s">
        <v>7592</v>
      </c>
      <c r="F2004" s="1613">
        <v>66278000</v>
      </c>
      <c r="G2004" s="1613">
        <v>81753312847</v>
      </c>
    </row>
    <row r="2005" spans="1:7" ht="17.25" customHeight="1" x14ac:dyDescent="0.2">
      <c r="A2005" s="1611">
        <v>15</v>
      </c>
      <c r="B2005" s="1611" t="s">
        <v>7154</v>
      </c>
      <c r="C2005" s="1611" t="s">
        <v>5009</v>
      </c>
      <c r="D2005" s="1612">
        <v>0</v>
      </c>
      <c r="E2005" s="1706" t="s">
        <v>7592</v>
      </c>
      <c r="F2005" s="1613">
        <v>55181818</v>
      </c>
      <c r="G2005" s="1613">
        <v>81808494665</v>
      </c>
    </row>
    <row r="2006" spans="1:7" ht="17.25" customHeight="1" x14ac:dyDescent="0.2">
      <c r="A2006" s="1611">
        <v>15</v>
      </c>
      <c r="B2006" s="1611" t="s">
        <v>7203</v>
      </c>
      <c r="C2006" s="1611" t="s">
        <v>5010</v>
      </c>
      <c r="D2006" s="1612">
        <v>0</v>
      </c>
      <c r="E2006" s="1706" t="s">
        <v>7592</v>
      </c>
      <c r="F2006" s="1613">
        <v>35963636</v>
      </c>
      <c r="G2006" s="1613">
        <v>81844458301</v>
      </c>
    </row>
    <row r="2007" spans="1:7" ht="17.25" customHeight="1" x14ac:dyDescent="0.2">
      <c r="A2007" s="1611">
        <v>15</v>
      </c>
      <c r="B2007" s="1611" t="s">
        <v>7156</v>
      </c>
      <c r="C2007" s="1611" t="s">
        <v>4994</v>
      </c>
      <c r="D2007" s="1612">
        <v>0</v>
      </c>
      <c r="E2007" s="1706" t="s">
        <v>7592</v>
      </c>
      <c r="F2007" s="1613">
        <v>14363636</v>
      </c>
      <c r="G2007" s="1613">
        <v>81858821937</v>
      </c>
    </row>
    <row r="2008" spans="1:7" ht="17.25" customHeight="1" x14ac:dyDescent="0.2">
      <c r="A2008" s="1611">
        <v>15</v>
      </c>
      <c r="B2008" s="1611" t="s">
        <v>7156</v>
      </c>
      <c r="C2008" s="1611" t="s">
        <v>4994</v>
      </c>
      <c r="D2008" s="1612">
        <v>0</v>
      </c>
      <c r="E2008" s="1706" t="s">
        <v>7592</v>
      </c>
      <c r="F2008" s="1613">
        <v>-14363636</v>
      </c>
      <c r="G2008" s="1613">
        <v>81844458301</v>
      </c>
    </row>
    <row r="2009" spans="1:7" ht="17.25" customHeight="1" x14ac:dyDescent="0.2">
      <c r="A2009" s="1611">
        <v>15</v>
      </c>
      <c r="B2009" s="1611" t="s">
        <v>7156</v>
      </c>
      <c r="C2009" s="1611" t="s">
        <v>4994</v>
      </c>
      <c r="D2009" s="1612">
        <v>0</v>
      </c>
      <c r="E2009" s="1706" t="s">
        <v>7592</v>
      </c>
      <c r="F2009" s="1613">
        <v>13454545</v>
      </c>
      <c r="G2009" s="1613">
        <v>81857912846</v>
      </c>
    </row>
    <row r="2010" spans="1:7" ht="17.25" customHeight="1" x14ac:dyDescent="0.2">
      <c r="A2010" s="1611">
        <v>15</v>
      </c>
      <c r="B2010" s="1611" t="s">
        <v>7176</v>
      </c>
      <c r="C2010" s="1611" t="s">
        <v>5011</v>
      </c>
      <c r="D2010" s="1612">
        <v>0</v>
      </c>
      <c r="E2010" s="1706" t="s">
        <v>7592</v>
      </c>
      <c r="F2010" s="1613">
        <v>45700000</v>
      </c>
      <c r="G2010" s="1613">
        <v>81903612846</v>
      </c>
    </row>
    <row r="2011" spans="1:7" ht="17.25" customHeight="1" x14ac:dyDescent="0.2">
      <c r="A2011" s="1611">
        <v>15</v>
      </c>
      <c r="B2011" s="1611" t="s">
        <v>7197</v>
      </c>
      <c r="C2011" s="1611" t="s">
        <v>4064</v>
      </c>
      <c r="D2011" s="1612">
        <v>0</v>
      </c>
      <c r="E2011" s="1612" t="s">
        <v>3295</v>
      </c>
      <c r="F2011" s="1613">
        <v>217558794</v>
      </c>
      <c r="G2011" s="1613">
        <v>82121171640</v>
      </c>
    </row>
    <row r="2012" spans="1:7" ht="17.25" customHeight="1" x14ac:dyDescent="0.2">
      <c r="A2012" s="1611">
        <v>15</v>
      </c>
      <c r="B2012" s="1611" t="s">
        <v>7203</v>
      </c>
      <c r="C2012" s="1611" t="s">
        <v>5012</v>
      </c>
      <c r="D2012" s="1612">
        <v>0</v>
      </c>
      <c r="E2012" s="1706" t="s">
        <v>7592</v>
      </c>
      <c r="F2012" s="1613">
        <v>37272727</v>
      </c>
      <c r="G2012" s="1613">
        <v>82158444367</v>
      </c>
    </row>
    <row r="2013" spans="1:7" ht="17.25" customHeight="1" x14ac:dyDescent="0.2">
      <c r="A2013" s="1611">
        <v>15</v>
      </c>
      <c r="B2013" s="1611" t="s">
        <v>7203</v>
      </c>
      <c r="C2013" s="1611" t="s">
        <v>5013</v>
      </c>
      <c r="D2013" s="1612">
        <v>0</v>
      </c>
      <c r="E2013" s="1706" t="s">
        <v>7592</v>
      </c>
      <c r="F2013" s="1613">
        <v>35000000</v>
      </c>
      <c r="G2013" s="1613">
        <v>82193444367</v>
      </c>
    </row>
    <row r="2014" spans="1:7" ht="17.25" customHeight="1" x14ac:dyDescent="0.2">
      <c r="A2014" s="1611">
        <v>15</v>
      </c>
      <c r="B2014" s="1611" t="s">
        <v>7247</v>
      </c>
      <c r="C2014" s="1611" t="s">
        <v>5014</v>
      </c>
      <c r="D2014" s="1612">
        <v>0</v>
      </c>
      <c r="E2014" s="1706" t="s">
        <v>7592</v>
      </c>
      <c r="F2014" s="1613">
        <v>43181818</v>
      </c>
      <c r="G2014" s="1613">
        <v>82236626185</v>
      </c>
    </row>
    <row r="2015" spans="1:7" ht="17.25" customHeight="1" x14ac:dyDescent="0.2">
      <c r="A2015" s="1611">
        <v>15</v>
      </c>
      <c r="B2015" s="1611" t="s">
        <v>7248</v>
      </c>
      <c r="C2015" s="1611" t="s">
        <v>3722</v>
      </c>
      <c r="D2015" s="1612">
        <v>0</v>
      </c>
      <c r="E2015" s="1706" t="s">
        <v>7592</v>
      </c>
      <c r="F2015" s="1613">
        <v>12000000</v>
      </c>
      <c r="G2015" s="1613">
        <v>82248626185</v>
      </c>
    </row>
    <row r="2016" spans="1:7" ht="17.25" customHeight="1" x14ac:dyDescent="0.2">
      <c r="A2016" s="1611">
        <v>15</v>
      </c>
      <c r="B2016" s="1611" t="s">
        <v>5015</v>
      </c>
      <c r="C2016" s="1611" t="s">
        <v>3722</v>
      </c>
      <c r="D2016" s="1612">
        <v>0</v>
      </c>
      <c r="E2016" s="1706" t="s">
        <v>7592</v>
      </c>
      <c r="F2016" s="1613">
        <v>-12000000</v>
      </c>
      <c r="G2016" s="1613">
        <v>82236626185</v>
      </c>
    </row>
    <row r="2017" spans="1:7" ht="17.25" customHeight="1" x14ac:dyDescent="0.2">
      <c r="A2017" s="1611">
        <v>15</v>
      </c>
      <c r="B2017" s="1611" t="s">
        <v>7203</v>
      </c>
      <c r="C2017" s="1611" t="s">
        <v>5016</v>
      </c>
      <c r="D2017" s="1612">
        <v>0</v>
      </c>
      <c r="E2017" s="1706" t="s">
        <v>7592</v>
      </c>
      <c r="F2017" s="1613">
        <v>36500000</v>
      </c>
      <c r="G2017" s="1613">
        <v>82273126185</v>
      </c>
    </row>
    <row r="2018" spans="1:7" ht="17.25" customHeight="1" x14ac:dyDescent="0.2">
      <c r="A2018" s="1611">
        <v>15</v>
      </c>
      <c r="B2018" s="1611" t="s">
        <v>7203</v>
      </c>
      <c r="C2018" s="1611" t="s">
        <v>5017</v>
      </c>
      <c r="D2018" s="1612">
        <v>0</v>
      </c>
      <c r="E2018" s="1706" t="s">
        <v>7592</v>
      </c>
      <c r="F2018" s="1613">
        <v>36363636</v>
      </c>
      <c r="G2018" s="1613">
        <v>82309489821</v>
      </c>
    </row>
    <row r="2019" spans="1:7" ht="17.25" customHeight="1" x14ac:dyDescent="0.2">
      <c r="A2019" s="1611">
        <v>15</v>
      </c>
      <c r="B2019" s="1611" t="s">
        <v>7176</v>
      </c>
      <c r="C2019" s="1611" t="s">
        <v>5018</v>
      </c>
      <c r="D2019" s="1612">
        <v>0</v>
      </c>
      <c r="E2019" s="1706" t="s">
        <v>7592</v>
      </c>
      <c r="F2019" s="1613">
        <v>42727272</v>
      </c>
      <c r="G2019" s="1613">
        <v>82352217093</v>
      </c>
    </row>
    <row r="2020" spans="1:7" ht="17.25" customHeight="1" x14ac:dyDescent="0.2">
      <c r="A2020" s="1611">
        <v>15</v>
      </c>
      <c r="B2020" s="1611" t="s">
        <v>7249</v>
      </c>
      <c r="C2020" s="1611" t="s">
        <v>5019</v>
      </c>
      <c r="D2020" s="1612">
        <v>0</v>
      </c>
      <c r="E2020" s="1706" t="s">
        <v>7592</v>
      </c>
      <c r="F2020" s="1613">
        <v>18181818</v>
      </c>
      <c r="G2020" s="1613">
        <v>82370398911</v>
      </c>
    </row>
    <row r="2021" spans="1:7" ht="17.25" customHeight="1" x14ac:dyDescent="0.2">
      <c r="A2021" s="1611">
        <v>15</v>
      </c>
      <c r="B2021" s="1611" t="s">
        <v>7176</v>
      </c>
      <c r="C2021" s="1611" t="s">
        <v>5020</v>
      </c>
      <c r="D2021" s="1612">
        <v>0</v>
      </c>
      <c r="E2021" s="1706" t="s">
        <v>7592</v>
      </c>
      <c r="F2021" s="1613">
        <v>40600000</v>
      </c>
      <c r="G2021" s="1613">
        <v>82410998911</v>
      </c>
    </row>
    <row r="2022" spans="1:7" ht="17.25" customHeight="1" x14ac:dyDescent="0.2">
      <c r="A2022" s="1611">
        <v>15</v>
      </c>
      <c r="B2022" s="1611" t="s">
        <v>7176</v>
      </c>
      <c r="C2022" s="1611" t="s">
        <v>5021</v>
      </c>
      <c r="D2022" s="1612">
        <v>0</v>
      </c>
      <c r="E2022" s="1706" t="s">
        <v>7592</v>
      </c>
      <c r="F2022" s="1613">
        <v>45000000</v>
      </c>
      <c r="G2022" s="1613">
        <v>82455998911</v>
      </c>
    </row>
    <row r="2023" spans="1:7" ht="17.25" customHeight="1" x14ac:dyDescent="0.2">
      <c r="A2023" s="1611">
        <v>15</v>
      </c>
      <c r="B2023" s="1611" t="s">
        <v>7154</v>
      </c>
      <c r="C2023" s="1611" t="s">
        <v>5022</v>
      </c>
      <c r="D2023" s="1612">
        <v>0</v>
      </c>
      <c r="E2023" s="1706" t="s">
        <v>7592</v>
      </c>
      <c r="F2023" s="1613">
        <v>48181818</v>
      </c>
      <c r="G2023" s="1613">
        <v>82504180729</v>
      </c>
    </row>
    <row r="2024" spans="1:7" ht="17.25" customHeight="1" x14ac:dyDescent="0.2">
      <c r="A2024" s="1611">
        <v>15</v>
      </c>
      <c r="B2024" s="1611" t="s">
        <v>2954</v>
      </c>
      <c r="C2024" s="1611" t="s">
        <v>5023</v>
      </c>
      <c r="D2024" s="1612">
        <v>0</v>
      </c>
      <c r="E2024" s="1706" t="s">
        <v>7592</v>
      </c>
      <c r="F2024" s="1613">
        <v>13700000</v>
      </c>
      <c r="G2024" s="1613">
        <v>82517880729</v>
      </c>
    </row>
    <row r="2025" spans="1:7" ht="17.25" customHeight="1" x14ac:dyDescent="0.2">
      <c r="A2025" s="1611">
        <v>15</v>
      </c>
      <c r="B2025" s="1611" t="s">
        <v>7161</v>
      </c>
      <c r="C2025" s="1611" t="s">
        <v>5024</v>
      </c>
      <c r="D2025" s="1612">
        <v>0</v>
      </c>
      <c r="E2025" s="1706" t="s">
        <v>7592</v>
      </c>
      <c r="F2025" s="1613">
        <v>17280000</v>
      </c>
      <c r="G2025" s="1613">
        <v>82535160729</v>
      </c>
    </row>
    <row r="2026" spans="1:7" ht="17.25" customHeight="1" x14ac:dyDescent="0.2">
      <c r="A2026" s="1611">
        <v>15</v>
      </c>
      <c r="B2026" s="1611" t="s">
        <v>7250</v>
      </c>
      <c r="C2026" s="1611" t="s">
        <v>5025</v>
      </c>
      <c r="D2026" s="1612">
        <v>0</v>
      </c>
      <c r="E2026" s="1706" t="s">
        <v>7592</v>
      </c>
      <c r="F2026" s="1613">
        <v>14000000</v>
      </c>
      <c r="G2026" s="1613">
        <v>82549160729</v>
      </c>
    </row>
    <row r="2027" spans="1:7" ht="17.25" customHeight="1" x14ac:dyDescent="0.2">
      <c r="A2027" s="1611">
        <v>15</v>
      </c>
      <c r="B2027" s="1611" t="s">
        <v>7161</v>
      </c>
      <c r="C2027" s="1611" t="s">
        <v>5026</v>
      </c>
      <c r="D2027" s="1612">
        <v>0</v>
      </c>
      <c r="E2027" s="1706" t="s">
        <v>7592</v>
      </c>
      <c r="F2027" s="1613">
        <v>15300000</v>
      </c>
      <c r="G2027" s="1613">
        <v>82564460729</v>
      </c>
    </row>
    <row r="2028" spans="1:7" ht="17.25" customHeight="1" x14ac:dyDescent="0.2">
      <c r="A2028" s="1611">
        <v>15</v>
      </c>
      <c r="B2028" s="1611" t="s">
        <v>7161</v>
      </c>
      <c r="C2028" s="1611" t="s">
        <v>5027</v>
      </c>
      <c r="D2028" s="1612">
        <v>0</v>
      </c>
      <c r="E2028" s="1706" t="s">
        <v>7592</v>
      </c>
      <c r="F2028" s="1613">
        <v>14400000</v>
      </c>
      <c r="G2028" s="1613">
        <v>82578860729</v>
      </c>
    </row>
    <row r="2029" spans="1:7" ht="17.25" customHeight="1" x14ac:dyDescent="0.2">
      <c r="A2029" s="1611">
        <v>15</v>
      </c>
      <c r="B2029" s="1611" t="s">
        <v>7251</v>
      </c>
      <c r="C2029" s="1611" t="s">
        <v>3719</v>
      </c>
      <c r="D2029" s="1612">
        <v>0</v>
      </c>
      <c r="E2029" s="1706" t="s">
        <v>7592</v>
      </c>
      <c r="F2029" s="1613">
        <v>34181818</v>
      </c>
      <c r="G2029" s="1613">
        <v>82613042547</v>
      </c>
    </row>
    <row r="2030" spans="1:7" ht="17.25" customHeight="1" x14ac:dyDescent="0.2">
      <c r="A2030" s="1611">
        <v>15</v>
      </c>
      <c r="B2030" s="1611" t="s">
        <v>7176</v>
      </c>
      <c r="C2030" s="1611" t="s">
        <v>5028</v>
      </c>
      <c r="D2030" s="1612">
        <v>0</v>
      </c>
      <c r="E2030" s="1706" t="s">
        <v>7592</v>
      </c>
      <c r="F2030" s="1613">
        <v>40709090</v>
      </c>
      <c r="G2030" s="1613">
        <v>82653751637</v>
      </c>
    </row>
    <row r="2031" spans="1:7" ht="17.25" customHeight="1" x14ac:dyDescent="0.2">
      <c r="A2031" s="1611">
        <v>15</v>
      </c>
      <c r="B2031" s="1611" t="s">
        <v>7245</v>
      </c>
      <c r="C2031" s="1611" t="s">
        <v>4165</v>
      </c>
      <c r="D2031" s="1612">
        <v>0</v>
      </c>
      <c r="E2031" s="1706" t="s">
        <v>7592</v>
      </c>
      <c r="F2031" s="1613">
        <v>41700000</v>
      </c>
      <c r="G2031" s="1613">
        <v>82695451637</v>
      </c>
    </row>
    <row r="2032" spans="1:7" ht="17.25" customHeight="1" x14ac:dyDescent="0.2">
      <c r="A2032" s="1611">
        <v>15</v>
      </c>
      <c r="B2032" s="1611" t="s">
        <v>7203</v>
      </c>
      <c r="C2032" s="1611" t="s">
        <v>5029</v>
      </c>
      <c r="D2032" s="1612">
        <v>0</v>
      </c>
      <c r="E2032" s="1706" t="s">
        <v>7592</v>
      </c>
      <c r="F2032" s="1613">
        <v>35500000</v>
      </c>
      <c r="G2032" s="1613">
        <v>82730951637</v>
      </c>
    </row>
    <row r="2033" spans="1:7" ht="17.25" customHeight="1" x14ac:dyDescent="0.2">
      <c r="A2033" s="1611">
        <v>15</v>
      </c>
      <c r="B2033" s="1611" t="s">
        <v>7176</v>
      </c>
      <c r="C2033" s="1611" t="s">
        <v>5030</v>
      </c>
      <c r="D2033" s="1612">
        <v>0</v>
      </c>
      <c r="E2033" s="1706" t="s">
        <v>7592</v>
      </c>
      <c r="F2033" s="1613">
        <v>43636363</v>
      </c>
      <c r="G2033" s="1613">
        <v>82774588000</v>
      </c>
    </row>
    <row r="2034" spans="1:7" ht="17.25" customHeight="1" x14ac:dyDescent="0.2">
      <c r="A2034" s="1611">
        <v>15</v>
      </c>
      <c r="B2034" s="1611" t="s">
        <v>7245</v>
      </c>
      <c r="C2034" s="1611" t="s">
        <v>3447</v>
      </c>
      <c r="D2034" s="1612">
        <v>0</v>
      </c>
      <c r="E2034" s="1706" t="s">
        <v>7592</v>
      </c>
      <c r="F2034" s="1613">
        <v>41418181</v>
      </c>
      <c r="G2034" s="1613">
        <v>82816006181</v>
      </c>
    </row>
    <row r="2035" spans="1:7" ht="17.25" customHeight="1" x14ac:dyDescent="0.2">
      <c r="A2035" s="1611">
        <v>15</v>
      </c>
      <c r="B2035" s="1611" t="s">
        <v>7154</v>
      </c>
      <c r="C2035" s="1611" t="s">
        <v>5031</v>
      </c>
      <c r="D2035" s="1612">
        <v>0</v>
      </c>
      <c r="E2035" s="1706" t="s">
        <v>7592</v>
      </c>
      <c r="F2035" s="1613">
        <v>51500000</v>
      </c>
      <c r="G2035" s="1613">
        <v>82867506181</v>
      </c>
    </row>
    <row r="2036" spans="1:7" ht="17.25" customHeight="1" x14ac:dyDescent="0.2">
      <c r="A2036" s="1611">
        <v>15</v>
      </c>
      <c r="B2036" s="1611" t="s">
        <v>7154</v>
      </c>
      <c r="C2036" s="1611" t="s">
        <v>5032</v>
      </c>
      <c r="D2036" s="1612">
        <v>0</v>
      </c>
      <c r="E2036" s="1706" t="s">
        <v>7592</v>
      </c>
      <c r="F2036" s="1613">
        <v>50909091</v>
      </c>
      <c r="G2036" s="1613">
        <v>82918415272</v>
      </c>
    </row>
    <row r="2037" spans="1:7" ht="17.25" customHeight="1" x14ac:dyDescent="0.2">
      <c r="A2037" s="1611">
        <v>15</v>
      </c>
      <c r="B2037" s="1611" t="s">
        <v>7154</v>
      </c>
      <c r="C2037" s="1611" t="s">
        <v>5002</v>
      </c>
      <c r="D2037" s="1612">
        <v>0</v>
      </c>
      <c r="E2037" s="1706" t="s">
        <v>7592</v>
      </c>
      <c r="F2037" s="1613">
        <v>41818182</v>
      </c>
      <c r="G2037" s="1613">
        <v>82960233454</v>
      </c>
    </row>
    <row r="2038" spans="1:7" ht="17.25" customHeight="1" x14ac:dyDescent="0.2">
      <c r="A2038" s="1611">
        <v>15</v>
      </c>
      <c r="B2038" s="1611" t="s">
        <v>7186</v>
      </c>
      <c r="C2038" s="1611" t="s">
        <v>5033</v>
      </c>
      <c r="D2038" s="1612">
        <v>0</v>
      </c>
      <c r="E2038" s="1706" t="s">
        <v>7592</v>
      </c>
      <c r="F2038" s="1613">
        <v>53181818</v>
      </c>
      <c r="G2038" s="1613">
        <v>83013415272</v>
      </c>
    </row>
    <row r="2039" spans="1:7" ht="17.25" customHeight="1" x14ac:dyDescent="0.2">
      <c r="A2039" s="1611">
        <v>15</v>
      </c>
      <c r="B2039" s="1611" t="s">
        <v>7197</v>
      </c>
      <c r="C2039" s="1611" t="s">
        <v>4887</v>
      </c>
      <c r="D2039" s="1612">
        <v>0</v>
      </c>
      <c r="E2039" s="1706" t="s">
        <v>7592</v>
      </c>
      <c r="F2039" s="1613">
        <v>129218182</v>
      </c>
      <c r="G2039" s="1613">
        <v>83142633454</v>
      </c>
    </row>
    <row r="2040" spans="1:7" ht="17.25" customHeight="1" x14ac:dyDescent="0.2">
      <c r="A2040" s="1611">
        <v>15</v>
      </c>
      <c r="B2040" s="1611" t="s">
        <v>2954</v>
      </c>
      <c r="C2040" s="1611" t="s">
        <v>4812</v>
      </c>
      <c r="D2040" s="1612">
        <v>0</v>
      </c>
      <c r="E2040" s="1706" t="s">
        <v>7592</v>
      </c>
      <c r="F2040" s="1613">
        <v>14000000</v>
      </c>
      <c r="G2040" s="1613">
        <v>83156633454</v>
      </c>
    </row>
    <row r="2041" spans="1:7" ht="17.25" customHeight="1" x14ac:dyDescent="0.2">
      <c r="A2041" s="1611">
        <v>15</v>
      </c>
      <c r="B2041" s="1611" t="s">
        <v>2954</v>
      </c>
      <c r="C2041" s="1611" t="s">
        <v>5034</v>
      </c>
      <c r="D2041" s="1612">
        <v>0</v>
      </c>
      <c r="E2041" s="1706" t="s">
        <v>7592</v>
      </c>
      <c r="F2041" s="1613">
        <v>12300000</v>
      </c>
      <c r="G2041" s="1613">
        <v>83168933454</v>
      </c>
    </row>
    <row r="2042" spans="1:7" ht="17.25" customHeight="1" x14ac:dyDescent="0.2">
      <c r="A2042" s="1611">
        <v>15</v>
      </c>
      <c r="B2042" s="1611" t="s">
        <v>7247</v>
      </c>
      <c r="C2042" s="1611" t="s">
        <v>5035</v>
      </c>
      <c r="D2042" s="1612">
        <v>0</v>
      </c>
      <c r="E2042" s="1706" t="s">
        <v>7592</v>
      </c>
      <c r="F2042" s="1613">
        <v>42727273</v>
      </c>
      <c r="G2042" s="1613">
        <v>83211660727</v>
      </c>
    </row>
    <row r="2043" spans="1:7" ht="17.25" customHeight="1" x14ac:dyDescent="0.2">
      <c r="A2043" s="1611">
        <v>15</v>
      </c>
      <c r="B2043" s="1611" t="s">
        <v>7247</v>
      </c>
      <c r="C2043" s="1611" t="s">
        <v>5036</v>
      </c>
      <c r="D2043" s="1612">
        <v>0</v>
      </c>
      <c r="E2043" s="1706" t="s">
        <v>7592</v>
      </c>
      <c r="F2043" s="1613">
        <v>42727273</v>
      </c>
      <c r="G2043" s="1613">
        <v>83254388000</v>
      </c>
    </row>
    <row r="2044" spans="1:7" ht="17.25" customHeight="1" x14ac:dyDescent="0.2">
      <c r="A2044" s="1611">
        <v>15</v>
      </c>
      <c r="B2044" s="1611" t="s">
        <v>7247</v>
      </c>
      <c r="C2044" s="1611" t="s">
        <v>5037</v>
      </c>
      <c r="D2044" s="1612">
        <v>0</v>
      </c>
      <c r="E2044" s="1706" t="s">
        <v>7592</v>
      </c>
      <c r="F2044" s="1613">
        <v>42152727</v>
      </c>
      <c r="G2044" s="1613">
        <v>83296540727</v>
      </c>
    </row>
    <row r="2045" spans="1:7" ht="17.25" customHeight="1" x14ac:dyDescent="0.2">
      <c r="A2045" s="1611">
        <v>15</v>
      </c>
      <c r="B2045" s="1611" t="s">
        <v>3937</v>
      </c>
      <c r="C2045" s="1611" t="s">
        <v>5038</v>
      </c>
      <c r="D2045" s="1612">
        <v>0</v>
      </c>
      <c r="E2045" s="1706" t="s">
        <v>7592</v>
      </c>
      <c r="F2045" s="1613">
        <v>62454546</v>
      </c>
      <c r="G2045" s="1613">
        <v>83358995273</v>
      </c>
    </row>
    <row r="2046" spans="1:7" ht="17.25" customHeight="1" x14ac:dyDescent="0.2">
      <c r="A2046" s="1611">
        <v>15</v>
      </c>
      <c r="B2046" s="1611" t="s">
        <v>7252</v>
      </c>
      <c r="C2046" s="1611" t="s">
        <v>5039</v>
      </c>
      <c r="D2046" s="1612">
        <v>0</v>
      </c>
      <c r="E2046" s="1706" t="s">
        <v>7592</v>
      </c>
      <c r="F2046" s="1613">
        <v>61363636</v>
      </c>
      <c r="G2046" s="1613">
        <v>83420358909</v>
      </c>
    </row>
    <row r="2047" spans="1:7" ht="17.25" customHeight="1" x14ac:dyDescent="0.2">
      <c r="A2047" s="1611">
        <v>15</v>
      </c>
      <c r="B2047" s="1611" t="s">
        <v>7178</v>
      </c>
      <c r="C2047" s="1611" t="s">
        <v>4986</v>
      </c>
      <c r="D2047" s="1612">
        <v>0</v>
      </c>
      <c r="E2047" s="1706" t="s">
        <v>7592</v>
      </c>
      <c r="F2047" s="1613">
        <v>195444000</v>
      </c>
      <c r="G2047" s="1613">
        <v>83615802909</v>
      </c>
    </row>
    <row r="2048" spans="1:7" ht="17.25" customHeight="1" x14ac:dyDescent="0.2">
      <c r="A2048" s="1611">
        <v>15</v>
      </c>
      <c r="B2048" s="1611" t="s">
        <v>7176</v>
      </c>
      <c r="C2048" s="1611" t="s">
        <v>5028</v>
      </c>
      <c r="D2048" s="1612">
        <v>0</v>
      </c>
      <c r="E2048" s="1706" t="s">
        <v>7592</v>
      </c>
      <c r="F2048" s="1613">
        <v>40709090</v>
      </c>
      <c r="G2048" s="1613">
        <v>83656511999</v>
      </c>
    </row>
    <row r="2049" spans="1:7" ht="17.25" customHeight="1" x14ac:dyDescent="0.2">
      <c r="A2049" s="1611">
        <v>15</v>
      </c>
      <c r="B2049" s="1611" t="s">
        <v>7156</v>
      </c>
      <c r="C2049" s="1611" t="s">
        <v>5040</v>
      </c>
      <c r="D2049" s="1612">
        <v>0</v>
      </c>
      <c r="E2049" s="1706" t="s">
        <v>7592</v>
      </c>
      <c r="F2049" s="1613">
        <v>14272727</v>
      </c>
      <c r="G2049" s="1613">
        <v>83670784726</v>
      </c>
    </row>
    <row r="2050" spans="1:7" ht="17.25" customHeight="1" x14ac:dyDescent="0.2">
      <c r="A2050" s="1611">
        <v>15</v>
      </c>
      <c r="B2050" s="1611" t="s">
        <v>7154</v>
      </c>
      <c r="C2050" s="1611" t="s">
        <v>5041</v>
      </c>
      <c r="D2050" s="1612">
        <v>0</v>
      </c>
      <c r="E2050" s="1706" t="s">
        <v>7592</v>
      </c>
      <c r="F2050" s="1613">
        <v>50909091</v>
      </c>
      <c r="G2050" s="1613">
        <v>83721693817</v>
      </c>
    </row>
    <row r="2051" spans="1:7" ht="17.25" customHeight="1" x14ac:dyDescent="0.2">
      <c r="A2051" s="1611">
        <v>15</v>
      </c>
      <c r="B2051" s="1611" t="s">
        <v>7176</v>
      </c>
      <c r="C2051" s="1611" t="s">
        <v>5042</v>
      </c>
      <c r="D2051" s="1612">
        <v>0</v>
      </c>
      <c r="E2051" s="1706" t="s">
        <v>7592</v>
      </c>
      <c r="F2051" s="1613">
        <v>43500000</v>
      </c>
      <c r="G2051" s="1613">
        <v>83765193817</v>
      </c>
    </row>
    <row r="2052" spans="1:7" ht="17.25" customHeight="1" x14ac:dyDescent="0.2">
      <c r="A2052" s="1611">
        <v>15</v>
      </c>
      <c r="B2052" s="1611" t="s">
        <v>7203</v>
      </c>
      <c r="C2052" s="1611" t="s">
        <v>5043</v>
      </c>
      <c r="D2052" s="1612">
        <v>0</v>
      </c>
      <c r="E2052" s="1706" t="s">
        <v>7592</v>
      </c>
      <c r="F2052" s="1613">
        <v>36181818</v>
      </c>
      <c r="G2052" s="1613">
        <v>83801375635</v>
      </c>
    </row>
    <row r="2053" spans="1:7" ht="17.25" customHeight="1" x14ac:dyDescent="0.2">
      <c r="A2053" s="1611">
        <v>15</v>
      </c>
      <c r="B2053" s="1611" t="s">
        <v>7176</v>
      </c>
      <c r="C2053" s="1611" t="s">
        <v>5028</v>
      </c>
      <c r="D2053" s="1612">
        <v>0</v>
      </c>
      <c r="E2053" s="1706" t="s">
        <v>7592</v>
      </c>
      <c r="F2053" s="1613">
        <v>-40709090</v>
      </c>
      <c r="G2053" s="1613">
        <v>83760666545</v>
      </c>
    </row>
    <row r="2054" spans="1:7" ht="17.25" customHeight="1" x14ac:dyDescent="0.2">
      <c r="A2054" s="1611">
        <v>15</v>
      </c>
      <c r="B2054" s="1611" t="s">
        <v>2954</v>
      </c>
      <c r="C2054" s="1611" t="s">
        <v>5044</v>
      </c>
      <c r="D2054" s="1612">
        <v>0</v>
      </c>
      <c r="E2054" s="1706" t="s">
        <v>7592</v>
      </c>
      <c r="F2054" s="1613">
        <v>14035000</v>
      </c>
      <c r="G2054" s="1613">
        <v>83774701545</v>
      </c>
    </row>
    <row r="2055" spans="1:7" ht="17.25" customHeight="1" x14ac:dyDescent="0.2">
      <c r="A2055" s="1611">
        <v>15</v>
      </c>
      <c r="B2055" s="1611" t="s">
        <v>7203</v>
      </c>
      <c r="C2055" s="1611" t="s">
        <v>5045</v>
      </c>
      <c r="D2055" s="1612">
        <v>0</v>
      </c>
      <c r="E2055" s="1706" t="s">
        <v>7592</v>
      </c>
      <c r="F2055" s="1613">
        <v>35500000</v>
      </c>
      <c r="G2055" s="1613">
        <v>83810201545</v>
      </c>
    </row>
    <row r="2056" spans="1:7" ht="17.25" customHeight="1" x14ac:dyDescent="0.2">
      <c r="A2056" s="1611">
        <v>15</v>
      </c>
      <c r="B2056" s="1611" t="s">
        <v>7176</v>
      </c>
      <c r="C2056" s="1611" t="s">
        <v>5046</v>
      </c>
      <c r="D2056" s="1612">
        <v>0</v>
      </c>
      <c r="E2056" s="1706" t="s">
        <v>7592</v>
      </c>
      <c r="F2056" s="1613">
        <v>42727273</v>
      </c>
      <c r="G2056" s="1613">
        <v>83852928818</v>
      </c>
    </row>
    <row r="2057" spans="1:7" ht="17.25" customHeight="1" x14ac:dyDescent="0.2">
      <c r="A2057" s="1611">
        <v>15</v>
      </c>
      <c r="B2057" s="1611" t="s">
        <v>7176</v>
      </c>
      <c r="C2057" s="1611" t="s">
        <v>4956</v>
      </c>
      <c r="D2057" s="1612">
        <v>0</v>
      </c>
      <c r="E2057" s="1706" t="s">
        <v>7592</v>
      </c>
      <c r="F2057" s="1613">
        <v>41872728</v>
      </c>
      <c r="G2057" s="1613">
        <v>83894801546</v>
      </c>
    </row>
    <row r="2058" spans="1:7" ht="17.25" customHeight="1" x14ac:dyDescent="0.2">
      <c r="A2058" s="1611">
        <v>15</v>
      </c>
      <c r="B2058" s="1611" t="s">
        <v>7156</v>
      </c>
      <c r="C2058" s="1611" t="s">
        <v>5047</v>
      </c>
      <c r="D2058" s="1612">
        <v>0</v>
      </c>
      <c r="E2058" s="1706" t="s">
        <v>7592</v>
      </c>
      <c r="F2058" s="1613">
        <v>16350000</v>
      </c>
      <c r="G2058" s="1613">
        <v>83911151546</v>
      </c>
    </row>
    <row r="2059" spans="1:7" ht="17.25" customHeight="1" x14ac:dyDescent="0.2">
      <c r="A2059" s="1611">
        <v>15</v>
      </c>
      <c r="B2059" s="1611" t="s">
        <v>7203</v>
      </c>
      <c r="C2059" s="1611" t="s">
        <v>4017</v>
      </c>
      <c r="D2059" s="1612">
        <v>0</v>
      </c>
      <c r="E2059" s="1706" t="s">
        <v>7592</v>
      </c>
      <c r="F2059" s="1613">
        <v>35268182</v>
      </c>
      <c r="G2059" s="1613">
        <v>83946419728</v>
      </c>
    </row>
    <row r="2060" spans="1:7" ht="17.25" customHeight="1" x14ac:dyDescent="0.2">
      <c r="A2060" s="1611">
        <v>15</v>
      </c>
      <c r="B2060" s="1611" t="s">
        <v>7176</v>
      </c>
      <c r="C2060" s="1611" t="s">
        <v>5048</v>
      </c>
      <c r="D2060" s="1612">
        <v>0</v>
      </c>
      <c r="E2060" s="1706" t="s">
        <v>7592</v>
      </c>
      <c r="F2060" s="1613">
        <v>45370000</v>
      </c>
      <c r="G2060" s="1613">
        <v>83991789728</v>
      </c>
    </row>
    <row r="2061" spans="1:7" ht="17.25" customHeight="1" x14ac:dyDescent="0.2">
      <c r="A2061" s="1611">
        <v>15</v>
      </c>
      <c r="B2061" s="1611" t="s">
        <v>7176</v>
      </c>
      <c r="C2061" s="1611" t="s">
        <v>5049</v>
      </c>
      <c r="D2061" s="1612">
        <v>0</v>
      </c>
      <c r="E2061" s="1706" t="s">
        <v>7592</v>
      </c>
      <c r="F2061" s="1613">
        <v>40500000</v>
      </c>
      <c r="G2061" s="1613">
        <v>84032289728</v>
      </c>
    </row>
    <row r="2062" spans="1:7" ht="17.25" customHeight="1" x14ac:dyDescent="0.2">
      <c r="A2062" s="1611">
        <v>15</v>
      </c>
      <c r="B2062" s="1611" t="s">
        <v>7253</v>
      </c>
      <c r="C2062" s="1611" t="s">
        <v>3722</v>
      </c>
      <c r="D2062" s="1612">
        <v>0</v>
      </c>
      <c r="E2062" s="1706" t="s">
        <v>7592</v>
      </c>
      <c r="F2062" s="1613">
        <v>20620000</v>
      </c>
      <c r="G2062" s="1613">
        <v>84052909728</v>
      </c>
    </row>
    <row r="2063" spans="1:7" ht="17.25" customHeight="1" x14ac:dyDescent="0.2">
      <c r="A2063" s="1611">
        <v>15</v>
      </c>
      <c r="B2063" s="1611" t="s">
        <v>5050</v>
      </c>
      <c r="C2063" s="1611" t="s">
        <v>3722</v>
      </c>
      <c r="D2063" s="1612">
        <v>0</v>
      </c>
      <c r="E2063" s="1706" t="s">
        <v>7592</v>
      </c>
      <c r="F2063" s="1613">
        <v>-20620000</v>
      </c>
      <c r="G2063" s="1613">
        <v>84032289728</v>
      </c>
    </row>
    <row r="2064" spans="1:7" ht="17.25" customHeight="1" x14ac:dyDescent="0.2">
      <c r="A2064" s="1611">
        <v>15</v>
      </c>
      <c r="B2064" s="1611" t="s">
        <v>7156</v>
      </c>
      <c r="C2064" s="1611" t="s">
        <v>5051</v>
      </c>
      <c r="D2064" s="1612">
        <v>0</v>
      </c>
      <c r="E2064" s="1706" t="s">
        <v>7592</v>
      </c>
      <c r="F2064" s="1613">
        <v>15700000</v>
      </c>
      <c r="G2064" s="1613">
        <v>84047989728</v>
      </c>
    </row>
    <row r="2065" spans="1:7" ht="17.25" customHeight="1" x14ac:dyDescent="0.2">
      <c r="A2065" s="1611">
        <v>15</v>
      </c>
      <c r="B2065" s="1611" t="s">
        <v>7203</v>
      </c>
      <c r="C2065" s="1611" t="s">
        <v>5052</v>
      </c>
      <c r="D2065" s="1612">
        <v>0</v>
      </c>
      <c r="E2065" s="1706" t="s">
        <v>7592</v>
      </c>
      <c r="F2065" s="1613">
        <v>33000000</v>
      </c>
      <c r="G2065" s="1613">
        <v>84080989728</v>
      </c>
    </row>
    <row r="2066" spans="1:7" ht="17.25" customHeight="1" x14ac:dyDescent="0.2">
      <c r="A2066" s="1611">
        <v>15</v>
      </c>
      <c r="B2066" s="1611" t="s">
        <v>7203</v>
      </c>
      <c r="C2066" s="1611" t="s">
        <v>5053</v>
      </c>
      <c r="D2066" s="1612">
        <v>0</v>
      </c>
      <c r="E2066" s="1706" t="s">
        <v>7592</v>
      </c>
      <c r="F2066" s="1613">
        <v>34727273</v>
      </c>
      <c r="G2066" s="1613">
        <v>84115717001</v>
      </c>
    </row>
    <row r="2067" spans="1:7" ht="17.25" customHeight="1" x14ac:dyDescent="0.2">
      <c r="A2067" s="1611">
        <v>15</v>
      </c>
      <c r="B2067" s="1611" t="s">
        <v>7186</v>
      </c>
      <c r="C2067" s="1611" t="s">
        <v>5054</v>
      </c>
      <c r="D2067" s="1612">
        <v>0</v>
      </c>
      <c r="E2067" s="1706" t="s">
        <v>7592</v>
      </c>
      <c r="F2067" s="1613">
        <v>55750000</v>
      </c>
      <c r="G2067" s="1613">
        <v>84171467001</v>
      </c>
    </row>
    <row r="2068" spans="1:7" ht="17.25" customHeight="1" x14ac:dyDescent="0.2">
      <c r="A2068" s="1611">
        <v>15</v>
      </c>
      <c r="B2068" s="1611" t="s">
        <v>7203</v>
      </c>
      <c r="C2068" s="1611" t="s">
        <v>5055</v>
      </c>
      <c r="D2068" s="1612">
        <v>0</v>
      </c>
      <c r="E2068" s="1706" t="s">
        <v>7592</v>
      </c>
      <c r="F2068" s="1613">
        <v>35000000</v>
      </c>
      <c r="G2068" s="1613">
        <v>84206467001</v>
      </c>
    </row>
    <row r="2069" spans="1:7" ht="17.25" customHeight="1" x14ac:dyDescent="0.2">
      <c r="A2069" s="1611">
        <v>15</v>
      </c>
      <c r="B2069" s="1611" t="s">
        <v>7254</v>
      </c>
      <c r="C2069" s="1611" t="s">
        <v>4006</v>
      </c>
      <c r="D2069" s="1612">
        <v>0</v>
      </c>
      <c r="E2069" s="1706" t="s">
        <v>7592</v>
      </c>
      <c r="F2069" s="1613">
        <v>7300000</v>
      </c>
      <c r="G2069" s="1613">
        <v>84213767001</v>
      </c>
    </row>
    <row r="2070" spans="1:7" ht="17.25" customHeight="1" x14ac:dyDescent="0.2">
      <c r="A2070" s="1611">
        <v>15</v>
      </c>
      <c r="B2070" s="1611" t="s">
        <v>7203</v>
      </c>
      <c r="C2070" s="1611" t="s">
        <v>5056</v>
      </c>
      <c r="D2070" s="1612">
        <v>0</v>
      </c>
      <c r="E2070" s="1706" t="s">
        <v>7592</v>
      </c>
      <c r="F2070" s="1613">
        <v>33000000</v>
      </c>
      <c r="G2070" s="1613">
        <v>84246767001</v>
      </c>
    </row>
    <row r="2071" spans="1:7" ht="17.25" customHeight="1" x14ac:dyDescent="0.2">
      <c r="A2071" s="1611">
        <v>15</v>
      </c>
      <c r="B2071" s="1611" t="s">
        <v>7255</v>
      </c>
      <c r="C2071" s="1611" t="s">
        <v>5057</v>
      </c>
      <c r="D2071" s="1612">
        <v>0</v>
      </c>
      <c r="E2071" s="1706" t="s">
        <v>7592</v>
      </c>
      <c r="F2071" s="1613">
        <v>35000000</v>
      </c>
      <c r="G2071" s="1613">
        <v>84281767001</v>
      </c>
    </row>
    <row r="2072" spans="1:7" ht="17.25" customHeight="1" x14ac:dyDescent="0.2">
      <c r="A2072" s="1611">
        <v>15</v>
      </c>
      <c r="B2072" s="1611" t="s">
        <v>7161</v>
      </c>
      <c r="C2072" s="1611" t="s">
        <v>5058</v>
      </c>
      <c r="D2072" s="1612">
        <v>0</v>
      </c>
      <c r="E2072" s="1706" t="s">
        <v>7592</v>
      </c>
      <c r="F2072" s="1613">
        <v>12162728</v>
      </c>
      <c r="G2072" s="1613">
        <v>84293929729</v>
      </c>
    </row>
    <row r="2073" spans="1:7" ht="17.25" customHeight="1" x14ac:dyDescent="0.2">
      <c r="A2073" s="1611">
        <v>15</v>
      </c>
      <c r="B2073" s="1611" t="s">
        <v>7203</v>
      </c>
      <c r="C2073" s="1611" t="s">
        <v>5059</v>
      </c>
      <c r="D2073" s="1612">
        <v>0</v>
      </c>
      <c r="E2073" s="1706" t="s">
        <v>7592</v>
      </c>
      <c r="F2073" s="1613">
        <v>33200000</v>
      </c>
      <c r="G2073" s="1613">
        <v>84327129729</v>
      </c>
    </row>
    <row r="2074" spans="1:7" ht="17.25" customHeight="1" x14ac:dyDescent="0.2">
      <c r="A2074" s="1611">
        <v>15</v>
      </c>
      <c r="B2074" s="1611" t="s">
        <v>7156</v>
      </c>
      <c r="C2074" s="1611" t="s">
        <v>3648</v>
      </c>
      <c r="D2074" s="1612">
        <v>0</v>
      </c>
      <c r="E2074" s="1706" t="s">
        <v>7592</v>
      </c>
      <c r="F2074" s="1613">
        <v>14300000</v>
      </c>
      <c r="G2074" s="1613">
        <v>84341429729</v>
      </c>
    </row>
    <row r="2075" spans="1:7" ht="17.25" customHeight="1" x14ac:dyDescent="0.2">
      <c r="A2075" s="1611">
        <v>15</v>
      </c>
      <c r="B2075" s="1611" t="s">
        <v>7156</v>
      </c>
      <c r="C2075" s="1611" t="s">
        <v>5060</v>
      </c>
      <c r="D2075" s="1612">
        <v>0</v>
      </c>
      <c r="E2075" s="1706" t="s">
        <v>7592</v>
      </c>
      <c r="F2075" s="1613">
        <v>13500000</v>
      </c>
      <c r="G2075" s="1613">
        <v>84354929729</v>
      </c>
    </row>
    <row r="2076" spans="1:7" ht="17.25" customHeight="1" x14ac:dyDescent="0.2">
      <c r="A2076" s="1611">
        <v>15</v>
      </c>
      <c r="B2076" s="1611" t="s">
        <v>2954</v>
      </c>
      <c r="C2076" s="1611" t="s">
        <v>4479</v>
      </c>
      <c r="D2076" s="1612">
        <v>0</v>
      </c>
      <c r="E2076" s="1706" t="s">
        <v>7592</v>
      </c>
      <c r="F2076" s="1613">
        <v>14100000</v>
      </c>
      <c r="G2076" s="1613">
        <v>84369029729</v>
      </c>
    </row>
    <row r="2077" spans="1:7" ht="17.25" customHeight="1" x14ac:dyDescent="0.2">
      <c r="A2077" s="1611">
        <v>15</v>
      </c>
      <c r="B2077" s="1611" t="s">
        <v>7255</v>
      </c>
      <c r="C2077" s="1611" t="s">
        <v>5061</v>
      </c>
      <c r="D2077" s="1612">
        <v>0</v>
      </c>
      <c r="E2077" s="1706" t="s">
        <v>7592</v>
      </c>
      <c r="F2077" s="1613">
        <v>37272727</v>
      </c>
      <c r="G2077" s="1613">
        <v>84406302456</v>
      </c>
    </row>
    <row r="2078" spans="1:7" ht="17.25" customHeight="1" x14ac:dyDescent="0.2">
      <c r="A2078" s="1611">
        <v>15</v>
      </c>
      <c r="B2078" s="1611" t="s">
        <v>7255</v>
      </c>
      <c r="C2078" s="1611" t="s">
        <v>5062</v>
      </c>
      <c r="D2078" s="1612">
        <v>0</v>
      </c>
      <c r="E2078" s="1706" t="s">
        <v>7592</v>
      </c>
      <c r="F2078" s="1613">
        <v>35300000</v>
      </c>
      <c r="G2078" s="1613">
        <v>84441602456</v>
      </c>
    </row>
    <row r="2079" spans="1:7" ht="17.25" customHeight="1" x14ac:dyDescent="0.2">
      <c r="A2079" s="1611">
        <v>15</v>
      </c>
      <c r="B2079" s="1611" t="s">
        <v>7156</v>
      </c>
      <c r="C2079" s="1611" t="s">
        <v>3438</v>
      </c>
      <c r="D2079" s="1612">
        <v>0</v>
      </c>
      <c r="E2079" s="1706" t="s">
        <v>7592</v>
      </c>
      <c r="F2079" s="1613">
        <v>14254545</v>
      </c>
      <c r="G2079" s="1613">
        <v>84455857001</v>
      </c>
    </row>
    <row r="2080" spans="1:7" ht="17.25" customHeight="1" x14ac:dyDescent="0.2">
      <c r="A2080" s="1611">
        <v>15</v>
      </c>
      <c r="B2080" s="1611" t="s">
        <v>7156</v>
      </c>
      <c r="C2080" s="1611" t="s">
        <v>5060</v>
      </c>
      <c r="D2080" s="1612">
        <v>0</v>
      </c>
      <c r="E2080" s="1706" t="s">
        <v>7592</v>
      </c>
      <c r="F2080" s="1613">
        <v>-13500000</v>
      </c>
      <c r="G2080" s="1613">
        <v>84442357001</v>
      </c>
    </row>
    <row r="2081" spans="1:7" ht="17.25" customHeight="1" x14ac:dyDescent="0.2">
      <c r="A2081" s="1611">
        <v>15</v>
      </c>
      <c r="B2081" s="1611" t="s">
        <v>7156</v>
      </c>
      <c r="C2081" s="1611" t="s">
        <v>5060</v>
      </c>
      <c r="D2081" s="1612">
        <v>0</v>
      </c>
      <c r="E2081" s="1706" t="s">
        <v>7592</v>
      </c>
      <c r="F2081" s="1613">
        <v>13500000</v>
      </c>
      <c r="G2081" s="1613">
        <v>84455857001</v>
      </c>
    </row>
    <row r="2082" spans="1:7" ht="17.25" customHeight="1" x14ac:dyDescent="0.2">
      <c r="A2082" s="1611">
        <v>15</v>
      </c>
      <c r="B2082" s="1611" t="s">
        <v>7255</v>
      </c>
      <c r="C2082" s="1611" t="s">
        <v>5063</v>
      </c>
      <c r="D2082" s="1612">
        <v>0</v>
      </c>
      <c r="E2082" s="1706" t="s">
        <v>7592</v>
      </c>
      <c r="F2082" s="1613">
        <v>33000000</v>
      </c>
      <c r="G2082" s="1613">
        <v>84488857001</v>
      </c>
    </row>
    <row r="2083" spans="1:7" ht="17.25" customHeight="1" x14ac:dyDescent="0.2">
      <c r="A2083" s="1611">
        <v>15</v>
      </c>
      <c r="B2083" s="1611" t="s">
        <v>7245</v>
      </c>
      <c r="C2083" s="1611" t="s">
        <v>5064</v>
      </c>
      <c r="D2083" s="1612">
        <v>0</v>
      </c>
      <c r="E2083" s="1706" t="s">
        <v>7592</v>
      </c>
      <c r="F2083" s="1613">
        <v>42000000</v>
      </c>
      <c r="G2083" s="1613">
        <v>84530857001</v>
      </c>
    </row>
    <row r="2084" spans="1:7" ht="17.25" customHeight="1" x14ac:dyDescent="0.2">
      <c r="A2084" s="1611">
        <v>15</v>
      </c>
      <c r="B2084" s="1611" t="s">
        <v>7154</v>
      </c>
      <c r="C2084" s="1611" t="s">
        <v>5065</v>
      </c>
      <c r="D2084" s="1612">
        <v>0</v>
      </c>
      <c r="E2084" s="1706" t="s">
        <v>7592</v>
      </c>
      <c r="F2084" s="1613">
        <v>50454545</v>
      </c>
      <c r="G2084" s="1613">
        <v>84581311546</v>
      </c>
    </row>
    <row r="2085" spans="1:7" ht="17.25" customHeight="1" x14ac:dyDescent="0.2">
      <c r="A2085" s="1611">
        <v>15</v>
      </c>
      <c r="B2085" s="1611" t="s">
        <v>7154</v>
      </c>
      <c r="C2085" s="1611" t="s">
        <v>5066</v>
      </c>
      <c r="D2085" s="1612">
        <v>0</v>
      </c>
      <c r="E2085" s="1706" t="s">
        <v>7592</v>
      </c>
      <c r="F2085" s="1613">
        <v>50000000</v>
      </c>
      <c r="G2085" s="1613">
        <v>84631311546</v>
      </c>
    </row>
    <row r="2086" spans="1:7" ht="17.25" customHeight="1" x14ac:dyDescent="0.2">
      <c r="A2086" s="1611">
        <v>15</v>
      </c>
      <c r="B2086" s="1611" t="s">
        <v>7154</v>
      </c>
      <c r="C2086" s="1611" t="s">
        <v>5053</v>
      </c>
      <c r="D2086" s="1612">
        <v>0</v>
      </c>
      <c r="E2086" s="1706" t="s">
        <v>7592</v>
      </c>
      <c r="F2086" s="1613">
        <v>48727272</v>
      </c>
      <c r="G2086" s="1613">
        <v>84680038818</v>
      </c>
    </row>
    <row r="2087" spans="1:7" ht="17.25" customHeight="1" x14ac:dyDescent="0.2">
      <c r="A2087" s="1611">
        <v>15</v>
      </c>
      <c r="B2087" s="1611" t="s">
        <v>7255</v>
      </c>
      <c r="C2087" s="1611" t="s">
        <v>5067</v>
      </c>
      <c r="D2087" s="1612">
        <v>0</v>
      </c>
      <c r="E2087" s="1706" t="s">
        <v>7592</v>
      </c>
      <c r="F2087" s="1613">
        <v>35500000</v>
      </c>
      <c r="G2087" s="1613">
        <v>84715538818</v>
      </c>
    </row>
    <row r="2088" spans="1:7" ht="17.25" customHeight="1" x14ac:dyDescent="0.2">
      <c r="A2088" s="1611">
        <v>15</v>
      </c>
      <c r="B2088" s="1611" t="s">
        <v>7154</v>
      </c>
      <c r="C2088" s="1611" t="s">
        <v>3436</v>
      </c>
      <c r="D2088" s="1612">
        <v>0</v>
      </c>
      <c r="E2088" s="1706" t="s">
        <v>7592</v>
      </c>
      <c r="F2088" s="1613">
        <v>49400000</v>
      </c>
      <c r="G2088" s="1613">
        <v>84764938818</v>
      </c>
    </row>
    <row r="2089" spans="1:7" ht="17.25" customHeight="1" x14ac:dyDescent="0.2">
      <c r="A2089" s="1611">
        <v>15</v>
      </c>
      <c r="B2089" s="1611" t="s">
        <v>7156</v>
      </c>
      <c r="C2089" s="1611" t="s">
        <v>5068</v>
      </c>
      <c r="D2089" s="1612">
        <v>0</v>
      </c>
      <c r="E2089" s="1706" t="s">
        <v>7592</v>
      </c>
      <c r="F2089" s="1613">
        <v>15450000</v>
      </c>
      <c r="G2089" s="1613">
        <v>84780388818</v>
      </c>
    </row>
    <row r="2090" spans="1:7" ht="17.25" customHeight="1" x14ac:dyDescent="0.2">
      <c r="A2090" s="1611">
        <v>15</v>
      </c>
      <c r="B2090" s="1611" t="s">
        <v>7176</v>
      </c>
      <c r="C2090" s="1611" t="s">
        <v>5069</v>
      </c>
      <c r="D2090" s="1612">
        <v>0</v>
      </c>
      <c r="E2090" s="1706" t="s">
        <v>7592</v>
      </c>
      <c r="F2090" s="1613">
        <v>42000000</v>
      </c>
      <c r="G2090" s="1613">
        <v>84822388818</v>
      </c>
    </row>
    <row r="2091" spans="1:7" ht="17.25" customHeight="1" x14ac:dyDescent="0.2">
      <c r="A2091" s="1611">
        <v>15</v>
      </c>
      <c r="B2091" s="1611" t="s">
        <v>7256</v>
      </c>
      <c r="C2091" s="1611" t="s">
        <v>3882</v>
      </c>
      <c r="D2091" s="1612">
        <v>0</v>
      </c>
      <c r="E2091" s="1706" t="s">
        <v>7592</v>
      </c>
      <c r="F2091" s="1613">
        <v>1754545</v>
      </c>
      <c r="G2091" s="1613">
        <v>84824143363</v>
      </c>
    </row>
    <row r="2092" spans="1:7" ht="17.25" customHeight="1" x14ac:dyDescent="0.2">
      <c r="A2092" s="1611">
        <v>15</v>
      </c>
      <c r="B2092" s="1611" t="s">
        <v>7154</v>
      </c>
      <c r="C2092" s="1611" t="s">
        <v>3882</v>
      </c>
      <c r="D2092" s="1612">
        <v>0</v>
      </c>
      <c r="E2092" s="1706" t="s">
        <v>7592</v>
      </c>
      <c r="F2092" s="1613">
        <v>80636364</v>
      </c>
      <c r="G2092" s="1613">
        <v>84904779727</v>
      </c>
    </row>
    <row r="2093" spans="1:7" ht="17.25" customHeight="1" x14ac:dyDescent="0.2">
      <c r="A2093" s="1611">
        <v>15</v>
      </c>
      <c r="B2093" s="1611" t="s">
        <v>7256</v>
      </c>
      <c r="C2093" s="1611" t="s">
        <v>3882</v>
      </c>
      <c r="D2093" s="1612">
        <v>0</v>
      </c>
      <c r="E2093" s="1706" t="s">
        <v>7592</v>
      </c>
      <c r="F2093" s="1613">
        <v>-1754545</v>
      </c>
      <c r="G2093" s="1613">
        <v>84903025182</v>
      </c>
    </row>
    <row r="2094" spans="1:7" ht="17.25" customHeight="1" x14ac:dyDescent="0.2">
      <c r="A2094" s="1611">
        <v>15</v>
      </c>
      <c r="B2094" s="1611" t="s">
        <v>7255</v>
      </c>
      <c r="C2094" s="1611" t="s">
        <v>5070</v>
      </c>
      <c r="D2094" s="1612">
        <v>0</v>
      </c>
      <c r="E2094" s="1706" t="s">
        <v>7592</v>
      </c>
      <c r="F2094" s="1613">
        <v>37500000</v>
      </c>
      <c r="G2094" s="1613">
        <v>84940525182</v>
      </c>
    </row>
    <row r="2095" spans="1:7" ht="17.25" customHeight="1" x14ac:dyDescent="0.2">
      <c r="A2095" s="1611">
        <v>15</v>
      </c>
      <c r="B2095" s="1611" t="s">
        <v>7255</v>
      </c>
      <c r="C2095" s="1611" t="s">
        <v>4000</v>
      </c>
      <c r="D2095" s="1612">
        <v>0</v>
      </c>
      <c r="E2095" s="1706" t="s">
        <v>7592</v>
      </c>
      <c r="F2095" s="1613">
        <v>35800000</v>
      </c>
      <c r="G2095" s="1613">
        <v>84976325182</v>
      </c>
    </row>
    <row r="2096" spans="1:7" ht="17.25" customHeight="1" x14ac:dyDescent="0.2">
      <c r="A2096" s="1611">
        <v>15</v>
      </c>
      <c r="B2096" s="1611" t="s">
        <v>7176</v>
      </c>
      <c r="C2096" s="1611" t="s">
        <v>5030</v>
      </c>
      <c r="D2096" s="1612">
        <v>0</v>
      </c>
      <c r="E2096" s="1706" t="s">
        <v>7592</v>
      </c>
      <c r="F2096" s="1613">
        <v>43636363</v>
      </c>
      <c r="G2096" s="1613">
        <v>85019961545</v>
      </c>
    </row>
    <row r="2097" spans="1:7" ht="17.25" customHeight="1" x14ac:dyDescent="0.2">
      <c r="A2097" s="1611">
        <v>15</v>
      </c>
      <c r="B2097" s="1611" t="s">
        <v>7245</v>
      </c>
      <c r="C2097" s="1611" t="s">
        <v>4342</v>
      </c>
      <c r="D2097" s="1612">
        <v>0</v>
      </c>
      <c r="E2097" s="1706" t="s">
        <v>7592</v>
      </c>
      <c r="F2097" s="1613">
        <v>40800000</v>
      </c>
      <c r="G2097" s="1613">
        <v>85060761545</v>
      </c>
    </row>
    <row r="2098" spans="1:7" ht="17.25" customHeight="1" x14ac:dyDescent="0.2">
      <c r="A2098" s="1611">
        <v>15</v>
      </c>
      <c r="B2098" s="1611" t="s">
        <v>7154</v>
      </c>
      <c r="C2098" s="1611" t="s">
        <v>5071</v>
      </c>
      <c r="D2098" s="1612">
        <v>0</v>
      </c>
      <c r="E2098" s="1706" t="s">
        <v>7592</v>
      </c>
      <c r="F2098" s="1613">
        <v>50454545</v>
      </c>
      <c r="G2098" s="1613">
        <v>85111216090</v>
      </c>
    </row>
    <row r="2099" spans="1:7" ht="17.25" customHeight="1" x14ac:dyDescent="0.2">
      <c r="A2099" s="1611">
        <v>15</v>
      </c>
      <c r="B2099" s="1611" t="s">
        <v>7156</v>
      </c>
      <c r="C2099" s="1611" t="s">
        <v>4666</v>
      </c>
      <c r="D2099" s="1612">
        <v>0</v>
      </c>
      <c r="E2099" s="1706" t="s">
        <v>7592</v>
      </c>
      <c r="F2099" s="1613">
        <v>13600000</v>
      </c>
      <c r="G2099" s="1613">
        <v>85124816090</v>
      </c>
    </row>
    <row r="2100" spans="1:7" ht="17.25" customHeight="1" x14ac:dyDescent="0.2">
      <c r="A2100" s="1611">
        <v>15</v>
      </c>
      <c r="B2100" s="1611" t="s">
        <v>7156</v>
      </c>
      <c r="C2100" s="1611" t="s">
        <v>5072</v>
      </c>
      <c r="D2100" s="1612">
        <v>0</v>
      </c>
      <c r="E2100" s="1706" t="s">
        <v>7592</v>
      </c>
      <c r="F2100" s="1613">
        <v>13200000</v>
      </c>
      <c r="G2100" s="1613">
        <v>85138016090</v>
      </c>
    </row>
    <row r="2101" spans="1:7" ht="17.25" customHeight="1" x14ac:dyDescent="0.2">
      <c r="A2101" s="1611">
        <v>15</v>
      </c>
      <c r="B2101" s="1611" t="s">
        <v>7257</v>
      </c>
      <c r="C2101" s="1611" t="s">
        <v>4767</v>
      </c>
      <c r="D2101" s="1612">
        <v>0</v>
      </c>
      <c r="E2101" s="1706" t="s">
        <v>7592</v>
      </c>
      <c r="F2101" s="1613">
        <v>16164546</v>
      </c>
      <c r="G2101" s="1613">
        <v>85154180636</v>
      </c>
    </row>
    <row r="2102" spans="1:7" ht="17.25" customHeight="1" x14ac:dyDescent="0.2">
      <c r="A2102" s="1611">
        <v>15</v>
      </c>
      <c r="B2102" s="1611" t="s">
        <v>7251</v>
      </c>
      <c r="C2102" s="1611" t="s">
        <v>4235</v>
      </c>
      <c r="D2102" s="1612">
        <v>0</v>
      </c>
      <c r="E2102" s="1706" t="s">
        <v>7592</v>
      </c>
      <c r="F2102" s="1613">
        <v>33200000</v>
      </c>
      <c r="G2102" s="1613">
        <v>85187380636</v>
      </c>
    </row>
    <row r="2103" spans="1:7" ht="17.25" customHeight="1" x14ac:dyDescent="0.2">
      <c r="A2103" s="1611">
        <v>15</v>
      </c>
      <c r="B2103" s="1611" t="s">
        <v>7255</v>
      </c>
      <c r="C2103" s="1611" t="s">
        <v>5073</v>
      </c>
      <c r="D2103" s="1612">
        <v>0</v>
      </c>
      <c r="E2103" s="1706" t="s">
        <v>7592</v>
      </c>
      <c r="F2103" s="1613">
        <v>35000000</v>
      </c>
      <c r="G2103" s="1613">
        <v>85222380636</v>
      </c>
    </row>
    <row r="2104" spans="1:7" ht="17.25" customHeight="1" x14ac:dyDescent="0.2">
      <c r="A2104" s="1611">
        <v>15</v>
      </c>
      <c r="B2104" s="1611" t="s">
        <v>7245</v>
      </c>
      <c r="C2104" s="1611" t="s">
        <v>4584</v>
      </c>
      <c r="D2104" s="1612">
        <v>0</v>
      </c>
      <c r="E2104" s="1706" t="s">
        <v>7592</v>
      </c>
      <c r="F2104" s="1613">
        <v>40909091</v>
      </c>
      <c r="G2104" s="1613">
        <v>85263289727</v>
      </c>
    </row>
    <row r="2105" spans="1:7" ht="17.25" customHeight="1" x14ac:dyDescent="0.2">
      <c r="A2105" s="1611">
        <v>15</v>
      </c>
      <c r="B2105" s="1611" t="s">
        <v>7255</v>
      </c>
      <c r="C2105" s="1611" t="s">
        <v>5074</v>
      </c>
      <c r="D2105" s="1612">
        <v>0</v>
      </c>
      <c r="E2105" s="1706" t="s">
        <v>7592</v>
      </c>
      <c r="F2105" s="1613">
        <v>36409091</v>
      </c>
      <c r="G2105" s="1613">
        <v>85299698818</v>
      </c>
    </row>
    <row r="2106" spans="1:7" ht="17.25" customHeight="1" x14ac:dyDescent="0.2">
      <c r="A2106" s="1611">
        <v>15</v>
      </c>
      <c r="B2106" s="1611" t="s">
        <v>7154</v>
      </c>
      <c r="C2106" s="1611" t="s">
        <v>5075</v>
      </c>
      <c r="D2106" s="1612">
        <v>0</v>
      </c>
      <c r="E2106" s="1706" t="s">
        <v>7592</v>
      </c>
      <c r="F2106" s="1613">
        <v>50500000</v>
      </c>
      <c r="G2106" s="1613">
        <v>85350198818</v>
      </c>
    </row>
    <row r="2107" spans="1:7" ht="17.25" customHeight="1" x14ac:dyDescent="0.2">
      <c r="A2107" s="1611">
        <v>15</v>
      </c>
      <c r="B2107" s="1611" t="s">
        <v>7154</v>
      </c>
      <c r="C2107" s="1611" t="s">
        <v>5076</v>
      </c>
      <c r="D2107" s="1612">
        <v>0</v>
      </c>
      <c r="E2107" s="1706" t="s">
        <v>7592</v>
      </c>
      <c r="F2107" s="1613">
        <v>50909091</v>
      </c>
      <c r="G2107" s="1613">
        <v>85401107909</v>
      </c>
    </row>
    <row r="2108" spans="1:7" ht="17.25" customHeight="1" x14ac:dyDescent="0.2">
      <c r="A2108" s="1611">
        <v>15</v>
      </c>
      <c r="B2108" s="1611" t="s">
        <v>7256</v>
      </c>
      <c r="C2108" s="1611" t="s">
        <v>3882</v>
      </c>
      <c r="D2108" s="1612">
        <v>0</v>
      </c>
      <c r="E2108" s="1706" t="s">
        <v>7592</v>
      </c>
      <c r="F2108" s="1613">
        <v>1754545</v>
      </c>
      <c r="G2108" s="1613">
        <v>85402862454</v>
      </c>
    </row>
    <row r="2109" spans="1:7" ht="17.25" customHeight="1" x14ac:dyDescent="0.2">
      <c r="A2109" s="1611">
        <v>15</v>
      </c>
      <c r="B2109" s="1611" t="s">
        <v>7156</v>
      </c>
      <c r="C2109" s="1611" t="s">
        <v>5077</v>
      </c>
      <c r="D2109" s="1612">
        <v>0</v>
      </c>
      <c r="E2109" s="1706" t="s">
        <v>7592</v>
      </c>
      <c r="F2109" s="1613">
        <v>13363636</v>
      </c>
      <c r="G2109" s="1613">
        <v>85416226090</v>
      </c>
    </row>
    <row r="2110" spans="1:7" ht="17.25" customHeight="1" x14ac:dyDescent="0.2">
      <c r="A2110" s="1611">
        <v>15</v>
      </c>
      <c r="B2110" s="1611" t="s">
        <v>7257</v>
      </c>
      <c r="C2110" s="1611" t="s">
        <v>5078</v>
      </c>
      <c r="D2110" s="1612">
        <v>0</v>
      </c>
      <c r="E2110" s="1706" t="s">
        <v>7592</v>
      </c>
      <c r="F2110" s="1613">
        <v>15160000</v>
      </c>
      <c r="G2110" s="1613">
        <v>85431386090</v>
      </c>
    </row>
    <row r="2111" spans="1:7" ht="17.25" customHeight="1" x14ac:dyDescent="0.2">
      <c r="A2111" s="1611">
        <v>15</v>
      </c>
      <c r="B2111" s="1611" t="s">
        <v>3937</v>
      </c>
      <c r="C2111" s="1611" t="s">
        <v>5079</v>
      </c>
      <c r="D2111" s="1612">
        <v>0</v>
      </c>
      <c r="E2111" s="1706" t="s">
        <v>7592</v>
      </c>
      <c r="F2111" s="1613">
        <v>14650000</v>
      </c>
      <c r="G2111" s="1613">
        <v>85446036090</v>
      </c>
    </row>
    <row r="2112" spans="1:7" ht="17.25" customHeight="1" x14ac:dyDescent="0.2">
      <c r="A2112" s="1611">
        <v>15</v>
      </c>
      <c r="B2112" s="1611" t="s">
        <v>7156</v>
      </c>
      <c r="C2112" s="1611" t="s">
        <v>5080</v>
      </c>
      <c r="D2112" s="1612">
        <v>0</v>
      </c>
      <c r="E2112" s="1706" t="s">
        <v>7592</v>
      </c>
      <c r="F2112" s="1613">
        <v>13535454</v>
      </c>
      <c r="G2112" s="1613">
        <v>85459571544</v>
      </c>
    </row>
    <row r="2113" spans="1:7" ht="17.25" customHeight="1" x14ac:dyDescent="0.2">
      <c r="A2113" s="1611">
        <v>15</v>
      </c>
      <c r="B2113" s="1611" t="s">
        <v>7161</v>
      </c>
      <c r="C2113" s="1611" t="s">
        <v>5081</v>
      </c>
      <c r="D2113" s="1612">
        <v>0</v>
      </c>
      <c r="E2113" s="1706" t="s">
        <v>7592</v>
      </c>
      <c r="F2113" s="1613">
        <v>13200000</v>
      </c>
      <c r="G2113" s="1613">
        <v>85472771544</v>
      </c>
    </row>
    <row r="2114" spans="1:7" ht="17.25" customHeight="1" x14ac:dyDescent="0.2">
      <c r="A2114" s="1611">
        <v>15</v>
      </c>
      <c r="B2114" s="1611" t="s">
        <v>7161</v>
      </c>
      <c r="C2114" s="1611" t="s">
        <v>5082</v>
      </c>
      <c r="D2114" s="1612">
        <v>0</v>
      </c>
      <c r="E2114" s="1706" t="s">
        <v>7592</v>
      </c>
      <c r="F2114" s="1613">
        <v>16353636</v>
      </c>
      <c r="G2114" s="1613">
        <v>85489125180</v>
      </c>
    </row>
    <row r="2115" spans="1:7" ht="17.25" customHeight="1" x14ac:dyDescent="0.2">
      <c r="A2115" s="1611">
        <v>15</v>
      </c>
      <c r="B2115" s="1611" t="s">
        <v>7176</v>
      </c>
      <c r="C2115" s="1611" t="s">
        <v>5083</v>
      </c>
      <c r="D2115" s="1612">
        <v>0</v>
      </c>
      <c r="E2115" s="1706" t="s">
        <v>7592</v>
      </c>
      <c r="F2115" s="1613">
        <v>41000000</v>
      </c>
      <c r="G2115" s="1613">
        <v>85530125180</v>
      </c>
    </row>
    <row r="2116" spans="1:7" ht="17.25" customHeight="1" x14ac:dyDescent="0.2">
      <c r="A2116" s="1611">
        <v>15</v>
      </c>
      <c r="B2116" s="1611" t="s">
        <v>7154</v>
      </c>
      <c r="C2116" s="1611" t="s">
        <v>5084</v>
      </c>
      <c r="D2116" s="1612">
        <v>0</v>
      </c>
      <c r="E2116" s="1706" t="s">
        <v>7592</v>
      </c>
      <c r="F2116" s="1613">
        <v>48050000</v>
      </c>
      <c r="G2116" s="1613">
        <v>85578175180</v>
      </c>
    </row>
    <row r="2117" spans="1:7" ht="17.25" customHeight="1" x14ac:dyDescent="0.2">
      <c r="A2117" s="1611">
        <v>15</v>
      </c>
      <c r="B2117" s="1611" t="s">
        <v>7156</v>
      </c>
      <c r="C2117" s="1611" t="s">
        <v>5085</v>
      </c>
      <c r="D2117" s="1612">
        <v>0</v>
      </c>
      <c r="E2117" s="1706" t="s">
        <v>7592</v>
      </c>
      <c r="F2117" s="1613">
        <v>15000000</v>
      </c>
      <c r="G2117" s="1613">
        <v>85593175180</v>
      </c>
    </row>
    <row r="2118" spans="1:7" ht="17.25" customHeight="1" x14ac:dyDescent="0.2">
      <c r="A2118" s="1611">
        <v>15</v>
      </c>
      <c r="B2118" s="1611" t="s">
        <v>7255</v>
      </c>
      <c r="C2118" s="1611" t="s">
        <v>5086</v>
      </c>
      <c r="D2118" s="1612">
        <v>0</v>
      </c>
      <c r="E2118" s="1706" t="s">
        <v>7592</v>
      </c>
      <c r="F2118" s="1613">
        <v>33000000</v>
      </c>
      <c r="G2118" s="1613">
        <v>85626175180</v>
      </c>
    </row>
    <row r="2119" spans="1:7" ht="17.25" customHeight="1" x14ac:dyDescent="0.2">
      <c r="A2119" s="1611">
        <v>15</v>
      </c>
      <c r="B2119" s="1611" t="s">
        <v>7197</v>
      </c>
      <c r="C2119" s="1611" t="s">
        <v>4064</v>
      </c>
      <c r="D2119" s="1612">
        <v>0</v>
      </c>
      <c r="E2119" s="1612" t="s">
        <v>3295</v>
      </c>
      <c r="F2119" s="1613">
        <v>209150852</v>
      </c>
      <c r="G2119" s="1613">
        <v>85835326032</v>
      </c>
    </row>
    <row r="2120" spans="1:7" ht="17.25" customHeight="1" x14ac:dyDescent="0.2">
      <c r="A2120" s="1611">
        <v>15</v>
      </c>
      <c r="B2120" s="1611" t="s">
        <v>7255</v>
      </c>
      <c r="C2120" s="1611" t="s">
        <v>5087</v>
      </c>
      <c r="D2120" s="1612">
        <v>0</v>
      </c>
      <c r="E2120" s="1706" t="s">
        <v>7592</v>
      </c>
      <c r="F2120" s="1613">
        <v>36818182</v>
      </c>
      <c r="G2120" s="1613">
        <v>85872144214</v>
      </c>
    </row>
    <row r="2121" spans="1:7" ht="17.25" customHeight="1" x14ac:dyDescent="0.2">
      <c r="A2121" s="1611">
        <v>15</v>
      </c>
      <c r="B2121" s="1611" t="s">
        <v>7255</v>
      </c>
      <c r="C2121" s="1611" t="s">
        <v>5088</v>
      </c>
      <c r="D2121" s="1612">
        <v>0</v>
      </c>
      <c r="E2121" s="1706" t="s">
        <v>7592</v>
      </c>
      <c r="F2121" s="1613">
        <v>35000000</v>
      </c>
      <c r="G2121" s="1613">
        <v>85907144214</v>
      </c>
    </row>
    <row r="2122" spans="1:7" ht="17.25" customHeight="1" x14ac:dyDescent="0.2">
      <c r="A2122" s="1611">
        <v>15</v>
      </c>
      <c r="B2122" s="1611" t="s">
        <v>7255</v>
      </c>
      <c r="C2122" s="1611" t="s">
        <v>5089</v>
      </c>
      <c r="D2122" s="1612">
        <v>0</v>
      </c>
      <c r="E2122" s="1706" t="s">
        <v>7592</v>
      </c>
      <c r="F2122" s="1613">
        <v>36363636</v>
      </c>
      <c r="G2122" s="1613">
        <v>85943507850</v>
      </c>
    </row>
    <row r="2123" spans="1:7" ht="17.25" customHeight="1" x14ac:dyDescent="0.2">
      <c r="A2123" s="1611">
        <v>15</v>
      </c>
      <c r="B2123" s="1611" t="s">
        <v>7154</v>
      </c>
      <c r="C2123" s="1611" t="s">
        <v>5090</v>
      </c>
      <c r="D2123" s="1612">
        <v>0</v>
      </c>
      <c r="E2123" s="1706" t="s">
        <v>7592</v>
      </c>
      <c r="F2123" s="1613">
        <v>51500000</v>
      </c>
      <c r="G2123" s="1613">
        <v>85995007850</v>
      </c>
    </row>
    <row r="2124" spans="1:7" ht="17.25" customHeight="1" x14ac:dyDescent="0.2">
      <c r="A2124" s="1611">
        <v>15</v>
      </c>
      <c r="B2124" s="1611" t="s">
        <v>7156</v>
      </c>
      <c r="C2124" s="1611" t="s">
        <v>5091</v>
      </c>
      <c r="D2124" s="1612">
        <v>0</v>
      </c>
      <c r="E2124" s="1706" t="s">
        <v>7592</v>
      </c>
      <c r="F2124" s="1613">
        <v>14300000</v>
      </c>
      <c r="G2124" s="1613">
        <v>86009307850</v>
      </c>
    </row>
    <row r="2125" spans="1:7" ht="17.25" customHeight="1" x14ac:dyDescent="0.2">
      <c r="A2125" s="1611">
        <v>15</v>
      </c>
      <c r="B2125" s="1611" t="s">
        <v>7154</v>
      </c>
      <c r="C2125" s="1611" t="s">
        <v>5092</v>
      </c>
      <c r="D2125" s="1612">
        <v>0</v>
      </c>
      <c r="E2125" s="1706" t="s">
        <v>7592</v>
      </c>
      <c r="F2125" s="1613">
        <v>59933637</v>
      </c>
      <c r="G2125" s="1613">
        <v>86069241487</v>
      </c>
    </row>
    <row r="2126" spans="1:7" ht="17.25" customHeight="1" x14ac:dyDescent="0.2">
      <c r="A2126" s="1611">
        <v>15</v>
      </c>
      <c r="B2126" s="1611" t="s">
        <v>7156</v>
      </c>
      <c r="C2126" s="1611" t="s">
        <v>4074</v>
      </c>
      <c r="D2126" s="1612">
        <v>0</v>
      </c>
      <c r="E2126" s="1706" t="s">
        <v>7592</v>
      </c>
      <c r="F2126" s="1613">
        <v>13600000</v>
      </c>
      <c r="G2126" s="1613">
        <v>86082841487</v>
      </c>
    </row>
    <row r="2127" spans="1:7" ht="17.25" customHeight="1" x14ac:dyDescent="0.2">
      <c r="A2127" s="1611">
        <v>15</v>
      </c>
      <c r="B2127" s="1611" t="s">
        <v>7154</v>
      </c>
      <c r="C2127" s="1611" t="s">
        <v>5093</v>
      </c>
      <c r="D2127" s="1612">
        <v>0</v>
      </c>
      <c r="E2127" s="1706" t="s">
        <v>7592</v>
      </c>
      <c r="F2127" s="1613">
        <v>50136364</v>
      </c>
      <c r="G2127" s="1613">
        <v>86132977851</v>
      </c>
    </row>
    <row r="2128" spans="1:7" ht="17.25" customHeight="1" x14ac:dyDescent="0.2">
      <c r="A2128" s="1611">
        <v>15</v>
      </c>
      <c r="B2128" s="1611" t="s">
        <v>5094</v>
      </c>
      <c r="C2128" s="1611" t="s">
        <v>5051</v>
      </c>
      <c r="D2128" s="1612">
        <v>0</v>
      </c>
      <c r="E2128" s="1706" t="s">
        <v>7592</v>
      </c>
      <c r="F2128" s="1613">
        <v>-15700000</v>
      </c>
      <c r="G2128" s="1613">
        <v>86117277851</v>
      </c>
    </row>
    <row r="2129" spans="1:7" ht="17.25" customHeight="1" x14ac:dyDescent="0.2">
      <c r="A2129" s="1611">
        <v>15</v>
      </c>
      <c r="B2129" s="1611" t="s">
        <v>7203</v>
      </c>
      <c r="C2129" s="1611" t="s">
        <v>4682</v>
      </c>
      <c r="D2129" s="1612">
        <v>0</v>
      </c>
      <c r="E2129" s="1706" t="s">
        <v>7592</v>
      </c>
      <c r="F2129" s="1613">
        <v>73620565</v>
      </c>
      <c r="G2129" s="1613">
        <v>86190898416</v>
      </c>
    </row>
    <row r="2130" spans="1:7" ht="17.25" customHeight="1" x14ac:dyDescent="0.2">
      <c r="A2130" s="1611">
        <v>15</v>
      </c>
      <c r="B2130" s="1611" t="s">
        <v>7156</v>
      </c>
      <c r="C2130" s="1611" t="s">
        <v>5095</v>
      </c>
      <c r="D2130" s="1612">
        <v>0</v>
      </c>
      <c r="E2130" s="1706" t="s">
        <v>7592</v>
      </c>
      <c r="F2130" s="1613">
        <v>42200000</v>
      </c>
      <c r="G2130" s="1613">
        <v>86233098416</v>
      </c>
    </row>
    <row r="2131" spans="1:7" ht="17.25" customHeight="1" x14ac:dyDescent="0.2">
      <c r="A2131" s="1611">
        <v>15</v>
      </c>
      <c r="B2131" s="1611" t="s">
        <v>7255</v>
      </c>
      <c r="C2131" s="1611" t="s">
        <v>5096</v>
      </c>
      <c r="D2131" s="1612">
        <v>0</v>
      </c>
      <c r="E2131" s="1706" t="s">
        <v>7592</v>
      </c>
      <c r="F2131" s="1613">
        <v>34545455</v>
      </c>
      <c r="G2131" s="1613">
        <v>86267643871</v>
      </c>
    </row>
    <row r="2132" spans="1:7" ht="17.25" customHeight="1" x14ac:dyDescent="0.2">
      <c r="A2132" s="1611">
        <v>15</v>
      </c>
      <c r="B2132" s="1611" t="s">
        <v>7258</v>
      </c>
      <c r="C2132" s="1611" t="s">
        <v>4621</v>
      </c>
      <c r="D2132" s="1612">
        <v>0</v>
      </c>
      <c r="E2132" s="1612" t="s">
        <v>3298</v>
      </c>
      <c r="F2132" s="1613">
        <v>481050</v>
      </c>
      <c r="G2132" s="1613">
        <v>86268124921</v>
      </c>
    </row>
    <row r="2133" spans="1:7" ht="17.25" customHeight="1" x14ac:dyDescent="0.2">
      <c r="A2133" s="1611">
        <v>15</v>
      </c>
      <c r="B2133" s="1611" t="s">
        <v>7156</v>
      </c>
      <c r="C2133" s="1611" t="s">
        <v>5097</v>
      </c>
      <c r="D2133" s="1612">
        <v>0</v>
      </c>
      <c r="E2133" s="1706" t="s">
        <v>7592</v>
      </c>
      <c r="F2133" s="1613">
        <v>14000000</v>
      </c>
      <c r="G2133" s="1613">
        <v>86282124921</v>
      </c>
    </row>
    <row r="2134" spans="1:7" ht="17.25" customHeight="1" x14ac:dyDescent="0.2">
      <c r="A2134" s="1611">
        <v>15</v>
      </c>
      <c r="B2134" s="1611" t="s">
        <v>7176</v>
      </c>
      <c r="C2134" s="1611" t="s">
        <v>5098</v>
      </c>
      <c r="D2134" s="1612">
        <v>0</v>
      </c>
      <c r="E2134" s="1706" t="s">
        <v>7592</v>
      </c>
      <c r="F2134" s="1613">
        <v>42000000</v>
      </c>
      <c r="G2134" s="1613">
        <v>86324124921</v>
      </c>
    </row>
    <row r="2135" spans="1:7" ht="17.25" customHeight="1" x14ac:dyDescent="0.2">
      <c r="A2135" s="1611">
        <v>15</v>
      </c>
      <c r="B2135" s="1611" t="s">
        <v>7255</v>
      </c>
      <c r="C2135" s="1611" t="s">
        <v>5099</v>
      </c>
      <c r="D2135" s="1612">
        <v>0</v>
      </c>
      <c r="E2135" s="1706" t="s">
        <v>7592</v>
      </c>
      <c r="F2135" s="1613">
        <v>34000000</v>
      </c>
      <c r="G2135" s="1613">
        <v>86358124921</v>
      </c>
    </row>
    <row r="2136" spans="1:7" ht="17.25" customHeight="1" x14ac:dyDescent="0.2">
      <c r="A2136" s="1611">
        <v>15</v>
      </c>
      <c r="B2136" s="1611" t="s">
        <v>7245</v>
      </c>
      <c r="C2136" s="1611" t="s">
        <v>5100</v>
      </c>
      <c r="D2136" s="1612">
        <v>0</v>
      </c>
      <c r="E2136" s="1706" t="s">
        <v>7592</v>
      </c>
      <c r="F2136" s="1613">
        <v>40500000</v>
      </c>
      <c r="G2136" s="1613">
        <v>86398624921</v>
      </c>
    </row>
    <row r="2137" spans="1:7" ht="17.25" customHeight="1" x14ac:dyDescent="0.2">
      <c r="A2137" s="1611">
        <v>15</v>
      </c>
      <c r="B2137" s="1611" t="s">
        <v>7255</v>
      </c>
      <c r="C2137" s="1611" t="s">
        <v>5101</v>
      </c>
      <c r="D2137" s="1612">
        <v>0</v>
      </c>
      <c r="E2137" s="1706" t="s">
        <v>7592</v>
      </c>
      <c r="F2137" s="1613">
        <v>36700000</v>
      </c>
      <c r="G2137" s="1613">
        <v>86435324921</v>
      </c>
    </row>
    <row r="2138" spans="1:7" ht="17.25" customHeight="1" x14ac:dyDescent="0.2">
      <c r="A2138" s="1611">
        <v>15</v>
      </c>
      <c r="B2138" s="1611" t="s">
        <v>7255</v>
      </c>
      <c r="C2138" s="1611" t="s">
        <v>5102</v>
      </c>
      <c r="D2138" s="1612">
        <v>0</v>
      </c>
      <c r="E2138" s="1706" t="s">
        <v>7592</v>
      </c>
      <c r="F2138" s="1613">
        <v>35500000</v>
      </c>
      <c r="G2138" s="1613">
        <v>86470824921</v>
      </c>
    </row>
    <row r="2139" spans="1:7" ht="17.25" customHeight="1" x14ac:dyDescent="0.2">
      <c r="A2139" s="1611">
        <v>15</v>
      </c>
      <c r="B2139" s="1611" t="s">
        <v>7156</v>
      </c>
      <c r="C2139" s="1611" t="s">
        <v>5077</v>
      </c>
      <c r="D2139" s="1612">
        <v>0</v>
      </c>
      <c r="E2139" s="1706" t="s">
        <v>7592</v>
      </c>
      <c r="F2139" s="1613">
        <v>13363636</v>
      </c>
      <c r="G2139" s="1613">
        <v>86484188557</v>
      </c>
    </row>
    <row r="2140" spans="1:7" ht="17.25" customHeight="1" x14ac:dyDescent="0.2">
      <c r="A2140" s="1611">
        <v>15</v>
      </c>
      <c r="B2140" s="1611" t="s">
        <v>7255</v>
      </c>
      <c r="C2140" s="1611" t="s">
        <v>5103</v>
      </c>
      <c r="D2140" s="1612">
        <v>0</v>
      </c>
      <c r="E2140" s="1706" t="s">
        <v>7592</v>
      </c>
      <c r="F2140" s="1613">
        <v>35500000</v>
      </c>
      <c r="G2140" s="1613">
        <v>86519688557</v>
      </c>
    </row>
    <row r="2141" spans="1:7" ht="17.25" customHeight="1" x14ac:dyDescent="0.2">
      <c r="A2141" s="1611">
        <v>15</v>
      </c>
      <c r="B2141" s="1611" t="s">
        <v>7176</v>
      </c>
      <c r="C2141" s="1611" t="s">
        <v>4290</v>
      </c>
      <c r="D2141" s="1612">
        <v>0</v>
      </c>
      <c r="E2141" s="1706" t="s">
        <v>7592</v>
      </c>
      <c r="F2141" s="1613">
        <v>44545455</v>
      </c>
      <c r="G2141" s="1613">
        <v>86564234012</v>
      </c>
    </row>
    <row r="2142" spans="1:7" ht="17.25" customHeight="1" x14ac:dyDescent="0.2">
      <c r="A2142" s="1611">
        <v>15</v>
      </c>
      <c r="B2142" s="1611" t="s">
        <v>7161</v>
      </c>
      <c r="C2142" s="1611" t="s">
        <v>4509</v>
      </c>
      <c r="D2142" s="1612">
        <v>0</v>
      </c>
      <c r="E2142" s="1706" t="s">
        <v>7592</v>
      </c>
      <c r="F2142" s="1613">
        <v>13200000</v>
      </c>
      <c r="G2142" s="1613">
        <v>86577434012</v>
      </c>
    </row>
    <row r="2143" spans="1:7" ht="17.25" customHeight="1" x14ac:dyDescent="0.2">
      <c r="A2143" s="1611">
        <v>15</v>
      </c>
      <c r="B2143" s="1611" t="s">
        <v>7203</v>
      </c>
      <c r="C2143" s="1611" t="s">
        <v>4142</v>
      </c>
      <c r="D2143" s="1612">
        <v>0</v>
      </c>
      <c r="E2143" s="1706" t="s">
        <v>7592</v>
      </c>
      <c r="F2143" s="1613">
        <v>37000000</v>
      </c>
      <c r="G2143" s="1613">
        <v>86614434012</v>
      </c>
    </row>
    <row r="2144" spans="1:7" ht="17.25" customHeight="1" x14ac:dyDescent="0.2">
      <c r="A2144" s="1611">
        <v>15</v>
      </c>
      <c r="B2144" s="1611" t="s">
        <v>7203</v>
      </c>
      <c r="C2144" s="1611" t="s">
        <v>4534</v>
      </c>
      <c r="D2144" s="1612">
        <v>0</v>
      </c>
      <c r="E2144" s="1706" t="s">
        <v>7592</v>
      </c>
      <c r="F2144" s="1613">
        <v>37000000</v>
      </c>
      <c r="G2144" s="1613">
        <v>86651434012</v>
      </c>
    </row>
    <row r="2145" spans="1:7" ht="17.25" customHeight="1" x14ac:dyDescent="0.2">
      <c r="A2145" s="1611">
        <v>15</v>
      </c>
      <c r="B2145" s="1611" t="s">
        <v>7247</v>
      </c>
      <c r="C2145" s="1611" t="s">
        <v>5104</v>
      </c>
      <c r="D2145" s="1612">
        <v>0</v>
      </c>
      <c r="E2145" s="1706" t="s">
        <v>7592</v>
      </c>
      <c r="F2145" s="1613">
        <v>42545455</v>
      </c>
      <c r="G2145" s="1613">
        <v>86693979467</v>
      </c>
    </row>
    <row r="2146" spans="1:7" ht="17.25" customHeight="1" x14ac:dyDescent="0.2">
      <c r="A2146" s="1611">
        <v>15</v>
      </c>
      <c r="B2146" s="1611" t="s">
        <v>7259</v>
      </c>
      <c r="C2146" s="1611" t="s">
        <v>5105</v>
      </c>
      <c r="D2146" s="1612">
        <v>0</v>
      </c>
      <c r="E2146" s="1706" t="s">
        <v>7592</v>
      </c>
      <c r="F2146" s="1613">
        <v>8400000</v>
      </c>
      <c r="G2146" s="1613">
        <v>86702379467</v>
      </c>
    </row>
    <row r="2147" spans="1:7" ht="17.25" customHeight="1" x14ac:dyDescent="0.2">
      <c r="A2147" s="1611">
        <v>15</v>
      </c>
      <c r="B2147" s="1611" t="s">
        <v>7259</v>
      </c>
      <c r="C2147" s="1611" t="s">
        <v>5105</v>
      </c>
      <c r="D2147" s="1612">
        <v>0</v>
      </c>
      <c r="E2147" s="1706" t="s">
        <v>7592</v>
      </c>
      <c r="F2147" s="1613">
        <v>8400000</v>
      </c>
      <c r="G2147" s="1613">
        <v>86710779467</v>
      </c>
    </row>
    <row r="2148" spans="1:7" ht="17.25" customHeight="1" x14ac:dyDescent="0.2">
      <c r="A2148" s="1611">
        <v>15</v>
      </c>
      <c r="B2148" s="1611" t="s">
        <v>7260</v>
      </c>
      <c r="C2148" s="1611" t="s">
        <v>5105</v>
      </c>
      <c r="D2148" s="1612">
        <v>0</v>
      </c>
      <c r="E2148" s="1706" t="s">
        <v>7592</v>
      </c>
      <c r="F2148" s="1613">
        <v>13300000</v>
      </c>
      <c r="G2148" s="1613">
        <v>86724079467</v>
      </c>
    </row>
    <row r="2149" spans="1:7" ht="17.25" customHeight="1" x14ac:dyDescent="0.2">
      <c r="A2149" s="1611">
        <v>15</v>
      </c>
      <c r="B2149" s="1611" t="s">
        <v>7245</v>
      </c>
      <c r="C2149" s="1611" t="s">
        <v>5106</v>
      </c>
      <c r="D2149" s="1612">
        <v>0</v>
      </c>
      <c r="E2149" s="1706" t="s">
        <v>7592</v>
      </c>
      <c r="F2149" s="1613">
        <v>40000000</v>
      </c>
      <c r="G2149" s="1613">
        <v>86764079467</v>
      </c>
    </row>
    <row r="2150" spans="1:7" ht="17.25" customHeight="1" x14ac:dyDescent="0.2">
      <c r="A2150" s="1611">
        <v>15</v>
      </c>
      <c r="B2150" s="1611" t="s">
        <v>7252</v>
      </c>
      <c r="C2150" s="1611" t="s">
        <v>5107</v>
      </c>
      <c r="D2150" s="1612">
        <v>0</v>
      </c>
      <c r="E2150" s="1706" t="s">
        <v>7592</v>
      </c>
      <c r="F2150" s="1613">
        <v>61000000</v>
      </c>
      <c r="G2150" s="1613">
        <v>86825079467</v>
      </c>
    </row>
    <row r="2151" spans="1:7" ht="17.25" customHeight="1" x14ac:dyDescent="0.2">
      <c r="A2151" s="1611">
        <v>15</v>
      </c>
      <c r="B2151" s="1611" t="s">
        <v>7176</v>
      </c>
      <c r="C2151" s="1611" t="s">
        <v>5108</v>
      </c>
      <c r="D2151" s="1612">
        <v>0</v>
      </c>
      <c r="E2151" s="1706" t="s">
        <v>7592</v>
      </c>
      <c r="F2151" s="1613">
        <v>41500000</v>
      </c>
      <c r="G2151" s="1613">
        <v>86866579467</v>
      </c>
    </row>
    <row r="2152" spans="1:7" ht="17.25" customHeight="1" x14ac:dyDescent="0.2">
      <c r="A2152" s="1611">
        <v>15</v>
      </c>
      <c r="B2152" s="1611" t="s">
        <v>7186</v>
      </c>
      <c r="C2152" s="1611" t="s">
        <v>5109</v>
      </c>
      <c r="D2152" s="1612">
        <v>0</v>
      </c>
      <c r="E2152" s="1706" t="s">
        <v>7592</v>
      </c>
      <c r="F2152" s="1613">
        <v>52200000</v>
      </c>
      <c r="G2152" s="1613">
        <v>86918779467</v>
      </c>
    </row>
    <row r="2153" spans="1:7" ht="17.25" customHeight="1" x14ac:dyDescent="0.2">
      <c r="A2153" s="1611">
        <v>15</v>
      </c>
      <c r="B2153" s="1611" t="s">
        <v>7176</v>
      </c>
      <c r="C2153" s="1611" t="s">
        <v>5110</v>
      </c>
      <c r="D2153" s="1612">
        <v>0</v>
      </c>
      <c r="E2153" s="1706" t="s">
        <v>7592</v>
      </c>
      <c r="F2153" s="1613">
        <v>40500000</v>
      </c>
      <c r="G2153" s="1613">
        <v>86959279467</v>
      </c>
    </row>
    <row r="2154" spans="1:7" ht="17.25" customHeight="1" x14ac:dyDescent="0.2">
      <c r="A2154" s="1611">
        <v>15</v>
      </c>
      <c r="B2154" s="1611" t="s">
        <v>7156</v>
      </c>
      <c r="C2154" s="1611" t="s">
        <v>5111</v>
      </c>
      <c r="D2154" s="1612">
        <v>0</v>
      </c>
      <c r="E2154" s="1706" t="s">
        <v>7592</v>
      </c>
      <c r="F2154" s="1613">
        <v>15145455</v>
      </c>
      <c r="G2154" s="1613">
        <v>86974424922</v>
      </c>
    </row>
    <row r="2155" spans="1:7" ht="17.25" customHeight="1" x14ac:dyDescent="0.2">
      <c r="A2155" s="1611">
        <v>15</v>
      </c>
      <c r="B2155" s="1611" t="s">
        <v>7203</v>
      </c>
      <c r="C2155" s="1611" t="s">
        <v>5112</v>
      </c>
      <c r="D2155" s="1612">
        <v>0</v>
      </c>
      <c r="E2155" s="1706" t="s">
        <v>7592</v>
      </c>
      <c r="F2155" s="1613">
        <v>36636363</v>
      </c>
      <c r="G2155" s="1613">
        <v>87011061285</v>
      </c>
    </row>
    <row r="2156" spans="1:7" ht="17.25" customHeight="1" x14ac:dyDescent="0.2">
      <c r="A2156" s="1611">
        <v>15</v>
      </c>
      <c r="B2156" s="1611" t="s">
        <v>7203</v>
      </c>
      <c r="C2156" s="1611" t="s">
        <v>5113</v>
      </c>
      <c r="D2156" s="1612">
        <v>0</v>
      </c>
      <c r="E2156" s="1706" t="s">
        <v>7592</v>
      </c>
      <c r="F2156" s="1613">
        <v>33000000</v>
      </c>
      <c r="G2156" s="1613">
        <v>87044061285</v>
      </c>
    </row>
    <row r="2157" spans="1:7" ht="17.25" customHeight="1" x14ac:dyDescent="0.2">
      <c r="A2157" s="1611">
        <v>15</v>
      </c>
      <c r="B2157" s="1611" t="s">
        <v>7176</v>
      </c>
      <c r="C2157" s="1611" t="s">
        <v>3775</v>
      </c>
      <c r="D2157" s="1612">
        <v>0</v>
      </c>
      <c r="E2157" s="1706" t="s">
        <v>7592</v>
      </c>
      <c r="F2157" s="1613">
        <v>44181818</v>
      </c>
      <c r="G2157" s="1613">
        <v>87088243103</v>
      </c>
    </row>
    <row r="2158" spans="1:7" ht="17.25" customHeight="1" x14ac:dyDescent="0.2">
      <c r="A2158" s="1611">
        <v>15</v>
      </c>
      <c r="B2158" s="1611" t="s">
        <v>2954</v>
      </c>
      <c r="C2158" s="1611" t="s">
        <v>3939</v>
      </c>
      <c r="D2158" s="1612">
        <v>0</v>
      </c>
      <c r="E2158" s="1706" t="s">
        <v>7592</v>
      </c>
      <c r="F2158" s="1613">
        <v>13800000</v>
      </c>
      <c r="G2158" s="1613">
        <v>87102043103</v>
      </c>
    </row>
    <row r="2159" spans="1:7" ht="17.25" customHeight="1" x14ac:dyDescent="0.2">
      <c r="A2159" s="1611">
        <v>15</v>
      </c>
      <c r="B2159" s="1611" t="s">
        <v>7251</v>
      </c>
      <c r="C2159" s="1611" t="s">
        <v>3719</v>
      </c>
      <c r="D2159" s="1612">
        <v>0</v>
      </c>
      <c r="E2159" s="1706" t="s">
        <v>7592</v>
      </c>
      <c r="F2159" s="1613">
        <v>32300000</v>
      </c>
      <c r="G2159" s="1613">
        <v>87134343103</v>
      </c>
    </row>
    <row r="2160" spans="1:7" ht="17.25" customHeight="1" x14ac:dyDescent="0.2">
      <c r="A2160" s="1611">
        <v>15</v>
      </c>
      <c r="B2160" s="1611" t="s">
        <v>7251</v>
      </c>
      <c r="C2160" s="1611" t="s">
        <v>3719</v>
      </c>
      <c r="D2160" s="1612">
        <v>0</v>
      </c>
      <c r="E2160" s="1706" t="s">
        <v>7592</v>
      </c>
      <c r="F2160" s="1613">
        <v>32300000</v>
      </c>
      <c r="G2160" s="1613">
        <v>87166643103</v>
      </c>
    </row>
    <row r="2161" spans="1:7" ht="17.25" customHeight="1" x14ac:dyDescent="0.2">
      <c r="A2161" s="1611">
        <v>15</v>
      </c>
      <c r="B2161" s="1611" t="s">
        <v>7251</v>
      </c>
      <c r="C2161" s="1611" t="s">
        <v>5114</v>
      </c>
      <c r="D2161" s="1612">
        <v>0</v>
      </c>
      <c r="E2161" s="1706" t="s">
        <v>7592</v>
      </c>
      <c r="F2161" s="1613">
        <v>32300000</v>
      </c>
      <c r="G2161" s="1613">
        <v>87198943103</v>
      </c>
    </row>
    <row r="2162" spans="1:7" ht="17.25" customHeight="1" x14ac:dyDescent="0.2">
      <c r="A2162" s="1611">
        <v>15</v>
      </c>
      <c r="B2162" s="1611" t="s">
        <v>7156</v>
      </c>
      <c r="C2162" s="1611" t="s">
        <v>5115</v>
      </c>
      <c r="D2162" s="1612">
        <v>0</v>
      </c>
      <c r="E2162" s="1706" t="s">
        <v>7592</v>
      </c>
      <c r="F2162" s="1613">
        <v>14727272</v>
      </c>
      <c r="G2162" s="1613">
        <v>87213670375</v>
      </c>
    </row>
    <row r="2163" spans="1:7" ht="17.25" customHeight="1" x14ac:dyDescent="0.2">
      <c r="A2163" s="1611">
        <v>15</v>
      </c>
      <c r="B2163" s="1611" t="s">
        <v>7261</v>
      </c>
      <c r="C2163" s="1611" t="s">
        <v>5116</v>
      </c>
      <c r="D2163" s="1612">
        <v>0</v>
      </c>
      <c r="E2163" s="1706" t="s">
        <v>7592</v>
      </c>
      <c r="F2163" s="1613">
        <v>90363637</v>
      </c>
      <c r="G2163" s="1613">
        <v>87304034012</v>
      </c>
    </row>
    <row r="2164" spans="1:7" ht="17.25" customHeight="1" x14ac:dyDescent="0.2">
      <c r="A2164" s="1611">
        <v>15</v>
      </c>
      <c r="B2164" s="1611" t="s">
        <v>7203</v>
      </c>
      <c r="C2164" s="1611" t="s">
        <v>5117</v>
      </c>
      <c r="D2164" s="1612">
        <v>0</v>
      </c>
      <c r="E2164" s="1706" t="s">
        <v>7592</v>
      </c>
      <c r="F2164" s="1613">
        <v>35800000</v>
      </c>
      <c r="G2164" s="1613">
        <v>87339834012</v>
      </c>
    </row>
    <row r="2165" spans="1:7" ht="17.25" customHeight="1" x14ac:dyDescent="0.2">
      <c r="A2165" s="1611">
        <v>15</v>
      </c>
      <c r="B2165" s="1611" t="s">
        <v>7176</v>
      </c>
      <c r="C2165" s="1611" t="s">
        <v>5030</v>
      </c>
      <c r="D2165" s="1612">
        <v>0</v>
      </c>
      <c r="E2165" s="1706" t="s">
        <v>7592</v>
      </c>
      <c r="F2165" s="1613">
        <v>43636363</v>
      </c>
      <c r="G2165" s="1613">
        <v>87383470375</v>
      </c>
    </row>
    <row r="2166" spans="1:7" ht="17.25" customHeight="1" x14ac:dyDescent="0.2">
      <c r="A2166" s="1611">
        <v>15</v>
      </c>
      <c r="B2166" s="1611" t="s">
        <v>7176</v>
      </c>
      <c r="C2166" s="1611" t="s">
        <v>5118</v>
      </c>
      <c r="D2166" s="1612">
        <v>0</v>
      </c>
      <c r="E2166" s="1706" t="s">
        <v>7592</v>
      </c>
      <c r="F2166" s="1613">
        <v>40000000</v>
      </c>
      <c r="G2166" s="1613">
        <v>87423470375</v>
      </c>
    </row>
    <row r="2167" spans="1:7" ht="17.25" customHeight="1" x14ac:dyDescent="0.2">
      <c r="A2167" s="1611">
        <v>15</v>
      </c>
      <c r="B2167" s="1611" t="s">
        <v>7203</v>
      </c>
      <c r="C2167" s="1611" t="s">
        <v>5118</v>
      </c>
      <c r="D2167" s="1612">
        <v>0</v>
      </c>
      <c r="E2167" s="1706" t="s">
        <v>7592</v>
      </c>
      <c r="F2167" s="1613">
        <v>33500000</v>
      </c>
      <c r="G2167" s="1613">
        <v>87456970375</v>
      </c>
    </row>
    <row r="2168" spans="1:7" ht="17.25" customHeight="1" x14ac:dyDescent="0.2">
      <c r="A2168" s="1611">
        <v>15</v>
      </c>
      <c r="B2168" s="1611" t="s">
        <v>7161</v>
      </c>
      <c r="C2168" s="1611" t="s">
        <v>5119</v>
      </c>
      <c r="D2168" s="1612">
        <v>0</v>
      </c>
      <c r="E2168" s="1706" t="s">
        <v>7592</v>
      </c>
      <c r="F2168" s="1613">
        <v>13700000</v>
      </c>
      <c r="G2168" s="1613">
        <v>87470670375</v>
      </c>
    </row>
    <row r="2169" spans="1:7" ht="17.25" customHeight="1" x14ac:dyDescent="0.2">
      <c r="A2169" s="1611">
        <v>15</v>
      </c>
      <c r="B2169" s="1611" t="s">
        <v>7203</v>
      </c>
      <c r="C2169" s="1611" t="s">
        <v>4577</v>
      </c>
      <c r="D2169" s="1612">
        <v>0</v>
      </c>
      <c r="E2169" s="1706" t="s">
        <v>7592</v>
      </c>
      <c r="F2169" s="1613">
        <v>36720000</v>
      </c>
      <c r="G2169" s="1613">
        <v>87507390375</v>
      </c>
    </row>
    <row r="2170" spans="1:7" ht="17.25" customHeight="1" x14ac:dyDescent="0.2">
      <c r="A2170" s="1611">
        <v>15</v>
      </c>
      <c r="B2170" s="1611" t="s">
        <v>7186</v>
      </c>
      <c r="C2170" s="1611" t="s">
        <v>5120</v>
      </c>
      <c r="D2170" s="1612">
        <v>0</v>
      </c>
      <c r="E2170" s="1706" t="s">
        <v>7592</v>
      </c>
      <c r="F2170" s="1613">
        <v>52400000</v>
      </c>
      <c r="G2170" s="1613">
        <v>87559790375</v>
      </c>
    </row>
    <row r="2171" spans="1:7" ht="17.25" customHeight="1" x14ac:dyDescent="0.2">
      <c r="A2171" s="1611">
        <v>15</v>
      </c>
      <c r="B2171" s="1611" t="s">
        <v>7156</v>
      </c>
      <c r="C2171" s="1611" t="s">
        <v>5121</v>
      </c>
      <c r="D2171" s="1612">
        <v>0</v>
      </c>
      <c r="E2171" s="1706" t="s">
        <v>7592</v>
      </c>
      <c r="F2171" s="1613">
        <v>13800000</v>
      </c>
      <c r="G2171" s="1613">
        <v>87573590375</v>
      </c>
    </row>
    <row r="2172" spans="1:7" ht="17.25" customHeight="1" x14ac:dyDescent="0.2">
      <c r="A2172" s="1611">
        <v>15</v>
      </c>
      <c r="B2172" s="1611" t="s">
        <v>7156</v>
      </c>
      <c r="C2172" s="1611" t="s">
        <v>5122</v>
      </c>
      <c r="D2172" s="1612">
        <v>0</v>
      </c>
      <c r="E2172" s="1706" t="s">
        <v>7592</v>
      </c>
      <c r="F2172" s="1613">
        <v>30072728</v>
      </c>
      <c r="G2172" s="1613">
        <v>87603663103</v>
      </c>
    </row>
    <row r="2173" spans="1:7" ht="17.25" customHeight="1" x14ac:dyDescent="0.2">
      <c r="A2173" s="1611">
        <v>15</v>
      </c>
      <c r="B2173" s="1611" t="s">
        <v>7262</v>
      </c>
      <c r="C2173" s="1611" t="s">
        <v>5123</v>
      </c>
      <c r="D2173" s="1612">
        <v>0</v>
      </c>
      <c r="E2173" s="1706" t="s">
        <v>7592</v>
      </c>
      <c r="F2173" s="1613">
        <v>2000000</v>
      </c>
      <c r="G2173" s="1613">
        <v>87605663103</v>
      </c>
    </row>
    <row r="2174" spans="1:7" ht="17.25" customHeight="1" x14ac:dyDescent="0.2">
      <c r="A2174" s="1611">
        <v>15</v>
      </c>
      <c r="B2174" s="1611" t="s">
        <v>7176</v>
      </c>
      <c r="C2174" s="1611" t="s">
        <v>5123</v>
      </c>
      <c r="D2174" s="1612">
        <v>0</v>
      </c>
      <c r="E2174" s="1706" t="s">
        <v>7592</v>
      </c>
      <c r="F2174" s="1613">
        <v>46390910</v>
      </c>
      <c r="G2174" s="1613">
        <v>87652054013</v>
      </c>
    </row>
    <row r="2175" spans="1:7" ht="17.25" customHeight="1" x14ac:dyDescent="0.2">
      <c r="A2175" s="1611">
        <v>15</v>
      </c>
      <c r="B2175" s="1611" t="s">
        <v>7263</v>
      </c>
      <c r="C2175" s="1611" t="s">
        <v>4598</v>
      </c>
      <c r="D2175" s="1612">
        <v>0</v>
      </c>
      <c r="E2175" s="1706" t="s">
        <v>7592</v>
      </c>
      <c r="F2175" s="1613">
        <v>2958182</v>
      </c>
      <c r="G2175" s="1613">
        <v>87655012195</v>
      </c>
    </row>
    <row r="2176" spans="1:7" ht="17.25" customHeight="1" x14ac:dyDescent="0.2">
      <c r="A2176" s="1611">
        <v>15</v>
      </c>
      <c r="B2176" s="1611" t="s">
        <v>7264</v>
      </c>
      <c r="C2176" s="1611" t="s">
        <v>5124</v>
      </c>
      <c r="D2176" s="1612">
        <v>0</v>
      </c>
      <c r="E2176" s="1706" t="s">
        <v>7592</v>
      </c>
      <c r="F2176" s="1613">
        <v>5400000</v>
      </c>
      <c r="G2176" s="1613">
        <v>87660412195</v>
      </c>
    </row>
    <row r="2177" spans="1:7" ht="17.25" customHeight="1" x14ac:dyDescent="0.2">
      <c r="A2177" s="1611">
        <v>15</v>
      </c>
      <c r="B2177" s="1611" t="s">
        <v>5125</v>
      </c>
      <c r="C2177" s="1611" t="s">
        <v>4015</v>
      </c>
      <c r="D2177" s="1612">
        <v>0</v>
      </c>
      <c r="E2177" s="1706" t="s">
        <v>7592</v>
      </c>
      <c r="F2177" s="1613">
        <v>1305639000</v>
      </c>
      <c r="G2177" s="1613">
        <v>88966051195</v>
      </c>
    </row>
    <row r="2178" spans="1:7" ht="17.25" customHeight="1" x14ac:dyDescent="0.2">
      <c r="A2178" s="1611">
        <v>15</v>
      </c>
      <c r="B2178" s="1611" t="s">
        <v>7161</v>
      </c>
      <c r="C2178" s="1611" t="s">
        <v>5126</v>
      </c>
      <c r="D2178" s="1612">
        <v>0</v>
      </c>
      <c r="E2178" s="1706" t="s">
        <v>7592</v>
      </c>
      <c r="F2178" s="1613">
        <v>13200000</v>
      </c>
      <c r="G2178" s="1613">
        <v>88979251195</v>
      </c>
    </row>
    <row r="2179" spans="1:7" ht="17.25" customHeight="1" x14ac:dyDescent="0.2">
      <c r="A2179" s="1611">
        <v>15</v>
      </c>
      <c r="B2179" s="1611" t="s">
        <v>7265</v>
      </c>
      <c r="C2179" s="1611" t="s">
        <v>5127</v>
      </c>
      <c r="D2179" s="1612">
        <v>0</v>
      </c>
      <c r="E2179" s="1706" t="s">
        <v>7592</v>
      </c>
      <c r="F2179" s="1613">
        <v>48045455</v>
      </c>
      <c r="G2179" s="1613">
        <v>89027296650</v>
      </c>
    </row>
    <row r="2180" spans="1:7" ht="17.25" customHeight="1" x14ac:dyDescent="0.2">
      <c r="A2180" s="1611">
        <v>15</v>
      </c>
      <c r="B2180" s="1611" t="s">
        <v>7203</v>
      </c>
      <c r="C2180" s="1611" t="s">
        <v>4598</v>
      </c>
      <c r="D2180" s="1612">
        <v>0</v>
      </c>
      <c r="E2180" s="1706" t="s">
        <v>7592</v>
      </c>
      <c r="F2180" s="1613">
        <v>37272728</v>
      </c>
      <c r="G2180" s="1613">
        <v>89064569378</v>
      </c>
    </row>
    <row r="2181" spans="1:7" ht="17.25" customHeight="1" x14ac:dyDescent="0.2">
      <c r="A2181" s="1611">
        <v>15</v>
      </c>
      <c r="B2181" s="1611" t="s">
        <v>7266</v>
      </c>
      <c r="C2181" s="1611" t="s">
        <v>5128</v>
      </c>
      <c r="D2181" s="1612">
        <v>0</v>
      </c>
      <c r="E2181" s="1706" t="s">
        <v>7592</v>
      </c>
      <c r="F2181" s="1613">
        <v>3600000</v>
      </c>
      <c r="G2181" s="1613">
        <v>89068169378</v>
      </c>
    </row>
    <row r="2182" spans="1:7" ht="17.25" customHeight="1" x14ac:dyDescent="0.2">
      <c r="A2182" s="1611">
        <v>15</v>
      </c>
      <c r="B2182" s="1611" t="s">
        <v>7203</v>
      </c>
      <c r="C2182" s="1611" t="s">
        <v>5129</v>
      </c>
      <c r="D2182" s="1612">
        <v>0</v>
      </c>
      <c r="E2182" s="1706" t="s">
        <v>7592</v>
      </c>
      <c r="F2182" s="1613">
        <v>33636363</v>
      </c>
      <c r="G2182" s="1613">
        <v>89101805741</v>
      </c>
    </row>
    <row r="2183" spans="1:7" ht="17.25" customHeight="1" x14ac:dyDescent="0.2">
      <c r="A2183" s="1611">
        <v>15</v>
      </c>
      <c r="B2183" s="1611" t="s">
        <v>7156</v>
      </c>
      <c r="C2183" s="1611" t="s">
        <v>5130</v>
      </c>
      <c r="D2183" s="1612">
        <v>0</v>
      </c>
      <c r="E2183" s="1706" t="s">
        <v>7592</v>
      </c>
      <c r="F2183" s="1613">
        <v>16435455</v>
      </c>
      <c r="G2183" s="1613">
        <v>89118241196</v>
      </c>
    </row>
    <row r="2184" spans="1:7" ht="17.25" customHeight="1" x14ac:dyDescent="0.2">
      <c r="A2184" s="1611">
        <v>15</v>
      </c>
      <c r="B2184" s="1611" t="s">
        <v>7154</v>
      </c>
      <c r="C2184" s="1611" t="s">
        <v>5124</v>
      </c>
      <c r="D2184" s="1612">
        <v>0</v>
      </c>
      <c r="E2184" s="1706" t="s">
        <v>7592</v>
      </c>
      <c r="F2184" s="1613">
        <v>50736364</v>
      </c>
      <c r="G2184" s="1613">
        <v>89168977560</v>
      </c>
    </row>
    <row r="2185" spans="1:7" ht="17.25" customHeight="1" x14ac:dyDescent="0.2">
      <c r="A2185" s="1611">
        <v>15</v>
      </c>
      <c r="B2185" s="1611" t="s">
        <v>7257</v>
      </c>
      <c r="C2185" s="1611" t="s">
        <v>5131</v>
      </c>
      <c r="D2185" s="1612">
        <v>0</v>
      </c>
      <c r="E2185" s="1706" t="s">
        <v>7592</v>
      </c>
      <c r="F2185" s="1613">
        <v>13818182</v>
      </c>
      <c r="G2185" s="1613">
        <v>89182795742</v>
      </c>
    </row>
    <row r="2186" spans="1:7" ht="17.25" customHeight="1" x14ac:dyDescent="0.2">
      <c r="A2186" s="1611">
        <v>15</v>
      </c>
      <c r="B2186" s="1611" t="s">
        <v>7257</v>
      </c>
      <c r="C2186" s="1611" t="s">
        <v>4498</v>
      </c>
      <c r="D2186" s="1612">
        <v>0</v>
      </c>
      <c r="E2186" s="1706" t="s">
        <v>7592</v>
      </c>
      <c r="F2186" s="1613">
        <v>11500000</v>
      </c>
      <c r="G2186" s="1613">
        <v>89194295742</v>
      </c>
    </row>
    <row r="2187" spans="1:7" ht="17.25" customHeight="1" x14ac:dyDescent="0.2">
      <c r="A2187" s="1611">
        <v>15</v>
      </c>
      <c r="B2187" s="1611" t="s">
        <v>7203</v>
      </c>
      <c r="C2187" s="1611" t="s">
        <v>5132</v>
      </c>
      <c r="D2187" s="1612">
        <v>0</v>
      </c>
      <c r="E2187" s="1706" t="s">
        <v>7592</v>
      </c>
      <c r="F2187" s="1613">
        <v>34500000</v>
      </c>
      <c r="G2187" s="1613">
        <v>89228795742</v>
      </c>
    </row>
    <row r="2188" spans="1:7" ht="17.25" customHeight="1" x14ac:dyDescent="0.2">
      <c r="A2188" s="1611">
        <v>15</v>
      </c>
      <c r="B2188" s="1611" t="s">
        <v>7203</v>
      </c>
      <c r="C2188" s="1611" t="s">
        <v>4377</v>
      </c>
      <c r="D2188" s="1612">
        <v>0</v>
      </c>
      <c r="E2188" s="1706" t="s">
        <v>7592</v>
      </c>
      <c r="F2188" s="1613">
        <v>34545455</v>
      </c>
      <c r="G2188" s="1613">
        <v>89263341197</v>
      </c>
    </row>
    <row r="2189" spans="1:7" ht="17.25" customHeight="1" x14ac:dyDescent="0.2">
      <c r="A2189" s="1611">
        <v>15</v>
      </c>
      <c r="B2189" s="1611" t="s">
        <v>7161</v>
      </c>
      <c r="C2189" s="1611" t="s">
        <v>5133</v>
      </c>
      <c r="D2189" s="1612">
        <v>0</v>
      </c>
      <c r="E2189" s="1706" t="s">
        <v>7592</v>
      </c>
      <c r="F2189" s="1613">
        <v>12000000</v>
      </c>
      <c r="G2189" s="1613">
        <v>89275341197</v>
      </c>
    </row>
    <row r="2190" spans="1:7" ht="17.25" customHeight="1" x14ac:dyDescent="0.2">
      <c r="A2190" s="1611">
        <v>15</v>
      </c>
      <c r="B2190" s="1611" t="s">
        <v>7267</v>
      </c>
      <c r="C2190" s="1611" t="s">
        <v>3874</v>
      </c>
      <c r="D2190" s="1612">
        <v>0</v>
      </c>
      <c r="E2190" s="1706" t="s">
        <v>7592</v>
      </c>
      <c r="F2190" s="1613">
        <v>41490000</v>
      </c>
      <c r="G2190" s="1613">
        <v>89316831197</v>
      </c>
    </row>
    <row r="2191" spans="1:7" ht="17.25" customHeight="1" x14ac:dyDescent="0.2">
      <c r="A2191" s="1611">
        <v>15</v>
      </c>
      <c r="B2191" s="1611" t="s">
        <v>7154</v>
      </c>
      <c r="C2191" s="1611" t="s">
        <v>4548</v>
      </c>
      <c r="D2191" s="1612">
        <v>0</v>
      </c>
      <c r="E2191" s="1706" t="s">
        <v>7592</v>
      </c>
      <c r="F2191" s="1613">
        <v>50736364</v>
      </c>
      <c r="G2191" s="1613">
        <v>89367567561</v>
      </c>
    </row>
    <row r="2192" spans="1:7" ht="17.25" customHeight="1" x14ac:dyDescent="0.2">
      <c r="A2192" s="1611">
        <v>15</v>
      </c>
      <c r="B2192" s="1611" t="s">
        <v>7268</v>
      </c>
      <c r="C2192" s="1611" t="s">
        <v>4548</v>
      </c>
      <c r="D2192" s="1612">
        <v>0</v>
      </c>
      <c r="E2192" s="1706" t="s">
        <v>7592</v>
      </c>
      <c r="F2192" s="1613">
        <v>2116364</v>
      </c>
      <c r="G2192" s="1613">
        <v>89369683925</v>
      </c>
    </row>
    <row r="2193" spans="1:7" ht="17.25" customHeight="1" x14ac:dyDescent="0.2">
      <c r="A2193" s="1611">
        <v>15</v>
      </c>
      <c r="B2193" s="1611" t="s">
        <v>5134</v>
      </c>
      <c r="C2193" s="1611" t="s">
        <v>214</v>
      </c>
      <c r="D2193" s="1612">
        <v>0</v>
      </c>
      <c r="E2193" s="1706" t="s">
        <v>7592</v>
      </c>
      <c r="F2193" s="1613">
        <v>43641000</v>
      </c>
      <c r="G2193" s="1613">
        <v>89413324925</v>
      </c>
    </row>
    <row r="2194" spans="1:7" ht="17.25" customHeight="1" x14ac:dyDescent="0.2">
      <c r="A2194" s="1611">
        <v>15</v>
      </c>
      <c r="B2194" s="1611" t="s">
        <v>7252</v>
      </c>
      <c r="C2194" s="1611" t="s">
        <v>5135</v>
      </c>
      <c r="D2194" s="1612">
        <v>0</v>
      </c>
      <c r="E2194" s="1706" t="s">
        <v>7592</v>
      </c>
      <c r="F2194" s="1613">
        <v>65000000</v>
      </c>
      <c r="G2194" s="1613">
        <v>89478324925</v>
      </c>
    </row>
    <row r="2195" spans="1:7" ht="17.25" customHeight="1" x14ac:dyDescent="0.2">
      <c r="A2195" s="1611">
        <v>15</v>
      </c>
      <c r="B2195" s="1611" t="s">
        <v>7176</v>
      </c>
      <c r="C2195" s="1611" t="s">
        <v>5136</v>
      </c>
      <c r="D2195" s="1612">
        <v>0</v>
      </c>
      <c r="E2195" s="1706" t="s">
        <v>7592</v>
      </c>
      <c r="F2195" s="1613">
        <v>40909090</v>
      </c>
      <c r="G2195" s="1613">
        <v>89519234015</v>
      </c>
    </row>
    <row r="2196" spans="1:7" ht="17.25" customHeight="1" x14ac:dyDescent="0.2">
      <c r="A2196" s="1611">
        <v>15</v>
      </c>
      <c r="B2196" s="1611" t="s">
        <v>7269</v>
      </c>
      <c r="C2196" s="1611" t="s">
        <v>4188</v>
      </c>
      <c r="D2196" s="1612">
        <v>0</v>
      </c>
      <c r="E2196" s="1706" t="s">
        <v>7592</v>
      </c>
      <c r="F2196" s="1613">
        <v>9711450</v>
      </c>
      <c r="G2196" s="1613">
        <v>89528945465</v>
      </c>
    </row>
    <row r="2197" spans="1:7" ht="17.25" customHeight="1" x14ac:dyDescent="0.2">
      <c r="A2197" s="1611">
        <v>15</v>
      </c>
      <c r="B2197" s="1611" t="s">
        <v>2954</v>
      </c>
      <c r="C2197" s="1611" t="s">
        <v>5137</v>
      </c>
      <c r="D2197" s="1612">
        <v>0</v>
      </c>
      <c r="E2197" s="1706" t="s">
        <v>7592</v>
      </c>
      <c r="F2197" s="1613">
        <v>14000000</v>
      </c>
      <c r="G2197" s="1613">
        <v>89542945465</v>
      </c>
    </row>
    <row r="2198" spans="1:7" ht="17.25" customHeight="1" x14ac:dyDescent="0.2">
      <c r="A2198" s="1611">
        <v>15</v>
      </c>
      <c r="B2198" s="1611" t="s">
        <v>7156</v>
      </c>
      <c r="C2198" s="1611" t="s">
        <v>5138</v>
      </c>
      <c r="D2198" s="1612">
        <v>0</v>
      </c>
      <c r="E2198" s="1706" t="s">
        <v>7592</v>
      </c>
      <c r="F2198" s="1613">
        <v>14000000</v>
      </c>
      <c r="G2198" s="1613">
        <v>89556945465</v>
      </c>
    </row>
    <row r="2199" spans="1:7" ht="17.25" customHeight="1" x14ac:dyDescent="0.2">
      <c r="A2199" s="1611">
        <v>15</v>
      </c>
      <c r="B2199" s="1611" t="s">
        <v>7251</v>
      </c>
      <c r="C2199" s="1611" t="s">
        <v>5139</v>
      </c>
      <c r="D2199" s="1612">
        <v>0</v>
      </c>
      <c r="E2199" s="1706" t="s">
        <v>7592</v>
      </c>
      <c r="F2199" s="1613">
        <v>33500000</v>
      </c>
      <c r="G2199" s="1613">
        <v>89590445465</v>
      </c>
    </row>
    <row r="2200" spans="1:7" ht="17.25" customHeight="1" x14ac:dyDescent="0.2">
      <c r="A2200" s="1611">
        <v>15</v>
      </c>
      <c r="B2200" s="1611" t="s">
        <v>7203</v>
      </c>
      <c r="C2200" s="1611" t="s">
        <v>4932</v>
      </c>
      <c r="D2200" s="1612">
        <v>0</v>
      </c>
      <c r="E2200" s="1706" t="s">
        <v>7592</v>
      </c>
      <c r="F2200" s="1613">
        <v>34000000</v>
      </c>
      <c r="G2200" s="1613">
        <v>89624445465</v>
      </c>
    </row>
    <row r="2201" spans="1:7" ht="17.25" customHeight="1" x14ac:dyDescent="0.2">
      <c r="A2201" s="1611">
        <v>15</v>
      </c>
      <c r="B2201" s="1611" t="s">
        <v>7247</v>
      </c>
      <c r="C2201" s="1611" t="s">
        <v>5140</v>
      </c>
      <c r="D2201" s="1612">
        <v>0</v>
      </c>
      <c r="E2201" s="1706" t="s">
        <v>7592</v>
      </c>
      <c r="F2201" s="1613">
        <v>40909090</v>
      </c>
      <c r="G2201" s="1613">
        <v>89665354555</v>
      </c>
    </row>
    <row r="2202" spans="1:7" ht="17.25" customHeight="1" x14ac:dyDescent="0.2">
      <c r="A2202" s="1611">
        <v>15</v>
      </c>
      <c r="B2202" s="1611" t="s">
        <v>7156</v>
      </c>
      <c r="C2202" s="1611" t="s">
        <v>5141</v>
      </c>
      <c r="D2202" s="1612">
        <v>0</v>
      </c>
      <c r="E2202" s="1706" t="s">
        <v>7592</v>
      </c>
      <c r="F2202" s="1613">
        <v>14200000</v>
      </c>
      <c r="G2202" s="1613">
        <v>89679554555</v>
      </c>
    </row>
    <row r="2203" spans="1:7" ht="17.25" customHeight="1" x14ac:dyDescent="0.2">
      <c r="A2203" s="1611">
        <v>15</v>
      </c>
      <c r="B2203" s="1611" t="s">
        <v>7270</v>
      </c>
      <c r="C2203" s="1611" t="s">
        <v>5142</v>
      </c>
      <c r="D2203" s="1612">
        <v>0</v>
      </c>
      <c r="E2203" s="1706" t="s">
        <v>7592</v>
      </c>
      <c r="F2203" s="1613">
        <v>1527273</v>
      </c>
      <c r="G2203" s="1613">
        <v>89681081828</v>
      </c>
    </row>
    <row r="2204" spans="1:7" ht="17.25" customHeight="1" x14ac:dyDescent="0.2">
      <c r="A2204" s="1611">
        <v>15</v>
      </c>
      <c r="B2204" s="1611" t="s">
        <v>7203</v>
      </c>
      <c r="C2204" s="1611" t="s">
        <v>5143</v>
      </c>
      <c r="D2204" s="1612">
        <v>0</v>
      </c>
      <c r="E2204" s="1706" t="s">
        <v>7592</v>
      </c>
      <c r="F2204" s="1613">
        <v>35454545</v>
      </c>
      <c r="G2204" s="1613">
        <v>89716536373</v>
      </c>
    </row>
    <row r="2205" spans="1:7" ht="17.25" customHeight="1" x14ac:dyDescent="0.2">
      <c r="A2205" s="1611">
        <v>15</v>
      </c>
      <c r="B2205" s="1611" t="s">
        <v>7156</v>
      </c>
      <c r="C2205" s="1611" t="s">
        <v>5142</v>
      </c>
      <c r="D2205" s="1612">
        <v>0</v>
      </c>
      <c r="E2205" s="1706" t="s">
        <v>7592</v>
      </c>
      <c r="F2205" s="1613">
        <v>30072728</v>
      </c>
      <c r="G2205" s="1613">
        <v>89746609101</v>
      </c>
    </row>
    <row r="2206" spans="1:7" ht="17.25" customHeight="1" x14ac:dyDescent="0.2">
      <c r="A2206" s="1611">
        <v>15</v>
      </c>
      <c r="B2206" s="1611" t="s">
        <v>7271</v>
      </c>
      <c r="C2206" s="1611" t="s">
        <v>7577</v>
      </c>
      <c r="D2206" s="1612">
        <v>0</v>
      </c>
      <c r="E2206" s="1706" t="s">
        <v>7578</v>
      </c>
      <c r="F2206" s="1613">
        <v>45067610</v>
      </c>
      <c r="G2206" s="1613">
        <v>89791676711</v>
      </c>
    </row>
    <row r="2207" spans="1:7" ht="17.25" customHeight="1" x14ac:dyDescent="0.2">
      <c r="A2207" s="1611">
        <v>15</v>
      </c>
      <c r="B2207" s="1611" t="s">
        <v>7261</v>
      </c>
      <c r="C2207" s="1611" t="s">
        <v>5144</v>
      </c>
      <c r="D2207" s="1612">
        <v>0</v>
      </c>
      <c r="E2207" s="1706" t="s">
        <v>7592</v>
      </c>
      <c r="F2207" s="1613">
        <v>138950000</v>
      </c>
      <c r="G2207" s="1613">
        <v>89930626711</v>
      </c>
    </row>
    <row r="2208" spans="1:7" ht="17.25" customHeight="1" x14ac:dyDescent="0.2">
      <c r="A2208" s="1611">
        <v>15</v>
      </c>
      <c r="B2208" s="1611" t="s">
        <v>7176</v>
      </c>
      <c r="C2208" s="1611" t="s">
        <v>5145</v>
      </c>
      <c r="D2208" s="1612">
        <v>0</v>
      </c>
      <c r="E2208" s="1706" t="s">
        <v>7592</v>
      </c>
      <c r="F2208" s="1613">
        <v>75090910</v>
      </c>
      <c r="G2208" s="1613">
        <v>90005717621</v>
      </c>
    </row>
    <row r="2209" spans="1:7" ht="17.25" customHeight="1" x14ac:dyDescent="0.2">
      <c r="A2209" s="1611">
        <v>15</v>
      </c>
      <c r="B2209" s="1611" t="s">
        <v>7272</v>
      </c>
      <c r="C2209" s="1611" t="s">
        <v>5146</v>
      </c>
      <c r="D2209" s="1612">
        <v>0</v>
      </c>
      <c r="E2209" s="1706" t="s">
        <v>7592</v>
      </c>
      <c r="F2209" s="1613">
        <v>32473637</v>
      </c>
      <c r="G2209" s="1613">
        <v>90038191258</v>
      </c>
    </row>
    <row r="2210" spans="1:7" ht="17.25" customHeight="1" x14ac:dyDescent="0.2">
      <c r="A2210" s="1611">
        <v>15</v>
      </c>
      <c r="B2210" s="1611" t="s">
        <v>5147</v>
      </c>
      <c r="C2210" s="1611" t="s">
        <v>4875</v>
      </c>
      <c r="D2210" s="1612">
        <v>0</v>
      </c>
      <c r="E2210" s="1706" t="s">
        <v>7592</v>
      </c>
      <c r="F2210" s="1613">
        <v>98000000</v>
      </c>
      <c r="G2210" s="1613">
        <v>90136191258</v>
      </c>
    </row>
    <row r="2211" spans="1:7" ht="17.25" customHeight="1" x14ac:dyDescent="0.2">
      <c r="A2211" s="1611">
        <v>15</v>
      </c>
      <c r="B2211" s="1611" t="s">
        <v>7251</v>
      </c>
      <c r="C2211" s="1611" t="s">
        <v>3438</v>
      </c>
      <c r="D2211" s="1612">
        <v>0</v>
      </c>
      <c r="E2211" s="1706" t="s">
        <v>7592</v>
      </c>
      <c r="F2211" s="1613">
        <v>32763600</v>
      </c>
      <c r="G2211" s="1613">
        <v>90168954858</v>
      </c>
    </row>
    <row r="2212" spans="1:7" ht="17.25" customHeight="1" x14ac:dyDescent="0.2">
      <c r="A2212" s="1611">
        <v>15</v>
      </c>
      <c r="B2212" s="1611" t="s">
        <v>7203</v>
      </c>
      <c r="C2212" s="1611" t="s">
        <v>5148</v>
      </c>
      <c r="D2212" s="1612">
        <v>0</v>
      </c>
      <c r="E2212" s="1706" t="s">
        <v>7592</v>
      </c>
      <c r="F2212" s="1613">
        <v>35454545</v>
      </c>
      <c r="G2212" s="1613">
        <v>90204409403</v>
      </c>
    </row>
    <row r="2213" spans="1:7" ht="17.25" customHeight="1" x14ac:dyDescent="0.2">
      <c r="A2213" s="1611">
        <v>15</v>
      </c>
      <c r="B2213" s="1611" t="s">
        <v>7203</v>
      </c>
      <c r="C2213" s="1611" t="s">
        <v>5149</v>
      </c>
      <c r="D2213" s="1612">
        <v>0</v>
      </c>
      <c r="E2213" s="1706" t="s">
        <v>7592</v>
      </c>
      <c r="F2213" s="1613">
        <v>36363636</v>
      </c>
      <c r="G2213" s="1613">
        <v>90240773039</v>
      </c>
    </row>
    <row r="2214" spans="1:7" ht="17.25" customHeight="1" x14ac:dyDescent="0.2">
      <c r="A2214" s="1611">
        <v>15</v>
      </c>
      <c r="B2214" s="1611" t="s">
        <v>7203</v>
      </c>
      <c r="C2214" s="1611" t="s">
        <v>4305</v>
      </c>
      <c r="D2214" s="1612">
        <v>0</v>
      </c>
      <c r="E2214" s="1612" t="s">
        <v>3296</v>
      </c>
      <c r="F2214" s="1613">
        <v>205596960</v>
      </c>
      <c r="G2214" s="1613">
        <v>90446369999</v>
      </c>
    </row>
    <row r="2215" spans="1:7" ht="17.25" customHeight="1" x14ac:dyDescent="0.2">
      <c r="A2215" s="1611">
        <v>15</v>
      </c>
      <c r="B2215" s="1611" t="s">
        <v>7156</v>
      </c>
      <c r="C2215" s="1611" t="s">
        <v>5150</v>
      </c>
      <c r="D2215" s="1612">
        <v>0</v>
      </c>
      <c r="E2215" s="1706" t="s">
        <v>7592</v>
      </c>
      <c r="F2215" s="1613">
        <v>15727273</v>
      </c>
      <c r="G2215" s="1613">
        <v>90462097272</v>
      </c>
    </row>
    <row r="2216" spans="1:7" ht="17.25" customHeight="1" x14ac:dyDescent="0.2">
      <c r="A2216" s="1611">
        <v>15</v>
      </c>
      <c r="B2216" s="1611" t="s">
        <v>7244</v>
      </c>
      <c r="C2216" s="1611" t="s">
        <v>5151</v>
      </c>
      <c r="D2216" s="1612">
        <v>0</v>
      </c>
      <c r="E2216" s="1706" t="s">
        <v>7592</v>
      </c>
      <c r="F2216" s="1613">
        <v>18181818</v>
      </c>
      <c r="G2216" s="1613">
        <v>90480279090</v>
      </c>
    </row>
    <row r="2217" spans="1:7" ht="17.25" customHeight="1" x14ac:dyDescent="0.2">
      <c r="A2217" s="1611">
        <v>15</v>
      </c>
      <c r="B2217" s="1611" t="s">
        <v>7261</v>
      </c>
      <c r="C2217" s="1611" t="s">
        <v>5152</v>
      </c>
      <c r="D2217" s="1612">
        <v>0</v>
      </c>
      <c r="E2217" s="1706" t="s">
        <v>7592</v>
      </c>
      <c r="F2217" s="1613">
        <v>139636364</v>
      </c>
      <c r="G2217" s="1613">
        <v>90619915454</v>
      </c>
    </row>
    <row r="2218" spans="1:7" ht="17.25" customHeight="1" x14ac:dyDescent="0.2">
      <c r="A2218" s="1611">
        <v>15</v>
      </c>
      <c r="B2218" s="1611" t="s">
        <v>7156</v>
      </c>
      <c r="C2218" s="1611" t="s">
        <v>5077</v>
      </c>
      <c r="D2218" s="1612">
        <v>0</v>
      </c>
      <c r="E2218" s="1706" t="s">
        <v>7592</v>
      </c>
      <c r="F2218" s="1613">
        <v>13000000</v>
      </c>
      <c r="G2218" s="1613">
        <v>90632915454</v>
      </c>
    </row>
    <row r="2219" spans="1:7" ht="17.25" customHeight="1" x14ac:dyDescent="0.2">
      <c r="A2219" s="1611">
        <v>15</v>
      </c>
      <c r="B2219" s="1611" t="s">
        <v>7273</v>
      </c>
      <c r="C2219" s="1611" t="s">
        <v>5153</v>
      </c>
      <c r="D2219" s="1612">
        <v>0</v>
      </c>
      <c r="E2219" s="1706" t="s">
        <v>7592</v>
      </c>
      <c r="F2219" s="1613">
        <v>160000000</v>
      </c>
      <c r="G2219" s="1613">
        <v>90792915454</v>
      </c>
    </row>
    <row r="2220" spans="1:7" ht="17.25" customHeight="1" x14ac:dyDescent="0.2">
      <c r="A2220" s="1611">
        <v>15</v>
      </c>
      <c r="B2220" s="1611" t="s">
        <v>7156</v>
      </c>
      <c r="C2220" s="1611" t="s">
        <v>5154</v>
      </c>
      <c r="D2220" s="1612">
        <v>0</v>
      </c>
      <c r="E2220" s="1706" t="s">
        <v>7592</v>
      </c>
      <c r="F2220" s="1613">
        <v>13500000</v>
      </c>
      <c r="G2220" s="1613">
        <v>90806415454</v>
      </c>
    </row>
    <row r="2221" spans="1:7" ht="17.25" customHeight="1" x14ac:dyDescent="0.2">
      <c r="A2221" s="1611">
        <v>15</v>
      </c>
      <c r="B2221" s="1611" t="s">
        <v>7274</v>
      </c>
      <c r="C2221" s="1611" t="s">
        <v>5155</v>
      </c>
      <c r="D2221" s="1612">
        <v>0</v>
      </c>
      <c r="E2221" s="1706" t="s">
        <v>7592</v>
      </c>
      <c r="F2221" s="1613">
        <v>33000000</v>
      </c>
      <c r="G2221" s="1613">
        <v>90839415454</v>
      </c>
    </row>
    <row r="2222" spans="1:7" ht="17.25" customHeight="1" x14ac:dyDescent="0.2">
      <c r="A2222" s="1611">
        <v>15</v>
      </c>
      <c r="B2222" s="1611" t="s">
        <v>7273</v>
      </c>
      <c r="C2222" s="1611" t="s">
        <v>4840</v>
      </c>
      <c r="D2222" s="1612">
        <v>0</v>
      </c>
      <c r="E2222" s="1706" t="s">
        <v>7592</v>
      </c>
      <c r="F2222" s="1613">
        <v>160400000</v>
      </c>
      <c r="G2222" s="1613">
        <v>90999815454</v>
      </c>
    </row>
    <row r="2223" spans="1:7" ht="17.25" customHeight="1" x14ac:dyDescent="0.2">
      <c r="A2223" s="1611">
        <v>15</v>
      </c>
      <c r="B2223" s="1611" t="s">
        <v>7261</v>
      </c>
      <c r="C2223" s="1611" t="s">
        <v>5156</v>
      </c>
      <c r="D2223" s="1612">
        <v>0</v>
      </c>
      <c r="E2223" s="1706" t="s">
        <v>7592</v>
      </c>
      <c r="F2223" s="1613">
        <v>142400000</v>
      </c>
      <c r="G2223" s="1613">
        <v>91142215454</v>
      </c>
    </row>
    <row r="2224" spans="1:7" ht="17.25" customHeight="1" x14ac:dyDescent="0.2">
      <c r="A2224" s="1611">
        <v>15</v>
      </c>
      <c r="B2224" s="1611" t="s">
        <v>7224</v>
      </c>
      <c r="C2224" s="1611" t="s">
        <v>4858</v>
      </c>
      <c r="D2224" s="1612">
        <v>0</v>
      </c>
      <c r="E2224" s="1706" t="s">
        <v>7592</v>
      </c>
      <c r="F2224" s="1613">
        <v>275540890</v>
      </c>
      <c r="G2224" s="1613">
        <v>91417756344</v>
      </c>
    </row>
    <row r="2225" spans="1:7" ht="17.25" customHeight="1" x14ac:dyDescent="0.2">
      <c r="A2225" s="1611">
        <v>15</v>
      </c>
      <c r="B2225" s="1611" t="s">
        <v>7261</v>
      </c>
      <c r="C2225" s="1611" t="s">
        <v>5157</v>
      </c>
      <c r="D2225" s="1612">
        <v>0</v>
      </c>
      <c r="E2225" s="1706" t="s">
        <v>7592</v>
      </c>
      <c r="F2225" s="1613">
        <v>140227273</v>
      </c>
      <c r="G2225" s="1613">
        <v>91557983617</v>
      </c>
    </row>
    <row r="2226" spans="1:7" ht="17.25" customHeight="1" x14ac:dyDescent="0.2">
      <c r="A2226" s="1611">
        <v>15</v>
      </c>
      <c r="B2226" s="1611" t="s">
        <v>7170</v>
      </c>
      <c r="C2226" s="1611" t="s">
        <v>5158</v>
      </c>
      <c r="D2226" s="1612">
        <v>0</v>
      </c>
      <c r="E2226" s="1706" t="s">
        <v>7592</v>
      </c>
      <c r="F2226" s="1613">
        <v>161636364</v>
      </c>
      <c r="G2226" s="1613">
        <v>91719619981</v>
      </c>
    </row>
    <row r="2227" spans="1:7" ht="17.25" customHeight="1" x14ac:dyDescent="0.2">
      <c r="A2227" s="1611">
        <v>15</v>
      </c>
      <c r="B2227" s="1611" t="s">
        <v>7203</v>
      </c>
      <c r="C2227" s="1611" t="s">
        <v>5149</v>
      </c>
      <c r="D2227" s="1612">
        <v>0</v>
      </c>
      <c r="E2227" s="1706" t="s">
        <v>7592</v>
      </c>
      <c r="F2227" s="1613">
        <v>36363636</v>
      </c>
      <c r="G2227" s="1613">
        <v>91755983617</v>
      </c>
    </row>
    <row r="2228" spans="1:7" ht="17.25" customHeight="1" x14ac:dyDescent="0.2">
      <c r="A2228" s="1611">
        <v>15</v>
      </c>
      <c r="B2228" s="1611" t="s">
        <v>7203</v>
      </c>
      <c r="C2228" s="1611" t="s">
        <v>5159</v>
      </c>
      <c r="D2228" s="1612">
        <v>0</v>
      </c>
      <c r="E2228" s="1706" t="s">
        <v>7588</v>
      </c>
      <c r="F2228" s="1613">
        <v>33800000</v>
      </c>
      <c r="G2228" s="1613">
        <v>91789783617</v>
      </c>
    </row>
    <row r="2229" spans="1:7" ht="17.25" customHeight="1" x14ac:dyDescent="0.2">
      <c r="A2229" s="1611">
        <v>15</v>
      </c>
      <c r="B2229" s="1611" t="s">
        <v>7203</v>
      </c>
      <c r="C2229" s="1611" t="s">
        <v>5160</v>
      </c>
      <c r="D2229" s="1612">
        <v>0</v>
      </c>
      <c r="E2229" s="1706" t="s">
        <v>7592</v>
      </c>
      <c r="F2229" s="1613">
        <v>35500000</v>
      </c>
      <c r="G2229" s="1613">
        <v>91825283617</v>
      </c>
    </row>
    <row r="2230" spans="1:7" ht="17.25" customHeight="1" x14ac:dyDescent="0.2">
      <c r="A2230" s="1611">
        <v>15</v>
      </c>
      <c r="B2230" s="1611" t="s">
        <v>7176</v>
      </c>
      <c r="C2230" s="1611" t="s">
        <v>5161</v>
      </c>
      <c r="D2230" s="1612">
        <v>0</v>
      </c>
      <c r="E2230" s="1706" t="s">
        <v>7592</v>
      </c>
      <c r="F2230" s="1613">
        <v>43350000</v>
      </c>
      <c r="G2230" s="1613">
        <v>91868633617</v>
      </c>
    </row>
    <row r="2231" spans="1:7" ht="17.25" customHeight="1" x14ac:dyDescent="0.2">
      <c r="A2231" s="1611">
        <v>15</v>
      </c>
      <c r="B2231" s="1611" t="s">
        <v>7170</v>
      </c>
      <c r="C2231" s="1611" t="s">
        <v>5162</v>
      </c>
      <c r="D2231" s="1612">
        <v>0</v>
      </c>
      <c r="E2231" s="1706" t="s">
        <v>7592</v>
      </c>
      <c r="F2231" s="1613">
        <v>161636364</v>
      </c>
      <c r="G2231" s="1613">
        <v>92030269981</v>
      </c>
    </row>
    <row r="2232" spans="1:7" ht="17.25" customHeight="1" x14ac:dyDescent="0.2">
      <c r="A2232" s="1611">
        <v>15</v>
      </c>
      <c r="B2232" s="1611" t="s">
        <v>7203</v>
      </c>
      <c r="C2232" s="1611" t="s">
        <v>5160</v>
      </c>
      <c r="D2232" s="1612">
        <v>0</v>
      </c>
      <c r="E2232" s="1706" t="s">
        <v>7592</v>
      </c>
      <c r="F2232" s="1613">
        <v>-35500000</v>
      </c>
      <c r="G2232" s="1613">
        <v>91994769981</v>
      </c>
    </row>
    <row r="2233" spans="1:7" ht="17.25" customHeight="1" x14ac:dyDescent="0.2">
      <c r="A2233" s="1611">
        <v>15</v>
      </c>
      <c r="B2233" s="1611" t="s">
        <v>7203</v>
      </c>
      <c r="C2233" s="1611" t="s">
        <v>5160</v>
      </c>
      <c r="D2233" s="1612">
        <v>0</v>
      </c>
      <c r="E2233" s="1706" t="s">
        <v>7592</v>
      </c>
      <c r="F2233" s="1613">
        <v>35500000</v>
      </c>
      <c r="G2233" s="1613">
        <v>92030269981</v>
      </c>
    </row>
    <row r="2234" spans="1:7" ht="17.25" customHeight="1" x14ac:dyDescent="0.2">
      <c r="A2234" s="1611">
        <v>15</v>
      </c>
      <c r="B2234" s="1611" t="s">
        <v>7251</v>
      </c>
      <c r="C2234" s="1611" t="s">
        <v>3438</v>
      </c>
      <c r="D2234" s="1612">
        <v>0</v>
      </c>
      <c r="E2234" s="1706" t="s">
        <v>7592</v>
      </c>
      <c r="F2234" s="1613">
        <v>32763600</v>
      </c>
      <c r="G2234" s="1613">
        <v>92063033581</v>
      </c>
    </row>
    <row r="2235" spans="1:7" ht="17.25" customHeight="1" x14ac:dyDescent="0.2">
      <c r="A2235" s="1611">
        <v>15</v>
      </c>
      <c r="B2235" s="1611" t="s">
        <v>7251</v>
      </c>
      <c r="C2235" s="1611" t="s">
        <v>3438</v>
      </c>
      <c r="D2235" s="1612">
        <v>0</v>
      </c>
      <c r="E2235" s="1706" t="s">
        <v>7592</v>
      </c>
      <c r="F2235" s="1613">
        <v>32763600</v>
      </c>
      <c r="G2235" s="1613">
        <v>92095797181</v>
      </c>
    </row>
    <row r="2236" spans="1:7" ht="17.25" customHeight="1" x14ac:dyDescent="0.2">
      <c r="A2236" s="1611">
        <v>15</v>
      </c>
      <c r="B2236" s="1611" t="s">
        <v>7251</v>
      </c>
      <c r="C2236" s="1611" t="s">
        <v>3438</v>
      </c>
      <c r="D2236" s="1612">
        <v>0</v>
      </c>
      <c r="E2236" s="1706" t="s">
        <v>7592</v>
      </c>
      <c r="F2236" s="1613">
        <v>32763600</v>
      </c>
      <c r="G2236" s="1613">
        <v>92128560781</v>
      </c>
    </row>
    <row r="2237" spans="1:7" ht="17.25" customHeight="1" x14ac:dyDescent="0.2">
      <c r="A2237" s="1611">
        <v>15</v>
      </c>
      <c r="B2237" s="1611" t="s">
        <v>7251</v>
      </c>
      <c r="C2237" s="1611" t="s">
        <v>3438</v>
      </c>
      <c r="D2237" s="1612">
        <v>0</v>
      </c>
      <c r="E2237" s="1706" t="s">
        <v>7592</v>
      </c>
      <c r="F2237" s="1613">
        <v>32763600</v>
      </c>
      <c r="G2237" s="1613">
        <v>92161324381</v>
      </c>
    </row>
    <row r="2238" spans="1:7" ht="17.25" customHeight="1" x14ac:dyDescent="0.2">
      <c r="A2238" s="1611">
        <v>15</v>
      </c>
      <c r="B2238" s="1611" t="s">
        <v>7251</v>
      </c>
      <c r="C2238" s="1611" t="s">
        <v>3438</v>
      </c>
      <c r="D2238" s="1612">
        <v>0</v>
      </c>
      <c r="E2238" s="1706" t="s">
        <v>7592</v>
      </c>
      <c r="F2238" s="1613">
        <v>32763600</v>
      </c>
      <c r="G2238" s="1613">
        <v>92194087981</v>
      </c>
    </row>
    <row r="2239" spans="1:7" ht="17.25" customHeight="1" x14ac:dyDescent="0.2">
      <c r="A2239" s="1611">
        <v>15</v>
      </c>
      <c r="B2239" s="1611" t="s">
        <v>7251</v>
      </c>
      <c r="C2239" s="1611" t="s">
        <v>3438</v>
      </c>
      <c r="D2239" s="1612">
        <v>0</v>
      </c>
      <c r="E2239" s="1706" t="s">
        <v>7592</v>
      </c>
      <c r="F2239" s="1613">
        <v>32763600</v>
      </c>
      <c r="G2239" s="1613">
        <v>92226851581</v>
      </c>
    </row>
    <row r="2240" spans="1:7" ht="17.25" customHeight="1" x14ac:dyDescent="0.2">
      <c r="A2240" s="1611">
        <v>15</v>
      </c>
      <c r="B2240" s="1611" t="s">
        <v>7251</v>
      </c>
      <c r="C2240" s="1611" t="s">
        <v>3438</v>
      </c>
      <c r="D2240" s="1612">
        <v>0</v>
      </c>
      <c r="E2240" s="1706" t="s">
        <v>7592</v>
      </c>
      <c r="F2240" s="1613">
        <v>32763600</v>
      </c>
      <c r="G2240" s="1613">
        <v>92259615181</v>
      </c>
    </row>
    <row r="2241" spans="1:7" ht="17.25" customHeight="1" x14ac:dyDescent="0.2">
      <c r="A2241" s="1611">
        <v>15</v>
      </c>
      <c r="B2241" s="1611" t="s">
        <v>7251</v>
      </c>
      <c r="C2241" s="1611" t="s">
        <v>3438</v>
      </c>
      <c r="D2241" s="1612">
        <v>0</v>
      </c>
      <c r="E2241" s="1706" t="s">
        <v>7592</v>
      </c>
      <c r="F2241" s="1613">
        <v>32763600</v>
      </c>
      <c r="G2241" s="1613">
        <v>92292378781</v>
      </c>
    </row>
    <row r="2242" spans="1:7" ht="17.25" customHeight="1" x14ac:dyDescent="0.2">
      <c r="A2242" s="1611">
        <v>15</v>
      </c>
      <c r="B2242" s="1611" t="s">
        <v>7251</v>
      </c>
      <c r="C2242" s="1611" t="s">
        <v>3438</v>
      </c>
      <c r="D2242" s="1612">
        <v>0</v>
      </c>
      <c r="E2242" s="1706" t="s">
        <v>7592</v>
      </c>
      <c r="F2242" s="1613">
        <v>32763600</v>
      </c>
      <c r="G2242" s="1613">
        <v>92325142381</v>
      </c>
    </row>
    <row r="2243" spans="1:7" ht="17.25" customHeight="1" x14ac:dyDescent="0.2">
      <c r="A2243" s="1611">
        <v>15</v>
      </c>
      <c r="B2243" s="1611" t="s">
        <v>7251</v>
      </c>
      <c r="C2243" s="1611" t="s">
        <v>3438</v>
      </c>
      <c r="D2243" s="1612">
        <v>0</v>
      </c>
      <c r="E2243" s="1706" t="s">
        <v>7592</v>
      </c>
      <c r="F2243" s="1613">
        <v>32763600</v>
      </c>
      <c r="G2243" s="1613">
        <v>92357905981</v>
      </c>
    </row>
    <row r="2244" spans="1:7" ht="17.25" customHeight="1" x14ac:dyDescent="0.2">
      <c r="A2244" s="1611">
        <v>15</v>
      </c>
      <c r="B2244" s="1611" t="s">
        <v>7251</v>
      </c>
      <c r="C2244" s="1611" t="s">
        <v>3438</v>
      </c>
      <c r="D2244" s="1612">
        <v>0</v>
      </c>
      <c r="E2244" s="1706" t="s">
        <v>7592</v>
      </c>
      <c r="F2244" s="1613">
        <v>32763600</v>
      </c>
      <c r="G2244" s="1613">
        <v>92390669581</v>
      </c>
    </row>
    <row r="2245" spans="1:7" ht="17.25" customHeight="1" x14ac:dyDescent="0.2">
      <c r="A2245" s="1611">
        <v>15</v>
      </c>
      <c r="B2245" s="1611" t="s">
        <v>7251</v>
      </c>
      <c r="C2245" s="1611" t="s">
        <v>3438</v>
      </c>
      <c r="D2245" s="1612">
        <v>0</v>
      </c>
      <c r="E2245" s="1706" t="s">
        <v>7592</v>
      </c>
      <c r="F2245" s="1613">
        <v>32763600</v>
      </c>
      <c r="G2245" s="1613">
        <v>92423433181</v>
      </c>
    </row>
    <row r="2246" spans="1:7" ht="17.25" customHeight="1" x14ac:dyDescent="0.2">
      <c r="A2246" s="1611">
        <v>15</v>
      </c>
      <c r="B2246" s="1611" t="s">
        <v>7251</v>
      </c>
      <c r="C2246" s="1611" t="s">
        <v>3438</v>
      </c>
      <c r="D2246" s="1612">
        <v>0</v>
      </c>
      <c r="E2246" s="1706" t="s">
        <v>7592</v>
      </c>
      <c r="F2246" s="1613">
        <v>32763600</v>
      </c>
      <c r="G2246" s="1613">
        <v>92456196781</v>
      </c>
    </row>
    <row r="2247" spans="1:7" ht="17.25" customHeight="1" x14ac:dyDescent="0.2">
      <c r="A2247" s="1611">
        <v>15</v>
      </c>
      <c r="B2247" s="1611" t="s">
        <v>7251</v>
      </c>
      <c r="C2247" s="1611" t="s">
        <v>3438</v>
      </c>
      <c r="D2247" s="1612">
        <v>0</v>
      </c>
      <c r="E2247" s="1706" t="s">
        <v>7592</v>
      </c>
      <c r="F2247" s="1613">
        <v>32763600</v>
      </c>
      <c r="G2247" s="1613">
        <v>92488960381</v>
      </c>
    </row>
    <row r="2248" spans="1:7" ht="17.25" customHeight="1" x14ac:dyDescent="0.2">
      <c r="A2248" s="1611">
        <v>15</v>
      </c>
      <c r="B2248" s="1611" t="s">
        <v>7251</v>
      </c>
      <c r="C2248" s="1611" t="s">
        <v>3438</v>
      </c>
      <c r="D2248" s="1612">
        <v>0</v>
      </c>
      <c r="E2248" s="1706" t="s">
        <v>7592</v>
      </c>
      <c r="F2248" s="1613">
        <v>32763600</v>
      </c>
      <c r="G2248" s="1613">
        <v>92521723981</v>
      </c>
    </row>
    <row r="2249" spans="1:7" ht="17.25" customHeight="1" x14ac:dyDescent="0.2">
      <c r="A2249" s="1611">
        <v>15</v>
      </c>
      <c r="B2249" s="1611" t="s">
        <v>7251</v>
      </c>
      <c r="C2249" s="1611" t="s">
        <v>3438</v>
      </c>
      <c r="D2249" s="1612">
        <v>0</v>
      </c>
      <c r="E2249" s="1706" t="s">
        <v>7592</v>
      </c>
      <c r="F2249" s="1613">
        <v>32763600</v>
      </c>
      <c r="G2249" s="1613">
        <v>92554487581</v>
      </c>
    </row>
    <row r="2250" spans="1:7" ht="17.25" customHeight="1" x14ac:dyDescent="0.2">
      <c r="A2250" s="1611">
        <v>15</v>
      </c>
      <c r="B2250" s="1611" t="s">
        <v>7251</v>
      </c>
      <c r="C2250" s="1611" t="s">
        <v>3438</v>
      </c>
      <c r="D2250" s="1612">
        <v>0</v>
      </c>
      <c r="E2250" s="1706" t="s">
        <v>7592</v>
      </c>
      <c r="F2250" s="1613">
        <v>32763600</v>
      </c>
      <c r="G2250" s="1613">
        <v>92587251181</v>
      </c>
    </row>
    <row r="2251" spans="1:7" ht="17.25" customHeight="1" x14ac:dyDescent="0.2">
      <c r="A2251" s="1611">
        <v>15</v>
      </c>
      <c r="B2251" s="1611" t="s">
        <v>7251</v>
      </c>
      <c r="C2251" s="1611" t="s">
        <v>3438</v>
      </c>
      <c r="D2251" s="1612">
        <v>0</v>
      </c>
      <c r="E2251" s="1706" t="s">
        <v>7592</v>
      </c>
      <c r="F2251" s="1613">
        <v>32763600</v>
      </c>
      <c r="G2251" s="1613">
        <v>92620014781</v>
      </c>
    </row>
    <row r="2252" spans="1:7" ht="17.25" customHeight="1" x14ac:dyDescent="0.2">
      <c r="A2252" s="1611">
        <v>15</v>
      </c>
      <c r="B2252" s="1611" t="s">
        <v>7213</v>
      </c>
      <c r="C2252" s="1611" t="s">
        <v>4188</v>
      </c>
      <c r="D2252" s="1612">
        <v>0</v>
      </c>
      <c r="E2252" s="1706" t="s">
        <v>7592</v>
      </c>
      <c r="F2252" s="1613">
        <v>22660050</v>
      </c>
      <c r="G2252" s="1613">
        <v>92642674831</v>
      </c>
    </row>
    <row r="2253" spans="1:7" ht="17.25" customHeight="1" x14ac:dyDescent="0.2">
      <c r="A2253" s="1611">
        <v>15</v>
      </c>
      <c r="B2253" s="1611" t="s">
        <v>7213</v>
      </c>
      <c r="C2253" s="1611" t="s">
        <v>4188</v>
      </c>
      <c r="D2253" s="1612">
        <v>0</v>
      </c>
      <c r="E2253" s="1706" t="s">
        <v>7592</v>
      </c>
      <c r="F2253" s="1613">
        <v>-22660050</v>
      </c>
      <c r="G2253" s="1613">
        <v>92620014781</v>
      </c>
    </row>
    <row r="2254" spans="1:7" ht="17.25" customHeight="1" x14ac:dyDescent="0.2">
      <c r="A2254" s="1611">
        <v>15</v>
      </c>
      <c r="B2254" s="1611" t="s">
        <v>7213</v>
      </c>
      <c r="C2254" s="1611" t="s">
        <v>4188</v>
      </c>
      <c r="D2254" s="1612">
        <v>0</v>
      </c>
      <c r="E2254" s="1706" t="s">
        <v>7592</v>
      </c>
      <c r="F2254" s="1613">
        <v>22660050</v>
      </c>
      <c r="G2254" s="1613">
        <v>92642674831</v>
      </c>
    </row>
    <row r="2255" spans="1:7" ht="17.25" customHeight="1" x14ac:dyDescent="0.2">
      <c r="A2255" s="1611">
        <v>15</v>
      </c>
      <c r="B2255" s="1611" t="s">
        <v>7154</v>
      </c>
      <c r="C2255" s="1611" t="s">
        <v>5163</v>
      </c>
      <c r="D2255" s="1612">
        <v>0</v>
      </c>
      <c r="E2255" s="1706" t="s">
        <v>7592</v>
      </c>
      <c r="F2255" s="1613">
        <v>50736364</v>
      </c>
      <c r="G2255" s="1613">
        <v>92693411195</v>
      </c>
    </row>
    <row r="2256" spans="1:7" ht="17.25" customHeight="1" x14ac:dyDescent="0.2">
      <c r="A2256" s="1611">
        <v>15</v>
      </c>
      <c r="B2256" s="1611" t="s">
        <v>7275</v>
      </c>
      <c r="C2256" s="1611" t="s">
        <v>5163</v>
      </c>
      <c r="D2256" s="1612">
        <v>0</v>
      </c>
      <c r="E2256" s="1706" t="s">
        <v>7592</v>
      </c>
      <c r="F2256" s="1613">
        <v>5454545</v>
      </c>
      <c r="G2256" s="1613">
        <v>92698865740</v>
      </c>
    </row>
    <row r="2257" spans="1:7" ht="17.25" customHeight="1" x14ac:dyDescent="0.2">
      <c r="A2257" s="1611">
        <v>15</v>
      </c>
      <c r="B2257" s="1611" t="s">
        <v>7203</v>
      </c>
      <c r="C2257" s="1611" t="s">
        <v>5164</v>
      </c>
      <c r="D2257" s="1612">
        <v>0</v>
      </c>
      <c r="E2257" s="1706" t="s">
        <v>7592</v>
      </c>
      <c r="F2257" s="1613">
        <v>36690909</v>
      </c>
      <c r="G2257" s="1613">
        <v>92735556649</v>
      </c>
    </row>
    <row r="2258" spans="1:7" ht="17.25" customHeight="1" x14ac:dyDescent="0.2">
      <c r="A2258" s="1611">
        <v>15</v>
      </c>
      <c r="B2258" s="1611" t="s">
        <v>7170</v>
      </c>
      <c r="C2258" s="1611" t="s">
        <v>5165</v>
      </c>
      <c r="D2258" s="1612">
        <v>0</v>
      </c>
      <c r="E2258" s="1706" t="s">
        <v>7592</v>
      </c>
      <c r="F2258" s="1613">
        <v>167636363</v>
      </c>
      <c r="G2258" s="1613">
        <v>92903193012</v>
      </c>
    </row>
    <row r="2259" spans="1:7" ht="17.25" customHeight="1" x14ac:dyDescent="0.2">
      <c r="A2259" s="1611">
        <v>15</v>
      </c>
      <c r="B2259" s="1611" t="s">
        <v>7176</v>
      </c>
      <c r="C2259" s="1611" t="s">
        <v>4118</v>
      </c>
      <c r="D2259" s="1612">
        <v>0</v>
      </c>
      <c r="E2259" s="1706" t="s">
        <v>7592</v>
      </c>
      <c r="F2259" s="1613">
        <v>46390910</v>
      </c>
      <c r="G2259" s="1613">
        <v>92949583922</v>
      </c>
    </row>
    <row r="2260" spans="1:7" ht="17.25" customHeight="1" x14ac:dyDescent="0.2">
      <c r="A2260" s="1611">
        <v>15</v>
      </c>
      <c r="B2260" s="1611" t="s">
        <v>7275</v>
      </c>
      <c r="C2260" s="1611" t="s">
        <v>4118</v>
      </c>
      <c r="D2260" s="1612">
        <v>0</v>
      </c>
      <c r="E2260" s="1706" t="s">
        <v>7592</v>
      </c>
      <c r="F2260" s="1613">
        <v>3217500</v>
      </c>
      <c r="G2260" s="1613">
        <v>92952801422</v>
      </c>
    </row>
    <row r="2261" spans="1:7" ht="17.25" customHeight="1" x14ac:dyDescent="0.2">
      <c r="A2261" s="1611">
        <v>15</v>
      </c>
      <c r="B2261" s="1611" t="s">
        <v>7273</v>
      </c>
      <c r="C2261" s="1611" t="s">
        <v>5166</v>
      </c>
      <c r="D2261" s="1612">
        <v>0</v>
      </c>
      <c r="E2261" s="1706" t="s">
        <v>7592</v>
      </c>
      <c r="F2261" s="1613">
        <v>158036363</v>
      </c>
      <c r="G2261" s="1613">
        <v>93110837785</v>
      </c>
    </row>
    <row r="2262" spans="1:7" ht="17.25" customHeight="1" x14ac:dyDescent="0.2">
      <c r="A2262" s="1611">
        <v>15</v>
      </c>
      <c r="B2262" s="1611" t="s">
        <v>7170</v>
      </c>
      <c r="C2262" s="1611" t="s">
        <v>5167</v>
      </c>
      <c r="D2262" s="1612">
        <v>0</v>
      </c>
      <c r="E2262" s="1706" t="s">
        <v>7592</v>
      </c>
      <c r="F2262" s="1613">
        <v>165636364</v>
      </c>
      <c r="G2262" s="1613">
        <v>93276474149</v>
      </c>
    </row>
    <row r="2263" spans="1:7" ht="17.25" customHeight="1" x14ac:dyDescent="0.2">
      <c r="A2263" s="1611">
        <v>15</v>
      </c>
      <c r="B2263" s="1611" t="s">
        <v>7156</v>
      </c>
      <c r="C2263" s="1611" t="s">
        <v>5168</v>
      </c>
      <c r="D2263" s="1612">
        <v>0</v>
      </c>
      <c r="E2263" s="1706" t="s">
        <v>7592</v>
      </c>
      <c r="F2263" s="1613">
        <v>14000000</v>
      </c>
      <c r="G2263" s="1613">
        <v>93290474149</v>
      </c>
    </row>
    <row r="2264" spans="1:7" ht="17.25" customHeight="1" x14ac:dyDescent="0.2">
      <c r="A2264" s="1611">
        <v>15</v>
      </c>
      <c r="B2264" s="1611" t="s">
        <v>5169</v>
      </c>
      <c r="C2264" s="1611" t="s">
        <v>3722</v>
      </c>
      <c r="D2264" s="1612">
        <v>0</v>
      </c>
      <c r="E2264" s="1706" t="s">
        <v>7592</v>
      </c>
      <c r="F2264" s="1613">
        <v>-20400000</v>
      </c>
      <c r="G2264" s="1613">
        <v>93270074149</v>
      </c>
    </row>
    <row r="2265" spans="1:7" ht="17.25" customHeight="1" x14ac:dyDescent="0.2">
      <c r="A2265" s="1611">
        <v>15</v>
      </c>
      <c r="B2265" s="1611" t="s">
        <v>7276</v>
      </c>
      <c r="C2265" s="1611" t="s">
        <v>3722</v>
      </c>
      <c r="D2265" s="1612">
        <v>0</v>
      </c>
      <c r="E2265" s="1706" t="s">
        <v>7592</v>
      </c>
      <c r="F2265" s="1613">
        <v>23900000</v>
      </c>
      <c r="G2265" s="1613">
        <v>93293974149</v>
      </c>
    </row>
    <row r="2266" spans="1:7" ht="17.25" customHeight="1" x14ac:dyDescent="0.2">
      <c r="A2266" s="1611">
        <v>15</v>
      </c>
      <c r="B2266" s="1611" t="s">
        <v>7273</v>
      </c>
      <c r="C2266" s="1611" t="s">
        <v>4971</v>
      </c>
      <c r="D2266" s="1612">
        <v>0</v>
      </c>
      <c r="E2266" s="1706" t="s">
        <v>7592</v>
      </c>
      <c r="F2266" s="1613">
        <v>162636364</v>
      </c>
      <c r="G2266" s="1613">
        <v>93456610513</v>
      </c>
    </row>
    <row r="2267" spans="1:7" ht="17.25" customHeight="1" x14ac:dyDescent="0.2">
      <c r="A2267" s="1611">
        <v>15</v>
      </c>
      <c r="B2267" s="1611" t="s">
        <v>7156</v>
      </c>
      <c r="C2267" s="1611" t="s">
        <v>5170</v>
      </c>
      <c r="D2267" s="1612">
        <v>0</v>
      </c>
      <c r="E2267" s="1706" t="s">
        <v>7592</v>
      </c>
      <c r="F2267" s="1613">
        <v>13970000</v>
      </c>
      <c r="G2267" s="1613">
        <v>93470580513</v>
      </c>
    </row>
    <row r="2268" spans="1:7" ht="17.25" customHeight="1" x14ac:dyDescent="0.2">
      <c r="A2268" s="1611">
        <v>15</v>
      </c>
      <c r="B2268" s="1611" t="s">
        <v>5171</v>
      </c>
      <c r="C2268" s="1611" t="s">
        <v>5172</v>
      </c>
      <c r="D2268" s="1612">
        <v>0</v>
      </c>
      <c r="E2268" s="1706" t="s">
        <v>7592</v>
      </c>
      <c r="F2268" s="1613">
        <v>41057100</v>
      </c>
      <c r="G2268" s="1613">
        <v>93511637613</v>
      </c>
    </row>
    <row r="2269" spans="1:7" ht="17.25" customHeight="1" x14ac:dyDescent="0.2">
      <c r="A2269" s="1611">
        <v>15</v>
      </c>
      <c r="B2269" s="1611" t="s">
        <v>7203</v>
      </c>
      <c r="C2269" s="1611" t="s">
        <v>3752</v>
      </c>
      <c r="D2269" s="1612">
        <v>0</v>
      </c>
      <c r="E2269" s="1706" t="s">
        <v>7592</v>
      </c>
      <c r="F2269" s="1613">
        <v>37272727</v>
      </c>
      <c r="G2269" s="1613">
        <v>93548910340</v>
      </c>
    </row>
    <row r="2270" spans="1:7" ht="17.25" customHeight="1" x14ac:dyDescent="0.2">
      <c r="A2270" s="1611">
        <v>15</v>
      </c>
      <c r="B2270" s="1611" t="s">
        <v>7176</v>
      </c>
      <c r="C2270" s="1611" t="s">
        <v>5173</v>
      </c>
      <c r="D2270" s="1612">
        <v>0</v>
      </c>
      <c r="E2270" s="1706" t="s">
        <v>7592</v>
      </c>
      <c r="F2270" s="1613">
        <v>42727273</v>
      </c>
      <c r="G2270" s="1613">
        <v>93591637613</v>
      </c>
    </row>
    <row r="2271" spans="1:7" ht="17.25" customHeight="1" x14ac:dyDescent="0.2">
      <c r="A2271" s="1611">
        <v>15</v>
      </c>
      <c r="B2271" s="1611" t="s">
        <v>7176</v>
      </c>
      <c r="C2271" s="1611" t="s">
        <v>5174</v>
      </c>
      <c r="D2271" s="1612">
        <v>0</v>
      </c>
      <c r="E2271" s="1706" t="s">
        <v>7592</v>
      </c>
      <c r="F2271" s="1613">
        <v>42727272</v>
      </c>
      <c r="G2271" s="1613">
        <v>93634364885</v>
      </c>
    </row>
    <row r="2272" spans="1:7" ht="17.25" customHeight="1" x14ac:dyDescent="0.2">
      <c r="A2272" s="1611">
        <v>15</v>
      </c>
      <c r="B2272" s="1611" t="s">
        <v>7277</v>
      </c>
      <c r="C2272" s="1611" t="s">
        <v>4023</v>
      </c>
      <c r="D2272" s="1612">
        <v>0</v>
      </c>
      <c r="E2272" s="1706" t="s">
        <v>7592</v>
      </c>
      <c r="F2272" s="1613">
        <v>41777273</v>
      </c>
      <c r="G2272" s="1613">
        <v>93676142158</v>
      </c>
    </row>
    <row r="2273" spans="1:7" ht="17.25" customHeight="1" x14ac:dyDescent="0.2">
      <c r="A2273" s="1611">
        <v>15</v>
      </c>
      <c r="B2273" s="1611" t="s">
        <v>7176</v>
      </c>
      <c r="C2273" s="1611" t="s">
        <v>5175</v>
      </c>
      <c r="D2273" s="1612">
        <v>0</v>
      </c>
      <c r="E2273" s="1706" t="s">
        <v>7592</v>
      </c>
      <c r="F2273" s="1613">
        <v>46390910</v>
      </c>
      <c r="G2273" s="1613">
        <v>93722533068</v>
      </c>
    </row>
    <row r="2274" spans="1:7" ht="17.25" customHeight="1" x14ac:dyDescent="0.2">
      <c r="A2274" s="1611">
        <v>15</v>
      </c>
      <c r="B2274" s="1611" t="s">
        <v>7203</v>
      </c>
      <c r="C2274" s="1611" t="s">
        <v>5176</v>
      </c>
      <c r="D2274" s="1612">
        <v>0</v>
      </c>
      <c r="E2274" s="1706" t="s">
        <v>7592</v>
      </c>
      <c r="F2274" s="1613">
        <v>36000000</v>
      </c>
      <c r="G2274" s="1613">
        <v>93758533068</v>
      </c>
    </row>
    <row r="2275" spans="1:7" ht="17.25" customHeight="1" x14ac:dyDescent="0.2">
      <c r="A2275" s="1611">
        <v>15</v>
      </c>
      <c r="B2275" s="1611" t="s">
        <v>7261</v>
      </c>
      <c r="C2275" s="1611" t="s">
        <v>5177</v>
      </c>
      <c r="D2275" s="1612">
        <v>0</v>
      </c>
      <c r="E2275" s="1706" t="s">
        <v>7592</v>
      </c>
      <c r="F2275" s="1613">
        <v>141454545</v>
      </c>
      <c r="G2275" s="1613">
        <v>93899987613</v>
      </c>
    </row>
    <row r="2276" spans="1:7" ht="17.25" customHeight="1" x14ac:dyDescent="0.2">
      <c r="A2276" s="1611">
        <v>15</v>
      </c>
      <c r="B2276" s="1611" t="s">
        <v>7261</v>
      </c>
      <c r="C2276" s="1611" t="s">
        <v>5178</v>
      </c>
      <c r="D2276" s="1612">
        <v>0</v>
      </c>
      <c r="E2276" s="1706" t="s">
        <v>7592</v>
      </c>
      <c r="F2276" s="1613">
        <v>141454545</v>
      </c>
      <c r="G2276" s="1613">
        <v>94041442158</v>
      </c>
    </row>
    <row r="2277" spans="1:7" ht="17.25" customHeight="1" x14ac:dyDescent="0.2">
      <c r="A2277" s="1611">
        <v>15</v>
      </c>
      <c r="B2277" s="1611" t="s">
        <v>7154</v>
      </c>
      <c r="C2277" s="1611" t="s">
        <v>5095</v>
      </c>
      <c r="D2277" s="1612">
        <v>0</v>
      </c>
      <c r="E2277" s="1706" t="s">
        <v>7592</v>
      </c>
      <c r="F2277" s="1613">
        <v>51000000</v>
      </c>
      <c r="G2277" s="1613">
        <v>94092442158</v>
      </c>
    </row>
    <row r="2278" spans="1:7" ht="17.25" customHeight="1" x14ac:dyDescent="0.2">
      <c r="A2278" s="1611">
        <v>15</v>
      </c>
      <c r="B2278" s="1611" t="s">
        <v>7278</v>
      </c>
      <c r="C2278" s="1611" t="s">
        <v>4520</v>
      </c>
      <c r="D2278" s="1612">
        <v>0</v>
      </c>
      <c r="E2278" s="1706" t="s">
        <v>7592</v>
      </c>
      <c r="F2278" s="1613">
        <v>42254546</v>
      </c>
      <c r="G2278" s="1613">
        <v>94134696704</v>
      </c>
    </row>
    <row r="2279" spans="1:7" ht="17.25" customHeight="1" x14ac:dyDescent="0.2">
      <c r="A2279" s="1611">
        <v>15</v>
      </c>
      <c r="B2279" s="1611" t="s">
        <v>3937</v>
      </c>
      <c r="C2279" s="1611" t="s">
        <v>3438</v>
      </c>
      <c r="D2279" s="1612">
        <v>0</v>
      </c>
      <c r="E2279" s="1706" t="s">
        <v>7592</v>
      </c>
      <c r="F2279" s="1613">
        <v>32763600</v>
      </c>
      <c r="G2279" s="1613">
        <v>94167460304</v>
      </c>
    </row>
    <row r="2280" spans="1:7" ht="17.25" customHeight="1" x14ac:dyDescent="0.2">
      <c r="A2280" s="1611">
        <v>15</v>
      </c>
      <c r="B2280" s="1611" t="s">
        <v>3937</v>
      </c>
      <c r="C2280" s="1611" t="s">
        <v>3438</v>
      </c>
      <c r="D2280" s="1612">
        <v>0</v>
      </c>
      <c r="E2280" s="1706" t="s">
        <v>7592</v>
      </c>
      <c r="F2280" s="1613">
        <v>32763600</v>
      </c>
      <c r="G2280" s="1613">
        <v>94200223904</v>
      </c>
    </row>
    <row r="2281" spans="1:7" ht="17.25" customHeight="1" x14ac:dyDescent="0.2">
      <c r="A2281" s="1611">
        <v>15</v>
      </c>
      <c r="B2281" s="1611" t="s">
        <v>3937</v>
      </c>
      <c r="C2281" s="1611" t="s">
        <v>3438</v>
      </c>
      <c r="D2281" s="1612">
        <v>0</v>
      </c>
      <c r="E2281" s="1706" t="s">
        <v>7592</v>
      </c>
      <c r="F2281" s="1613">
        <v>32763600</v>
      </c>
      <c r="G2281" s="1613">
        <v>94232987504</v>
      </c>
    </row>
    <row r="2282" spans="1:7" ht="17.25" customHeight="1" x14ac:dyDescent="0.2">
      <c r="A2282" s="1611">
        <v>15</v>
      </c>
      <c r="B2282" s="1611" t="s">
        <v>3937</v>
      </c>
      <c r="C2282" s="1611" t="s">
        <v>3438</v>
      </c>
      <c r="D2282" s="1612">
        <v>0</v>
      </c>
      <c r="E2282" s="1706" t="s">
        <v>7592</v>
      </c>
      <c r="F2282" s="1613">
        <v>32763600</v>
      </c>
      <c r="G2282" s="1613">
        <v>94265751104</v>
      </c>
    </row>
    <row r="2283" spans="1:7" ht="17.25" customHeight="1" x14ac:dyDescent="0.2">
      <c r="A2283" s="1611">
        <v>15</v>
      </c>
      <c r="B2283" s="1611" t="s">
        <v>7251</v>
      </c>
      <c r="C2283" s="1611" t="s">
        <v>4381</v>
      </c>
      <c r="D2283" s="1612">
        <v>0</v>
      </c>
      <c r="E2283" s="1706" t="s">
        <v>7592</v>
      </c>
      <c r="F2283" s="1613">
        <v>33200000</v>
      </c>
      <c r="G2283" s="1613">
        <v>94298951104</v>
      </c>
    </row>
    <row r="2284" spans="1:7" ht="17.25" customHeight="1" x14ac:dyDescent="0.2">
      <c r="A2284" s="1611">
        <v>15</v>
      </c>
      <c r="B2284" s="1611" t="s">
        <v>7259</v>
      </c>
      <c r="C2284" s="1611" t="s">
        <v>5105</v>
      </c>
      <c r="D2284" s="1612">
        <v>0</v>
      </c>
      <c r="E2284" s="1706" t="s">
        <v>7592</v>
      </c>
      <c r="F2284" s="1613">
        <v>8400000</v>
      </c>
      <c r="G2284" s="1613">
        <v>94307351104</v>
      </c>
    </row>
    <row r="2285" spans="1:7" ht="17.25" customHeight="1" x14ac:dyDescent="0.2">
      <c r="A2285" s="1611">
        <v>15</v>
      </c>
      <c r="B2285" s="1611" t="s">
        <v>7279</v>
      </c>
      <c r="C2285" s="1611" t="s">
        <v>5175</v>
      </c>
      <c r="D2285" s="1612">
        <v>0</v>
      </c>
      <c r="E2285" s="1706" t="s">
        <v>7592</v>
      </c>
      <c r="F2285" s="1613">
        <v>1000000</v>
      </c>
      <c r="G2285" s="1613">
        <v>94308351104</v>
      </c>
    </row>
    <row r="2286" spans="1:7" ht="17.25" customHeight="1" x14ac:dyDescent="0.2">
      <c r="A2286" s="1611">
        <v>15</v>
      </c>
      <c r="B2286" s="1611" t="s">
        <v>7259</v>
      </c>
      <c r="C2286" s="1611" t="s">
        <v>5105</v>
      </c>
      <c r="D2286" s="1612">
        <v>0</v>
      </c>
      <c r="E2286" s="1706" t="s">
        <v>7592</v>
      </c>
      <c r="F2286" s="1613">
        <v>-8400000</v>
      </c>
      <c r="G2286" s="1613">
        <v>94299951104</v>
      </c>
    </row>
    <row r="2287" spans="1:7" ht="17.25" customHeight="1" x14ac:dyDescent="0.2">
      <c r="A2287" s="1611">
        <v>15</v>
      </c>
      <c r="B2287" s="1611" t="s">
        <v>7259</v>
      </c>
      <c r="C2287" s="1611" t="s">
        <v>5105</v>
      </c>
      <c r="D2287" s="1612">
        <v>0</v>
      </c>
      <c r="E2287" s="1706" t="s">
        <v>7592</v>
      </c>
      <c r="F2287" s="1613">
        <v>5978000</v>
      </c>
      <c r="G2287" s="1613">
        <v>94305929104</v>
      </c>
    </row>
    <row r="2288" spans="1:7" ht="17.25" customHeight="1" x14ac:dyDescent="0.2">
      <c r="A2288" s="1611">
        <v>15</v>
      </c>
      <c r="B2288" s="1611" t="s">
        <v>7156</v>
      </c>
      <c r="C2288" s="1611" t="s">
        <v>5179</v>
      </c>
      <c r="D2288" s="1612">
        <v>0</v>
      </c>
      <c r="E2288" s="1706" t="s">
        <v>7592</v>
      </c>
      <c r="F2288" s="1613">
        <v>14545455</v>
      </c>
      <c r="G2288" s="1613">
        <v>94320474559</v>
      </c>
    </row>
    <row r="2289" spans="1:7" ht="17.25" customHeight="1" x14ac:dyDescent="0.2">
      <c r="A2289" s="1611">
        <v>15</v>
      </c>
      <c r="B2289" s="1611" t="s">
        <v>7261</v>
      </c>
      <c r="C2289" s="1611" t="s">
        <v>5180</v>
      </c>
      <c r="D2289" s="1612">
        <v>0</v>
      </c>
      <c r="E2289" s="1706" t="s">
        <v>7592</v>
      </c>
      <c r="F2289" s="1613">
        <v>140000000</v>
      </c>
      <c r="G2289" s="1613">
        <v>94460474559</v>
      </c>
    </row>
    <row r="2290" spans="1:7" ht="17.25" customHeight="1" x14ac:dyDescent="0.2">
      <c r="A2290" s="1611">
        <v>15</v>
      </c>
      <c r="B2290" s="1611" t="s">
        <v>7278</v>
      </c>
      <c r="C2290" s="1611" t="s">
        <v>5181</v>
      </c>
      <c r="D2290" s="1612">
        <v>0</v>
      </c>
      <c r="E2290" s="1706" t="s">
        <v>7592</v>
      </c>
      <c r="F2290" s="1613">
        <v>42254546</v>
      </c>
      <c r="G2290" s="1613">
        <v>94502729105</v>
      </c>
    </row>
    <row r="2291" spans="1:7" ht="17.25" customHeight="1" x14ac:dyDescent="0.2">
      <c r="A2291" s="1611">
        <v>15</v>
      </c>
      <c r="B2291" s="1611" t="s">
        <v>7203</v>
      </c>
      <c r="C2291" s="1611" t="s">
        <v>5182</v>
      </c>
      <c r="D2291" s="1612">
        <v>0</v>
      </c>
      <c r="E2291" s="1706" t="s">
        <v>7592</v>
      </c>
      <c r="F2291" s="1613">
        <v>35454545</v>
      </c>
      <c r="G2291" s="1613">
        <v>94538183650</v>
      </c>
    </row>
    <row r="2292" spans="1:7" ht="17.25" customHeight="1" x14ac:dyDescent="0.2">
      <c r="A2292" s="1611">
        <v>15</v>
      </c>
      <c r="B2292" s="1611" t="s">
        <v>7203</v>
      </c>
      <c r="C2292" s="1611" t="s">
        <v>5183</v>
      </c>
      <c r="D2292" s="1612">
        <v>0</v>
      </c>
      <c r="E2292" s="1706" t="s">
        <v>7592</v>
      </c>
      <c r="F2292" s="1613">
        <v>38181818</v>
      </c>
      <c r="G2292" s="1613">
        <v>94576365468</v>
      </c>
    </row>
    <row r="2293" spans="1:7" ht="17.25" customHeight="1" x14ac:dyDescent="0.2">
      <c r="A2293" s="1611">
        <v>15</v>
      </c>
      <c r="B2293" s="1611" t="s">
        <v>7278</v>
      </c>
      <c r="C2293" s="1611" t="s">
        <v>5184</v>
      </c>
      <c r="D2293" s="1612">
        <v>0</v>
      </c>
      <c r="E2293" s="1706" t="s">
        <v>7592</v>
      </c>
      <c r="F2293" s="1613">
        <v>41000000</v>
      </c>
      <c r="G2293" s="1613">
        <v>94617365468</v>
      </c>
    </row>
    <row r="2294" spans="1:7" ht="17.25" customHeight="1" x14ac:dyDescent="0.2">
      <c r="A2294" s="1611">
        <v>15</v>
      </c>
      <c r="B2294" s="1611" t="s">
        <v>7176</v>
      </c>
      <c r="C2294" s="1611" t="s">
        <v>5185</v>
      </c>
      <c r="D2294" s="1612">
        <v>0</v>
      </c>
      <c r="E2294" s="1706" t="s">
        <v>7592</v>
      </c>
      <c r="F2294" s="1613">
        <v>42800000</v>
      </c>
      <c r="G2294" s="1613">
        <v>94660165468</v>
      </c>
    </row>
    <row r="2295" spans="1:7" ht="17.25" customHeight="1" x14ac:dyDescent="0.2">
      <c r="A2295" s="1611">
        <v>15</v>
      </c>
      <c r="B2295" s="1611" t="s">
        <v>7275</v>
      </c>
      <c r="C2295" s="1611" t="s">
        <v>4520</v>
      </c>
      <c r="D2295" s="1612">
        <v>0</v>
      </c>
      <c r="E2295" s="1706" t="s">
        <v>7592</v>
      </c>
      <c r="F2295" s="1613">
        <v>2160000</v>
      </c>
      <c r="G2295" s="1613">
        <v>94662325468</v>
      </c>
    </row>
    <row r="2296" spans="1:7" ht="17.25" customHeight="1" x14ac:dyDescent="0.2">
      <c r="A2296" s="1611">
        <v>15</v>
      </c>
      <c r="B2296" s="1611" t="s">
        <v>7280</v>
      </c>
      <c r="C2296" s="1611" t="s">
        <v>4305</v>
      </c>
      <c r="D2296" s="1612">
        <v>0</v>
      </c>
      <c r="E2296" s="1612" t="s">
        <v>3296</v>
      </c>
      <c r="F2296" s="1613">
        <v>630316800</v>
      </c>
      <c r="G2296" s="1613">
        <v>95292642268</v>
      </c>
    </row>
    <row r="2297" spans="1:7" ht="17.25" customHeight="1" x14ac:dyDescent="0.2">
      <c r="A2297" s="1611">
        <v>15</v>
      </c>
      <c r="B2297" s="1611" t="s">
        <v>7281</v>
      </c>
      <c r="C2297" s="1611" t="s">
        <v>5186</v>
      </c>
      <c r="D2297" s="1612">
        <v>0</v>
      </c>
      <c r="E2297" s="1706" t="s">
        <v>7592</v>
      </c>
      <c r="F2297" s="1613">
        <v>50454545</v>
      </c>
      <c r="G2297" s="1613">
        <v>95343096813</v>
      </c>
    </row>
    <row r="2298" spans="1:7" ht="17.25" customHeight="1" x14ac:dyDescent="0.2">
      <c r="A2298" s="1611">
        <v>15</v>
      </c>
      <c r="B2298" s="1611" t="s">
        <v>7170</v>
      </c>
      <c r="C2298" s="1611" t="s">
        <v>5187</v>
      </c>
      <c r="D2298" s="1612">
        <v>0</v>
      </c>
      <c r="E2298" s="1706" t="s">
        <v>7592</v>
      </c>
      <c r="F2298" s="1613">
        <v>166500000</v>
      </c>
      <c r="G2298" s="1613">
        <v>95509596813</v>
      </c>
    </row>
    <row r="2299" spans="1:7" ht="17.25" customHeight="1" x14ac:dyDescent="0.2">
      <c r="A2299" s="1611">
        <v>15</v>
      </c>
      <c r="B2299" s="1611" t="s">
        <v>7282</v>
      </c>
      <c r="C2299" s="1611" t="s">
        <v>5187</v>
      </c>
      <c r="D2299" s="1612">
        <v>0</v>
      </c>
      <c r="E2299" s="1706" t="s">
        <v>7592</v>
      </c>
      <c r="F2299" s="1613">
        <v>149500000</v>
      </c>
      <c r="G2299" s="1613">
        <v>95659096813</v>
      </c>
    </row>
    <row r="2300" spans="1:7" ht="17.25" customHeight="1" x14ac:dyDescent="0.2">
      <c r="A2300" s="1611">
        <v>15</v>
      </c>
      <c r="B2300" s="1611" t="s">
        <v>7282</v>
      </c>
      <c r="C2300" s="1611" t="s">
        <v>5187</v>
      </c>
      <c r="D2300" s="1612">
        <v>0</v>
      </c>
      <c r="E2300" s="1706" t="s">
        <v>7592</v>
      </c>
      <c r="F2300" s="1613">
        <v>149500000</v>
      </c>
      <c r="G2300" s="1613">
        <v>95808596813</v>
      </c>
    </row>
    <row r="2301" spans="1:7" ht="17.25" customHeight="1" x14ac:dyDescent="0.2">
      <c r="A2301" s="1611">
        <v>15</v>
      </c>
      <c r="B2301" s="1611" t="s">
        <v>7186</v>
      </c>
      <c r="C2301" s="1611" t="s">
        <v>5188</v>
      </c>
      <c r="D2301" s="1612">
        <v>0</v>
      </c>
      <c r="E2301" s="1706" t="s">
        <v>7592</v>
      </c>
      <c r="F2301" s="1613">
        <v>53600000</v>
      </c>
      <c r="G2301" s="1613">
        <v>95862196813</v>
      </c>
    </row>
    <row r="2302" spans="1:7" ht="17.25" customHeight="1" x14ac:dyDescent="0.2">
      <c r="A2302" s="1611">
        <v>15</v>
      </c>
      <c r="B2302" s="1611" t="s">
        <v>7275</v>
      </c>
      <c r="C2302" s="1611" t="s">
        <v>5146</v>
      </c>
      <c r="D2302" s="1612">
        <v>0</v>
      </c>
      <c r="E2302" s="1706" t="s">
        <v>7592</v>
      </c>
      <c r="F2302" s="1613">
        <v>4227273</v>
      </c>
      <c r="G2302" s="1613">
        <v>95866424086</v>
      </c>
    </row>
    <row r="2303" spans="1:7" ht="17.25" customHeight="1" x14ac:dyDescent="0.2">
      <c r="A2303" s="1611">
        <v>15</v>
      </c>
      <c r="B2303" s="1611" t="s">
        <v>7176</v>
      </c>
      <c r="C2303" s="1611" t="s">
        <v>5146</v>
      </c>
      <c r="D2303" s="1612">
        <v>0</v>
      </c>
      <c r="E2303" s="1706" t="s">
        <v>7592</v>
      </c>
      <c r="F2303" s="1613">
        <v>13917273</v>
      </c>
      <c r="G2303" s="1613">
        <v>95880341359</v>
      </c>
    </row>
    <row r="2304" spans="1:7" ht="17.25" customHeight="1" x14ac:dyDescent="0.2">
      <c r="A2304" s="1611">
        <v>15</v>
      </c>
      <c r="B2304" s="1611" t="s">
        <v>7170</v>
      </c>
      <c r="C2304" s="1611" t="s">
        <v>5189</v>
      </c>
      <c r="D2304" s="1612">
        <v>0</v>
      </c>
      <c r="E2304" s="1706" t="s">
        <v>7592</v>
      </c>
      <c r="F2304" s="1613">
        <v>166500000</v>
      </c>
      <c r="G2304" s="1613">
        <v>96046841359</v>
      </c>
    </row>
    <row r="2305" spans="1:7" ht="17.25" customHeight="1" x14ac:dyDescent="0.2">
      <c r="A2305" s="1611">
        <v>15</v>
      </c>
      <c r="B2305" s="1611" t="s">
        <v>7154</v>
      </c>
      <c r="C2305" s="1611" t="s">
        <v>5190</v>
      </c>
      <c r="D2305" s="1612">
        <v>0</v>
      </c>
      <c r="E2305" s="1706" t="s">
        <v>7592</v>
      </c>
      <c r="F2305" s="1613">
        <v>50909091</v>
      </c>
      <c r="G2305" s="1613">
        <v>96097750450</v>
      </c>
    </row>
    <row r="2306" spans="1:7" ht="17.25" customHeight="1" x14ac:dyDescent="0.2">
      <c r="A2306" s="1611">
        <v>15</v>
      </c>
      <c r="B2306" s="1611" t="s">
        <v>7156</v>
      </c>
      <c r="C2306" s="1611" t="s">
        <v>4139</v>
      </c>
      <c r="D2306" s="1612">
        <v>0</v>
      </c>
      <c r="E2306" s="1706" t="s">
        <v>7592</v>
      </c>
      <c r="F2306" s="1613">
        <v>16500000</v>
      </c>
      <c r="G2306" s="1613">
        <v>96114250450</v>
      </c>
    </row>
    <row r="2307" spans="1:7" ht="17.25" customHeight="1" x14ac:dyDescent="0.2">
      <c r="A2307" s="1611">
        <v>15</v>
      </c>
      <c r="B2307" s="1611" t="s">
        <v>7273</v>
      </c>
      <c r="C2307" s="1611" t="s">
        <v>5191</v>
      </c>
      <c r="D2307" s="1612">
        <v>0</v>
      </c>
      <c r="E2307" s="1706" t="s">
        <v>7592</v>
      </c>
      <c r="F2307" s="1613">
        <v>160000000</v>
      </c>
      <c r="G2307" s="1613">
        <v>96274250450</v>
      </c>
    </row>
    <row r="2308" spans="1:7" ht="17.25" customHeight="1" x14ac:dyDescent="0.2">
      <c r="A2308" s="1611">
        <v>15</v>
      </c>
      <c r="B2308" s="1611" t="s">
        <v>7170</v>
      </c>
      <c r="C2308" s="1611" t="s">
        <v>5192</v>
      </c>
      <c r="D2308" s="1612">
        <v>0</v>
      </c>
      <c r="E2308" s="1706" t="s">
        <v>7592</v>
      </c>
      <c r="F2308" s="1613">
        <v>167000000</v>
      </c>
      <c r="G2308" s="1613">
        <v>96441250450</v>
      </c>
    </row>
    <row r="2309" spans="1:7" ht="17.25" customHeight="1" x14ac:dyDescent="0.2">
      <c r="A2309" s="1611">
        <v>15</v>
      </c>
      <c r="B2309" s="1611" t="s">
        <v>7261</v>
      </c>
      <c r="C2309" s="1611" t="s">
        <v>5193</v>
      </c>
      <c r="D2309" s="1612">
        <v>0</v>
      </c>
      <c r="E2309" s="1706" t="s">
        <v>7592</v>
      </c>
      <c r="F2309" s="1613">
        <v>138400000</v>
      </c>
      <c r="G2309" s="1613">
        <v>96579650450</v>
      </c>
    </row>
    <row r="2310" spans="1:7" ht="17.25" customHeight="1" x14ac:dyDescent="0.2">
      <c r="A2310" s="1611">
        <v>15</v>
      </c>
      <c r="B2310" s="1611" t="s">
        <v>7283</v>
      </c>
      <c r="C2310" s="1611" t="s">
        <v>3722</v>
      </c>
      <c r="D2310" s="1612">
        <v>0</v>
      </c>
      <c r="E2310" s="1706" t="s">
        <v>7592</v>
      </c>
      <c r="F2310" s="1613">
        <v>25400000</v>
      </c>
      <c r="G2310" s="1613">
        <v>96605050450</v>
      </c>
    </row>
    <row r="2311" spans="1:7" ht="17.25" customHeight="1" x14ac:dyDescent="0.2">
      <c r="A2311" s="1611">
        <v>15</v>
      </c>
      <c r="B2311" s="1611" t="s">
        <v>7203</v>
      </c>
      <c r="C2311" s="1611" t="s">
        <v>5194</v>
      </c>
      <c r="D2311" s="1612">
        <v>0</v>
      </c>
      <c r="E2311" s="1706" t="s">
        <v>7592</v>
      </c>
      <c r="F2311" s="1613">
        <v>35454545</v>
      </c>
      <c r="G2311" s="1613">
        <v>96640504995</v>
      </c>
    </row>
    <row r="2312" spans="1:7" ht="17.25" customHeight="1" x14ac:dyDescent="0.2">
      <c r="A2312" s="1611">
        <v>15</v>
      </c>
      <c r="B2312" s="1611" t="s">
        <v>7203</v>
      </c>
      <c r="C2312" s="1611" t="s">
        <v>5195</v>
      </c>
      <c r="D2312" s="1612">
        <v>0</v>
      </c>
      <c r="E2312" s="1706" t="s">
        <v>7592</v>
      </c>
      <c r="F2312" s="1613">
        <v>34545454</v>
      </c>
      <c r="G2312" s="1613">
        <v>96675050449</v>
      </c>
    </row>
    <row r="2313" spans="1:7" ht="17.25" customHeight="1" x14ac:dyDescent="0.2">
      <c r="A2313" s="1611">
        <v>15</v>
      </c>
      <c r="B2313" s="1611" t="s">
        <v>7203</v>
      </c>
      <c r="C2313" s="1611" t="s">
        <v>5196</v>
      </c>
      <c r="D2313" s="1612">
        <v>0</v>
      </c>
      <c r="E2313" s="1706" t="s">
        <v>7592</v>
      </c>
      <c r="F2313" s="1613">
        <v>34181818</v>
      </c>
      <c r="G2313" s="1613">
        <v>96709232267</v>
      </c>
    </row>
    <row r="2314" spans="1:7" ht="17.25" customHeight="1" x14ac:dyDescent="0.2">
      <c r="A2314" s="1611">
        <v>15</v>
      </c>
      <c r="B2314" s="1611" t="s">
        <v>7155</v>
      </c>
      <c r="C2314" s="1611" t="s">
        <v>5197</v>
      </c>
      <c r="D2314" s="1612">
        <v>0</v>
      </c>
      <c r="E2314" s="1706" t="s">
        <v>7592</v>
      </c>
      <c r="F2314" s="1613">
        <v>93000000</v>
      </c>
      <c r="G2314" s="1613">
        <v>96802232267</v>
      </c>
    </row>
    <row r="2315" spans="1:7" ht="17.25" customHeight="1" x14ac:dyDescent="0.2">
      <c r="A2315" s="1611">
        <v>15</v>
      </c>
      <c r="B2315" s="1611" t="s">
        <v>7203</v>
      </c>
      <c r="C2315" s="1611" t="s">
        <v>5198</v>
      </c>
      <c r="D2315" s="1612">
        <v>0</v>
      </c>
      <c r="E2315" s="1706" t="s">
        <v>7592</v>
      </c>
      <c r="F2315" s="1613">
        <v>36363636</v>
      </c>
      <c r="G2315" s="1613">
        <v>96838595903</v>
      </c>
    </row>
    <row r="2316" spans="1:7" ht="17.25" customHeight="1" x14ac:dyDescent="0.2">
      <c r="A2316" s="1611">
        <v>15</v>
      </c>
      <c r="B2316" s="1611" t="s">
        <v>7251</v>
      </c>
      <c r="C2316" s="1611" t="s">
        <v>5199</v>
      </c>
      <c r="D2316" s="1612">
        <v>0</v>
      </c>
      <c r="E2316" s="1706" t="s">
        <v>7592</v>
      </c>
      <c r="F2316" s="1613">
        <v>34772727</v>
      </c>
      <c r="G2316" s="1613">
        <v>96873368630</v>
      </c>
    </row>
    <row r="2317" spans="1:7" ht="17.25" customHeight="1" x14ac:dyDescent="0.2">
      <c r="A2317" s="1611">
        <v>15</v>
      </c>
      <c r="B2317" s="1611" t="s">
        <v>7247</v>
      </c>
      <c r="C2317" s="1611" t="s">
        <v>5200</v>
      </c>
      <c r="D2317" s="1612">
        <v>0</v>
      </c>
      <c r="E2317" s="1706" t="s">
        <v>7592</v>
      </c>
      <c r="F2317" s="1613">
        <v>44000000</v>
      </c>
      <c r="G2317" s="1613">
        <v>96917368630</v>
      </c>
    </row>
    <row r="2318" spans="1:7" ht="17.25" customHeight="1" x14ac:dyDescent="0.2">
      <c r="A2318" s="1611">
        <v>15</v>
      </c>
      <c r="B2318" s="1611" t="s">
        <v>7261</v>
      </c>
      <c r="C2318" s="1611" t="s">
        <v>5201</v>
      </c>
      <c r="D2318" s="1612">
        <v>0</v>
      </c>
      <c r="E2318" s="1706" t="s">
        <v>7592</v>
      </c>
      <c r="F2318" s="1613">
        <v>138636364</v>
      </c>
      <c r="G2318" s="1613">
        <v>97056004994</v>
      </c>
    </row>
    <row r="2319" spans="1:7" ht="17.25" customHeight="1" x14ac:dyDescent="0.2">
      <c r="A2319" s="1611">
        <v>15</v>
      </c>
      <c r="B2319" s="1611" t="s">
        <v>7252</v>
      </c>
      <c r="C2319" s="1611" t="s">
        <v>5202</v>
      </c>
      <c r="D2319" s="1612">
        <v>0</v>
      </c>
      <c r="E2319" s="1706" t="s">
        <v>7592</v>
      </c>
      <c r="F2319" s="1613">
        <v>65000000</v>
      </c>
      <c r="G2319" s="1613">
        <v>97121004994</v>
      </c>
    </row>
    <row r="2320" spans="1:7" ht="17.25" customHeight="1" x14ac:dyDescent="0.2">
      <c r="A2320" s="1611">
        <v>15</v>
      </c>
      <c r="B2320" s="1611" t="s">
        <v>7156</v>
      </c>
      <c r="C2320" s="1611" t="s">
        <v>5203</v>
      </c>
      <c r="D2320" s="1612">
        <v>0</v>
      </c>
      <c r="E2320" s="1706" t="s">
        <v>7592</v>
      </c>
      <c r="F2320" s="1613">
        <v>14700000</v>
      </c>
      <c r="G2320" s="1613">
        <v>97135704994</v>
      </c>
    </row>
    <row r="2321" spans="1:7" ht="17.25" customHeight="1" x14ac:dyDescent="0.2">
      <c r="A2321" s="1611">
        <v>15</v>
      </c>
      <c r="B2321" s="1611" t="s">
        <v>7154</v>
      </c>
      <c r="C2321" s="1611" t="s">
        <v>5167</v>
      </c>
      <c r="D2321" s="1612">
        <v>0</v>
      </c>
      <c r="E2321" s="1706" t="s">
        <v>7592</v>
      </c>
      <c r="F2321" s="1613">
        <v>50500000</v>
      </c>
      <c r="G2321" s="1613">
        <v>97186204994</v>
      </c>
    </row>
    <row r="2322" spans="1:7" ht="17.25" customHeight="1" x14ac:dyDescent="0.2">
      <c r="A2322" s="1611">
        <v>15</v>
      </c>
      <c r="B2322" s="1611" t="s">
        <v>7170</v>
      </c>
      <c r="C2322" s="1611" t="s">
        <v>5204</v>
      </c>
      <c r="D2322" s="1612">
        <v>0</v>
      </c>
      <c r="E2322" s="1706" t="s">
        <v>7592</v>
      </c>
      <c r="F2322" s="1613">
        <v>167500000</v>
      </c>
      <c r="G2322" s="1613">
        <v>97353704994</v>
      </c>
    </row>
    <row r="2323" spans="1:7" ht="17.25" customHeight="1" x14ac:dyDescent="0.2">
      <c r="A2323" s="1611">
        <v>15</v>
      </c>
      <c r="B2323" s="1611" t="s">
        <v>7154</v>
      </c>
      <c r="C2323" s="1611" t="s">
        <v>5205</v>
      </c>
      <c r="D2323" s="1612">
        <v>0</v>
      </c>
      <c r="E2323" s="1706" t="s">
        <v>7592</v>
      </c>
      <c r="F2323" s="1613">
        <v>48894000</v>
      </c>
      <c r="G2323" s="1613">
        <v>97402598994</v>
      </c>
    </row>
    <row r="2324" spans="1:7" ht="17.25" customHeight="1" x14ac:dyDescent="0.2">
      <c r="A2324" s="1611">
        <v>15</v>
      </c>
      <c r="B2324" s="1611" t="s">
        <v>7203</v>
      </c>
      <c r="C2324" s="1611" t="s">
        <v>5206</v>
      </c>
      <c r="D2324" s="1612">
        <v>0</v>
      </c>
      <c r="E2324" s="1706" t="s">
        <v>7592</v>
      </c>
      <c r="F2324" s="1613">
        <v>36500000</v>
      </c>
      <c r="G2324" s="1613">
        <v>97439098994</v>
      </c>
    </row>
    <row r="2325" spans="1:7" ht="17.25" customHeight="1" x14ac:dyDescent="0.2">
      <c r="A2325" s="1611">
        <v>15</v>
      </c>
      <c r="B2325" s="1611" t="s">
        <v>7203</v>
      </c>
      <c r="C2325" s="1611" t="s">
        <v>5207</v>
      </c>
      <c r="D2325" s="1612">
        <v>0</v>
      </c>
      <c r="E2325" s="1706" t="s">
        <v>7592</v>
      </c>
      <c r="F2325" s="1613">
        <v>35000000</v>
      </c>
      <c r="G2325" s="1613">
        <v>97474098994</v>
      </c>
    </row>
    <row r="2326" spans="1:7" ht="17.25" customHeight="1" x14ac:dyDescent="0.2">
      <c r="A2326" s="1611">
        <v>15</v>
      </c>
      <c r="B2326" s="1611" t="s">
        <v>7203</v>
      </c>
      <c r="C2326" s="1611" t="s">
        <v>5208</v>
      </c>
      <c r="D2326" s="1612">
        <v>0</v>
      </c>
      <c r="E2326" s="1706" t="s">
        <v>7592</v>
      </c>
      <c r="F2326" s="1613">
        <v>36636363</v>
      </c>
      <c r="G2326" s="1613">
        <v>97510735357</v>
      </c>
    </row>
    <row r="2327" spans="1:7" ht="17.25" customHeight="1" x14ac:dyDescent="0.2">
      <c r="A2327" s="1611">
        <v>15</v>
      </c>
      <c r="B2327" s="1611" t="s">
        <v>7154</v>
      </c>
      <c r="C2327" s="1611" t="s">
        <v>5209</v>
      </c>
      <c r="D2327" s="1612">
        <v>0</v>
      </c>
      <c r="E2327" s="1706" t="s">
        <v>7592</v>
      </c>
      <c r="F2327" s="1613">
        <v>50500000</v>
      </c>
      <c r="G2327" s="1613">
        <v>97561235357</v>
      </c>
    </row>
    <row r="2328" spans="1:7" ht="17.25" customHeight="1" x14ac:dyDescent="0.2">
      <c r="A2328" s="1611">
        <v>15</v>
      </c>
      <c r="B2328" s="1611" t="s">
        <v>7275</v>
      </c>
      <c r="C2328" s="1611" t="s">
        <v>5210</v>
      </c>
      <c r="D2328" s="1612">
        <v>0</v>
      </c>
      <c r="E2328" s="1706" t="s">
        <v>7592</v>
      </c>
      <c r="F2328" s="1613">
        <v>3800000</v>
      </c>
      <c r="G2328" s="1613">
        <v>97565035357</v>
      </c>
    </row>
    <row r="2329" spans="1:7" ht="17.25" customHeight="1" x14ac:dyDescent="0.2">
      <c r="A2329" s="1611">
        <v>15</v>
      </c>
      <c r="B2329" s="1611" t="s">
        <v>7203</v>
      </c>
      <c r="C2329" s="1611" t="s">
        <v>5211</v>
      </c>
      <c r="D2329" s="1612">
        <v>0</v>
      </c>
      <c r="E2329" s="1706" t="s">
        <v>7592</v>
      </c>
      <c r="F2329" s="1613">
        <v>34500000</v>
      </c>
      <c r="G2329" s="1613">
        <v>97599535357</v>
      </c>
    </row>
    <row r="2330" spans="1:7" ht="17.25" customHeight="1" x14ac:dyDescent="0.2">
      <c r="A2330" s="1611">
        <v>15</v>
      </c>
      <c r="B2330" s="1611" t="s">
        <v>7203</v>
      </c>
      <c r="C2330" s="1611" t="s">
        <v>5212</v>
      </c>
      <c r="D2330" s="1612">
        <v>0</v>
      </c>
      <c r="E2330" s="1706" t="s">
        <v>7592</v>
      </c>
      <c r="F2330" s="1613">
        <v>36363636</v>
      </c>
      <c r="G2330" s="1613">
        <v>97635898993</v>
      </c>
    </row>
    <row r="2331" spans="1:7" ht="17.25" customHeight="1" x14ac:dyDescent="0.2">
      <c r="A2331" s="1611">
        <v>15</v>
      </c>
      <c r="B2331" s="1611" t="s">
        <v>7203</v>
      </c>
      <c r="C2331" s="1611" t="s">
        <v>4319</v>
      </c>
      <c r="D2331" s="1612">
        <v>0</v>
      </c>
      <c r="E2331" s="1706" t="s">
        <v>7592</v>
      </c>
      <c r="F2331" s="1613">
        <v>37000000</v>
      </c>
      <c r="G2331" s="1613">
        <v>97672898993</v>
      </c>
    </row>
    <row r="2332" spans="1:7" ht="17.25" customHeight="1" x14ac:dyDescent="0.2">
      <c r="A2332" s="1611">
        <v>15</v>
      </c>
      <c r="B2332" s="1611" t="s">
        <v>7251</v>
      </c>
      <c r="C2332" s="1611" t="s">
        <v>5213</v>
      </c>
      <c r="D2332" s="1612">
        <v>0</v>
      </c>
      <c r="E2332" s="1706" t="s">
        <v>7592</v>
      </c>
      <c r="F2332" s="1613">
        <v>35000000</v>
      </c>
      <c r="G2332" s="1613">
        <v>97707898993</v>
      </c>
    </row>
    <row r="2333" spans="1:7" ht="17.25" customHeight="1" x14ac:dyDescent="0.2">
      <c r="A2333" s="1611">
        <v>15</v>
      </c>
      <c r="B2333" s="1611" t="s">
        <v>7170</v>
      </c>
      <c r="C2333" s="1611" t="s">
        <v>5214</v>
      </c>
      <c r="D2333" s="1612">
        <v>0</v>
      </c>
      <c r="E2333" s="1706" t="s">
        <v>7592</v>
      </c>
      <c r="F2333" s="1613">
        <v>167636364</v>
      </c>
      <c r="G2333" s="1613">
        <v>97875535357</v>
      </c>
    </row>
    <row r="2334" spans="1:7" ht="17.25" customHeight="1" x14ac:dyDescent="0.2">
      <c r="A2334" s="1611">
        <v>15</v>
      </c>
      <c r="B2334" s="1611" t="s">
        <v>7246</v>
      </c>
      <c r="C2334" s="1611" t="s">
        <v>5210</v>
      </c>
      <c r="D2334" s="1612">
        <v>0</v>
      </c>
      <c r="E2334" s="1706" t="s">
        <v>7592</v>
      </c>
      <c r="F2334" s="1613">
        <v>69818182</v>
      </c>
      <c r="G2334" s="1613">
        <v>97945353539</v>
      </c>
    </row>
    <row r="2335" spans="1:7" ht="17.25" customHeight="1" x14ac:dyDescent="0.2">
      <c r="A2335" s="1611">
        <v>15</v>
      </c>
      <c r="B2335" s="1611" t="s">
        <v>7246</v>
      </c>
      <c r="C2335" s="1611" t="s">
        <v>5210</v>
      </c>
      <c r="D2335" s="1612">
        <v>0</v>
      </c>
      <c r="E2335" s="1706" t="s">
        <v>7592</v>
      </c>
      <c r="F2335" s="1613">
        <v>-69818182</v>
      </c>
      <c r="G2335" s="1613">
        <v>97875535357</v>
      </c>
    </row>
    <row r="2336" spans="1:7" ht="17.25" customHeight="1" x14ac:dyDescent="0.2">
      <c r="A2336" s="1611">
        <v>15</v>
      </c>
      <c r="B2336" s="1611" t="s">
        <v>7246</v>
      </c>
      <c r="C2336" s="1611" t="s">
        <v>5210</v>
      </c>
      <c r="D2336" s="1612">
        <v>0</v>
      </c>
      <c r="E2336" s="1706" t="s">
        <v>7592</v>
      </c>
      <c r="F2336" s="1613">
        <v>69818182</v>
      </c>
      <c r="G2336" s="1613">
        <v>97945353539</v>
      </c>
    </row>
    <row r="2337" spans="1:7" ht="17.25" customHeight="1" x14ac:dyDescent="0.2">
      <c r="A2337" s="1611">
        <v>15</v>
      </c>
      <c r="B2337" s="1611" t="s">
        <v>7154</v>
      </c>
      <c r="C2337" s="1611" t="s">
        <v>5215</v>
      </c>
      <c r="D2337" s="1612">
        <v>0</v>
      </c>
      <c r="E2337" s="1706" t="s">
        <v>7592</v>
      </c>
      <c r="F2337" s="1613">
        <v>51150000</v>
      </c>
      <c r="G2337" s="1613">
        <v>97996503539</v>
      </c>
    </row>
    <row r="2338" spans="1:7" ht="17.25" customHeight="1" x14ac:dyDescent="0.2">
      <c r="A2338" s="1611">
        <v>15</v>
      </c>
      <c r="B2338" s="1611" t="s">
        <v>7251</v>
      </c>
      <c r="C2338" s="1611" t="s">
        <v>5128</v>
      </c>
      <c r="D2338" s="1612">
        <v>0</v>
      </c>
      <c r="E2338" s="1706" t="s">
        <v>7592</v>
      </c>
      <c r="F2338" s="1613">
        <v>34090909</v>
      </c>
      <c r="G2338" s="1613">
        <v>98030594448</v>
      </c>
    </row>
    <row r="2339" spans="1:7" ht="17.25" customHeight="1" x14ac:dyDescent="0.2">
      <c r="A2339" s="1611">
        <v>15</v>
      </c>
      <c r="B2339" s="1611" t="s">
        <v>7186</v>
      </c>
      <c r="C2339" s="1611" t="s">
        <v>5216</v>
      </c>
      <c r="D2339" s="1612">
        <v>0</v>
      </c>
      <c r="E2339" s="1706" t="s">
        <v>7592</v>
      </c>
      <c r="F2339" s="1613">
        <v>53500000</v>
      </c>
      <c r="G2339" s="1613">
        <v>98084094448</v>
      </c>
    </row>
    <row r="2340" spans="1:7" ht="17.25" customHeight="1" x14ac:dyDescent="0.2">
      <c r="A2340" s="1611">
        <v>15</v>
      </c>
      <c r="B2340" s="1611" t="s">
        <v>7170</v>
      </c>
      <c r="C2340" s="1611" t="s">
        <v>5217</v>
      </c>
      <c r="D2340" s="1612">
        <v>0</v>
      </c>
      <c r="E2340" s="1706" t="s">
        <v>7592</v>
      </c>
      <c r="F2340" s="1613">
        <v>167000000</v>
      </c>
      <c r="G2340" s="1613">
        <v>98251094448</v>
      </c>
    </row>
    <row r="2341" spans="1:7" ht="17.25" customHeight="1" x14ac:dyDescent="0.2">
      <c r="A2341" s="1611">
        <v>15</v>
      </c>
      <c r="B2341" s="1611" t="s">
        <v>7245</v>
      </c>
      <c r="C2341" s="1611" t="s">
        <v>5218</v>
      </c>
      <c r="D2341" s="1612">
        <v>0</v>
      </c>
      <c r="E2341" s="1706" t="s">
        <v>7592</v>
      </c>
      <c r="F2341" s="1613">
        <v>40350000</v>
      </c>
      <c r="G2341" s="1613">
        <v>98291444448</v>
      </c>
    </row>
    <row r="2342" spans="1:7" ht="17.25" customHeight="1" x14ac:dyDescent="0.2">
      <c r="A2342" s="1611">
        <v>15</v>
      </c>
      <c r="B2342" s="1611" t="s">
        <v>7203</v>
      </c>
      <c r="C2342" s="1611" t="s">
        <v>5088</v>
      </c>
      <c r="D2342" s="1612">
        <v>0</v>
      </c>
      <c r="E2342" s="1706" t="s">
        <v>7592</v>
      </c>
      <c r="F2342" s="1613">
        <v>35000000</v>
      </c>
      <c r="G2342" s="1613">
        <v>98326444448</v>
      </c>
    </row>
    <row r="2343" spans="1:7" ht="17.25" customHeight="1" x14ac:dyDescent="0.2">
      <c r="A2343" s="1611">
        <v>15</v>
      </c>
      <c r="B2343" s="1611" t="s">
        <v>2954</v>
      </c>
      <c r="C2343" s="1611" t="s">
        <v>5219</v>
      </c>
      <c r="D2343" s="1612">
        <v>0</v>
      </c>
      <c r="E2343" s="1706" t="s">
        <v>7592</v>
      </c>
      <c r="F2343" s="1613">
        <v>13800000</v>
      </c>
      <c r="G2343" s="1613">
        <v>98340244448</v>
      </c>
    </row>
    <row r="2344" spans="1:7" ht="17.25" customHeight="1" x14ac:dyDescent="0.2">
      <c r="A2344" s="1611">
        <v>15</v>
      </c>
      <c r="B2344" s="1611" t="s">
        <v>7203</v>
      </c>
      <c r="C2344" s="1611" t="s">
        <v>3820</v>
      </c>
      <c r="D2344" s="1612">
        <v>0</v>
      </c>
      <c r="E2344" s="1706" t="s">
        <v>7592</v>
      </c>
      <c r="F2344" s="1613">
        <v>36363636</v>
      </c>
      <c r="G2344" s="1613">
        <v>98376608084</v>
      </c>
    </row>
    <row r="2345" spans="1:7" ht="17.25" customHeight="1" x14ac:dyDescent="0.2">
      <c r="A2345" s="1611">
        <v>15</v>
      </c>
      <c r="B2345" s="1611" t="s">
        <v>7203</v>
      </c>
      <c r="C2345" s="1611" t="s">
        <v>5220</v>
      </c>
      <c r="D2345" s="1612">
        <v>0</v>
      </c>
      <c r="E2345" s="1706" t="s">
        <v>7592</v>
      </c>
      <c r="F2345" s="1613">
        <v>36636364</v>
      </c>
      <c r="G2345" s="1613">
        <v>98413244448</v>
      </c>
    </row>
    <row r="2346" spans="1:7" ht="17.25" customHeight="1" x14ac:dyDescent="0.2">
      <c r="A2346" s="1611">
        <v>15</v>
      </c>
      <c r="B2346" s="1611" t="s">
        <v>7273</v>
      </c>
      <c r="C2346" s="1611" t="s">
        <v>5221</v>
      </c>
      <c r="D2346" s="1612">
        <v>0</v>
      </c>
      <c r="E2346" s="1706" t="s">
        <v>7592</v>
      </c>
      <c r="F2346" s="1613">
        <v>160000000</v>
      </c>
      <c r="G2346" s="1613">
        <v>98573244448</v>
      </c>
    </row>
    <row r="2347" spans="1:7" ht="17.25" customHeight="1" x14ac:dyDescent="0.2">
      <c r="A2347" s="1611">
        <v>15</v>
      </c>
      <c r="B2347" s="1611" t="s">
        <v>7156</v>
      </c>
      <c r="C2347" s="1611" t="s">
        <v>5222</v>
      </c>
      <c r="D2347" s="1612">
        <v>0</v>
      </c>
      <c r="E2347" s="1706" t="s">
        <v>7592</v>
      </c>
      <c r="F2347" s="1613">
        <v>14545455</v>
      </c>
      <c r="G2347" s="1613">
        <v>98587789903</v>
      </c>
    </row>
    <row r="2348" spans="1:7" ht="17.25" customHeight="1" x14ac:dyDescent="0.2">
      <c r="A2348" s="1611">
        <v>15</v>
      </c>
      <c r="B2348" s="1611" t="s">
        <v>2045</v>
      </c>
      <c r="C2348" s="1611" t="s">
        <v>214</v>
      </c>
      <c r="D2348" s="1612" t="s">
        <v>7555</v>
      </c>
      <c r="E2348" s="1706" t="s">
        <v>7592</v>
      </c>
      <c r="F2348" s="1613">
        <v>27242800</v>
      </c>
      <c r="G2348" s="1613">
        <v>98615032703</v>
      </c>
    </row>
    <row r="2349" spans="1:7" ht="17.25" customHeight="1" x14ac:dyDescent="0.2">
      <c r="A2349" s="1611">
        <v>15</v>
      </c>
      <c r="B2349" s="1611" t="s">
        <v>7251</v>
      </c>
      <c r="C2349" s="1611" t="s">
        <v>4060</v>
      </c>
      <c r="D2349" s="1612">
        <v>0</v>
      </c>
      <c r="E2349" s="1706" t="s">
        <v>7592</v>
      </c>
      <c r="F2349" s="1613">
        <v>32600000</v>
      </c>
      <c r="G2349" s="1613">
        <v>98647632703</v>
      </c>
    </row>
    <row r="2350" spans="1:7" ht="17.25" customHeight="1" x14ac:dyDescent="0.2">
      <c r="A2350" s="1611">
        <v>15</v>
      </c>
      <c r="B2350" s="1611" t="s">
        <v>7251</v>
      </c>
      <c r="C2350" s="1611" t="s">
        <v>5223</v>
      </c>
      <c r="D2350" s="1612">
        <v>0</v>
      </c>
      <c r="E2350" s="1706" t="s">
        <v>7592</v>
      </c>
      <c r="F2350" s="1613">
        <v>34560000</v>
      </c>
      <c r="G2350" s="1613">
        <v>98682192703</v>
      </c>
    </row>
    <row r="2351" spans="1:7" ht="17.25" customHeight="1" x14ac:dyDescent="0.2">
      <c r="A2351" s="1611">
        <v>15</v>
      </c>
      <c r="B2351" s="1611" t="s">
        <v>7203</v>
      </c>
      <c r="C2351" s="1611" t="s">
        <v>4619</v>
      </c>
      <c r="D2351" s="1612">
        <v>0</v>
      </c>
      <c r="E2351" s="1706" t="s">
        <v>7592</v>
      </c>
      <c r="F2351" s="1613">
        <v>33636364</v>
      </c>
      <c r="G2351" s="1613">
        <v>98715829067</v>
      </c>
    </row>
    <row r="2352" spans="1:7" ht="17.25" customHeight="1" x14ac:dyDescent="0.2">
      <c r="A2352" s="1611">
        <v>15</v>
      </c>
      <c r="B2352" s="1611" t="s">
        <v>7176</v>
      </c>
      <c r="C2352" s="1611" t="s">
        <v>4619</v>
      </c>
      <c r="D2352" s="1612">
        <v>0</v>
      </c>
      <c r="E2352" s="1706" t="s">
        <v>7592</v>
      </c>
      <c r="F2352" s="1613">
        <v>40545455</v>
      </c>
      <c r="G2352" s="1613">
        <v>98756374522</v>
      </c>
    </row>
    <row r="2353" spans="1:7" ht="17.25" customHeight="1" x14ac:dyDescent="0.2">
      <c r="A2353" s="1611">
        <v>15</v>
      </c>
      <c r="B2353" s="1611" t="s">
        <v>7284</v>
      </c>
      <c r="C2353" s="1611" t="s">
        <v>5116</v>
      </c>
      <c r="D2353" s="1612">
        <v>0</v>
      </c>
      <c r="E2353" s="1706" t="s">
        <v>7592</v>
      </c>
      <c r="F2353" s="1613">
        <v>6044455</v>
      </c>
      <c r="G2353" s="1613">
        <v>98762418977</v>
      </c>
    </row>
    <row r="2354" spans="1:7" ht="17.25" customHeight="1" x14ac:dyDescent="0.2">
      <c r="A2354" s="1611">
        <v>15</v>
      </c>
      <c r="B2354" s="1611" t="s">
        <v>7170</v>
      </c>
      <c r="C2354" s="1611" t="s">
        <v>5224</v>
      </c>
      <c r="D2354" s="1612">
        <v>0</v>
      </c>
      <c r="E2354" s="1706" t="s">
        <v>7592</v>
      </c>
      <c r="F2354" s="1613">
        <v>169400000</v>
      </c>
      <c r="G2354" s="1613">
        <v>98931818977</v>
      </c>
    </row>
    <row r="2355" spans="1:7" ht="17.25" customHeight="1" x14ac:dyDescent="0.2">
      <c r="A2355" s="1611">
        <v>15</v>
      </c>
      <c r="B2355" s="1611" t="s">
        <v>7282</v>
      </c>
      <c r="C2355" s="1611" t="s">
        <v>5225</v>
      </c>
      <c r="D2355" s="1612">
        <v>0</v>
      </c>
      <c r="E2355" s="1706" t="s">
        <v>7592</v>
      </c>
      <c r="F2355" s="1613">
        <v>150000000</v>
      </c>
      <c r="G2355" s="1613">
        <v>99081818977</v>
      </c>
    </row>
    <row r="2356" spans="1:7" ht="17.25" customHeight="1" x14ac:dyDescent="0.2">
      <c r="A2356" s="1611">
        <v>15</v>
      </c>
      <c r="B2356" s="1611" t="s">
        <v>7261</v>
      </c>
      <c r="C2356" s="1611" t="s">
        <v>5116</v>
      </c>
      <c r="D2356" s="1612">
        <v>0</v>
      </c>
      <c r="E2356" s="1706" t="s">
        <v>7592</v>
      </c>
      <c r="F2356" s="1613">
        <v>38727273</v>
      </c>
      <c r="G2356" s="1613">
        <v>99120546250</v>
      </c>
    </row>
    <row r="2357" spans="1:7" ht="17.25" customHeight="1" x14ac:dyDescent="0.2">
      <c r="A2357" s="1611">
        <v>15</v>
      </c>
      <c r="B2357" s="1611" t="s">
        <v>7203</v>
      </c>
      <c r="C2357" s="1611" t="s">
        <v>5226</v>
      </c>
      <c r="D2357" s="1612">
        <v>0</v>
      </c>
      <c r="E2357" s="1706" t="s">
        <v>7592</v>
      </c>
      <c r="F2357" s="1613">
        <v>36000000</v>
      </c>
      <c r="G2357" s="1613">
        <v>99156546250</v>
      </c>
    </row>
    <row r="2358" spans="1:7" ht="17.25" customHeight="1" x14ac:dyDescent="0.2">
      <c r="A2358" s="1611">
        <v>15</v>
      </c>
      <c r="B2358" s="1611" t="s">
        <v>7203</v>
      </c>
      <c r="C2358" s="1611" t="s">
        <v>4037</v>
      </c>
      <c r="D2358" s="1612">
        <v>0</v>
      </c>
      <c r="E2358" s="1706" t="s">
        <v>7592</v>
      </c>
      <c r="F2358" s="1613">
        <v>34800000</v>
      </c>
      <c r="G2358" s="1613">
        <v>99191346250</v>
      </c>
    </row>
    <row r="2359" spans="1:7" ht="17.25" customHeight="1" x14ac:dyDescent="0.2">
      <c r="A2359" s="1611">
        <v>15</v>
      </c>
      <c r="B2359" s="1611" t="s">
        <v>7156</v>
      </c>
      <c r="C2359" s="1611" t="s">
        <v>5227</v>
      </c>
      <c r="D2359" s="1612">
        <v>0</v>
      </c>
      <c r="E2359" s="1706" t="s">
        <v>7592</v>
      </c>
      <c r="F2359" s="1613">
        <v>14300000</v>
      </c>
      <c r="G2359" s="1613">
        <v>99205646250</v>
      </c>
    </row>
    <row r="2360" spans="1:7" ht="17.25" customHeight="1" x14ac:dyDescent="0.2">
      <c r="A2360" s="1611">
        <v>15</v>
      </c>
      <c r="B2360" s="1611" t="s">
        <v>3937</v>
      </c>
      <c r="C2360" s="1611" t="s">
        <v>5228</v>
      </c>
      <c r="D2360" s="1612">
        <v>0</v>
      </c>
      <c r="E2360" s="1706" t="s">
        <v>7592</v>
      </c>
      <c r="F2360" s="1613">
        <v>147000000</v>
      </c>
      <c r="G2360" s="1613">
        <v>99352646250</v>
      </c>
    </row>
    <row r="2361" spans="1:7" ht="17.25" customHeight="1" x14ac:dyDescent="0.2">
      <c r="A2361" s="1611">
        <v>15</v>
      </c>
      <c r="B2361" s="1611" t="s">
        <v>7203</v>
      </c>
      <c r="C2361" s="1611" t="s">
        <v>4305</v>
      </c>
      <c r="D2361" s="1612">
        <v>0</v>
      </c>
      <c r="E2361" s="1612" t="s">
        <v>3296</v>
      </c>
      <c r="F2361" s="1613">
        <v>574318400</v>
      </c>
      <c r="G2361" s="1613">
        <v>99926964650</v>
      </c>
    </row>
    <row r="2362" spans="1:7" ht="17.25" customHeight="1" x14ac:dyDescent="0.2">
      <c r="A2362" s="1611">
        <v>15</v>
      </c>
      <c r="B2362" s="1611" t="s">
        <v>7170</v>
      </c>
      <c r="C2362" s="1611" t="s">
        <v>4913</v>
      </c>
      <c r="D2362" s="1612">
        <v>0</v>
      </c>
      <c r="E2362" s="1706" t="s">
        <v>7592</v>
      </c>
      <c r="F2362" s="1613">
        <v>169000000</v>
      </c>
      <c r="G2362" s="1613">
        <v>100095964650</v>
      </c>
    </row>
    <row r="2363" spans="1:7" ht="17.25" customHeight="1" x14ac:dyDescent="0.2">
      <c r="A2363" s="1611">
        <v>15</v>
      </c>
      <c r="B2363" s="1611" t="s">
        <v>7252</v>
      </c>
      <c r="C2363" s="1611" t="s">
        <v>5229</v>
      </c>
      <c r="D2363" s="1612">
        <v>0</v>
      </c>
      <c r="E2363" s="1706" t="s">
        <v>7592</v>
      </c>
      <c r="F2363" s="1613">
        <v>61445456</v>
      </c>
      <c r="G2363" s="1613">
        <v>100157410106</v>
      </c>
    </row>
    <row r="2364" spans="1:7" ht="17.25" customHeight="1" x14ac:dyDescent="0.2">
      <c r="A2364" s="1611">
        <v>15</v>
      </c>
      <c r="B2364" s="1611" t="s">
        <v>7203</v>
      </c>
      <c r="C2364" s="1611" t="s">
        <v>5230</v>
      </c>
      <c r="D2364" s="1612">
        <v>0</v>
      </c>
      <c r="E2364" s="1706" t="s">
        <v>7592</v>
      </c>
      <c r="F2364" s="1613">
        <v>37272727</v>
      </c>
      <c r="G2364" s="1613">
        <v>100194682833</v>
      </c>
    </row>
    <row r="2365" spans="1:7" ht="17.25" customHeight="1" x14ac:dyDescent="0.2">
      <c r="A2365" s="1611">
        <v>15</v>
      </c>
      <c r="B2365" s="1611" t="s">
        <v>7203</v>
      </c>
      <c r="C2365" s="1611" t="s">
        <v>5231</v>
      </c>
      <c r="D2365" s="1612">
        <v>0</v>
      </c>
      <c r="E2365" s="1706" t="s">
        <v>7592</v>
      </c>
      <c r="F2365" s="1613">
        <v>33680000</v>
      </c>
      <c r="G2365" s="1613">
        <v>100228362833</v>
      </c>
    </row>
    <row r="2366" spans="1:7" ht="17.25" customHeight="1" x14ac:dyDescent="0.2">
      <c r="A2366" s="1611">
        <v>15</v>
      </c>
      <c r="B2366" s="1611" t="s">
        <v>7176</v>
      </c>
      <c r="C2366" s="1611" t="s">
        <v>3661</v>
      </c>
      <c r="D2366" s="1612">
        <v>0</v>
      </c>
      <c r="E2366" s="1706" t="s">
        <v>7592</v>
      </c>
      <c r="F2366" s="1613">
        <v>44545455</v>
      </c>
      <c r="G2366" s="1613">
        <v>100272908288</v>
      </c>
    </row>
    <row r="2367" spans="1:7" ht="17.25" customHeight="1" x14ac:dyDescent="0.2">
      <c r="A2367" s="1611">
        <v>15</v>
      </c>
      <c r="B2367" s="1611" t="s">
        <v>7176</v>
      </c>
      <c r="C2367" s="1611" t="s">
        <v>5232</v>
      </c>
      <c r="D2367" s="1612">
        <v>0</v>
      </c>
      <c r="E2367" s="1706" t="s">
        <v>7592</v>
      </c>
      <c r="F2367" s="1613">
        <v>44545455</v>
      </c>
      <c r="G2367" s="1613">
        <v>100317453743</v>
      </c>
    </row>
    <row r="2368" spans="1:7" ht="17.25" customHeight="1" x14ac:dyDescent="0.2">
      <c r="A2368" s="1611">
        <v>15</v>
      </c>
      <c r="B2368" s="1611" t="s">
        <v>7261</v>
      </c>
      <c r="C2368" s="1611" t="s">
        <v>5233</v>
      </c>
      <c r="D2368" s="1612">
        <v>0</v>
      </c>
      <c r="E2368" s="1706" t="s">
        <v>7592</v>
      </c>
      <c r="F2368" s="1613">
        <v>129090910</v>
      </c>
      <c r="G2368" s="1613">
        <v>100446544653</v>
      </c>
    </row>
    <row r="2369" spans="1:7" ht="17.25" customHeight="1" x14ac:dyDescent="0.2">
      <c r="A2369" s="1611">
        <v>15</v>
      </c>
      <c r="B2369" s="1611" t="s">
        <v>5234</v>
      </c>
      <c r="C2369" s="1611" t="s">
        <v>5172</v>
      </c>
      <c r="D2369" s="1612">
        <v>0</v>
      </c>
      <c r="E2369" s="1706" t="s">
        <v>7592</v>
      </c>
      <c r="F2369" s="1613">
        <v>60002600</v>
      </c>
      <c r="G2369" s="1613">
        <v>100506547253</v>
      </c>
    </row>
    <row r="2370" spans="1:7" ht="17.25" customHeight="1" x14ac:dyDescent="0.2">
      <c r="A2370" s="1611">
        <v>15</v>
      </c>
      <c r="B2370" s="1611" t="s">
        <v>7203</v>
      </c>
      <c r="C2370" s="1611" t="s">
        <v>5235</v>
      </c>
      <c r="D2370" s="1612">
        <v>0</v>
      </c>
      <c r="E2370" s="1706" t="s">
        <v>7592</v>
      </c>
      <c r="F2370" s="1613">
        <v>33500000</v>
      </c>
      <c r="G2370" s="1613">
        <v>100540047253</v>
      </c>
    </row>
    <row r="2371" spans="1:7" ht="17.25" customHeight="1" x14ac:dyDescent="0.2">
      <c r="A2371" s="1611">
        <v>15</v>
      </c>
      <c r="B2371" s="1611" t="s">
        <v>7156</v>
      </c>
      <c r="C2371" s="1611" t="s">
        <v>5236</v>
      </c>
      <c r="D2371" s="1612">
        <v>0</v>
      </c>
      <c r="E2371" s="1706" t="s">
        <v>7592</v>
      </c>
      <c r="F2371" s="1613">
        <v>14800000</v>
      </c>
      <c r="G2371" s="1613">
        <v>100554847253</v>
      </c>
    </row>
    <row r="2372" spans="1:7" ht="17.25" customHeight="1" x14ac:dyDescent="0.2">
      <c r="A2372" s="1611">
        <v>15</v>
      </c>
      <c r="B2372" s="1611" t="s">
        <v>7203</v>
      </c>
      <c r="C2372" s="1611" t="s">
        <v>5237</v>
      </c>
      <c r="D2372" s="1612">
        <v>0</v>
      </c>
      <c r="E2372" s="1706" t="s">
        <v>7592</v>
      </c>
      <c r="F2372" s="1613">
        <v>37272727</v>
      </c>
      <c r="G2372" s="1613">
        <v>100592119980</v>
      </c>
    </row>
    <row r="2373" spans="1:7" ht="17.25" customHeight="1" x14ac:dyDescent="0.2">
      <c r="A2373" s="1611">
        <v>15</v>
      </c>
      <c r="B2373" s="1611" t="s">
        <v>7176</v>
      </c>
      <c r="C2373" s="1611" t="s">
        <v>5238</v>
      </c>
      <c r="D2373" s="1612">
        <v>0</v>
      </c>
      <c r="E2373" s="1706" t="s">
        <v>7592</v>
      </c>
      <c r="F2373" s="1613">
        <v>42500000</v>
      </c>
      <c r="G2373" s="1613">
        <v>100634619980</v>
      </c>
    </row>
    <row r="2374" spans="1:7" ht="17.25" customHeight="1" x14ac:dyDescent="0.2">
      <c r="A2374" s="1611">
        <v>15</v>
      </c>
      <c r="B2374" s="1611" t="s">
        <v>7154</v>
      </c>
      <c r="C2374" s="1611" t="s">
        <v>5239</v>
      </c>
      <c r="D2374" s="1612">
        <v>0</v>
      </c>
      <c r="E2374" s="1706" t="s">
        <v>7592</v>
      </c>
      <c r="F2374" s="1613">
        <v>50909091</v>
      </c>
      <c r="G2374" s="1613">
        <v>100685529071</v>
      </c>
    </row>
    <row r="2375" spans="1:7" ht="17.25" customHeight="1" x14ac:dyDescent="0.2">
      <c r="A2375" s="1611">
        <v>15</v>
      </c>
      <c r="B2375" s="1611" t="s">
        <v>7203</v>
      </c>
      <c r="C2375" s="1611" t="s">
        <v>5240</v>
      </c>
      <c r="D2375" s="1612">
        <v>0</v>
      </c>
      <c r="E2375" s="1706" t="s">
        <v>7592</v>
      </c>
      <c r="F2375" s="1613">
        <v>34000000</v>
      </c>
      <c r="G2375" s="1613">
        <v>100719529071</v>
      </c>
    </row>
    <row r="2376" spans="1:7" ht="17.25" customHeight="1" x14ac:dyDescent="0.2">
      <c r="A2376" s="1611">
        <v>15</v>
      </c>
      <c r="B2376" s="1611" t="s">
        <v>7251</v>
      </c>
      <c r="C2376" s="1611" t="s">
        <v>4085</v>
      </c>
      <c r="D2376" s="1612">
        <v>0</v>
      </c>
      <c r="E2376" s="1706" t="s">
        <v>7592</v>
      </c>
      <c r="F2376" s="1613">
        <v>34400000</v>
      </c>
      <c r="G2376" s="1613">
        <v>100753929071</v>
      </c>
    </row>
    <row r="2377" spans="1:7" ht="17.25" customHeight="1" x14ac:dyDescent="0.2">
      <c r="A2377" s="1611">
        <v>15</v>
      </c>
      <c r="B2377" s="1611" t="s">
        <v>7203</v>
      </c>
      <c r="C2377" s="1611" t="s">
        <v>3612</v>
      </c>
      <c r="D2377" s="1612">
        <v>0</v>
      </c>
      <c r="E2377" s="1706" t="s">
        <v>7592</v>
      </c>
      <c r="F2377" s="1613">
        <v>36300000</v>
      </c>
      <c r="G2377" s="1613">
        <v>100790229071</v>
      </c>
    </row>
    <row r="2378" spans="1:7" ht="17.25" customHeight="1" x14ac:dyDescent="0.2">
      <c r="A2378" s="1611">
        <v>15</v>
      </c>
      <c r="B2378" s="1611" t="s">
        <v>7203</v>
      </c>
      <c r="C2378" s="1611" t="s">
        <v>5241</v>
      </c>
      <c r="D2378" s="1612">
        <v>0</v>
      </c>
      <c r="E2378" s="1706" t="s">
        <v>7592</v>
      </c>
      <c r="F2378" s="1613">
        <v>34550000</v>
      </c>
      <c r="G2378" s="1613">
        <v>100824779071</v>
      </c>
    </row>
    <row r="2379" spans="1:7" ht="17.25" customHeight="1" x14ac:dyDescent="0.2">
      <c r="A2379" s="1611">
        <v>15</v>
      </c>
      <c r="B2379" s="1611" t="s">
        <v>7156</v>
      </c>
      <c r="C2379" s="1611" t="s">
        <v>5242</v>
      </c>
      <c r="D2379" s="1612">
        <v>0</v>
      </c>
      <c r="E2379" s="1706" t="s">
        <v>7592</v>
      </c>
      <c r="F2379" s="1613">
        <v>15000000</v>
      </c>
      <c r="G2379" s="1613">
        <v>100839779071</v>
      </c>
    </row>
    <row r="2380" spans="1:7" ht="17.25" customHeight="1" x14ac:dyDescent="0.2">
      <c r="A2380" s="1611">
        <v>15</v>
      </c>
      <c r="B2380" s="1611" t="s">
        <v>7156</v>
      </c>
      <c r="C2380" s="1611" t="s">
        <v>5243</v>
      </c>
      <c r="D2380" s="1612">
        <v>0</v>
      </c>
      <c r="E2380" s="1706" t="s">
        <v>7592</v>
      </c>
      <c r="F2380" s="1613">
        <v>14500000</v>
      </c>
      <c r="G2380" s="1613">
        <v>100854279071</v>
      </c>
    </row>
    <row r="2381" spans="1:7" ht="17.25" customHeight="1" x14ac:dyDescent="0.2">
      <c r="A2381" s="1611">
        <v>15</v>
      </c>
      <c r="B2381" s="1611" t="s">
        <v>7203</v>
      </c>
      <c r="C2381" s="1611" t="s">
        <v>5244</v>
      </c>
      <c r="D2381" s="1612">
        <v>0</v>
      </c>
      <c r="E2381" s="1706" t="s">
        <v>7592</v>
      </c>
      <c r="F2381" s="1613">
        <v>34000000</v>
      </c>
      <c r="G2381" s="1613">
        <v>100888279071</v>
      </c>
    </row>
    <row r="2382" spans="1:7" ht="17.25" customHeight="1" x14ac:dyDescent="0.2">
      <c r="A2382" s="1611">
        <v>15</v>
      </c>
      <c r="B2382" s="1611" t="s">
        <v>7203</v>
      </c>
      <c r="C2382" s="1611" t="s">
        <v>5245</v>
      </c>
      <c r="D2382" s="1612">
        <v>0</v>
      </c>
      <c r="E2382" s="1706" t="s">
        <v>7592</v>
      </c>
      <c r="F2382" s="1613">
        <v>34545454</v>
      </c>
      <c r="G2382" s="1613">
        <v>100922824525</v>
      </c>
    </row>
    <row r="2383" spans="1:7" ht="17.25" customHeight="1" x14ac:dyDescent="0.2">
      <c r="A2383" s="1611">
        <v>15</v>
      </c>
      <c r="B2383" s="1611" t="s">
        <v>7203</v>
      </c>
      <c r="C2383" s="1611" t="s">
        <v>5246</v>
      </c>
      <c r="D2383" s="1612">
        <v>0</v>
      </c>
      <c r="E2383" s="1706" t="s">
        <v>7592</v>
      </c>
      <c r="F2383" s="1613">
        <v>34500000</v>
      </c>
      <c r="G2383" s="1613">
        <v>100957324525</v>
      </c>
    </row>
    <row r="2384" spans="1:7" ht="17.25" customHeight="1" x14ac:dyDescent="0.2">
      <c r="A2384" s="1611">
        <v>15</v>
      </c>
      <c r="B2384" s="1611" t="s">
        <v>7176</v>
      </c>
      <c r="C2384" s="1611" t="s">
        <v>5247</v>
      </c>
      <c r="D2384" s="1612">
        <v>0</v>
      </c>
      <c r="E2384" s="1706" t="s">
        <v>7592</v>
      </c>
      <c r="F2384" s="1613">
        <v>41000000</v>
      </c>
      <c r="G2384" s="1613">
        <v>100998324525</v>
      </c>
    </row>
    <row r="2385" spans="1:7" ht="17.25" customHeight="1" x14ac:dyDescent="0.2">
      <c r="A2385" s="1611">
        <v>15</v>
      </c>
      <c r="B2385" s="1611" t="s">
        <v>7257</v>
      </c>
      <c r="C2385" s="1611" t="s">
        <v>5078</v>
      </c>
      <c r="D2385" s="1612">
        <v>0</v>
      </c>
      <c r="E2385" s="1706" t="s">
        <v>7592</v>
      </c>
      <c r="F2385" s="1613">
        <v>16030000</v>
      </c>
      <c r="G2385" s="1613">
        <v>101014354525</v>
      </c>
    </row>
    <row r="2386" spans="1:7" ht="17.25" customHeight="1" x14ac:dyDescent="0.2">
      <c r="A2386" s="1611">
        <v>15</v>
      </c>
      <c r="B2386" s="1611" t="s">
        <v>7154</v>
      </c>
      <c r="C2386" s="1611" t="s">
        <v>5248</v>
      </c>
      <c r="D2386" s="1612">
        <v>0</v>
      </c>
      <c r="E2386" s="1706" t="s">
        <v>7592</v>
      </c>
      <c r="F2386" s="1613">
        <v>49000000</v>
      </c>
      <c r="G2386" s="1613">
        <v>101063354525</v>
      </c>
    </row>
    <row r="2387" spans="1:7" ht="17.25" customHeight="1" x14ac:dyDescent="0.2">
      <c r="A2387" s="1611">
        <v>15</v>
      </c>
      <c r="B2387" s="1611" t="s">
        <v>7251</v>
      </c>
      <c r="C2387" s="1611" t="s">
        <v>5249</v>
      </c>
      <c r="D2387" s="1612">
        <v>0</v>
      </c>
      <c r="E2387" s="1706" t="s">
        <v>7592</v>
      </c>
      <c r="F2387" s="1613">
        <v>34500000</v>
      </c>
      <c r="G2387" s="1613">
        <v>101097854525</v>
      </c>
    </row>
    <row r="2388" spans="1:7" ht="17.25" customHeight="1" x14ac:dyDescent="0.2">
      <c r="A2388" s="1611">
        <v>15</v>
      </c>
      <c r="B2388" s="1611" t="s">
        <v>7203</v>
      </c>
      <c r="C2388" s="1611" t="s">
        <v>5250</v>
      </c>
      <c r="D2388" s="1612">
        <v>0</v>
      </c>
      <c r="E2388" s="1706" t="s">
        <v>7592</v>
      </c>
      <c r="F2388" s="1613">
        <v>42584728</v>
      </c>
      <c r="G2388" s="1613">
        <v>101140439253</v>
      </c>
    </row>
    <row r="2389" spans="1:7" ht="17.25" customHeight="1" x14ac:dyDescent="0.2">
      <c r="A2389" s="1611">
        <v>15</v>
      </c>
      <c r="B2389" s="1611" t="s">
        <v>7203</v>
      </c>
      <c r="C2389" s="1611" t="s">
        <v>5250</v>
      </c>
      <c r="D2389" s="1612">
        <v>0</v>
      </c>
      <c r="E2389" s="1706" t="s">
        <v>7592</v>
      </c>
      <c r="F2389" s="1613">
        <v>42584728</v>
      </c>
      <c r="G2389" s="1613">
        <v>101183023981</v>
      </c>
    </row>
    <row r="2390" spans="1:7" ht="17.25" customHeight="1" x14ac:dyDescent="0.2">
      <c r="A2390" s="1611">
        <v>15</v>
      </c>
      <c r="B2390" s="1611" t="s">
        <v>7203</v>
      </c>
      <c r="C2390" s="1611" t="s">
        <v>5250</v>
      </c>
      <c r="D2390" s="1612">
        <v>0</v>
      </c>
      <c r="E2390" s="1706" t="s">
        <v>7592</v>
      </c>
      <c r="F2390" s="1613">
        <v>42584728</v>
      </c>
      <c r="G2390" s="1613">
        <v>101225608709</v>
      </c>
    </row>
    <row r="2391" spans="1:7" ht="17.25" customHeight="1" x14ac:dyDescent="0.2">
      <c r="A2391" s="1611">
        <v>15</v>
      </c>
      <c r="B2391" s="1611" t="s">
        <v>7203</v>
      </c>
      <c r="C2391" s="1611" t="s">
        <v>5250</v>
      </c>
      <c r="D2391" s="1612">
        <v>0</v>
      </c>
      <c r="E2391" s="1706" t="s">
        <v>7592</v>
      </c>
      <c r="F2391" s="1613">
        <v>42584728</v>
      </c>
      <c r="G2391" s="1613">
        <v>101268193437</v>
      </c>
    </row>
    <row r="2392" spans="1:7" ht="17.25" customHeight="1" x14ac:dyDescent="0.2">
      <c r="A2392" s="1611">
        <v>15</v>
      </c>
      <c r="B2392" s="1611" t="s">
        <v>7203</v>
      </c>
      <c r="C2392" s="1611" t="s">
        <v>5250</v>
      </c>
      <c r="D2392" s="1612">
        <v>0</v>
      </c>
      <c r="E2392" s="1706" t="s">
        <v>7592</v>
      </c>
      <c r="F2392" s="1613">
        <v>42584728</v>
      </c>
      <c r="G2392" s="1613">
        <v>101310778165</v>
      </c>
    </row>
    <row r="2393" spans="1:7" ht="17.25" customHeight="1" x14ac:dyDescent="0.2">
      <c r="A2393" s="1611">
        <v>15</v>
      </c>
      <c r="B2393" s="1611" t="s">
        <v>7203</v>
      </c>
      <c r="C2393" s="1611" t="s">
        <v>5250</v>
      </c>
      <c r="D2393" s="1612">
        <v>0</v>
      </c>
      <c r="E2393" s="1706" t="s">
        <v>7592</v>
      </c>
      <c r="F2393" s="1613">
        <v>42584728</v>
      </c>
      <c r="G2393" s="1613">
        <v>101353362893</v>
      </c>
    </row>
    <row r="2394" spans="1:7" ht="17.25" customHeight="1" x14ac:dyDescent="0.2">
      <c r="A2394" s="1611">
        <v>15</v>
      </c>
      <c r="B2394" s="1611" t="s">
        <v>7203</v>
      </c>
      <c r="C2394" s="1611" t="s">
        <v>5250</v>
      </c>
      <c r="D2394" s="1612">
        <v>0</v>
      </c>
      <c r="E2394" s="1706" t="s">
        <v>7592</v>
      </c>
      <c r="F2394" s="1613">
        <v>42584728</v>
      </c>
      <c r="G2394" s="1613">
        <v>101395947621</v>
      </c>
    </row>
    <row r="2395" spans="1:7" ht="17.25" customHeight="1" x14ac:dyDescent="0.2">
      <c r="A2395" s="1611">
        <v>15</v>
      </c>
      <c r="B2395" s="1611" t="s">
        <v>7203</v>
      </c>
      <c r="C2395" s="1611" t="s">
        <v>5250</v>
      </c>
      <c r="D2395" s="1612">
        <v>0</v>
      </c>
      <c r="E2395" s="1706" t="s">
        <v>7592</v>
      </c>
      <c r="F2395" s="1613">
        <v>42584728</v>
      </c>
      <c r="G2395" s="1613">
        <v>101438532349</v>
      </c>
    </row>
    <row r="2396" spans="1:7" ht="17.25" customHeight="1" x14ac:dyDescent="0.2">
      <c r="A2396" s="1611">
        <v>15</v>
      </c>
      <c r="B2396" s="1611" t="s">
        <v>7203</v>
      </c>
      <c r="C2396" s="1611" t="s">
        <v>5250</v>
      </c>
      <c r="D2396" s="1612">
        <v>0</v>
      </c>
      <c r="E2396" s="1706" t="s">
        <v>7592</v>
      </c>
      <c r="F2396" s="1613">
        <v>42584728</v>
      </c>
      <c r="G2396" s="1613">
        <v>101481117077</v>
      </c>
    </row>
    <row r="2397" spans="1:7" ht="17.25" customHeight="1" x14ac:dyDescent="0.2">
      <c r="A2397" s="1611">
        <v>15</v>
      </c>
      <c r="B2397" s="1611" t="s">
        <v>7203</v>
      </c>
      <c r="C2397" s="1611" t="s">
        <v>5250</v>
      </c>
      <c r="D2397" s="1612">
        <v>0</v>
      </c>
      <c r="E2397" s="1706" t="s">
        <v>7592</v>
      </c>
      <c r="F2397" s="1613">
        <v>42584728</v>
      </c>
      <c r="G2397" s="1613">
        <v>101523701805</v>
      </c>
    </row>
    <row r="2398" spans="1:7" ht="17.25" customHeight="1" x14ac:dyDescent="0.2">
      <c r="A2398" s="1611">
        <v>15</v>
      </c>
      <c r="B2398" s="1611" t="s">
        <v>7203</v>
      </c>
      <c r="C2398" s="1611" t="s">
        <v>5250</v>
      </c>
      <c r="D2398" s="1612">
        <v>0</v>
      </c>
      <c r="E2398" s="1706" t="s">
        <v>7592</v>
      </c>
      <c r="F2398" s="1613">
        <v>42584728</v>
      </c>
      <c r="G2398" s="1613">
        <v>101566286533</v>
      </c>
    </row>
    <row r="2399" spans="1:7" ht="17.25" customHeight="1" x14ac:dyDescent="0.2">
      <c r="A2399" s="1611">
        <v>15</v>
      </c>
      <c r="B2399" s="1611" t="s">
        <v>7203</v>
      </c>
      <c r="C2399" s="1611" t="s">
        <v>5250</v>
      </c>
      <c r="D2399" s="1612">
        <v>0</v>
      </c>
      <c r="E2399" s="1706" t="s">
        <v>7592</v>
      </c>
      <c r="F2399" s="1613">
        <v>42584728</v>
      </c>
      <c r="G2399" s="1613">
        <v>101608871261</v>
      </c>
    </row>
    <row r="2400" spans="1:7" ht="17.25" customHeight="1" x14ac:dyDescent="0.2">
      <c r="A2400" s="1611">
        <v>15</v>
      </c>
      <c r="B2400" s="1611" t="s">
        <v>7203</v>
      </c>
      <c r="C2400" s="1611" t="s">
        <v>5250</v>
      </c>
      <c r="D2400" s="1612">
        <v>0</v>
      </c>
      <c r="E2400" s="1706" t="s">
        <v>7592</v>
      </c>
      <c r="F2400" s="1613">
        <v>42584728</v>
      </c>
      <c r="G2400" s="1613">
        <v>101651455989</v>
      </c>
    </row>
    <row r="2401" spans="1:7" ht="17.25" customHeight="1" x14ac:dyDescent="0.2">
      <c r="A2401" s="1611">
        <v>15</v>
      </c>
      <c r="B2401" s="1611" t="s">
        <v>7203</v>
      </c>
      <c r="C2401" s="1611" t="s">
        <v>5250</v>
      </c>
      <c r="D2401" s="1612">
        <v>0</v>
      </c>
      <c r="E2401" s="1706" t="s">
        <v>7592</v>
      </c>
      <c r="F2401" s="1613">
        <v>42584728</v>
      </c>
      <c r="G2401" s="1613">
        <v>101694040717</v>
      </c>
    </row>
    <row r="2402" spans="1:7" ht="17.25" customHeight="1" x14ac:dyDescent="0.2">
      <c r="A2402" s="1611">
        <v>15</v>
      </c>
      <c r="B2402" s="1611" t="s">
        <v>7203</v>
      </c>
      <c r="C2402" s="1611" t="s">
        <v>5250</v>
      </c>
      <c r="D2402" s="1612">
        <v>0</v>
      </c>
      <c r="E2402" s="1706" t="s">
        <v>7592</v>
      </c>
      <c r="F2402" s="1613">
        <v>42584728</v>
      </c>
      <c r="G2402" s="1613">
        <v>101736625445</v>
      </c>
    </row>
    <row r="2403" spans="1:7" ht="17.25" customHeight="1" x14ac:dyDescent="0.2">
      <c r="A2403" s="1611">
        <v>15</v>
      </c>
      <c r="B2403" s="1611" t="s">
        <v>7203</v>
      </c>
      <c r="C2403" s="1611" t="s">
        <v>5250</v>
      </c>
      <c r="D2403" s="1612">
        <v>0</v>
      </c>
      <c r="E2403" s="1706" t="s">
        <v>7592</v>
      </c>
      <c r="F2403" s="1613">
        <v>42584728</v>
      </c>
      <c r="G2403" s="1613">
        <v>101779210173</v>
      </c>
    </row>
    <row r="2404" spans="1:7" ht="17.25" customHeight="1" x14ac:dyDescent="0.2">
      <c r="A2404" s="1611">
        <v>15</v>
      </c>
      <c r="B2404" s="1611" t="s">
        <v>7203</v>
      </c>
      <c r="C2404" s="1611" t="s">
        <v>5250</v>
      </c>
      <c r="D2404" s="1612">
        <v>0</v>
      </c>
      <c r="E2404" s="1706" t="s">
        <v>7592</v>
      </c>
      <c r="F2404" s="1613">
        <v>42584728</v>
      </c>
      <c r="G2404" s="1613">
        <v>101821794901</v>
      </c>
    </row>
    <row r="2405" spans="1:7" ht="17.25" customHeight="1" x14ac:dyDescent="0.2">
      <c r="A2405" s="1611">
        <v>15</v>
      </c>
      <c r="B2405" s="1611" t="s">
        <v>7203</v>
      </c>
      <c r="C2405" s="1611" t="s">
        <v>5250</v>
      </c>
      <c r="D2405" s="1612">
        <v>0</v>
      </c>
      <c r="E2405" s="1706" t="s">
        <v>7592</v>
      </c>
      <c r="F2405" s="1613">
        <v>42584728</v>
      </c>
      <c r="G2405" s="1613">
        <v>101864379629</v>
      </c>
    </row>
    <row r="2406" spans="1:7" ht="17.25" customHeight="1" x14ac:dyDescent="0.2">
      <c r="A2406" s="1611">
        <v>15</v>
      </c>
      <c r="B2406" s="1611" t="s">
        <v>7203</v>
      </c>
      <c r="C2406" s="1611" t="s">
        <v>5250</v>
      </c>
      <c r="D2406" s="1612">
        <v>0</v>
      </c>
      <c r="E2406" s="1706" t="s">
        <v>7592</v>
      </c>
      <c r="F2406" s="1613">
        <v>42584728</v>
      </c>
      <c r="G2406" s="1613">
        <v>101906964357</v>
      </c>
    </row>
    <row r="2407" spans="1:7" ht="17.25" customHeight="1" x14ac:dyDescent="0.2">
      <c r="A2407" s="1611">
        <v>15</v>
      </c>
      <c r="B2407" s="1611" t="s">
        <v>7203</v>
      </c>
      <c r="C2407" s="1611" t="s">
        <v>5250</v>
      </c>
      <c r="D2407" s="1612">
        <v>0</v>
      </c>
      <c r="E2407" s="1706" t="s">
        <v>7592</v>
      </c>
      <c r="F2407" s="1613">
        <v>42584728</v>
      </c>
      <c r="G2407" s="1613">
        <v>101949549085</v>
      </c>
    </row>
    <row r="2408" spans="1:7" ht="17.25" customHeight="1" x14ac:dyDescent="0.2">
      <c r="A2408" s="1611">
        <v>15</v>
      </c>
      <c r="B2408" s="1611" t="s">
        <v>7203</v>
      </c>
      <c r="C2408" s="1611" t="s">
        <v>5250</v>
      </c>
      <c r="D2408" s="1612">
        <v>0</v>
      </c>
      <c r="E2408" s="1706" t="s">
        <v>7592</v>
      </c>
      <c r="F2408" s="1613">
        <v>42584728</v>
      </c>
      <c r="G2408" s="1613">
        <v>101992133813</v>
      </c>
    </row>
    <row r="2409" spans="1:7" ht="17.25" customHeight="1" x14ac:dyDescent="0.2">
      <c r="A2409" s="1611">
        <v>15</v>
      </c>
      <c r="B2409" s="1611" t="s">
        <v>7203</v>
      </c>
      <c r="C2409" s="1611" t="s">
        <v>5250</v>
      </c>
      <c r="D2409" s="1612">
        <v>0</v>
      </c>
      <c r="E2409" s="1706" t="s">
        <v>7592</v>
      </c>
      <c r="F2409" s="1613">
        <v>42584728</v>
      </c>
      <c r="G2409" s="1613">
        <v>102034718541</v>
      </c>
    </row>
    <row r="2410" spans="1:7" ht="17.25" customHeight="1" x14ac:dyDescent="0.2">
      <c r="A2410" s="1611">
        <v>15</v>
      </c>
      <c r="B2410" s="1611" t="s">
        <v>7203</v>
      </c>
      <c r="C2410" s="1611" t="s">
        <v>5250</v>
      </c>
      <c r="D2410" s="1612">
        <v>0</v>
      </c>
      <c r="E2410" s="1706" t="s">
        <v>7592</v>
      </c>
      <c r="F2410" s="1613">
        <v>42584728</v>
      </c>
      <c r="G2410" s="1613">
        <v>102077303269</v>
      </c>
    </row>
    <row r="2411" spans="1:7" ht="17.25" customHeight="1" x14ac:dyDescent="0.2">
      <c r="A2411" s="1611">
        <v>15</v>
      </c>
      <c r="B2411" s="1611" t="s">
        <v>7282</v>
      </c>
      <c r="C2411" s="1611" t="s">
        <v>5251</v>
      </c>
      <c r="D2411" s="1612">
        <v>0</v>
      </c>
      <c r="E2411" s="1706" t="s">
        <v>7592</v>
      </c>
      <c r="F2411" s="1613">
        <v>146500000</v>
      </c>
      <c r="G2411" s="1613">
        <v>102223803269</v>
      </c>
    </row>
    <row r="2412" spans="1:7" ht="17.25" customHeight="1" x14ac:dyDescent="0.2">
      <c r="A2412" s="1611">
        <v>15</v>
      </c>
      <c r="B2412" s="1611" t="s">
        <v>7203</v>
      </c>
      <c r="C2412" s="1611" t="s">
        <v>5252</v>
      </c>
      <c r="D2412" s="1612">
        <v>0</v>
      </c>
      <c r="E2412" s="1706" t="s">
        <v>7592</v>
      </c>
      <c r="F2412" s="1613">
        <v>39545455</v>
      </c>
      <c r="G2412" s="1613">
        <v>102263348724</v>
      </c>
    </row>
    <row r="2413" spans="1:7" ht="17.25" customHeight="1" x14ac:dyDescent="0.2">
      <c r="A2413" s="1611">
        <v>15</v>
      </c>
      <c r="B2413" s="1611" t="s">
        <v>7203</v>
      </c>
      <c r="C2413" s="1611" t="s">
        <v>5252</v>
      </c>
      <c r="D2413" s="1612">
        <v>0</v>
      </c>
      <c r="E2413" s="1706" t="s">
        <v>7592</v>
      </c>
      <c r="F2413" s="1613">
        <v>39545455</v>
      </c>
      <c r="G2413" s="1613">
        <v>102302894179</v>
      </c>
    </row>
    <row r="2414" spans="1:7" ht="17.25" customHeight="1" x14ac:dyDescent="0.2">
      <c r="A2414" s="1611">
        <v>15</v>
      </c>
      <c r="B2414" s="1611" t="s">
        <v>7203</v>
      </c>
      <c r="C2414" s="1611" t="s">
        <v>5252</v>
      </c>
      <c r="D2414" s="1612">
        <v>0</v>
      </c>
      <c r="E2414" s="1706" t="s">
        <v>7592</v>
      </c>
      <c r="F2414" s="1613">
        <v>39545455</v>
      </c>
      <c r="G2414" s="1613">
        <v>102342439634</v>
      </c>
    </row>
    <row r="2415" spans="1:7" ht="17.25" customHeight="1" x14ac:dyDescent="0.2">
      <c r="A2415" s="1611">
        <v>15</v>
      </c>
      <c r="B2415" s="1611" t="s">
        <v>7203</v>
      </c>
      <c r="C2415" s="1611" t="s">
        <v>5252</v>
      </c>
      <c r="D2415" s="1612">
        <v>0</v>
      </c>
      <c r="E2415" s="1706" t="s">
        <v>7592</v>
      </c>
      <c r="F2415" s="1613">
        <v>39545455</v>
      </c>
      <c r="G2415" s="1613">
        <v>102381985089</v>
      </c>
    </row>
    <row r="2416" spans="1:7" ht="17.25" customHeight="1" x14ac:dyDescent="0.2">
      <c r="A2416" s="1611">
        <v>15</v>
      </c>
      <c r="B2416" s="1611" t="s">
        <v>7156</v>
      </c>
      <c r="C2416" s="1611" t="s">
        <v>5253</v>
      </c>
      <c r="D2416" s="1612">
        <v>0</v>
      </c>
      <c r="E2416" s="1706" t="s">
        <v>7592</v>
      </c>
      <c r="F2416" s="1613">
        <v>16500000</v>
      </c>
      <c r="G2416" s="1613">
        <v>102398485089</v>
      </c>
    </row>
    <row r="2417" spans="1:7" ht="17.25" customHeight="1" x14ac:dyDescent="0.2">
      <c r="A2417" s="1611">
        <v>15</v>
      </c>
      <c r="B2417" s="1611" t="s">
        <v>7203</v>
      </c>
      <c r="C2417" s="1611" t="s">
        <v>5254</v>
      </c>
      <c r="D2417" s="1612">
        <v>0</v>
      </c>
      <c r="E2417" s="1706" t="s">
        <v>7592</v>
      </c>
      <c r="F2417" s="1613">
        <v>35454545</v>
      </c>
      <c r="G2417" s="1613">
        <v>102433939634</v>
      </c>
    </row>
    <row r="2418" spans="1:7" ht="17.25" customHeight="1" x14ac:dyDescent="0.2">
      <c r="A2418" s="1611">
        <v>15</v>
      </c>
      <c r="B2418" s="1611" t="s">
        <v>7203</v>
      </c>
      <c r="C2418" s="1611" t="s">
        <v>5255</v>
      </c>
      <c r="D2418" s="1612">
        <v>0</v>
      </c>
      <c r="E2418" s="1706" t="s">
        <v>7592</v>
      </c>
      <c r="F2418" s="1613">
        <v>35700000</v>
      </c>
      <c r="G2418" s="1613">
        <v>102469639634</v>
      </c>
    </row>
    <row r="2419" spans="1:7" ht="17.25" customHeight="1" x14ac:dyDescent="0.2">
      <c r="A2419" s="1611">
        <v>15</v>
      </c>
      <c r="B2419" s="1611" t="s">
        <v>7261</v>
      </c>
      <c r="C2419" s="1611" t="s">
        <v>5256</v>
      </c>
      <c r="D2419" s="1612">
        <v>0</v>
      </c>
      <c r="E2419" s="1706" t="s">
        <v>7592</v>
      </c>
      <c r="F2419" s="1613">
        <v>138000000</v>
      </c>
      <c r="G2419" s="1613">
        <v>102607639634</v>
      </c>
    </row>
    <row r="2420" spans="1:7" ht="17.25" customHeight="1" x14ac:dyDescent="0.2">
      <c r="A2420" s="1611">
        <v>15</v>
      </c>
      <c r="B2420" s="1611" t="s">
        <v>7203</v>
      </c>
      <c r="C2420" s="1611" t="s">
        <v>5252</v>
      </c>
      <c r="D2420" s="1612">
        <v>0</v>
      </c>
      <c r="E2420" s="1706" t="s">
        <v>7592</v>
      </c>
      <c r="F2420" s="1613">
        <v>-39545455</v>
      </c>
      <c r="G2420" s="1613">
        <v>102568094179</v>
      </c>
    </row>
    <row r="2421" spans="1:7" ht="17.25" customHeight="1" x14ac:dyDescent="0.2">
      <c r="A2421" s="1611">
        <v>15</v>
      </c>
      <c r="B2421" s="1611" t="s">
        <v>7203</v>
      </c>
      <c r="C2421" s="1611" t="s">
        <v>5252</v>
      </c>
      <c r="D2421" s="1612">
        <v>0</v>
      </c>
      <c r="E2421" s="1706" t="s">
        <v>7592</v>
      </c>
      <c r="F2421" s="1613">
        <v>39545455</v>
      </c>
      <c r="G2421" s="1613">
        <v>102607639634</v>
      </c>
    </row>
    <row r="2422" spans="1:7" ht="17.25" customHeight="1" x14ac:dyDescent="0.2">
      <c r="A2422" s="1611">
        <v>15</v>
      </c>
      <c r="B2422" s="1611" t="s">
        <v>7203</v>
      </c>
      <c r="C2422" s="1611" t="s">
        <v>5252</v>
      </c>
      <c r="D2422" s="1612">
        <v>0</v>
      </c>
      <c r="E2422" s="1706" t="s">
        <v>7592</v>
      </c>
      <c r="F2422" s="1613">
        <v>-39545455</v>
      </c>
      <c r="G2422" s="1613">
        <v>102568094179</v>
      </c>
    </row>
    <row r="2423" spans="1:7" ht="17.25" customHeight="1" x14ac:dyDescent="0.2">
      <c r="A2423" s="1611">
        <v>15</v>
      </c>
      <c r="B2423" s="1611" t="s">
        <v>7203</v>
      </c>
      <c r="C2423" s="1611" t="s">
        <v>5252</v>
      </c>
      <c r="D2423" s="1612">
        <v>0</v>
      </c>
      <c r="E2423" s="1706" t="s">
        <v>7592</v>
      </c>
      <c r="F2423" s="1613">
        <v>39545455</v>
      </c>
      <c r="G2423" s="1613">
        <v>102607639634</v>
      </c>
    </row>
    <row r="2424" spans="1:7" ht="17.25" customHeight="1" x14ac:dyDescent="0.2">
      <c r="A2424" s="1611">
        <v>15</v>
      </c>
      <c r="B2424" s="1611" t="s">
        <v>7203</v>
      </c>
      <c r="C2424" s="1611" t="s">
        <v>5252</v>
      </c>
      <c r="D2424" s="1612">
        <v>0</v>
      </c>
      <c r="E2424" s="1706" t="s">
        <v>7592</v>
      </c>
      <c r="F2424" s="1613">
        <v>-39545455</v>
      </c>
      <c r="G2424" s="1613">
        <v>102568094179</v>
      </c>
    </row>
    <row r="2425" spans="1:7" ht="17.25" customHeight="1" x14ac:dyDescent="0.2">
      <c r="A2425" s="1611">
        <v>15</v>
      </c>
      <c r="B2425" s="1611" t="s">
        <v>7203</v>
      </c>
      <c r="C2425" s="1611" t="s">
        <v>5252</v>
      </c>
      <c r="D2425" s="1612">
        <v>0</v>
      </c>
      <c r="E2425" s="1706" t="s">
        <v>7592</v>
      </c>
      <c r="F2425" s="1613">
        <v>39545455</v>
      </c>
      <c r="G2425" s="1613">
        <v>102607639634</v>
      </c>
    </row>
    <row r="2426" spans="1:7" ht="17.25" customHeight="1" x14ac:dyDescent="0.2">
      <c r="A2426" s="1611">
        <v>15</v>
      </c>
      <c r="B2426" s="1611" t="s">
        <v>7203</v>
      </c>
      <c r="C2426" s="1611" t="s">
        <v>5252</v>
      </c>
      <c r="D2426" s="1612">
        <v>0</v>
      </c>
      <c r="E2426" s="1706" t="s">
        <v>7592</v>
      </c>
      <c r="F2426" s="1613">
        <v>-39545455</v>
      </c>
      <c r="G2426" s="1613">
        <v>102568094179</v>
      </c>
    </row>
    <row r="2427" spans="1:7" ht="17.25" customHeight="1" x14ac:dyDescent="0.2">
      <c r="A2427" s="1611">
        <v>15</v>
      </c>
      <c r="B2427" s="1611" t="s">
        <v>7203</v>
      </c>
      <c r="C2427" s="1611" t="s">
        <v>5252</v>
      </c>
      <c r="D2427" s="1612">
        <v>0</v>
      </c>
      <c r="E2427" s="1706" t="s">
        <v>7592</v>
      </c>
      <c r="F2427" s="1613">
        <v>39545455</v>
      </c>
      <c r="G2427" s="1613">
        <v>102607639634</v>
      </c>
    </row>
    <row r="2428" spans="1:7" ht="17.25" customHeight="1" x14ac:dyDescent="0.2">
      <c r="A2428" s="1611">
        <v>15</v>
      </c>
      <c r="B2428" s="1611" t="s">
        <v>7203</v>
      </c>
      <c r="C2428" s="1611" t="s">
        <v>5257</v>
      </c>
      <c r="D2428" s="1612">
        <v>0</v>
      </c>
      <c r="E2428" s="1706" t="s">
        <v>7592</v>
      </c>
      <c r="F2428" s="1613">
        <v>37272727</v>
      </c>
      <c r="G2428" s="1613">
        <v>102644912361</v>
      </c>
    </row>
    <row r="2429" spans="1:7" ht="17.25" customHeight="1" x14ac:dyDescent="0.2">
      <c r="A2429" s="1611">
        <v>15</v>
      </c>
      <c r="B2429" s="1611" t="s">
        <v>7251</v>
      </c>
      <c r="C2429" s="1611" t="s">
        <v>5258</v>
      </c>
      <c r="D2429" s="1612">
        <v>0</v>
      </c>
      <c r="E2429" s="1706" t="s">
        <v>7592</v>
      </c>
      <c r="F2429" s="1613">
        <v>34500000</v>
      </c>
      <c r="G2429" s="1613">
        <v>102679412361</v>
      </c>
    </row>
    <row r="2430" spans="1:7" ht="17.25" customHeight="1" x14ac:dyDescent="0.2">
      <c r="A2430" s="1611">
        <v>15</v>
      </c>
      <c r="B2430" s="1611" t="s">
        <v>7156</v>
      </c>
      <c r="C2430" s="1611" t="s">
        <v>5259</v>
      </c>
      <c r="D2430" s="1612">
        <v>0</v>
      </c>
      <c r="E2430" s="1706" t="s">
        <v>7592</v>
      </c>
      <c r="F2430" s="1613">
        <v>14200000</v>
      </c>
      <c r="G2430" s="1613">
        <v>102693612361</v>
      </c>
    </row>
    <row r="2431" spans="1:7" ht="17.25" customHeight="1" x14ac:dyDescent="0.2">
      <c r="A2431" s="1611">
        <v>15</v>
      </c>
      <c r="B2431" s="1611" t="s">
        <v>7203</v>
      </c>
      <c r="C2431" s="1611" t="s">
        <v>5260</v>
      </c>
      <c r="D2431" s="1612">
        <v>0</v>
      </c>
      <c r="E2431" s="1706" t="s">
        <v>7592</v>
      </c>
      <c r="F2431" s="1613">
        <v>35272727</v>
      </c>
      <c r="G2431" s="1613">
        <v>102728885088</v>
      </c>
    </row>
    <row r="2432" spans="1:7" ht="17.25" customHeight="1" x14ac:dyDescent="0.2">
      <c r="A2432" s="1611">
        <v>15</v>
      </c>
      <c r="B2432" s="1611" t="s">
        <v>7203</v>
      </c>
      <c r="C2432" s="1611" t="s">
        <v>5261</v>
      </c>
      <c r="D2432" s="1612">
        <v>0</v>
      </c>
      <c r="E2432" s="1706" t="s">
        <v>7592</v>
      </c>
      <c r="F2432" s="1613">
        <v>35909091</v>
      </c>
      <c r="G2432" s="1613">
        <v>102764794179</v>
      </c>
    </row>
    <row r="2433" spans="1:7" ht="17.25" customHeight="1" x14ac:dyDescent="0.2">
      <c r="A2433" s="1611">
        <v>15</v>
      </c>
      <c r="B2433" s="1611" t="s">
        <v>7176</v>
      </c>
      <c r="C2433" s="1611" t="s">
        <v>5262</v>
      </c>
      <c r="D2433" s="1612">
        <v>0</v>
      </c>
      <c r="E2433" s="1706" t="s">
        <v>7592</v>
      </c>
      <c r="F2433" s="1613">
        <v>43000000</v>
      </c>
      <c r="G2433" s="1613">
        <v>102807794179</v>
      </c>
    </row>
    <row r="2434" spans="1:7" ht="17.25" customHeight="1" x14ac:dyDescent="0.2">
      <c r="A2434" s="1611">
        <v>15</v>
      </c>
      <c r="B2434" s="1611" t="s">
        <v>7176</v>
      </c>
      <c r="C2434" s="1611" t="s">
        <v>3849</v>
      </c>
      <c r="D2434" s="1612">
        <v>0</v>
      </c>
      <c r="E2434" s="1706" t="s">
        <v>7592</v>
      </c>
      <c r="F2434" s="1613">
        <v>43000000</v>
      </c>
      <c r="G2434" s="1613">
        <v>102850794179</v>
      </c>
    </row>
    <row r="2435" spans="1:7" ht="17.25" customHeight="1" x14ac:dyDescent="0.2">
      <c r="A2435" s="1611">
        <v>15</v>
      </c>
      <c r="B2435" s="1611" t="s">
        <v>7170</v>
      </c>
      <c r="C2435" s="1611" t="s">
        <v>5263</v>
      </c>
      <c r="D2435" s="1612">
        <v>0</v>
      </c>
      <c r="E2435" s="1706" t="s">
        <v>7592</v>
      </c>
      <c r="F2435" s="1613">
        <v>167500000</v>
      </c>
      <c r="G2435" s="1613">
        <v>103018294179</v>
      </c>
    </row>
    <row r="2436" spans="1:7" ht="17.25" customHeight="1" x14ac:dyDescent="0.2">
      <c r="A2436" s="1611">
        <v>15</v>
      </c>
      <c r="B2436" s="1611" t="s">
        <v>7261</v>
      </c>
      <c r="C2436" s="1611" t="s">
        <v>5264</v>
      </c>
      <c r="D2436" s="1612">
        <v>0</v>
      </c>
      <c r="E2436" s="1706" t="s">
        <v>7592</v>
      </c>
      <c r="F2436" s="1613">
        <v>141500000</v>
      </c>
      <c r="G2436" s="1613">
        <v>103159794179</v>
      </c>
    </row>
    <row r="2437" spans="1:7" ht="17.25" customHeight="1" x14ac:dyDescent="0.2">
      <c r="A2437" s="1611">
        <v>15</v>
      </c>
      <c r="B2437" s="1611" t="s">
        <v>7273</v>
      </c>
      <c r="C2437" s="1611" t="s">
        <v>5265</v>
      </c>
      <c r="D2437" s="1612">
        <v>0</v>
      </c>
      <c r="E2437" s="1706" t="s">
        <v>7592</v>
      </c>
      <c r="F2437" s="1613">
        <v>161000000</v>
      </c>
      <c r="G2437" s="1613">
        <v>103320794179</v>
      </c>
    </row>
    <row r="2438" spans="1:7" ht="17.25" customHeight="1" x14ac:dyDescent="0.2">
      <c r="A2438" s="1611">
        <v>15</v>
      </c>
      <c r="B2438" s="1611" t="s">
        <v>7156</v>
      </c>
      <c r="C2438" s="1611" t="s">
        <v>5266</v>
      </c>
      <c r="D2438" s="1612">
        <v>0</v>
      </c>
      <c r="E2438" s="1706" t="s">
        <v>7592</v>
      </c>
      <c r="F2438" s="1613">
        <v>14650000</v>
      </c>
      <c r="G2438" s="1613">
        <v>103335444179</v>
      </c>
    </row>
    <row r="2439" spans="1:7" ht="17.25" customHeight="1" x14ac:dyDescent="0.2">
      <c r="A2439" s="1611">
        <v>15</v>
      </c>
      <c r="B2439" s="1611" t="s">
        <v>7203</v>
      </c>
      <c r="C2439" s="1611" t="s">
        <v>5267</v>
      </c>
      <c r="D2439" s="1612">
        <v>0</v>
      </c>
      <c r="E2439" s="1706" t="s">
        <v>7592</v>
      </c>
      <c r="F2439" s="1613">
        <v>39090909</v>
      </c>
      <c r="G2439" s="1613">
        <v>103374535088</v>
      </c>
    </row>
    <row r="2440" spans="1:7" ht="17.25" customHeight="1" x14ac:dyDescent="0.2">
      <c r="A2440" s="1611">
        <v>15</v>
      </c>
      <c r="B2440" s="1611" t="s">
        <v>7170</v>
      </c>
      <c r="C2440" s="1611" t="s">
        <v>5268</v>
      </c>
      <c r="D2440" s="1612">
        <v>0</v>
      </c>
      <c r="E2440" s="1706" t="s">
        <v>7592</v>
      </c>
      <c r="F2440" s="1613">
        <v>167000000</v>
      </c>
      <c r="G2440" s="1613">
        <v>103541535088</v>
      </c>
    </row>
    <row r="2441" spans="1:7" ht="17.25" customHeight="1" x14ac:dyDescent="0.2">
      <c r="A2441" s="1611">
        <v>15</v>
      </c>
      <c r="B2441" s="1611" t="s">
        <v>7156</v>
      </c>
      <c r="C2441" s="1611" t="s">
        <v>5269</v>
      </c>
      <c r="D2441" s="1612">
        <v>0</v>
      </c>
      <c r="E2441" s="1706" t="s">
        <v>7592</v>
      </c>
      <c r="F2441" s="1613">
        <v>16500000</v>
      </c>
      <c r="G2441" s="1613">
        <v>103558035088</v>
      </c>
    </row>
    <row r="2442" spans="1:7" ht="17.25" customHeight="1" x14ac:dyDescent="0.2">
      <c r="A2442" s="1611">
        <v>15</v>
      </c>
      <c r="B2442" s="1611" t="s">
        <v>7275</v>
      </c>
      <c r="C2442" s="1611" t="s">
        <v>5270</v>
      </c>
      <c r="D2442" s="1612">
        <v>0</v>
      </c>
      <c r="E2442" s="1706" t="s">
        <v>7592</v>
      </c>
      <c r="F2442" s="1613">
        <v>3600000</v>
      </c>
      <c r="G2442" s="1613">
        <v>103561635088</v>
      </c>
    </row>
    <row r="2443" spans="1:7" ht="17.25" customHeight="1" x14ac:dyDescent="0.2">
      <c r="A2443" s="1611">
        <v>15</v>
      </c>
      <c r="B2443" s="1611" t="s">
        <v>7246</v>
      </c>
      <c r="C2443" s="1611" t="s">
        <v>5270</v>
      </c>
      <c r="D2443" s="1612">
        <v>0</v>
      </c>
      <c r="E2443" s="1706" t="s">
        <v>7592</v>
      </c>
      <c r="F2443" s="1613">
        <v>69818182</v>
      </c>
      <c r="G2443" s="1613">
        <v>103631453270</v>
      </c>
    </row>
    <row r="2444" spans="1:7" ht="17.25" customHeight="1" x14ac:dyDescent="0.2">
      <c r="A2444" s="1611">
        <v>15</v>
      </c>
      <c r="B2444" s="1611" t="s">
        <v>7203</v>
      </c>
      <c r="C2444" s="1611" t="s">
        <v>5271</v>
      </c>
      <c r="D2444" s="1612">
        <v>0</v>
      </c>
      <c r="E2444" s="1706" t="s">
        <v>7592</v>
      </c>
      <c r="F2444" s="1613">
        <v>35454545</v>
      </c>
      <c r="G2444" s="1613">
        <v>103666907815</v>
      </c>
    </row>
    <row r="2445" spans="1:7" ht="17.25" customHeight="1" x14ac:dyDescent="0.2">
      <c r="A2445" s="1611">
        <v>15</v>
      </c>
      <c r="B2445" s="1611" t="s">
        <v>7203</v>
      </c>
      <c r="C2445" s="1611" t="s">
        <v>5272</v>
      </c>
      <c r="D2445" s="1612">
        <v>0</v>
      </c>
      <c r="E2445" s="1706" t="s">
        <v>7592</v>
      </c>
      <c r="F2445" s="1613">
        <v>35500000</v>
      </c>
      <c r="G2445" s="1613">
        <v>103702407815</v>
      </c>
    </row>
    <row r="2446" spans="1:7" ht="17.25" customHeight="1" x14ac:dyDescent="0.2">
      <c r="A2446" s="1611">
        <v>15</v>
      </c>
      <c r="B2446" s="1611" t="s">
        <v>7203</v>
      </c>
      <c r="C2446" s="1611" t="s">
        <v>5273</v>
      </c>
      <c r="D2446" s="1612">
        <v>0</v>
      </c>
      <c r="E2446" s="1706" t="s">
        <v>7592</v>
      </c>
      <c r="F2446" s="1613">
        <v>36500000</v>
      </c>
      <c r="G2446" s="1613">
        <v>103738907815</v>
      </c>
    </row>
    <row r="2447" spans="1:7" ht="17.25" customHeight="1" x14ac:dyDescent="0.2">
      <c r="A2447" s="1611">
        <v>15</v>
      </c>
      <c r="B2447" s="1611" t="s">
        <v>7275</v>
      </c>
      <c r="C2447" s="1611" t="s">
        <v>5127</v>
      </c>
      <c r="D2447" s="1612">
        <v>0</v>
      </c>
      <c r="E2447" s="1706" t="s">
        <v>7592</v>
      </c>
      <c r="F2447" s="1613">
        <v>3763636</v>
      </c>
      <c r="G2447" s="1613">
        <v>103742671451</v>
      </c>
    </row>
    <row r="2448" spans="1:7" ht="17.25" customHeight="1" x14ac:dyDescent="0.2">
      <c r="A2448" s="1611">
        <v>15</v>
      </c>
      <c r="B2448" s="1611" t="s">
        <v>2045</v>
      </c>
      <c r="C2448" s="1611" t="s">
        <v>4682</v>
      </c>
      <c r="D2448" s="1612" t="s">
        <v>7555</v>
      </c>
      <c r="E2448" s="1706" t="s">
        <v>7592</v>
      </c>
      <c r="F2448" s="1613">
        <v>38085735</v>
      </c>
      <c r="G2448" s="1613">
        <v>103780757186</v>
      </c>
    </row>
    <row r="2449" spans="1:7" ht="17.25" customHeight="1" x14ac:dyDescent="0.2">
      <c r="A2449" s="1611">
        <v>15</v>
      </c>
      <c r="B2449" s="1611" t="s">
        <v>7154</v>
      </c>
      <c r="C2449" s="1611" t="s">
        <v>4256</v>
      </c>
      <c r="D2449" s="1612">
        <v>0</v>
      </c>
      <c r="E2449" s="1706" t="s">
        <v>7559</v>
      </c>
      <c r="F2449" s="1613">
        <v>132653228</v>
      </c>
      <c r="G2449" s="1613">
        <v>103913410414</v>
      </c>
    </row>
    <row r="2450" spans="1:7" ht="17.25" customHeight="1" x14ac:dyDescent="0.2">
      <c r="A2450" s="1611">
        <v>15</v>
      </c>
      <c r="B2450" s="1611" t="s">
        <v>7203</v>
      </c>
      <c r="C2450" s="1611" t="s">
        <v>3640</v>
      </c>
      <c r="D2450" s="1612">
        <v>0</v>
      </c>
      <c r="E2450" s="1706" t="s">
        <v>7592</v>
      </c>
      <c r="F2450" s="1613">
        <v>35000000</v>
      </c>
      <c r="G2450" s="1613">
        <v>103948410414</v>
      </c>
    </row>
    <row r="2451" spans="1:7" ht="17.25" customHeight="1" x14ac:dyDescent="0.2">
      <c r="A2451" s="1611">
        <v>15</v>
      </c>
      <c r="B2451" s="1611" t="s">
        <v>7203</v>
      </c>
      <c r="C2451" s="1611" t="s">
        <v>5274</v>
      </c>
      <c r="D2451" s="1612">
        <v>0</v>
      </c>
      <c r="E2451" s="1706" t="s">
        <v>7592</v>
      </c>
      <c r="F2451" s="1613">
        <v>36363636</v>
      </c>
      <c r="G2451" s="1613">
        <v>103984774050</v>
      </c>
    </row>
    <row r="2452" spans="1:7" ht="17.25" customHeight="1" x14ac:dyDescent="0.2">
      <c r="A2452" s="1611">
        <v>15</v>
      </c>
      <c r="B2452" s="1611" t="s">
        <v>7203</v>
      </c>
      <c r="C2452" s="1611" t="s">
        <v>5275</v>
      </c>
      <c r="D2452" s="1612">
        <v>0</v>
      </c>
      <c r="E2452" s="1706" t="s">
        <v>7592</v>
      </c>
      <c r="F2452" s="1613">
        <v>35181818</v>
      </c>
      <c r="G2452" s="1613">
        <v>104019955868</v>
      </c>
    </row>
    <row r="2453" spans="1:7" ht="17.25" customHeight="1" x14ac:dyDescent="0.2">
      <c r="A2453" s="1611">
        <v>15</v>
      </c>
      <c r="B2453" s="1611" t="s">
        <v>7176</v>
      </c>
      <c r="C2453" s="1611" t="s">
        <v>5276</v>
      </c>
      <c r="D2453" s="1612">
        <v>0</v>
      </c>
      <c r="E2453" s="1706" t="s">
        <v>7592</v>
      </c>
      <c r="F2453" s="1613">
        <v>42300000</v>
      </c>
      <c r="G2453" s="1613">
        <v>104062255868</v>
      </c>
    </row>
    <row r="2454" spans="1:7" ht="17.25" customHeight="1" x14ac:dyDescent="0.2">
      <c r="A2454" s="1611">
        <v>15</v>
      </c>
      <c r="B2454" s="1611" t="s">
        <v>7154</v>
      </c>
      <c r="C2454" s="1611" t="s">
        <v>5277</v>
      </c>
      <c r="D2454" s="1612">
        <v>0</v>
      </c>
      <c r="E2454" s="1706" t="s">
        <v>7592</v>
      </c>
      <c r="F2454" s="1613">
        <v>50000000</v>
      </c>
      <c r="G2454" s="1613">
        <v>104112255868</v>
      </c>
    </row>
    <row r="2455" spans="1:7" ht="17.25" customHeight="1" x14ac:dyDescent="0.2">
      <c r="A2455" s="1611">
        <v>15</v>
      </c>
      <c r="B2455" s="1611" t="s">
        <v>7275</v>
      </c>
      <c r="C2455" s="1611" t="s">
        <v>5278</v>
      </c>
      <c r="D2455" s="1612">
        <v>0</v>
      </c>
      <c r="E2455" s="1706" t="s">
        <v>7592</v>
      </c>
      <c r="F2455" s="1613">
        <v>3763636</v>
      </c>
      <c r="G2455" s="1613">
        <v>104116019504</v>
      </c>
    </row>
    <row r="2456" spans="1:7" ht="17.25" customHeight="1" x14ac:dyDescent="0.2">
      <c r="A2456" s="1611">
        <v>15</v>
      </c>
      <c r="B2456" s="1611" t="s">
        <v>7261</v>
      </c>
      <c r="C2456" s="1611" t="s">
        <v>5279</v>
      </c>
      <c r="D2456" s="1612">
        <v>0</v>
      </c>
      <c r="E2456" s="1706" t="s">
        <v>7592</v>
      </c>
      <c r="F2456" s="1613">
        <v>139300000</v>
      </c>
      <c r="G2456" s="1613">
        <v>104255319504</v>
      </c>
    </row>
    <row r="2457" spans="1:7" ht="17.25" customHeight="1" x14ac:dyDescent="0.2">
      <c r="A2457" s="1611">
        <v>15</v>
      </c>
      <c r="B2457" s="1611" t="s">
        <v>7285</v>
      </c>
      <c r="C2457" s="1611" t="s">
        <v>5127</v>
      </c>
      <c r="D2457" s="1612">
        <v>0</v>
      </c>
      <c r="E2457" s="1706" t="s">
        <v>7592</v>
      </c>
      <c r="F2457" s="1613">
        <v>48045455</v>
      </c>
      <c r="G2457" s="1613">
        <v>104303364959</v>
      </c>
    </row>
    <row r="2458" spans="1:7" ht="17.25" customHeight="1" x14ac:dyDescent="0.2">
      <c r="A2458" s="1611">
        <v>15</v>
      </c>
      <c r="B2458" s="1611" t="s">
        <v>7285</v>
      </c>
      <c r="C2458" s="1611" t="s">
        <v>5278</v>
      </c>
      <c r="D2458" s="1612">
        <v>0</v>
      </c>
      <c r="E2458" s="1706" t="s">
        <v>7592</v>
      </c>
      <c r="F2458" s="1613">
        <v>96090910</v>
      </c>
      <c r="G2458" s="1613">
        <v>104399455869</v>
      </c>
    </row>
    <row r="2459" spans="1:7" ht="17.25" customHeight="1" x14ac:dyDescent="0.2">
      <c r="A2459" s="1611">
        <v>15</v>
      </c>
      <c r="B2459" s="1611" t="s">
        <v>7286</v>
      </c>
      <c r="C2459" s="1611" t="s">
        <v>4017</v>
      </c>
      <c r="D2459" s="1612">
        <v>0</v>
      </c>
      <c r="E2459" s="1706" t="s">
        <v>7592</v>
      </c>
      <c r="F2459" s="1613">
        <v>35268182</v>
      </c>
      <c r="G2459" s="1613">
        <v>104434724051</v>
      </c>
    </row>
    <row r="2460" spans="1:7" ht="17.25" customHeight="1" x14ac:dyDescent="0.2">
      <c r="A2460" s="1611">
        <v>15</v>
      </c>
      <c r="B2460" s="1611" t="s">
        <v>7176</v>
      </c>
      <c r="C2460" s="1611" t="s">
        <v>5280</v>
      </c>
      <c r="D2460" s="1612">
        <v>0</v>
      </c>
      <c r="E2460" s="1706" t="s">
        <v>7592</v>
      </c>
      <c r="F2460" s="1613">
        <v>44545455</v>
      </c>
      <c r="G2460" s="1613">
        <v>104479269506</v>
      </c>
    </row>
    <row r="2461" spans="1:7" ht="17.25" customHeight="1" x14ac:dyDescent="0.2">
      <c r="A2461" s="1611">
        <v>15</v>
      </c>
      <c r="B2461" s="1611" t="s">
        <v>7154</v>
      </c>
      <c r="C2461" s="1611" t="s">
        <v>5281</v>
      </c>
      <c r="D2461" s="1612">
        <v>0</v>
      </c>
      <c r="E2461" s="1706" t="s">
        <v>7592</v>
      </c>
      <c r="F2461" s="1613">
        <v>50636363</v>
      </c>
      <c r="G2461" s="1613">
        <v>104529905869</v>
      </c>
    </row>
    <row r="2462" spans="1:7" ht="17.25" customHeight="1" x14ac:dyDescent="0.2">
      <c r="A2462" s="1611">
        <v>15</v>
      </c>
      <c r="B2462" s="1611" t="s">
        <v>7261</v>
      </c>
      <c r="C2462" s="1611" t="s">
        <v>5282</v>
      </c>
      <c r="D2462" s="1612">
        <v>0</v>
      </c>
      <c r="E2462" s="1706" t="s">
        <v>7592</v>
      </c>
      <c r="F2462" s="1613">
        <v>141000000</v>
      </c>
      <c r="G2462" s="1613">
        <v>104670905869</v>
      </c>
    </row>
    <row r="2463" spans="1:7" ht="17.25" customHeight="1" x14ac:dyDescent="0.2">
      <c r="A2463" s="1611">
        <v>15</v>
      </c>
      <c r="B2463" s="1611" t="s">
        <v>7251</v>
      </c>
      <c r="C2463" s="1611" t="s">
        <v>3438</v>
      </c>
      <c r="D2463" s="1612">
        <v>0</v>
      </c>
      <c r="E2463" s="1706" t="s">
        <v>7592</v>
      </c>
      <c r="F2463" s="1613">
        <v>30465000</v>
      </c>
      <c r="G2463" s="1613">
        <v>104701370869</v>
      </c>
    </row>
    <row r="2464" spans="1:7" ht="17.25" customHeight="1" x14ac:dyDescent="0.2">
      <c r="A2464" s="1611">
        <v>15</v>
      </c>
      <c r="B2464" s="1611" t="s">
        <v>7251</v>
      </c>
      <c r="C2464" s="1611" t="s">
        <v>3438</v>
      </c>
      <c r="D2464" s="1612">
        <v>0</v>
      </c>
      <c r="E2464" s="1706" t="s">
        <v>7592</v>
      </c>
      <c r="F2464" s="1613">
        <v>30465000</v>
      </c>
      <c r="G2464" s="1613">
        <v>104731835869</v>
      </c>
    </row>
    <row r="2465" spans="1:7" ht="17.25" customHeight="1" x14ac:dyDescent="0.2">
      <c r="A2465" s="1611">
        <v>15</v>
      </c>
      <c r="B2465" s="1611" t="s">
        <v>7251</v>
      </c>
      <c r="C2465" s="1611" t="s">
        <v>3438</v>
      </c>
      <c r="D2465" s="1612">
        <v>0</v>
      </c>
      <c r="E2465" s="1706" t="s">
        <v>7592</v>
      </c>
      <c r="F2465" s="1613">
        <v>30465000</v>
      </c>
      <c r="G2465" s="1613">
        <v>104762300869</v>
      </c>
    </row>
    <row r="2466" spans="1:7" ht="17.25" customHeight="1" x14ac:dyDescent="0.2">
      <c r="A2466" s="1611">
        <v>15</v>
      </c>
      <c r="B2466" s="1611" t="s">
        <v>7251</v>
      </c>
      <c r="C2466" s="1611" t="s">
        <v>3438</v>
      </c>
      <c r="D2466" s="1612">
        <v>0</v>
      </c>
      <c r="E2466" s="1706" t="s">
        <v>7592</v>
      </c>
      <c r="F2466" s="1613">
        <v>30465000</v>
      </c>
      <c r="G2466" s="1613">
        <v>104792765869</v>
      </c>
    </row>
    <row r="2467" spans="1:7" ht="17.25" customHeight="1" x14ac:dyDescent="0.2">
      <c r="A2467" s="1611">
        <v>15</v>
      </c>
      <c r="B2467" s="1611" t="s">
        <v>7251</v>
      </c>
      <c r="C2467" s="1611" t="s">
        <v>3438</v>
      </c>
      <c r="D2467" s="1612">
        <v>0</v>
      </c>
      <c r="E2467" s="1706" t="s">
        <v>7592</v>
      </c>
      <c r="F2467" s="1613">
        <v>30465000</v>
      </c>
      <c r="G2467" s="1613">
        <v>104823230869</v>
      </c>
    </row>
    <row r="2468" spans="1:7" ht="17.25" customHeight="1" x14ac:dyDescent="0.2">
      <c r="A2468" s="1611">
        <v>15</v>
      </c>
      <c r="B2468" s="1611" t="s">
        <v>7251</v>
      </c>
      <c r="C2468" s="1611" t="s">
        <v>3438</v>
      </c>
      <c r="D2468" s="1612">
        <v>0</v>
      </c>
      <c r="E2468" s="1706" t="s">
        <v>7592</v>
      </c>
      <c r="F2468" s="1613">
        <v>30465000</v>
      </c>
      <c r="G2468" s="1613">
        <v>104853695869</v>
      </c>
    </row>
    <row r="2469" spans="1:7" ht="17.25" customHeight="1" x14ac:dyDescent="0.2">
      <c r="A2469" s="1611">
        <v>15</v>
      </c>
      <c r="B2469" s="1611" t="s">
        <v>7251</v>
      </c>
      <c r="C2469" s="1611" t="s">
        <v>3438</v>
      </c>
      <c r="D2469" s="1612">
        <v>0</v>
      </c>
      <c r="E2469" s="1706" t="s">
        <v>7592</v>
      </c>
      <c r="F2469" s="1613">
        <v>30465000</v>
      </c>
      <c r="G2469" s="1613">
        <v>104884160869</v>
      </c>
    </row>
    <row r="2470" spans="1:7" ht="17.25" customHeight="1" x14ac:dyDescent="0.2">
      <c r="A2470" s="1611">
        <v>15</v>
      </c>
      <c r="B2470" s="1611" t="s">
        <v>7155</v>
      </c>
      <c r="C2470" s="1611" t="s">
        <v>3749</v>
      </c>
      <c r="D2470" s="1612">
        <v>0</v>
      </c>
      <c r="E2470" s="1706" t="s">
        <v>7592</v>
      </c>
      <c r="F2470" s="1613">
        <v>86627273</v>
      </c>
      <c r="G2470" s="1613">
        <v>104970788142</v>
      </c>
    </row>
    <row r="2471" spans="1:7" ht="17.25" customHeight="1" x14ac:dyDescent="0.2">
      <c r="A2471" s="1611">
        <v>15</v>
      </c>
      <c r="B2471" s="1611" t="s">
        <v>7275</v>
      </c>
      <c r="C2471" s="1611" t="s">
        <v>3749</v>
      </c>
      <c r="D2471" s="1612">
        <v>0</v>
      </c>
      <c r="E2471" s="1706" t="s">
        <v>7592</v>
      </c>
      <c r="F2471" s="1613">
        <v>10800000</v>
      </c>
      <c r="G2471" s="1613">
        <v>104981588142</v>
      </c>
    </row>
    <row r="2472" spans="1:7" ht="17.25" customHeight="1" x14ac:dyDescent="0.2">
      <c r="A2472" s="1611">
        <v>15</v>
      </c>
      <c r="B2472" s="1611" t="s">
        <v>7273</v>
      </c>
      <c r="C2472" s="1611" t="s">
        <v>5283</v>
      </c>
      <c r="D2472" s="1612">
        <v>0</v>
      </c>
      <c r="E2472" s="1706" t="s">
        <v>7592</v>
      </c>
      <c r="F2472" s="1613">
        <v>161000000</v>
      </c>
      <c r="G2472" s="1613">
        <v>105142588142</v>
      </c>
    </row>
    <row r="2473" spans="1:7" ht="17.25" customHeight="1" x14ac:dyDescent="0.2">
      <c r="A2473" s="1611">
        <v>15</v>
      </c>
      <c r="B2473" s="1611" t="s">
        <v>7251</v>
      </c>
      <c r="C2473" s="1611" t="s">
        <v>3438</v>
      </c>
      <c r="D2473" s="1612">
        <v>0</v>
      </c>
      <c r="E2473" s="1706" t="s">
        <v>7592</v>
      </c>
      <c r="F2473" s="1613">
        <v>30465000</v>
      </c>
      <c r="G2473" s="1613">
        <v>105173053142</v>
      </c>
    </row>
    <row r="2474" spans="1:7" ht="17.25" customHeight="1" x14ac:dyDescent="0.2">
      <c r="A2474" s="1611">
        <v>15</v>
      </c>
      <c r="B2474" s="1611" t="s">
        <v>7251</v>
      </c>
      <c r="C2474" s="1611" t="s">
        <v>3438</v>
      </c>
      <c r="D2474" s="1612">
        <v>0</v>
      </c>
      <c r="E2474" s="1706" t="s">
        <v>7592</v>
      </c>
      <c r="F2474" s="1613">
        <v>30465000</v>
      </c>
      <c r="G2474" s="1613">
        <v>105203518142</v>
      </c>
    </row>
    <row r="2475" spans="1:7" ht="17.25" customHeight="1" x14ac:dyDescent="0.2">
      <c r="A2475" s="1611">
        <v>15</v>
      </c>
      <c r="B2475" s="1611" t="s">
        <v>7251</v>
      </c>
      <c r="C2475" s="1611" t="s">
        <v>3438</v>
      </c>
      <c r="D2475" s="1612">
        <v>0</v>
      </c>
      <c r="E2475" s="1706" t="s">
        <v>7592</v>
      </c>
      <c r="F2475" s="1613">
        <v>30465000</v>
      </c>
      <c r="G2475" s="1613">
        <v>105233983142</v>
      </c>
    </row>
    <row r="2476" spans="1:7" ht="17.25" customHeight="1" x14ac:dyDescent="0.2">
      <c r="A2476" s="1611">
        <v>15</v>
      </c>
      <c r="B2476" s="1611" t="s">
        <v>7176</v>
      </c>
      <c r="C2476" s="1611" t="s">
        <v>5284</v>
      </c>
      <c r="D2476" s="1612">
        <v>0</v>
      </c>
      <c r="E2476" s="1706" t="s">
        <v>7592</v>
      </c>
      <c r="F2476" s="1613">
        <v>42500000</v>
      </c>
      <c r="G2476" s="1613">
        <v>105276483142</v>
      </c>
    </row>
    <row r="2477" spans="1:7" ht="17.25" customHeight="1" x14ac:dyDescent="0.2">
      <c r="A2477" s="1611">
        <v>15</v>
      </c>
      <c r="B2477" s="1611" t="s">
        <v>7154</v>
      </c>
      <c r="C2477" s="1611" t="s">
        <v>5285</v>
      </c>
      <c r="D2477" s="1612">
        <v>0</v>
      </c>
      <c r="E2477" s="1706" t="s">
        <v>7592</v>
      </c>
      <c r="F2477" s="1613">
        <v>51000000</v>
      </c>
      <c r="G2477" s="1613">
        <v>105327483142</v>
      </c>
    </row>
    <row r="2478" spans="1:7" ht="17.25" customHeight="1" x14ac:dyDescent="0.2">
      <c r="A2478" s="1611">
        <v>15</v>
      </c>
      <c r="B2478" s="1611" t="s">
        <v>7245</v>
      </c>
      <c r="C2478" s="1611" t="s">
        <v>5286</v>
      </c>
      <c r="D2478" s="1612">
        <v>0</v>
      </c>
      <c r="E2478" s="1706" t="s">
        <v>7592</v>
      </c>
      <c r="F2478" s="1613">
        <v>39500000</v>
      </c>
      <c r="G2478" s="1613">
        <v>105366983142</v>
      </c>
    </row>
    <row r="2479" spans="1:7" ht="17.25" customHeight="1" x14ac:dyDescent="0.2">
      <c r="A2479" s="1611">
        <v>15</v>
      </c>
      <c r="B2479" s="1611" t="s">
        <v>7251</v>
      </c>
      <c r="C2479" s="1611" t="s">
        <v>5287</v>
      </c>
      <c r="D2479" s="1612">
        <v>0</v>
      </c>
      <c r="E2479" s="1706" t="s">
        <v>7592</v>
      </c>
      <c r="F2479" s="1613">
        <v>36363636</v>
      </c>
      <c r="G2479" s="1613">
        <v>105403346778</v>
      </c>
    </row>
    <row r="2480" spans="1:7" ht="17.25" customHeight="1" x14ac:dyDescent="0.2">
      <c r="A2480" s="1611">
        <v>15</v>
      </c>
      <c r="B2480" s="1611" t="s">
        <v>7252</v>
      </c>
      <c r="C2480" s="1611" t="s">
        <v>5288</v>
      </c>
      <c r="D2480" s="1612">
        <v>0</v>
      </c>
      <c r="E2480" s="1706" t="s">
        <v>7592</v>
      </c>
      <c r="F2480" s="1613">
        <v>62000000</v>
      </c>
      <c r="G2480" s="1613">
        <v>105465346778</v>
      </c>
    </row>
    <row r="2481" spans="1:7" ht="17.25" customHeight="1" x14ac:dyDescent="0.2">
      <c r="A2481" s="1611">
        <v>15</v>
      </c>
      <c r="B2481" s="1611" t="s">
        <v>7273</v>
      </c>
      <c r="C2481" s="1611" t="s">
        <v>5289</v>
      </c>
      <c r="D2481" s="1612">
        <v>0</v>
      </c>
      <c r="E2481" s="1706" t="s">
        <v>7592</v>
      </c>
      <c r="F2481" s="1613">
        <v>161000000</v>
      </c>
      <c r="G2481" s="1613">
        <v>105626346778</v>
      </c>
    </row>
    <row r="2482" spans="1:7" ht="17.25" customHeight="1" x14ac:dyDescent="0.2">
      <c r="A2482" s="1611">
        <v>15</v>
      </c>
      <c r="B2482" s="1611" t="s">
        <v>7273</v>
      </c>
      <c r="C2482" s="1611" t="s">
        <v>5290</v>
      </c>
      <c r="D2482" s="1612">
        <v>0</v>
      </c>
      <c r="E2482" s="1706" t="s">
        <v>7592</v>
      </c>
      <c r="F2482" s="1613">
        <v>161000000</v>
      </c>
      <c r="G2482" s="1613">
        <v>105787346778</v>
      </c>
    </row>
    <row r="2483" spans="1:7" ht="17.25" customHeight="1" x14ac:dyDescent="0.2">
      <c r="A2483" s="1611">
        <v>15</v>
      </c>
      <c r="B2483" s="1611" t="s">
        <v>7273</v>
      </c>
      <c r="C2483" s="1611" t="s">
        <v>5291</v>
      </c>
      <c r="D2483" s="1612">
        <v>0</v>
      </c>
      <c r="E2483" s="1706" t="s">
        <v>7592</v>
      </c>
      <c r="F2483" s="1613">
        <v>161000000</v>
      </c>
      <c r="G2483" s="1613">
        <v>105948346778</v>
      </c>
    </row>
    <row r="2484" spans="1:7" ht="17.25" customHeight="1" x14ac:dyDescent="0.2">
      <c r="A2484" s="1611">
        <v>15</v>
      </c>
      <c r="B2484" s="1611" t="s">
        <v>7251</v>
      </c>
      <c r="C2484" s="1611" t="s">
        <v>3438</v>
      </c>
      <c r="D2484" s="1612">
        <v>0</v>
      </c>
      <c r="E2484" s="1706" t="s">
        <v>7592</v>
      </c>
      <c r="F2484" s="1613">
        <v>30465000</v>
      </c>
      <c r="G2484" s="1613">
        <v>105978811778</v>
      </c>
    </row>
    <row r="2485" spans="1:7" ht="17.25" customHeight="1" x14ac:dyDescent="0.2">
      <c r="A2485" s="1611">
        <v>15</v>
      </c>
      <c r="B2485" s="1611" t="s">
        <v>7251</v>
      </c>
      <c r="C2485" s="1611" t="s">
        <v>3438</v>
      </c>
      <c r="D2485" s="1612">
        <v>0</v>
      </c>
      <c r="E2485" s="1706" t="s">
        <v>7592</v>
      </c>
      <c r="F2485" s="1613">
        <v>30465000</v>
      </c>
      <c r="G2485" s="1613">
        <v>106009276778</v>
      </c>
    </row>
    <row r="2486" spans="1:7" ht="17.25" customHeight="1" x14ac:dyDescent="0.2">
      <c r="A2486" s="1611">
        <v>15</v>
      </c>
      <c r="B2486" s="1611" t="s">
        <v>7251</v>
      </c>
      <c r="C2486" s="1611" t="s">
        <v>3438</v>
      </c>
      <c r="D2486" s="1612">
        <v>0</v>
      </c>
      <c r="E2486" s="1706" t="s">
        <v>7592</v>
      </c>
      <c r="F2486" s="1613">
        <v>30465000</v>
      </c>
      <c r="G2486" s="1613">
        <v>106039741778</v>
      </c>
    </row>
    <row r="2487" spans="1:7" ht="17.25" customHeight="1" x14ac:dyDescent="0.2">
      <c r="A2487" s="1611">
        <v>15</v>
      </c>
      <c r="B2487" s="1611" t="s">
        <v>7251</v>
      </c>
      <c r="C2487" s="1611" t="s">
        <v>3438</v>
      </c>
      <c r="D2487" s="1612">
        <v>0</v>
      </c>
      <c r="E2487" s="1706" t="s">
        <v>7592</v>
      </c>
      <c r="F2487" s="1613">
        <v>30465000</v>
      </c>
      <c r="G2487" s="1613">
        <v>106070206778</v>
      </c>
    </row>
    <row r="2488" spans="1:7" ht="17.25" customHeight="1" x14ac:dyDescent="0.2">
      <c r="A2488" s="1611">
        <v>15</v>
      </c>
      <c r="B2488" s="1611" t="s">
        <v>7251</v>
      </c>
      <c r="C2488" s="1611" t="s">
        <v>3438</v>
      </c>
      <c r="D2488" s="1612">
        <v>0</v>
      </c>
      <c r="E2488" s="1706" t="s">
        <v>7592</v>
      </c>
      <c r="F2488" s="1613">
        <v>30465000</v>
      </c>
      <c r="G2488" s="1613">
        <v>106100671778</v>
      </c>
    </row>
    <row r="2489" spans="1:7" ht="17.25" customHeight="1" x14ac:dyDescent="0.2">
      <c r="A2489" s="1611">
        <v>15</v>
      </c>
      <c r="B2489" s="1611" t="s">
        <v>7251</v>
      </c>
      <c r="C2489" s="1611" t="s">
        <v>3438</v>
      </c>
      <c r="D2489" s="1612">
        <v>0</v>
      </c>
      <c r="E2489" s="1706" t="s">
        <v>7592</v>
      </c>
      <c r="F2489" s="1613">
        <v>30465000</v>
      </c>
      <c r="G2489" s="1613">
        <v>106131136778</v>
      </c>
    </row>
    <row r="2490" spans="1:7" ht="17.25" customHeight="1" x14ac:dyDescent="0.2">
      <c r="A2490" s="1611">
        <v>15</v>
      </c>
      <c r="B2490" s="1611" t="s">
        <v>7251</v>
      </c>
      <c r="C2490" s="1611" t="s">
        <v>3438</v>
      </c>
      <c r="D2490" s="1612">
        <v>0</v>
      </c>
      <c r="E2490" s="1706" t="s">
        <v>7592</v>
      </c>
      <c r="F2490" s="1613">
        <v>30465000</v>
      </c>
      <c r="G2490" s="1613">
        <v>106161601778</v>
      </c>
    </row>
    <row r="2491" spans="1:7" ht="17.25" customHeight="1" x14ac:dyDescent="0.2">
      <c r="A2491" s="1611">
        <v>15</v>
      </c>
      <c r="B2491" s="1611" t="s">
        <v>7251</v>
      </c>
      <c r="C2491" s="1611" t="s">
        <v>3438</v>
      </c>
      <c r="D2491" s="1612">
        <v>0</v>
      </c>
      <c r="E2491" s="1706" t="s">
        <v>7592</v>
      </c>
      <c r="F2491" s="1613">
        <v>30465000</v>
      </c>
      <c r="G2491" s="1613">
        <v>106192066778</v>
      </c>
    </row>
    <row r="2492" spans="1:7" ht="17.25" customHeight="1" x14ac:dyDescent="0.2">
      <c r="A2492" s="1611">
        <v>15</v>
      </c>
      <c r="B2492" s="1611" t="s">
        <v>7287</v>
      </c>
      <c r="C2492" s="1611" t="s">
        <v>5172</v>
      </c>
      <c r="D2492" s="1612">
        <v>0</v>
      </c>
      <c r="E2492" s="1706" t="s">
        <v>7592</v>
      </c>
      <c r="F2492" s="1613">
        <v>4980000</v>
      </c>
      <c r="G2492" s="1613">
        <v>106197046778</v>
      </c>
    </row>
    <row r="2493" spans="1:7" ht="17.25" customHeight="1" x14ac:dyDescent="0.2">
      <c r="A2493" s="1611">
        <v>15</v>
      </c>
      <c r="B2493" s="1611" t="s">
        <v>7170</v>
      </c>
      <c r="C2493" s="1611" t="s">
        <v>5292</v>
      </c>
      <c r="D2493" s="1612">
        <v>0</v>
      </c>
      <c r="E2493" s="1706" t="s">
        <v>7592</v>
      </c>
      <c r="F2493" s="1613">
        <v>164000000</v>
      </c>
      <c r="G2493" s="1613">
        <v>106361046778</v>
      </c>
    </row>
    <row r="2494" spans="1:7" ht="17.25" customHeight="1" x14ac:dyDescent="0.2">
      <c r="A2494" s="1611">
        <v>15</v>
      </c>
      <c r="B2494" s="1611" t="s">
        <v>7170</v>
      </c>
      <c r="C2494" s="1611" t="s">
        <v>3668</v>
      </c>
      <c r="D2494" s="1612">
        <v>0</v>
      </c>
      <c r="E2494" s="1706" t="s">
        <v>7592</v>
      </c>
      <c r="F2494" s="1613">
        <v>164000000</v>
      </c>
      <c r="G2494" s="1613">
        <v>106525046778</v>
      </c>
    </row>
    <row r="2495" spans="1:7" ht="17.25" customHeight="1" x14ac:dyDescent="0.2">
      <c r="A2495" s="1611">
        <v>15</v>
      </c>
      <c r="B2495" s="1611" t="s">
        <v>5293</v>
      </c>
      <c r="C2495" s="1611" t="s">
        <v>5172</v>
      </c>
      <c r="D2495" s="1612">
        <v>0</v>
      </c>
      <c r="E2495" s="1706" t="s">
        <v>7592</v>
      </c>
      <c r="F2495" s="1613">
        <v>26245000</v>
      </c>
      <c r="G2495" s="1613">
        <v>106551291778</v>
      </c>
    </row>
    <row r="2496" spans="1:7" ht="17.25" customHeight="1" x14ac:dyDescent="0.2">
      <c r="A2496" s="1611">
        <v>15</v>
      </c>
      <c r="B2496" s="1611" t="s">
        <v>7203</v>
      </c>
      <c r="C2496" s="1611" t="s">
        <v>5294</v>
      </c>
      <c r="D2496" s="1612">
        <v>0</v>
      </c>
      <c r="E2496" s="1706" t="s">
        <v>7592</v>
      </c>
      <c r="F2496" s="1613">
        <v>36200000</v>
      </c>
      <c r="G2496" s="1613">
        <v>106587491778</v>
      </c>
    </row>
    <row r="2497" spans="1:7" ht="17.25" customHeight="1" x14ac:dyDescent="0.2">
      <c r="A2497" s="1611">
        <v>15</v>
      </c>
      <c r="B2497" s="1611" t="s">
        <v>7203</v>
      </c>
      <c r="C2497" s="1611" t="s">
        <v>3461</v>
      </c>
      <c r="D2497" s="1612">
        <v>0</v>
      </c>
      <c r="E2497" s="1706" t="s">
        <v>7592</v>
      </c>
      <c r="F2497" s="1613">
        <v>34700000</v>
      </c>
      <c r="G2497" s="1613">
        <v>106622191778</v>
      </c>
    </row>
    <row r="2498" spans="1:7" ht="17.25" customHeight="1" x14ac:dyDescent="0.2">
      <c r="A2498" s="1611">
        <v>15</v>
      </c>
      <c r="B2498" s="1611" t="s">
        <v>7251</v>
      </c>
      <c r="C2498" s="1611" t="s">
        <v>3438</v>
      </c>
      <c r="D2498" s="1612">
        <v>0</v>
      </c>
      <c r="E2498" s="1706" t="s">
        <v>7592</v>
      </c>
      <c r="F2498" s="1613">
        <v>30465000</v>
      </c>
      <c r="G2498" s="1613">
        <v>106652656778</v>
      </c>
    </row>
    <row r="2499" spans="1:7" ht="17.25" customHeight="1" x14ac:dyDescent="0.2">
      <c r="A2499" s="1611">
        <v>15</v>
      </c>
      <c r="B2499" s="1611" t="s">
        <v>7251</v>
      </c>
      <c r="C2499" s="1611" t="s">
        <v>3438</v>
      </c>
      <c r="D2499" s="1612">
        <v>0</v>
      </c>
      <c r="E2499" s="1706" t="s">
        <v>7592</v>
      </c>
      <c r="F2499" s="1613">
        <v>30465000</v>
      </c>
      <c r="G2499" s="1613">
        <v>106683121778</v>
      </c>
    </row>
    <row r="2500" spans="1:7" ht="17.25" customHeight="1" x14ac:dyDescent="0.2">
      <c r="A2500" s="1611">
        <v>15</v>
      </c>
      <c r="B2500" s="1611" t="s">
        <v>7251</v>
      </c>
      <c r="C2500" s="1611" t="s">
        <v>5295</v>
      </c>
      <c r="D2500" s="1612">
        <v>0</v>
      </c>
      <c r="E2500" s="1706" t="s">
        <v>7592</v>
      </c>
      <c r="F2500" s="1613">
        <v>34500000</v>
      </c>
      <c r="G2500" s="1613">
        <v>106717621778</v>
      </c>
    </row>
    <row r="2501" spans="1:7" ht="17.25" customHeight="1" x14ac:dyDescent="0.2">
      <c r="A2501" s="1611">
        <v>15</v>
      </c>
      <c r="B2501" s="1611" t="s">
        <v>7203</v>
      </c>
      <c r="C2501" s="1611" t="s">
        <v>5296</v>
      </c>
      <c r="D2501" s="1612">
        <v>0</v>
      </c>
      <c r="E2501" s="1706" t="s">
        <v>7592</v>
      </c>
      <c r="F2501" s="1613">
        <v>35000000</v>
      </c>
      <c r="G2501" s="1613">
        <v>106752621778</v>
      </c>
    </row>
    <row r="2502" spans="1:7" ht="17.25" customHeight="1" x14ac:dyDescent="0.2">
      <c r="A2502" s="1611">
        <v>15</v>
      </c>
      <c r="B2502" s="1611" t="s">
        <v>7251</v>
      </c>
      <c r="C2502" s="1611" t="s">
        <v>3438</v>
      </c>
      <c r="D2502" s="1612">
        <v>0</v>
      </c>
      <c r="E2502" s="1706" t="s">
        <v>7592</v>
      </c>
      <c r="F2502" s="1613">
        <v>30465000</v>
      </c>
      <c r="G2502" s="1613">
        <v>106783086778</v>
      </c>
    </row>
    <row r="2503" spans="1:7" ht="17.25" customHeight="1" x14ac:dyDescent="0.2">
      <c r="A2503" s="1611">
        <v>15</v>
      </c>
      <c r="B2503" s="1611" t="s">
        <v>7251</v>
      </c>
      <c r="C2503" s="1611" t="s">
        <v>3438</v>
      </c>
      <c r="D2503" s="1612">
        <v>0</v>
      </c>
      <c r="E2503" s="1706" t="s">
        <v>7592</v>
      </c>
      <c r="F2503" s="1613">
        <v>30465000</v>
      </c>
      <c r="G2503" s="1613">
        <v>106813551778</v>
      </c>
    </row>
    <row r="2504" spans="1:7" ht="17.25" customHeight="1" x14ac:dyDescent="0.2">
      <c r="A2504" s="1611">
        <v>15</v>
      </c>
      <c r="B2504" s="1611" t="s">
        <v>7251</v>
      </c>
      <c r="C2504" s="1611" t="s">
        <v>3438</v>
      </c>
      <c r="D2504" s="1612">
        <v>0</v>
      </c>
      <c r="E2504" s="1706" t="s">
        <v>7592</v>
      </c>
      <c r="F2504" s="1613">
        <v>30465000</v>
      </c>
      <c r="G2504" s="1613">
        <v>106844016778</v>
      </c>
    </row>
    <row r="2505" spans="1:7" ht="17.25" customHeight="1" x14ac:dyDescent="0.2">
      <c r="A2505" s="1611">
        <v>15</v>
      </c>
      <c r="B2505" s="1611" t="s">
        <v>7251</v>
      </c>
      <c r="C2505" s="1611" t="s">
        <v>3438</v>
      </c>
      <c r="D2505" s="1612">
        <v>0</v>
      </c>
      <c r="E2505" s="1706" t="s">
        <v>7592</v>
      </c>
      <c r="F2505" s="1613">
        <v>30465000</v>
      </c>
      <c r="G2505" s="1613">
        <v>106874481778</v>
      </c>
    </row>
    <row r="2506" spans="1:7" ht="17.25" customHeight="1" x14ac:dyDescent="0.2">
      <c r="A2506" s="1611">
        <v>15</v>
      </c>
      <c r="B2506" s="1611" t="s">
        <v>7251</v>
      </c>
      <c r="C2506" s="1611" t="s">
        <v>3438</v>
      </c>
      <c r="D2506" s="1612">
        <v>0</v>
      </c>
      <c r="E2506" s="1706" t="s">
        <v>7592</v>
      </c>
      <c r="F2506" s="1613">
        <v>30465000</v>
      </c>
      <c r="G2506" s="1613">
        <v>106904946778</v>
      </c>
    </row>
    <row r="2507" spans="1:7" ht="17.25" customHeight="1" x14ac:dyDescent="0.2">
      <c r="A2507" s="1611">
        <v>15</v>
      </c>
      <c r="B2507" s="1611" t="s">
        <v>7251</v>
      </c>
      <c r="C2507" s="1611" t="s">
        <v>3438</v>
      </c>
      <c r="D2507" s="1612">
        <v>0</v>
      </c>
      <c r="E2507" s="1706" t="s">
        <v>7592</v>
      </c>
      <c r="F2507" s="1613">
        <v>30465000</v>
      </c>
      <c r="G2507" s="1613">
        <v>106935411778</v>
      </c>
    </row>
    <row r="2508" spans="1:7" ht="17.25" customHeight="1" x14ac:dyDescent="0.2">
      <c r="A2508" s="1611">
        <v>15</v>
      </c>
      <c r="B2508" s="1611" t="s">
        <v>7251</v>
      </c>
      <c r="C2508" s="1611" t="s">
        <v>3438</v>
      </c>
      <c r="D2508" s="1612">
        <v>0</v>
      </c>
      <c r="E2508" s="1706" t="s">
        <v>7592</v>
      </c>
      <c r="F2508" s="1613">
        <v>30465000</v>
      </c>
      <c r="G2508" s="1613">
        <v>106965876778</v>
      </c>
    </row>
    <row r="2509" spans="1:7" ht="17.25" customHeight="1" x14ac:dyDescent="0.2">
      <c r="A2509" s="1611">
        <v>15</v>
      </c>
      <c r="B2509" s="1611" t="s">
        <v>7251</v>
      </c>
      <c r="C2509" s="1611" t="s">
        <v>3438</v>
      </c>
      <c r="D2509" s="1612">
        <v>0</v>
      </c>
      <c r="E2509" s="1706" t="s">
        <v>7592</v>
      </c>
      <c r="F2509" s="1613">
        <v>30465000</v>
      </c>
      <c r="G2509" s="1613">
        <v>106996341778</v>
      </c>
    </row>
    <row r="2510" spans="1:7" ht="17.25" customHeight="1" x14ac:dyDescent="0.2">
      <c r="A2510" s="1611">
        <v>15</v>
      </c>
      <c r="B2510" s="1611" t="s">
        <v>7176</v>
      </c>
      <c r="C2510" s="1611" t="s">
        <v>5297</v>
      </c>
      <c r="D2510" s="1612">
        <v>0</v>
      </c>
      <c r="E2510" s="1706" t="s">
        <v>7592</v>
      </c>
      <c r="F2510" s="1613">
        <v>40909091</v>
      </c>
      <c r="G2510" s="1613">
        <v>107037250869</v>
      </c>
    </row>
    <row r="2511" spans="1:7" ht="17.25" customHeight="1" x14ac:dyDescent="0.2">
      <c r="A2511" s="1611">
        <v>15</v>
      </c>
      <c r="B2511" s="1611" t="s">
        <v>7203</v>
      </c>
      <c r="C2511" s="1611" t="s">
        <v>5250</v>
      </c>
      <c r="D2511" s="1612">
        <v>0</v>
      </c>
      <c r="E2511" s="1706" t="s">
        <v>7592</v>
      </c>
      <c r="F2511" s="1613">
        <v>42584728</v>
      </c>
      <c r="G2511" s="1613">
        <v>107079835597</v>
      </c>
    </row>
    <row r="2512" spans="1:7" ht="17.25" customHeight="1" x14ac:dyDescent="0.2">
      <c r="A2512" s="1611">
        <v>15</v>
      </c>
      <c r="B2512" s="1611" t="s">
        <v>7203</v>
      </c>
      <c r="C2512" s="1611" t="s">
        <v>5250</v>
      </c>
      <c r="D2512" s="1612">
        <v>0</v>
      </c>
      <c r="E2512" s="1706" t="s">
        <v>7592</v>
      </c>
      <c r="F2512" s="1613">
        <v>42584728</v>
      </c>
      <c r="G2512" s="1613">
        <v>107122420325</v>
      </c>
    </row>
    <row r="2513" spans="1:7" ht="17.25" customHeight="1" x14ac:dyDescent="0.2">
      <c r="A2513" s="1611">
        <v>15</v>
      </c>
      <c r="B2513" s="1611" t="s">
        <v>7203</v>
      </c>
      <c r="C2513" s="1611" t="s">
        <v>5250</v>
      </c>
      <c r="D2513" s="1612">
        <v>0</v>
      </c>
      <c r="E2513" s="1706" t="s">
        <v>7592</v>
      </c>
      <c r="F2513" s="1613">
        <v>42584728</v>
      </c>
      <c r="G2513" s="1613">
        <v>107165005053</v>
      </c>
    </row>
    <row r="2514" spans="1:7" ht="17.25" customHeight="1" x14ac:dyDescent="0.2">
      <c r="A2514" s="1611">
        <v>15</v>
      </c>
      <c r="B2514" s="1611" t="s">
        <v>7203</v>
      </c>
      <c r="C2514" s="1611" t="s">
        <v>5250</v>
      </c>
      <c r="D2514" s="1612">
        <v>0</v>
      </c>
      <c r="E2514" s="1706" t="s">
        <v>7592</v>
      </c>
      <c r="F2514" s="1613">
        <v>42584728</v>
      </c>
      <c r="G2514" s="1613">
        <v>107207589781</v>
      </c>
    </row>
    <row r="2515" spans="1:7" ht="17.25" customHeight="1" x14ac:dyDescent="0.2">
      <c r="A2515" s="1611">
        <v>15</v>
      </c>
      <c r="B2515" s="1611" t="s">
        <v>7203</v>
      </c>
      <c r="C2515" s="1611" t="s">
        <v>5250</v>
      </c>
      <c r="D2515" s="1612">
        <v>0</v>
      </c>
      <c r="E2515" s="1706" t="s">
        <v>7592</v>
      </c>
      <c r="F2515" s="1613">
        <v>42584728</v>
      </c>
      <c r="G2515" s="1613">
        <v>107250174509</v>
      </c>
    </row>
    <row r="2516" spans="1:7" ht="17.25" customHeight="1" x14ac:dyDescent="0.2">
      <c r="A2516" s="1611">
        <v>15</v>
      </c>
      <c r="B2516" s="1611" t="s">
        <v>7203</v>
      </c>
      <c r="C2516" s="1611" t="s">
        <v>5250</v>
      </c>
      <c r="D2516" s="1612">
        <v>0</v>
      </c>
      <c r="E2516" s="1706" t="s">
        <v>7592</v>
      </c>
      <c r="F2516" s="1613">
        <v>42584728</v>
      </c>
      <c r="G2516" s="1613">
        <v>107292759237</v>
      </c>
    </row>
    <row r="2517" spans="1:7" ht="17.25" customHeight="1" x14ac:dyDescent="0.2">
      <c r="A2517" s="1611">
        <v>15</v>
      </c>
      <c r="B2517" s="1611" t="s">
        <v>7203</v>
      </c>
      <c r="C2517" s="1611" t="s">
        <v>5250</v>
      </c>
      <c r="D2517" s="1612">
        <v>0</v>
      </c>
      <c r="E2517" s="1706" t="s">
        <v>7592</v>
      </c>
      <c r="F2517" s="1613">
        <v>42584728</v>
      </c>
      <c r="G2517" s="1613">
        <v>107335343965</v>
      </c>
    </row>
    <row r="2518" spans="1:7" ht="17.25" customHeight="1" x14ac:dyDescent="0.2">
      <c r="A2518" s="1611">
        <v>15</v>
      </c>
      <c r="B2518" s="1611" t="s">
        <v>7203</v>
      </c>
      <c r="C2518" s="1611" t="s">
        <v>5250</v>
      </c>
      <c r="D2518" s="1612">
        <v>0</v>
      </c>
      <c r="E2518" s="1706" t="s">
        <v>7592</v>
      </c>
      <c r="F2518" s="1613">
        <v>42584728</v>
      </c>
      <c r="G2518" s="1613">
        <v>107377928693</v>
      </c>
    </row>
    <row r="2519" spans="1:7" ht="17.25" customHeight="1" x14ac:dyDescent="0.2">
      <c r="A2519" s="1611">
        <v>15</v>
      </c>
      <c r="B2519" s="1611" t="s">
        <v>7203</v>
      </c>
      <c r="C2519" s="1611" t="s">
        <v>5250</v>
      </c>
      <c r="D2519" s="1612">
        <v>0</v>
      </c>
      <c r="E2519" s="1706" t="s">
        <v>7592</v>
      </c>
      <c r="F2519" s="1613">
        <v>42584728</v>
      </c>
      <c r="G2519" s="1613">
        <v>107420513421</v>
      </c>
    </row>
    <row r="2520" spans="1:7" ht="17.25" customHeight="1" x14ac:dyDescent="0.2">
      <c r="A2520" s="1611">
        <v>15</v>
      </c>
      <c r="B2520" s="1611" t="s">
        <v>7203</v>
      </c>
      <c r="C2520" s="1611" t="s">
        <v>5250</v>
      </c>
      <c r="D2520" s="1612">
        <v>0</v>
      </c>
      <c r="E2520" s="1706" t="s">
        <v>7592</v>
      </c>
      <c r="F2520" s="1613">
        <v>42584728</v>
      </c>
      <c r="G2520" s="1613">
        <v>107463098149</v>
      </c>
    </row>
    <row r="2521" spans="1:7" ht="17.25" customHeight="1" x14ac:dyDescent="0.2">
      <c r="A2521" s="1611">
        <v>15</v>
      </c>
      <c r="B2521" s="1611" t="s">
        <v>7203</v>
      </c>
      <c r="C2521" s="1611" t="s">
        <v>5250</v>
      </c>
      <c r="D2521" s="1612">
        <v>0</v>
      </c>
      <c r="E2521" s="1706" t="s">
        <v>7592</v>
      </c>
      <c r="F2521" s="1613">
        <v>42584728</v>
      </c>
      <c r="G2521" s="1613">
        <v>107505682877</v>
      </c>
    </row>
    <row r="2522" spans="1:7" ht="17.25" customHeight="1" x14ac:dyDescent="0.2">
      <c r="A2522" s="1611">
        <v>15</v>
      </c>
      <c r="B2522" s="1611" t="s">
        <v>7203</v>
      </c>
      <c r="C2522" s="1611" t="s">
        <v>5250</v>
      </c>
      <c r="D2522" s="1612">
        <v>0</v>
      </c>
      <c r="E2522" s="1706" t="s">
        <v>7592</v>
      </c>
      <c r="F2522" s="1613">
        <v>42584728</v>
      </c>
      <c r="G2522" s="1613">
        <v>107548267605</v>
      </c>
    </row>
    <row r="2523" spans="1:7" ht="17.25" customHeight="1" x14ac:dyDescent="0.2">
      <c r="A2523" s="1611">
        <v>15</v>
      </c>
      <c r="B2523" s="1611" t="s">
        <v>7203</v>
      </c>
      <c r="C2523" s="1611" t="s">
        <v>5250</v>
      </c>
      <c r="D2523" s="1612">
        <v>0</v>
      </c>
      <c r="E2523" s="1706" t="s">
        <v>7592</v>
      </c>
      <c r="F2523" s="1613">
        <v>42584728</v>
      </c>
      <c r="G2523" s="1613">
        <v>107590852333</v>
      </c>
    </row>
    <row r="2524" spans="1:7" ht="17.25" customHeight="1" x14ac:dyDescent="0.2">
      <c r="A2524" s="1611">
        <v>15</v>
      </c>
      <c r="B2524" s="1611" t="s">
        <v>7203</v>
      </c>
      <c r="C2524" s="1611" t="s">
        <v>5298</v>
      </c>
      <c r="D2524" s="1612">
        <v>0</v>
      </c>
      <c r="E2524" s="1706" t="s">
        <v>7592</v>
      </c>
      <c r="F2524" s="1613">
        <v>39000000</v>
      </c>
      <c r="G2524" s="1613">
        <v>107629852333</v>
      </c>
    </row>
    <row r="2525" spans="1:7" ht="17.25" customHeight="1" x14ac:dyDescent="0.2">
      <c r="A2525" s="1611">
        <v>15</v>
      </c>
      <c r="B2525" s="1611" t="s">
        <v>7176</v>
      </c>
      <c r="C2525" s="1611" t="s">
        <v>5299</v>
      </c>
      <c r="D2525" s="1612">
        <v>0</v>
      </c>
      <c r="E2525" s="1706" t="s">
        <v>7592</v>
      </c>
      <c r="F2525" s="1613">
        <v>46500000</v>
      </c>
      <c r="G2525" s="1613">
        <v>107676352333</v>
      </c>
    </row>
    <row r="2526" spans="1:7" ht="17.25" customHeight="1" x14ac:dyDescent="0.2">
      <c r="A2526" s="1611">
        <v>15</v>
      </c>
      <c r="B2526" s="1611" t="s">
        <v>7176</v>
      </c>
      <c r="C2526" s="1611" t="s">
        <v>5299</v>
      </c>
      <c r="D2526" s="1612">
        <v>0</v>
      </c>
      <c r="E2526" s="1706" t="s">
        <v>7592</v>
      </c>
      <c r="F2526" s="1613">
        <v>46500000</v>
      </c>
      <c r="G2526" s="1613">
        <v>107722852333</v>
      </c>
    </row>
    <row r="2527" spans="1:7" ht="17.25" customHeight="1" x14ac:dyDescent="0.2">
      <c r="A2527" s="1611">
        <v>15</v>
      </c>
      <c r="B2527" s="1611" t="s">
        <v>7176</v>
      </c>
      <c r="C2527" s="1611" t="s">
        <v>5300</v>
      </c>
      <c r="D2527" s="1612">
        <v>0</v>
      </c>
      <c r="E2527" s="1706" t="s">
        <v>7592</v>
      </c>
      <c r="F2527" s="1613">
        <v>46500000</v>
      </c>
      <c r="G2527" s="1613">
        <v>107769352333</v>
      </c>
    </row>
    <row r="2528" spans="1:7" ht="17.25" customHeight="1" x14ac:dyDescent="0.2">
      <c r="A2528" s="1611">
        <v>15</v>
      </c>
      <c r="B2528" s="1611" t="s">
        <v>7176</v>
      </c>
      <c r="C2528" s="1611" t="s">
        <v>5301</v>
      </c>
      <c r="D2528" s="1612">
        <v>0</v>
      </c>
      <c r="E2528" s="1706" t="s">
        <v>7592</v>
      </c>
      <c r="F2528" s="1613">
        <v>46500000</v>
      </c>
      <c r="G2528" s="1613">
        <v>107815852333</v>
      </c>
    </row>
    <row r="2529" spans="1:7" ht="17.25" customHeight="1" x14ac:dyDescent="0.2">
      <c r="A2529" s="1611">
        <v>15</v>
      </c>
      <c r="B2529" s="1611" t="s">
        <v>7176</v>
      </c>
      <c r="C2529" s="1611" t="s">
        <v>5302</v>
      </c>
      <c r="D2529" s="1612">
        <v>0</v>
      </c>
      <c r="E2529" s="1706" t="s">
        <v>7592</v>
      </c>
      <c r="F2529" s="1613">
        <v>46500000</v>
      </c>
      <c r="G2529" s="1613">
        <v>107862352333</v>
      </c>
    </row>
    <row r="2530" spans="1:7" ht="17.25" customHeight="1" x14ac:dyDescent="0.2">
      <c r="A2530" s="1611">
        <v>15</v>
      </c>
      <c r="B2530" s="1611" t="s">
        <v>7176</v>
      </c>
      <c r="C2530" s="1611" t="s">
        <v>5302</v>
      </c>
      <c r="D2530" s="1612">
        <v>0</v>
      </c>
      <c r="E2530" s="1706" t="s">
        <v>7592</v>
      </c>
      <c r="F2530" s="1613">
        <v>46500000</v>
      </c>
      <c r="G2530" s="1613">
        <v>107908852333</v>
      </c>
    </row>
    <row r="2531" spans="1:7" ht="17.25" customHeight="1" x14ac:dyDescent="0.2">
      <c r="A2531" s="1611">
        <v>15</v>
      </c>
      <c r="B2531" s="1611" t="s">
        <v>7176</v>
      </c>
      <c r="C2531" s="1611" t="s">
        <v>5302</v>
      </c>
      <c r="D2531" s="1612">
        <v>0</v>
      </c>
      <c r="E2531" s="1706" t="s">
        <v>7592</v>
      </c>
      <c r="F2531" s="1613">
        <v>46500000</v>
      </c>
      <c r="G2531" s="1613">
        <v>107955352333</v>
      </c>
    </row>
    <row r="2532" spans="1:7" ht="17.25" customHeight="1" x14ac:dyDescent="0.2">
      <c r="A2532" s="1611">
        <v>15</v>
      </c>
      <c r="B2532" s="1611" t="s">
        <v>7176</v>
      </c>
      <c r="C2532" s="1611" t="s">
        <v>5303</v>
      </c>
      <c r="D2532" s="1612">
        <v>0</v>
      </c>
      <c r="E2532" s="1706" t="s">
        <v>7592</v>
      </c>
      <c r="F2532" s="1613">
        <v>46500000</v>
      </c>
      <c r="G2532" s="1613">
        <v>108001852333</v>
      </c>
    </row>
    <row r="2533" spans="1:7" ht="17.25" customHeight="1" x14ac:dyDescent="0.2">
      <c r="A2533" s="1611">
        <v>15</v>
      </c>
      <c r="B2533" s="1611" t="s">
        <v>7176</v>
      </c>
      <c r="C2533" s="1611" t="s">
        <v>3951</v>
      </c>
      <c r="D2533" s="1612">
        <v>0</v>
      </c>
      <c r="E2533" s="1706" t="s">
        <v>7592</v>
      </c>
      <c r="F2533" s="1613">
        <v>46500000</v>
      </c>
      <c r="G2533" s="1613">
        <v>108048352333</v>
      </c>
    </row>
    <row r="2534" spans="1:7" ht="17.25" customHeight="1" x14ac:dyDescent="0.2">
      <c r="A2534" s="1611">
        <v>15</v>
      </c>
      <c r="B2534" s="1611" t="s">
        <v>7176</v>
      </c>
      <c r="C2534" s="1611" t="s">
        <v>3951</v>
      </c>
      <c r="D2534" s="1612">
        <v>0</v>
      </c>
      <c r="E2534" s="1706" t="s">
        <v>7592</v>
      </c>
      <c r="F2534" s="1613">
        <v>46500000</v>
      </c>
      <c r="G2534" s="1613">
        <v>108094852333</v>
      </c>
    </row>
    <row r="2535" spans="1:7" ht="17.25" customHeight="1" x14ac:dyDescent="0.2">
      <c r="A2535" s="1611">
        <v>15</v>
      </c>
      <c r="B2535" s="1611" t="s">
        <v>7176</v>
      </c>
      <c r="C2535" s="1611" t="s">
        <v>3951</v>
      </c>
      <c r="D2535" s="1612">
        <v>0</v>
      </c>
      <c r="E2535" s="1706" t="s">
        <v>7592</v>
      </c>
      <c r="F2535" s="1613">
        <v>46500000</v>
      </c>
      <c r="G2535" s="1613">
        <v>108141352333</v>
      </c>
    </row>
    <row r="2536" spans="1:7" ht="17.25" customHeight="1" x14ac:dyDescent="0.2">
      <c r="A2536" s="1611">
        <v>15</v>
      </c>
      <c r="B2536" s="1611" t="s">
        <v>7246</v>
      </c>
      <c r="C2536" s="1611" t="s">
        <v>5304</v>
      </c>
      <c r="D2536" s="1612">
        <v>0</v>
      </c>
      <c r="E2536" s="1706" t="s">
        <v>7592</v>
      </c>
      <c r="F2536" s="1613">
        <v>69818182</v>
      </c>
      <c r="G2536" s="1613">
        <v>108211170515</v>
      </c>
    </row>
    <row r="2537" spans="1:7" ht="17.25" customHeight="1" x14ac:dyDescent="0.2">
      <c r="A2537" s="1611">
        <v>15</v>
      </c>
      <c r="B2537" s="1611" t="s">
        <v>7176</v>
      </c>
      <c r="C2537" s="1611" t="s">
        <v>5305</v>
      </c>
      <c r="D2537" s="1612">
        <v>0</v>
      </c>
      <c r="E2537" s="1706" t="s">
        <v>7592</v>
      </c>
      <c r="F2537" s="1613">
        <v>-46500000</v>
      </c>
      <c r="G2537" s="1613">
        <v>108164670515</v>
      </c>
    </row>
    <row r="2538" spans="1:7" ht="17.25" customHeight="1" x14ac:dyDescent="0.2">
      <c r="A2538" s="1611">
        <v>15</v>
      </c>
      <c r="B2538" s="1611" t="s">
        <v>7176</v>
      </c>
      <c r="C2538" s="1611" t="s">
        <v>5305</v>
      </c>
      <c r="D2538" s="1612">
        <v>0</v>
      </c>
      <c r="E2538" s="1706" t="s">
        <v>7592</v>
      </c>
      <c r="F2538" s="1613">
        <v>46500000</v>
      </c>
      <c r="G2538" s="1613">
        <v>108211170515</v>
      </c>
    </row>
    <row r="2539" spans="1:7" ht="17.25" customHeight="1" x14ac:dyDescent="0.2">
      <c r="A2539" s="1611">
        <v>15</v>
      </c>
      <c r="B2539" s="1611" t="s">
        <v>7176</v>
      </c>
      <c r="C2539" s="1611" t="s">
        <v>5305</v>
      </c>
      <c r="D2539" s="1612">
        <v>0</v>
      </c>
      <c r="E2539" s="1706" t="s">
        <v>7592</v>
      </c>
      <c r="F2539" s="1613">
        <v>-46500000</v>
      </c>
      <c r="G2539" s="1613">
        <v>108164670515</v>
      </c>
    </row>
    <row r="2540" spans="1:7" ht="17.25" customHeight="1" x14ac:dyDescent="0.2">
      <c r="A2540" s="1611">
        <v>15</v>
      </c>
      <c r="B2540" s="1611" t="s">
        <v>7176</v>
      </c>
      <c r="C2540" s="1611" t="s">
        <v>5305</v>
      </c>
      <c r="D2540" s="1612">
        <v>0</v>
      </c>
      <c r="E2540" s="1706" t="s">
        <v>7592</v>
      </c>
      <c r="F2540" s="1613">
        <v>46500000</v>
      </c>
      <c r="G2540" s="1613">
        <v>108211170515</v>
      </c>
    </row>
    <row r="2541" spans="1:7" ht="17.25" customHeight="1" x14ac:dyDescent="0.2">
      <c r="A2541" s="1611">
        <v>15</v>
      </c>
      <c r="B2541" s="1611" t="s">
        <v>7284</v>
      </c>
      <c r="C2541" s="1611" t="s">
        <v>5304</v>
      </c>
      <c r="D2541" s="1612">
        <v>0</v>
      </c>
      <c r="E2541" s="1706" t="s">
        <v>7592</v>
      </c>
      <c r="F2541" s="1613">
        <v>10450000</v>
      </c>
      <c r="G2541" s="1613">
        <v>108221620515</v>
      </c>
    </row>
    <row r="2542" spans="1:7" ht="17.25" customHeight="1" x14ac:dyDescent="0.2">
      <c r="A2542" s="1611">
        <v>15</v>
      </c>
      <c r="B2542" s="1611" t="s">
        <v>7251</v>
      </c>
      <c r="C2542" s="1611" t="s">
        <v>3438</v>
      </c>
      <c r="D2542" s="1612">
        <v>0</v>
      </c>
      <c r="E2542" s="1706" t="s">
        <v>7592</v>
      </c>
      <c r="F2542" s="1613">
        <v>30465000</v>
      </c>
      <c r="G2542" s="1613">
        <v>108252085515</v>
      </c>
    </row>
    <row r="2543" spans="1:7" ht="17.25" customHeight="1" x14ac:dyDescent="0.2">
      <c r="A2543" s="1611">
        <v>15</v>
      </c>
      <c r="B2543" s="1611" t="s">
        <v>7251</v>
      </c>
      <c r="C2543" s="1611" t="s">
        <v>3438</v>
      </c>
      <c r="D2543" s="1612">
        <v>0</v>
      </c>
      <c r="E2543" s="1706" t="s">
        <v>7592</v>
      </c>
      <c r="F2543" s="1613">
        <v>30465000</v>
      </c>
      <c r="G2543" s="1613">
        <v>108282550515</v>
      </c>
    </row>
    <row r="2544" spans="1:7" ht="17.25" customHeight="1" x14ac:dyDescent="0.2">
      <c r="A2544" s="1611">
        <v>15</v>
      </c>
      <c r="B2544" s="1611" t="s">
        <v>7251</v>
      </c>
      <c r="C2544" s="1611" t="s">
        <v>3438</v>
      </c>
      <c r="D2544" s="1612">
        <v>0</v>
      </c>
      <c r="E2544" s="1706" t="s">
        <v>7592</v>
      </c>
      <c r="F2544" s="1613">
        <v>30465000</v>
      </c>
      <c r="G2544" s="1613">
        <v>108313015515</v>
      </c>
    </row>
    <row r="2545" spans="1:7" ht="17.25" customHeight="1" x14ac:dyDescent="0.2">
      <c r="A2545" s="1611">
        <v>15</v>
      </c>
      <c r="B2545" s="1611" t="s">
        <v>7251</v>
      </c>
      <c r="C2545" s="1611" t="s">
        <v>3438</v>
      </c>
      <c r="D2545" s="1612">
        <v>0</v>
      </c>
      <c r="E2545" s="1706" t="s">
        <v>7592</v>
      </c>
      <c r="F2545" s="1613">
        <v>30465000</v>
      </c>
      <c r="G2545" s="1613">
        <v>108343480515</v>
      </c>
    </row>
    <row r="2546" spans="1:7" ht="17.25" customHeight="1" x14ac:dyDescent="0.2">
      <c r="A2546" s="1611">
        <v>15</v>
      </c>
      <c r="B2546" s="1611" t="s">
        <v>7251</v>
      </c>
      <c r="C2546" s="1611" t="s">
        <v>3438</v>
      </c>
      <c r="D2546" s="1612">
        <v>0</v>
      </c>
      <c r="E2546" s="1706" t="s">
        <v>7592</v>
      </c>
      <c r="F2546" s="1613">
        <v>30465000</v>
      </c>
      <c r="G2546" s="1613">
        <v>108373945515</v>
      </c>
    </row>
    <row r="2547" spans="1:7" ht="17.25" customHeight="1" x14ac:dyDescent="0.2">
      <c r="A2547" s="1611">
        <v>15</v>
      </c>
      <c r="B2547" s="1611" t="s">
        <v>7203</v>
      </c>
      <c r="C2547" s="1611" t="s">
        <v>4055</v>
      </c>
      <c r="D2547" s="1612">
        <v>0</v>
      </c>
      <c r="E2547" s="1706" t="s">
        <v>7592</v>
      </c>
      <c r="F2547" s="1613">
        <v>35500000</v>
      </c>
      <c r="G2547" s="1613">
        <v>108409445515</v>
      </c>
    </row>
    <row r="2548" spans="1:7" ht="17.25" customHeight="1" x14ac:dyDescent="0.2">
      <c r="A2548" s="1611">
        <v>15</v>
      </c>
      <c r="B2548" s="1611" t="s">
        <v>7203</v>
      </c>
      <c r="C2548" s="1611" t="s">
        <v>5306</v>
      </c>
      <c r="D2548" s="1612">
        <v>0</v>
      </c>
      <c r="E2548" s="1706" t="s">
        <v>7592</v>
      </c>
      <c r="F2548" s="1613">
        <v>35000000</v>
      </c>
      <c r="G2548" s="1613">
        <v>108444445515</v>
      </c>
    </row>
    <row r="2549" spans="1:7" ht="17.25" customHeight="1" x14ac:dyDescent="0.2">
      <c r="A2549" s="1611">
        <v>15</v>
      </c>
      <c r="B2549" s="1611" t="s">
        <v>7203</v>
      </c>
      <c r="C2549" s="1611" t="s">
        <v>5307</v>
      </c>
      <c r="D2549" s="1612">
        <v>0</v>
      </c>
      <c r="E2549" s="1706" t="s">
        <v>7592</v>
      </c>
      <c r="F2549" s="1613">
        <v>35909091</v>
      </c>
      <c r="G2549" s="1613">
        <v>108480354606</v>
      </c>
    </row>
    <row r="2550" spans="1:7" ht="17.25" customHeight="1" x14ac:dyDescent="0.2">
      <c r="A2550" s="1611">
        <v>15</v>
      </c>
      <c r="B2550" s="1611" t="s">
        <v>7203</v>
      </c>
      <c r="C2550" s="1611" t="s">
        <v>3461</v>
      </c>
      <c r="D2550" s="1612">
        <v>0</v>
      </c>
      <c r="E2550" s="1706" t="s">
        <v>7592</v>
      </c>
      <c r="F2550" s="1613">
        <v>34700000</v>
      </c>
      <c r="G2550" s="1613">
        <v>108515054606</v>
      </c>
    </row>
    <row r="2551" spans="1:7" ht="17.25" customHeight="1" x14ac:dyDescent="0.2">
      <c r="A2551" s="1611">
        <v>15</v>
      </c>
      <c r="B2551" s="1611" t="s">
        <v>7203</v>
      </c>
      <c r="C2551" s="1611" t="s">
        <v>4673</v>
      </c>
      <c r="D2551" s="1612">
        <v>0</v>
      </c>
      <c r="E2551" s="1706" t="s">
        <v>7592</v>
      </c>
      <c r="F2551" s="1613">
        <v>35800000</v>
      </c>
      <c r="G2551" s="1613">
        <v>108550854606</v>
      </c>
    </row>
    <row r="2552" spans="1:7" ht="17.25" customHeight="1" x14ac:dyDescent="0.2">
      <c r="A2552" s="1611">
        <v>15</v>
      </c>
      <c r="B2552" s="1611" t="s">
        <v>7247</v>
      </c>
      <c r="C2552" s="1611" t="s">
        <v>5308</v>
      </c>
      <c r="D2552" s="1612">
        <v>0</v>
      </c>
      <c r="E2552" s="1706" t="s">
        <v>7592</v>
      </c>
      <c r="F2552" s="1613">
        <v>42181818</v>
      </c>
      <c r="G2552" s="1613">
        <v>108593036424</v>
      </c>
    </row>
    <row r="2553" spans="1:7" ht="17.25" customHeight="1" x14ac:dyDescent="0.2">
      <c r="A2553" s="1611">
        <v>15</v>
      </c>
      <c r="B2553" s="1611" t="s">
        <v>7154</v>
      </c>
      <c r="C2553" s="1611" t="s">
        <v>5309</v>
      </c>
      <c r="D2553" s="1612">
        <v>0</v>
      </c>
      <c r="E2553" s="1706" t="s">
        <v>7592</v>
      </c>
      <c r="F2553" s="1613">
        <v>50909091</v>
      </c>
      <c r="G2553" s="1613">
        <v>108643945515</v>
      </c>
    </row>
    <row r="2554" spans="1:7" ht="17.25" customHeight="1" x14ac:dyDescent="0.2">
      <c r="A2554" s="1611">
        <v>15</v>
      </c>
      <c r="B2554" s="1611" t="s">
        <v>7251</v>
      </c>
      <c r="C2554" s="1611" t="s">
        <v>3438</v>
      </c>
      <c r="D2554" s="1612">
        <v>0</v>
      </c>
      <c r="E2554" s="1706" t="s">
        <v>7592</v>
      </c>
      <c r="F2554" s="1613">
        <v>30465000</v>
      </c>
      <c r="G2554" s="1613">
        <v>108674410515</v>
      </c>
    </row>
    <row r="2555" spans="1:7" ht="17.25" customHeight="1" x14ac:dyDescent="0.2">
      <c r="A2555" s="1611">
        <v>15</v>
      </c>
      <c r="B2555" s="1611" t="s">
        <v>7251</v>
      </c>
      <c r="C2555" s="1611" t="s">
        <v>3438</v>
      </c>
      <c r="D2555" s="1612">
        <v>0</v>
      </c>
      <c r="E2555" s="1706" t="s">
        <v>7592</v>
      </c>
      <c r="F2555" s="1613">
        <v>30465000</v>
      </c>
      <c r="G2555" s="1613">
        <v>108704875515</v>
      </c>
    </row>
    <row r="2556" spans="1:7" ht="17.25" customHeight="1" x14ac:dyDescent="0.2">
      <c r="A2556" s="1611">
        <v>15</v>
      </c>
      <c r="B2556" s="1611" t="s">
        <v>7251</v>
      </c>
      <c r="C2556" s="1611" t="s">
        <v>3438</v>
      </c>
      <c r="D2556" s="1612">
        <v>0</v>
      </c>
      <c r="E2556" s="1706" t="s">
        <v>7592</v>
      </c>
      <c r="F2556" s="1613">
        <v>30465000</v>
      </c>
      <c r="G2556" s="1613">
        <v>108735340515</v>
      </c>
    </row>
    <row r="2557" spans="1:7" ht="17.25" customHeight="1" x14ac:dyDescent="0.2">
      <c r="A2557" s="1611">
        <v>15</v>
      </c>
      <c r="B2557" s="1611" t="s">
        <v>7251</v>
      </c>
      <c r="C2557" s="1611" t="s">
        <v>3438</v>
      </c>
      <c r="D2557" s="1612">
        <v>0</v>
      </c>
      <c r="E2557" s="1706" t="s">
        <v>7592</v>
      </c>
      <c r="F2557" s="1613">
        <v>30465000</v>
      </c>
      <c r="G2557" s="1613">
        <v>108765805515</v>
      </c>
    </row>
    <row r="2558" spans="1:7" ht="17.25" customHeight="1" x14ac:dyDescent="0.2">
      <c r="A2558" s="1611">
        <v>15</v>
      </c>
      <c r="B2558" s="1611" t="s">
        <v>7251</v>
      </c>
      <c r="C2558" s="1611" t="s">
        <v>3438</v>
      </c>
      <c r="D2558" s="1612">
        <v>0</v>
      </c>
      <c r="E2558" s="1706" t="s">
        <v>7592</v>
      </c>
      <c r="F2558" s="1613">
        <v>30465000</v>
      </c>
      <c r="G2558" s="1613">
        <v>108796270515</v>
      </c>
    </row>
    <row r="2559" spans="1:7" ht="17.25" customHeight="1" x14ac:dyDescent="0.2">
      <c r="A2559" s="1611">
        <v>15</v>
      </c>
      <c r="B2559" s="1611" t="s">
        <v>7251</v>
      </c>
      <c r="C2559" s="1611" t="s">
        <v>3438</v>
      </c>
      <c r="D2559" s="1612">
        <v>0</v>
      </c>
      <c r="E2559" s="1706" t="s">
        <v>7592</v>
      </c>
      <c r="F2559" s="1613">
        <v>30465000</v>
      </c>
      <c r="G2559" s="1613">
        <v>108826735515</v>
      </c>
    </row>
    <row r="2560" spans="1:7" ht="17.25" customHeight="1" x14ac:dyDescent="0.2">
      <c r="A2560" s="1611">
        <v>15</v>
      </c>
      <c r="B2560" s="1611" t="s">
        <v>7251</v>
      </c>
      <c r="C2560" s="1611" t="s">
        <v>3438</v>
      </c>
      <c r="D2560" s="1612">
        <v>0</v>
      </c>
      <c r="E2560" s="1706" t="s">
        <v>7592</v>
      </c>
      <c r="F2560" s="1613">
        <v>30465000</v>
      </c>
      <c r="G2560" s="1613">
        <v>108857200515</v>
      </c>
    </row>
    <row r="2561" spans="1:7" ht="17.25" customHeight="1" x14ac:dyDescent="0.2">
      <c r="A2561" s="1611">
        <v>15</v>
      </c>
      <c r="B2561" s="1611" t="s">
        <v>7251</v>
      </c>
      <c r="C2561" s="1611" t="s">
        <v>3438</v>
      </c>
      <c r="D2561" s="1612">
        <v>0</v>
      </c>
      <c r="E2561" s="1706" t="s">
        <v>7592</v>
      </c>
      <c r="F2561" s="1613">
        <v>30465000</v>
      </c>
      <c r="G2561" s="1613">
        <v>108887665515</v>
      </c>
    </row>
    <row r="2562" spans="1:7" ht="17.25" customHeight="1" x14ac:dyDescent="0.2">
      <c r="A2562" s="1611">
        <v>15</v>
      </c>
      <c r="B2562" s="1611" t="s">
        <v>7251</v>
      </c>
      <c r="C2562" s="1611" t="s">
        <v>3438</v>
      </c>
      <c r="D2562" s="1612">
        <v>0</v>
      </c>
      <c r="E2562" s="1706" t="s">
        <v>7592</v>
      </c>
      <c r="F2562" s="1613">
        <v>30465000</v>
      </c>
      <c r="G2562" s="1613">
        <v>108918130515</v>
      </c>
    </row>
    <row r="2563" spans="1:7" ht="17.25" customHeight="1" x14ac:dyDescent="0.2">
      <c r="A2563" s="1611">
        <v>15</v>
      </c>
      <c r="B2563" s="1611" t="s">
        <v>7156</v>
      </c>
      <c r="C2563" s="1611" t="s">
        <v>5310</v>
      </c>
      <c r="D2563" s="1612">
        <v>0</v>
      </c>
      <c r="E2563" s="1706" t="s">
        <v>7592</v>
      </c>
      <c r="F2563" s="1613">
        <v>14000000</v>
      </c>
      <c r="G2563" s="1613">
        <v>108932130515</v>
      </c>
    </row>
    <row r="2564" spans="1:7" ht="17.25" customHeight="1" x14ac:dyDescent="0.2">
      <c r="A2564" s="1611">
        <v>15</v>
      </c>
      <c r="B2564" s="1611" t="s">
        <v>7203</v>
      </c>
      <c r="C2564" s="1611" t="s">
        <v>3525</v>
      </c>
      <c r="D2564" s="1612">
        <v>0</v>
      </c>
      <c r="E2564" s="1706" t="s">
        <v>7592</v>
      </c>
      <c r="F2564" s="1613">
        <v>35000000</v>
      </c>
      <c r="G2564" s="1613">
        <v>108967130515</v>
      </c>
    </row>
    <row r="2565" spans="1:7" ht="17.25" customHeight="1" x14ac:dyDescent="0.2">
      <c r="A2565" s="1611">
        <v>15</v>
      </c>
      <c r="B2565" s="1611" t="s">
        <v>7170</v>
      </c>
      <c r="C2565" s="1611" t="s">
        <v>5311</v>
      </c>
      <c r="D2565" s="1612">
        <v>0</v>
      </c>
      <c r="E2565" s="1706" t="s">
        <v>7592</v>
      </c>
      <c r="F2565" s="1613">
        <v>168000000</v>
      </c>
      <c r="G2565" s="1613">
        <v>109135130515</v>
      </c>
    </row>
    <row r="2566" spans="1:7" ht="17.25" customHeight="1" x14ac:dyDescent="0.2">
      <c r="A2566" s="1611">
        <v>15</v>
      </c>
      <c r="B2566" s="1611" t="s">
        <v>7282</v>
      </c>
      <c r="C2566" s="1611" t="s">
        <v>5312</v>
      </c>
      <c r="D2566" s="1612">
        <v>0</v>
      </c>
      <c r="E2566" s="1706" t="s">
        <v>7592</v>
      </c>
      <c r="F2566" s="1613">
        <v>150000000</v>
      </c>
      <c r="G2566" s="1613">
        <v>109285130515</v>
      </c>
    </row>
    <row r="2567" spans="1:7" ht="17.25" customHeight="1" x14ac:dyDescent="0.2">
      <c r="A2567" s="1611">
        <v>15</v>
      </c>
      <c r="B2567" s="1611" t="s">
        <v>7252</v>
      </c>
      <c r="C2567" s="1611" t="s">
        <v>5313</v>
      </c>
      <c r="D2567" s="1612">
        <v>0</v>
      </c>
      <c r="E2567" s="1706" t="s">
        <v>7592</v>
      </c>
      <c r="F2567" s="1613">
        <v>60500000</v>
      </c>
      <c r="G2567" s="1613">
        <v>109345630515</v>
      </c>
    </row>
    <row r="2568" spans="1:7" ht="17.25" customHeight="1" x14ac:dyDescent="0.2">
      <c r="A2568" s="1611">
        <v>15</v>
      </c>
      <c r="B2568" s="1611" t="s">
        <v>7282</v>
      </c>
      <c r="C2568" s="1611" t="s">
        <v>5314</v>
      </c>
      <c r="D2568" s="1612">
        <v>0</v>
      </c>
      <c r="E2568" s="1706" t="s">
        <v>7592</v>
      </c>
      <c r="F2568" s="1613">
        <v>153000000</v>
      </c>
      <c r="G2568" s="1613">
        <v>109498630515</v>
      </c>
    </row>
    <row r="2569" spans="1:7" ht="17.25" customHeight="1" x14ac:dyDescent="0.2">
      <c r="A2569" s="1611">
        <v>15</v>
      </c>
      <c r="B2569" s="1611" t="s">
        <v>2954</v>
      </c>
      <c r="C2569" s="1611" t="s">
        <v>5315</v>
      </c>
      <c r="D2569" s="1612">
        <v>0</v>
      </c>
      <c r="E2569" s="1706" t="s">
        <v>7592</v>
      </c>
      <c r="F2569" s="1613">
        <v>14727272</v>
      </c>
      <c r="G2569" s="1613">
        <v>109513357787</v>
      </c>
    </row>
    <row r="2570" spans="1:7" ht="17.25" customHeight="1" x14ac:dyDescent="0.2">
      <c r="A2570" s="1611">
        <v>15</v>
      </c>
      <c r="B2570" s="1611" t="s">
        <v>7252</v>
      </c>
      <c r="C2570" s="1611" t="s">
        <v>5313</v>
      </c>
      <c r="D2570" s="1612">
        <v>0</v>
      </c>
      <c r="E2570" s="1706" t="s">
        <v>7592</v>
      </c>
      <c r="F2570" s="1613">
        <v>-60500000</v>
      </c>
      <c r="G2570" s="1613">
        <v>109452857787</v>
      </c>
    </row>
    <row r="2571" spans="1:7" ht="17.25" customHeight="1" x14ac:dyDescent="0.2">
      <c r="A2571" s="1611">
        <v>15</v>
      </c>
      <c r="B2571" s="1611" t="s">
        <v>7251</v>
      </c>
      <c r="C2571" s="1611" t="s">
        <v>3438</v>
      </c>
      <c r="D2571" s="1612">
        <v>0</v>
      </c>
      <c r="E2571" s="1706" t="s">
        <v>7592</v>
      </c>
      <c r="F2571" s="1613">
        <v>30465000</v>
      </c>
      <c r="G2571" s="1613">
        <v>109483322787</v>
      </c>
    </row>
    <row r="2572" spans="1:7" ht="17.25" customHeight="1" x14ac:dyDescent="0.2">
      <c r="A2572" s="1611">
        <v>15</v>
      </c>
      <c r="B2572" s="1611" t="s">
        <v>7251</v>
      </c>
      <c r="C2572" s="1611" t="s">
        <v>3438</v>
      </c>
      <c r="D2572" s="1612">
        <v>0</v>
      </c>
      <c r="E2572" s="1706" t="s">
        <v>7592</v>
      </c>
      <c r="F2572" s="1613">
        <v>30465000</v>
      </c>
      <c r="G2572" s="1613">
        <v>109513787787</v>
      </c>
    </row>
    <row r="2573" spans="1:7" ht="17.25" customHeight="1" x14ac:dyDescent="0.2">
      <c r="A2573" s="1611">
        <v>15</v>
      </c>
      <c r="B2573" s="1611" t="s">
        <v>7251</v>
      </c>
      <c r="C2573" s="1611" t="s">
        <v>3438</v>
      </c>
      <c r="D2573" s="1612">
        <v>0</v>
      </c>
      <c r="E2573" s="1706" t="s">
        <v>7592</v>
      </c>
      <c r="F2573" s="1613">
        <v>30465000</v>
      </c>
      <c r="G2573" s="1613">
        <v>109544252787</v>
      </c>
    </row>
    <row r="2574" spans="1:7" ht="17.25" customHeight="1" x14ac:dyDescent="0.2">
      <c r="A2574" s="1611">
        <v>15</v>
      </c>
      <c r="B2574" s="1611" t="s">
        <v>7251</v>
      </c>
      <c r="C2574" s="1611" t="s">
        <v>3438</v>
      </c>
      <c r="D2574" s="1612">
        <v>0</v>
      </c>
      <c r="E2574" s="1706" t="s">
        <v>7592</v>
      </c>
      <c r="F2574" s="1613">
        <v>30465000</v>
      </c>
      <c r="G2574" s="1613">
        <v>109574717787</v>
      </c>
    </row>
    <row r="2575" spans="1:7" ht="17.25" customHeight="1" x14ac:dyDescent="0.2">
      <c r="A2575" s="1611">
        <v>15</v>
      </c>
      <c r="B2575" s="1611" t="s">
        <v>7251</v>
      </c>
      <c r="C2575" s="1611" t="s">
        <v>3438</v>
      </c>
      <c r="D2575" s="1612">
        <v>0</v>
      </c>
      <c r="E2575" s="1706" t="s">
        <v>7592</v>
      </c>
      <c r="F2575" s="1613">
        <v>30465000</v>
      </c>
      <c r="G2575" s="1613">
        <v>109605182787</v>
      </c>
    </row>
    <row r="2576" spans="1:7" ht="17.25" customHeight="1" x14ac:dyDescent="0.2">
      <c r="A2576" s="1611">
        <v>15</v>
      </c>
      <c r="B2576" s="1611" t="s">
        <v>7261</v>
      </c>
      <c r="C2576" s="1611" t="s">
        <v>5316</v>
      </c>
      <c r="D2576" s="1612">
        <v>0</v>
      </c>
      <c r="E2576" s="1706" t="s">
        <v>7592</v>
      </c>
      <c r="F2576" s="1613">
        <v>141000000</v>
      </c>
      <c r="G2576" s="1613">
        <v>109746182787</v>
      </c>
    </row>
    <row r="2577" spans="1:7" ht="17.25" customHeight="1" x14ac:dyDescent="0.2">
      <c r="A2577" s="1611">
        <v>15</v>
      </c>
      <c r="B2577" s="1611" t="s">
        <v>7251</v>
      </c>
      <c r="C2577" s="1611" t="s">
        <v>3438</v>
      </c>
      <c r="D2577" s="1612">
        <v>0</v>
      </c>
      <c r="E2577" s="1706" t="s">
        <v>7592</v>
      </c>
      <c r="F2577" s="1613">
        <v>30465000</v>
      </c>
      <c r="G2577" s="1613">
        <v>109776647787</v>
      </c>
    </row>
    <row r="2578" spans="1:7" ht="17.25" customHeight="1" x14ac:dyDescent="0.2">
      <c r="A2578" s="1611">
        <v>15</v>
      </c>
      <c r="B2578" s="1611" t="s">
        <v>7251</v>
      </c>
      <c r="C2578" s="1611" t="s">
        <v>3438</v>
      </c>
      <c r="D2578" s="1612">
        <v>0</v>
      </c>
      <c r="E2578" s="1706" t="s">
        <v>7592</v>
      </c>
      <c r="F2578" s="1613">
        <v>30465000</v>
      </c>
      <c r="G2578" s="1613">
        <v>109807112787</v>
      </c>
    </row>
    <row r="2579" spans="1:7" ht="17.25" customHeight="1" x14ac:dyDescent="0.2">
      <c r="A2579" s="1611">
        <v>15</v>
      </c>
      <c r="B2579" s="1611" t="s">
        <v>7251</v>
      </c>
      <c r="C2579" s="1611" t="s">
        <v>3438</v>
      </c>
      <c r="D2579" s="1612">
        <v>0</v>
      </c>
      <c r="E2579" s="1706" t="s">
        <v>7592</v>
      </c>
      <c r="F2579" s="1613">
        <v>30465000</v>
      </c>
      <c r="G2579" s="1613">
        <v>109837577787</v>
      </c>
    </row>
    <row r="2580" spans="1:7" ht="17.25" customHeight="1" x14ac:dyDescent="0.2">
      <c r="A2580" s="1611">
        <v>15</v>
      </c>
      <c r="B2580" s="1611" t="s">
        <v>7203</v>
      </c>
      <c r="C2580" s="1611" t="s">
        <v>5250</v>
      </c>
      <c r="D2580" s="1612">
        <v>0</v>
      </c>
      <c r="E2580" s="1706" t="s">
        <v>7592</v>
      </c>
      <c r="F2580" s="1613">
        <v>42584728</v>
      </c>
      <c r="G2580" s="1613">
        <v>109880162515</v>
      </c>
    </row>
    <row r="2581" spans="1:7" ht="17.25" customHeight="1" x14ac:dyDescent="0.2">
      <c r="A2581" s="1611">
        <v>15</v>
      </c>
      <c r="B2581" s="1611" t="s">
        <v>7203</v>
      </c>
      <c r="C2581" s="1611" t="s">
        <v>5250</v>
      </c>
      <c r="D2581" s="1612">
        <v>0</v>
      </c>
      <c r="E2581" s="1706" t="s">
        <v>7592</v>
      </c>
      <c r="F2581" s="1613">
        <v>42584728</v>
      </c>
      <c r="G2581" s="1613">
        <v>109922747243</v>
      </c>
    </row>
    <row r="2582" spans="1:7" ht="17.25" customHeight="1" x14ac:dyDescent="0.2">
      <c r="A2582" s="1611">
        <v>15</v>
      </c>
      <c r="B2582" s="1611" t="s">
        <v>7203</v>
      </c>
      <c r="C2582" s="1611" t="s">
        <v>5250</v>
      </c>
      <c r="D2582" s="1612">
        <v>0</v>
      </c>
      <c r="E2582" s="1706" t="s">
        <v>7592</v>
      </c>
      <c r="F2582" s="1613">
        <v>42584728</v>
      </c>
      <c r="G2582" s="1613">
        <v>109965331971</v>
      </c>
    </row>
    <row r="2583" spans="1:7" ht="17.25" customHeight="1" x14ac:dyDescent="0.2">
      <c r="A2583" s="1611">
        <v>15</v>
      </c>
      <c r="B2583" s="1611" t="s">
        <v>7203</v>
      </c>
      <c r="C2583" s="1611" t="s">
        <v>5250</v>
      </c>
      <c r="D2583" s="1612">
        <v>0</v>
      </c>
      <c r="E2583" s="1706" t="s">
        <v>7592</v>
      </c>
      <c r="F2583" s="1613">
        <v>42584728</v>
      </c>
      <c r="G2583" s="1613">
        <v>110007916699</v>
      </c>
    </row>
    <row r="2584" spans="1:7" ht="17.25" customHeight="1" x14ac:dyDescent="0.2">
      <c r="A2584" s="1611">
        <v>15</v>
      </c>
      <c r="B2584" s="1611" t="s">
        <v>7203</v>
      </c>
      <c r="C2584" s="1611" t="s">
        <v>5250</v>
      </c>
      <c r="D2584" s="1612">
        <v>0</v>
      </c>
      <c r="E2584" s="1706" t="s">
        <v>7592</v>
      </c>
      <c r="F2584" s="1613">
        <v>42584728</v>
      </c>
      <c r="G2584" s="1613">
        <v>110050501427</v>
      </c>
    </row>
    <row r="2585" spans="1:7" ht="17.25" customHeight="1" x14ac:dyDescent="0.2">
      <c r="A2585" s="1611">
        <v>15</v>
      </c>
      <c r="B2585" s="1611" t="s">
        <v>7203</v>
      </c>
      <c r="C2585" s="1611" t="s">
        <v>5250</v>
      </c>
      <c r="D2585" s="1612">
        <v>0</v>
      </c>
      <c r="E2585" s="1706" t="s">
        <v>7592</v>
      </c>
      <c r="F2585" s="1613">
        <v>42584728</v>
      </c>
      <c r="G2585" s="1613">
        <v>110093086155</v>
      </c>
    </row>
    <row r="2586" spans="1:7" ht="17.25" customHeight="1" x14ac:dyDescent="0.2">
      <c r="A2586" s="1611">
        <v>15</v>
      </c>
      <c r="B2586" s="1611" t="s">
        <v>7203</v>
      </c>
      <c r="C2586" s="1611" t="s">
        <v>5250</v>
      </c>
      <c r="D2586" s="1612">
        <v>0</v>
      </c>
      <c r="E2586" s="1706" t="s">
        <v>7592</v>
      </c>
      <c r="F2586" s="1613">
        <v>42584728</v>
      </c>
      <c r="G2586" s="1613">
        <v>110135670883</v>
      </c>
    </row>
    <row r="2587" spans="1:7" ht="17.25" customHeight="1" x14ac:dyDescent="0.2">
      <c r="A2587" s="1611">
        <v>15</v>
      </c>
      <c r="B2587" s="1611" t="s">
        <v>7203</v>
      </c>
      <c r="C2587" s="1611" t="s">
        <v>5250</v>
      </c>
      <c r="D2587" s="1612">
        <v>0</v>
      </c>
      <c r="E2587" s="1706" t="s">
        <v>7592</v>
      </c>
      <c r="F2587" s="1613">
        <v>42584728</v>
      </c>
      <c r="G2587" s="1613">
        <v>110178255611</v>
      </c>
    </row>
    <row r="2588" spans="1:7" ht="17.25" customHeight="1" x14ac:dyDescent="0.2">
      <c r="A2588" s="1611">
        <v>15</v>
      </c>
      <c r="B2588" s="1611" t="s">
        <v>7203</v>
      </c>
      <c r="C2588" s="1611" t="s">
        <v>5250</v>
      </c>
      <c r="D2588" s="1612">
        <v>0</v>
      </c>
      <c r="E2588" s="1706" t="s">
        <v>7592</v>
      </c>
      <c r="F2588" s="1613">
        <v>42584728</v>
      </c>
      <c r="G2588" s="1613">
        <v>110220840339</v>
      </c>
    </row>
    <row r="2589" spans="1:7" ht="17.25" customHeight="1" x14ac:dyDescent="0.2">
      <c r="A2589" s="1611">
        <v>15</v>
      </c>
      <c r="B2589" s="1611" t="s">
        <v>7203</v>
      </c>
      <c r="C2589" s="1611" t="s">
        <v>5250</v>
      </c>
      <c r="D2589" s="1612">
        <v>0</v>
      </c>
      <c r="E2589" s="1706" t="s">
        <v>7592</v>
      </c>
      <c r="F2589" s="1613">
        <v>42584728</v>
      </c>
      <c r="G2589" s="1613">
        <v>110263425067</v>
      </c>
    </row>
    <row r="2590" spans="1:7" ht="17.25" customHeight="1" x14ac:dyDescent="0.2">
      <c r="A2590" s="1611">
        <v>15</v>
      </c>
      <c r="B2590" s="1611" t="s">
        <v>7251</v>
      </c>
      <c r="C2590" s="1611" t="s">
        <v>5317</v>
      </c>
      <c r="D2590" s="1612">
        <v>0</v>
      </c>
      <c r="E2590" s="1706" t="s">
        <v>7592</v>
      </c>
      <c r="F2590" s="1613">
        <v>35454545</v>
      </c>
      <c r="G2590" s="1613">
        <v>110298879612</v>
      </c>
    </row>
    <row r="2591" spans="1:7" ht="17.25" customHeight="1" x14ac:dyDescent="0.2">
      <c r="A2591" s="1611">
        <v>15</v>
      </c>
      <c r="B2591" s="1611" t="s">
        <v>7176</v>
      </c>
      <c r="C2591" s="1611" t="s">
        <v>5318</v>
      </c>
      <c r="D2591" s="1612">
        <v>0</v>
      </c>
      <c r="E2591" s="1706" t="s">
        <v>7592</v>
      </c>
      <c r="F2591" s="1613">
        <v>41300000</v>
      </c>
      <c r="G2591" s="1613">
        <v>110340179612</v>
      </c>
    </row>
    <row r="2592" spans="1:7" ht="17.25" customHeight="1" x14ac:dyDescent="0.2">
      <c r="A2592" s="1611">
        <v>15</v>
      </c>
      <c r="B2592" s="1611" t="s">
        <v>7252</v>
      </c>
      <c r="C2592" s="1611" t="s">
        <v>5319</v>
      </c>
      <c r="D2592" s="1612">
        <v>0</v>
      </c>
      <c r="E2592" s="1706" t="s">
        <v>7592</v>
      </c>
      <c r="F2592" s="1613">
        <v>60500000</v>
      </c>
      <c r="G2592" s="1613">
        <v>110400679612</v>
      </c>
    </row>
    <row r="2593" spans="1:7" ht="17.25" customHeight="1" x14ac:dyDescent="0.2">
      <c r="A2593" s="1611">
        <v>15</v>
      </c>
      <c r="B2593" s="1611" t="s">
        <v>7251</v>
      </c>
      <c r="C2593" s="1611" t="s">
        <v>5320</v>
      </c>
      <c r="D2593" s="1612">
        <v>0</v>
      </c>
      <c r="E2593" s="1706" t="s">
        <v>7592</v>
      </c>
      <c r="F2593" s="1613">
        <v>36163636</v>
      </c>
      <c r="G2593" s="1613">
        <v>110436843248</v>
      </c>
    </row>
    <row r="2594" spans="1:7" ht="17.25" customHeight="1" x14ac:dyDescent="0.2">
      <c r="A2594" s="1611">
        <v>15</v>
      </c>
      <c r="B2594" s="1611" t="s">
        <v>7251</v>
      </c>
      <c r="C2594" s="1611" t="s">
        <v>5321</v>
      </c>
      <c r="D2594" s="1612">
        <v>0</v>
      </c>
      <c r="E2594" s="1706" t="s">
        <v>7592</v>
      </c>
      <c r="F2594" s="1613">
        <v>36363636</v>
      </c>
      <c r="G2594" s="1613">
        <v>110473206884</v>
      </c>
    </row>
    <row r="2595" spans="1:7" ht="17.25" customHeight="1" x14ac:dyDescent="0.2">
      <c r="A2595" s="1611">
        <v>15</v>
      </c>
      <c r="B2595" s="1611" t="s">
        <v>7176</v>
      </c>
      <c r="C2595" s="1611" t="s">
        <v>5322</v>
      </c>
      <c r="D2595" s="1612">
        <v>0</v>
      </c>
      <c r="E2595" s="1706" t="s">
        <v>7592</v>
      </c>
      <c r="F2595" s="1613">
        <v>42500000</v>
      </c>
      <c r="G2595" s="1613">
        <v>110515706884</v>
      </c>
    </row>
    <row r="2596" spans="1:7" ht="17.25" customHeight="1" x14ac:dyDescent="0.2">
      <c r="A2596" s="1611">
        <v>15</v>
      </c>
      <c r="B2596" s="1611" t="s">
        <v>7288</v>
      </c>
      <c r="C2596" s="1611" t="s">
        <v>4305</v>
      </c>
      <c r="D2596" s="1612">
        <v>0</v>
      </c>
      <c r="E2596" s="1612" t="s">
        <v>3296</v>
      </c>
      <c r="F2596" s="1613">
        <v>2724414</v>
      </c>
      <c r="G2596" s="1613">
        <v>110518431298</v>
      </c>
    </row>
    <row r="2597" spans="1:7" ht="17.25" customHeight="1" x14ac:dyDescent="0.2">
      <c r="A2597" s="1611">
        <v>15</v>
      </c>
      <c r="B2597" s="1611" t="s">
        <v>7186</v>
      </c>
      <c r="C2597" s="1611" t="s">
        <v>5323</v>
      </c>
      <c r="D2597" s="1612">
        <v>0</v>
      </c>
      <c r="E2597" s="1706" t="s">
        <v>7592</v>
      </c>
      <c r="F2597" s="1613">
        <v>53500000</v>
      </c>
      <c r="G2597" s="1613">
        <v>110571931298</v>
      </c>
    </row>
    <row r="2598" spans="1:7" ht="17.25" customHeight="1" x14ac:dyDescent="0.2">
      <c r="A2598" s="1611">
        <v>15</v>
      </c>
      <c r="B2598" s="1611" t="s">
        <v>7203</v>
      </c>
      <c r="C2598" s="1611" t="s">
        <v>5250</v>
      </c>
      <c r="D2598" s="1612">
        <v>0</v>
      </c>
      <c r="E2598" s="1706" t="s">
        <v>7592</v>
      </c>
      <c r="F2598" s="1613">
        <v>42584728</v>
      </c>
      <c r="G2598" s="1613">
        <v>110614516026</v>
      </c>
    </row>
    <row r="2599" spans="1:7" ht="17.25" customHeight="1" x14ac:dyDescent="0.2">
      <c r="A2599" s="1611">
        <v>15</v>
      </c>
      <c r="B2599" s="1611" t="s">
        <v>7203</v>
      </c>
      <c r="C2599" s="1611" t="s">
        <v>5250</v>
      </c>
      <c r="D2599" s="1612">
        <v>0</v>
      </c>
      <c r="E2599" s="1706" t="s">
        <v>7592</v>
      </c>
      <c r="F2599" s="1613">
        <v>42584728</v>
      </c>
      <c r="G2599" s="1613">
        <v>110657100754</v>
      </c>
    </row>
    <row r="2600" spans="1:7" ht="17.25" customHeight="1" x14ac:dyDescent="0.2">
      <c r="A2600" s="1611">
        <v>15</v>
      </c>
      <c r="B2600" s="1611" t="s">
        <v>7203</v>
      </c>
      <c r="C2600" s="1611" t="s">
        <v>5250</v>
      </c>
      <c r="D2600" s="1612">
        <v>0</v>
      </c>
      <c r="E2600" s="1706" t="s">
        <v>7592</v>
      </c>
      <c r="F2600" s="1613">
        <v>42584728</v>
      </c>
      <c r="G2600" s="1613">
        <v>110699685482</v>
      </c>
    </row>
    <row r="2601" spans="1:7" ht="17.25" customHeight="1" x14ac:dyDescent="0.2">
      <c r="A2601" s="1611">
        <v>15</v>
      </c>
      <c r="B2601" s="1611" t="s">
        <v>7203</v>
      </c>
      <c r="C2601" s="1611" t="s">
        <v>5250</v>
      </c>
      <c r="D2601" s="1612">
        <v>0</v>
      </c>
      <c r="E2601" s="1706" t="s">
        <v>7592</v>
      </c>
      <c r="F2601" s="1613">
        <v>42584728</v>
      </c>
      <c r="G2601" s="1613">
        <v>110742270210</v>
      </c>
    </row>
    <row r="2602" spans="1:7" ht="17.25" customHeight="1" x14ac:dyDescent="0.2">
      <c r="A2602" s="1611">
        <v>15</v>
      </c>
      <c r="B2602" s="1611" t="s">
        <v>7203</v>
      </c>
      <c r="C2602" s="1611" t="s">
        <v>5250</v>
      </c>
      <c r="D2602" s="1612">
        <v>0</v>
      </c>
      <c r="E2602" s="1706" t="s">
        <v>7592</v>
      </c>
      <c r="F2602" s="1613">
        <v>42584728</v>
      </c>
      <c r="G2602" s="1613">
        <v>110784854938</v>
      </c>
    </row>
    <row r="2603" spans="1:7" ht="17.25" customHeight="1" x14ac:dyDescent="0.2">
      <c r="A2603" s="1611">
        <v>15</v>
      </c>
      <c r="B2603" s="1611" t="s">
        <v>7251</v>
      </c>
      <c r="C2603" s="1611" t="s">
        <v>3438</v>
      </c>
      <c r="D2603" s="1612">
        <v>0</v>
      </c>
      <c r="E2603" s="1706" t="s">
        <v>7592</v>
      </c>
      <c r="F2603" s="1613">
        <v>30465000</v>
      </c>
      <c r="G2603" s="1613">
        <v>110815319938</v>
      </c>
    </row>
    <row r="2604" spans="1:7" ht="17.25" customHeight="1" x14ac:dyDescent="0.2">
      <c r="A2604" s="1611">
        <v>15</v>
      </c>
      <c r="B2604" s="1611" t="s">
        <v>7251</v>
      </c>
      <c r="C2604" s="1611" t="s">
        <v>3438</v>
      </c>
      <c r="D2604" s="1612">
        <v>0</v>
      </c>
      <c r="E2604" s="1706" t="s">
        <v>7592</v>
      </c>
      <c r="F2604" s="1613">
        <v>30465000</v>
      </c>
      <c r="G2604" s="1613">
        <v>110845784938</v>
      </c>
    </row>
    <row r="2605" spans="1:7" ht="17.25" customHeight="1" x14ac:dyDescent="0.2">
      <c r="A2605" s="1611">
        <v>15</v>
      </c>
      <c r="B2605" s="1611" t="s">
        <v>7251</v>
      </c>
      <c r="C2605" s="1611" t="s">
        <v>3438</v>
      </c>
      <c r="D2605" s="1612">
        <v>0</v>
      </c>
      <c r="E2605" s="1706" t="s">
        <v>7592</v>
      </c>
      <c r="F2605" s="1613">
        <v>30465000</v>
      </c>
      <c r="G2605" s="1613">
        <v>110876249938</v>
      </c>
    </row>
    <row r="2606" spans="1:7" ht="17.25" customHeight="1" x14ac:dyDescent="0.2">
      <c r="A2606" s="1611">
        <v>15</v>
      </c>
      <c r="B2606" s="1611" t="s">
        <v>7251</v>
      </c>
      <c r="C2606" s="1611" t="s">
        <v>3438</v>
      </c>
      <c r="D2606" s="1612">
        <v>0</v>
      </c>
      <c r="E2606" s="1706" t="s">
        <v>7592</v>
      </c>
      <c r="F2606" s="1613">
        <v>30465000</v>
      </c>
      <c r="G2606" s="1613">
        <v>110906714938</v>
      </c>
    </row>
    <row r="2607" spans="1:7" ht="17.25" customHeight="1" x14ac:dyDescent="0.2">
      <c r="A2607" s="1611">
        <v>15</v>
      </c>
      <c r="B2607" s="1611" t="s">
        <v>7251</v>
      </c>
      <c r="C2607" s="1611" t="s">
        <v>3438</v>
      </c>
      <c r="D2607" s="1612">
        <v>0</v>
      </c>
      <c r="E2607" s="1706" t="s">
        <v>7592</v>
      </c>
      <c r="F2607" s="1613">
        <v>30465000</v>
      </c>
      <c r="G2607" s="1613">
        <v>110937179938</v>
      </c>
    </row>
    <row r="2608" spans="1:7" ht="17.25" customHeight="1" x14ac:dyDescent="0.2">
      <c r="A2608" s="1611">
        <v>15</v>
      </c>
      <c r="B2608" s="1611" t="s">
        <v>7251</v>
      </c>
      <c r="C2608" s="1611" t="s">
        <v>3438</v>
      </c>
      <c r="D2608" s="1612">
        <v>0</v>
      </c>
      <c r="E2608" s="1706" t="s">
        <v>7592</v>
      </c>
      <c r="F2608" s="1613">
        <v>30465000</v>
      </c>
      <c r="G2608" s="1613">
        <v>110967644938</v>
      </c>
    </row>
    <row r="2609" spans="1:7" ht="17.25" customHeight="1" x14ac:dyDescent="0.2">
      <c r="A2609" s="1611">
        <v>15</v>
      </c>
      <c r="B2609" s="1611" t="s">
        <v>7251</v>
      </c>
      <c r="C2609" s="1611" t="s">
        <v>3438</v>
      </c>
      <c r="D2609" s="1612">
        <v>0</v>
      </c>
      <c r="E2609" s="1706" t="s">
        <v>7592</v>
      </c>
      <c r="F2609" s="1613">
        <v>30465000</v>
      </c>
      <c r="G2609" s="1613">
        <v>110998109938</v>
      </c>
    </row>
    <row r="2610" spans="1:7" ht="17.25" customHeight="1" x14ac:dyDescent="0.2">
      <c r="A2610" s="1611">
        <v>15</v>
      </c>
      <c r="B2610" s="1611" t="s">
        <v>7251</v>
      </c>
      <c r="C2610" s="1611" t="s">
        <v>3438</v>
      </c>
      <c r="D2610" s="1612">
        <v>0</v>
      </c>
      <c r="E2610" s="1706" t="s">
        <v>7592</v>
      </c>
      <c r="F2610" s="1613">
        <v>30465000</v>
      </c>
      <c r="G2610" s="1613">
        <v>111028574938</v>
      </c>
    </row>
    <row r="2611" spans="1:7" ht="17.25" customHeight="1" x14ac:dyDescent="0.2">
      <c r="A2611" s="1611">
        <v>15</v>
      </c>
      <c r="B2611" s="1611" t="s">
        <v>7251</v>
      </c>
      <c r="C2611" s="1611" t="s">
        <v>3438</v>
      </c>
      <c r="D2611" s="1612">
        <v>0</v>
      </c>
      <c r="E2611" s="1706" t="s">
        <v>7592</v>
      </c>
      <c r="F2611" s="1613">
        <v>30465000</v>
      </c>
      <c r="G2611" s="1613">
        <v>111059039938</v>
      </c>
    </row>
    <row r="2612" spans="1:7" ht="17.25" customHeight="1" x14ac:dyDescent="0.2">
      <c r="A2612" s="1611">
        <v>15</v>
      </c>
      <c r="B2612" s="1611" t="s">
        <v>7251</v>
      </c>
      <c r="C2612" s="1611" t="s">
        <v>3438</v>
      </c>
      <c r="D2612" s="1612">
        <v>0</v>
      </c>
      <c r="E2612" s="1706" t="s">
        <v>7592</v>
      </c>
      <c r="F2612" s="1613">
        <v>30465000</v>
      </c>
      <c r="G2612" s="1613">
        <v>111089504938</v>
      </c>
    </row>
    <row r="2613" spans="1:7" ht="17.25" customHeight="1" x14ac:dyDescent="0.2">
      <c r="A2613" s="1611">
        <v>15</v>
      </c>
      <c r="B2613" s="1611" t="s">
        <v>7261</v>
      </c>
      <c r="C2613" s="1611" t="s">
        <v>5324</v>
      </c>
      <c r="D2613" s="1612">
        <v>0</v>
      </c>
      <c r="E2613" s="1706" t="s">
        <v>7592</v>
      </c>
      <c r="F2613" s="1613">
        <v>139000000</v>
      </c>
      <c r="G2613" s="1613">
        <v>111228504938</v>
      </c>
    </row>
    <row r="2614" spans="1:7" ht="17.25" customHeight="1" x14ac:dyDescent="0.2">
      <c r="A2614" s="1611">
        <v>15</v>
      </c>
      <c r="B2614" s="1611" t="s">
        <v>7289</v>
      </c>
      <c r="C2614" s="1611" t="s">
        <v>5304</v>
      </c>
      <c r="D2614" s="1612">
        <v>0</v>
      </c>
      <c r="E2614" s="1706" t="s">
        <v>7592</v>
      </c>
      <c r="F2614" s="1613">
        <v>12663636</v>
      </c>
      <c r="G2614" s="1613">
        <v>111241168574</v>
      </c>
    </row>
    <row r="2615" spans="1:7" ht="17.25" customHeight="1" x14ac:dyDescent="0.2">
      <c r="A2615" s="1611">
        <v>15</v>
      </c>
      <c r="B2615" s="1611" t="s">
        <v>7251</v>
      </c>
      <c r="C2615" s="1611" t="s">
        <v>3438</v>
      </c>
      <c r="D2615" s="1612">
        <v>0</v>
      </c>
      <c r="E2615" s="1706" t="s">
        <v>7592</v>
      </c>
      <c r="F2615" s="1613">
        <v>30465000</v>
      </c>
      <c r="G2615" s="1613">
        <v>111271633574</v>
      </c>
    </row>
    <row r="2616" spans="1:7" ht="17.25" customHeight="1" x14ac:dyDescent="0.2">
      <c r="A2616" s="1611">
        <v>15</v>
      </c>
      <c r="B2616" s="1611" t="s">
        <v>7251</v>
      </c>
      <c r="C2616" s="1611" t="s">
        <v>3438</v>
      </c>
      <c r="D2616" s="1612">
        <v>0</v>
      </c>
      <c r="E2616" s="1706" t="s">
        <v>7592</v>
      </c>
      <c r="F2616" s="1613">
        <v>30465000</v>
      </c>
      <c r="G2616" s="1613">
        <v>111302098574</v>
      </c>
    </row>
    <row r="2617" spans="1:7" ht="17.25" customHeight="1" x14ac:dyDescent="0.2">
      <c r="A2617" s="1611">
        <v>15</v>
      </c>
      <c r="B2617" s="1611" t="s">
        <v>7251</v>
      </c>
      <c r="C2617" s="1611" t="s">
        <v>3438</v>
      </c>
      <c r="D2617" s="1612">
        <v>0</v>
      </c>
      <c r="E2617" s="1706" t="s">
        <v>7592</v>
      </c>
      <c r="F2617" s="1613">
        <v>30465000</v>
      </c>
      <c r="G2617" s="1613">
        <v>111332563574</v>
      </c>
    </row>
    <row r="2618" spans="1:7" ht="17.25" customHeight="1" x14ac:dyDescent="0.2">
      <c r="A2618" s="1611">
        <v>15</v>
      </c>
      <c r="B2618" s="1611" t="s">
        <v>7251</v>
      </c>
      <c r="C2618" s="1611" t="s">
        <v>3438</v>
      </c>
      <c r="D2618" s="1612">
        <v>0</v>
      </c>
      <c r="E2618" s="1706" t="s">
        <v>7592</v>
      </c>
      <c r="F2618" s="1613">
        <v>30465000</v>
      </c>
      <c r="G2618" s="1613">
        <v>111363028574</v>
      </c>
    </row>
    <row r="2619" spans="1:7" ht="17.25" customHeight="1" x14ac:dyDescent="0.2">
      <c r="A2619" s="1611">
        <v>15</v>
      </c>
      <c r="B2619" s="1611" t="s">
        <v>7267</v>
      </c>
      <c r="C2619" s="1611" t="s">
        <v>5252</v>
      </c>
      <c r="D2619" s="1612">
        <v>0</v>
      </c>
      <c r="E2619" s="1706" t="s">
        <v>7592</v>
      </c>
      <c r="F2619" s="1613">
        <v>42727272</v>
      </c>
      <c r="G2619" s="1613">
        <v>111405755846</v>
      </c>
    </row>
    <row r="2620" spans="1:7" ht="17.25" customHeight="1" x14ac:dyDescent="0.2">
      <c r="A2620" s="1611">
        <v>15</v>
      </c>
      <c r="B2620" s="1611" t="s">
        <v>7267</v>
      </c>
      <c r="C2620" s="1611" t="s">
        <v>5252</v>
      </c>
      <c r="D2620" s="1612">
        <v>0</v>
      </c>
      <c r="E2620" s="1706" t="s">
        <v>7592</v>
      </c>
      <c r="F2620" s="1613">
        <v>42727272</v>
      </c>
      <c r="G2620" s="1613">
        <v>111448483118</v>
      </c>
    </row>
    <row r="2621" spans="1:7" ht="17.25" customHeight="1" x14ac:dyDescent="0.2">
      <c r="A2621" s="1611">
        <v>15</v>
      </c>
      <c r="B2621" s="1611" t="s">
        <v>7267</v>
      </c>
      <c r="C2621" s="1611" t="s">
        <v>5252</v>
      </c>
      <c r="D2621" s="1612">
        <v>0</v>
      </c>
      <c r="E2621" s="1706" t="s">
        <v>7592</v>
      </c>
      <c r="F2621" s="1613">
        <v>42727272</v>
      </c>
      <c r="G2621" s="1613">
        <v>111491210390</v>
      </c>
    </row>
    <row r="2622" spans="1:7" ht="17.25" customHeight="1" x14ac:dyDescent="0.2">
      <c r="A2622" s="1611">
        <v>15</v>
      </c>
      <c r="B2622" s="1611" t="s">
        <v>7267</v>
      </c>
      <c r="C2622" s="1611" t="s">
        <v>5252</v>
      </c>
      <c r="D2622" s="1612">
        <v>0</v>
      </c>
      <c r="E2622" s="1706" t="s">
        <v>7592</v>
      </c>
      <c r="F2622" s="1613">
        <v>42727272</v>
      </c>
      <c r="G2622" s="1613">
        <v>111533937662</v>
      </c>
    </row>
    <row r="2623" spans="1:7" ht="17.25" customHeight="1" x14ac:dyDescent="0.2">
      <c r="A2623" s="1611">
        <v>15</v>
      </c>
      <c r="B2623" s="1611" t="s">
        <v>7267</v>
      </c>
      <c r="C2623" s="1611" t="s">
        <v>5252</v>
      </c>
      <c r="D2623" s="1612">
        <v>0</v>
      </c>
      <c r="E2623" s="1706" t="s">
        <v>7592</v>
      </c>
      <c r="F2623" s="1613">
        <v>42727272</v>
      </c>
      <c r="G2623" s="1613">
        <v>111576664934</v>
      </c>
    </row>
    <row r="2624" spans="1:7" ht="17.25" customHeight="1" x14ac:dyDescent="0.2">
      <c r="A2624" s="1611">
        <v>15</v>
      </c>
      <c r="B2624" s="1611" t="s">
        <v>7203</v>
      </c>
      <c r="C2624" s="1611" t="s">
        <v>5325</v>
      </c>
      <c r="D2624" s="1612">
        <v>0</v>
      </c>
      <c r="E2624" s="1706" t="s">
        <v>7592</v>
      </c>
      <c r="F2624" s="1613">
        <v>35400000</v>
      </c>
      <c r="G2624" s="1613">
        <v>111612064934</v>
      </c>
    </row>
    <row r="2625" spans="1:7" ht="17.25" customHeight="1" x14ac:dyDescent="0.2">
      <c r="A2625" s="1611">
        <v>15</v>
      </c>
      <c r="B2625" s="1611" t="s">
        <v>7176</v>
      </c>
      <c r="C2625" s="1611" t="s">
        <v>5326</v>
      </c>
      <c r="D2625" s="1612">
        <v>0</v>
      </c>
      <c r="E2625" s="1706" t="s">
        <v>7592</v>
      </c>
      <c r="F2625" s="1613">
        <v>42500000</v>
      </c>
      <c r="G2625" s="1613">
        <v>111654564934</v>
      </c>
    </row>
    <row r="2626" spans="1:7" ht="17.25" customHeight="1" x14ac:dyDescent="0.2">
      <c r="A2626" s="1611">
        <v>15</v>
      </c>
      <c r="B2626" s="1611" t="s">
        <v>7290</v>
      </c>
      <c r="C2626" s="1611" t="s">
        <v>4060</v>
      </c>
      <c r="D2626" s="1612">
        <v>0</v>
      </c>
      <c r="E2626" s="1706" t="s">
        <v>7592</v>
      </c>
      <c r="F2626" s="1613">
        <v>22000000</v>
      </c>
      <c r="G2626" s="1613">
        <v>111676564934</v>
      </c>
    </row>
    <row r="2627" spans="1:7" ht="17.25" customHeight="1" x14ac:dyDescent="0.2">
      <c r="A2627" s="1611">
        <v>15</v>
      </c>
      <c r="B2627" s="1611" t="s">
        <v>7203</v>
      </c>
      <c r="C2627" s="1611" t="s">
        <v>5250</v>
      </c>
      <c r="D2627" s="1612">
        <v>0</v>
      </c>
      <c r="E2627" s="1706" t="s">
        <v>7592</v>
      </c>
      <c r="F2627" s="1613">
        <v>42584728</v>
      </c>
      <c r="G2627" s="1613">
        <v>111719149662</v>
      </c>
    </row>
    <row r="2628" spans="1:7" ht="17.25" customHeight="1" x14ac:dyDescent="0.2">
      <c r="A2628" s="1611">
        <v>15</v>
      </c>
      <c r="B2628" s="1611" t="s">
        <v>7203</v>
      </c>
      <c r="C2628" s="1611" t="s">
        <v>5250</v>
      </c>
      <c r="D2628" s="1612">
        <v>0</v>
      </c>
      <c r="E2628" s="1706" t="s">
        <v>7592</v>
      </c>
      <c r="F2628" s="1613">
        <v>42584728</v>
      </c>
      <c r="G2628" s="1613">
        <v>111761734390</v>
      </c>
    </row>
    <row r="2629" spans="1:7" ht="17.25" customHeight="1" x14ac:dyDescent="0.2">
      <c r="A2629" s="1611">
        <v>15</v>
      </c>
      <c r="B2629" s="1611" t="s">
        <v>7203</v>
      </c>
      <c r="C2629" s="1611" t="s">
        <v>5250</v>
      </c>
      <c r="D2629" s="1612">
        <v>0</v>
      </c>
      <c r="E2629" s="1706" t="s">
        <v>7592</v>
      </c>
      <c r="F2629" s="1613">
        <v>42584728</v>
      </c>
      <c r="G2629" s="1613">
        <v>111804319118</v>
      </c>
    </row>
    <row r="2630" spans="1:7" ht="17.25" customHeight="1" x14ac:dyDescent="0.2">
      <c r="A2630" s="1611">
        <v>15</v>
      </c>
      <c r="B2630" s="1611" t="s">
        <v>7203</v>
      </c>
      <c r="C2630" s="1611" t="s">
        <v>5250</v>
      </c>
      <c r="D2630" s="1612">
        <v>0</v>
      </c>
      <c r="E2630" s="1706" t="s">
        <v>7592</v>
      </c>
      <c r="F2630" s="1613">
        <v>42584728</v>
      </c>
      <c r="G2630" s="1613">
        <v>111846903846</v>
      </c>
    </row>
    <row r="2631" spans="1:7" ht="17.25" customHeight="1" x14ac:dyDescent="0.2">
      <c r="A2631" s="1611">
        <v>15</v>
      </c>
      <c r="B2631" s="1611" t="s">
        <v>7203</v>
      </c>
      <c r="C2631" s="1611" t="s">
        <v>5250</v>
      </c>
      <c r="D2631" s="1612">
        <v>0</v>
      </c>
      <c r="E2631" s="1706" t="s">
        <v>7592</v>
      </c>
      <c r="F2631" s="1613">
        <v>42584728</v>
      </c>
      <c r="G2631" s="1613">
        <v>111889488574</v>
      </c>
    </row>
    <row r="2632" spans="1:7" ht="17.25" customHeight="1" x14ac:dyDescent="0.2">
      <c r="A2632" s="1611">
        <v>15</v>
      </c>
      <c r="B2632" s="1611" t="s">
        <v>7203</v>
      </c>
      <c r="C2632" s="1611" t="s">
        <v>5250</v>
      </c>
      <c r="D2632" s="1612">
        <v>0</v>
      </c>
      <c r="E2632" s="1706" t="s">
        <v>7592</v>
      </c>
      <c r="F2632" s="1613">
        <v>42584728</v>
      </c>
      <c r="G2632" s="1613">
        <v>111932073302</v>
      </c>
    </row>
    <row r="2633" spans="1:7" ht="17.25" customHeight="1" x14ac:dyDescent="0.2">
      <c r="A2633" s="1611">
        <v>15</v>
      </c>
      <c r="B2633" s="1611" t="s">
        <v>7203</v>
      </c>
      <c r="C2633" s="1611" t="s">
        <v>5250</v>
      </c>
      <c r="D2633" s="1612">
        <v>0</v>
      </c>
      <c r="E2633" s="1706" t="s">
        <v>7592</v>
      </c>
      <c r="F2633" s="1613">
        <v>42584728</v>
      </c>
      <c r="G2633" s="1613">
        <v>111974658030</v>
      </c>
    </row>
    <row r="2634" spans="1:7" ht="17.25" customHeight="1" x14ac:dyDescent="0.2">
      <c r="A2634" s="1611">
        <v>15</v>
      </c>
      <c r="B2634" s="1611" t="s">
        <v>7203</v>
      </c>
      <c r="C2634" s="1611" t="s">
        <v>5250</v>
      </c>
      <c r="D2634" s="1612">
        <v>0</v>
      </c>
      <c r="E2634" s="1706" t="s">
        <v>7592</v>
      </c>
      <c r="F2634" s="1613">
        <v>42584728</v>
      </c>
      <c r="G2634" s="1613">
        <v>112017242758</v>
      </c>
    </row>
    <row r="2635" spans="1:7" ht="17.25" customHeight="1" x14ac:dyDescent="0.2">
      <c r="A2635" s="1611">
        <v>15</v>
      </c>
      <c r="B2635" s="1611" t="s">
        <v>7203</v>
      </c>
      <c r="C2635" s="1611" t="s">
        <v>5250</v>
      </c>
      <c r="D2635" s="1612">
        <v>0</v>
      </c>
      <c r="E2635" s="1706" t="s">
        <v>7592</v>
      </c>
      <c r="F2635" s="1613">
        <v>42584728</v>
      </c>
      <c r="G2635" s="1613">
        <v>112059827486</v>
      </c>
    </row>
    <row r="2636" spans="1:7" ht="17.25" customHeight="1" x14ac:dyDescent="0.2">
      <c r="A2636" s="1611">
        <v>15</v>
      </c>
      <c r="B2636" s="1611" t="s">
        <v>7203</v>
      </c>
      <c r="C2636" s="1611" t="s">
        <v>5250</v>
      </c>
      <c r="D2636" s="1612">
        <v>0</v>
      </c>
      <c r="E2636" s="1706" t="s">
        <v>7592</v>
      </c>
      <c r="F2636" s="1613">
        <v>42584728</v>
      </c>
      <c r="G2636" s="1613">
        <v>112102412214</v>
      </c>
    </row>
    <row r="2637" spans="1:7" ht="17.25" customHeight="1" x14ac:dyDescent="0.2">
      <c r="A2637" s="1611">
        <v>15</v>
      </c>
      <c r="B2637" s="1611" t="s">
        <v>7203</v>
      </c>
      <c r="C2637" s="1611" t="s">
        <v>5250</v>
      </c>
      <c r="D2637" s="1612">
        <v>0</v>
      </c>
      <c r="E2637" s="1706" t="s">
        <v>7592</v>
      </c>
      <c r="F2637" s="1613">
        <v>42584728</v>
      </c>
      <c r="G2637" s="1613">
        <v>112144996942</v>
      </c>
    </row>
    <row r="2638" spans="1:7" ht="17.25" customHeight="1" x14ac:dyDescent="0.2">
      <c r="A2638" s="1611">
        <v>15</v>
      </c>
      <c r="B2638" s="1611" t="s">
        <v>7203</v>
      </c>
      <c r="C2638" s="1611" t="s">
        <v>5250</v>
      </c>
      <c r="D2638" s="1612">
        <v>0</v>
      </c>
      <c r="E2638" s="1706" t="s">
        <v>7592</v>
      </c>
      <c r="F2638" s="1613">
        <v>42584728</v>
      </c>
      <c r="G2638" s="1613">
        <v>112187581670</v>
      </c>
    </row>
    <row r="2639" spans="1:7" ht="17.25" customHeight="1" x14ac:dyDescent="0.2">
      <c r="A2639" s="1611">
        <v>15</v>
      </c>
      <c r="B2639" s="1611" t="s">
        <v>7203</v>
      </c>
      <c r="C2639" s="1611" t="s">
        <v>5250</v>
      </c>
      <c r="D2639" s="1612">
        <v>0</v>
      </c>
      <c r="E2639" s="1706" t="s">
        <v>7592</v>
      </c>
      <c r="F2639" s="1613">
        <v>42584728</v>
      </c>
      <c r="G2639" s="1613">
        <v>112230166398</v>
      </c>
    </row>
    <row r="2640" spans="1:7" ht="17.25" customHeight="1" x14ac:dyDescent="0.2">
      <c r="A2640" s="1611">
        <v>15</v>
      </c>
      <c r="B2640" s="1611" t="s">
        <v>7203</v>
      </c>
      <c r="C2640" s="1611" t="s">
        <v>5250</v>
      </c>
      <c r="D2640" s="1612">
        <v>0</v>
      </c>
      <c r="E2640" s="1706" t="s">
        <v>7592</v>
      </c>
      <c r="F2640" s="1613">
        <v>42584728</v>
      </c>
      <c r="G2640" s="1613">
        <v>112272751126</v>
      </c>
    </row>
    <row r="2641" spans="1:7" ht="17.25" customHeight="1" x14ac:dyDescent="0.2">
      <c r="A2641" s="1611">
        <v>15</v>
      </c>
      <c r="B2641" s="1611" t="s">
        <v>7203</v>
      </c>
      <c r="C2641" s="1611" t="s">
        <v>5250</v>
      </c>
      <c r="D2641" s="1612">
        <v>0</v>
      </c>
      <c r="E2641" s="1706" t="s">
        <v>7592</v>
      </c>
      <c r="F2641" s="1613">
        <v>42584728</v>
      </c>
      <c r="G2641" s="1613">
        <v>112315335854</v>
      </c>
    </row>
    <row r="2642" spans="1:7" ht="17.25" customHeight="1" x14ac:dyDescent="0.2">
      <c r="A2642" s="1611">
        <v>15</v>
      </c>
      <c r="B2642" s="1611" t="s">
        <v>7245</v>
      </c>
      <c r="C2642" s="1611" t="s">
        <v>5327</v>
      </c>
      <c r="D2642" s="1612">
        <v>0</v>
      </c>
      <c r="E2642" s="1706" t="s">
        <v>7592</v>
      </c>
      <c r="F2642" s="1613">
        <v>41636363</v>
      </c>
      <c r="G2642" s="1613">
        <v>112356972217</v>
      </c>
    </row>
    <row r="2643" spans="1:7" ht="17.25" customHeight="1" x14ac:dyDescent="0.2">
      <c r="A2643" s="1611">
        <v>15</v>
      </c>
      <c r="B2643" s="1611" t="s">
        <v>7170</v>
      </c>
      <c r="C2643" s="1611" t="s">
        <v>5328</v>
      </c>
      <c r="D2643" s="1612">
        <v>0</v>
      </c>
      <c r="E2643" s="1706" t="s">
        <v>7592</v>
      </c>
      <c r="F2643" s="1613">
        <v>167500000</v>
      </c>
      <c r="G2643" s="1613">
        <v>112524472217</v>
      </c>
    </row>
    <row r="2644" spans="1:7" ht="17.25" customHeight="1" x14ac:dyDescent="0.2">
      <c r="A2644" s="1611">
        <v>15</v>
      </c>
      <c r="B2644" s="1611" t="s">
        <v>7260</v>
      </c>
      <c r="C2644" s="1611" t="s">
        <v>5105</v>
      </c>
      <c r="D2644" s="1612">
        <v>0</v>
      </c>
      <c r="E2644" s="1706" t="s">
        <v>7592</v>
      </c>
      <c r="F2644" s="1613">
        <v>13300000</v>
      </c>
      <c r="G2644" s="1613">
        <v>112537772217</v>
      </c>
    </row>
    <row r="2645" spans="1:7" ht="17.25" customHeight="1" x14ac:dyDescent="0.2">
      <c r="A2645" s="1611">
        <v>15</v>
      </c>
      <c r="B2645" s="1611" t="s">
        <v>7260</v>
      </c>
      <c r="C2645" s="1611" t="s">
        <v>5105</v>
      </c>
      <c r="D2645" s="1612">
        <v>0</v>
      </c>
      <c r="E2645" s="1706" t="s">
        <v>7592</v>
      </c>
      <c r="F2645" s="1613">
        <v>13300000</v>
      </c>
      <c r="G2645" s="1613">
        <v>112551072217</v>
      </c>
    </row>
    <row r="2646" spans="1:7" ht="17.25" customHeight="1" x14ac:dyDescent="0.2">
      <c r="A2646" s="1611">
        <v>15</v>
      </c>
      <c r="B2646" s="1611" t="s">
        <v>7203</v>
      </c>
      <c r="C2646" s="1611" t="s">
        <v>5329</v>
      </c>
      <c r="D2646" s="1612">
        <v>0</v>
      </c>
      <c r="E2646" s="1706" t="s">
        <v>7592</v>
      </c>
      <c r="F2646" s="1613">
        <v>35454545</v>
      </c>
      <c r="G2646" s="1613">
        <v>112586526762</v>
      </c>
    </row>
    <row r="2647" spans="1:7" ht="17.25" customHeight="1" x14ac:dyDescent="0.2">
      <c r="A2647" s="1611">
        <v>15</v>
      </c>
      <c r="B2647" s="1611" t="s">
        <v>7251</v>
      </c>
      <c r="C2647" s="1611" t="s">
        <v>3438</v>
      </c>
      <c r="D2647" s="1612">
        <v>0</v>
      </c>
      <c r="E2647" s="1706" t="s">
        <v>7592</v>
      </c>
      <c r="F2647" s="1613">
        <v>30465000</v>
      </c>
      <c r="G2647" s="1613">
        <v>112616991762</v>
      </c>
    </row>
    <row r="2648" spans="1:7" ht="17.25" customHeight="1" x14ac:dyDescent="0.2">
      <c r="A2648" s="1611">
        <v>15</v>
      </c>
      <c r="B2648" s="1611" t="s">
        <v>7251</v>
      </c>
      <c r="C2648" s="1611" t="s">
        <v>3438</v>
      </c>
      <c r="D2648" s="1612">
        <v>0</v>
      </c>
      <c r="E2648" s="1706" t="s">
        <v>7592</v>
      </c>
      <c r="F2648" s="1613">
        <v>30465000</v>
      </c>
      <c r="G2648" s="1613">
        <v>112647456762</v>
      </c>
    </row>
    <row r="2649" spans="1:7" ht="17.25" customHeight="1" x14ac:dyDescent="0.2">
      <c r="A2649" s="1611">
        <v>15</v>
      </c>
      <c r="B2649" s="1611" t="s">
        <v>7251</v>
      </c>
      <c r="C2649" s="1611" t="s">
        <v>3438</v>
      </c>
      <c r="D2649" s="1612">
        <v>0</v>
      </c>
      <c r="E2649" s="1706" t="s">
        <v>7592</v>
      </c>
      <c r="F2649" s="1613">
        <v>30465000</v>
      </c>
      <c r="G2649" s="1613">
        <v>112677921762</v>
      </c>
    </row>
    <row r="2650" spans="1:7" ht="17.25" customHeight="1" x14ac:dyDescent="0.2">
      <c r="A2650" s="1611">
        <v>15</v>
      </c>
      <c r="B2650" s="1611" t="s">
        <v>7251</v>
      </c>
      <c r="C2650" s="1611" t="s">
        <v>3438</v>
      </c>
      <c r="D2650" s="1612">
        <v>0</v>
      </c>
      <c r="E2650" s="1706" t="s">
        <v>7592</v>
      </c>
      <c r="F2650" s="1613">
        <v>30465000</v>
      </c>
      <c r="G2650" s="1613">
        <v>112708386762</v>
      </c>
    </row>
    <row r="2651" spans="1:7" ht="17.25" customHeight="1" x14ac:dyDescent="0.2">
      <c r="A2651" s="1611">
        <v>15</v>
      </c>
      <c r="B2651" s="1611" t="s">
        <v>7251</v>
      </c>
      <c r="C2651" s="1611" t="s">
        <v>3438</v>
      </c>
      <c r="D2651" s="1612">
        <v>0</v>
      </c>
      <c r="E2651" s="1706" t="s">
        <v>7592</v>
      </c>
      <c r="F2651" s="1613">
        <v>30465000</v>
      </c>
      <c r="G2651" s="1613">
        <v>112738851762</v>
      </c>
    </row>
    <row r="2652" spans="1:7" ht="17.25" customHeight="1" x14ac:dyDescent="0.2">
      <c r="A2652" s="1611">
        <v>15</v>
      </c>
      <c r="B2652" s="1611" t="s">
        <v>7251</v>
      </c>
      <c r="C2652" s="1611" t="s">
        <v>3438</v>
      </c>
      <c r="D2652" s="1612">
        <v>0</v>
      </c>
      <c r="E2652" s="1706" t="s">
        <v>7592</v>
      </c>
      <c r="F2652" s="1613">
        <v>30465000</v>
      </c>
      <c r="G2652" s="1613">
        <v>112769316762</v>
      </c>
    </row>
    <row r="2653" spans="1:7" ht="17.25" customHeight="1" x14ac:dyDescent="0.2">
      <c r="A2653" s="1611">
        <v>15</v>
      </c>
      <c r="B2653" s="1611" t="s">
        <v>7251</v>
      </c>
      <c r="C2653" s="1611" t="s">
        <v>3438</v>
      </c>
      <c r="D2653" s="1612">
        <v>0</v>
      </c>
      <c r="E2653" s="1706" t="s">
        <v>7592</v>
      </c>
      <c r="F2653" s="1613">
        <v>30465000</v>
      </c>
      <c r="G2653" s="1613">
        <v>112799781762</v>
      </c>
    </row>
    <row r="2654" spans="1:7" ht="17.25" customHeight="1" x14ac:dyDescent="0.2">
      <c r="A2654" s="1611">
        <v>15</v>
      </c>
      <c r="B2654" s="1611" t="s">
        <v>7251</v>
      </c>
      <c r="C2654" s="1611" t="s">
        <v>3438</v>
      </c>
      <c r="D2654" s="1612">
        <v>0</v>
      </c>
      <c r="E2654" s="1706" t="s">
        <v>7592</v>
      </c>
      <c r="F2654" s="1613">
        <v>30465000</v>
      </c>
      <c r="G2654" s="1613">
        <v>112830246762</v>
      </c>
    </row>
    <row r="2655" spans="1:7" ht="17.25" customHeight="1" x14ac:dyDescent="0.2">
      <c r="A2655" s="1611">
        <v>15</v>
      </c>
      <c r="B2655" s="1611" t="s">
        <v>7251</v>
      </c>
      <c r="C2655" s="1611" t="s">
        <v>3438</v>
      </c>
      <c r="D2655" s="1612">
        <v>0</v>
      </c>
      <c r="E2655" s="1706" t="s">
        <v>7592</v>
      </c>
      <c r="F2655" s="1613">
        <v>30465000</v>
      </c>
      <c r="G2655" s="1613">
        <v>112860711762</v>
      </c>
    </row>
    <row r="2656" spans="1:7" ht="17.25" customHeight="1" x14ac:dyDescent="0.2">
      <c r="A2656" s="1611">
        <v>15</v>
      </c>
      <c r="B2656" s="1611" t="s">
        <v>7251</v>
      </c>
      <c r="C2656" s="1611" t="s">
        <v>3438</v>
      </c>
      <c r="D2656" s="1612">
        <v>0</v>
      </c>
      <c r="E2656" s="1706" t="s">
        <v>7592</v>
      </c>
      <c r="F2656" s="1613">
        <v>30465000</v>
      </c>
      <c r="G2656" s="1613">
        <v>112891176762</v>
      </c>
    </row>
    <row r="2657" spans="1:7" ht="17.25" customHeight="1" x14ac:dyDescent="0.2">
      <c r="A2657" s="1611">
        <v>15</v>
      </c>
      <c r="B2657" s="1611" t="s">
        <v>5330</v>
      </c>
      <c r="C2657" s="1611" t="s">
        <v>5172</v>
      </c>
      <c r="D2657" s="1612">
        <v>0</v>
      </c>
      <c r="E2657" s="1706" t="s">
        <v>7592</v>
      </c>
      <c r="F2657" s="1613">
        <v>83700000</v>
      </c>
      <c r="G2657" s="1613">
        <v>112974876762</v>
      </c>
    </row>
    <row r="2658" spans="1:7" ht="17.25" customHeight="1" x14ac:dyDescent="0.2">
      <c r="A2658" s="1611">
        <v>15</v>
      </c>
      <c r="B2658" s="1611" t="s">
        <v>7203</v>
      </c>
      <c r="C2658" s="1611" t="s">
        <v>5331</v>
      </c>
      <c r="D2658" s="1612">
        <v>0</v>
      </c>
      <c r="E2658" s="1706" t="s">
        <v>7592</v>
      </c>
      <c r="F2658" s="1613">
        <v>31600000</v>
      </c>
      <c r="G2658" s="1613">
        <v>113006476762</v>
      </c>
    </row>
    <row r="2659" spans="1:7" ht="17.25" customHeight="1" x14ac:dyDescent="0.2">
      <c r="A2659" s="1611">
        <v>15</v>
      </c>
      <c r="B2659" s="1611" t="s">
        <v>7186</v>
      </c>
      <c r="C2659" s="1611" t="s">
        <v>5332</v>
      </c>
      <c r="D2659" s="1612">
        <v>0</v>
      </c>
      <c r="E2659" s="1706" t="s">
        <v>7592</v>
      </c>
      <c r="F2659" s="1613">
        <v>54545455</v>
      </c>
      <c r="G2659" s="1613">
        <v>113061022217</v>
      </c>
    </row>
    <row r="2660" spans="1:7" ht="17.25" customHeight="1" x14ac:dyDescent="0.2">
      <c r="A2660" s="1611">
        <v>15</v>
      </c>
      <c r="B2660" s="1611" t="s">
        <v>7186</v>
      </c>
      <c r="C2660" s="1611" t="s">
        <v>5332</v>
      </c>
      <c r="D2660" s="1612">
        <v>0</v>
      </c>
      <c r="E2660" s="1706" t="s">
        <v>7592</v>
      </c>
      <c r="F2660" s="1613">
        <v>-54545455</v>
      </c>
      <c r="G2660" s="1613">
        <v>113006476762</v>
      </c>
    </row>
    <row r="2661" spans="1:7" ht="17.25" customHeight="1" x14ac:dyDescent="0.2">
      <c r="A2661" s="1611">
        <v>15</v>
      </c>
      <c r="B2661" s="1611" t="s">
        <v>7156</v>
      </c>
      <c r="C2661" s="1611" t="s">
        <v>5333</v>
      </c>
      <c r="D2661" s="1612">
        <v>0</v>
      </c>
      <c r="E2661" s="1706" t="s">
        <v>7592</v>
      </c>
      <c r="F2661" s="1613">
        <v>16710000</v>
      </c>
      <c r="G2661" s="1613">
        <v>113023186762</v>
      </c>
    </row>
    <row r="2662" spans="1:7" ht="17.25" customHeight="1" x14ac:dyDescent="0.2">
      <c r="A2662" s="1611">
        <v>15</v>
      </c>
      <c r="B2662" s="1611" t="s">
        <v>7203</v>
      </c>
      <c r="C2662" s="1611" t="s">
        <v>5334</v>
      </c>
      <c r="D2662" s="1612">
        <v>0</v>
      </c>
      <c r="E2662" s="1706" t="s">
        <v>7592</v>
      </c>
      <c r="F2662" s="1613">
        <v>34500000</v>
      </c>
      <c r="G2662" s="1613">
        <v>113057686762</v>
      </c>
    </row>
    <row r="2663" spans="1:7" ht="17.25" customHeight="1" x14ac:dyDescent="0.2">
      <c r="A2663" s="1611">
        <v>15</v>
      </c>
      <c r="B2663" s="1611" t="s">
        <v>7203</v>
      </c>
      <c r="C2663" s="1611" t="s">
        <v>5335</v>
      </c>
      <c r="D2663" s="1612">
        <v>0</v>
      </c>
      <c r="E2663" s="1706" t="s">
        <v>7592</v>
      </c>
      <c r="F2663" s="1613">
        <v>36363637</v>
      </c>
      <c r="G2663" s="1613">
        <v>113094050399</v>
      </c>
    </row>
    <row r="2664" spans="1:7" ht="17.25" customHeight="1" x14ac:dyDescent="0.2">
      <c r="A2664" s="1611">
        <v>15</v>
      </c>
      <c r="B2664" s="1611" t="s">
        <v>7203</v>
      </c>
      <c r="C2664" s="1611" t="s">
        <v>4060</v>
      </c>
      <c r="D2664" s="1612">
        <v>0</v>
      </c>
      <c r="E2664" s="1706" t="s">
        <v>7592</v>
      </c>
      <c r="F2664" s="1613">
        <v>34000000</v>
      </c>
      <c r="G2664" s="1613">
        <v>113128050399</v>
      </c>
    </row>
    <row r="2665" spans="1:7" ht="17.25" customHeight="1" x14ac:dyDescent="0.2">
      <c r="A2665" s="1611">
        <v>15</v>
      </c>
      <c r="B2665" s="1611" t="s">
        <v>7213</v>
      </c>
      <c r="C2665" s="1611" t="s">
        <v>5336</v>
      </c>
      <c r="D2665" s="1612">
        <v>0</v>
      </c>
      <c r="E2665" s="1706" t="s">
        <v>7592</v>
      </c>
      <c r="F2665" s="1613">
        <v>17250000</v>
      </c>
      <c r="G2665" s="1613">
        <v>113145300399</v>
      </c>
    </row>
    <row r="2666" spans="1:7" ht="17.25" customHeight="1" x14ac:dyDescent="0.2">
      <c r="A2666" s="1611">
        <v>15</v>
      </c>
      <c r="B2666" s="1611" t="s">
        <v>7213</v>
      </c>
      <c r="C2666" s="1611" t="s">
        <v>5336</v>
      </c>
      <c r="D2666" s="1612">
        <v>0</v>
      </c>
      <c r="E2666" s="1706" t="s">
        <v>7592</v>
      </c>
      <c r="F2666" s="1613">
        <v>17250000</v>
      </c>
      <c r="G2666" s="1613">
        <v>113162550399</v>
      </c>
    </row>
    <row r="2667" spans="1:7" ht="17.25" customHeight="1" x14ac:dyDescent="0.2">
      <c r="A2667" s="1611">
        <v>15</v>
      </c>
      <c r="B2667" s="1611" t="s">
        <v>7186</v>
      </c>
      <c r="C2667" s="1611" t="s">
        <v>5332</v>
      </c>
      <c r="D2667" s="1612">
        <v>0</v>
      </c>
      <c r="E2667" s="1706" t="s">
        <v>7592</v>
      </c>
      <c r="F2667" s="1613">
        <v>54545455</v>
      </c>
      <c r="G2667" s="1613">
        <v>113217095854</v>
      </c>
    </row>
    <row r="2668" spans="1:7" ht="17.25" customHeight="1" x14ac:dyDescent="0.2">
      <c r="A2668" s="1611">
        <v>15</v>
      </c>
      <c r="B2668" s="1611" t="s">
        <v>7261</v>
      </c>
      <c r="C2668" s="1611" t="s">
        <v>5337</v>
      </c>
      <c r="D2668" s="1612">
        <v>0</v>
      </c>
      <c r="E2668" s="1706" t="s">
        <v>7592</v>
      </c>
      <c r="F2668" s="1613">
        <v>145500000</v>
      </c>
      <c r="G2668" s="1613">
        <v>113362595854</v>
      </c>
    </row>
    <row r="2669" spans="1:7" ht="17.25" customHeight="1" x14ac:dyDescent="0.2">
      <c r="A2669" s="1611">
        <v>15</v>
      </c>
      <c r="B2669" s="1611" t="s">
        <v>7186</v>
      </c>
      <c r="C2669" s="1611" t="s">
        <v>5332</v>
      </c>
      <c r="D2669" s="1612">
        <v>0</v>
      </c>
      <c r="E2669" s="1706" t="s">
        <v>7592</v>
      </c>
      <c r="F2669" s="1613">
        <v>-54545455</v>
      </c>
      <c r="G2669" s="1613">
        <v>113308050399</v>
      </c>
    </row>
    <row r="2670" spans="1:7" ht="17.25" customHeight="1" x14ac:dyDescent="0.2">
      <c r="A2670" s="1611">
        <v>15</v>
      </c>
      <c r="B2670" s="1611" t="s">
        <v>7186</v>
      </c>
      <c r="C2670" s="1611" t="s">
        <v>5338</v>
      </c>
      <c r="D2670" s="1612">
        <v>0</v>
      </c>
      <c r="E2670" s="1706" t="s">
        <v>7592</v>
      </c>
      <c r="F2670" s="1613">
        <v>54545455</v>
      </c>
      <c r="G2670" s="1613">
        <v>113362595854</v>
      </c>
    </row>
    <row r="2671" spans="1:7" ht="17.25" customHeight="1" x14ac:dyDescent="0.2">
      <c r="A2671" s="1611">
        <v>15</v>
      </c>
      <c r="B2671" s="1611" t="s">
        <v>7156</v>
      </c>
      <c r="C2671" s="1611" t="s">
        <v>5339</v>
      </c>
      <c r="D2671" s="1612">
        <v>0</v>
      </c>
      <c r="E2671" s="1706" t="s">
        <v>7592</v>
      </c>
      <c r="F2671" s="1613">
        <v>14227272</v>
      </c>
      <c r="G2671" s="1613">
        <v>113376823126</v>
      </c>
    </row>
    <row r="2672" spans="1:7" ht="17.25" customHeight="1" x14ac:dyDescent="0.2">
      <c r="A2672" s="1611">
        <v>15</v>
      </c>
      <c r="B2672" s="1611" t="s">
        <v>2954</v>
      </c>
      <c r="C2672" s="1611" t="s">
        <v>5219</v>
      </c>
      <c r="D2672" s="1612">
        <v>0</v>
      </c>
      <c r="E2672" s="1706" t="s">
        <v>7592</v>
      </c>
      <c r="F2672" s="1613">
        <v>13800000</v>
      </c>
      <c r="G2672" s="1613">
        <v>113390623126</v>
      </c>
    </row>
    <row r="2673" spans="1:7" ht="17.25" customHeight="1" x14ac:dyDescent="0.2">
      <c r="A2673" s="1611">
        <v>15</v>
      </c>
      <c r="B2673" s="1611" t="s">
        <v>7203</v>
      </c>
      <c r="C2673" s="1611" t="s">
        <v>4473</v>
      </c>
      <c r="D2673" s="1612">
        <v>0</v>
      </c>
      <c r="E2673" s="1706" t="s">
        <v>7592</v>
      </c>
      <c r="F2673" s="1613">
        <v>36500000</v>
      </c>
      <c r="G2673" s="1613">
        <v>113427123126</v>
      </c>
    </row>
    <row r="2674" spans="1:7" ht="17.25" customHeight="1" x14ac:dyDescent="0.2">
      <c r="A2674" s="1611">
        <v>15</v>
      </c>
      <c r="B2674" s="1611" t="s">
        <v>7176</v>
      </c>
      <c r="C2674" s="1611" t="s">
        <v>3692</v>
      </c>
      <c r="D2674" s="1612">
        <v>0</v>
      </c>
      <c r="E2674" s="1706" t="s">
        <v>7592</v>
      </c>
      <c r="F2674" s="1613">
        <v>43500000</v>
      </c>
      <c r="G2674" s="1613">
        <v>113470623126</v>
      </c>
    </row>
    <row r="2675" spans="1:7" ht="17.25" customHeight="1" x14ac:dyDescent="0.2">
      <c r="A2675" s="1611">
        <v>15</v>
      </c>
      <c r="B2675" s="1611" t="s">
        <v>7154</v>
      </c>
      <c r="C2675" s="1611" t="s">
        <v>5340</v>
      </c>
      <c r="D2675" s="1612">
        <v>0</v>
      </c>
      <c r="E2675" s="1706" t="s">
        <v>7592</v>
      </c>
      <c r="F2675" s="1613">
        <v>50454545</v>
      </c>
      <c r="G2675" s="1613">
        <v>113521077671</v>
      </c>
    </row>
    <row r="2676" spans="1:7" ht="17.25" customHeight="1" x14ac:dyDescent="0.2">
      <c r="A2676" s="1611">
        <v>15</v>
      </c>
      <c r="B2676" s="1611" t="s">
        <v>7291</v>
      </c>
      <c r="C2676" s="1611" t="s">
        <v>4903</v>
      </c>
      <c r="D2676" s="1612">
        <v>0</v>
      </c>
      <c r="E2676" s="1706" t="s">
        <v>7592</v>
      </c>
      <c r="F2676" s="1613">
        <v>33600000</v>
      </c>
      <c r="G2676" s="1613">
        <v>113554677671</v>
      </c>
    </row>
    <row r="2677" spans="1:7" ht="17.25" customHeight="1" x14ac:dyDescent="0.2">
      <c r="A2677" s="1611">
        <v>15</v>
      </c>
      <c r="B2677" s="1611" t="s">
        <v>7203</v>
      </c>
      <c r="C2677" s="1611" t="s">
        <v>4473</v>
      </c>
      <c r="D2677" s="1612">
        <v>0</v>
      </c>
      <c r="E2677" s="1706" t="s">
        <v>7592</v>
      </c>
      <c r="F2677" s="1613">
        <v>-36500000</v>
      </c>
      <c r="G2677" s="1613">
        <v>113518177671</v>
      </c>
    </row>
    <row r="2678" spans="1:7" ht="17.25" customHeight="1" x14ac:dyDescent="0.2">
      <c r="A2678" s="1611">
        <v>15</v>
      </c>
      <c r="B2678" s="1611" t="s">
        <v>7203</v>
      </c>
      <c r="C2678" s="1611" t="s">
        <v>4473</v>
      </c>
      <c r="D2678" s="1612">
        <v>0</v>
      </c>
      <c r="E2678" s="1706" t="s">
        <v>7592</v>
      </c>
      <c r="F2678" s="1613">
        <v>36700000</v>
      </c>
      <c r="G2678" s="1613">
        <v>113554877671</v>
      </c>
    </row>
    <row r="2679" spans="1:7" ht="17.25" customHeight="1" x14ac:dyDescent="0.2">
      <c r="A2679" s="1611">
        <v>15</v>
      </c>
      <c r="B2679" s="1611" t="s">
        <v>7203</v>
      </c>
      <c r="C2679" s="1611" t="s">
        <v>5341</v>
      </c>
      <c r="D2679" s="1612">
        <v>0</v>
      </c>
      <c r="E2679" s="1706" t="s">
        <v>7592</v>
      </c>
      <c r="F2679" s="1613">
        <v>36363636</v>
      </c>
      <c r="G2679" s="1613">
        <v>113591241307</v>
      </c>
    </row>
    <row r="2680" spans="1:7" ht="17.25" customHeight="1" x14ac:dyDescent="0.2">
      <c r="A2680" s="1611">
        <v>15</v>
      </c>
      <c r="B2680" s="1611" t="s">
        <v>7203</v>
      </c>
      <c r="C2680" s="1611" t="s">
        <v>4671</v>
      </c>
      <c r="D2680" s="1612">
        <v>0</v>
      </c>
      <c r="E2680" s="1706" t="s">
        <v>7592</v>
      </c>
      <c r="F2680" s="1613">
        <v>35727272</v>
      </c>
      <c r="G2680" s="1613">
        <v>113626968579</v>
      </c>
    </row>
    <row r="2681" spans="1:7" ht="17.25" customHeight="1" x14ac:dyDescent="0.2">
      <c r="A2681" s="1611">
        <v>15</v>
      </c>
      <c r="B2681" s="1611" t="s">
        <v>7203</v>
      </c>
      <c r="C2681" s="1611" t="s">
        <v>4812</v>
      </c>
      <c r="D2681" s="1612">
        <v>0</v>
      </c>
      <c r="E2681" s="1706" t="s">
        <v>7592</v>
      </c>
      <c r="F2681" s="1613">
        <v>35000000</v>
      </c>
      <c r="G2681" s="1613">
        <v>113661968579</v>
      </c>
    </row>
    <row r="2682" spans="1:7" ht="17.25" customHeight="1" x14ac:dyDescent="0.2">
      <c r="A2682" s="1611">
        <v>15</v>
      </c>
      <c r="B2682" s="1611" t="s">
        <v>7170</v>
      </c>
      <c r="C2682" s="1611" t="s">
        <v>5342</v>
      </c>
      <c r="D2682" s="1612">
        <v>0</v>
      </c>
      <c r="E2682" s="1706" t="s">
        <v>7592</v>
      </c>
      <c r="F2682" s="1613">
        <v>165000000</v>
      </c>
      <c r="G2682" s="1613">
        <v>113826968579</v>
      </c>
    </row>
    <row r="2683" spans="1:7" ht="17.25" customHeight="1" x14ac:dyDescent="0.2">
      <c r="A2683" s="1611">
        <v>15</v>
      </c>
      <c r="B2683" s="1611" t="s">
        <v>7292</v>
      </c>
      <c r="C2683" s="1611" t="s">
        <v>4111</v>
      </c>
      <c r="D2683" s="1612">
        <v>0</v>
      </c>
      <c r="E2683" s="1706" t="s">
        <v>7592</v>
      </c>
      <c r="F2683" s="1613">
        <v>545267200</v>
      </c>
      <c r="G2683" s="1613">
        <v>114372235779</v>
      </c>
    </row>
    <row r="2684" spans="1:7" ht="17.25" customHeight="1" x14ac:dyDescent="0.2">
      <c r="A2684" s="1611">
        <v>15</v>
      </c>
      <c r="B2684" s="1611" t="s">
        <v>7176</v>
      </c>
      <c r="C2684" s="1611" t="s">
        <v>5343</v>
      </c>
      <c r="D2684" s="1612">
        <v>0</v>
      </c>
      <c r="E2684" s="1706" t="s">
        <v>7592</v>
      </c>
      <c r="F2684" s="1613">
        <v>41500000</v>
      </c>
      <c r="G2684" s="1613">
        <v>114413735779</v>
      </c>
    </row>
    <row r="2685" spans="1:7" ht="17.25" customHeight="1" x14ac:dyDescent="0.2">
      <c r="A2685" s="1611">
        <v>15</v>
      </c>
      <c r="B2685" s="1611" t="s">
        <v>7261</v>
      </c>
      <c r="C2685" s="1611" t="s">
        <v>5344</v>
      </c>
      <c r="D2685" s="1612">
        <v>0</v>
      </c>
      <c r="E2685" s="1706" t="s">
        <v>7592</v>
      </c>
      <c r="F2685" s="1613">
        <v>145000000</v>
      </c>
      <c r="G2685" s="1613">
        <v>114558735779</v>
      </c>
    </row>
    <row r="2686" spans="1:7" ht="17.25" customHeight="1" x14ac:dyDescent="0.2">
      <c r="A2686" s="1611">
        <v>15</v>
      </c>
      <c r="B2686" s="1611" t="s">
        <v>7156</v>
      </c>
      <c r="C2686" s="1611" t="s">
        <v>5345</v>
      </c>
      <c r="D2686" s="1612">
        <v>0</v>
      </c>
      <c r="E2686" s="1706" t="s">
        <v>7592</v>
      </c>
      <c r="F2686" s="1613">
        <v>60145455</v>
      </c>
      <c r="G2686" s="1613">
        <v>114618881234</v>
      </c>
    </row>
    <row r="2687" spans="1:7" ht="17.25" customHeight="1" x14ac:dyDescent="0.2">
      <c r="A2687" s="1611">
        <v>15</v>
      </c>
      <c r="B2687" s="1611" t="s">
        <v>7251</v>
      </c>
      <c r="C2687" s="1611" t="s">
        <v>3757</v>
      </c>
      <c r="D2687" s="1612">
        <v>0</v>
      </c>
      <c r="E2687" s="1706" t="s">
        <v>7592</v>
      </c>
      <c r="F2687" s="1613">
        <v>34045455</v>
      </c>
      <c r="G2687" s="1613">
        <v>114652926689</v>
      </c>
    </row>
    <row r="2688" spans="1:7" ht="17.25" customHeight="1" x14ac:dyDescent="0.2">
      <c r="A2688" s="1611">
        <v>15</v>
      </c>
      <c r="B2688" s="1611" t="s">
        <v>7251</v>
      </c>
      <c r="C2688" s="1611" t="s">
        <v>3757</v>
      </c>
      <c r="D2688" s="1612">
        <v>0</v>
      </c>
      <c r="E2688" s="1706" t="s">
        <v>7592</v>
      </c>
      <c r="F2688" s="1613">
        <v>34545455</v>
      </c>
      <c r="G2688" s="1613">
        <v>114687472144</v>
      </c>
    </row>
    <row r="2689" spans="1:7" ht="17.25" customHeight="1" x14ac:dyDescent="0.2">
      <c r="A2689" s="1611">
        <v>15</v>
      </c>
      <c r="B2689" s="1611" t="s">
        <v>7251</v>
      </c>
      <c r="C2689" s="1611" t="s">
        <v>3793</v>
      </c>
      <c r="D2689" s="1612">
        <v>0</v>
      </c>
      <c r="E2689" s="1706" t="s">
        <v>7592</v>
      </c>
      <c r="F2689" s="1613">
        <v>34545455</v>
      </c>
      <c r="G2689" s="1613">
        <v>114722017599</v>
      </c>
    </row>
    <row r="2690" spans="1:7" ht="17.25" customHeight="1" x14ac:dyDescent="0.2">
      <c r="A2690" s="1611">
        <v>15</v>
      </c>
      <c r="B2690" s="1611" t="s">
        <v>7156</v>
      </c>
      <c r="C2690" s="1611" t="s">
        <v>5346</v>
      </c>
      <c r="D2690" s="1612">
        <v>0</v>
      </c>
      <c r="E2690" s="1706" t="s">
        <v>7592</v>
      </c>
      <c r="F2690" s="1613">
        <v>14100000</v>
      </c>
      <c r="G2690" s="1613">
        <v>114736117599</v>
      </c>
    </row>
    <row r="2691" spans="1:7" ht="17.25" customHeight="1" x14ac:dyDescent="0.2">
      <c r="A2691" s="1611">
        <v>15</v>
      </c>
      <c r="B2691" s="1611" t="s">
        <v>7176</v>
      </c>
      <c r="C2691" s="1611" t="s">
        <v>5247</v>
      </c>
      <c r="D2691" s="1612">
        <v>0</v>
      </c>
      <c r="E2691" s="1706" t="s">
        <v>7592</v>
      </c>
      <c r="F2691" s="1613">
        <v>41000000</v>
      </c>
      <c r="G2691" s="1613">
        <v>114777117599</v>
      </c>
    </row>
    <row r="2692" spans="1:7" ht="17.25" customHeight="1" x14ac:dyDescent="0.2">
      <c r="A2692" s="1611">
        <v>15</v>
      </c>
      <c r="B2692" s="1611" t="s">
        <v>7282</v>
      </c>
      <c r="C2692" s="1611" t="s">
        <v>5347</v>
      </c>
      <c r="D2692" s="1612">
        <v>0</v>
      </c>
      <c r="E2692" s="1706" t="s">
        <v>7592</v>
      </c>
      <c r="F2692" s="1613">
        <v>150000000</v>
      </c>
      <c r="G2692" s="1613">
        <v>114927117599</v>
      </c>
    </row>
    <row r="2693" spans="1:7" ht="17.25" customHeight="1" x14ac:dyDescent="0.2">
      <c r="A2693" s="1611">
        <v>15</v>
      </c>
      <c r="B2693" s="1611" t="s">
        <v>7176</v>
      </c>
      <c r="C2693" s="1611" t="s">
        <v>5348</v>
      </c>
      <c r="D2693" s="1612">
        <v>0</v>
      </c>
      <c r="E2693" s="1706" t="s">
        <v>7592</v>
      </c>
      <c r="F2693" s="1613">
        <v>41000000</v>
      </c>
      <c r="G2693" s="1613">
        <v>114968117599</v>
      </c>
    </row>
    <row r="2694" spans="1:7" ht="17.25" customHeight="1" x14ac:dyDescent="0.2">
      <c r="A2694" s="1611">
        <v>15</v>
      </c>
      <c r="B2694" s="1611" t="s">
        <v>3937</v>
      </c>
      <c r="C2694" s="1611" t="s">
        <v>5349</v>
      </c>
      <c r="D2694" s="1612">
        <v>0</v>
      </c>
      <c r="E2694" s="1706" t="s">
        <v>7592</v>
      </c>
      <c r="F2694" s="1613">
        <v>129090910</v>
      </c>
      <c r="G2694" s="1613">
        <v>115097208509</v>
      </c>
    </row>
    <row r="2695" spans="1:7" ht="17.25" customHeight="1" x14ac:dyDescent="0.2">
      <c r="A2695" s="1611">
        <v>15</v>
      </c>
      <c r="B2695" s="1611" t="s">
        <v>7156</v>
      </c>
      <c r="C2695" s="1611" t="s">
        <v>5350</v>
      </c>
      <c r="D2695" s="1612">
        <v>0</v>
      </c>
      <c r="E2695" s="1706" t="s">
        <v>7592</v>
      </c>
      <c r="F2695" s="1613">
        <v>13862727</v>
      </c>
      <c r="G2695" s="1613">
        <v>115111071236</v>
      </c>
    </row>
    <row r="2696" spans="1:7" ht="17.25" customHeight="1" x14ac:dyDescent="0.2">
      <c r="A2696" s="1611">
        <v>15</v>
      </c>
      <c r="B2696" s="1611" t="s">
        <v>7261</v>
      </c>
      <c r="C2696" s="1611" t="s">
        <v>5351</v>
      </c>
      <c r="D2696" s="1612">
        <v>0</v>
      </c>
      <c r="E2696" s="1706" t="s">
        <v>7592</v>
      </c>
      <c r="F2696" s="1613">
        <v>141500000</v>
      </c>
      <c r="G2696" s="1613">
        <v>115252571236</v>
      </c>
    </row>
    <row r="2697" spans="1:7" ht="17.25" customHeight="1" x14ac:dyDescent="0.2">
      <c r="A2697" s="1611">
        <v>15</v>
      </c>
      <c r="B2697" s="1611" t="s">
        <v>7156</v>
      </c>
      <c r="C2697" s="1611" t="s">
        <v>3648</v>
      </c>
      <c r="D2697" s="1612">
        <v>0</v>
      </c>
      <c r="E2697" s="1706" t="s">
        <v>7592</v>
      </c>
      <c r="F2697" s="1613">
        <v>14200000</v>
      </c>
      <c r="G2697" s="1613">
        <v>115266771236</v>
      </c>
    </row>
    <row r="2698" spans="1:7" ht="17.25" customHeight="1" x14ac:dyDescent="0.2">
      <c r="A2698" s="1611">
        <v>15</v>
      </c>
      <c r="B2698" s="1611" t="s">
        <v>7156</v>
      </c>
      <c r="C2698" s="1611" t="s">
        <v>5352</v>
      </c>
      <c r="D2698" s="1612">
        <v>0</v>
      </c>
      <c r="E2698" s="1706" t="s">
        <v>7592</v>
      </c>
      <c r="F2698" s="1613">
        <v>16800000</v>
      </c>
      <c r="G2698" s="1613">
        <v>115283571236</v>
      </c>
    </row>
    <row r="2699" spans="1:7" ht="17.25" customHeight="1" x14ac:dyDescent="0.2">
      <c r="A2699" s="1611">
        <v>15</v>
      </c>
      <c r="B2699" s="1611" t="s">
        <v>7251</v>
      </c>
      <c r="C2699" s="1611" t="s">
        <v>4914</v>
      </c>
      <c r="D2699" s="1612">
        <v>0</v>
      </c>
      <c r="E2699" s="1706" t="s">
        <v>7592</v>
      </c>
      <c r="F2699" s="1613">
        <v>34409091</v>
      </c>
      <c r="G2699" s="1613">
        <v>115317980327</v>
      </c>
    </row>
    <row r="2700" spans="1:7" ht="17.25" customHeight="1" x14ac:dyDescent="0.2">
      <c r="A2700" s="1611">
        <v>15</v>
      </c>
      <c r="B2700" s="1611" t="s">
        <v>7203</v>
      </c>
      <c r="C2700" s="1611" t="s">
        <v>5353</v>
      </c>
      <c r="D2700" s="1612">
        <v>0</v>
      </c>
      <c r="E2700" s="1706" t="s">
        <v>7592</v>
      </c>
      <c r="F2700" s="1613">
        <v>38700000</v>
      </c>
      <c r="G2700" s="1613">
        <v>115356680327</v>
      </c>
    </row>
    <row r="2701" spans="1:7" ht="17.25" customHeight="1" x14ac:dyDescent="0.2">
      <c r="A2701" s="1611">
        <v>15</v>
      </c>
      <c r="B2701" s="1611" t="s">
        <v>7203</v>
      </c>
      <c r="C2701" s="1611" t="s">
        <v>3909</v>
      </c>
      <c r="D2701" s="1612">
        <v>0</v>
      </c>
      <c r="E2701" s="1706" t="s">
        <v>7592</v>
      </c>
      <c r="F2701" s="1613">
        <v>36000000</v>
      </c>
      <c r="G2701" s="1613">
        <v>115392680327</v>
      </c>
    </row>
    <row r="2702" spans="1:7" ht="17.25" customHeight="1" x14ac:dyDescent="0.2">
      <c r="A2702" s="1611">
        <v>15</v>
      </c>
      <c r="B2702" s="1611" t="s">
        <v>7176</v>
      </c>
      <c r="C2702" s="1611" t="s">
        <v>4093</v>
      </c>
      <c r="D2702" s="1612">
        <v>0</v>
      </c>
      <c r="E2702" s="1706" t="s">
        <v>7592</v>
      </c>
      <c r="F2702" s="1613">
        <v>41363636</v>
      </c>
      <c r="G2702" s="1613">
        <v>115434043963</v>
      </c>
    </row>
    <row r="2703" spans="1:7" ht="17.25" customHeight="1" x14ac:dyDescent="0.2">
      <c r="A2703" s="1611">
        <v>15</v>
      </c>
      <c r="B2703" s="1611" t="s">
        <v>7203</v>
      </c>
      <c r="C2703" s="1611" t="s">
        <v>5250</v>
      </c>
      <c r="D2703" s="1612">
        <v>0</v>
      </c>
      <c r="E2703" s="1706" t="s">
        <v>7592</v>
      </c>
      <c r="F2703" s="1613">
        <v>37271273</v>
      </c>
      <c r="G2703" s="1613">
        <v>115471315236</v>
      </c>
    </row>
    <row r="2704" spans="1:7" ht="17.25" customHeight="1" x14ac:dyDescent="0.2">
      <c r="A2704" s="1611">
        <v>15</v>
      </c>
      <c r="B2704" s="1611" t="s">
        <v>7247</v>
      </c>
      <c r="C2704" s="1611" t="s">
        <v>5354</v>
      </c>
      <c r="D2704" s="1612">
        <v>0</v>
      </c>
      <c r="E2704" s="1706" t="s">
        <v>7592</v>
      </c>
      <c r="F2704" s="1613">
        <v>41000000</v>
      </c>
      <c r="G2704" s="1613">
        <v>115512315236</v>
      </c>
    </row>
    <row r="2705" spans="1:7" ht="17.25" customHeight="1" x14ac:dyDescent="0.2">
      <c r="A2705" s="1611">
        <v>15</v>
      </c>
      <c r="B2705" s="1611" t="s">
        <v>7293</v>
      </c>
      <c r="C2705" s="1611" t="s">
        <v>5151</v>
      </c>
      <c r="D2705" s="1612">
        <v>0</v>
      </c>
      <c r="E2705" s="1706" t="s">
        <v>7592</v>
      </c>
      <c r="F2705" s="1613">
        <v>152818182</v>
      </c>
      <c r="G2705" s="1613">
        <v>115665133418</v>
      </c>
    </row>
    <row r="2706" spans="1:7" ht="17.25" customHeight="1" x14ac:dyDescent="0.2">
      <c r="A2706" s="1611">
        <v>15</v>
      </c>
      <c r="B2706" s="1611" t="s">
        <v>7293</v>
      </c>
      <c r="C2706" s="1611" t="s">
        <v>3609</v>
      </c>
      <c r="D2706" s="1612">
        <v>0</v>
      </c>
      <c r="E2706" s="1706" t="s">
        <v>7592</v>
      </c>
      <c r="F2706" s="1613">
        <v>340000000</v>
      </c>
      <c r="G2706" s="1613">
        <v>116005133418</v>
      </c>
    </row>
    <row r="2707" spans="1:7" ht="17.25" customHeight="1" x14ac:dyDescent="0.2">
      <c r="A2707" s="1611">
        <v>15</v>
      </c>
      <c r="B2707" s="1611" t="s">
        <v>7156</v>
      </c>
      <c r="C2707" s="1611" t="s">
        <v>5355</v>
      </c>
      <c r="D2707" s="1612">
        <v>0</v>
      </c>
      <c r="E2707" s="1706" t="s">
        <v>7592</v>
      </c>
      <c r="F2707" s="1613">
        <v>13100000</v>
      </c>
      <c r="G2707" s="1613">
        <v>116018233418</v>
      </c>
    </row>
    <row r="2708" spans="1:7" ht="17.25" customHeight="1" x14ac:dyDescent="0.2">
      <c r="A2708" s="1611">
        <v>15</v>
      </c>
      <c r="B2708" s="1611" t="s">
        <v>7251</v>
      </c>
      <c r="C2708" s="1611" t="s">
        <v>5356</v>
      </c>
      <c r="D2708" s="1612">
        <v>0</v>
      </c>
      <c r="E2708" s="1706" t="s">
        <v>7592</v>
      </c>
      <c r="F2708" s="1613">
        <v>36363636</v>
      </c>
      <c r="G2708" s="1613">
        <v>116054597054</v>
      </c>
    </row>
    <row r="2709" spans="1:7" ht="17.25" customHeight="1" x14ac:dyDescent="0.2">
      <c r="A2709" s="1611">
        <v>15</v>
      </c>
      <c r="B2709" s="1611" t="s">
        <v>7251</v>
      </c>
      <c r="C2709" s="1611" t="s">
        <v>5357</v>
      </c>
      <c r="D2709" s="1612">
        <v>0</v>
      </c>
      <c r="E2709" s="1706" t="s">
        <v>7592</v>
      </c>
      <c r="F2709" s="1613">
        <v>34545455</v>
      </c>
      <c r="G2709" s="1613">
        <v>116089142509</v>
      </c>
    </row>
    <row r="2710" spans="1:7" ht="17.25" customHeight="1" x14ac:dyDescent="0.2">
      <c r="A2710" s="1611">
        <v>15</v>
      </c>
      <c r="B2710" s="1611" t="s">
        <v>2954</v>
      </c>
      <c r="C2710" s="1611" t="s">
        <v>5358</v>
      </c>
      <c r="D2710" s="1612">
        <v>0</v>
      </c>
      <c r="E2710" s="1706" t="s">
        <v>7592</v>
      </c>
      <c r="F2710" s="1613">
        <v>15550000</v>
      </c>
      <c r="G2710" s="1613">
        <v>116104692509</v>
      </c>
    </row>
    <row r="2711" spans="1:7" ht="17.25" customHeight="1" x14ac:dyDescent="0.2">
      <c r="A2711" s="1611">
        <v>15</v>
      </c>
      <c r="B2711" s="1611" t="s">
        <v>7251</v>
      </c>
      <c r="C2711" s="1611" t="s">
        <v>4914</v>
      </c>
      <c r="D2711" s="1612">
        <v>0</v>
      </c>
      <c r="E2711" s="1706" t="s">
        <v>7592</v>
      </c>
      <c r="F2711" s="1613">
        <v>34409091</v>
      </c>
      <c r="G2711" s="1613">
        <v>116139101600</v>
      </c>
    </row>
    <row r="2712" spans="1:7" ht="17.25" customHeight="1" x14ac:dyDescent="0.2">
      <c r="A2712" s="1611">
        <v>15</v>
      </c>
      <c r="B2712" s="1611" t="s">
        <v>7245</v>
      </c>
      <c r="C2712" s="1611" t="s">
        <v>4165</v>
      </c>
      <c r="D2712" s="1612">
        <v>0</v>
      </c>
      <c r="E2712" s="1706" t="s">
        <v>7592</v>
      </c>
      <c r="F2712" s="1613">
        <v>41700000</v>
      </c>
      <c r="G2712" s="1613">
        <v>116180801600</v>
      </c>
    </row>
    <row r="2713" spans="1:7" ht="17.25" customHeight="1" x14ac:dyDescent="0.2">
      <c r="A2713" s="1611">
        <v>15</v>
      </c>
      <c r="B2713" s="1611" t="s">
        <v>7186</v>
      </c>
      <c r="C2713" s="1611" t="s">
        <v>5359</v>
      </c>
      <c r="D2713" s="1612">
        <v>0</v>
      </c>
      <c r="E2713" s="1706" t="s">
        <v>7592</v>
      </c>
      <c r="F2713" s="1613">
        <v>53636363</v>
      </c>
      <c r="G2713" s="1613">
        <v>116234437963</v>
      </c>
    </row>
    <row r="2714" spans="1:7" ht="17.25" customHeight="1" x14ac:dyDescent="0.2">
      <c r="A2714" s="1611">
        <v>15</v>
      </c>
      <c r="B2714" s="1611" t="s">
        <v>7282</v>
      </c>
      <c r="C2714" s="1611" t="s">
        <v>4984</v>
      </c>
      <c r="D2714" s="1612">
        <v>0</v>
      </c>
      <c r="E2714" s="1706" t="s">
        <v>7592</v>
      </c>
      <c r="F2714" s="1613">
        <v>150000000</v>
      </c>
      <c r="G2714" s="1613">
        <v>116384437963</v>
      </c>
    </row>
    <row r="2715" spans="1:7" ht="17.25" customHeight="1" x14ac:dyDescent="0.2">
      <c r="A2715" s="1611">
        <v>15</v>
      </c>
      <c r="B2715" s="1611" t="s">
        <v>7156</v>
      </c>
      <c r="C2715" s="1611" t="s">
        <v>5360</v>
      </c>
      <c r="D2715" s="1612">
        <v>0</v>
      </c>
      <c r="E2715" s="1706" t="s">
        <v>7592</v>
      </c>
      <c r="F2715" s="1613">
        <v>15454545</v>
      </c>
      <c r="G2715" s="1613">
        <v>116399892508</v>
      </c>
    </row>
    <row r="2716" spans="1:7" ht="17.25" customHeight="1" x14ac:dyDescent="0.2">
      <c r="A2716" s="1611">
        <v>15</v>
      </c>
      <c r="B2716" s="1611" t="s">
        <v>7251</v>
      </c>
      <c r="C2716" s="1611" t="s">
        <v>5361</v>
      </c>
      <c r="D2716" s="1612">
        <v>0</v>
      </c>
      <c r="E2716" s="1706" t="s">
        <v>7592</v>
      </c>
      <c r="F2716" s="1613">
        <v>34545454</v>
      </c>
      <c r="G2716" s="1613">
        <v>116434437962</v>
      </c>
    </row>
    <row r="2717" spans="1:7" ht="17.25" customHeight="1" x14ac:dyDescent="0.2">
      <c r="A2717" s="1611">
        <v>15</v>
      </c>
      <c r="B2717" s="1611" t="s">
        <v>2906</v>
      </c>
      <c r="C2717" s="1611" t="s">
        <v>5361</v>
      </c>
      <c r="D2717" s="1612">
        <v>0</v>
      </c>
      <c r="E2717" s="1706" t="s">
        <v>7592</v>
      </c>
      <c r="F2717" s="1613">
        <v>4400000</v>
      </c>
      <c r="G2717" s="1613">
        <v>116438837962</v>
      </c>
    </row>
    <row r="2718" spans="1:7" ht="17.25" customHeight="1" x14ac:dyDescent="0.2">
      <c r="A2718" s="1611">
        <v>15</v>
      </c>
      <c r="B2718" s="1611" t="s">
        <v>7203</v>
      </c>
      <c r="C2718" s="1611" t="s">
        <v>4671</v>
      </c>
      <c r="D2718" s="1612">
        <v>0</v>
      </c>
      <c r="E2718" s="1706" t="s">
        <v>7592</v>
      </c>
      <c r="F2718" s="1613">
        <v>33000000</v>
      </c>
      <c r="G2718" s="1613">
        <v>116471837962</v>
      </c>
    </row>
    <row r="2719" spans="1:7" ht="17.25" customHeight="1" x14ac:dyDescent="0.2">
      <c r="A2719" s="1611">
        <v>15</v>
      </c>
      <c r="B2719" s="1611" t="s">
        <v>7203</v>
      </c>
      <c r="C2719" s="1611" t="s">
        <v>3803</v>
      </c>
      <c r="D2719" s="1612">
        <v>0</v>
      </c>
      <c r="E2719" s="1706" t="s">
        <v>7592</v>
      </c>
      <c r="F2719" s="1613">
        <v>36700000</v>
      </c>
      <c r="G2719" s="1613">
        <v>116508537962</v>
      </c>
    </row>
    <row r="2720" spans="1:7" ht="17.25" customHeight="1" x14ac:dyDescent="0.2">
      <c r="A2720" s="1611">
        <v>15</v>
      </c>
      <c r="B2720" s="1611" t="s">
        <v>7203</v>
      </c>
      <c r="C2720" s="1611" t="s">
        <v>4820</v>
      </c>
      <c r="D2720" s="1612">
        <v>0</v>
      </c>
      <c r="E2720" s="1706" t="s">
        <v>7592</v>
      </c>
      <c r="F2720" s="1613">
        <v>36965000</v>
      </c>
      <c r="G2720" s="1613">
        <v>116545502962</v>
      </c>
    </row>
    <row r="2721" spans="1:7" ht="17.25" customHeight="1" x14ac:dyDescent="0.2">
      <c r="A2721" s="1611">
        <v>15</v>
      </c>
      <c r="B2721" s="1611" t="s">
        <v>7261</v>
      </c>
      <c r="C2721" s="1611" t="s">
        <v>5362</v>
      </c>
      <c r="D2721" s="1612">
        <v>0</v>
      </c>
      <c r="E2721" s="1706" t="s">
        <v>7592</v>
      </c>
      <c r="F2721" s="1613">
        <v>141000000</v>
      </c>
      <c r="G2721" s="1613">
        <v>116686502962</v>
      </c>
    </row>
    <row r="2722" spans="1:7" ht="17.25" customHeight="1" x14ac:dyDescent="0.2">
      <c r="A2722" s="1611">
        <v>15</v>
      </c>
      <c r="B2722" s="1611" t="s">
        <v>7186</v>
      </c>
      <c r="C2722" s="1611" t="s">
        <v>5363</v>
      </c>
      <c r="D2722" s="1612">
        <v>0</v>
      </c>
      <c r="E2722" s="1706" t="s">
        <v>7592</v>
      </c>
      <c r="F2722" s="1613">
        <v>54000000</v>
      </c>
      <c r="G2722" s="1613">
        <v>116740502962</v>
      </c>
    </row>
    <row r="2723" spans="1:7" ht="17.25" customHeight="1" x14ac:dyDescent="0.2">
      <c r="A2723" s="1611">
        <v>15</v>
      </c>
      <c r="B2723" s="1611" t="s">
        <v>7186</v>
      </c>
      <c r="C2723" s="1611" t="s">
        <v>5364</v>
      </c>
      <c r="D2723" s="1612">
        <v>0</v>
      </c>
      <c r="E2723" s="1706" t="s">
        <v>7592</v>
      </c>
      <c r="F2723" s="1613">
        <v>54100000</v>
      </c>
      <c r="G2723" s="1613">
        <v>116794602962</v>
      </c>
    </row>
    <row r="2724" spans="1:7" ht="17.25" customHeight="1" x14ac:dyDescent="0.2">
      <c r="A2724" s="1611">
        <v>15</v>
      </c>
      <c r="B2724" s="1611" t="s">
        <v>7156</v>
      </c>
      <c r="C2724" s="1611" t="s">
        <v>5365</v>
      </c>
      <c r="D2724" s="1612">
        <v>0</v>
      </c>
      <c r="E2724" s="1706" t="s">
        <v>7592</v>
      </c>
      <c r="F2724" s="1613">
        <v>14000000</v>
      </c>
      <c r="G2724" s="1613">
        <v>116808602962</v>
      </c>
    </row>
    <row r="2725" spans="1:7" ht="17.25" customHeight="1" x14ac:dyDescent="0.2">
      <c r="A2725" s="1611">
        <v>15</v>
      </c>
      <c r="B2725" s="1611" t="s">
        <v>7203</v>
      </c>
      <c r="C2725" s="1611" t="s">
        <v>5361</v>
      </c>
      <c r="D2725" s="1612">
        <v>0</v>
      </c>
      <c r="E2725" s="1706" t="s">
        <v>7592</v>
      </c>
      <c r="F2725" s="1613">
        <v>35727272</v>
      </c>
      <c r="G2725" s="1613">
        <v>116844330234</v>
      </c>
    </row>
    <row r="2726" spans="1:7" ht="17.25" customHeight="1" x14ac:dyDescent="0.2">
      <c r="A2726" s="1611">
        <v>15</v>
      </c>
      <c r="B2726" s="1611" t="s">
        <v>7203</v>
      </c>
      <c r="C2726" s="1611" t="s">
        <v>5366</v>
      </c>
      <c r="D2726" s="1612">
        <v>0</v>
      </c>
      <c r="E2726" s="1706" t="s">
        <v>7592</v>
      </c>
      <c r="F2726" s="1613">
        <v>35454545</v>
      </c>
      <c r="G2726" s="1613">
        <v>116879784779</v>
      </c>
    </row>
    <row r="2727" spans="1:7" ht="17.25" customHeight="1" x14ac:dyDescent="0.2">
      <c r="A2727" s="1611">
        <v>15</v>
      </c>
      <c r="B2727" s="1611" t="s">
        <v>7251</v>
      </c>
      <c r="C2727" s="1611" t="s">
        <v>5367</v>
      </c>
      <c r="D2727" s="1612">
        <v>0</v>
      </c>
      <c r="E2727" s="1706" t="s">
        <v>7592</v>
      </c>
      <c r="F2727" s="1613">
        <v>32727272</v>
      </c>
      <c r="G2727" s="1613">
        <v>116912512051</v>
      </c>
    </row>
    <row r="2728" spans="1:7" ht="17.25" customHeight="1" x14ac:dyDescent="0.2">
      <c r="A2728" s="1611">
        <v>15</v>
      </c>
      <c r="B2728" s="1611" t="s">
        <v>7251</v>
      </c>
      <c r="C2728" s="1611" t="s">
        <v>4072</v>
      </c>
      <c r="D2728" s="1612">
        <v>0</v>
      </c>
      <c r="E2728" s="1706" t="s">
        <v>7592</v>
      </c>
      <c r="F2728" s="1613">
        <v>34545455</v>
      </c>
      <c r="G2728" s="1613">
        <v>116947057506</v>
      </c>
    </row>
    <row r="2729" spans="1:7" ht="17.25" customHeight="1" x14ac:dyDescent="0.2">
      <c r="A2729" s="1611">
        <v>15</v>
      </c>
      <c r="B2729" s="1611" t="s">
        <v>7203</v>
      </c>
      <c r="C2729" s="1611" t="s">
        <v>5368</v>
      </c>
      <c r="D2729" s="1612">
        <v>0</v>
      </c>
      <c r="E2729" s="1706" t="s">
        <v>7592</v>
      </c>
      <c r="F2729" s="1613">
        <v>34090909</v>
      </c>
      <c r="G2729" s="1613">
        <v>116981148415</v>
      </c>
    </row>
    <row r="2730" spans="1:7" ht="17.25" customHeight="1" x14ac:dyDescent="0.2">
      <c r="A2730" s="1611">
        <v>15</v>
      </c>
      <c r="B2730" s="1611" t="s">
        <v>7176</v>
      </c>
      <c r="C2730" s="1611" t="s">
        <v>5369</v>
      </c>
      <c r="D2730" s="1612">
        <v>0</v>
      </c>
      <c r="E2730" s="1706" t="s">
        <v>7592</v>
      </c>
      <c r="F2730" s="1613">
        <v>41818182</v>
      </c>
      <c r="G2730" s="1613">
        <v>117022966597</v>
      </c>
    </row>
    <row r="2731" spans="1:7" ht="17.25" customHeight="1" x14ac:dyDescent="0.2">
      <c r="A2731" s="1611">
        <v>15</v>
      </c>
      <c r="B2731" s="1611" t="s">
        <v>7176</v>
      </c>
      <c r="C2731" s="1611" t="s">
        <v>5370</v>
      </c>
      <c r="D2731" s="1612">
        <v>0</v>
      </c>
      <c r="E2731" s="1706" t="s">
        <v>7592</v>
      </c>
      <c r="F2731" s="1613">
        <v>44818182</v>
      </c>
      <c r="G2731" s="1613">
        <v>117067784779</v>
      </c>
    </row>
    <row r="2732" spans="1:7" ht="17.25" customHeight="1" x14ac:dyDescent="0.2">
      <c r="A2732" s="1611">
        <v>15</v>
      </c>
      <c r="B2732" s="1611" t="s">
        <v>7282</v>
      </c>
      <c r="C2732" s="1611" t="s">
        <v>5371</v>
      </c>
      <c r="D2732" s="1612">
        <v>0</v>
      </c>
      <c r="E2732" s="1706" t="s">
        <v>7592</v>
      </c>
      <c r="F2732" s="1613">
        <v>149000000</v>
      </c>
      <c r="G2732" s="1613">
        <v>117216784779</v>
      </c>
    </row>
    <row r="2733" spans="1:7" ht="17.25" customHeight="1" x14ac:dyDescent="0.2">
      <c r="A2733" s="1611">
        <v>15</v>
      </c>
      <c r="B2733" s="1611" t="s">
        <v>7176</v>
      </c>
      <c r="C2733" s="1611" t="s">
        <v>4190</v>
      </c>
      <c r="D2733" s="1612">
        <v>0</v>
      </c>
      <c r="E2733" s="1706" t="s">
        <v>7592</v>
      </c>
      <c r="F2733" s="1613">
        <v>42000000</v>
      </c>
      <c r="G2733" s="1613">
        <v>117258784779</v>
      </c>
    </row>
    <row r="2734" spans="1:7" ht="17.25" customHeight="1" x14ac:dyDescent="0.2">
      <c r="A2734" s="1611">
        <v>15</v>
      </c>
      <c r="B2734" s="1611" t="s">
        <v>7176</v>
      </c>
      <c r="C2734" s="1611" t="s">
        <v>5372</v>
      </c>
      <c r="D2734" s="1612">
        <v>0</v>
      </c>
      <c r="E2734" s="1706" t="s">
        <v>7592</v>
      </c>
      <c r="F2734" s="1613">
        <v>44545455</v>
      </c>
      <c r="G2734" s="1613">
        <v>117303330234</v>
      </c>
    </row>
    <row r="2735" spans="1:7" ht="17.25" customHeight="1" x14ac:dyDescent="0.2">
      <c r="A2735" s="1611">
        <v>15</v>
      </c>
      <c r="B2735" s="1611" t="s">
        <v>7176</v>
      </c>
      <c r="C2735" s="1611" t="s">
        <v>5372</v>
      </c>
      <c r="D2735" s="1612">
        <v>0</v>
      </c>
      <c r="E2735" s="1706" t="s">
        <v>7592</v>
      </c>
      <c r="F2735" s="1613">
        <v>44545455</v>
      </c>
      <c r="G2735" s="1613">
        <v>117347875689</v>
      </c>
    </row>
    <row r="2736" spans="1:7" ht="17.25" customHeight="1" x14ac:dyDescent="0.2">
      <c r="A2736" s="1611">
        <v>15</v>
      </c>
      <c r="B2736" s="1611" t="s">
        <v>7176</v>
      </c>
      <c r="C2736" s="1611" t="s">
        <v>5372</v>
      </c>
      <c r="D2736" s="1612">
        <v>0</v>
      </c>
      <c r="E2736" s="1706" t="s">
        <v>7592</v>
      </c>
      <c r="F2736" s="1613">
        <v>-44545455</v>
      </c>
      <c r="G2736" s="1613">
        <v>117303330234</v>
      </c>
    </row>
    <row r="2737" spans="1:7" ht="17.25" customHeight="1" x14ac:dyDescent="0.2">
      <c r="A2737" s="1611">
        <v>15</v>
      </c>
      <c r="B2737" s="1611" t="s">
        <v>7282</v>
      </c>
      <c r="C2737" s="1611" t="s">
        <v>5373</v>
      </c>
      <c r="D2737" s="1612">
        <v>0</v>
      </c>
      <c r="E2737" s="1706" t="s">
        <v>7592</v>
      </c>
      <c r="F2737" s="1613">
        <v>148000000</v>
      </c>
      <c r="G2737" s="1613">
        <v>117451330234</v>
      </c>
    </row>
    <row r="2738" spans="1:7" ht="17.25" customHeight="1" x14ac:dyDescent="0.2">
      <c r="A2738" s="1611">
        <v>15</v>
      </c>
      <c r="B2738" s="1611" t="s">
        <v>7203</v>
      </c>
      <c r="C2738" s="1611" t="s">
        <v>3472</v>
      </c>
      <c r="D2738" s="1612">
        <v>0</v>
      </c>
      <c r="E2738" s="1706" t="s">
        <v>7592</v>
      </c>
      <c r="F2738" s="1613">
        <v>36363636</v>
      </c>
      <c r="G2738" s="1613">
        <v>117487693870</v>
      </c>
    </row>
    <row r="2739" spans="1:7" ht="17.25" customHeight="1" x14ac:dyDescent="0.2">
      <c r="A2739" s="1611">
        <v>15</v>
      </c>
      <c r="B2739" s="1611" t="s">
        <v>7154</v>
      </c>
      <c r="C2739" s="1611" t="s">
        <v>5374</v>
      </c>
      <c r="D2739" s="1612">
        <v>0</v>
      </c>
      <c r="E2739" s="1706" t="s">
        <v>7592</v>
      </c>
      <c r="F2739" s="1613">
        <v>50909091</v>
      </c>
      <c r="G2739" s="1613">
        <v>117538602961</v>
      </c>
    </row>
    <row r="2740" spans="1:7" ht="17.25" customHeight="1" x14ac:dyDescent="0.2">
      <c r="A2740" s="1611">
        <v>15</v>
      </c>
      <c r="B2740" s="1611" t="s">
        <v>7203</v>
      </c>
      <c r="C2740" s="1611" t="s">
        <v>5375</v>
      </c>
      <c r="D2740" s="1612">
        <v>0</v>
      </c>
      <c r="E2740" s="1706" t="s">
        <v>7592</v>
      </c>
      <c r="F2740" s="1613">
        <v>34454545</v>
      </c>
      <c r="G2740" s="1613">
        <v>117573057506</v>
      </c>
    </row>
    <row r="2741" spans="1:7" ht="17.25" customHeight="1" x14ac:dyDescent="0.2">
      <c r="A2741" s="1611">
        <v>15</v>
      </c>
      <c r="B2741" s="1611" t="s">
        <v>7203</v>
      </c>
      <c r="C2741" s="1611" t="s">
        <v>4352</v>
      </c>
      <c r="D2741" s="1612">
        <v>0</v>
      </c>
      <c r="E2741" s="1706" t="s">
        <v>7592</v>
      </c>
      <c r="F2741" s="1613">
        <v>36500000</v>
      </c>
      <c r="G2741" s="1613">
        <v>117609557506</v>
      </c>
    </row>
    <row r="2742" spans="1:7" ht="17.25" customHeight="1" x14ac:dyDescent="0.2">
      <c r="A2742" s="1611">
        <v>15</v>
      </c>
      <c r="B2742" s="1611" t="s">
        <v>7203</v>
      </c>
      <c r="C2742" s="1611" t="s">
        <v>5376</v>
      </c>
      <c r="D2742" s="1612">
        <v>0</v>
      </c>
      <c r="E2742" s="1706" t="s">
        <v>7592</v>
      </c>
      <c r="F2742" s="1613">
        <v>36500000</v>
      </c>
      <c r="G2742" s="1613">
        <v>117646057506</v>
      </c>
    </row>
    <row r="2743" spans="1:7" ht="17.25" customHeight="1" x14ac:dyDescent="0.2">
      <c r="A2743" s="1611">
        <v>15</v>
      </c>
      <c r="B2743" s="1611" t="s">
        <v>7203</v>
      </c>
      <c r="C2743" s="1611" t="s">
        <v>5376</v>
      </c>
      <c r="D2743" s="1612">
        <v>0</v>
      </c>
      <c r="E2743" s="1706" t="s">
        <v>7592</v>
      </c>
      <c r="F2743" s="1613">
        <v>36500000</v>
      </c>
      <c r="G2743" s="1613">
        <v>117682557506</v>
      </c>
    </row>
    <row r="2744" spans="1:7" ht="17.25" customHeight="1" x14ac:dyDescent="0.2">
      <c r="A2744" s="1611">
        <v>15</v>
      </c>
      <c r="B2744" s="1611" t="s">
        <v>7203</v>
      </c>
      <c r="C2744" s="1611" t="s">
        <v>3438</v>
      </c>
      <c r="D2744" s="1612">
        <v>0</v>
      </c>
      <c r="E2744" s="1706" t="s">
        <v>7592</v>
      </c>
      <c r="F2744" s="1613">
        <v>36363636</v>
      </c>
      <c r="G2744" s="1613">
        <v>117718921142</v>
      </c>
    </row>
    <row r="2745" spans="1:7" ht="17.25" customHeight="1" x14ac:dyDescent="0.2">
      <c r="A2745" s="1611">
        <v>15</v>
      </c>
      <c r="B2745" s="1611" t="s">
        <v>7203</v>
      </c>
      <c r="C2745" s="1611" t="s">
        <v>3438</v>
      </c>
      <c r="D2745" s="1612">
        <v>0</v>
      </c>
      <c r="E2745" s="1706" t="s">
        <v>7592</v>
      </c>
      <c r="F2745" s="1613">
        <v>36363636</v>
      </c>
      <c r="G2745" s="1613">
        <v>117755284778</v>
      </c>
    </row>
    <row r="2746" spans="1:7" ht="17.25" customHeight="1" x14ac:dyDescent="0.2">
      <c r="A2746" s="1611">
        <v>15</v>
      </c>
      <c r="B2746" s="1611" t="s">
        <v>7186</v>
      </c>
      <c r="C2746" s="1611" t="s">
        <v>5377</v>
      </c>
      <c r="D2746" s="1612">
        <v>0</v>
      </c>
      <c r="E2746" s="1706" t="s">
        <v>7592</v>
      </c>
      <c r="F2746" s="1613">
        <v>52900000</v>
      </c>
      <c r="G2746" s="1613">
        <v>117808184778</v>
      </c>
    </row>
    <row r="2747" spans="1:7" ht="17.25" customHeight="1" x14ac:dyDescent="0.2">
      <c r="A2747" s="1611">
        <v>15</v>
      </c>
      <c r="B2747" s="1611" t="s">
        <v>7294</v>
      </c>
      <c r="C2747" s="1611" t="s">
        <v>4093</v>
      </c>
      <c r="D2747" s="1612">
        <v>0</v>
      </c>
      <c r="E2747" s="1706" t="s">
        <v>7592</v>
      </c>
      <c r="F2747" s="1613">
        <v>16856000</v>
      </c>
      <c r="G2747" s="1613">
        <v>117825040778</v>
      </c>
    </row>
    <row r="2748" spans="1:7" ht="17.25" customHeight="1" x14ac:dyDescent="0.2">
      <c r="A2748" s="1611">
        <v>15</v>
      </c>
      <c r="B2748" s="1611" t="s">
        <v>7294</v>
      </c>
      <c r="C2748" s="1611" t="s">
        <v>4093</v>
      </c>
      <c r="D2748" s="1612">
        <v>0</v>
      </c>
      <c r="E2748" s="1706" t="s">
        <v>7592</v>
      </c>
      <c r="F2748" s="1613">
        <v>16856000</v>
      </c>
      <c r="G2748" s="1613">
        <v>117841896778</v>
      </c>
    </row>
    <row r="2749" spans="1:7" ht="17.25" customHeight="1" x14ac:dyDescent="0.2">
      <c r="A2749" s="1611">
        <v>15</v>
      </c>
      <c r="B2749" s="1611" t="s">
        <v>7294</v>
      </c>
      <c r="C2749" s="1611" t="s">
        <v>4093</v>
      </c>
      <c r="D2749" s="1612">
        <v>0</v>
      </c>
      <c r="E2749" s="1706" t="s">
        <v>7592</v>
      </c>
      <c r="F2749" s="1613">
        <v>16856000</v>
      </c>
      <c r="G2749" s="1613">
        <v>117858752778</v>
      </c>
    </row>
    <row r="2750" spans="1:7" ht="17.25" customHeight="1" x14ac:dyDescent="0.2">
      <c r="A2750" s="1611">
        <v>15</v>
      </c>
      <c r="B2750" s="1611" t="s">
        <v>7156</v>
      </c>
      <c r="C2750" s="1611" t="s">
        <v>4640</v>
      </c>
      <c r="D2750" s="1612">
        <v>0</v>
      </c>
      <c r="E2750" s="1706" t="s">
        <v>7592</v>
      </c>
      <c r="F2750" s="1613">
        <v>15000000</v>
      </c>
      <c r="G2750" s="1613">
        <v>117873752778</v>
      </c>
    </row>
    <row r="2751" spans="1:7" ht="17.25" customHeight="1" x14ac:dyDescent="0.2">
      <c r="A2751" s="1611">
        <v>15</v>
      </c>
      <c r="B2751" s="1611" t="s">
        <v>7203</v>
      </c>
      <c r="C2751" s="1611" t="s">
        <v>5250</v>
      </c>
      <c r="D2751" s="1612">
        <v>0</v>
      </c>
      <c r="E2751" s="1706" t="s">
        <v>7592</v>
      </c>
      <c r="F2751" s="1613">
        <v>40500000</v>
      </c>
      <c r="G2751" s="1613">
        <v>117914252778</v>
      </c>
    </row>
    <row r="2752" spans="1:7" ht="17.25" customHeight="1" x14ac:dyDescent="0.2">
      <c r="A2752" s="1611">
        <v>15</v>
      </c>
      <c r="B2752" s="1611" t="s">
        <v>7203</v>
      </c>
      <c r="C2752" s="1611" t="s">
        <v>5250</v>
      </c>
      <c r="D2752" s="1612">
        <v>0</v>
      </c>
      <c r="E2752" s="1706" t="s">
        <v>7592</v>
      </c>
      <c r="F2752" s="1613">
        <v>40500000</v>
      </c>
      <c r="G2752" s="1613">
        <v>117954752778</v>
      </c>
    </row>
    <row r="2753" spans="1:7" ht="17.25" customHeight="1" x14ac:dyDescent="0.2">
      <c r="A2753" s="1611">
        <v>15</v>
      </c>
      <c r="B2753" s="1611" t="s">
        <v>7284</v>
      </c>
      <c r="C2753" s="1611" t="s">
        <v>4448</v>
      </c>
      <c r="D2753" s="1612">
        <v>0</v>
      </c>
      <c r="E2753" s="1706" t="s">
        <v>7592</v>
      </c>
      <c r="F2753" s="1613">
        <v>3220364</v>
      </c>
      <c r="G2753" s="1613">
        <v>117957973142</v>
      </c>
    </row>
    <row r="2754" spans="1:7" ht="17.25" customHeight="1" x14ac:dyDescent="0.2">
      <c r="A2754" s="1611">
        <v>15</v>
      </c>
      <c r="B2754" s="1611" t="s">
        <v>7203</v>
      </c>
      <c r="C2754" s="1611" t="s">
        <v>4225</v>
      </c>
      <c r="D2754" s="1612">
        <v>0</v>
      </c>
      <c r="E2754" s="1706" t="s">
        <v>7592</v>
      </c>
      <c r="F2754" s="1613">
        <v>32500000</v>
      </c>
      <c r="G2754" s="1613">
        <v>117990473142</v>
      </c>
    </row>
    <row r="2755" spans="1:7" ht="17.25" customHeight="1" x14ac:dyDescent="0.2">
      <c r="A2755" s="1611">
        <v>15</v>
      </c>
      <c r="B2755" s="1611" t="s">
        <v>7252</v>
      </c>
      <c r="C2755" s="1611" t="s">
        <v>5378</v>
      </c>
      <c r="D2755" s="1612">
        <v>0</v>
      </c>
      <c r="E2755" s="1706" t="s">
        <v>7592</v>
      </c>
      <c r="F2755" s="1613">
        <v>59000000</v>
      </c>
      <c r="G2755" s="1613">
        <v>118049473142</v>
      </c>
    </row>
    <row r="2756" spans="1:7" ht="17.25" customHeight="1" x14ac:dyDescent="0.2">
      <c r="A2756" s="1611">
        <v>15</v>
      </c>
      <c r="B2756" s="1611" t="s">
        <v>7176</v>
      </c>
      <c r="C2756" s="1611" t="s">
        <v>4448</v>
      </c>
      <c r="D2756" s="1612">
        <v>0</v>
      </c>
      <c r="E2756" s="1706" t="s">
        <v>7592</v>
      </c>
      <c r="F2756" s="1613">
        <v>46390910</v>
      </c>
      <c r="G2756" s="1613">
        <v>118095864052</v>
      </c>
    </row>
    <row r="2757" spans="1:7" ht="17.25" customHeight="1" x14ac:dyDescent="0.2">
      <c r="A2757" s="1611">
        <v>15</v>
      </c>
      <c r="B2757" s="1611" t="s">
        <v>7261</v>
      </c>
      <c r="C2757" s="1611" t="s">
        <v>5379</v>
      </c>
      <c r="D2757" s="1612">
        <v>0</v>
      </c>
      <c r="E2757" s="1706" t="s">
        <v>7592</v>
      </c>
      <c r="F2757" s="1613">
        <v>137727273</v>
      </c>
      <c r="G2757" s="1613">
        <v>118233591325</v>
      </c>
    </row>
    <row r="2758" spans="1:7" ht="17.25" customHeight="1" x14ac:dyDescent="0.2">
      <c r="A2758" s="1611">
        <v>15</v>
      </c>
      <c r="B2758" s="1611" t="s">
        <v>7176</v>
      </c>
      <c r="C2758" s="1611" t="s">
        <v>5380</v>
      </c>
      <c r="D2758" s="1612">
        <v>0</v>
      </c>
      <c r="E2758" s="1706" t="s">
        <v>7592</v>
      </c>
      <c r="F2758" s="1613">
        <v>41000000</v>
      </c>
      <c r="G2758" s="1613">
        <v>118274591325</v>
      </c>
    </row>
    <row r="2759" spans="1:7" ht="17.25" customHeight="1" x14ac:dyDescent="0.2">
      <c r="A2759" s="1611">
        <v>15</v>
      </c>
      <c r="B2759" s="1611" t="s">
        <v>7176</v>
      </c>
      <c r="C2759" s="1611" t="s">
        <v>5381</v>
      </c>
      <c r="D2759" s="1612">
        <v>0</v>
      </c>
      <c r="E2759" s="1706" t="s">
        <v>7592</v>
      </c>
      <c r="F2759" s="1613">
        <v>41909090</v>
      </c>
      <c r="G2759" s="1613">
        <v>118316500415</v>
      </c>
    </row>
    <row r="2760" spans="1:7" ht="17.25" customHeight="1" x14ac:dyDescent="0.2">
      <c r="A2760" s="1611">
        <v>15</v>
      </c>
      <c r="B2760" s="1611" t="s">
        <v>7154</v>
      </c>
      <c r="C2760" s="1611" t="s">
        <v>5382</v>
      </c>
      <c r="D2760" s="1612">
        <v>0</v>
      </c>
      <c r="E2760" s="1706" t="s">
        <v>7592</v>
      </c>
      <c r="F2760" s="1613">
        <v>49750000</v>
      </c>
      <c r="G2760" s="1613">
        <v>118366250415</v>
      </c>
    </row>
    <row r="2761" spans="1:7" ht="17.25" customHeight="1" x14ac:dyDescent="0.2">
      <c r="A2761" s="1611">
        <v>15</v>
      </c>
      <c r="B2761" s="1611" t="s">
        <v>7282</v>
      </c>
      <c r="C2761" s="1611" t="s">
        <v>5383</v>
      </c>
      <c r="D2761" s="1612">
        <v>0</v>
      </c>
      <c r="E2761" s="1706" t="s">
        <v>7592</v>
      </c>
      <c r="F2761" s="1613">
        <v>150000000</v>
      </c>
      <c r="G2761" s="1613">
        <v>118516250415</v>
      </c>
    </row>
    <row r="2762" spans="1:7" ht="17.25" customHeight="1" x14ac:dyDescent="0.2">
      <c r="A2762" s="1611">
        <v>15</v>
      </c>
      <c r="B2762" s="1611" t="s">
        <v>7154</v>
      </c>
      <c r="C2762" s="1611" t="s">
        <v>5384</v>
      </c>
      <c r="D2762" s="1612">
        <v>0</v>
      </c>
      <c r="E2762" s="1706" t="s">
        <v>7592</v>
      </c>
      <c r="F2762" s="1613">
        <v>50454546</v>
      </c>
      <c r="G2762" s="1613">
        <v>118566704961</v>
      </c>
    </row>
    <row r="2763" spans="1:7" ht="17.25" customHeight="1" x14ac:dyDescent="0.2">
      <c r="A2763" s="1611">
        <v>15</v>
      </c>
      <c r="B2763" s="1611" t="s">
        <v>7154</v>
      </c>
      <c r="C2763" s="1611" t="s">
        <v>4445</v>
      </c>
      <c r="D2763" s="1612">
        <v>0</v>
      </c>
      <c r="E2763" s="1706" t="s">
        <v>7592</v>
      </c>
      <c r="F2763" s="1613">
        <v>49500000</v>
      </c>
      <c r="G2763" s="1613">
        <v>118616204961</v>
      </c>
    </row>
    <row r="2764" spans="1:7" ht="17.25" customHeight="1" x14ac:dyDescent="0.2">
      <c r="A2764" s="1611">
        <v>15</v>
      </c>
      <c r="B2764" s="1611" t="s">
        <v>7203</v>
      </c>
      <c r="C2764" s="1611" t="s">
        <v>5385</v>
      </c>
      <c r="D2764" s="1612">
        <v>0</v>
      </c>
      <c r="E2764" s="1706" t="s">
        <v>7592</v>
      </c>
      <c r="F2764" s="1613">
        <v>34000000</v>
      </c>
      <c r="G2764" s="1613">
        <v>118650204961</v>
      </c>
    </row>
    <row r="2765" spans="1:7" ht="17.25" customHeight="1" x14ac:dyDescent="0.2">
      <c r="A2765" s="1611">
        <v>15</v>
      </c>
      <c r="B2765" s="1611" t="s">
        <v>7203</v>
      </c>
      <c r="C2765" s="1611" t="s">
        <v>3438</v>
      </c>
      <c r="D2765" s="1612">
        <v>0</v>
      </c>
      <c r="E2765" s="1706" t="s">
        <v>7592</v>
      </c>
      <c r="F2765" s="1613">
        <v>36363636</v>
      </c>
      <c r="G2765" s="1613">
        <v>118686568597</v>
      </c>
    </row>
    <row r="2766" spans="1:7" ht="17.25" customHeight="1" x14ac:dyDescent="0.2">
      <c r="A2766" s="1611">
        <v>15</v>
      </c>
      <c r="B2766" s="1611" t="s">
        <v>7295</v>
      </c>
      <c r="C2766" s="1611" t="s">
        <v>3438</v>
      </c>
      <c r="D2766" s="1612">
        <v>0</v>
      </c>
      <c r="E2766" s="1706" t="s">
        <v>7592</v>
      </c>
      <c r="F2766" s="1613">
        <v>3260000</v>
      </c>
      <c r="G2766" s="1613">
        <v>118689828597</v>
      </c>
    </row>
    <row r="2767" spans="1:7" ht="17.25" customHeight="1" x14ac:dyDescent="0.2">
      <c r="A2767" s="1611">
        <v>15</v>
      </c>
      <c r="B2767" s="1611" t="s">
        <v>7295</v>
      </c>
      <c r="C2767" s="1611" t="s">
        <v>3438</v>
      </c>
      <c r="D2767" s="1612">
        <v>0</v>
      </c>
      <c r="E2767" s="1706" t="s">
        <v>7592</v>
      </c>
      <c r="F2767" s="1613">
        <v>3260000</v>
      </c>
      <c r="G2767" s="1613">
        <v>118693088597</v>
      </c>
    </row>
    <row r="2768" spans="1:7" ht="17.25" customHeight="1" x14ac:dyDescent="0.2">
      <c r="A2768" s="1611">
        <v>15</v>
      </c>
      <c r="B2768" s="1611" t="s">
        <v>7295</v>
      </c>
      <c r="C2768" s="1611" t="s">
        <v>3438</v>
      </c>
      <c r="D2768" s="1612">
        <v>0</v>
      </c>
      <c r="E2768" s="1706" t="s">
        <v>7592</v>
      </c>
      <c r="F2768" s="1613">
        <v>3260000</v>
      </c>
      <c r="G2768" s="1613">
        <v>118696348597</v>
      </c>
    </row>
    <row r="2769" spans="1:7" ht="17.25" customHeight="1" x14ac:dyDescent="0.2">
      <c r="A2769" s="1611">
        <v>15</v>
      </c>
      <c r="B2769" s="1611" t="s">
        <v>7295</v>
      </c>
      <c r="C2769" s="1611" t="s">
        <v>3438</v>
      </c>
      <c r="D2769" s="1612">
        <v>0</v>
      </c>
      <c r="E2769" s="1706" t="s">
        <v>7592</v>
      </c>
      <c r="F2769" s="1613">
        <v>3260000</v>
      </c>
      <c r="G2769" s="1613">
        <v>118699608597</v>
      </c>
    </row>
    <row r="2770" spans="1:7" ht="17.25" customHeight="1" x14ac:dyDescent="0.2">
      <c r="A2770" s="1611">
        <v>15</v>
      </c>
      <c r="B2770" s="1611" t="s">
        <v>5386</v>
      </c>
      <c r="C2770" s="1611" t="s">
        <v>5172</v>
      </c>
      <c r="D2770" s="1612">
        <v>0</v>
      </c>
      <c r="E2770" s="1706" t="s">
        <v>7592</v>
      </c>
      <c r="F2770" s="1613">
        <v>70350000</v>
      </c>
      <c r="G2770" s="1613">
        <v>118769958597</v>
      </c>
    </row>
    <row r="2771" spans="1:7" ht="17.25" customHeight="1" x14ac:dyDescent="0.2">
      <c r="A2771" s="1611">
        <v>15</v>
      </c>
      <c r="B2771" s="1611" t="s">
        <v>7260</v>
      </c>
      <c r="C2771" s="1611" t="s">
        <v>5105</v>
      </c>
      <c r="D2771" s="1612">
        <v>0</v>
      </c>
      <c r="E2771" s="1706" t="s">
        <v>7592</v>
      </c>
      <c r="F2771" s="1613">
        <v>13300000</v>
      </c>
      <c r="G2771" s="1613">
        <v>118783258597</v>
      </c>
    </row>
    <row r="2772" spans="1:7" ht="17.25" customHeight="1" x14ac:dyDescent="0.2">
      <c r="A2772" s="1611">
        <v>15</v>
      </c>
      <c r="B2772" s="1611" t="s">
        <v>7154</v>
      </c>
      <c r="C2772" s="1611" t="s">
        <v>5387</v>
      </c>
      <c r="D2772" s="1612">
        <v>0</v>
      </c>
      <c r="E2772" s="1706" t="s">
        <v>7592</v>
      </c>
      <c r="F2772" s="1613">
        <v>50000000</v>
      </c>
      <c r="G2772" s="1613">
        <v>118833258597</v>
      </c>
    </row>
    <row r="2773" spans="1:7" ht="17.25" customHeight="1" x14ac:dyDescent="0.2">
      <c r="A2773" s="1611">
        <v>15</v>
      </c>
      <c r="B2773" s="1611" t="s">
        <v>7156</v>
      </c>
      <c r="C2773" s="1611" t="s">
        <v>5388</v>
      </c>
      <c r="D2773" s="1612">
        <v>0</v>
      </c>
      <c r="E2773" s="1706" t="s">
        <v>7592</v>
      </c>
      <c r="F2773" s="1613">
        <v>14399091</v>
      </c>
      <c r="G2773" s="1613">
        <v>118847657688</v>
      </c>
    </row>
    <row r="2774" spans="1:7" ht="17.25" customHeight="1" x14ac:dyDescent="0.2">
      <c r="A2774" s="1611">
        <v>15</v>
      </c>
      <c r="B2774" s="1611" t="s">
        <v>7176</v>
      </c>
      <c r="C2774" s="1611" t="s">
        <v>5389</v>
      </c>
      <c r="D2774" s="1612">
        <v>0</v>
      </c>
      <c r="E2774" s="1706" t="s">
        <v>7592</v>
      </c>
      <c r="F2774" s="1613">
        <v>40850000</v>
      </c>
      <c r="G2774" s="1613">
        <v>118888507688</v>
      </c>
    </row>
    <row r="2775" spans="1:7" ht="17.25" customHeight="1" x14ac:dyDescent="0.2">
      <c r="A2775" s="1611">
        <v>15</v>
      </c>
      <c r="B2775" s="1611" t="s">
        <v>7203</v>
      </c>
      <c r="C2775" s="1611" t="s">
        <v>5390</v>
      </c>
      <c r="D2775" s="1612">
        <v>0</v>
      </c>
      <c r="E2775" s="1706" t="s">
        <v>7592</v>
      </c>
      <c r="F2775" s="1613">
        <v>33500000</v>
      </c>
      <c r="G2775" s="1613">
        <v>118922007688</v>
      </c>
    </row>
    <row r="2776" spans="1:7" ht="17.25" customHeight="1" x14ac:dyDescent="0.2">
      <c r="A2776" s="1611">
        <v>15</v>
      </c>
      <c r="B2776" s="1611" t="s">
        <v>7296</v>
      </c>
      <c r="C2776" s="1611" t="s">
        <v>5391</v>
      </c>
      <c r="D2776" s="1612">
        <v>0</v>
      </c>
      <c r="E2776" s="1706" t="s">
        <v>7592</v>
      </c>
      <c r="F2776" s="1613">
        <v>36909091</v>
      </c>
      <c r="G2776" s="1613">
        <v>118958916779</v>
      </c>
    </row>
    <row r="2777" spans="1:7" ht="17.25" customHeight="1" x14ac:dyDescent="0.2">
      <c r="A2777" s="1611">
        <v>15</v>
      </c>
      <c r="B2777" s="1611" t="s">
        <v>7251</v>
      </c>
      <c r="C2777" s="1611" t="s">
        <v>5104</v>
      </c>
      <c r="D2777" s="1612">
        <v>0</v>
      </c>
      <c r="E2777" s="1706" t="s">
        <v>7592</v>
      </c>
      <c r="F2777" s="1613">
        <v>34834546</v>
      </c>
      <c r="G2777" s="1613">
        <v>118993751325</v>
      </c>
    </row>
    <row r="2778" spans="1:7" ht="17.25" customHeight="1" x14ac:dyDescent="0.2">
      <c r="A2778" s="1611">
        <v>15</v>
      </c>
      <c r="B2778" s="1611" t="s">
        <v>7203</v>
      </c>
      <c r="C2778" s="1611" t="s">
        <v>3750</v>
      </c>
      <c r="D2778" s="1612">
        <v>0</v>
      </c>
      <c r="E2778" s="1706" t="s">
        <v>7592</v>
      </c>
      <c r="F2778" s="1613">
        <v>36000000</v>
      </c>
      <c r="G2778" s="1613">
        <v>119029751325</v>
      </c>
    </row>
    <row r="2779" spans="1:7" ht="17.25" customHeight="1" x14ac:dyDescent="0.2">
      <c r="A2779" s="1611">
        <v>15</v>
      </c>
      <c r="B2779" s="1611" t="s">
        <v>7203</v>
      </c>
      <c r="C2779" s="1611" t="s">
        <v>3750</v>
      </c>
      <c r="D2779" s="1612">
        <v>0</v>
      </c>
      <c r="E2779" s="1706" t="s">
        <v>7592</v>
      </c>
      <c r="F2779" s="1613">
        <v>36000000</v>
      </c>
      <c r="G2779" s="1613">
        <v>119065751325</v>
      </c>
    </row>
    <row r="2780" spans="1:7" ht="17.25" customHeight="1" x14ac:dyDescent="0.2">
      <c r="A2780" s="1611">
        <v>15</v>
      </c>
      <c r="B2780" s="1611" t="s">
        <v>7203</v>
      </c>
      <c r="C2780" s="1611" t="s">
        <v>5392</v>
      </c>
      <c r="D2780" s="1612">
        <v>0</v>
      </c>
      <c r="E2780" s="1706" t="s">
        <v>7592</v>
      </c>
      <c r="F2780" s="1613">
        <v>34200000</v>
      </c>
      <c r="G2780" s="1613">
        <v>119099951325</v>
      </c>
    </row>
    <row r="2781" spans="1:7" ht="17.25" customHeight="1" x14ac:dyDescent="0.2">
      <c r="A2781" s="1611">
        <v>15</v>
      </c>
      <c r="B2781" s="1611" t="s">
        <v>7203</v>
      </c>
      <c r="C2781" s="1611" t="s">
        <v>5393</v>
      </c>
      <c r="D2781" s="1612">
        <v>0</v>
      </c>
      <c r="E2781" s="1706" t="s">
        <v>7592</v>
      </c>
      <c r="F2781" s="1613">
        <v>36700000</v>
      </c>
      <c r="G2781" s="1613">
        <v>119136651325</v>
      </c>
    </row>
    <row r="2782" spans="1:7" ht="17.25" customHeight="1" x14ac:dyDescent="0.2">
      <c r="A2782" s="1611">
        <v>15</v>
      </c>
      <c r="B2782" s="1611" t="s">
        <v>7294</v>
      </c>
      <c r="C2782" s="1611" t="s">
        <v>5394</v>
      </c>
      <c r="D2782" s="1612">
        <v>0</v>
      </c>
      <c r="E2782" s="1706" t="s">
        <v>7592</v>
      </c>
      <c r="F2782" s="1613">
        <v>16856000</v>
      </c>
      <c r="G2782" s="1613">
        <v>119153507325</v>
      </c>
    </row>
    <row r="2783" spans="1:7" ht="17.25" customHeight="1" x14ac:dyDescent="0.2">
      <c r="A2783" s="1611">
        <v>15</v>
      </c>
      <c r="B2783" s="1611" t="s">
        <v>7294</v>
      </c>
      <c r="C2783" s="1611" t="s">
        <v>4093</v>
      </c>
      <c r="D2783" s="1612">
        <v>0</v>
      </c>
      <c r="E2783" s="1706" t="s">
        <v>7592</v>
      </c>
      <c r="F2783" s="1613">
        <v>16856000</v>
      </c>
      <c r="G2783" s="1613">
        <v>119170363325</v>
      </c>
    </row>
    <row r="2784" spans="1:7" ht="17.25" customHeight="1" x14ac:dyDescent="0.2">
      <c r="A2784" s="1611">
        <v>15</v>
      </c>
      <c r="B2784" s="1611" t="s">
        <v>7294</v>
      </c>
      <c r="C2784" s="1611" t="s">
        <v>4093</v>
      </c>
      <c r="D2784" s="1612">
        <v>0</v>
      </c>
      <c r="E2784" s="1706" t="s">
        <v>7592</v>
      </c>
      <c r="F2784" s="1613">
        <v>16856000</v>
      </c>
      <c r="G2784" s="1613">
        <v>119187219325</v>
      </c>
    </row>
    <row r="2785" spans="1:7" ht="17.25" customHeight="1" x14ac:dyDescent="0.2">
      <c r="A2785" s="1611">
        <v>15</v>
      </c>
      <c r="B2785" s="1611" t="s">
        <v>7251</v>
      </c>
      <c r="C2785" s="1611" t="s">
        <v>4829</v>
      </c>
      <c r="D2785" s="1612">
        <v>0</v>
      </c>
      <c r="E2785" s="1706" t="s">
        <v>7592</v>
      </c>
      <c r="F2785" s="1613">
        <v>34000000</v>
      </c>
      <c r="G2785" s="1613">
        <v>119221219325</v>
      </c>
    </row>
    <row r="2786" spans="1:7" ht="17.25" customHeight="1" x14ac:dyDescent="0.2">
      <c r="A2786" s="1611">
        <v>15</v>
      </c>
      <c r="B2786" s="1611" t="s">
        <v>7251</v>
      </c>
      <c r="C2786" s="1611" t="s">
        <v>5395</v>
      </c>
      <c r="D2786" s="1612">
        <v>0</v>
      </c>
      <c r="E2786" s="1706" t="s">
        <v>7592</v>
      </c>
      <c r="F2786" s="1613">
        <v>35000000</v>
      </c>
      <c r="G2786" s="1613">
        <v>119256219325</v>
      </c>
    </row>
    <row r="2787" spans="1:7" ht="17.25" customHeight="1" x14ac:dyDescent="0.2">
      <c r="A2787" s="1611">
        <v>15</v>
      </c>
      <c r="B2787" s="1611" t="s">
        <v>7296</v>
      </c>
      <c r="C2787" s="1611" t="s">
        <v>5396</v>
      </c>
      <c r="D2787" s="1612">
        <v>0</v>
      </c>
      <c r="E2787" s="1706" t="s">
        <v>7592</v>
      </c>
      <c r="F2787" s="1613">
        <v>34000000</v>
      </c>
      <c r="G2787" s="1613">
        <v>119290219325</v>
      </c>
    </row>
    <row r="2788" spans="1:7" ht="17.25" customHeight="1" x14ac:dyDescent="0.2">
      <c r="A2788" s="1611">
        <v>15</v>
      </c>
      <c r="B2788" s="1611" t="s">
        <v>7203</v>
      </c>
      <c r="C2788" s="1611" t="s">
        <v>5397</v>
      </c>
      <c r="D2788" s="1612">
        <v>0</v>
      </c>
      <c r="E2788" s="1706" t="s">
        <v>7592</v>
      </c>
      <c r="F2788" s="1613">
        <v>35500000</v>
      </c>
      <c r="G2788" s="1613">
        <v>119325719325</v>
      </c>
    </row>
    <row r="2789" spans="1:7" ht="17.25" customHeight="1" x14ac:dyDescent="0.2">
      <c r="A2789" s="1611">
        <v>15</v>
      </c>
      <c r="B2789" s="1611" t="s">
        <v>7203</v>
      </c>
      <c r="C2789" s="1611" t="s">
        <v>5398</v>
      </c>
      <c r="D2789" s="1612">
        <v>0</v>
      </c>
      <c r="E2789" s="1706" t="s">
        <v>7592</v>
      </c>
      <c r="F2789" s="1613">
        <v>35000000</v>
      </c>
      <c r="G2789" s="1613">
        <v>119360719325</v>
      </c>
    </row>
    <row r="2790" spans="1:7" ht="17.25" customHeight="1" x14ac:dyDescent="0.2">
      <c r="A2790" s="1611">
        <v>15</v>
      </c>
      <c r="B2790" s="1611" t="s">
        <v>7176</v>
      </c>
      <c r="C2790" s="1611" t="s">
        <v>5399</v>
      </c>
      <c r="D2790" s="1612">
        <v>0</v>
      </c>
      <c r="E2790" s="1706" t="s">
        <v>7592</v>
      </c>
      <c r="F2790" s="1613">
        <v>41500000</v>
      </c>
      <c r="G2790" s="1613">
        <v>119402219325</v>
      </c>
    </row>
    <row r="2791" spans="1:7" ht="17.25" customHeight="1" x14ac:dyDescent="0.2">
      <c r="A2791" s="1611">
        <v>15</v>
      </c>
      <c r="B2791" s="1611" t="s">
        <v>7251</v>
      </c>
      <c r="C2791" s="1611" t="s">
        <v>5400</v>
      </c>
      <c r="D2791" s="1612">
        <v>0</v>
      </c>
      <c r="E2791" s="1706" t="s">
        <v>7592</v>
      </c>
      <c r="F2791" s="1613">
        <v>34545455</v>
      </c>
      <c r="G2791" s="1613">
        <v>119436764780</v>
      </c>
    </row>
    <row r="2792" spans="1:7" ht="17.25" customHeight="1" x14ac:dyDescent="0.2">
      <c r="A2792" s="1611">
        <v>15</v>
      </c>
      <c r="B2792" s="1611" t="s">
        <v>7251</v>
      </c>
      <c r="C2792" s="1611" t="s">
        <v>5401</v>
      </c>
      <c r="D2792" s="1612">
        <v>0</v>
      </c>
      <c r="E2792" s="1706" t="s">
        <v>7592</v>
      </c>
      <c r="F2792" s="1613">
        <v>35727273</v>
      </c>
      <c r="G2792" s="1613">
        <v>119472492053</v>
      </c>
    </row>
    <row r="2793" spans="1:7" ht="17.25" customHeight="1" x14ac:dyDescent="0.2">
      <c r="A2793" s="1611">
        <v>15</v>
      </c>
      <c r="B2793" s="1611" t="s">
        <v>7176</v>
      </c>
      <c r="C2793" s="1611" t="s">
        <v>5402</v>
      </c>
      <c r="D2793" s="1612">
        <v>0</v>
      </c>
      <c r="E2793" s="1706" t="s">
        <v>7592</v>
      </c>
      <c r="F2793" s="1613">
        <v>41818181</v>
      </c>
      <c r="G2793" s="1613">
        <v>119514310234</v>
      </c>
    </row>
    <row r="2794" spans="1:7" ht="17.25" customHeight="1" x14ac:dyDescent="0.2">
      <c r="A2794" s="1611">
        <v>15</v>
      </c>
      <c r="B2794" s="1611" t="s">
        <v>7186</v>
      </c>
      <c r="C2794" s="1611" t="s">
        <v>5403</v>
      </c>
      <c r="D2794" s="1612">
        <v>0</v>
      </c>
      <c r="E2794" s="1706" t="s">
        <v>7592</v>
      </c>
      <c r="F2794" s="1613">
        <v>54500000</v>
      </c>
      <c r="G2794" s="1613">
        <v>119568810234</v>
      </c>
    </row>
    <row r="2795" spans="1:7" ht="17.25" customHeight="1" x14ac:dyDescent="0.2">
      <c r="A2795" s="1611">
        <v>15</v>
      </c>
      <c r="B2795" s="1611" t="s">
        <v>7156</v>
      </c>
      <c r="C2795" s="1611" t="s">
        <v>5404</v>
      </c>
      <c r="D2795" s="1612">
        <v>0</v>
      </c>
      <c r="E2795" s="1706" t="s">
        <v>7592</v>
      </c>
      <c r="F2795" s="1613">
        <v>15500000</v>
      </c>
      <c r="G2795" s="1613">
        <v>119584310234</v>
      </c>
    </row>
    <row r="2796" spans="1:7" ht="17.25" customHeight="1" x14ac:dyDescent="0.2">
      <c r="A2796" s="1611">
        <v>15</v>
      </c>
      <c r="B2796" s="1611" t="s">
        <v>7294</v>
      </c>
      <c r="C2796" s="1611" t="s">
        <v>5405</v>
      </c>
      <c r="D2796" s="1612">
        <v>0</v>
      </c>
      <c r="E2796" s="1706" t="s">
        <v>7592</v>
      </c>
      <c r="F2796" s="1613">
        <v>22000000</v>
      </c>
      <c r="G2796" s="1613">
        <v>119606310234</v>
      </c>
    </row>
    <row r="2797" spans="1:7" ht="17.25" customHeight="1" x14ac:dyDescent="0.2">
      <c r="A2797" s="1611">
        <v>15</v>
      </c>
      <c r="B2797" s="1611" t="s">
        <v>7154</v>
      </c>
      <c r="C2797" s="1611" t="s">
        <v>5406</v>
      </c>
      <c r="D2797" s="1612">
        <v>0</v>
      </c>
      <c r="E2797" s="1706" t="s">
        <v>7592</v>
      </c>
      <c r="F2797" s="1613">
        <v>50363636</v>
      </c>
      <c r="G2797" s="1613">
        <v>119656673870</v>
      </c>
    </row>
    <row r="2798" spans="1:7" ht="17.25" customHeight="1" x14ac:dyDescent="0.2">
      <c r="A2798" s="1611">
        <v>15</v>
      </c>
      <c r="B2798" s="1611" t="s">
        <v>7297</v>
      </c>
      <c r="C2798" s="1611" t="s">
        <v>5407</v>
      </c>
      <c r="D2798" s="1612">
        <v>0</v>
      </c>
      <c r="E2798" s="1706" t="s">
        <v>7592</v>
      </c>
      <c r="F2798" s="1613">
        <v>53450000</v>
      </c>
      <c r="G2798" s="1613">
        <v>119710123870</v>
      </c>
    </row>
    <row r="2799" spans="1:7" ht="17.25" customHeight="1" x14ac:dyDescent="0.2">
      <c r="A2799" s="1611">
        <v>15</v>
      </c>
      <c r="B2799" s="1611" t="s">
        <v>2954</v>
      </c>
      <c r="C2799" s="1611" t="s">
        <v>4436</v>
      </c>
      <c r="D2799" s="1612">
        <v>0</v>
      </c>
      <c r="E2799" s="1706" t="s">
        <v>7592</v>
      </c>
      <c r="F2799" s="1613">
        <v>15600000</v>
      </c>
      <c r="G2799" s="1613">
        <v>119725723870</v>
      </c>
    </row>
    <row r="2800" spans="1:7" ht="17.25" customHeight="1" x14ac:dyDescent="0.2">
      <c r="A2800" s="1611">
        <v>15</v>
      </c>
      <c r="B2800" s="1611" t="s">
        <v>7154</v>
      </c>
      <c r="C2800" s="1611" t="s">
        <v>4040</v>
      </c>
      <c r="D2800" s="1612">
        <v>0</v>
      </c>
      <c r="E2800" s="1706" t="s">
        <v>7592</v>
      </c>
      <c r="F2800" s="1613">
        <v>46000000</v>
      </c>
      <c r="G2800" s="1613">
        <v>119771723870</v>
      </c>
    </row>
    <row r="2801" spans="1:7" ht="17.25" customHeight="1" x14ac:dyDescent="0.2">
      <c r="A2801" s="1611">
        <v>15</v>
      </c>
      <c r="B2801" s="1611" t="s">
        <v>7245</v>
      </c>
      <c r="C2801" s="1611" t="s">
        <v>5408</v>
      </c>
      <c r="D2801" s="1612">
        <v>0</v>
      </c>
      <c r="E2801" s="1706" t="s">
        <v>7592</v>
      </c>
      <c r="F2801" s="1613">
        <v>39500000</v>
      </c>
      <c r="G2801" s="1613">
        <v>119811223870</v>
      </c>
    </row>
    <row r="2802" spans="1:7" ht="17.25" customHeight="1" x14ac:dyDescent="0.2">
      <c r="A2802" s="1611">
        <v>15</v>
      </c>
      <c r="B2802" s="1611" t="s">
        <v>7156</v>
      </c>
      <c r="C2802" s="1611" t="s">
        <v>5409</v>
      </c>
      <c r="D2802" s="1612">
        <v>0</v>
      </c>
      <c r="E2802" s="1706" t="s">
        <v>7592</v>
      </c>
      <c r="F2802" s="1613">
        <v>15013636</v>
      </c>
      <c r="G2802" s="1613">
        <v>119826237506</v>
      </c>
    </row>
    <row r="2803" spans="1:7" ht="17.25" customHeight="1" x14ac:dyDescent="0.2">
      <c r="A2803" s="1611">
        <v>15</v>
      </c>
      <c r="B2803" s="1611" t="s">
        <v>7203</v>
      </c>
      <c r="C2803" s="1611" t="s">
        <v>5410</v>
      </c>
      <c r="D2803" s="1612">
        <v>0</v>
      </c>
      <c r="E2803" s="1706" t="s">
        <v>7592</v>
      </c>
      <c r="F2803" s="1613">
        <v>33900000</v>
      </c>
      <c r="G2803" s="1613">
        <v>119860137506</v>
      </c>
    </row>
    <row r="2804" spans="1:7" ht="17.25" customHeight="1" x14ac:dyDescent="0.2">
      <c r="A2804" s="1611">
        <v>15</v>
      </c>
      <c r="B2804" s="1611" t="s">
        <v>7203</v>
      </c>
      <c r="C2804" s="1611" t="s">
        <v>5411</v>
      </c>
      <c r="D2804" s="1612">
        <v>0</v>
      </c>
      <c r="E2804" s="1706" t="s">
        <v>7592</v>
      </c>
      <c r="F2804" s="1613">
        <v>36818182</v>
      </c>
      <c r="G2804" s="1613">
        <v>119896955688</v>
      </c>
    </row>
    <row r="2805" spans="1:7" ht="17.25" customHeight="1" x14ac:dyDescent="0.2">
      <c r="A2805" s="1611">
        <v>15</v>
      </c>
      <c r="B2805" s="1611" t="s">
        <v>7203</v>
      </c>
      <c r="C2805" s="1611" t="s">
        <v>5412</v>
      </c>
      <c r="D2805" s="1612">
        <v>0</v>
      </c>
      <c r="E2805" s="1706" t="s">
        <v>7592</v>
      </c>
      <c r="F2805" s="1613">
        <v>35909091</v>
      </c>
      <c r="G2805" s="1613">
        <v>119932864779</v>
      </c>
    </row>
    <row r="2806" spans="1:7" ht="17.25" customHeight="1" x14ac:dyDescent="0.2">
      <c r="A2806" s="1611">
        <v>15</v>
      </c>
      <c r="B2806" s="1611" t="s">
        <v>7275</v>
      </c>
      <c r="C2806" s="1611" t="s">
        <v>5413</v>
      </c>
      <c r="D2806" s="1612">
        <v>0</v>
      </c>
      <c r="E2806" s="1706" t="s">
        <v>7592</v>
      </c>
      <c r="F2806" s="1613">
        <v>5481818</v>
      </c>
      <c r="G2806" s="1613">
        <v>119938346597</v>
      </c>
    </row>
    <row r="2807" spans="1:7" ht="17.25" customHeight="1" x14ac:dyDescent="0.2">
      <c r="A2807" s="1611">
        <v>15</v>
      </c>
      <c r="B2807" s="1611" t="s">
        <v>7203</v>
      </c>
      <c r="C2807" s="1611" t="s">
        <v>3438</v>
      </c>
      <c r="D2807" s="1612">
        <v>0</v>
      </c>
      <c r="E2807" s="1706" t="s">
        <v>7592</v>
      </c>
      <c r="F2807" s="1613">
        <v>36363636</v>
      </c>
      <c r="G2807" s="1613">
        <v>119974710233</v>
      </c>
    </row>
    <row r="2808" spans="1:7" ht="17.25" customHeight="1" x14ac:dyDescent="0.2">
      <c r="A2808" s="1611">
        <v>15</v>
      </c>
      <c r="B2808" s="1611" t="s">
        <v>7203</v>
      </c>
      <c r="C2808" s="1611" t="s">
        <v>3438</v>
      </c>
      <c r="D2808" s="1612">
        <v>0</v>
      </c>
      <c r="E2808" s="1706" t="s">
        <v>7592</v>
      </c>
      <c r="F2808" s="1613">
        <v>36363636</v>
      </c>
      <c r="G2808" s="1613">
        <v>120011073869</v>
      </c>
    </row>
    <row r="2809" spans="1:7" ht="17.25" customHeight="1" x14ac:dyDescent="0.2">
      <c r="A2809" s="1611">
        <v>15</v>
      </c>
      <c r="B2809" s="1611" t="s">
        <v>7203</v>
      </c>
      <c r="C2809" s="1611" t="s">
        <v>5414</v>
      </c>
      <c r="D2809" s="1612">
        <v>0</v>
      </c>
      <c r="E2809" s="1706" t="s">
        <v>7592</v>
      </c>
      <c r="F2809" s="1613">
        <v>31400000</v>
      </c>
      <c r="G2809" s="1613">
        <v>120042473869</v>
      </c>
    </row>
    <row r="2810" spans="1:7" ht="17.25" customHeight="1" x14ac:dyDescent="0.2">
      <c r="A2810" s="1611">
        <v>15</v>
      </c>
      <c r="B2810" s="1611" t="s">
        <v>7203</v>
      </c>
      <c r="C2810" s="1611" t="s">
        <v>5414</v>
      </c>
      <c r="D2810" s="1612">
        <v>0</v>
      </c>
      <c r="E2810" s="1706" t="s">
        <v>7592</v>
      </c>
      <c r="F2810" s="1613">
        <v>31400000</v>
      </c>
      <c r="G2810" s="1613">
        <v>120073873869</v>
      </c>
    </row>
    <row r="2811" spans="1:7" ht="17.25" customHeight="1" x14ac:dyDescent="0.2">
      <c r="A2811" s="1611">
        <v>15</v>
      </c>
      <c r="B2811" s="1611" t="s">
        <v>7203</v>
      </c>
      <c r="C2811" s="1611" t="s">
        <v>5414</v>
      </c>
      <c r="D2811" s="1612">
        <v>0</v>
      </c>
      <c r="E2811" s="1706" t="s">
        <v>7592</v>
      </c>
      <c r="F2811" s="1613">
        <v>31400000</v>
      </c>
      <c r="G2811" s="1613">
        <v>120105273869</v>
      </c>
    </row>
    <row r="2812" spans="1:7" ht="17.25" customHeight="1" x14ac:dyDescent="0.2">
      <c r="A2812" s="1611">
        <v>15</v>
      </c>
      <c r="B2812" s="1611" t="s">
        <v>7251</v>
      </c>
      <c r="C2812" s="1611" t="s">
        <v>4235</v>
      </c>
      <c r="D2812" s="1612">
        <v>0</v>
      </c>
      <c r="E2812" s="1706" t="s">
        <v>7592</v>
      </c>
      <c r="F2812" s="1613">
        <v>34345454</v>
      </c>
      <c r="G2812" s="1613">
        <v>120139619323</v>
      </c>
    </row>
    <row r="2813" spans="1:7" ht="17.25" customHeight="1" x14ac:dyDescent="0.2">
      <c r="A2813" s="1611">
        <v>15</v>
      </c>
      <c r="B2813" s="1611" t="s">
        <v>7176</v>
      </c>
      <c r="C2813" s="1611" t="s">
        <v>5415</v>
      </c>
      <c r="D2813" s="1612">
        <v>0</v>
      </c>
      <c r="E2813" s="1706" t="s">
        <v>7592</v>
      </c>
      <c r="F2813" s="1613">
        <v>42272727</v>
      </c>
      <c r="G2813" s="1613">
        <v>120181892050</v>
      </c>
    </row>
    <row r="2814" spans="1:7" ht="17.25" customHeight="1" x14ac:dyDescent="0.2">
      <c r="A2814" s="1611">
        <v>15</v>
      </c>
      <c r="B2814" s="1611" t="s">
        <v>7154</v>
      </c>
      <c r="C2814" s="1611" t="s">
        <v>5413</v>
      </c>
      <c r="D2814" s="1612">
        <v>0</v>
      </c>
      <c r="E2814" s="1706" t="s">
        <v>7592</v>
      </c>
      <c r="F2814" s="1613">
        <v>50736364</v>
      </c>
      <c r="G2814" s="1613">
        <v>120232628414</v>
      </c>
    </row>
    <row r="2815" spans="1:7" ht="17.25" customHeight="1" x14ac:dyDescent="0.2">
      <c r="A2815" s="1611">
        <v>15</v>
      </c>
      <c r="B2815" s="1611" t="s">
        <v>7251</v>
      </c>
      <c r="C2815" s="1611" t="s">
        <v>4847</v>
      </c>
      <c r="D2815" s="1612">
        <v>0</v>
      </c>
      <c r="E2815" s="1706" t="s">
        <v>7592</v>
      </c>
      <c r="F2815" s="1613">
        <v>34200000</v>
      </c>
      <c r="G2815" s="1613">
        <v>120266828414</v>
      </c>
    </row>
    <row r="2816" spans="1:7" ht="17.25" customHeight="1" x14ac:dyDescent="0.2">
      <c r="A2816" s="1611">
        <v>15</v>
      </c>
      <c r="B2816" s="1611" t="s">
        <v>7203</v>
      </c>
      <c r="C2816" s="1611" t="s">
        <v>4157</v>
      </c>
      <c r="D2816" s="1612">
        <v>0</v>
      </c>
      <c r="E2816" s="1706" t="s">
        <v>7592</v>
      </c>
      <c r="F2816" s="1613">
        <v>36363636</v>
      </c>
      <c r="G2816" s="1613">
        <v>120303192050</v>
      </c>
    </row>
    <row r="2817" spans="1:7" ht="17.25" customHeight="1" x14ac:dyDescent="0.2">
      <c r="A2817" s="1611">
        <v>15</v>
      </c>
      <c r="B2817" s="1611" t="s">
        <v>7203</v>
      </c>
      <c r="C2817" s="1611" t="s">
        <v>4157</v>
      </c>
      <c r="D2817" s="1612">
        <v>0</v>
      </c>
      <c r="E2817" s="1706" t="s">
        <v>7592</v>
      </c>
      <c r="F2817" s="1613">
        <v>37272727</v>
      </c>
      <c r="G2817" s="1613">
        <v>120340464777</v>
      </c>
    </row>
    <row r="2818" spans="1:7" ht="17.25" customHeight="1" x14ac:dyDescent="0.2">
      <c r="A2818" s="1611">
        <v>15</v>
      </c>
      <c r="B2818" s="1611" t="s">
        <v>7203</v>
      </c>
      <c r="C2818" s="1611" t="s">
        <v>5416</v>
      </c>
      <c r="D2818" s="1612">
        <v>0</v>
      </c>
      <c r="E2818" s="1706" t="s">
        <v>7592</v>
      </c>
      <c r="F2818" s="1613">
        <v>35000000</v>
      </c>
      <c r="G2818" s="1613">
        <v>120375464777</v>
      </c>
    </row>
    <row r="2819" spans="1:7" ht="17.25" customHeight="1" x14ac:dyDescent="0.2">
      <c r="A2819" s="1611">
        <v>15</v>
      </c>
      <c r="B2819" s="1611" t="s">
        <v>7203</v>
      </c>
      <c r="C2819" s="1611" t="s">
        <v>4305</v>
      </c>
      <c r="D2819" s="1612">
        <v>0</v>
      </c>
      <c r="E2819" s="1612" t="s">
        <v>3296</v>
      </c>
      <c r="F2819" s="1613">
        <v>57725000</v>
      </c>
      <c r="G2819" s="1613">
        <v>120433189777</v>
      </c>
    </row>
    <row r="2820" spans="1:7" ht="17.25" customHeight="1" x14ac:dyDescent="0.2">
      <c r="A2820" s="1611">
        <v>15</v>
      </c>
      <c r="B2820" s="1611" t="s">
        <v>7156</v>
      </c>
      <c r="C2820" s="1611" t="s">
        <v>5417</v>
      </c>
      <c r="D2820" s="1612">
        <v>0</v>
      </c>
      <c r="E2820" s="1706" t="s">
        <v>7592</v>
      </c>
      <c r="F2820" s="1613">
        <v>13909090</v>
      </c>
      <c r="G2820" s="1613">
        <v>120447098867</v>
      </c>
    </row>
    <row r="2821" spans="1:7" ht="17.25" customHeight="1" x14ac:dyDescent="0.2">
      <c r="A2821" s="1611">
        <v>15</v>
      </c>
      <c r="B2821" s="1611" t="s">
        <v>7203</v>
      </c>
      <c r="C2821" s="1611" t="s">
        <v>5418</v>
      </c>
      <c r="D2821" s="1612">
        <v>0</v>
      </c>
      <c r="E2821" s="1706" t="s">
        <v>7592</v>
      </c>
      <c r="F2821" s="1613">
        <v>36545455</v>
      </c>
      <c r="G2821" s="1613">
        <v>120483644322</v>
      </c>
    </row>
    <row r="2822" spans="1:7" ht="17.25" customHeight="1" x14ac:dyDescent="0.2">
      <c r="A2822" s="1611">
        <v>15</v>
      </c>
      <c r="B2822" s="1611" t="s">
        <v>7203</v>
      </c>
      <c r="C2822" s="1611" t="s">
        <v>3816</v>
      </c>
      <c r="D2822" s="1612">
        <v>0</v>
      </c>
      <c r="E2822" s="1706" t="s">
        <v>7592</v>
      </c>
      <c r="F2822" s="1613">
        <v>34000000</v>
      </c>
      <c r="G2822" s="1613">
        <v>120517644322</v>
      </c>
    </row>
    <row r="2823" spans="1:7" ht="17.25" customHeight="1" x14ac:dyDescent="0.2">
      <c r="A2823" s="1611">
        <v>15</v>
      </c>
      <c r="B2823" s="1611" t="s">
        <v>7203</v>
      </c>
      <c r="C2823" s="1611" t="s">
        <v>4544</v>
      </c>
      <c r="D2823" s="1612">
        <v>0</v>
      </c>
      <c r="E2823" s="1706" t="s">
        <v>7592</v>
      </c>
      <c r="F2823" s="1613">
        <v>36700000</v>
      </c>
      <c r="G2823" s="1613">
        <v>120554344322</v>
      </c>
    </row>
    <row r="2824" spans="1:7" ht="17.25" customHeight="1" x14ac:dyDescent="0.2">
      <c r="A2824" s="1611">
        <v>15</v>
      </c>
      <c r="B2824" s="1611" t="s">
        <v>7251</v>
      </c>
      <c r="C2824" s="1611" t="s">
        <v>5419</v>
      </c>
      <c r="D2824" s="1612">
        <v>0</v>
      </c>
      <c r="E2824" s="1706" t="s">
        <v>7592</v>
      </c>
      <c r="F2824" s="1613">
        <v>34300000</v>
      </c>
      <c r="G2824" s="1613">
        <v>120588644322</v>
      </c>
    </row>
    <row r="2825" spans="1:7" ht="17.25" customHeight="1" x14ac:dyDescent="0.2">
      <c r="A2825" s="1611">
        <v>15</v>
      </c>
      <c r="B2825" s="1611" t="s">
        <v>7251</v>
      </c>
      <c r="C2825" s="1611" t="s">
        <v>5419</v>
      </c>
      <c r="D2825" s="1612">
        <v>0</v>
      </c>
      <c r="E2825" s="1706" t="s">
        <v>7592</v>
      </c>
      <c r="F2825" s="1613">
        <v>34300000</v>
      </c>
      <c r="G2825" s="1613">
        <v>120622944322</v>
      </c>
    </row>
    <row r="2826" spans="1:7" ht="17.25" customHeight="1" x14ac:dyDescent="0.2">
      <c r="A2826" s="1611">
        <v>15</v>
      </c>
      <c r="B2826" s="1611" t="s">
        <v>7203</v>
      </c>
      <c r="C2826" s="1611" t="s">
        <v>5420</v>
      </c>
      <c r="D2826" s="1612">
        <v>0</v>
      </c>
      <c r="E2826" s="1706" t="s">
        <v>7592</v>
      </c>
      <c r="F2826" s="1613">
        <v>35727273</v>
      </c>
      <c r="G2826" s="1613">
        <v>120658671595</v>
      </c>
    </row>
    <row r="2827" spans="1:7" ht="17.25" customHeight="1" x14ac:dyDescent="0.2">
      <c r="A2827" s="1611">
        <v>15</v>
      </c>
      <c r="B2827" s="1611" t="s">
        <v>7203</v>
      </c>
      <c r="C2827" s="1611" t="s">
        <v>3748</v>
      </c>
      <c r="D2827" s="1612">
        <v>0</v>
      </c>
      <c r="E2827" s="1706" t="s">
        <v>7592</v>
      </c>
      <c r="F2827" s="1613">
        <v>35000000</v>
      </c>
      <c r="G2827" s="1613">
        <v>120693671595</v>
      </c>
    </row>
    <row r="2828" spans="1:7" ht="17.25" customHeight="1" x14ac:dyDescent="0.2">
      <c r="A2828" s="1611">
        <v>15</v>
      </c>
      <c r="B2828" s="1611" t="s">
        <v>7203</v>
      </c>
      <c r="C2828" s="1611" t="s">
        <v>5421</v>
      </c>
      <c r="D2828" s="1612">
        <v>0</v>
      </c>
      <c r="E2828" s="1706" t="s">
        <v>7592</v>
      </c>
      <c r="F2828" s="1613">
        <v>34500000</v>
      </c>
      <c r="G2828" s="1613">
        <v>120728171595</v>
      </c>
    </row>
    <row r="2829" spans="1:7" ht="17.25" customHeight="1" x14ac:dyDescent="0.2">
      <c r="A2829" s="1611">
        <v>15</v>
      </c>
      <c r="B2829" s="1611" t="s">
        <v>7176</v>
      </c>
      <c r="C2829" s="1611" t="s">
        <v>5422</v>
      </c>
      <c r="D2829" s="1612">
        <v>0</v>
      </c>
      <c r="E2829" s="1706" t="s">
        <v>7592</v>
      </c>
      <c r="F2829" s="1613">
        <v>40909091</v>
      </c>
      <c r="G2829" s="1613">
        <v>120769080686</v>
      </c>
    </row>
    <row r="2830" spans="1:7" ht="17.25" customHeight="1" x14ac:dyDescent="0.2">
      <c r="A2830" s="1611">
        <v>15</v>
      </c>
      <c r="B2830" s="1611" t="s">
        <v>7170</v>
      </c>
      <c r="C2830" s="1611" t="s">
        <v>5423</v>
      </c>
      <c r="D2830" s="1612">
        <v>0</v>
      </c>
      <c r="E2830" s="1706" t="s">
        <v>7592</v>
      </c>
      <c r="F2830" s="1613">
        <v>169000000</v>
      </c>
      <c r="G2830" s="1613">
        <v>120938080686</v>
      </c>
    </row>
    <row r="2831" spans="1:7" ht="17.25" customHeight="1" x14ac:dyDescent="0.2">
      <c r="A2831" s="1611">
        <v>15</v>
      </c>
      <c r="B2831" s="1611" t="s">
        <v>7261</v>
      </c>
      <c r="C2831" s="1611" t="s">
        <v>5424</v>
      </c>
      <c r="D2831" s="1612">
        <v>0</v>
      </c>
      <c r="E2831" s="1706" t="s">
        <v>7592</v>
      </c>
      <c r="F2831" s="1613">
        <v>165000000</v>
      </c>
      <c r="G2831" s="1613">
        <v>121103080686</v>
      </c>
    </row>
    <row r="2832" spans="1:7" ht="17.25" customHeight="1" x14ac:dyDescent="0.2">
      <c r="A2832" s="1611">
        <v>15</v>
      </c>
      <c r="B2832" s="1611" t="s">
        <v>7176</v>
      </c>
      <c r="C2832" s="1611" t="s">
        <v>5425</v>
      </c>
      <c r="D2832" s="1612">
        <v>0</v>
      </c>
      <c r="E2832" s="1706" t="s">
        <v>7592</v>
      </c>
      <c r="F2832" s="1613">
        <v>45000000</v>
      </c>
      <c r="G2832" s="1613">
        <v>121148080686</v>
      </c>
    </row>
    <row r="2833" spans="1:7" ht="17.25" customHeight="1" x14ac:dyDescent="0.2">
      <c r="A2833" s="1611">
        <v>15</v>
      </c>
      <c r="B2833" s="1611" t="s">
        <v>7261</v>
      </c>
      <c r="C2833" s="1611" t="s">
        <v>5424</v>
      </c>
      <c r="D2833" s="1612">
        <v>0</v>
      </c>
      <c r="E2833" s="1706" t="s">
        <v>7592</v>
      </c>
      <c r="F2833" s="1613">
        <v>-165000000</v>
      </c>
      <c r="G2833" s="1613">
        <v>120983080686</v>
      </c>
    </row>
    <row r="2834" spans="1:7" ht="17.25" customHeight="1" x14ac:dyDescent="0.2">
      <c r="A2834" s="1611">
        <v>15</v>
      </c>
      <c r="B2834" s="1611" t="s">
        <v>7261</v>
      </c>
      <c r="C2834" s="1611" t="s">
        <v>5424</v>
      </c>
      <c r="D2834" s="1612">
        <v>0</v>
      </c>
      <c r="E2834" s="1706" t="s">
        <v>7592</v>
      </c>
      <c r="F2834" s="1613">
        <v>165000000</v>
      </c>
      <c r="G2834" s="1613">
        <v>121148080686</v>
      </c>
    </row>
    <row r="2835" spans="1:7" ht="17.25" customHeight="1" x14ac:dyDescent="0.2">
      <c r="A2835" s="1611">
        <v>15</v>
      </c>
      <c r="B2835" s="1611" t="s">
        <v>7203</v>
      </c>
      <c r="C2835" s="1611" t="s">
        <v>4652</v>
      </c>
      <c r="D2835" s="1612">
        <v>0</v>
      </c>
      <c r="E2835" s="1706" t="s">
        <v>7592</v>
      </c>
      <c r="F2835" s="1613">
        <v>35900000</v>
      </c>
      <c r="G2835" s="1613">
        <v>121183980686</v>
      </c>
    </row>
    <row r="2836" spans="1:7" ht="17.25" customHeight="1" x14ac:dyDescent="0.2">
      <c r="A2836" s="1611">
        <v>15</v>
      </c>
      <c r="B2836" s="1611" t="s">
        <v>7203</v>
      </c>
      <c r="C2836" s="1611" t="s">
        <v>5426</v>
      </c>
      <c r="D2836" s="1612">
        <v>0</v>
      </c>
      <c r="E2836" s="1706" t="s">
        <v>7592</v>
      </c>
      <c r="F2836" s="1613">
        <v>35800000</v>
      </c>
      <c r="G2836" s="1613">
        <v>121219780686</v>
      </c>
    </row>
    <row r="2837" spans="1:7" ht="17.25" customHeight="1" x14ac:dyDescent="0.2">
      <c r="A2837" s="1611">
        <v>15</v>
      </c>
      <c r="B2837" s="1611" t="s">
        <v>7247</v>
      </c>
      <c r="C2837" s="1611" t="s">
        <v>5427</v>
      </c>
      <c r="D2837" s="1612">
        <v>0</v>
      </c>
      <c r="E2837" s="1706" t="s">
        <v>7592</v>
      </c>
      <c r="F2837" s="1613">
        <v>42000000</v>
      </c>
      <c r="G2837" s="1613">
        <v>121261780686</v>
      </c>
    </row>
    <row r="2838" spans="1:7" ht="17.25" customHeight="1" x14ac:dyDescent="0.2">
      <c r="A2838" s="1611">
        <v>15</v>
      </c>
      <c r="B2838" s="1611" t="s">
        <v>7154</v>
      </c>
      <c r="C2838" s="1611" t="s">
        <v>5428</v>
      </c>
      <c r="D2838" s="1612">
        <v>0</v>
      </c>
      <c r="E2838" s="1706" t="s">
        <v>7592</v>
      </c>
      <c r="F2838" s="1613">
        <v>50909091</v>
      </c>
      <c r="G2838" s="1613">
        <v>121312689777</v>
      </c>
    </row>
    <row r="2839" spans="1:7" ht="17.25" customHeight="1" x14ac:dyDescent="0.2">
      <c r="A2839" s="1611">
        <v>15</v>
      </c>
      <c r="B2839" s="1611" t="s">
        <v>7294</v>
      </c>
      <c r="C2839" s="1611" t="s">
        <v>3445</v>
      </c>
      <c r="D2839" s="1612">
        <v>0</v>
      </c>
      <c r="E2839" s="1706" t="s">
        <v>7592</v>
      </c>
      <c r="F2839" s="1613">
        <v>16856000</v>
      </c>
      <c r="G2839" s="1613">
        <v>121329545777</v>
      </c>
    </row>
    <row r="2840" spans="1:7" ht="17.25" customHeight="1" x14ac:dyDescent="0.2">
      <c r="A2840" s="1611">
        <v>15</v>
      </c>
      <c r="B2840" s="1611" t="s">
        <v>7203</v>
      </c>
      <c r="C2840" s="1611" t="s">
        <v>5429</v>
      </c>
      <c r="D2840" s="1612">
        <v>0</v>
      </c>
      <c r="E2840" s="1706" t="s">
        <v>7592</v>
      </c>
      <c r="F2840" s="1613">
        <v>33500000</v>
      </c>
      <c r="G2840" s="1613">
        <v>121363045777</v>
      </c>
    </row>
    <row r="2841" spans="1:7" ht="17.25" customHeight="1" x14ac:dyDescent="0.2">
      <c r="A2841" s="1611">
        <v>15</v>
      </c>
      <c r="B2841" s="1611" t="s">
        <v>7203</v>
      </c>
      <c r="C2841" s="1611" t="s">
        <v>5430</v>
      </c>
      <c r="D2841" s="1612">
        <v>0</v>
      </c>
      <c r="E2841" s="1706" t="s">
        <v>7592</v>
      </c>
      <c r="F2841" s="1613">
        <v>36363636</v>
      </c>
      <c r="G2841" s="1613">
        <v>121399409413</v>
      </c>
    </row>
    <row r="2842" spans="1:7" ht="17.25" customHeight="1" x14ac:dyDescent="0.2">
      <c r="A2842" s="1611">
        <v>15</v>
      </c>
      <c r="B2842" s="1611" t="s">
        <v>7203</v>
      </c>
      <c r="C2842" s="1611" t="s">
        <v>4295</v>
      </c>
      <c r="D2842" s="1612">
        <v>0</v>
      </c>
      <c r="E2842" s="1706" t="s">
        <v>7592</v>
      </c>
      <c r="F2842" s="1613">
        <v>35000000</v>
      </c>
      <c r="G2842" s="1613">
        <v>121434409413</v>
      </c>
    </row>
    <row r="2843" spans="1:7" ht="17.25" customHeight="1" x14ac:dyDescent="0.2">
      <c r="A2843" s="1611">
        <v>15</v>
      </c>
      <c r="B2843" s="1611" t="s">
        <v>7203</v>
      </c>
      <c r="C2843" s="1611" t="s">
        <v>5252</v>
      </c>
      <c r="D2843" s="1612">
        <v>0</v>
      </c>
      <c r="E2843" s="1706" t="s">
        <v>7592</v>
      </c>
      <c r="F2843" s="1613">
        <v>39545455</v>
      </c>
      <c r="G2843" s="1613">
        <v>121473954868</v>
      </c>
    </row>
    <row r="2844" spans="1:7" ht="17.25" customHeight="1" x14ac:dyDescent="0.2">
      <c r="A2844" s="1611">
        <v>15</v>
      </c>
      <c r="B2844" s="1611" t="s">
        <v>7203</v>
      </c>
      <c r="C2844" s="1611" t="s">
        <v>5252</v>
      </c>
      <c r="D2844" s="1612">
        <v>0</v>
      </c>
      <c r="E2844" s="1706" t="s">
        <v>7592</v>
      </c>
      <c r="F2844" s="1613">
        <v>39545455</v>
      </c>
      <c r="G2844" s="1613">
        <v>121513500323</v>
      </c>
    </row>
    <row r="2845" spans="1:7" ht="17.25" customHeight="1" x14ac:dyDescent="0.2">
      <c r="A2845" s="1611">
        <v>15</v>
      </c>
      <c r="B2845" s="1611" t="s">
        <v>7203</v>
      </c>
      <c r="C2845" s="1611" t="s">
        <v>4812</v>
      </c>
      <c r="D2845" s="1612">
        <v>0</v>
      </c>
      <c r="E2845" s="1706" t="s">
        <v>7592</v>
      </c>
      <c r="F2845" s="1613">
        <v>35000000</v>
      </c>
      <c r="G2845" s="1613">
        <v>121548500323</v>
      </c>
    </row>
    <row r="2846" spans="1:7" ht="17.25" customHeight="1" x14ac:dyDescent="0.2">
      <c r="A2846" s="1611">
        <v>15</v>
      </c>
      <c r="B2846" s="1611" t="s">
        <v>7294</v>
      </c>
      <c r="C2846" s="1611" t="s">
        <v>5431</v>
      </c>
      <c r="D2846" s="1612">
        <v>0</v>
      </c>
      <c r="E2846" s="1706" t="s">
        <v>7592</v>
      </c>
      <c r="F2846" s="1613">
        <v>16856000</v>
      </c>
      <c r="G2846" s="1613">
        <v>121565356323</v>
      </c>
    </row>
    <row r="2847" spans="1:7" ht="17.25" customHeight="1" x14ac:dyDescent="0.2">
      <c r="A2847" s="1611">
        <v>15</v>
      </c>
      <c r="B2847" s="1611" t="s">
        <v>7156</v>
      </c>
      <c r="C2847" s="1611" t="s">
        <v>5432</v>
      </c>
      <c r="D2847" s="1612">
        <v>0</v>
      </c>
      <c r="E2847" s="1706" t="s">
        <v>7592</v>
      </c>
      <c r="F2847" s="1613">
        <v>13317272</v>
      </c>
      <c r="G2847" s="1613">
        <v>121578673595</v>
      </c>
    </row>
    <row r="2848" spans="1:7" ht="17.25" customHeight="1" x14ac:dyDescent="0.2">
      <c r="A2848" s="1611">
        <v>15</v>
      </c>
      <c r="B2848" s="1611" t="s">
        <v>7298</v>
      </c>
      <c r="C2848" s="1611" t="s">
        <v>5433</v>
      </c>
      <c r="D2848" s="1612">
        <v>0</v>
      </c>
      <c r="E2848" s="1706" t="s">
        <v>7592</v>
      </c>
      <c r="F2848" s="1613">
        <v>141500000</v>
      </c>
      <c r="G2848" s="1613">
        <v>121720173595</v>
      </c>
    </row>
    <row r="2849" spans="1:7" ht="17.25" customHeight="1" x14ac:dyDescent="0.2">
      <c r="A2849" s="1611">
        <v>15</v>
      </c>
      <c r="B2849" s="1611" t="s">
        <v>7156</v>
      </c>
      <c r="C2849" s="1611" t="s">
        <v>5432</v>
      </c>
      <c r="D2849" s="1612">
        <v>0</v>
      </c>
      <c r="E2849" s="1706" t="s">
        <v>7592</v>
      </c>
      <c r="F2849" s="1613">
        <v>-13317272</v>
      </c>
      <c r="G2849" s="1613">
        <v>121706856323</v>
      </c>
    </row>
    <row r="2850" spans="1:7" ht="17.25" customHeight="1" x14ac:dyDescent="0.2">
      <c r="A2850" s="1611">
        <v>15</v>
      </c>
      <c r="B2850" s="1611" t="s">
        <v>7203</v>
      </c>
      <c r="C2850" s="1611" t="s">
        <v>4094</v>
      </c>
      <c r="D2850" s="1612">
        <v>0</v>
      </c>
      <c r="E2850" s="1706" t="s">
        <v>7592</v>
      </c>
      <c r="F2850" s="1613">
        <v>35000000</v>
      </c>
      <c r="G2850" s="1613">
        <v>121741856323</v>
      </c>
    </row>
    <row r="2851" spans="1:7" ht="17.25" customHeight="1" x14ac:dyDescent="0.2">
      <c r="A2851" s="1611">
        <v>15</v>
      </c>
      <c r="B2851" s="1611" t="s">
        <v>7203</v>
      </c>
      <c r="C2851" s="1611" t="s">
        <v>5434</v>
      </c>
      <c r="D2851" s="1612">
        <v>0</v>
      </c>
      <c r="E2851" s="1706" t="s">
        <v>7592</v>
      </c>
      <c r="F2851" s="1613">
        <v>37500000</v>
      </c>
      <c r="G2851" s="1613">
        <v>121779356323</v>
      </c>
    </row>
    <row r="2852" spans="1:7" ht="17.25" customHeight="1" x14ac:dyDescent="0.2">
      <c r="A2852" s="1611">
        <v>15</v>
      </c>
      <c r="B2852" s="1611" t="s">
        <v>7176</v>
      </c>
      <c r="C2852" s="1611" t="s">
        <v>5435</v>
      </c>
      <c r="D2852" s="1612">
        <v>0</v>
      </c>
      <c r="E2852" s="1706" t="s">
        <v>7592</v>
      </c>
      <c r="F2852" s="1613">
        <v>43000000</v>
      </c>
      <c r="G2852" s="1613">
        <v>121822356323</v>
      </c>
    </row>
    <row r="2853" spans="1:7" ht="17.25" customHeight="1" x14ac:dyDescent="0.2">
      <c r="A2853" s="1611">
        <v>15</v>
      </c>
      <c r="B2853" s="1611" t="s">
        <v>7247</v>
      </c>
      <c r="C2853" s="1611" t="s">
        <v>5436</v>
      </c>
      <c r="D2853" s="1612">
        <v>0</v>
      </c>
      <c r="E2853" s="1706" t="s">
        <v>7592</v>
      </c>
      <c r="F2853" s="1613">
        <v>43181818</v>
      </c>
      <c r="G2853" s="1613">
        <v>121865538141</v>
      </c>
    </row>
    <row r="2854" spans="1:7" ht="17.25" customHeight="1" x14ac:dyDescent="0.2">
      <c r="A2854" s="1611">
        <v>15</v>
      </c>
      <c r="B2854" s="1611" t="s">
        <v>7154</v>
      </c>
      <c r="C2854" s="1611" t="s">
        <v>3890</v>
      </c>
      <c r="D2854" s="1612">
        <v>0</v>
      </c>
      <c r="E2854" s="1612" t="s">
        <v>2025</v>
      </c>
      <c r="F2854" s="1613">
        <v>32706947</v>
      </c>
      <c r="G2854" s="1613">
        <v>121898245088</v>
      </c>
    </row>
    <row r="2855" spans="1:7" ht="17.25" customHeight="1" x14ac:dyDescent="0.2">
      <c r="A2855" s="1611">
        <v>15</v>
      </c>
      <c r="B2855" s="1611" t="s">
        <v>7203</v>
      </c>
      <c r="C2855" s="1611" t="s">
        <v>3816</v>
      </c>
      <c r="D2855" s="1612">
        <v>0</v>
      </c>
      <c r="E2855" s="1706" t="s">
        <v>7592</v>
      </c>
      <c r="F2855" s="1613">
        <v>34000000</v>
      </c>
      <c r="G2855" s="1613">
        <v>121932245088</v>
      </c>
    </row>
    <row r="2856" spans="1:7" ht="17.25" customHeight="1" x14ac:dyDescent="0.2">
      <c r="A2856" s="1611">
        <v>15</v>
      </c>
      <c r="B2856" s="1611" t="s">
        <v>7203</v>
      </c>
      <c r="C2856" s="1611" t="s">
        <v>5437</v>
      </c>
      <c r="D2856" s="1612">
        <v>0</v>
      </c>
      <c r="E2856" s="1706" t="s">
        <v>7592</v>
      </c>
      <c r="F2856" s="1613">
        <v>37500000</v>
      </c>
      <c r="G2856" s="1613">
        <v>121969745088</v>
      </c>
    </row>
    <row r="2857" spans="1:7" ht="17.25" customHeight="1" x14ac:dyDescent="0.2">
      <c r="A2857" s="1611">
        <v>15</v>
      </c>
      <c r="B2857" s="1611" t="s">
        <v>7154</v>
      </c>
      <c r="C2857" s="1611" t="s">
        <v>5438</v>
      </c>
      <c r="D2857" s="1612">
        <v>0</v>
      </c>
      <c r="E2857" s="1706" t="s">
        <v>7592</v>
      </c>
      <c r="F2857" s="1613">
        <v>50909091</v>
      </c>
      <c r="G2857" s="1613">
        <v>122020654179</v>
      </c>
    </row>
    <row r="2858" spans="1:7" ht="17.25" customHeight="1" x14ac:dyDescent="0.2">
      <c r="A2858" s="1611">
        <v>15</v>
      </c>
      <c r="B2858" s="1611" t="s">
        <v>7186</v>
      </c>
      <c r="C2858" s="1611" t="s">
        <v>5439</v>
      </c>
      <c r="D2858" s="1612">
        <v>0</v>
      </c>
      <c r="E2858" s="1706" t="s">
        <v>7592</v>
      </c>
      <c r="F2858" s="1613">
        <v>53500000</v>
      </c>
      <c r="G2858" s="1613">
        <v>122074154179</v>
      </c>
    </row>
    <row r="2859" spans="1:7" ht="17.25" customHeight="1" x14ac:dyDescent="0.2">
      <c r="A2859" s="1611">
        <v>15</v>
      </c>
      <c r="B2859" s="1611" t="s">
        <v>7156</v>
      </c>
      <c r="C2859" s="1611" t="s">
        <v>5440</v>
      </c>
      <c r="D2859" s="1612">
        <v>0</v>
      </c>
      <c r="E2859" s="1706" t="s">
        <v>7592</v>
      </c>
      <c r="F2859" s="1613">
        <v>14800000</v>
      </c>
      <c r="G2859" s="1613">
        <v>122088954179</v>
      </c>
    </row>
    <row r="2860" spans="1:7" ht="17.25" customHeight="1" x14ac:dyDescent="0.2">
      <c r="A2860" s="1611">
        <v>15</v>
      </c>
      <c r="B2860" s="1611" t="s">
        <v>7203</v>
      </c>
      <c r="C2860" s="1611" t="s">
        <v>5441</v>
      </c>
      <c r="D2860" s="1612">
        <v>0</v>
      </c>
      <c r="E2860" s="1706" t="s">
        <v>7592</v>
      </c>
      <c r="F2860" s="1613">
        <v>33620000</v>
      </c>
      <c r="G2860" s="1613">
        <v>122122574179</v>
      </c>
    </row>
    <row r="2861" spans="1:7" ht="17.25" customHeight="1" x14ac:dyDescent="0.2">
      <c r="A2861" s="1611">
        <v>15</v>
      </c>
      <c r="B2861" s="1611" t="s">
        <v>7203</v>
      </c>
      <c r="C2861" s="1611" t="s">
        <v>5441</v>
      </c>
      <c r="D2861" s="1612">
        <v>0</v>
      </c>
      <c r="E2861" s="1706" t="s">
        <v>7592</v>
      </c>
      <c r="F2861" s="1613">
        <v>34570000</v>
      </c>
      <c r="G2861" s="1613">
        <v>122157144179</v>
      </c>
    </row>
    <row r="2862" spans="1:7" ht="17.25" customHeight="1" x14ac:dyDescent="0.2">
      <c r="A2862" s="1611">
        <v>15</v>
      </c>
      <c r="B2862" s="1611" t="s">
        <v>7176</v>
      </c>
      <c r="C2862" s="1611" t="s">
        <v>5441</v>
      </c>
      <c r="D2862" s="1612">
        <v>0</v>
      </c>
      <c r="E2862" s="1706" t="s">
        <v>7592</v>
      </c>
      <c r="F2862" s="1613">
        <v>39020000</v>
      </c>
      <c r="G2862" s="1613">
        <v>122196164179</v>
      </c>
    </row>
    <row r="2863" spans="1:7" ht="17.25" customHeight="1" x14ac:dyDescent="0.2">
      <c r="A2863" s="1611">
        <v>15</v>
      </c>
      <c r="B2863" s="1611" t="s">
        <v>7273</v>
      </c>
      <c r="C2863" s="1611" t="s">
        <v>5442</v>
      </c>
      <c r="D2863" s="1612">
        <v>0</v>
      </c>
      <c r="E2863" s="1706" t="s">
        <v>7592</v>
      </c>
      <c r="F2863" s="1613">
        <v>160000000</v>
      </c>
      <c r="G2863" s="1613">
        <v>122356164179</v>
      </c>
    </row>
    <row r="2864" spans="1:7" ht="17.25" customHeight="1" x14ac:dyDescent="0.2">
      <c r="A2864" s="1611">
        <v>15</v>
      </c>
      <c r="B2864" s="1611" t="s">
        <v>7261</v>
      </c>
      <c r="C2864" s="1611" t="s">
        <v>5443</v>
      </c>
      <c r="D2864" s="1612">
        <v>0</v>
      </c>
      <c r="E2864" s="1706" t="s">
        <v>7592</v>
      </c>
      <c r="F2864" s="1613">
        <v>143000000</v>
      </c>
      <c r="G2864" s="1613">
        <v>122499164179</v>
      </c>
    </row>
    <row r="2865" spans="1:7" ht="17.25" customHeight="1" x14ac:dyDescent="0.2">
      <c r="A2865" s="1611">
        <v>15</v>
      </c>
      <c r="B2865" s="1611" t="s">
        <v>7299</v>
      </c>
      <c r="C2865" s="1611" t="s">
        <v>5444</v>
      </c>
      <c r="D2865" s="1612">
        <v>0</v>
      </c>
      <c r="E2865" s="1706" t="s">
        <v>7592</v>
      </c>
      <c r="F2865" s="1613">
        <v>1500000</v>
      </c>
      <c r="G2865" s="1613">
        <v>122500664179</v>
      </c>
    </row>
    <row r="2866" spans="1:7" ht="17.25" customHeight="1" x14ac:dyDescent="0.2">
      <c r="A2866" s="1611">
        <v>15</v>
      </c>
      <c r="B2866" s="1611" t="s">
        <v>7170</v>
      </c>
      <c r="C2866" s="1611" t="s">
        <v>5445</v>
      </c>
      <c r="D2866" s="1612">
        <v>0</v>
      </c>
      <c r="E2866" s="1706" t="s">
        <v>7592</v>
      </c>
      <c r="F2866" s="1613">
        <v>170000000</v>
      </c>
      <c r="G2866" s="1613">
        <v>122670664179</v>
      </c>
    </row>
    <row r="2867" spans="1:7" ht="17.25" customHeight="1" x14ac:dyDescent="0.2">
      <c r="A2867" s="1611">
        <v>15</v>
      </c>
      <c r="B2867" s="1611" t="s">
        <v>7203</v>
      </c>
      <c r="C2867" s="1611" t="s">
        <v>5446</v>
      </c>
      <c r="D2867" s="1612">
        <v>0</v>
      </c>
      <c r="E2867" s="1706" t="s">
        <v>7592</v>
      </c>
      <c r="F2867" s="1613">
        <v>34000000</v>
      </c>
      <c r="G2867" s="1613">
        <v>122704664179</v>
      </c>
    </row>
    <row r="2868" spans="1:7" ht="17.25" customHeight="1" x14ac:dyDescent="0.2">
      <c r="A2868" s="1611">
        <v>15</v>
      </c>
      <c r="B2868" s="1611" t="s">
        <v>5447</v>
      </c>
      <c r="C2868" s="1611" t="s">
        <v>4015</v>
      </c>
      <c r="D2868" s="1612">
        <v>0</v>
      </c>
      <c r="E2868" s="1706" t="s">
        <v>7592</v>
      </c>
      <c r="F2868" s="1613">
        <v>121762000</v>
      </c>
      <c r="G2868" s="1613">
        <v>122826426179</v>
      </c>
    </row>
    <row r="2869" spans="1:7" ht="17.25" customHeight="1" x14ac:dyDescent="0.2">
      <c r="A2869" s="1611">
        <v>15</v>
      </c>
      <c r="B2869" s="1611" t="s">
        <v>7156</v>
      </c>
      <c r="C2869" s="1611" t="s">
        <v>5448</v>
      </c>
      <c r="D2869" s="1612">
        <v>0</v>
      </c>
      <c r="E2869" s="1706" t="s">
        <v>7592</v>
      </c>
      <c r="F2869" s="1613">
        <v>15000000</v>
      </c>
      <c r="G2869" s="1613">
        <v>122841426179</v>
      </c>
    </row>
    <row r="2870" spans="1:7" ht="17.25" customHeight="1" x14ac:dyDescent="0.2">
      <c r="A2870" s="1611">
        <v>15</v>
      </c>
      <c r="B2870" s="1611" t="s">
        <v>7291</v>
      </c>
      <c r="C2870" s="1611" t="s">
        <v>5449</v>
      </c>
      <c r="D2870" s="1612">
        <v>0</v>
      </c>
      <c r="E2870" s="1706" t="s">
        <v>7592</v>
      </c>
      <c r="F2870" s="1613">
        <v>36000000</v>
      </c>
      <c r="G2870" s="1613">
        <v>122877426179</v>
      </c>
    </row>
    <row r="2871" spans="1:7" ht="17.25" customHeight="1" x14ac:dyDescent="0.2">
      <c r="A2871" s="1611">
        <v>15</v>
      </c>
      <c r="B2871" s="1611" t="s">
        <v>7203</v>
      </c>
      <c r="C2871" s="1611" t="s">
        <v>5450</v>
      </c>
      <c r="D2871" s="1612">
        <v>0</v>
      </c>
      <c r="E2871" s="1706" t="s">
        <v>7592</v>
      </c>
      <c r="F2871" s="1613">
        <v>34500000</v>
      </c>
      <c r="G2871" s="1613">
        <v>122911926179</v>
      </c>
    </row>
    <row r="2872" spans="1:7" ht="17.25" customHeight="1" x14ac:dyDescent="0.2">
      <c r="A2872" s="1611">
        <v>15</v>
      </c>
      <c r="B2872" s="1611" t="s">
        <v>7203</v>
      </c>
      <c r="C2872" s="1611" t="s">
        <v>5451</v>
      </c>
      <c r="D2872" s="1612">
        <v>0</v>
      </c>
      <c r="E2872" s="1706" t="s">
        <v>7592</v>
      </c>
      <c r="F2872" s="1613">
        <v>36363636</v>
      </c>
      <c r="G2872" s="1613">
        <v>122948289815</v>
      </c>
    </row>
    <row r="2873" spans="1:7" ht="17.25" customHeight="1" x14ac:dyDescent="0.2">
      <c r="A2873" s="1611">
        <v>15</v>
      </c>
      <c r="B2873" s="1611" t="s">
        <v>7203</v>
      </c>
      <c r="C2873" s="1611" t="s">
        <v>5452</v>
      </c>
      <c r="D2873" s="1612">
        <v>0</v>
      </c>
      <c r="E2873" s="1706" t="s">
        <v>7592</v>
      </c>
      <c r="F2873" s="1613">
        <v>34000000</v>
      </c>
      <c r="G2873" s="1613">
        <v>122982289815</v>
      </c>
    </row>
    <row r="2874" spans="1:7" ht="17.25" customHeight="1" x14ac:dyDescent="0.2">
      <c r="A2874" s="1611">
        <v>15</v>
      </c>
      <c r="B2874" s="1611" t="s">
        <v>7245</v>
      </c>
      <c r="C2874" s="1611" t="s">
        <v>5453</v>
      </c>
      <c r="D2874" s="1612">
        <v>0</v>
      </c>
      <c r="E2874" s="1706" t="s">
        <v>7592</v>
      </c>
      <c r="F2874" s="1613">
        <v>41000000</v>
      </c>
      <c r="G2874" s="1613">
        <v>123023289815</v>
      </c>
    </row>
    <row r="2875" spans="1:7" ht="17.25" customHeight="1" x14ac:dyDescent="0.2">
      <c r="A2875" s="1611">
        <v>15</v>
      </c>
      <c r="B2875" s="1611" t="s">
        <v>7300</v>
      </c>
      <c r="C2875" s="1611" t="s">
        <v>5424</v>
      </c>
      <c r="D2875" s="1612">
        <v>0</v>
      </c>
      <c r="E2875" s="1706" t="s">
        <v>7592</v>
      </c>
      <c r="F2875" s="1613">
        <v>-25000000</v>
      </c>
      <c r="G2875" s="1613">
        <v>122998289815</v>
      </c>
    </row>
    <row r="2876" spans="1:7" ht="17.25" customHeight="1" x14ac:dyDescent="0.2">
      <c r="A2876" s="1611">
        <v>15</v>
      </c>
      <c r="B2876" s="1611" t="s">
        <v>7156</v>
      </c>
      <c r="C2876" s="1611" t="s">
        <v>5432</v>
      </c>
      <c r="D2876" s="1612">
        <v>0</v>
      </c>
      <c r="E2876" s="1706" t="s">
        <v>7592</v>
      </c>
      <c r="F2876" s="1613">
        <v>13317272</v>
      </c>
      <c r="G2876" s="1613">
        <v>123011607087</v>
      </c>
    </row>
    <row r="2877" spans="1:7" ht="17.25" customHeight="1" x14ac:dyDescent="0.2">
      <c r="A2877" s="1611">
        <v>15</v>
      </c>
      <c r="B2877" s="1611" t="s">
        <v>7203</v>
      </c>
      <c r="C2877" s="1611" t="s">
        <v>5450</v>
      </c>
      <c r="D2877" s="1612">
        <v>0</v>
      </c>
      <c r="E2877" s="1706" t="s">
        <v>7592</v>
      </c>
      <c r="F2877" s="1613">
        <v>-34500000</v>
      </c>
      <c r="G2877" s="1613">
        <v>122977107087</v>
      </c>
    </row>
    <row r="2878" spans="1:7" ht="17.25" customHeight="1" x14ac:dyDescent="0.2">
      <c r="A2878" s="1611">
        <v>15</v>
      </c>
      <c r="B2878" s="1611" t="s">
        <v>7203</v>
      </c>
      <c r="C2878" s="1611" t="s">
        <v>5450</v>
      </c>
      <c r="D2878" s="1612">
        <v>0</v>
      </c>
      <c r="E2878" s="1706" t="s">
        <v>7592</v>
      </c>
      <c r="F2878" s="1613">
        <v>34500000</v>
      </c>
      <c r="G2878" s="1613">
        <v>123011607087</v>
      </c>
    </row>
    <row r="2879" spans="1:7" ht="17.25" customHeight="1" x14ac:dyDescent="0.2">
      <c r="A2879" s="1611">
        <v>15</v>
      </c>
      <c r="B2879" s="1611" t="s">
        <v>7154</v>
      </c>
      <c r="C2879" s="1611" t="s">
        <v>5454</v>
      </c>
      <c r="D2879" s="1612">
        <v>0</v>
      </c>
      <c r="E2879" s="1706" t="s">
        <v>7592</v>
      </c>
      <c r="F2879" s="1613">
        <v>51300000</v>
      </c>
      <c r="G2879" s="1613">
        <v>123062907087</v>
      </c>
    </row>
    <row r="2880" spans="1:7" ht="17.25" customHeight="1" x14ac:dyDescent="0.2">
      <c r="A2880" s="1611">
        <v>15</v>
      </c>
      <c r="B2880" s="1611" t="s">
        <v>7203</v>
      </c>
      <c r="C2880" s="1611" t="s">
        <v>5455</v>
      </c>
      <c r="D2880" s="1612">
        <v>0</v>
      </c>
      <c r="E2880" s="1706" t="s">
        <v>7592</v>
      </c>
      <c r="F2880" s="1613">
        <v>35000000</v>
      </c>
      <c r="G2880" s="1613">
        <v>123097907087</v>
      </c>
    </row>
    <row r="2881" spans="1:7" ht="17.25" customHeight="1" x14ac:dyDescent="0.2">
      <c r="A2881" s="1611">
        <v>15</v>
      </c>
      <c r="B2881" s="1611" t="s">
        <v>7176</v>
      </c>
      <c r="C2881" s="1611" t="s">
        <v>5456</v>
      </c>
      <c r="D2881" s="1612">
        <v>0</v>
      </c>
      <c r="E2881" s="1706" t="s">
        <v>7592</v>
      </c>
      <c r="F2881" s="1613">
        <v>43000000</v>
      </c>
      <c r="G2881" s="1613">
        <v>123140907087</v>
      </c>
    </row>
    <row r="2882" spans="1:7" ht="17.25" customHeight="1" x14ac:dyDescent="0.2">
      <c r="A2882" s="1611">
        <v>15</v>
      </c>
      <c r="B2882" s="1611" t="s">
        <v>7203</v>
      </c>
      <c r="C2882" s="1611" t="s">
        <v>5457</v>
      </c>
      <c r="D2882" s="1612">
        <v>0</v>
      </c>
      <c r="E2882" s="1706" t="s">
        <v>7592</v>
      </c>
      <c r="F2882" s="1613">
        <v>36363636</v>
      </c>
      <c r="G2882" s="1613">
        <v>123177270723</v>
      </c>
    </row>
    <row r="2883" spans="1:7" ht="17.25" customHeight="1" x14ac:dyDescent="0.2">
      <c r="A2883" s="1611">
        <v>15</v>
      </c>
      <c r="B2883" s="1611" t="s">
        <v>7203</v>
      </c>
      <c r="C2883" s="1611" t="s">
        <v>3712</v>
      </c>
      <c r="D2883" s="1612">
        <v>0</v>
      </c>
      <c r="E2883" s="1706" t="s">
        <v>7592</v>
      </c>
      <c r="F2883" s="1613">
        <v>35909090</v>
      </c>
      <c r="G2883" s="1613">
        <v>123213179813</v>
      </c>
    </row>
    <row r="2884" spans="1:7" ht="17.25" customHeight="1" x14ac:dyDescent="0.2">
      <c r="A2884" s="1611">
        <v>15</v>
      </c>
      <c r="B2884" s="1611" t="s">
        <v>7156</v>
      </c>
      <c r="C2884" s="1611" t="s">
        <v>5458</v>
      </c>
      <c r="D2884" s="1612">
        <v>0</v>
      </c>
      <c r="E2884" s="1706" t="s">
        <v>7592</v>
      </c>
      <c r="F2884" s="1613">
        <v>15000000</v>
      </c>
      <c r="G2884" s="1613">
        <v>123228179813</v>
      </c>
    </row>
    <row r="2885" spans="1:7" ht="17.25" customHeight="1" x14ac:dyDescent="0.2">
      <c r="A2885" s="1611">
        <v>15</v>
      </c>
      <c r="B2885" s="1611" t="s">
        <v>7156</v>
      </c>
      <c r="C2885" s="1611" t="s">
        <v>5459</v>
      </c>
      <c r="D2885" s="1612">
        <v>0</v>
      </c>
      <c r="E2885" s="1706" t="s">
        <v>7592</v>
      </c>
      <c r="F2885" s="1613">
        <v>13800000</v>
      </c>
      <c r="G2885" s="1613">
        <v>123241979813</v>
      </c>
    </row>
    <row r="2886" spans="1:7" ht="17.25" customHeight="1" x14ac:dyDescent="0.2">
      <c r="A2886" s="1611">
        <v>15</v>
      </c>
      <c r="B2886" s="1611" t="s">
        <v>7176</v>
      </c>
      <c r="C2886" s="1611" t="s">
        <v>4026</v>
      </c>
      <c r="D2886" s="1612">
        <v>0</v>
      </c>
      <c r="E2886" s="1706" t="s">
        <v>7592</v>
      </c>
      <c r="F2886" s="1613">
        <v>44500000</v>
      </c>
      <c r="G2886" s="1613">
        <v>123286479813</v>
      </c>
    </row>
    <row r="2887" spans="1:7" ht="17.25" customHeight="1" x14ac:dyDescent="0.2">
      <c r="A2887" s="1611">
        <v>15</v>
      </c>
      <c r="B2887" s="1611" t="s">
        <v>7301</v>
      </c>
      <c r="C2887" s="1611" t="s">
        <v>4064</v>
      </c>
      <c r="D2887" s="1612">
        <v>0</v>
      </c>
      <c r="E2887" s="1612" t="s">
        <v>3295</v>
      </c>
      <c r="F2887" s="1613">
        <v>2867011</v>
      </c>
      <c r="G2887" s="1613">
        <v>123289346824</v>
      </c>
    </row>
    <row r="2888" spans="1:7" ht="17.25" customHeight="1" x14ac:dyDescent="0.2">
      <c r="A2888" s="1611">
        <v>15</v>
      </c>
      <c r="B2888" s="1611" t="s">
        <v>7203</v>
      </c>
      <c r="C2888" s="1611" t="s">
        <v>5460</v>
      </c>
      <c r="D2888" s="1612">
        <v>0</v>
      </c>
      <c r="E2888" s="1706" t="s">
        <v>7592</v>
      </c>
      <c r="F2888" s="1613">
        <v>33636363</v>
      </c>
      <c r="G2888" s="1613">
        <v>123322983187</v>
      </c>
    </row>
    <row r="2889" spans="1:7" ht="17.25" customHeight="1" x14ac:dyDescent="0.2">
      <c r="A2889" s="1611">
        <v>15</v>
      </c>
      <c r="B2889" s="1611" t="s">
        <v>7156</v>
      </c>
      <c r="C2889" s="1611" t="s">
        <v>5461</v>
      </c>
      <c r="D2889" s="1612">
        <v>0</v>
      </c>
      <c r="E2889" s="1706" t="s">
        <v>7592</v>
      </c>
      <c r="F2889" s="1613">
        <v>15000000</v>
      </c>
      <c r="G2889" s="1613">
        <v>123337983187</v>
      </c>
    </row>
    <row r="2890" spans="1:7" ht="17.25" customHeight="1" x14ac:dyDescent="0.2">
      <c r="A2890" s="1611">
        <v>15</v>
      </c>
      <c r="B2890" s="1611" t="s">
        <v>7251</v>
      </c>
      <c r="C2890" s="1611" t="s">
        <v>4370</v>
      </c>
      <c r="D2890" s="1612">
        <v>0</v>
      </c>
      <c r="E2890" s="1706" t="s">
        <v>7592</v>
      </c>
      <c r="F2890" s="1613">
        <v>32200000</v>
      </c>
      <c r="G2890" s="1613">
        <v>123370183187</v>
      </c>
    </row>
    <row r="2891" spans="1:7" ht="17.25" customHeight="1" x14ac:dyDescent="0.2">
      <c r="A2891" s="1611">
        <v>15</v>
      </c>
      <c r="B2891" s="1611" t="s">
        <v>7251</v>
      </c>
      <c r="C2891" s="1611" t="s">
        <v>4370</v>
      </c>
      <c r="D2891" s="1612">
        <v>0</v>
      </c>
      <c r="E2891" s="1706" t="s">
        <v>7592</v>
      </c>
      <c r="F2891" s="1613">
        <v>33000000</v>
      </c>
      <c r="G2891" s="1613">
        <v>123403183187</v>
      </c>
    </row>
    <row r="2892" spans="1:7" ht="17.25" customHeight="1" x14ac:dyDescent="0.2">
      <c r="A2892" s="1611">
        <v>15</v>
      </c>
      <c r="B2892" s="1611" t="s">
        <v>7251</v>
      </c>
      <c r="C2892" s="1611" t="s">
        <v>5462</v>
      </c>
      <c r="D2892" s="1612">
        <v>0</v>
      </c>
      <c r="E2892" s="1706" t="s">
        <v>7592</v>
      </c>
      <c r="F2892" s="1613">
        <v>32000000</v>
      </c>
      <c r="G2892" s="1613">
        <v>123435183187</v>
      </c>
    </row>
    <row r="2893" spans="1:7" ht="17.25" customHeight="1" x14ac:dyDescent="0.2">
      <c r="A2893" s="1611">
        <v>15</v>
      </c>
      <c r="B2893" s="1611" t="s">
        <v>7251</v>
      </c>
      <c r="C2893" s="1611" t="s">
        <v>5462</v>
      </c>
      <c r="D2893" s="1612">
        <v>0</v>
      </c>
      <c r="E2893" s="1706" t="s">
        <v>7592</v>
      </c>
      <c r="F2893" s="1613">
        <v>-32000000</v>
      </c>
      <c r="G2893" s="1613">
        <v>123403183187</v>
      </c>
    </row>
    <row r="2894" spans="1:7" ht="17.25" customHeight="1" x14ac:dyDescent="0.2">
      <c r="A2894" s="1611">
        <v>15</v>
      </c>
      <c r="B2894" s="1611" t="s">
        <v>7251</v>
      </c>
      <c r="C2894" s="1611" t="s">
        <v>5462</v>
      </c>
      <c r="D2894" s="1612">
        <v>0</v>
      </c>
      <c r="E2894" s="1706" t="s">
        <v>7592</v>
      </c>
      <c r="F2894" s="1613">
        <v>32000000</v>
      </c>
      <c r="G2894" s="1613">
        <v>123435183187</v>
      </c>
    </row>
    <row r="2895" spans="1:7" ht="17.25" customHeight="1" x14ac:dyDescent="0.2">
      <c r="A2895" s="1611">
        <v>15</v>
      </c>
      <c r="B2895" s="1611" t="s">
        <v>7203</v>
      </c>
      <c r="C2895" s="1611" t="s">
        <v>5463</v>
      </c>
      <c r="D2895" s="1612">
        <v>0</v>
      </c>
      <c r="E2895" s="1706" t="s">
        <v>7592</v>
      </c>
      <c r="F2895" s="1613">
        <v>33000000</v>
      </c>
      <c r="G2895" s="1613">
        <v>123468183187</v>
      </c>
    </row>
    <row r="2896" spans="1:7" ht="17.25" customHeight="1" x14ac:dyDescent="0.2">
      <c r="A2896" s="1611">
        <v>15</v>
      </c>
      <c r="B2896" s="1611" t="s">
        <v>7154</v>
      </c>
      <c r="C2896" s="1611" t="s">
        <v>5464</v>
      </c>
      <c r="D2896" s="1612">
        <v>0</v>
      </c>
      <c r="E2896" s="1706" t="s">
        <v>7592</v>
      </c>
      <c r="F2896" s="1613">
        <v>51000000</v>
      </c>
      <c r="G2896" s="1613">
        <v>123519183187</v>
      </c>
    </row>
    <row r="2897" spans="1:7" ht="17.25" customHeight="1" x14ac:dyDescent="0.2">
      <c r="A2897" s="1611">
        <v>15</v>
      </c>
      <c r="B2897" s="1611" t="s">
        <v>7203</v>
      </c>
      <c r="C2897" s="1611" t="s">
        <v>5465</v>
      </c>
      <c r="D2897" s="1612">
        <v>0</v>
      </c>
      <c r="E2897" s="1706" t="s">
        <v>7592</v>
      </c>
      <c r="F2897" s="1613">
        <v>34500000</v>
      </c>
      <c r="G2897" s="1613">
        <v>123553683187</v>
      </c>
    </row>
    <row r="2898" spans="1:7" ht="17.25" customHeight="1" x14ac:dyDescent="0.2">
      <c r="A2898" s="1611">
        <v>15</v>
      </c>
      <c r="B2898" s="1611" t="s">
        <v>7154</v>
      </c>
      <c r="C2898" s="1611" t="s">
        <v>5466</v>
      </c>
      <c r="D2898" s="1612">
        <v>0</v>
      </c>
      <c r="E2898" s="1706" t="s">
        <v>7592</v>
      </c>
      <c r="F2898" s="1613">
        <v>50909091</v>
      </c>
      <c r="G2898" s="1613">
        <v>123604592278</v>
      </c>
    </row>
    <row r="2899" spans="1:7" ht="17.25" customHeight="1" x14ac:dyDescent="0.2">
      <c r="A2899" s="1611">
        <v>15</v>
      </c>
      <c r="B2899" s="1611" t="s">
        <v>7154</v>
      </c>
      <c r="C2899" s="1611" t="s">
        <v>5467</v>
      </c>
      <c r="D2899" s="1612">
        <v>0</v>
      </c>
      <c r="E2899" s="1706" t="s">
        <v>7592</v>
      </c>
      <c r="F2899" s="1613">
        <v>51500000</v>
      </c>
      <c r="G2899" s="1613">
        <v>123656092278</v>
      </c>
    </row>
    <row r="2900" spans="1:7" ht="17.25" customHeight="1" x14ac:dyDescent="0.2">
      <c r="A2900" s="1611">
        <v>15</v>
      </c>
      <c r="B2900" s="1611" t="s">
        <v>7302</v>
      </c>
      <c r="C2900" s="1611" t="s">
        <v>5467</v>
      </c>
      <c r="D2900" s="1612">
        <v>0</v>
      </c>
      <c r="E2900" s="1706" t="s">
        <v>7592</v>
      </c>
      <c r="F2900" s="1613">
        <v>909091</v>
      </c>
      <c r="G2900" s="1613">
        <v>123657001369</v>
      </c>
    </row>
    <row r="2901" spans="1:7" ht="17.25" customHeight="1" x14ac:dyDescent="0.2">
      <c r="A2901" s="1611">
        <v>15</v>
      </c>
      <c r="B2901" s="1611" t="s">
        <v>7156</v>
      </c>
      <c r="C2901" s="1611" t="s">
        <v>5468</v>
      </c>
      <c r="D2901" s="1612">
        <v>0</v>
      </c>
      <c r="E2901" s="1706" t="s">
        <v>7592</v>
      </c>
      <c r="F2901" s="1613">
        <v>14500000</v>
      </c>
      <c r="G2901" s="1613">
        <v>123671501369</v>
      </c>
    </row>
    <row r="2902" spans="1:7" ht="17.25" customHeight="1" x14ac:dyDescent="0.2">
      <c r="A2902" s="1611">
        <v>15</v>
      </c>
      <c r="B2902" s="1611" t="s">
        <v>7203</v>
      </c>
      <c r="C2902" s="1611" t="s">
        <v>5469</v>
      </c>
      <c r="D2902" s="1612">
        <v>0</v>
      </c>
      <c r="E2902" s="1706" t="s">
        <v>7592</v>
      </c>
      <c r="F2902" s="1613">
        <v>35909091</v>
      </c>
      <c r="G2902" s="1613">
        <v>123707410460</v>
      </c>
    </row>
    <row r="2903" spans="1:7" ht="17.25" customHeight="1" x14ac:dyDescent="0.2">
      <c r="A2903" s="1611">
        <v>15</v>
      </c>
      <c r="B2903" s="1611" t="s">
        <v>7203</v>
      </c>
      <c r="C2903" s="1611" t="s">
        <v>5470</v>
      </c>
      <c r="D2903" s="1612">
        <v>0</v>
      </c>
      <c r="E2903" s="1706" t="s">
        <v>7592</v>
      </c>
      <c r="F2903" s="1613">
        <v>35909091</v>
      </c>
      <c r="G2903" s="1613">
        <v>123743319551</v>
      </c>
    </row>
    <row r="2904" spans="1:7" ht="17.25" customHeight="1" x14ac:dyDescent="0.2">
      <c r="A2904" s="1611">
        <v>15</v>
      </c>
      <c r="B2904" s="1611" t="s">
        <v>7203</v>
      </c>
      <c r="C2904" s="1611" t="s">
        <v>5471</v>
      </c>
      <c r="D2904" s="1612">
        <v>0</v>
      </c>
      <c r="E2904" s="1706" t="s">
        <v>7592</v>
      </c>
      <c r="F2904" s="1613">
        <v>37500000</v>
      </c>
      <c r="G2904" s="1613">
        <v>123780819551</v>
      </c>
    </row>
    <row r="2905" spans="1:7" ht="17.25" customHeight="1" x14ac:dyDescent="0.2">
      <c r="A2905" s="1611">
        <v>15</v>
      </c>
      <c r="B2905" s="1611" t="s">
        <v>7252</v>
      </c>
      <c r="C2905" s="1611" t="s">
        <v>5472</v>
      </c>
      <c r="D2905" s="1612">
        <v>0</v>
      </c>
      <c r="E2905" s="1706" t="s">
        <v>7592</v>
      </c>
      <c r="F2905" s="1613">
        <v>60200000</v>
      </c>
      <c r="G2905" s="1613">
        <v>123841019551</v>
      </c>
    </row>
    <row r="2906" spans="1:7" ht="17.25" customHeight="1" x14ac:dyDescent="0.2">
      <c r="A2906" s="1611">
        <v>15</v>
      </c>
      <c r="B2906" s="1611" t="s">
        <v>7156</v>
      </c>
      <c r="C2906" s="1611" t="s">
        <v>3507</v>
      </c>
      <c r="D2906" s="1612">
        <v>0</v>
      </c>
      <c r="E2906" s="1706" t="s">
        <v>7592</v>
      </c>
      <c r="F2906" s="1613">
        <v>14444545</v>
      </c>
      <c r="G2906" s="1613">
        <v>123855464096</v>
      </c>
    </row>
    <row r="2907" spans="1:7" ht="17.25" customHeight="1" x14ac:dyDescent="0.2">
      <c r="A2907" s="1611">
        <v>15</v>
      </c>
      <c r="B2907" s="1611" t="s">
        <v>7203</v>
      </c>
      <c r="C2907" s="1611" t="s">
        <v>5473</v>
      </c>
      <c r="D2907" s="1612">
        <v>0</v>
      </c>
      <c r="E2907" s="1706" t="s">
        <v>7592</v>
      </c>
      <c r="F2907" s="1613">
        <v>32630000</v>
      </c>
      <c r="G2907" s="1613">
        <v>123888094096</v>
      </c>
    </row>
    <row r="2908" spans="1:7" ht="17.25" customHeight="1" x14ac:dyDescent="0.2">
      <c r="A2908" s="1611">
        <v>15</v>
      </c>
      <c r="B2908" s="1611" t="s">
        <v>7273</v>
      </c>
      <c r="C2908" s="1611" t="s">
        <v>5474</v>
      </c>
      <c r="D2908" s="1612">
        <v>0</v>
      </c>
      <c r="E2908" s="1706" t="s">
        <v>7592</v>
      </c>
      <c r="F2908" s="1613">
        <v>160000000</v>
      </c>
      <c r="G2908" s="1613">
        <v>124048094096</v>
      </c>
    </row>
    <row r="2909" spans="1:7" ht="17.25" customHeight="1" x14ac:dyDescent="0.2">
      <c r="A2909" s="1611">
        <v>15</v>
      </c>
      <c r="B2909" s="1611" t="s">
        <v>7294</v>
      </c>
      <c r="C2909" s="1611" t="s">
        <v>4805</v>
      </c>
      <c r="D2909" s="1612">
        <v>0</v>
      </c>
      <c r="E2909" s="1706" t="s">
        <v>7592</v>
      </c>
      <c r="F2909" s="1613">
        <v>16856000</v>
      </c>
      <c r="G2909" s="1613">
        <v>124064950096</v>
      </c>
    </row>
    <row r="2910" spans="1:7" ht="17.25" customHeight="1" x14ac:dyDescent="0.2">
      <c r="A2910" s="1611">
        <v>15</v>
      </c>
      <c r="B2910" s="1611" t="s">
        <v>7294</v>
      </c>
      <c r="C2910" s="1611" t="s">
        <v>5376</v>
      </c>
      <c r="D2910" s="1612">
        <v>0</v>
      </c>
      <c r="E2910" s="1706" t="s">
        <v>7592</v>
      </c>
      <c r="F2910" s="1613">
        <v>18000000</v>
      </c>
      <c r="G2910" s="1613">
        <v>124082950096</v>
      </c>
    </row>
    <row r="2911" spans="1:7" ht="17.25" customHeight="1" x14ac:dyDescent="0.2">
      <c r="A2911" s="1611">
        <v>15</v>
      </c>
      <c r="B2911" s="1611" t="s">
        <v>2032</v>
      </c>
      <c r="C2911" s="1611" t="s">
        <v>5475</v>
      </c>
      <c r="D2911" s="1612" t="s">
        <v>7555</v>
      </c>
      <c r="E2911" s="1612" t="s">
        <v>3299</v>
      </c>
      <c r="F2911" s="1613">
        <v>22374590</v>
      </c>
      <c r="G2911" s="1613">
        <v>124105324686</v>
      </c>
    </row>
    <row r="2912" spans="1:7" ht="17.25" customHeight="1" x14ac:dyDescent="0.2">
      <c r="A2912" s="1611">
        <v>15</v>
      </c>
      <c r="B2912" s="1611" t="s">
        <v>7176</v>
      </c>
      <c r="C2912" s="1611" t="s">
        <v>5173</v>
      </c>
      <c r="D2912" s="1612">
        <v>0</v>
      </c>
      <c r="E2912" s="1706" t="s">
        <v>7592</v>
      </c>
      <c r="F2912" s="1613">
        <v>41109091</v>
      </c>
      <c r="G2912" s="1613">
        <v>124146433777</v>
      </c>
    </row>
    <row r="2913" spans="1:7" ht="17.25" customHeight="1" x14ac:dyDescent="0.2">
      <c r="A2913" s="1611">
        <v>15</v>
      </c>
      <c r="B2913" s="1611" t="s">
        <v>7203</v>
      </c>
      <c r="C2913" s="1611" t="s">
        <v>5173</v>
      </c>
      <c r="D2913" s="1612">
        <v>0</v>
      </c>
      <c r="E2913" s="1706" t="s">
        <v>7592</v>
      </c>
      <c r="F2913" s="1613">
        <v>34759091</v>
      </c>
      <c r="G2913" s="1613">
        <v>124181192868</v>
      </c>
    </row>
    <row r="2914" spans="1:7" ht="17.25" customHeight="1" x14ac:dyDescent="0.2">
      <c r="A2914" s="1611">
        <v>15</v>
      </c>
      <c r="B2914" s="1611" t="s">
        <v>7203</v>
      </c>
      <c r="C2914" s="1611" t="s">
        <v>5173</v>
      </c>
      <c r="D2914" s="1612">
        <v>0</v>
      </c>
      <c r="E2914" s="1706" t="s">
        <v>7592</v>
      </c>
      <c r="F2914" s="1613">
        <v>34759091</v>
      </c>
      <c r="G2914" s="1613">
        <v>124215951959</v>
      </c>
    </row>
    <row r="2915" spans="1:7" ht="17.25" customHeight="1" x14ac:dyDescent="0.2">
      <c r="A2915" s="1611">
        <v>15</v>
      </c>
      <c r="B2915" s="1611" t="s">
        <v>7203</v>
      </c>
      <c r="C2915" s="1611" t="s">
        <v>5173</v>
      </c>
      <c r="D2915" s="1612">
        <v>0</v>
      </c>
      <c r="E2915" s="1706" t="s">
        <v>7592</v>
      </c>
      <c r="F2915" s="1613">
        <v>34759091</v>
      </c>
      <c r="G2915" s="1613">
        <v>124250711050</v>
      </c>
    </row>
    <row r="2916" spans="1:7" ht="17.25" customHeight="1" x14ac:dyDescent="0.2">
      <c r="A2916" s="1611">
        <v>15</v>
      </c>
      <c r="B2916" s="1611" t="s">
        <v>7203</v>
      </c>
      <c r="C2916" s="1611" t="s">
        <v>5173</v>
      </c>
      <c r="D2916" s="1612">
        <v>0</v>
      </c>
      <c r="E2916" s="1706" t="s">
        <v>7592</v>
      </c>
      <c r="F2916" s="1613">
        <v>34759091</v>
      </c>
      <c r="G2916" s="1613">
        <v>124285470141</v>
      </c>
    </row>
    <row r="2917" spans="1:7" ht="17.25" customHeight="1" x14ac:dyDescent="0.2">
      <c r="A2917" s="1611">
        <v>15</v>
      </c>
      <c r="B2917" s="1611" t="s">
        <v>7154</v>
      </c>
      <c r="C2917" s="1611" t="s">
        <v>5476</v>
      </c>
      <c r="D2917" s="1612">
        <v>0</v>
      </c>
      <c r="E2917" s="1706" t="s">
        <v>7592</v>
      </c>
      <c r="F2917" s="1613">
        <v>50454545</v>
      </c>
      <c r="G2917" s="1613">
        <v>124335924686</v>
      </c>
    </row>
    <row r="2918" spans="1:7" ht="17.25" customHeight="1" x14ac:dyDescent="0.2">
      <c r="A2918" s="1611">
        <v>15</v>
      </c>
      <c r="B2918" s="1611" t="s">
        <v>7170</v>
      </c>
      <c r="C2918" s="1611" t="s">
        <v>5477</v>
      </c>
      <c r="D2918" s="1612">
        <v>0</v>
      </c>
      <c r="E2918" s="1706" t="s">
        <v>7592</v>
      </c>
      <c r="F2918" s="1613">
        <v>166500000</v>
      </c>
      <c r="G2918" s="1613">
        <v>124502424686</v>
      </c>
    </row>
    <row r="2919" spans="1:7" ht="17.25" customHeight="1" x14ac:dyDescent="0.2">
      <c r="A2919" s="1611">
        <v>15</v>
      </c>
      <c r="B2919" s="1611" t="s">
        <v>7203</v>
      </c>
      <c r="C2919" s="1611" t="s">
        <v>5478</v>
      </c>
      <c r="D2919" s="1612">
        <v>0</v>
      </c>
      <c r="E2919" s="1706" t="s">
        <v>7592</v>
      </c>
      <c r="F2919" s="1613">
        <v>34500000</v>
      </c>
      <c r="G2919" s="1613">
        <v>124536924686</v>
      </c>
    </row>
    <row r="2920" spans="1:7" ht="17.25" customHeight="1" x14ac:dyDescent="0.2">
      <c r="A2920" s="1611">
        <v>15</v>
      </c>
      <c r="B2920" s="1611" t="s">
        <v>7203</v>
      </c>
      <c r="C2920" s="1611" t="s">
        <v>5478</v>
      </c>
      <c r="D2920" s="1612">
        <v>0</v>
      </c>
      <c r="E2920" s="1706" t="s">
        <v>7592</v>
      </c>
      <c r="F2920" s="1613">
        <v>34500000</v>
      </c>
      <c r="G2920" s="1613">
        <v>124571424686</v>
      </c>
    </row>
    <row r="2921" spans="1:7" ht="17.25" customHeight="1" x14ac:dyDescent="0.2">
      <c r="A2921" s="1611">
        <v>15</v>
      </c>
      <c r="B2921" s="1611" t="s">
        <v>7176</v>
      </c>
      <c r="C2921" s="1611" t="s">
        <v>3659</v>
      </c>
      <c r="D2921" s="1612">
        <v>0</v>
      </c>
      <c r="E2921" s="1706" t="s">
        <v>7592</v>
      </c>
      <c r="F2921" s="1613">
        <v>42500000</v>
      </c>
      <c r="G2921" s="1613">
        <v>124613924686</v>
      </c>
    </row>
    <row r="2922" spans="1:7" ht="17.25" customHeight="1" x14ac:dyDescent="0.2">
      <c r="A2922" s="1611">
        <v>15</v>
      </c>
      <c r="B2922" s="1611" t="s">
        <v>7156</v>
      </c>
      <c r="C2922" s="1611" t="s">
        <v>5479</v>
      </c>
      <c r="D2922" s="1612">
        <v>0</v>
      </c>
      <c r="E2922" s="1706" t="s">
        <v>7592</v>
      </c>
      <c r="F2922" s="1613">
        <v>13204545</v>
      </c>
      <c r="G2922" s="1613">
        <v>124627129231</v>
      </c>
    </row>
    <row r="2923" spans="1:7" ht="17.25" customHeight="1" x14ac:dyDescent="0.2">
      <c r="A2923" s="1611">
        <v>15</v>
      </c>
      <c r="B2923" s="1611" t="s">
        <v>7154</v>
      </c>
      <c r="C2923" s="1611" t="s">
        <v>5480</v>
      </c>
      <c r="D2923" s="1612">
        <v>0</v>
      </c>
      <c r="E2923" s="1706" t="s">
        <v>7592</v>
      </c>
      <c r="F2923" s="1613">
        <v>51500000</v>
      </c>
      <c r="G2923" s="1613">
        <v>124678629231</v>
      </c>
    </row>
    <row r="2924" spans="1:7" ht="17.25" customHeight="1" x14ac:dyDescent="0.2">
      <c r="A2924" s="1611">
        <v>15</v>
      </c>
      <c r="B2924" s="1611" t="s">
        <v>7275</v>
      </c>
      <c r="C2924" s="1611" t="s">
        <v>5479</v>
      </c>
      <c r="D2924" s="1612">
        <v>0</v>
      </c>
      <c r="E2924" s="1706" t="s">
        <v>7592</v>
      </c>
      <c r="F2924" s="1613">
        <v>709091</v>
      </c>
      <c r="G2924" s="1613">
        <v>124679338322</v>
      </c>
    </row>
    <row r="2925" spans="1:7" ht="17.25" customHeight="1" x14ac:dyDescent="0.2">
      <c r="A2925" s="1611">
        <v>15</v>
      </c>
      <c r="B2925" s="1611" t="s">
        <v>7197</v>
      </c>
      <c r="C2925" s="1611" t="s">
        <v>4305</v>
      </c>
      <c r="D2925" s="1612">
        <v>0</v>
      </c>
      <c r="E2925" s="1612" t="s">
        <v>3296</v>
      </c>
      <c r="F2925" s="1613">
        <v>52696830</v>
      </c>
      <c r="G2925" s="1613">
        <v>124732035152</v>
      </c>
    </row>
    <row r="2926" spans="1:7" ht="17.25" customHeight="1" x14ac:dyDescent="0.2">
      <c r="A2926" s="1611">
        <v>15</v>
      </c>
      <c r="B2926" s="1611" t="s">
        <v>3601</v>
      </c>
      <c r="C2926" s="1611" t="s">
        <v>4305</v>
      </c>
      <c r="D2926" s="1612">
        <v>0</v>
      </c>
      <c r="E2926" s="1612" t="s">
        <v>3296</v>
      </c>
      <c r="F2926" s="1613">
        <v>-52696830</v>
      </c>
      <c r="G2926" s="1613">
        <v>124679338322</v>
      </c>
    </row>
    <row r="2927" spans="1:7" ht="17.25" customHeight="1" x14ac:dyDescent="0.2">
      <c r="A2927" s="1611">
        <v>15</v>
      </c>
      <c r="B2927" s="1611" t="s">
        <v>7156</v>
      </c>
      <c r="C2927" s="1611" t="s">
        <v>5481</v>
      </c>
      <c r="D2927" s="1612">
        <v>0</v>
      </c>
      <c r="E2927" s="1706" t="s">
        <v>7592</v>
      </c>
      <c r="F2927" s="1613">
        <v>14500000</v>
      </c>
      <c r="G2927" s="1613">
        <v>124693838322</v>
      </c>
    </row>
    <row r="2928" spans="1:7" ht="17.25" customHeight="1" x14ac:dyDescent="0.2">
      <c r="A2928" s="1611">
        <v>15</v>
      </c>
      <c r="B2928" s="1611" t="s">
        <v>7203</v>
      </c>
      <c r="C2928" s="1611" t="s">
        <v>5174</v>
      </c>
      <c r="D2928" s="1612">
        <v>0</v>
      </c>
      <c r="E2928" s="1706" t="s">
        <v>7592</v>
      </c>
      <c r="F2928" s="1613">
        <v>35709091</v>
      </c>
      <c r="G2928" s="1613">
        <v>124729547413</v>
      </c>
    </row>
    <row r="2929" spans="1:7" ht="17.25" customHeight="1" x14ac:dyDescent="0.2">
      <c r="A2929" s="1611">
        <v>15</v>
      </c>
      <c r="B2929" s="1611" t="s">
        <v>7203</v>
      </c>
      <c r="C2929" s="1611" t="s">
        <v>5174</v>
      </c>
      <c r="D2929" s="1612">
        <v>0</v>
      </c>
      <c r="E2929" s="1706" t="s">
        <v>7592</v>
      </c>
      <c r="F2929" s="1613">
        <v>35709091</v>
      </c>
      <c r="G2929" s="1613">
        <v>124765256504</v>
      </c>
    </row>
    <row r="2930" spans="1:7" ht="17.25" customHeight="1" x14ac:dyDescent="0.2">
      <c r="A2930" s="1611">
        <v>15</v>
      </c>
      <c r="B2930" s="1611" t="s">
        <v>7203</v>
      </c>
      <c r="C2930" s="1611" t="s">
        <v>5174</v>
      </c>
      <c r="D2930" s="1612">
        <v>0</v>
      </c>
      <c r="E2930" s="1706" t="s">
        <v>7592</v>
      </c>
      <c r="F2930" s="1613">
        <v>35709091</v>
      </c>
      <c r="G2930" s="1613">
        <v>124800965595</v>
      </c>
    </row>
    <row r="2931" spans="1:7" ht="17.25" customHeight="1" x14ac:dyDescent="0.2">
      <c r="A2931" s="1611">
        <v>15</v>
      </c>
      <c r="B2931" s="1611" t="s">
        <v>7176</v>
      </c>
      <c r="C2931" s="1611" t="s">
        <v>5174</v>
      </c>
      <c r="D2931" s="1612">
        <v>0</v>
      </c>
      <c r="E2931" s="1706" t="s">
        <v>7592</v>
      </c>
      <c r="F2931" s="1613">
        <v>41109091</v>
      </c>
      <c r="G2931" s="1613">
        <v>124842074686</v>
      </c>
    </row>
    <row r="2932" spans="1:7" ht="17.25" customHeight="1" x14ac:dyDescent="0.2">
      <c r="A2932" s="1611">
        <v>15</v>
      </c>
      <c r="B2932" s="1611" t="s">
        <v>7170</v>
      </c>
      <c r="C2932" s="1611" t="s">
        <v>5482</v>
      </c>
      <c r="D2932" s="1612">
        <v>0</v>
      </c>
      <c r="E2932" s="1706" t="s">
        <v>7592</v>
      </c>
      <c r="F2932" s="1613">
        <v>169000000</v>
      </c>
      <c r="G2932" s="1613">
        <v>125011074686</v>
      </c>
    </row>
    <row r="2933" spans="1:7" ht="17.25" customHeight="1" x14ac:dyDescent="0.2">
      <c r="A2933" s="1611">
        <v>15</v>
      </c>
      <c r="B2933" s="1611" t="s">
        <v>7273</v>
      </c>
      <c r="C2933" s="1611" t="s">
        <v>5483</v>
      </c>
      <c r="D2933" s="1612">
        <v>0</v>
      </c>
      <c r="E2933" s="1706" t="s">
        <v>7592</v>
      </c>
      <c r="F2933" s="1613">
        <v>160000000</v>
      </c>
      <c r="G2933" s="1613">
        <v>125171074686</v>
      </c>
    </row>
    <row r="2934" spans="1:7" ht="17.25" customHeight="1" x14ac:dyDescent="0.2">
      <c r="A2934" s="1611">
        <v>15</v>
      </c>
      <c r="B2934" s="1611" t="s">
        <v>4199</v>
      </c>
      <c r="C2934" s="1611" t="s">
        <v>5484</v>
      </c>
      <c r="D2934" s="1612">
        <v>0</v>
      </c>
      <c r="E2934" s="1612" t="s">
        <v>3298</v>
      </c>
      <c r="F2934" s="1613">
        <v>5822664</v>
      </c>
      <c r="G2934" s="1613">
        <v>125176897350</v>
      </c>
    </row>
    <row r="2935" spans="1:7" ht="17.25" customHeight="1" x14ac:dyDescent="0.2">
      <c r="A2935" s="1611">
        <v>15</v>
      </c>
      <c r="B2935" s="1611" t="s">
        <v>7156</v>
      </c>
      <c r="C2935" s="1611" t="s">
        <v>5485</v>
      </c>
      <c r="D2935" s="1612">
        <v>0</v>
      </c>
      <c r="E2935" s="1706" t="s">
        <v>7592</v>
      </c>
      <c r="F2935" s="1613">
        <v>13500000</v>
      </c>
      <c r="G2935" s="1613">
        <v>125190397350</v>
      </c>
    </row>
    <row r="2936" spans="1:7" ht="17.25" customHeight="1" x14ac:dyDescent="0.2">
      <c r="A2936" s="1611">
        <v>15</v>
      </c>
      <c r="B2936" s="1611" t="s">
        <v>7156</v>
      </c>
      <c r="C2936" s="1611" t="s">
        <v>5485</v>
      </c>
      <c r="D2936" s="1612">
        <v>0</v>
      </c>
      <c r="E2936" s="1706" t="s">
        <v>7592</v>
      </c>
      <c r="F2936" s="1613">
        <v>13500000</v>
      </c>
      <c r="G2936" s="1613">
        <v>125203897350</v>
      </c>
    </row>
    <row r="2937" spans="1:7" ht="17.25" customHeight="1" x14ac:dyDescent="0.2">
      <c r="A2937" s="1611">
        <v>15</v>
      </c>
      <c r="B2937" s="1611" t="s">
        <v>7176</v>
      </c>
      <c r="C2937" s="1611" t="s">
        <v>5469</v>
      </c>
      <c r="D2937" s="1612">
        <v>0</v>
      </c>
      <c r="E2937" s="1706" t="s">
        <v>7592</v>
      </c>
      <c r="F2937" s="1613">
        <v>41818182</v>
      </c>
      <c r="G2937" s="1613">
        <v>125245715532</v>
      </c>
    </row>
    <row r="2938" spans="1:7" ht="17.25" customHeight="1" x14ac:dyDescent="0.2">
      <c r="A2938" s="1611">
        <v>15</v>
      </c>
      <c r="B2938" s="1611" t="s">
        <v>7156</v>
      </c>
      <c r="C2938" s="1611" t="s">
        <v>5485</v>
      </c>
      <c r="D2938" s="1612">
        <v>0</v>
      </c>
      <c r="E2938" s="1706" t="s">
        <v>7592</v>
      </c>
      <c r="F2938" s="1613">
        <v>-13500000</v>
      </c>
      <c r="G2938" s="1613">
        <v>125232215532</v>
      </c>
    </row>
    <row r="2939" spans="1:7" ht="17.25" customHeight="1" x14ac:dyDescent="0.2">
      <c r="A2939" s="1611">
        <v>15</v>
      </c>
      <c r="B2939" s="1611" t="s">
        <v>7156</v>
      </c>
      <c r="C2939" s="1611" t="s">
        <v>5485</v>
      </c>
      <c r="D2939" s="1612">
        <v>0</v>
      </c>
      <c r="E2939" s="1706" t="s">
        <v>7592</v>
      </c>
      <c r="F2939" s="1613">
        <v>13500000</v>
      </c>
      <c r="G2939" s="1613">
        <v>125245715532</v>
      </c>
    </row>
    <row r="2940" spans="1:7" ht="17.25" customHeight="1" x14ac:dyDescent="0.2">
      <c r="A2940" s="1611">
        <v>15</v>
      </c>
      <c r="B2940" s="1611" t="s">
        <v>7176</v>
      </c>
      <c r="C2940" s="1611" t="s">
        <v>5486</v>
      </c>
      <c r="D2940" s="1612">
        <v>0</v>
      </c>
      <c r="E2940" s="1706" t="s">
        <v>7592</v>
      </c>
      <c r="F2940" s="1613">
        <v>41000000</v>
      </c>
      <c r="G2940" s="1613">
        <v>125286715532</v>
      </c>
    </row>
    <row r="2941" spans="1:7" ht="17.25" customHeight="1" x14ac:dyDescent="0.2">
      <c r="A2941" s="1611">
        <v>15</v>
      </c>
      <c r="B2941" s="1611" t="s">
        <v>7170</v>
      </c>
      <c r="C2941" s="1611" t="s">
        <v>5487</v>
      </c>
      <c r="D2941" s="1612">
        <v>0</v>
      </c>
      <c r="E2941" s="1706" t="s">
        <v>7592</v>
      </c>
      <c r="F2941" s="1613">
        <v>171000000</v>
      </c>
      <c r="G2941" s="1613">
        <v>125457715532</v>
      </c>
    </row>
    <row r="2942" spans="1:7" ht="17.25" customHeight="1" x14ac:dyDescent="0.2">
      <c r="A2942" s="1611">
        <v>15</v>
      </c>
      <c r="B2942" s="1611" t="s">
        <v>2055</v>
      </c>
      <c r="C2942" s="1611" t="s">
        <v>5488</v>
      </c>
      <c r="D2942" s="1612" t="s">
        <v>7555</v>
      </c>
      <c r="E2942" s="1706" t="s">
        <v>7592</v>
      </c>
      <c r="F2942" s="1613">
        <v>60700000</v>
      </c>
      <c r="G2942" s="1613">
        <v>125518415532</v>
      </c>
    </row>
    <row r="2943" spans="1:7" ht="17.25" customHeight="1" x14ac:dyDescent="0.2">
      <c r="A2943" s="1611">
        <v>15</v>
      </c>
      <c r="B2943" s="1611" t="s">
        <v>7203</v>
      </c>
      <c r="C2943" s="1611" t="s">
        <v>5489</v>
      </c>
      <c r="D2943" s="1612">
        <v>0</v>
      </c>
      <c r="E2943" s="1706" t="s">
        <v>7592</v>
      </c>
      <c r="F2943" s="1613">
        <v>36800000</v>
      </c>
      <c r="G2943" s="1613">
        <v>125555215532</v>
      </c>
    </row>
    <row r="2944" spans="1:7" ht="17.25" customHeight="1" x14ac:dyDescent="0.2">
      <c r="A2944" s="1611">
        <v>15</v>
      </c>
      <c r="B2944" s="1611" t="s">
        <v>7203</v>
      </c>
      <c r="C2944" s="1611" t="s">
        <v>5489</v>
      </c>
      <c r="D2944" s="1612">
        <v>0</v>
      </c>
      <c r="E2944" s="1706" t="s">
        <v>7592</v>
      </c>
      <c r="F2944" s="1613">
        <v>36800000</v>
      </c>
      <c r="G2944" s="1613">
        <v>125592015532</v>
      </c>
    </row>
    <row r="2945" spans="1:7" ht="17.25" customHeight="1" x14ac:dyDescent="0.2">
      <c r="A2945" s="1611">
        <v>15</v>
      </c>
      <c r="B2945" s="1611" t="s">
        <v>7203</v>
      </c>
      <c r="C2945" s="1611" t="s">
        <v>5489</v>
      </c>
      <c r="D2945" s="1612">
        <v>0</v>
      </c>
      <c r="E2945" s="1706" t="s">
        <v>7592</v>
      </c>
      <c r="F2945" s="1613">
        <v>36800000</v>
      </c>
      <c r="G2945" s="1613">
        <v>125628815532</v>
      </c>
    </row>
    <row r="2946" spans="1:7" ht="17.25" customHeight="1" x14ac:dyDescent="0.2">
      <c r="A2946" s="1611">
        <v>15</v>
      </c>
      <c r="B2946" s="1611" t="s">
        <v>7203</v>
      </c>
      <c r="C2946" s="1611" t="s">
        <v>5490</v>
      </c>
      <c r="D2946" s="1612">
        <v>0</v>
      </c>
      <c r="E2946" s="1706" t="s">
        <v>7592</v>
      </c>
      <c r="F2946" s="1613">
        <v>36800000</v>
      </c>
      <c r="G2946" s="1613">
        <v>125665615532</v>
      </c>
    </row>
    <row r="2947" spans="1:7" ht="17.25" customHeight="1" x14ac:dyDescent="0.2">
      <c r="A2947" s="1611">
        <v>15</v>
      </c>
      <c r="B2947" s="1611" t="s">
        <v>7203</v>
      </c>
      <c r="C2947" s="1611" t="s">
        <v>5490</v>
      </c>
      <c r="D2947" s="1612">
        <v>0</v>
      </c>
      <c r="E2947" s="1706" t="s">
        <v>7592</v>
      </c>
      <c r="F2947" s="1613">
        <v>36800000</v>
      </c>
      <c r="G2947" s="1613">
        <v>125702415532</v>
      </c>
    </row>
    <row r="2948" spans="1:7" ht="17.25" customHeight="1" x14ac:dyDescent="0.2">
      <c r="A2948" s="1611">
        <v>15</v>
      </c>
      <c r="B2948" s="1611" t="s">
        <v>7203</v>
      </c>
      <c r="C2948" s="1611" t="s">
        <v>5490</v>
      </c>
      <c r="D2948" s="1612">
        <v>0</v>
      </c>
      <c r="E2948" s="1706" t="s">
        <v>7592</v>
      </c>
      <c r="F2948" s="1613">
        <v>36800000</v>
      </c>
      <c r="G2948" s="1613">
        <v>125739215532</v>
      </c>
    </row>
    <row r="2949" spans="1:7" ht="17.25" customHeight="1" x14ac:dyDescent="0.2">
      <c r="A2949" s="1611">
        <v>15</v>
      </c>
      <c r="B2949" s="1611" t="s">
        <v>7203</v>
      </c>
      <c r="C2949" s="1611" t="s">
        <v>5491</v>
      </c>
      <c r="D2949" s="1612">
        <v>0</v>
      </c>
      <c r="E2949" s="1706" t="s">
        <v>7592</v>
      </c>
      <c r="F2949" s="1613">
        <v>36500000</v>
      </c>
      <c r="G2949" s="1613">
        <v>125775715532</v>
      </c>
    </row>
    <row r="2950" spans="1:7" ht="17.25" customHeight="1" x14ac:dyDescent="0.2">
      <c r="A2950" s="1611">
        <v>15</v>
      </c>
      <c r="B2950" s="1611" t="s">
        <v>7203</v>
      </c>
      <c r="C2950" s="1611" t="s">
        <v>5492</v>
      </c>
      <c r="D2950" s="1612">
        <v>0</v>
      </c>
      <c r="E2950" s="1706" t="s">
        <v>7592</v>
      </c>
      <c r="F2950" s="1613">
        <v>36500000</v>
      </c>
      <c r="G2950" s="1613">
        <v>125812215532</v>
      </c>
    </row>
    <row r="2951" spans="1:7" ht="17.25" customHeight="1" x14ac:dyDescent="0.2">
      <c r="A2951" s="1611">
        <v>15</v>
      </c>
      <c r="B2951" s="1611" t="s">
        <v>7176</v>
      </c>
      <c r="C2951" s="1611" t="s">
        <v>5493</v>
      </c>
      <c r="D2951" s="1612">
        <v>0</v>
      </c>
      <c r="E2951" s="1706" t="s">
        <v>7592</v>
      </c>
      <c r="F2951" s="1613">
        <v>40500000</v>
      </c>
      <c r="G2951" s="1613">
        <v>125852715532</v>
      </c>
    </row>
    <row r="2952" spans="1:7" ht="17.25" customHeight="1" x14ac:dyDescent="0.2">
      <c r="A2952" s="1611">
        <v>15</v>
      </c>
      <c r="B2952" s="1611" t="s">
        <v>7203</v>
      </c>
      <c r="C2952" s="1611" t="s">
        <v>5493</v>
      </c>
      <c r="D2952" s="1612">
        <v>0</v>
      </c>
      <c r="E2952" s="1706" t="s">
        <v>7592</v>
      </c>
      <c r="F2952" s="1613">
        <v>33500000</v>
      </c>
      <c r="G2952" s="1613">
        <v>125886215532</v>
      </c>
    </row>
    <row r="2953" spans="1:7" ht="17.25" customHeight="1" x14ac:dyDescent="0.2">
      <c r="A2953" s="1611">
        <v>15</v>
      </c>
      <c r="B2953" s="1611" t="s">
        <v>7203</v>
      </c>
      <c r="C2953" s="1611" t="s">
        <v>5493</v>
      </c>
      <c r="D2953" s="1612">
        <v>0</v>
      </c>
      <c r="E2953" s="1706" t="s">
        <v>7592</v>
      </c>
      <c r="F2953" s="1613">
        <v>33500000</v>
      </c>
      <c r="G2953" s="1613">
        <v>125919715532</v>
      </c>
    </row>
    <row r="2954" spans="1:7" ht="17.25" customHeight="1" x14ac:dyDescent="0.2">
      <c r="A2954" s="1611">
        <v>15</v>
      </c>
      <c r="B2954" s="1611" t="s">
        <v>7203</v>
      </c>
      <c r="C2954" s="1611" t="s">
        <v>5494</v>
      </c>
      <c r="D2954" s="1612">
        <v>0</v>
      </c>
      <c r="E2954" s="1706" t="s">
        <v>7592</v>
      </c>
      <c r="F2954" s="1613">
        <v>34000000</v>
      </c>
      <c r="G2954" s="1613">
        <v>125953715532</v>
      </c>
    </row>
    <row r="2955" spans="1:7" ht="17.25" customHeight="1" x14ac:dyDescent="0.2">
      <c r="A2955" s="1611">
        <v>15</v>
      </c>
      <c r="B2955" s="1611" t="s">
        <v>7251</v>
      </c>
      <c r="C2955" s="1611" t="s">
        <v>4150</v>
      </c>
      <c r="D2955" s="1612">
        <v>0</v>
      </c>
      <c r="E2955" s="1706" t="s">
        <v>7592</v>
      </c>
      <c r="F2955" s="1613">
        <v>33500000</v>
      </c>
      <c r="G2955" s="1613">
        <v>125987215532</v>
      </c>
    </row>
    <row r="2956" spans="1:7" ht="17.25" customHeight="1" x14ac:dyDescent="0.2">
      <c r="A2956" s="1611">
        <v>15</v>
      </c>
      <c r="B2956" s="1611" t="s">
        <v>7251</v>
      </c>
      <c r="C2956" s="1611" t="s">
        <v>4150</v>
      </c>
      <c r="D2956" s="1612">
        <v>0</v>
      </c>
      <c r="E2956" s="1706" t="s">
        <v>7592</v>
      </c>
      <c r="F2956" s="1613">
        <v>33000000</v>
      </c>
      <c r="G2956" s="1613">
        <v>126020215532</v>
      </c>
    </row>
    <row r="2957" spans="1:7" ht="17.25" customHeight="1" x14ac:dyDescent="0.2">
      <c r="A2957" s="1611">
        <v>15</v>
      </c>
      <c r="B2957" s="1611" t="s">
        <v>7251</v>
      </c>
      <c r="C2957" s="1611" t="s">
        <v>4150</v>
      </c>
      <c r="D2957" s="1612">
        <v>0</v>
      </c>
      <c r="E2957" s="1706" t="s">
        <v>7592</v>
      </c>
      <c r="F2957" s="1613">
        <v>32200000</v>
      </c>
      <c r="G2957" s="1613">
        <v>126052415532</v>
      </c>
    </row>
    <row r="2958" spans="1:7" ht="17.25" customHeight="1" x14ac:dyDescent="0.2">
      <c r="A2958" s="1611">
        <v>15</v>
      </c>
      <c r="B2958" s="1611" t="s">
        <v>7251</v>
      </c>
      <c r="C2958" s="1611" t="s">
        <v>5495</v>
      </c>
      <c r="D2958" s="1612">
        <v>0</v>
      </c>
      <c r="E2958" s="1706" t="s">
        <v>7592</v>
      </c>
      <c r="F2958" s="1613">
        <v>33500000</v>
      </c>
      <c r="G2958" s="1613">
        <v>126085915532</v>
      </c>
    </row>
    <row r="2959" spans="1:7" ht="17.25" customHeight="1" x14ac:dyDescent="0.2">
      <c r="A2959" s="1611">
        <v>15</v>
      </c>
      <c r="B2959" s="1611" t="s">
        <v>7251</v>
      </c>
      <c r="C2959" s="1611" t="s">
        <v>5495</v>
      </c>
      <c r="D2959" s="1612">
        <v>0</v>
      </c>
      <c r="E2959" s="1706" t="s">
        <v>7592</v>
      </c>
      <c r="F2959" s="1613">
        <v>33000000</v>
      </c>
      <c r="G2959" s="1613">
        <v>126118915532</v>
      </c>
    </row>
    <row r="2960" spans="1:7" ht="17.25" customHeight="1" x14ac:dyDescent="0.2">
      <c r="A2960" s="1611">
        <v>15</v>
      </c>
      <c r="B2960" s="1611" t="s">
        <v>7251</v>
      </c>
      <c r="C2960" s="1611" t="s">
        <v>5495</v>
      </c>
      <c r="D2960" s="1612">
        <v>0</v>
      </c>
      <c r="E2960" s="1706" t="s">
        <v>7592</v>
      </c>
      <c r="F2960" s="1613">
        <v>32200000</v>
      </c>
      <c r="G2960" s="1613">
        <v>126151115532</v>
      </c>
    </row>
    <row r="2961" spans="1:7" ht="17.25" customHeight="1" x14ac:dyDescent="0.2">
      <c r="A2961" s="1611">
        <v>15</v>
      </c>
      <c r="B2961" s="1611" t="s">
        <v>7203</v>
      </c>
      <c r="C2961" s="1611" t="s">
        <v>4635</v>
      </c>
      <c r="D2961" s="1612">
        <v>0</v>
      </c>
      <c r="E2961" s="1706" t="s">
        <v>7592</v>
      </c>
      <c r="F2961" s="1613">
        <v>35500000</v>
      </c>
      <c r="G2961" s="1613">
        <v>126186615532</v>
      </c>
    </row>
    <row r="2962" spans="1:7" ht="17.25" customHeight="1" x14ac:dyDescent="0.2">
      <c r="A2962" s="1611">
        <v>15</v>
      </c>
      <c r="B2962" s="1611" t="s">
        <v>7203</v>
      </c>
      <c r="C2962" s="1611" t="s">
        <v>5496</v>
      </c>
      <c r="D2962" s="1612">
        <v>0</v>
      </c>
      <c r="E2962" s="1706" t="s">
        <v>7592</v>
      </c>
      <c r="F2962" s="1613">
        <v>36000000</v>
      </c>
      <c r="G2962" s="1613">
        <v>126222615532</v>
      </c>
    </row>
    <row r="2963" spans="1:7" ht="17.25" customHeight="1" x14ac:dyDescent="0.2">
      <c r="A2963" s="1611">
        <v>15</v>
      </c>
      <c r="B2963" s="1611" t="s">
        <v>7186</v>
      </c>
      <c r="C2963" s="1611" t="s">
        <v>5497</v>
      </c>
      <c r="D2963" s="1612">
        <v>0</v>
      </c>
      <c r="E2963" s="1706" t="s">
        <v>7592</v>
      </c>
      <c r="F2963" s="1613">
        <v>53000000</v>
      </c>
      <c r="G2963" s="1613">
        <v>126275615532</v>
      </c>
    </row>
    <row r="2964" spans="1:7" ht="17.25" customHeight="1" x14ac:dyDescent="0.2">
      <c r="A2964" s="1611">
        <v>15</v>
      </c>
      <c r="B2964" s="1611" t="s">
        <v>7303</v>
      </c>
      <c r="C2964" s="1611" t="s">
        <v>4859</v>
      </c>
      <c r="D2964" s="1612">
        <v>0</v>
      </c>
      <c r="E2964" s="1706" t="s">
        <v>7592</v>
      </c>
      <c r="F2964" s="1613">
        <v>948100000</v>
      </c>
      <c r="G2964" s="1613">
        <v>127223715532</v>
      </c>
    </row>
    <row r="2965" spans="1:7" ht="17.25" customHeight="1" x14ac:dyDescent="0.2">
      <c r="A2965" s="1611">
        <v>15</v>
      </c>
      <c r="B2965" s="1611" t="s">
        <v>2954</v>
      </c>
      <c r="C2965" s="1611" t="s">
        <v>5078</v>
      </c>
      <c r="D2965" s="1612">
        <v>0</v>
      </c>
      <c r="E2965" s="1706" t="s">
        <v>7592</v>
      </c>
      <c r="F2965" s="1613">
        <v>15600000</v>
      </c>
      <c r="G2965" s="1613">
        <v>127239315532</v>
      </c>
    </row>
    <row r="2966" spans="1:7" ht="17.25" customHeight="1" x14ac:dyDescent="0.2">
      <c r="A2966" s="1611">
        <v>15</v>
      </c>
      <c r="B2966" s="1611" t="s">
        <v>2954</v>
      </c>
      <c r="C2966" s="1611" t="s">
        <v>5498</v>
      </c>
      <c r="D2966" s="1612">
        <v>0</v>
      </c>
      <c r="E2966" s="1706" t="s">
        <v>7592</v>
      </c>
      <c r="F2966" s="1613">
        <v>15600000</v>
      </c>
      <c r="G2966" s="1613">
        <v>127254915532</v>
      </c>
    </row>
    <row r="2967" spans="1:7" ht="17.25" customHeight="1" x14ac:dyDescent="0.2">
      <c r="A2967" s="1611">
        <v>15</v>
      </c>
      <c r="B2967" s="1611" t="s">
        <v>7203</v>
      </c>
      <c r="C2967" s="1611" t="s">
        <v>5499</v>
      </c>
      <c r="D2967" s="1612">
        <v>0</v>
      </c>
      <c r="E2967" s="1706" t="s">
        <v>7592</v>
      </c>
      <c r="F2967" s="1613">
        <v>33500000</v>
      </c>
      <c r="G2967" s="1613">
        <v>127288415532</v>
      </c>
    </row>
    <row r="2968" spans="1:7" ht="17.25" customHeight="1" x14ac:dyDescent="0.2">
      <c r="A2968" s="1611">
        <v>15</v>
      </c>
      <c r="B2968" s="1611" t="s">
        <v>7203</v>
      </c>
      <c r="C2968" s="1611" t="s">
        <v>5499</v>
      </c>
      <c r="D2968" s="1612">
        <v>0</v>
      </c>
      <c r="E2968" s="1706" t="s">
        <v>7592</v>
      </c>
      <c r="F2968" s="1613">
        <v>33500000</v>
      </c>
      <c r="G2968" s="1613">
        <v>127321915532</v>
      </c>
    </row>
    <row r="2969" spans="1:7" ht="17.25" customHeight="1" x14ac:dyDescent="0.2">
      <c r="A2969" s="1611">
        <v>15</v>
      </c>
      <c r="B2969" s="1611" t="s">
        <v>7203</v>
      </c>
      <c r="C2969" s="1611" t="s">
        <v>5499</v>
      </c>
      <c r="D2969" s="1612">
        <v>0</v>
      </c>
      <c r="E2969" s="1706" t="s">
        <v>7592</v>
      </c>
      <c r="F2969" s="1613">
        <v>36800000</v>
      </c>
      <c r="G2969" s="1613">
        <v>127358715532</v>
      </c>
    </row>
    <row r="2970" spans="1:7" ht="17.25" customHeight="1" x14ac:dyDescent="0.2">
      <c r="A2970" s="1611">
        <v>15</v>
      </c>
      <c r="B2970" s="1611" t="s">
        <v>7203</v>
      </c>
      <c r="C2970" s="1611" t="s">
        <v>5499</v>
      </c>
      <c r="D2970" s="1612">
        <v>0</v>
      </c>
      <c r="E2970" s="1706" t="s">
        <v>7592</v>
      </c>
      <c r="F2970" s="1613">
        <v>36800000</v>
      </c>
      <c r="G2970" s="1613">
        <v>127395515532</v>
      </c>
    </row>
    <row r="2971" spans="1:7" ht="17.25" customHeight="1" x14ac:dyDescent="0.2">
      <c r="A2971" s="1611">
        <v>15</v>
      </c>
      <c r="B2971" s="1611" t="s">
        <v>7203</v>
      </c>
      <c r="C2971" s="1611" t="s">
        <v>7589</v>
      </c>
      <c r="D2971" s="1612">
        <v>0</v>
      </c>
      <c r="E2971" s="1706" t="s">
        <v>7592</v>
      </c>
      <c r="F2971" s="1613">
        <v>33800000</v>
      </c>
      <c r="G2971" s="1613">
        <v>127429315532</v>
      </c>
    </row>
    <row r="2972" spans="1:7" ht="17.25" customHeight="1" x14ac:dyDescent="0.2">
      <c r="A2972" s="1611">
        <v>15</v>
      </c>
      <c r="B2972" s="1611" t="s">
        <v>7170</v>
      </c>
      <c r="C2972" s="1611" t="s">
        <v>5500</v>
      </c>
      <c r="D2972" s="1612">
        <v>0</v>
      </c>
      <c r="E2972" s="1706" t="s">
        <v>7592</v>
      </c>
      <c r="F2972" s="1613">
        <v>168000000</v>
      </c>
      <c r="G2972" s="1613">
        <v>127597315532</v>
      </c>
    </row>
    <row r="2973" spans="1:7" ht="17.25" customHeight="1" x14ac:dyDescent="0.2">
      <c r="A2973" s="1611">
        <v>15</v>
      </c>
      <c r="B2973" s="1611" t="s">
        <v>7294</v>
      </c>
      <c r="C2973" s="1611" t="s">
        <v>4549</v>
      </c>
      <c r="D2973" s="1612">
        <v>0</v>
      </c>
      <c r="E2973" s="1706" t="s">
        <v>7592</v>
      </c>
      <c r="F2973" s="1613">
        <v>16856000</v>
      </c>
      <c r="G2973" s="1613">
        <v>127614171532</v>
      </c>
    </row>
    <row r="2974" spans="1:7" ht="17.25" customHeight="1" x14ac:dyDescent="0.2">
      <c r="A2974" s="1611">
        <v>15</v>
      </c>
      <c r="B2974" s="1611" t="s">
        <v>7154</v>
      </c>
      <c r="C2974" s="1611" t="s">
        <v>5501</v>
      </c>
      <c r="D2974" s="1612">
        <v>0</v>
      </c>
      <c r="E2974" s="1706" t="s">
        <v>7592</v>
      </c>
      <c r="F2974" s="1613">
        <v>50000000</v>
      </c>
      <c r="G2974" s="1613">
        <v>127664171532</v>
      </c>
    </row>
    <row r="2975" spans="1:7" ht="17.25" customHeight="1" x14ac:dyDescent="0.2">
      <c r="A2975" s="1611">
        <v>15</v>
      </c>
      <c r="B2975" s="1611" t="s">
        <v>7154</v>
      </c>
      <c r="C2975" s="1611" t="s">
        <v>5502</v>
      </c>
      <c r="D2975" s="1612">
        <v>0</v>
      </c>
      <c r="E2975" s="1706" t="s">
        <v>7592</v>
      </c>
      <c r="F2975" s="1613">
        <v>50727273</v>
      </c>
      <c r="G2975" s="1613">
        <v>127714898805</v>
      </c>
    </row>
    <row r="2976" spans="1:7" ht="17.25" customHeight="1" x14ac:dyDescent="0.2">
      <c r="A2976" s="1611">
        <v>15</v>
      </c>
      <c r="B2976" s="1611" t="s">
        <v>7244</v>
      </c>
      <c r="C2976" s="1611" t="s">
        <v>5503</v>
      </c>
      <c r="D2976" s="1612">
        <v>0</v>
      </c>
      <c r="E2976" s="1706" t="s">
        <v>7592</v>
      </c>
      <c r="F2976" s="1613">
        <v>40000000</v>
      </c>
      <c r="G2976" s="1613">
        <v>127754898805</v>
      </c>
    </row>
    <row r="2977" spans="1:7" ht="17.25" customHeight="1" x14ac:dyDescent="0.2">
      <c r="A2977" s="1611">
        <v>15</v>
      </c>
      <c r="B2977" s="1611" t="s">
        <v>7170</v>
      </c>
      <c r="C2977" s="1611" t="s">
        <v>5500</v>
      </c>
      <c r="D2977" s="1612">
        <v>0</v>
      </c>
      <c r="E2977" s="1706" t="s">
        <v>7592</v>
      </c>
      <c r="F2977" s="1613">
        <v>-168000000</v>
      </c>
      <c r="G2977" s="1613">
        <v>127586898805</v>
      </c>
    </row>
    <row r="2978" spans="1:7" ht="17.25" customHeight="1" x14ac:dyDescent="0.2">
      <c r="A2978" s="1611">
        <v>15</v>
      </c>
      <c r="B2978" s="1611" t="s">
        <v>7170</v>
      </c>
      <c r="C2978" s="1611" t="s">
        <v>5504</v>
      </c>
      <c r="D2978" s="1612">
        <v>0</v>
      </c>
      <c r="E2978" s="1706" t="s">
        <v>7592</v>
      </c>
      <c r="F2978" s="1613">
        <v>168000000</v>
      </c>
      <c r="G2978" s="1613">
        <v>127754898805</v>
      </c>
    </row>
    <row r="2979" spans="1:7" ht="17.25" customHeight="1" x14ac:dyDescent="0.2">
      <c r="A2979" s="1611">
        <v>15</v>
      </c>
      <c r="B2979" s="1611" t="s">
        <v>7304</v>
      </c>
      <c r="C2979" s="1611" t="s">
        <v>4975</v>
      </c>
      <c r="D2979" s="1612">
        <v>0</v>
      </c>
      <c r="E2979" s="1706" t="s">
        <v>7592</v>
      </c>
      <c r="F2979" s="1613">
        <v>35500000</v>
      </c>
      <c r="G2979" s="1613">
        <v>127790398805</v>
      </c>
    </row>
    <row r="2980" spans="1:7" ht="17.25" customHeight="1" x14ac:dyDescent="0.2">
      <c r="A2980" s="1611">
        <v>15</v>
      </c>
      <c r="B2980" s="1611" t="s">
        <v>7203</v>
      </c>
      <c r="C2980" s="1611" t="s">
        <v>5505</v>
      </c>
      <c r="D2980" s="1612">
        <v>0</v>
      </c>
      <c r="E2980" s="1706" t="s">
        <v>7592</v>
      </c>
      <c r="F2980" s="1613">
        <v>36000000</v>
      </c>
      <c r="G2980" s="1613">
        <v>127826398805</v>
      </c>
    </row>
    <row r="2981" spans="1:7" ht="17.25" customHeight="1" x14ac:dyDescent="0.2">
      <c r="A2981" s="1611">
        <v>15</v>
      </c>
      <c r="B2981" s="1611" t="s">
        <v>7170</v>
      </c>
      <c r="C2981" s="1611" t="s">
        <v>5506</v>
      </c>
      <c r="D2981" s="1612">
        <v>0</v>
      </c>
      <c r="E2981" s="1706" t="s">
        <v>7592</v>
      </c>
      <c r="F2981" s="1613">
        <v>167000000</v>
      </c>
      <c r="G2981" s="1613">
        <v>127993398805</v>
      </c>
    </row>
    <row r="2982" spans="1:7" ht="17.25" customHeight="1" x14ac:dyDescent="0.2">
      <c r="A2982" s="1611">
        <v>15</v>
      </c>
      <c r="B2982" s="1611" t="s">
        <v>7203</v>
      </c>
      <c r="C2982" s="1611" t="s">
        <v>3753</v>
      </c>
      <c r="D2982" s="1612">
        <v>0</v>
      </c>
      <c r="E2982" s="1706" t="s">
        <v>7592</v>
      </c>
      <c r="F2982" s="1613">
        <v>35409091</v>
      </c>
      <c r="G2982" s="1613">
        <v>128028807896</v>
      </c>
    </row>
    <row r="2983" spans="1:7" ht="17.25" customHeight="1" x14ac:dyDescent="0.2">
      <c r="A2983" s="1611">
        <v>15</v>
      </c>
      <c r="B2983" s="1611" t="s">
        <v>7154</v>
      </c>
      <c r="C2983" s="1611" t="s">
        <v>5507</v>
      </c>
      <c r="D2983" s="1612">
        <v>0</v>
      </c>
      <c r="E2983" s="1706" t="s">
        <v>7592</v>
      </c>
      <c r="F2983" s="1613">
        <v>51818182</v>
      </c>
      <c r="G2983" s="1613">
        <v>128080626078</v>
      </c>
    </row>
    <row r="2984" spans="1:7" ht="17.25" customHeight="1" x14ac:dyDescent="0.2">
      <c r="A2984" s="1611">
        <v>15</v>
      </c>
      <c r="B2984" s="1611" t="s">
        <v>7203</v>
      </c>
      <c r="C2984" s="1611" t="s">
        <v>5508</v>
      </c>
      <c r="D2984" s="1612">
        <v>0</v>
      </c>
      <c r="E2984" s="1706" t="s">
        <v>7592</v>
      </c>
      <c r="F2984" s="1613">
        <v>36500000</v>
      </c>
      <c r="G2984" s="1613">
        <v>128117126078</v>
      </c>
    </row>
    <row r="2985" spans="1:7" ht="17.25" customHeight="1" x14ac:dyDescent="0.2">
      <c r="A2985" s="1611">
        <v>15</v>
      </c>
      <c r="B2985" s="1611" t="s">
        <v>7203</v>
      </c>
      <c r="C2985" s="1611" t="s">
        <v>5509</v>
      </c>
      <c r="D2985" s="1612">
        <v>0</v>
      </c>
      <c r="E2985" s="1706" t="s">
        <v>7592</v>
      </c>
      <c r="F2985" s="1613">
        <v>33000000</v>
      </c>
      <c r="G2985" s="1613">
        <v>128150126078</v>
      </c>
    </row>
    <row r="2986" spans="1:7" ht="17.25" customHeight="1" x14ac:dyDescent="0.2">
      <c r="A2986" s="1611">
        <v>15</v>
      </c>
      <c r="B2986" s="1611" t="s">
        <v>5510</v>
      </c>
      <c r="C2986" s="1611" t="s">
        <v>5172</v>
      </c>
      <c r="D2986" s="1612">
        <v>0</v>
      </c>
      <c r="E2986" s="1706" t="s">
        <v>7592</v>
      </c>
      <c r="F2986" s="1613">
        <v>13145300</v>
      </c>
      <c r="G2986" s="1613">
        <v>128163271378</v>
      </c>
    </row>
    <row r="2987" spans="1:7" ht="17.25" customHeight="1" x14ac:dyDescent="0.2">
      <c r="A2987" s="1611">
        <v>16</v>
      </c>
      <c r="B2987" s="1611" t="s">
        <v>7203</v>
      </c>
      <c r="C2987" s="1611" t="s">
        <v>3816</v>
      </c>
      <c r="D2987" s="1612">
        <v>0</v>
      </c>
      <c r="E2987" s="1706" t="s">
        <v>7592</v>
      </c>
      <c r="F2987" s="1613">
        <v>34000000</v>
      </c>
      <c r="G2987" s="1613">
        <v>128197271378</v>
      </c>
    </row>
    <row r="2988" spans="1:7" ht="17.25" customHeight="1" x14ac:dyDescent="0.2">
      <c r="A2988" s="1611">
        <v>16</v>
      </c>
      <c r="B2988" s="1611" t="s">
        <v>2954</v>
      </c>
      <c r="C2988" s="1611" t="s">
        <v>5511</v>
      </c>
      <c r="D2988" s="1612">
        <v>0</v>
      </c>
      <c r="E2988" s="1706" t="s">
        <v>7592</v>
      </c>
      <c r="F2988" s="1613">
        <v>14545454</v>
      </c>
      <c r="G2988" s="1613">
        <v>128211816832</v>
      </c>
    </row>
    <row r="2989" spans="1:7" ht="17.25" customHeight="1" x14ac:dyDescent="0.2">
      <c r="A2989" s="1611">
        <v>16</v>
      </c>
      <c r="B2989" s="1611" t="s">
        <v>7170</v>
      </c>
      <c r="C2989" s="1611" t="s">
        <v>5512</v>
      </c>
      <c r="D2989" s="1612">
        <v>0</v>
      </c>
      <c r="E2989" s="1706" t="s">
        <v>7592</v>
      </c>
      <c r="F2989" s="1613">
        <v>170000000</v>
      </c>
      <c r="G2989" s="1613">
        <v>128381816832</v>
      </c>
    </row>
    <row r="2990" spans="1:7" ht="17.25" customHeight="1" x14ac:dyDescent="0.2">
      <c r="A2990" s="1611">
        <v>16</v>
      </c>
      <c r="B2990" s="1611" t="s">
        <v>7170</v>
      </c>
      <c r="C2990" s="1611" t="s">
        <v>5512</v>
      </c>
      <c r="D2990" s="1612">
        <v>0</v>
      </c>
      <c r="E2990" s="1706" t="s">
        <v>7592</v>
      </c>
      <c r="F2990" s="1613">
        <v>-170000000</v>
      </c>
      <c r="G2990" s="1613">
        <v>128211816832</v>
      </c>
    </row>
    <row r="2991" spans="1:7" ht="17.25" customHeight="1" x14ac:dyDescent="0.2">
      <c r="A2991" s="1611">
        <v>16</v>
      </c>
      <c r="B2991" s="1611" t="s">
        <v>7273</v>
      </c>
      <c r="C2991" s="1611" t="s">
        <v>5513</v>
      </c>
      <c r="D2991" s="1612">
        <v>0</v>
      </c>
      <c r="E2991" s="1706" t="s">
        <v>7592</v>
      </c>
      <c r="F2991" s="1613">
        <v>170000000</v>
      </c>
      <c r="G2991" s="1613">
        <v>128381816832</v>
      </c>
    </row>
    <row r="2992" spans="1:7" ht="17.25" customHeight="1" x14ac:dyDescent="0.2">
      <c r="A2992" s="1611">
        <v>16</v>
      </c>
      <c r="B2992" s="1611" t="s">
        <v>7203</v>
      </c>
      <c r="C2992" s="1611" t="s">
        <v>5514</v>
      </c>
      <c r="D2992" s="1612">
        <v>0</v>
      </c>
      <c r="E2992" s="1706" t="s">
        <v>7592</v>
      </c>
      <c r="F2992" s="1613">
        <v>36363636</v>
      </c>
      <c r="G2992" s="1613">
        <v>128418180468</v>
      </c>
    </row>
    <row r="2993" spans="1:7" ht="17.25" customHeight="1" x14ac:dyDescent="0.2">
      <c r="A2993" s="1611">
        <v>16</v>
      </c>
      <c r="B2993" s="1611" t="s">
        <v>2954</v>
      </c>
      <c r="C2993" s="1611" t="s">
        <v>5060</v>
      </c>
      <c r="D2993" s="1612">
        <v>0</v>
      </c>
      <c r="E2993" s="1706" t="s">
        <v>7592</v>
      </c>
      <c r="F2993" s="1613">
        <v>13800000</v>
      </c>
      <c r="G2993" s="1613">
        <v>128431980468</v>
      </c>
    </row>
    <row r="2994" spans="1:7" ht="17.25" customHeight="1" x14ac:dyDescent="0.2">
      <c r="A2994" s="1611">
        <v>16</v>
      </c>
      <c r="B2994" s="1611" t="s">
        <v>7154</v>
      </c>
      <c r="C2994" s="1611" t="s">
        <v>5515</v>
      </c>
      <c r="D2994" s="1612">
        <v>0</v>
      </c>
      <c r="E2994" s="1706" t="s">
        <v>7592</v>
      </c>
      <c r="F2994" s="1613">
        <v>50818182</v>
      </c>
      <c r="G2994" s="1613">
        <v>128482798650</v>
      </c>
    </row>
    <row r="2995" spans="1:7" ht="17.25" customHeight="1" x14ac:dyDescent="0.2">
      <c r="A2995" s="1611">
        <v>16</v>
      </c>
      <c r="B2995" s="1611" t="s">
        <v>7156</v>
      </c>
      <c r="C2995" s="1611" t="s">
        <v>5516</v>
      </c>
      <c r="D2995" s="1612">
        <v>0</v>
      </c>
      <c r="E2995" s="1706" t="s">
        <v>7592</v>
      </c>
      <c r="F2995" s="1613">
        <v>14171818</v>
      </c>
      <c r="G2995" s="1613">
        <v>128496970468</v>
      </c>
    </row>
    <row r="2996" spans="1:7" ht="17.25" customHeight="1" x14ac:dyDescent="0.2">
      <c r="A2996" s="1611">
        <v>16</v>
      </c>
      <c r="B2996" s="1611" t="s">
        <v>7156</v>
      </c>
      <c r="C2996" s="1611" t="s">
        <v>5517</v>
      </c>
      <c r="D2996" s="1612">
        <v>0</v>
      </c>
      <c r="E2996" s="1706" t="s">
        <v>7592</v>
      </c>
      <c r="F2996" s="1613">
        <v>14090909</v>
      </c>
      <c r="G2996" s="1613">
        <v>128511061377</v>
      </c>
    </row>
    <row r="2997" spans="1:7" ht="17.25" customHeight="1" x14ac:dyDescent="0.2">
      <c r="A2997" s="1611">
        <v>16</v>
      </c>
      <c r="B2997" s="1611" t="s">
        <v>7251</v>
      </c>
      <c r="C2997" s="1611" t="s">
        <v>4370</v>
      </c>
      <c r="D2997" s="1612">
        <v>0</v>
      </c>
      <c r="E2997" s="1706" t="s">
        <v>7592</v>
      </c>
      <c r="F2997" s="1613">
        <v>32200000</v>
      </c>
      <c r="G2997" s="1613">
        <v>128543261377</v>
      </c>
    </row>
    <row r="2998" spans="1:7" ht="17.25" customHeight="1" x14ac:dyDescent="0.2">
      <c r="A2998" s="1611">
        <v>16</v>
      </c>
      <c r="B2998" s="1611" t="s">
        <v>7203</v>
      </c>
      <c r="C2998" s="1611" t="s">
        <v>5518</v>
      </c>
      <c r="D2998" s="1612">
        <v>0</v>
      </c>
      <c r="E2998" s="1706" t="s">
        <v>7592</v>
      </c>
      <c r="F2998" s="1613">
        <v>35500000</v>
      </c>
      <c r="G2998" s="1613">
        <v>128578761377</v>
      </c>
    </row>
    <row r="2999" spans="1:7" ht="17.25" customHeight="1" x14ac:dyDescent="0.2">
      <c r="A2999" s="1611">
        <v>16</v>
      </c>
      <c r="B2999" s="1611" t="s">
        <v>7203</v>
      </c>
      <c r="C2999" s="1611" t="s">
        <v>5519</v>
      </c>
      <c r="D2999" s="1612">
        <v>0</v>
      </c>
      <c r="E2999" s="1706" t="s">
        <v>7592</v>
      </c>
      <c r="F2999" s="1613">
        <v>40000000</v>
      </c>
      <c r="G2999" s="1613">
        <v>128618761377</v>
      </c>
    </row>
    <row r="3000" spans="1:7" ht="17.25" customHeight="1" x14ac:dyDescent="0.2">
      <c r="A3000" s="1611">
        <v>16</v>
      </c>
      <c r="B3000" s="1611" t="s">
        <v>7203</v>
      </c>
      <c r="C3000" s="1611" t="s">
        <v>5520</v>
      </c>
      <c r="D3000" s="1612">
        <v>0</v>
      </c>
      <c r="E3000" s="1706" t="s">
        <v>7592</v>
      </c>
      <c r="F3000" s="1613">
        <v>40000000</v>
      </c>
      <c r="G3000" s="1613">
        <v>128658761377</v>
      </c>
    </row>
    <row r="3001" spans="1:7" ht="17.25" customHeight="1" x14ac:dyDescent="0.2">
      <c r="A3001" s="1611">
        <v>16</v>
      </c>
      <c r="B3001" s="1611" t="s">
        <v>7203</v>
      </c>
      <c r="C3001" s="1611" t="s">
        <v>5521</v>
      </c>
      <c r="D3001" s="1612">
        <v>0</v>
      </c>
      <c r="E3001" s="1706" t="s">
        <v>7592</v>
      </c>
      <c r="F3001" s="1613">
        <v>36000000</v>
      </c>
      <c r="G3001" s="1613">
        <v>128694761377</v>
      </c>
    </row>
    <row r="3002" spans="1:7" ht="17.25" customHeight="1" x14ac:dyDescent="0.2">
      <c r="A3002" s="1611">
        <v>16</v>
      </c>
      <c r="B3002" s="1611" t="s">
        <v>2954</v>
      </c>
      <c r="C3002" s="1611" t="s">
        <v>5522</v>
      </c>
      <c r="D3002" s="1612">
        <v>0</v>
      </c>
      <c r="E3002" s="1706" t="s">
        <v>7592</v>
      </c>
      <c r="F3002" s="1613">
        <v>13500000</v>
      </c>
      <c r="G3002" s="1613">
        <v>128708261377</v>
      </c>
    </row>
    <row r="3003" spans="1:7" ht="17.25" customHeight="1" x14ac:dyDescent="0.2">
      <c r="A3003" s="1611">
        <v>16</v>
      </c>
      <c r="B3003" s="1611" t="s">
        <v>7203</v>
      </c>
      <c r="C3003" s="1611" t="s">
        <v>5523</v>
      </c>
      <c r="D3003" s="1612">
        <v>0</v>
      </c>
      <c r="E3003" s="1706" t="s">
        <v>7592</v>
      </c>
      <c r="F3003" s="1613">
        <v>34180000</v>
      </c>
      <c r="G3003" s="1613">
        <v>128742441377</v>
      </c>
    </row>
    <row r="3004" spans="1:7" ht="17.25" customHeight="1" x14ac:dyDescent="0.2">
      <c r="A3004" s="1611">
        <v>16</v>
      </c>
      <c r="B3004" s="1611" t="s">
        <v>7259</v>
      </c>
      <c r="C3004" s="1611" t="s">
        <v>5105</v>
      </c>
      <c r="D3004" s="1612">
        <v>0</v>
      </c>
      <c r="E3004" s="1706" t="s">
        <v>7592</v>
      </c>
      <c r="F3004" s="1613">
        <v>8400000</v>
      </c>
      <c r="G3004" s="1613">
        <v>128750841377</v>
      </c>
    </row>
    <row r="3005" spans="1:7" ht="17.25" customHeight="1" x14ac:dyDescent="0.2">
      <c r="A3005" s="1611">
        <v>16</v>
      </c>
      <c r="B3005" s="1611" t="s">
        <v>7259</v>
      </c>
      <c r="C3005" s="1611" t="s">
        <v>5105</v>
      </c>
      <c r="D3005" s="1612">
        <v>0</v>
      </c>
      <c r="E3005" s="1706" t="s">
        <v>7592</v>
      </c>
      <c r="F3005" s="1613">
        <v>8400000</v>
      </c>
      <c r="G3005" s="1613">
        <v>128759241377</v>
      </c>
    </row>
    <row r="3006" spans="1:7" ht="17.25" customHeight="1" x14ac:dyDescent="0.2">
      <c r="A3006" s="1611">
        <v>16</v>
      </c>
      <c r="B3006" s="1611" t="s">
        <v>2954</v>
      </c>
      <c r="C3006" s="1611" t="s">
        <v>5524</v>
      </c>
      <c r="D3006" s="1612">
        <v>0</v>
      </c>
      <c r="E3006" s="1706" t="s">
        <v>7592</v>
      </c>
      <c r="F3006" s="1613">
        <v>14000000</v>
      </c>
      <c r="G3006" s="1613">
        <v>128773241377</v>
      </c>
    </row>
    <row r="3007" spans="1:7" ht="17.25" customHeight="1" x14ac:dyDescent="0.2">
      <c r="A3007" s="1611">
        <v>16</v>
      </c>
      <c r="B3007" s="1611" t="s">
        <v>7176</v>
      </c>
      <c r="C3007" s="1611" t="s">
        <v>5525</v>
      </c>
      <c r="D3007" s="1612">
        <v>0</v>
      </c>
      <c r="E3007" s="1706" t="s">
        <v>7592</v>
      </c>
      <c r="F3007" s="1613">
        <v>41820000</v>
      </c>
      <c r="G3007" s="1613">
        <v>128815061377</v>
      </c>
    </row>
    <row r="3008" spans="1:7" ht="17.25" customHeight="1" x14ac:dyDescent="0.2">
      <c r="A3008" s="1611">
        <v>16</v>
      </c>
      <c r="B3008" s="1611" t="s">
        <v>7203</v>
      </c>
      <c r="C3008" s="1611" t="s">
        <v>5526</v>
      </c>
      <c r="D3008" s="1612">
        <v>0</v>
      </c>
      <c r="E3008" s="1706" t="s">
        <v>7592</v>
      </c>
      <c r="F3008" s="1613">
        <v>36600000</v>
      </c>
      <c r="G3008" s="1613">
        <v>128851661377</v>
      </c>
    </row>
    <row r="3009" spans="1:7" ht="17.25" customHeight="1" x14ac:dyDescent="0.2">
      <c r="A3009" s="1611">
        <v>16</v>
      </c>
      <c r="B3009" s="1611" t="s">
        <v>7203</v>
      </c>
      <c r="C3009" s="1611" t="s">
        <v>5527</v>
      </c>
      <c r="D3009" s="1612">
        <v>0</v>
      </c>
      <c r="E3009" s="1706" t="s">
        <v>7592</v>
      </c>
      <c r="F3009" s="1613">
        <v>36600000</v>
      </c>
      <c r="G3009" s="1613">
        <v>128888261377</v>
      </c>
    </row>
    <row r="3010" spans="1:7" ht="17.25" customHeight="1" x14ac:dyDescent="0.2">
      <c r="A3010" s="1611">
        <v>16</v>
      </c>
      <c r="B3010" s="1611" t="s">
        <v>7203</v>
      </c>
      <c r="C3010" s="1611" t="s">
        <v>5528</v>
      </c>
      <c r="D3010" s="1612">
        <v>0</v>
      </c>
      <c r="E3010" s="1706" t="s">
        <v>7592</v>
      </c>
      <c r="F3010" s="1613">
        <v>34500000</v>
      </c>
      <c r="G3010" s="1613">
        <v>128922761377</v>
      </c>
    </row>
    <row r="3011" spans="1:7" ht="17.25" customHeight="1" x14ac:dyDescent="0.2">
      <c r="A3011" s="1611">
        <v>16</v>
      </c>
      <c r="B3011" s="1611" t="s">
        <v>7251</v>
      </c>
      <c r="C3011" s="1611" t="s">
        <v>3438</v>
      </c>
      <c r="D3011" s="1612">
        <v>0</v>
      </c>
      <c r="E3011" s="1706" t="s">
        <v>7592</v>
      </c>
      <c r="F3011" s="1613">
        <v>30465000</v>
      </c>
      <c r="G3011" s="1613">
        <v>128953226377</v>
      </c>
    </row>
    <row r="3012" spans="1:7" ht="17.25" customHeight="1" x14ac:dyDescent="0.2">
      <c r="A3012" s="1611">
        <v>16</v>
      </c>
      <c r="B3012" s="1611" t="s">
        <v>7251</v>
      </c>
      <c r="C3012" s="1611" t="s">
        <v>3438</v>
      </c>
      <c r="D3012" s="1612">
        <v>0</v>
      </c>
      <c r="E3012" s="1706" t="s">
        <v>7592</v>
      </c>
      <c r="F3012" s="1613">
        <v>30465000</v>
      </c>
      <c r="G3012" s="1613">
        <v>128983691377</v>
      </c>
    </row>
    <row r="3013" spans="1:7" ht="17.25" customHeight="1" x14ac:dyDescent="0.2">
      <c r="A3013" s="1611">
        <v>16</v>
      </c>
      <c r="B3013" s="1611" t="s">
        <v>7251</v>
      </c>
      <c r="C3013" s="1611" t="s">
        <v>3438</v>
      </c>
      <c r="D3013" s="1612">
        <v>0</v>
      </c>
      <c r="E3013" s="1706" t="s">
        <v>7592</v>
      </c>
      <c r="F3013" s="1613">
        <v>30465000</v>
      </c>
      <c r="G3013" s="1613">
        <v>129014156377</v>
      </c>
    </row>
    <row r="3014" spans="1:7" ht="17.25" customHeight="1" x14ac:dyDescent="0.2">
      <c r="A3014" s="1611">
        <v>16</v>
      </c>
      <c r="B3014" s="1611" t="s">
        <v>7251</v>
      </c>
      <c r="C3014" s="1611" t="s">
        <v>3438</v>
      </c>
      <c r="D3014" s="1612">
        <v>0</v>
      </c>
      <c r="E3014" s="1706" t="s">
        <v>7592</v>
      </c>
      <c r="F3014" s="1613">
        <v>30465000</v>
      </c>
      <c r="G3014" s="1613">
        <v>129044621377</v>
      </c>
    </row>
    <row r="3015" spans="1:7" ht="17.25" customHeight="1" x14ac:dyDescent="0.2">
      <c r="A3015" s="1611">
        <v>16</v>
      </c>
      <c r="B3015" s="1611" t="s">
        <v>7251</v>
      </c>
      <c r="C3015" s="1611" t="s">
        <v>3438</v>
      </c>
      <c r="D3015" s="1612">
        <v>0</v>
      </c>
      <c r="E3015" s="1706" t="s">
        <v>7592</v>
      </c>
      <c r="F3015" s="1613">
        <v>-30465000</v>
      </c>
      <c r="G3015" s="1613">
        <v>129014156377</v>
      </c>
    </row>
    <row r="3016" spans="1:7" ht="17.25" customHeight="1" x14ac:dyDescent="0.2">
      <c r="A3016" s="1611">
        <v>16</v>
      </c>
      <c r="B3016" s="1611" t="s">
        <v>7251</v>
      </c>
      <c r="C3016" s="1611" t="s">
        <v>3438</v>
      </c>
      <c r="D3016" s="1612">
        <v>0</v>
      </c>
      <c r="E3016" s="1706" t="s">
        <v>7592</v>
      </c>
      <c r="F3016" s="1613">
        <v>30465000</v>
      </c>
      <c r="G3016" s="1613">
        <v>129044621377</v>
      </c>
    </row>
    <row r="3017" spans="1:7" ht="17.25" customHeight="1" x14ac:dyDescent="0.2">
      <c r="A3017" s="1611">
        <v>16</v>
      </c>
      <c r="B3017" s="1611" t="s">
        <v>7203</v>
      </c>
      <c r="C3017" s="1611" t="s">
        <v>3844</v>
      </c>
      <c r="D3017" s="1612">
        <v>0</v>
      </c>
      <c r="E3017" s="1706" t="s">
        <v>7592</v>
      </c>
      <c r="F3017" s="1613">
        <v>35454545</v>
      </c>
      <c r="G3017" s="1613">
        <v>129080075922</v>
      </c>
    </row>
    <row r="3018" spans="1:7" ht="17.25" customHeight="1" x14ac:dyDescent="0.2">
      <c r="A3018" s="1611">
        <v>16</v>
      </c>
      <c r="B3018" s="1611" t="s">
        <v>7170</v>
      </c>
      <c r="C3018" s="1611" t="s">
        <v>5529</v>
      </c>
      <c r="D3018" s="1612">
        <v>0</v>
      </c>
      <c r="E3018" s="1706" t="s">
        <v>7592</v>
      </c>
      <c r="F3018" s="1613">
        <v>171000000</v>
      </c>
      <c r="G3018" s="1613">
        <v>129251075922</v>
      </c>
    </row>
    <row r="3019" spans="1:7" ht="17.25" customHeight="1" x14ac:dyDescent="0.2">
      <c r="A3019" s="1611">
        <v>16</v>
      </c>
      <c r="B3019" s="1611" t="s">
        <v>7154</v>
      </c>
      <c r="C3019" s="1611" t="s">
        <v>5530</v>
      </c>
      <c r="D3019" s="1612">
        <v>0</v>
      </c>
      <c r="E3019" s="1706" t="s">
        <v>7592</v>
      </c>
      <c r="F3019" s="1613">
        <v>51000000</v>
      </c>
      <c r="G3019" s="1613">
        <v>129302075922</v>
      </c>
    </row>
    <row r="3020" spans="1:7" ht="17.25" customHeight="1" x14ac:dyDescent="0.2">
      <c r="A3020" s="1611">
        <v>16</v>
      </c>
      <c r="B3020" s="1611" t="s">
        <v>7203</v>
      </c>
      <c r="C3020" s="1611" t="s">
        <v>5527</v>
      </c>
      <c r="D3020" s="1612">
        <v>0</v>
      </c>
      <c r="E3020" s="1706" t="s">
        <v>7592</v>
      </c>
      <c r="F3020" s="1613">
        <v>-36600000</v>
      </c>
      <c r="G3020" s="1613">
        <v>129265475922</v>
      </c>
    </row>
    <row r="3021" spans="1:7" ht="17.25" customHeight="1" x14ac:dyDescent="0.2">
      <c r="A3021" s="1611">
        <v>16</v>
      </c>
      <c r="B3021" s="1611" t="s">
        <v>7203</v>
      </c>
      <c r="C3021" s="1611" t="s">
        <v>5531</v>
      </c>
      <c r="D3021" s="1612">
        <v>0</v>
      </c>
      <c r="E3021" s="1706" t="s">
        <v>7592</v>
      </c>
      <c r="F3021" s="1613">
        <v>36600000</v>
      </c>
      <c r="G3021" s="1613">
        <v>129302075922</v>
      </c>
    </row>
    <row r="3022" spans="1:7" ht="17.25" customHeight="1" x14ac:dyDescent="0.2">
      <c r="A3022" s="1611">
        <v>16</v>
      </c>
      <c r="B3022" s="1611" t="s">
        <v>7203</v>
      </c>
      <c r="C3022" s="1611" t="s">
        <v>5532</v>
      </c>
      <c r="D3022" s="1612">
        <v>0</v>
      </c>
      <c r="E3022" s="1706" t="s">
        <v>7592</v>
      </c>
      <c r="F3022" s="1613">
        <v>35000000</v>
      </c>
      <c r="G3022" s="1613">
        <v>129337075922</v>
      </c>
    </row>
    <row r="3023" spans="1:7" ht="17.25" customHeight="1" x14ac:dyDescent="0.2">
      <c r="A3023" s="1611">
        <v>16</v>
      </c>
      <c r="B3023" s="1611" t="s">
        <v>7154</v>
      </c>
      <c r="C3023" s="1611" t="s">
        <v>5503</v>
      </c>
      <c r="D3023" s="1612">
        <v>0</v>
      </c>
      <c r="E3023" s="1706" t="s">
        <v>7592</v>
      </c>
      <c r="F3023" s="1613">
        <v>11000000</v>
      </c>
      <c r="G3023" s="1613">
        <v>129348075922</v>
      </c>
    </row>
    <row r="3024" spans="1:7" ht="17.25" customHeight="1" x14ac:dyDescent="0.2">
      <c r="A3024" s="1611">
        <v>16</v>
      </c>
      <c r="B3024" s="1611" t="s">
        <v>7203</v>
      </c>
      <c r="C3024" s="1611" t="s">
        <v>5478</v>
      </c>
      <c r="D3024" s="1612">
        <v>0</v>
      </c>
      <c r="E3024" s="1706" t="s">
        <v>7592</v>
      </c>
      <c r="F3024" s="1613">
        <v>34500000</v>
      </c>
      <c r="G3024" s="1613">
        <v>129382575922</v>
      </c>
    </row>
    <row r="3025" spans="1:7" ht="17.25" customHeight="1" x14ac:dyDescent="0.2">
      <c r="A3025" s="1611">
        <v>16</v>
      </c>
      <c r="B3025" s="1611" t="s">
        <v>7156</v>
      </c>
      <c r="C3025" s="1611" t="s">
        <v>5533</v>
      </c>
      <c r="D3025" s="1612">
        <v>0</v>
      </c>
      <c r="E3025" s="1706" t="s">
        <v>7592</v>
      </c>
      <c r="F3025" s="1613">
        <v>15000000</v>
      </c>
      <c r="G3025" s="1613">
        <v>129397575922</v>
      </c>
    </row>
    <row r="3026" spans="1:7" ht="17.25" customHeight="1" x14ac:dyDescent="0.2">
      <c r="A3026" s="1611">
        <v>16</v>
      </c>
      <c r="B3026" s="1611" t="s">
        <v>7251</v>
      </c>
      <c r="C3026" s="1611" t="s">
        <v>3438</v>
      </c>
      <c r="D3026" s="1612">
        <v>0</v>
      </c>
      <c r="E3026" s="1706" t="s">
        <v>7592</v>
      </c>
      <c r="F3026" s="1613">
        <v>30465000</v>
      </c>
      <c r="G3026" s="1613">
        <v>129428040922</v>
      </c>
    </row>
    <row r="3027" spans="1:7" ht="17.25" customHeight="1" x14ac:dyDescent="0.2">
      <c r="A3027" s="1611">
        <v>16</v>
      </c>
      <c r="B3027" s="1611" t="s">
        <v>7203</v>
      </c>
      <c r="C3027" s="1611" t="s">
        <v>5534</v>
      </c>
      <c r="D3027" s="1612">
        <v>0</v>
      </c>
      <c r="E3027" s="1706" t="s">
        <v>7592</v>
      </c>
      <c r="F3027" s="1613">
        <v>36963636</v>
      </c>
      <c r="G3027" s="1613">
        <v>129465004558</v>
      </c>
    </row>
    <row r="3028" spans="1:7" ht="17.25" customHeight="1" x14ac:dyDescent="0.2">
      <c r="A3028" s="1611">
        <v>16</v>
      </c>
      <c r="B3028" s="1611" t="s">
        <v>7203</v>
      </c>
      <c r="C3028" s="1611" t="s">
        <v>3816</v>
      </c>
      <c r="D3028" s="1612">
        <v>0</v>
      </c>
      <c r="E3028" s="1706" t="s">
        <v>7592</v>
      </c>
      <c r="F3028" s="1613">
        <v>34000000</v>
      </c>
      <c r="G3028" s="1613">
        <v>129499004558</v>
      </c>
    </row>
    <row r="3029" spans="1:7" ht="17.25" customHeight="1" x14ac:dyDescent="0.2">
      <c r="A3029" s="1611">
        <v>16</v>
      </c>
      <c r="B3029" s="1611" t="s">
        <v>7154</v>
      </c>
      <c r="C3029" s="1611" t="s">
        <v>5535</v>
      </c>
      <c r="D3029" s="1612">
        <v>0</v>
      </c>
      <c r="E3029" s="1706" t="s">
        <v>7592</v>
      </c>
      <c r="F3029" s="1613">
        <v>49500000</v>
      </c>
      <c r="G3029" s="1613">
        <v>129548504558</v>
      </c>
    </row>
    <row r="3030" spans="1:7" ht="17.25" customHeight="1" x14ac:dyDescent="0.2">
      <c r="A3030" s="1611">
        <v>16</v>
      </c>
      <c r="B3030" s="1611" t="s">
        <v>7251</v>
      </c>
      <c r="C3030" s="1611" t="s">
        <v>3438</v>
      </c>
      <c r="D3030" s="1612">
        <v>0</v>
      </c>
      <c r="E3030" s="1706" t="s">
        <v>7592</v>
      </c>
      <c r="F3030" s="1613">
        <v>-30465000</v>
      </c>
      <c r="G3030" s="1613">
        <v>129518039558</v>
      </c>
    </row>
    <row r="3031" spans="1:7" ht="17.25" customHeight="1" x14ac:dyDescent="0.2">
      <c r="A3031" s="1611">
        <v>16</v>
      </c>
      <c r="B3031" s="1611" t="s">
        <v>7251</v>
      </c>
      <c r="C3031" s="1611" t="s">
        <v>3438</v>
      </c>
      <c r="D3031" s="1612">
        <v>0</v>
      </c>
      <c r="E3031" s="1706" t="s">
        <v>7592</v>
      </c>
      <c r="F3031" s="1613">
        <v>30465000</v>
      </c>
      <c r="G3031" s="1613">
        <v>129548504558</v>
      </c>
    </row>
    <row r="3032" spans="1:7" ht="17.25" customHeight="1" x14ac:dyDescent="0.2">
      <c r="A3032" s="1611">
        <v>16</v>
      </c>
      <c r="B3032" s="1611" t="s">
        <v>7203</v>
      </c>
      <c r="C3032" s="1611" t="s">
        <v>5536</v>
      </c>
      <c r="D3032" s="1612">
        <v>0</v>
      </c>
      <c r="E3032" s="1706" t="s">
        <v>7592</v>
      </c>
      <c r="F3032" s="1613">
        <v>36363636</v>
      </c>
      <c r="G3032" s="1613">
        <v>129584868194</v>
      </c>
    </row>
    <row r="3033" spans="1:7" ht="17.25" customHeight="1" x14ac:dyDescent="0.2">
      <c r="A3033" s="1611">
        <v>16</v>
      </c>
      <c r="B3033" s="1611" t="s">
        <v>7251</v>
      </c>
      <c r="C3033" s="1611" t="s">
        <v>4017</v>
      </c>
      <c r="D3033" s="1612">
        <v>0</v>
      </c>
      <c r="E3033" s="1706" t="s">
        <v>7592</v>
      </c>
      <c r="F3033" s="1613">
        <v>34090909</v>
      </c>
      <c r="G3033" s="1613">
        <v>129618959103</v>
      </c>
    </row>
    <row r="3034" spans="1:7" ht="17.25" customHeight="1" x14ac:dyDescent="0.2">
      <c r="A3034" s="1611">
        <v>16</v>
      </c>
      <c r="B3034" s="1611" t="s">
        <v>7203</v>
      </c>
      <c r="C3034" s="1611" t="s">
        <v>4716</v>
      </c>
      <c r="D3034" s="1612">
        <v>0</v>
      </c>
      <c r="E3034" s="1706" t="s">
        <v>7592</v>
      </c>
      <c r="F3034" s="1613">
        <v>34000000</v>
      </c>
      <c r="G3034" s="1613">
        <v>129652959103</v>
      </c>
    </row>
    <row r="3035" spans="1:7" ht="17.25" customHeight="1" x14ac:dyDescent="0.2">
      <c r="A3035" s="1611">
        <v>16</v>
      </c>
      <c r="B3035" s="1611" t="s">
        <v>7176</v>
      </c>
      <c r="C3035" s="1611" t="s">
        <v>5537</v>
      </c>
      <c r="D3035" s="1612">
        <v>0</v>
      </c>
      <c r="E3035" s="1706" t="s">
        <v>7592</v>
      </c>
      <c r="F3035" s="1613">
        <v>44220000</v>
      </c>
      <c r="G3035" s="1613">
        <v>129697179103</v>
      </c>
    </row>
    <row r="3036" spans="1:7" ht="17.25" customHeight="1" x14ac:dyDescent="0.2">
      <c r="A3036" s="1611">
        <v>16</v>
      </c>
      <c r="B3036" s="1611" t="s">
        <v>7203</v>
      </c>
      <c r="C3036" s="1611" t="s">
        <v>5538</v>
      </c>
      <c r="D3036" s="1612">
        <v>0</v>
      </c>
      <c r="E3036" s="1706" t="s">
        <v>7592</v>
      </c>
      <c r="F3036" s="1613">
        <v>36600000</v>
      </c>
      <c r="G3036" s="1613">
        <v>129733779103</v>
      </c>
    </row>
    <row r="3037" spans="1:7" ht="17.25" customHeight="1" x14ac:dyDescent="0.2">
      <c r="A3037" s="1611">
        <v>16</v>
      </c>
      <c r="B3037" s="1611" t="s">
        <v>7203</v>
      </c>
      <c r="C3037" s="1611" t="s">
        <v>5539</v>
      </c>
      <c r="D3037" s="1612">
        <v>0</v>
      </c>
      <c r="E3037" s="1706" t="s">
        <v>7592</v>
      </c>
      <c r="F3037" s="1613">
        <v>35623636</v>
      </c>
      <c r="G3037" s="1613">
        <v>129769402739</v>
      </c>
    </row>
    <row r="3038" spans="1:7" ht="17.25" customHeight="1" x14ac:dyDescent="0.2">
      <c r="A3038" s="1611">
        <v>16</v>
      </c>
      <c r="B3038" s="1611" t="s">
        <v>7203</v>
      </c>
      <c r="C3038" s="1611" t="s">
        <v>5540</v>
      </c>
      <c r="D3038" s="1612">
        <v>0</v>
      </c>
      <c r="E3038" s="1706" t="s">
        <v>7592</v>
      </c>
      <c r="F3038" s="1613">
        <v>32800000</v>
      </c>
      <c r="G3038" s="1613">
        <v>129802202739</v>
      </c>
    </row>
    <row r="3039" spans="1:7" ht="17.25" customHeight="1" x14ac:dyDescent="0.2">
      <c r="A3039" s="1611">
        <v>16</v>
      </c>
      <c r="B3039" s="1611" t="s">
        <v>7176</v>
      </c>
      <c r="C3039" s="1611" t="s">
        <v>5541</v>
      </c>
      <c r="D3039" s="1612">
        <v>0</v>
      </c>
      <c r="E3039" s="1706" t="s">
        <v>7592</v>
      </c>
      <c r="F3039" s="1613">
        <v>43181818</v>
      </c>
      <c r="G3039" s="1613">
        <v>129845384557</v>
      </c>
    </row>
    <row r="3040" spans="1:7" ht="17.25" customHeight="1" x14ac:dyDescent="0.2">
      <c r="A3040" s="1611">
        <v>16</v>
      </c>
      <c r="B3040" s="1611" t="s">
        <v>7273</v>
      </c>
      <c r="C3040" s="1611" t="s">
        <v>5542</v>
      </c>
      <c r="D3040" s="1612">
        <v>0</v>
      </c>
      <c r="E3040" s="1706" t="s">
        <v>7592</v>
      </c>
      <c r="F3040" s="1613">
        <v>163000000</v>
      </c>
      <c r="G3040" s="1613">
        <v>130008384557</v>
      </c>
    </row>
    <row r="3041" spans="1:7" ht="17.25" customHeight="1" x14ac:dyDescent="0.2">
      <c r="A3041" s="1611">
        <v>16</v>
      </c>
      <c r="B3041" s="1611" t="s">
        <v>7273</v>
      </c>
      <c r="C3041" s="1611" t="s">
        <v>5542</v>
      </c>
      <c r="D3041" s="1612">
        <v>0</v>
      </c>
      <c r="E3041" s="1706" t="s">
        <v>7592</v>
      </c>
      <c r="F3041" s="1613">
        <v>-163000000</v>
      </c>
      <c r="G3041" s="1613">
        <v>129845384557</v>
      </c>
    </row>
    <row r="3042" spans="1:7" ht="17.25" customHeight="1" x14ac:dyDescent="0.2">
      <c r="A3042" s="1611">
        <v>16</v>
      </c>
      <c r="B3042" s="1611" t="s">
        <v>7273</v>
      </c>
      <c r="C3042" s="1611" t="s">
        <v>5543</v>
      </c>
      <c r="D3042" s="1612">
        <v>0</v>
      </c>
      <c r="E3042" s="1706" t="s">
        <v>7592</v>
      </c>
      <c r="F3042" s="1613">
        <v>163000000</v>
      </c>
      <c r="G3042" s="1613">
        <v>130008384557</v>
      </c>
    </row>
    <row r="3043" spans="1:7" ht="17.25" customHeight="1" x14ac:dyDescent="0.2">
      <c r="A3043" s="1611">
        <v>16</v>
      </c>
      <c r="B3043" s="1611" t="s">
        <v>7156</v>
      </c>
      <c r="C3043" s="1611" t="s">
        <v>5544</v>
      </c>
      <c r="D3043" s="1612">
        <v>0</v>
      </c>
      <c r="E3043" s="1706" t="s">
        <v>7592</v>
      </c>
      <c r="F3043" s="1613">
        <v>15013636</v>
      </c>
      <c r="G3043" s="1613">
        <v>130023398193</v>
      </c>
    </row>
    <row r="3044" spans="1:7" ht="17.25" customHeight="1" x14ac:dyDescent="0.2">
      <c r="A3044" s="1611">
        <v>16</v>
      </c>
      <c r="B3044" s="1611" t="s">
        <v>7203</v>
      </c>
      <c r="C3044" s="1611" t="s">
        <v>5545</v>
      </c>
      <c r="D3044" s="1612">
        <v>0</v>
      </c>
      <c r="E3044" s="1706" t="s">
        <v>7592</v>
      </c>
      <c r="F3044" s="1613">
        <v>36818182</v>
      </c>
      <c r="G3044" s="1613">
        <v>130060216375</v>
      </c>
    </row>
    <row r="3045" spans="1:7" ht="17.25" customHeight="1" x14ac:dyDescent="0.2">
      <c r="A3045" s="1611">
        <v>16</v>
      </c>
      <c r="B3045" s="1611" t="s">
        <v>7294</v>
      </c>
      <c r="C3045" s="1611" t="s">
        <v>4667</v>
      </c>
      <c r="D3045" s="1612">
        <v>0</v>
      </c>
      <c r="E3045" s="1706" t="s">
        <v>7592</v>
      </c>
      <c r="F3045" s="1613">
        <v>16856000</v>
      </c>
      <c r="G3045" s="1613">
        <v>130077072375</v>
      </c>
    </row>
    <row r="3046" spans="1:7" ht="17.25" customHeight="1" x14ac:dyDescent="0.2">
      <c r="A3046" s="1611">
        <v>16</v>
      </c>
      <c r="B3046" s="1611" t="s">
        <v>7203</v>
      </c>
      <c r="C3046" s="1611" t="s">
        <v>5546</v>
      </c>
      <c r="D3046" s="1612">
        <v>0</v>
      </c>
      <c r="E3046" s="1706" t="s">
        <v>7592</v>
      </c>
      <c r="F3046" s="1613">
        <v>35000000</v>
      </c>
      <c r="G3046" s="1613">
        <v>130112072375</v>
      </c>
    </row>
    <row r="3047" spans="1:7" ht="17.25" customHeight="1" x14ac:dyDescent="0.2">
      <c r="A3047" s="1611">
        <v>16</v>
      </c>
      <c r="B3047" s="1611" t="s">
        <v>2954</v>
      </c>
      <c r="C3047" s="1611" t="s">
        <v>4498</v>
      </c>
      <c r="D3047" s="1612">
        <v>0</v>
      </c>
      <c r="E3047" s="1706" t="s">
        <v>7592</v>
      </c>
      <c r="F3047" s="1613">
        <v>12100000</v>
      </c>
      <c r="G3047" s="1613">
        <v>130124172375</v>
      </c>
    </row>
    <row r="3048" spans="1:7" ht="17.25" customHeight="1" x14ac:dyDescent="0.2">
      <c r="A3048" s="1611">
        <v>16</v>
      </c>
      <c r="B3048" s="1611" t="s">
        <v>7203</v>
      </c>
      <c r="C3048" s="1611" t="s">
        <v>5547</v>
      </c>
      <c r="D3048" s="1612">
        <v>0</v>
      </c>
      <c r="E3048" s="1706" t="s">
        <v>7592</v>
      </c>
      <c r="F3048" s="1613">
        <v>33000000</v>
      </c>
      <c r="G3048" s="1613">
        <v>130157172375</v>
      </c>
    </row>
    <row r="3049" spans="1:7" ht="17.25" customHeight="1" x14ac:dyDescent="0.2">
      <c r="A3049" s="1611">
        <v>16</v>
      </c>
      <c r="B3049" s="1611" t="s">
        <v>7273</v>
      </c>
      <c r="C3049" s="1611" t="s">
        <v>5548</v>
      </c>
      <c r="D3049" s="1612">
        <v>0</v>
      </c>
      <c r="E3049" s="1706" t="s">
        <v>7592</v>
      </c>
      <c r="F3049" s="1613">
        <v>159000000</v>
      </c>
      <c r="G3049" s="1613">
        <v>130316172375</v>
      </c>
    </row>
    <row r="3050" spans="1:7" ht="17.25" customHeight="1" x14ac:dyDescent="0.2">
      <c r="A3050" s="1611">
        <v>16</v>
      </c>
      <c r="B3050" s="1611" t="s">
        <v>7305</v>
      </c>
      <c r="C3050" s="1611" t="s">
        <v>5549</v>
      </c>
      <c r="D3050" s="1612">
        <v>0</v>
      </c>
      <c r="E3050" s="1706" t="s">
        <v>7592</v>
      </c>
      <c r="F3050" s="1613">
        <v>169000000</v>
      </c>
      <c r="G3050" s="1613">
        <v>130485172375</v>
      </c>
    </row>
    <row r="3051" spans="1:7" ht="17.25" customHeight="1" x14ac:dyDescent="0.2">
      <c r="A3051" s="1611">
        <v>16</v>
      </c>
      <c r="B3051" s="1611" t="s">
        <v>7203</v>
      </c>
      <c r="C3051" s="1611" t="s">
        <v>5550</v>
      </c>
      <c r="D3051" s="1612">
        <v>0</v>
      </c>
      <c r="E3051" s="1706" t="s">
        <v>7592</v>
      </c>
      <c r="F3051" s="1613">
        <v>35690909</v>
      </c>
      <c r="G3051" s="1613">
        <v>130520863284</v>
      </c>
    </row>
    <row r="3052" spans="1:7" ht="17.25" customHeight="1" x14ac:dyDescent="0.2">
      <c r="A3052" s="1611">
        <v>16</v>
      </c>
      <c r="B3052" s="1611" t="s">
        <v>7303</v>
      </c>
      <c r="C3052" s="1611" t="s">
        <v>4859</v>
      </c>
      <c r="D3052" s="1612">
        <v>0</v>
      </c>
      <c r="E3052" s="1706" t="s">
        <v>7592</v>
      </c>
      <c r="F3052" s="1613">
        <v>1896200000</v>
      </c>
      <c r="G3052" s="1613">
        <v>132417063284</v>
      </c>
    </row>
    <row r="3053" spans="1:7" ht="17.25" customHeight="1" x14ac:dyDescent="0.2">
      <c r="A3053" s="1611">
        <v>16</v>
      </c>
      <c r="B3053" s="1611" t="s">
        <v>7261</v>
      </c>
      <c r="C3053" s="1611" t="s">
        <v>5551</v>
      </c>
      <c r="D3053" s="1612">
        <v>0</v>
      </c>
      <c r="E3053" s="1706" t="s">
        <v>7592</v>
      </c>
      <c r="F3053" s="1613">
        <v>143500000</v>
      </c>
      <c r="G3053" s="1613">
        <v>132560563284</v>
      </c>
    </row>
    <row r="3054" spans="1:7" ht="17.25" customHeight="1" x14ac:dyDescent="0.2">
      <c r="A3054" s="1611">
        <v>16</v>
      </c>
      <c r="B3054" s="1611" t="s">
        <v>7154</v>
      </c>
      <c r="C3054" s="1611" t="s">
        <v>5552</v>
      </c>
      <c r="D3054" s="1612">
        <v>0</v>
      </c>
      <c r="E3054" s="1706" t="s">
        <v>7592</v>
      </c>
      <c r="F3054" s="1613">
        <v>50909091</v>
      </c>
      <c r="G3054" s="1613">
        <v>132611472375</v>
      </c>
    </row>
    <row r="3055" spans="1:7" ht="17.25" customHeight="1" x14ac:dyDescent="0.2">
      <c r="A3055" s="1611">
        <v>16</v>
      </c>
      <c r="B3055" s="1611" t="s">
        <v>7154</v>
      </c>
      <c r="C3055" s="1611" t="s">
        <v>5553</v>
      </c>
      <c r="D3055" s="1612">
        <v>0</v>
      </c>
      <c r="E3055" s="1706" t="s">
        <v>7592</v>
      </c>
      <c r="F3055" s="1613">
        <v>50909091</v>
      </c>
      <c r="G3055" s="1613">
        <v>132662381466</v>
      </c>
    </row>
    <row r="3056" spans="1:7" ht="17.25" customHeight="1" x14ac:dyDescent="0.2">
      <c r="A3056" s="1611">
        <v>16</v>
      </c>
      <c r="B3056" s="1611" t="s">
        <v>7203</v>
      </c>
      <c r="C3056" s="1611" t="s">
        <v>5554</v>
      </c>
      <c r="D3056" s="1612">
        <v>0</v>
      </c>
      <c r="E3056" s="1706" t="s">
        <v>7592</v>
      </c>
      <c r="F3056" s="1613">
        <v>34300000</v>
      </c>
      <c r="G3056" s="1613">
        <v>132696681466</v>
      </c>
    </row>
    <row r="3057" spans="1:7" ht="17.25" customHeight="1" x14ac:dyDescent="0.2">
      <c r="A3057" s="1611">
        <v>16</v>
      </c>
      <c r="B3057" s="1611" t="s">
        <v>7203</v>
      </c>
      <c r="C3057" s="1611" t="s">
        <v>4614</v>
      </c>
      <c r="D3057" s="1612">
        <v>0</v>
      </c>
      <c r="E3057" s="1706" t="s">
        <v>7592</v>
      </c>
      <c r="F3057" s="1613">
        <v>35700000</v>
      </c>
      <c r="G3057" s="1613">
        <v>132732381466</v>
      </c>
    </row>
    <row r="3058" spans="1:7" ht="17.25" customHeight="1" x14ac:dyDescent="0.2">
      <c r="A3058" s="1611">
        <v>16</v>
      </c>
      <c r="B3058" s="1611" t="s">
        <v>7203</v>
      </c>
      <c r="C3058" s="1611" t="s">
        <v>5555</v>
      </c>
      <c r="D3058" s="1612">
        <v>0</v>
      </c>
      <c r="E3058" s="1706" t="s">
        <v>7592</v>
      </c>
      <c r="F3058" s="1613">
        <v>35909090</v>
      </c>
      <c r="G3058" s="1613">
        <v>132768290556</v>
      </c>
    </row>
    <row r="3059" spans="1:7" ht="17.25" customHeight="1" x14ac:dyDescent="0.2">
      <c r="A3059" s="1611">
        <v>16</v>
      </c>
      <c r="B3059" s="1611" t="s">
        <v>7203</v>
      </c>
      <c r="C3059" s="1611" t="s">
        <v>5556</v>
      </c>
      <c r="D3059" s="1612">
        <v>0</v>
      </c>
      <c r="E3059" s="1706" t="s">
        <v>7592</v>
      </c>
      <c r="F3059" s="1613">
        <v>37500000</v>
      </c>
      <c r="G3059" s="1613">
        <v>132805790556</v>
      </c>
    </row>
    <row r="3060" spans="1:7" ht="17.25" customHeight="1" x14ac:dyDescent="0.2">
      <c r="A3060" s="1611">
        <v>16</v>
      </c>
      <c r="B3060" s="1611" t="s">
        <v>7154</v>
      </c>
      <c r="C3060" s="1611" t="s">
        <v>5557</v>
      </c>
      <c r="D3060" s="1612">
        <v>0</v>
      </c>
      <c r="E3060" s="1706" t="s">
        <v>7592</v>
      </c>
      <c r="F3060" s="1613">
        <v>50909091</v>
      </c>
      <c r="G3060" s="1613">
        <v>132856699647</v>
      </c>
    </row>
    <row r="3061" spans="1:7" ht="17.25" customHeight="1" x14ac:dyDescent="0.2">
      <c r="A3061" s="1611">
        <v>16</v>
      </c>
      <c r="B3061" s="1611" t="s">
        <v>7154</v>
      </c>
      <c r="C3061" s="1611" t="s">
        <v>5558</v>
      </c>
      <c r="D3061" s="1612">
        <v>0</v>
      </c>
      <c r="E3061" s="1706" t="s">
        <v>7592</v>
      </c>
      <c r="F3061" s="1613">
        <v>50000000</v>
      </c>
      <c r="G3061" s="1613">
        <v>132906699647</v>
      </c>
    </row>
    <row r="3062" spans="1:7" ht="17.25" customHeight="1" x14ac:dyDescent="0.2">
      <c r="A3062" s="1611">
        <v>16</v>
      </c>
      <c r="B3062" s="1611" t="s">
        <v>7154</v>
      </c>
      <c r="C3062" s="1611" t="s">
        <v>5559</v>
      </c>
      <c r="D3062" s="1612">
        <v>0</v>
      </c>
      <c r="E3062" s="1706" t="s">
        <v>7592</v>
      </c>
      <c r="F3062" s="1613">
        <v>50909091</v>
      </c>
      <c r="G3062" s="1613">
        <v>132957608738</v>
      </c>
    </row>
    <row r="3063" spans="1:7" ht="17.25" customHeight="1" x14ac:dyDescent="0.2">
      <c r="A3063" s="1611">
        <v>16</v>
      </c>
      <c r="B3063" s="1611" t="s">
        <v>7156</v>
      </c>
      <c r="C3063" s="1611" t="s">
        <v>5560</v>
      </c>
      <c r="D3063" s="1612">
        <v>0</v>
      </c>
      <c r="E3063" s="1706" t="s">
        <v>7592</v>
      </c>
      <c r="F3063" s="1613">
        <v>14000000</v>
      </c>
      <c r="G3063" s="1613">
        <v>132971608738</v>
      </c>
    </row>
    <row r="3064" spans="1:7" ht="17.25" customHeight="1" x14ac:dyDescent="0.2">
      <c r="A3064" s="1611">
        <v>16</v>
      </c>
      <c r="B3064" s="1611" t="s">
        <v>7156</v>
      </c>
      <c r="C3064" s="1611" t="s">
        <v>5561</v>
      </c>
      <c r="D3064" s="1612">
        <v>0</v>
      </c>
      <c r="E3064" s="1706" t="s">
        <v>7592</v>
      </c>
      <c r="F3064" s="1613">
        <v>30072728</v>
      </c>
      <c r="G3064" s="1613">
        <v>133001681466</v>
      </c>
    </row>
    <row r="3065" spans="1:7" ht="17.25" customHeight="1" x14ac:dyDescent="0.2">
      <c r="A3065" s="1611">
        <v>16</v>
      </c>
      <c r="B3065" s="1611" t="s">
        <v>7203</v>
      </c>
      <c r="C3065" s="1611" t="s">
        <v>5250</v>
      </c>
      <c r="D3065" s="1612">
        <v>0</v>
      </c>
      <c r="E3065" s="1706" t="s">
        <v>7592</v>
      </c>
      <c r="F3065" s="1613">
        <v>40833333</v>
      </c>
      <c r="G3065" s="1613">
        <v>133042514799</v>
      </c>
    </row>
    <row r="3066" spans="1:7" ht="17.25" customHeight="1" x14ac:dyDescent="0.2">
      <c r="A3066" s="1611">
        <v>16</v>
      </c>
      <c r="B3066" s="1611" t="s">
        <v>7203</v>
      </c>
      <c r="C3066" s="1611" t="s">
        <v>5250</v>
      </c>
      <c r="D3066" s="1612">
        <v>0</v>
      </c>
      <c r="E3066" s="1706" t="s">
        <v>7592</v>
      </c>
      <c r="F3066" s="1613">
        <v>40833333</v>
      </c>
      <c r="G3066" s="1613">
        <v>133083348132</v>
      </c>
    </row>
    <row r="3067" spans="1:7" ht="17.25" customHeight="1" x14ac:dyDescent="0.2">
      <c r="A3067" s="1611">
        <v>16</v>
      </c>
      <c r="B3067" s="1611" t="s">
        <v>7203</v>
      </c>
      <c r="C3067" s="1611" t="s">
        <v>5250</v>
      </c>
      <c r="D3067" s="1612">
        <v>0</v>
      </c>
      <c r="E3067" s="1706" t="s">
        <v>7592</v>
      </c>
      <c r="F3067" s="1613">
        <v>40833333</v>
      </c>
      <c r="G3067" s="1613">
        <v>133124181465</v>
      </c>
    </row>
    <row r="3068" spans="1:7" ht="17.25" customHeight="1" x14ac:dyDescent="0.2">
      <c r="A3068" s="1611">
        <v>16</v>
      </c>
      <c r="B3068" s="1611" t="s">
        <v>7203</v>
      </c>
      <c r="C3068" s="1611" t="s">
        <v>5250</v>
      </c>
      <c r="D3068" s="1612">
        <v>0</v>
      </c>
      <c r="E3068" s="1706" t="s">
        <v>7592</v>
      </c>
      <c r="F3068" s="1613">
        <v>40833333</v>
      </c>
      <c r="G3068" s="1613">
        <v>133165014798</v>
      </c>
    </row>
    <row r="3069" spans="1:7" ht="17.25" customHeight="1" x14ac:dyDescent="0.2">
      <c r="A3069" s="1611">
        <v>16</v>
      </c>
      <c r="B3069" s="1611" t="s">
        <v>7203</v>
      </c>
      <c r="C3069" s="1611" t="s">
        <v>5250</v>
      </c>
      <c r="D3069" s="1612">
        <v>0</v>
      </c>
      <c r="E3069" s="1706" t="s">
        <v>7592</v>
      </c>
      <c r="F3069" s="1613">
        <v>40833333</v>
      </c>
      <c r="G3069" s="1613">
        <v>133205848131</v>
      </c>
    </row>
    <row r="3070" spans="1:7" ht="17.25" customHeight="1" x14ac:dyDescent="0.2">
      <c r="A3070" s="1611">
        <v>16</v>
      </c>
      <c r="B3070" s="1611" t="s">
        <v>7203</v>
      </c>
      <c r="C3070" s="1611" t="s">
        <v>5250</v>
      </c>
      <c r="D3070" s="1612">
        <v>0</v>
      </c>
      <c r="E3070" s="1706" t="s">
        <v>7592</v>
      </c>
      <c r="F3070" s="1613">
        <v>40833333</v>
      </c>
      <c r="G3070" s="1613">
        <v>133246681464</v>
      </c>
    </row>
    <row r="3071" spans="1:7" ht="17.25" customHeight="1" x14ac:dyDescent="0.2">
      <c r="A3071" s="1611">
        <v>16</v>
      </c>
      <c r="B3071" s="1611" t="s">
        <v>7203</v>
      </c>
      <c r="C3071" s="1611" t="s">
        <v>5250</v>
      </c>
      <c r="D3071" s="1612">
        <v>0</v>
      </c>
      <c r="E3071" s="1706" t="s">
        <v>7592</v>
      </c>
      <c r="F3071" s="1613">
        <v>40833333</v>
      </c>
      <c r="G3071" s="1613">
        <v>133287514797</v>
      </c>
    </row>
    <row r="3072" spans="1:7" ht="17.25" customHeight="1" x14ac:dyDescent="0.2">
      <c r="A3072" s="1611">
        <v>16</v>
      </c>
      <c r="B3072" s="1611" t="s">
        <v>7203</v>
      </c>
      <c r="C3072" s="1611" t="s">
        <v>5250</v>
      </c>
      <c r="D3072" s="1612">
        <v>0</v>
      </c>
      <c r="E3072" s="1706" t="s">
        <v>7592</v>
      </c>
      <c r="F3072" s="1613">
        <v>40833333</v>
      </c>
      <c r="G3072" s="1613">
        <v>133328348130</v>
      </c>
    </row>
    <row r="3073" spans="1:7" ht="17.25" customHeight="1" x14ac:dyDescent="0.2">
      <c r="A3073" s="1611">
        <v>16</v>
      </c>
      <c r="B3073" s="1611" t="s">
        <v>7203</v>
      </c>
      <c r="C3073" s="1611" t="s">
        <v>5250</v>
      </c>
      <c r="D3073" s="1612">
        <v>0</v>
      </c>
      <c r="E3073" s="1706" t="s">
        <v>7592</v>
      </c>
      <c r="F3073" s="1613">
        <v>40833333</v>
      </c>
      <c r="G3073" s="1613">
        <v>133369181463</v>
      </c>
    </row>
    <row r="3074" spans="1:7" ht="17.25" customHeight="1" x14ac:dyDescent="0.2">
      <c r="A3074" s="1611">
        <v>16</v>
      </c>
      <c r="B3074" s="1611" t="s">
        <v>7203</v>
      </c>
      <c r="C3074" s="1611" t="s">
        <v>5250</v>
      </c>
      <c r="D3074" s="1612">
        <v>0</v>
      </c>
      <c r="E3074" s="1706" t="s">
        <v>7592</v>
      </c>
      <c r="F3074" s="1613">
        <v>40833333</v>
      </c>
      <c r="G3074" s="1613">
        <v>133410014796</v>
      </c>
    </row>
    <row r="3075" spans="1:7" ht="17.25" customHeight="1" x14ac:dyDescent="0.2">
      <c r="A3075" s="1611">
        <v>16</v>
      </c>
      <c r="B3075" s="1611" t="s">
        <v>7203</v>
      </c>
      <c r="C3075" s="1611" t="s">
        <v>5250</v>
      </c>
      <c r="D3075" s="1612">
        <v>0</v>
      </c>
      <c r="E3075" s="1706" t="s">
        <v>7592</v>
      </c>
      <c r="F3075" s="1613">
        <v>40833333</v>
      </c>
      <c r="G3075" s="1613">
        <v>133450848129</v>
      </c>
    </row>
    <row r="3076" spans="1:7" ht="17.25" customHeight="1" x14ac:dyDescent="0.2">
      <c r="A3076" s="1611">
        <v>16</v>
      </c>
      <c r="B3076" s="1611" t="s">
        <v>7203</v>
      </c>
      <c r="C3076" s="1611" t="s">
        <v>5250</v>
      </c>
      <c r="D3076" s="1612">
        <v>0</v>
      </c>
      <c r="E3076" s="1706" t="s">
        <v>7592</v>
      </c>
      <c r="F3076" s="1613">
        <v>40833333</v>
      </c>
      <c r="G3076" s="1613">
        <v>133491681462</v>
      </c>
    </row>
    <row r="3077" spans="1:7" ht="17.25" customHeight="1" x14ac:dyDescent="0.2">
      <c r="A3077" s="1611">
        <v>16</v>
      </c>
      <c r="B3077" s="1611" t="s">
        <v>7203</v>
      </c>
      <c r="C3077" s="1611" t="s">
        <v>5250</v>
      </c>
      <c r="D3077" s="1612">
        <v>0</v>
      </c>
      <c r="E3077" s="1706" t="s">
        <v>7592</v>
      </c>
      <c r="F3077" s="1613">
        <v>40833333</v>
      </c>
      <c r="G3077" s="1613">
        <v>133532514795</v>
      </c>
    </row>
    <row r="3078" spans="1:7" ht="17.25" customHeight="1" x14ac:dyDescent="0.2">
      <c r="A3078" s="1611">
        <v>16</v>
      </c>
      <c r="B3078" s="1611" t="s">
        <v>7203</v>
      </c>
      <c r="C3078" s="1611" t="s">
        <v>5250</v>
      </c>
      <c r="D3078" s="1612">
        <v>0</v>
      </c>
      <c r="E3078" s="1706" t="s">
        <v>7592</v>
      </c>
      <c r="F3078" s="1613">
        <v>40833333</v>
      </c>
      <c r="G3078" s="1613">
        <v>133573348128</v>
      </c>
    </row>
    <row r="3079" spans="1:7" ht="17.25" customHeight="1" x14ac:dyDescent="0.2">
      <c r="A3079" s="1611">
        <v>16</v>
      </c>
      <c r="B3079" s="1611" t="s">
        <v>7203</v>
      </c>
      <c r="C3079" s="1611" t="s">
        <v>5250</v>
      </c>
      <c r="D3079" s="1612">
        <v>0</v>
      </c>
      <c r="E3079" s="1706" t="s">
        <v>7592</v>
      </c>
      <c r="F3079" s="1613">
        <v>40833333</v>
      </c>
      <c r="G3079" s="1613">
        <v>133614181461</v>
      </c>
    </row>
    <row r="3080" spans="1:7" ht="17.25" customHeight="1" x14ac:dyDescent="0.2">
      <c r="A3080" s="1611">
        <v>16</v>
      </c>
      <c r="B3080" s="1611" t="s">
        <v>7203</v>
      </c>
      <c r="C3080" s="1611" t="s">
        <v>5250</v>
      </c>
      <c r="D3080" s="1612">
        <v>0</v>
      </c>
      <c r="E3080" s="1706" t="s">
        <v>7592</v>
      </c>
      <c r="F3080" s="1613">
        <v>40833333</v>
      </c>
      <c r="G3080" s="1613">
        <v>133655014794</v>
      </c>
    </row>
    <row r="3081" spans="1:7" ht="17.25" customHeight="1" x14ac:dyDescent="0.2">
      <c r="A3081" s="1611">
        <v>16</v>
      </c>
      <c r="B3081" s="1611" t="s">
        <v>7203</v>
      </c>
      <c r="C3081" s="1611" t="s">
        <v>5250</v>
      </c>
      <c r="D3081" s="1612">
        <v>0</v>
      </c>
      <c r="E3081" s="1706" t="s">
        <v>7592</v>
      </c>
      <c r="F3081" s="1613">
        <v>40833333</v>
      </c>
      <c r="G3081" s="1613">
        <v>133695848127</v>
      </c>
    </row>
    <row r="3082" spans="1:7" ht="17.25" customHeight="1" x14ac:dyDescent="0.2">
      <c r="A3082" s="1611">
        <v>16</v>
      </c>
      <c r="B3082" s="1611" t="s">
        <v>7203</v>
      </c>
      <c r="C3082" s="1611" t="s">
        <v>5250</v>
      </c>
      <c r="D3082" s="1612">
        <v>0</v>
      </c>
      <c r="E3082" s="1706" t="s">
        <v>7592</v>
      </c>
      <c r="F3082" s="1613">
        <v>40833333</v>
      </c>
      <c r="G3082" s="1613">
        <v>133736681460</v>
      </c>
    </row>
    <row r="3083" spans="1:7" ht="17.25" customHeight="1" x14ac:dyDescent="0.2">
      <c r="A3083" s="1611">
        <v>16</v>
      </c>
      <c r="B3083" s="1611" t="s">
        <v>7176</v>
      </c>
      <c r="C3083" s="1611" t="s">
        <v>5562</v>
      </c>
      <c r="D3083" s="1612">
        <v>0</v>
      </c>
      <c r="E3083" s="1706" t="s">
        <v>7592</v>
      </c>
      <c r="F3083" s="1613">
        <v>42272727</v>
      </c>
      <c r="G3083" s="1613">
        <v>133778954187</v>
      </c>
    </row>
    <row r="3084" spans="1:7" ht="17.25" customHeight="1" x14ac:dyDescent="0.2">
      <c r="A3084" s="1611">
        <v>16</v>
      </c>
      <c r="B3084" s="1611" t="s">
        <v>7251</v>
      </c>
      <c r="C3084" s="1611" t="s">
        <v>5562</v>
      </c>
      <c r="D3084" s="1612">
        <v>0</v>
      </c>
      <c r="E3084" s="1706" t="s">
        <v>7592</v>
      </c>
      <c r="F3084" s="1613">
        <v>35000000</v>
      </c>
      <c r="G3084" s="1613">
        <v>133813954187</v>
      </c>
    </row>
    <row r="3085" spans="1:7" ht="17.25" customHeight="1" x14ac:dyDescent="0.2">
      <c r="A3085" s="1611">
        <v>16</v>
      </c>
      <c r="B3085" s="1611" t="s">
        <v>7251</v>
      </c>
      <c r="C3085" s="1611" t="s">
        <v>5562</v>
      </c>
      <c r="D3085" s="1612">
        <v>0</v>
      </c>
      <c r="E3085" s="1706" t="s">
        <v>7592</v>
      </c>
      <c r="F3085" s="1613">
        <v>35000000</v>
      </c>
      <c r="G3085" s="1613">
        <v>133848954187</v>
      </c>
    </row>
    <row r="3086" spans="1:7" ht="17.25" customHeight="1" x14ac:dyDescent="0.2">
      <c r="A3086" s="1611">
        <v>16</v>
      </c>
      <c r="B3086" s="1611" t="s">
        <v>7251</v>
      </c>
      <c r="C3086" s="1611" t="s">
        <v>5562</v>
      </c>
      <c r="D3086" s="1612">
        <v>0</v>
      </c>
      <c r="E3086" s="1706" t="s">
        <v>7592</v>
      </c>
      <c r="F3086" s="1613">
        <v>35000000</v>
      </c>
      <c r="G3086" s="1613">
        <v>133883954187</v>
      </c>
    </row>
    <row r="3087" spans="1:7" ht="17.25" customHeight="1" x14ac:dyDescent="0.2">
      <c r="A3087" s="1611">
        <v>16</v>
      </c>
      <c r="B3087" s="1611" t="s">
        <v>7251</v>
      </c>
      <c r="C3087" s="1611" t="s">
        <v>5563</v>
      </c>
      <c r="D3087" s="1612">
        <v>0</v>
      </c>
      <c r="E3087" s="1706" t="s">
        <v>7592</v>
      </c>
      <c r="F3087" s="1613">
        <v>33500000</v>
      </c>
      <c r="G3087" s="1613">
        <v>133917454187</v>
      </c>
    </row>
    <row r="3088" spans="1:7" ht="17.25" customHeight="1" x14ac:dyDescent="0.2">
      <c r="A3088" s="1611">
        <v>16</v>
      </c>
      <c r="B3088" s="1611" t="s">
        <v>7294</v>
      </c>
      <c r="C3088" s="1611" t="s">
        <v>4671</v>
      </c>
      <c r="D3088" s="1612">
        <v>0</v>
      </c>
      <c r="E3088" s="1706" t="s">
        <v>7592</v>
      </c>
      <c r="F3088" s="1613">
        <v>16856000</v>
      </c>
      <c r="G3088" s="1613">
        <v>133934310187</v>
      </c>
    </row>
    <row r="3089" spans="1:7" ht="17.25" customHeight="1" x14ac:dyDescent="0.2">
      <c r="A3089" s="1611">
        <v>16</v>
      </c>
      <c r="B3089" s="1611" t="s">
        <v>3056</v>
      </c>
      <c r="C3089" s="1611" t="s">
        <v>5564</v>
      </c>
      <c r="D3089" s="1612">
        <v>0</v>
      </c>
      <c r="E3089" s="1612" t="s">
        <v>3306</v>
      </c>
      <c r="F3089" s="1613">
        <v>14863530</v>
      </c>
      <c r="G3089" s="1613">
        <v>133949173717</v>
      </c>
    </row>
    <row r="3090" spans="1:7" ht="17.25" customHeight="1" x14ac:dyDescent="0.2">
      <c r="A3090" s="1611">
        <v>16</v>
      </c>
      <c r="B3090" s="1611" t="s">
        <v>7275</v>
      </c>
      <c r="C3090" s="1611" t="s">
        <v>5561</v>
      </c>
      <c r="D3090" s="1612">
        <v>0</v>
      </c>
      <c r="E3090" s="1706" t="s">
        <v>7592</v>
      </c>
      <c r="F3090" s="1613">
        <v>1544090</v>
      </c>
      <c r="G3090" s="1613">
        <v>133950717807</v>
      </c>
    </row>
    <row r="3091" spans="1:7" ht="17.25" customHeight="1" x14ac:dyDescent="0.2">
      <c r="A3091" s="1611">
        <v>16</v>
      </c>
      <c r="B3091" s="1611" t="s">
        <v>7251</v>
      </c>
      <c r="C3091" s="1611" t="s">
        <v>5565</v>
      </c>
      <c r="D3091" s="1612">
        <v>0</v>
      </c>
      <c r="E3091" s="1706" t="s">
        <v>7592</v>
      </c>
      <c r="F3091" s="1613">
        <v>36363636</v>
      </c>
      <c r="G3091" s="1613">
        <v>133987081443</v>
      </c>
    </row>
    <row r="3092" spans="1:7" ht="17.25" customHeight="1" x14ac:dyDescent="0.2">
      <c r="A3092" s="1611">
        <v>16</v>
      </c>
      <c r="B3092" s="1611" t="s">
        <v>7203</v>
      </c>
      <c r="C3092" s="1611" t="s">
        <v>3982</v>
      </c>
      <c r="D3092" s="1612">
        <v>0</v>
      </c>
      <c r="E3092" s="1706" t="s">
        <v>7592</v>
      </c>
      <c r="F3092" s="1613">
        <v>37000000</v>
      </c>
      <c r="G3092" s="1613">
        <v>134024081443</v>
      </c>
    </row>
    <row r="3093" spans="1:7" ht="17.25" customHeight="1" x14ac:dyDescent="0.2">
      <c r="A3093" s="1611">
        <v>16</v>
      </c>
      <c r="B3093" s="1611" t="s">
        <v>7203</v>
      </c>
      <c r="C3093" s="1611" t="s">
        <v>5566</v>
      </c>
      <c r="D3093" s="1612">
        <v>0</v>
      </c>
      <c r="E3093" s="1706" t="s">
        <v>7592</v>
      </c>
      <c r="F3093" s="1613">
        <v>34000000</v>
      </c>
      <c r="G3093" s="1613">
        <v>134058081443</v>
      </c>
    </row>
    <row r="3094" spans="1:7" ht="17.25" customHeight="1" x14ac:dyDescent="0.2">
      <c r="A3094" s="1611">
        <v>16</v>
      </c>
      <c r="B3094" s="1611" t="s">
        <v>7247</v>
      </c>
      <c r="C3094" s="1611" t="s">
        <v>5567</v>
      </c>
      <c r="D3094" s="1612">
        <v>0</v>
      </c>
      <c r="E3094" s="1706" t="s">
        <v>7592</v>
      </c>
      <c r="F3094" s="1613">
        <v>42636364</v>
      </c>
      <c r="G3094" s="1613">
        <v>134100717807</v>
      </c>
    </row>
    <row r="3095" spans="1:7" ht="17.25" customHeight="1" x14ac:dyDescent="0.2">
      <c r="A3095" s="1611">
        <v>16</v>
      </c>
      <c r="B3095" s="1611" t="s">
        <v>7245</v>
      </c>
      <c r="C3095" s="1611" t="s">
        <v>5568</v>
      </c>
      <c r="D3095" s="1612">
        <v>0</v>
      </c>
      <c r="E3095" s="1706" t="s">
        <v>7592</v>
      </c>
      <c r="F3095" s="1613">
        <v>41363636</v>
      </c>
      <c r="G3095" s="1613">
        <v>134142081443</v>
      </c>
    </row>
    <row r="3096" spans="1:7" ht="17.25" customHeight="1" x14ac:dyDescent="0.2">
      <c r="A3096" s="1611">
        <v>16</v>
      </c>
      <c r="B3096" s="1611" t="s">
        <v>7203</v>
      </c>
      <c r="C3096" s="1611" t="s">
        <v>5569</v>
      </c>
      <c r="D3096" s="1612">
        <v>0</v>
      </c>
      <c r="E3096" s="1706" t="s">
        <v>7592</v>
      </c>
      <c r="F3096" s="1613">
        <v>35690909</v>
      </c>
      <c r="G3096" s="1613">
        <v>134177772352</v>
      </c>
    </row>
    <row r="3097" spans="1:7" ht="17.25" customHeight="1" x14ac:dyDescent="0.2">
      <c r="A3097" s="1611">
        <v>16</v>
      </c>
      <c r="B3097" s="1611" t="s">
        <v>7203</v>
      </c>
      <c r="C3097" s="1611" t="s">
        <v>5570</v>
      </c>
      <c r="D3097" s="1612">
        <v>0</v>
      </c>
      <c r="E3097" s="1706" t="s">
        <v>7592</v>
      </c>
      <c r="F3097" s="1613">
        <v>35900000</v>
      </c>
      <c r="G3097" s="1613">
        <v>134213672352</v>
      </c>
    </row>
    <row r="3098" spans="1:7" ht="17.25" customHeight="1" x14ac:dyDescent="0.2">
      <c r="A3098" s="1611">
        <v>16</v>
      </c>
      <c r="B3098" s="1611" t="s">
        <v>7203</v>
      </c>
      <c r="C3098" s="1611" t="s">
        <v>5571</v>
      </c>
      <c r="D3098" s="1612">
        <v>0</v>
      </c>
      <c r="E3098" s="1706" t="s">
        <v>7592</v>
      </c>
      <c r="F3098" s="1613">
        <v>33000000</v>
      </c>
      <c r="G3098" s="1613">
        <v>134246672352</v>
      </c>
    </row>
    <row r="3099" spans="1:7" ht="17.25" customHeight="1" x14ac:dyDescent="0.2">
      <c r="A3099" s="1611">
        <v>16</v>
      </c>
      <c r="B3099" s="1611" t="s">
        <v>7247</v>
      </c>
      <c r="C3099" s="1611" t="s">
        <v>5572</v>
      </c>
      <c r="D3099" s="1612">
        <v>0</v>
      </c>
      <c r="E3099" s="1706" t="s">
        <v>7592</v>
      </c>
      <c r="F3099" s="1613">
        <v>44000000</v>
      </c>
      <c r="G3099" s="1613">
        <v>134290672352</v>
      </c>
    </row>
    <row r="3100" spans="1:7" ht="17.25" customHeight="1" x14ac:dyDescent="0.2">
      <c r="A3100" s="1611">
        <v>16</v>
      </c>
      <c r="B3100" s="1611" t="s">
        <v>7156</v>
      </c>
      <c r="C3100" s="1611" t="s">
        <v>5573</v>
      </c>
      <c r="D3100" s="1612">
        <v>0</v>
      </c>
      <c r="E3100" s="1706" t="s">
        <v>7592</v>
      </c>
      <c r="F3100" s="1613">
        <v>14800000</v>
      </c>
      <c r="G3100" s="1613">
        <v>134305472352</v>
      </c>
    </row>
    <row r="3101" spans="1:7" ht="17.25" customHeight="1" x14ac:dyDescent="0.2">
      <c r="A3101" s="1611">
        <v>16</v>
      </c>
      <c r="B3101" s="1611" t="s">
        <v>7252</v>
      </c>
      <c r="C3101" s="1611" t="s">
        <v>4780</v>
      </c>
      <c r="D3101" s="1612">
        <v>0</v>
      </c>
      <c r="E3101" s="1706" t="s">
        <v>7592</v>
      </c>
      <c r="F3101" s="1613">
        <v>60450000</v>
      </c>
      <c r="G3101" s="1613">
        <v>134365922352</v>
      </c>
    </row>
    <row r="3102" spans="1:7" ht="17.25" customHeight="1" x14ac:dyDescent="0.2">
      <c r="A3102" s="1611">
        <v>16</v>
      </c>
      <c r="B3102" s="1611" t="s">
        <v>5574</v>
      </c>
      <c r="C3102" s="1611" t="s">
        <v>5575</v>
      </c>
      <c r="D3102" s="1612">
        <v>0</v>
      </c>
      <c r="E3102" s="1706" t="s">
        <v>7592</v>
      </c>
      <c r="F3102" s="1613">
        <v>11724545</v>
      </c>
      <c r="G3102" s="1613">
        <v>134377646897</v>
      </c>
    </row>
    <row r="3103" spans="1:7" ht="17.25" customHeight="1" x14ac:dyDescent="0.2">
      <c r="A3103" s="1611">
        <v>16</v>
      </c>
      <c r="B3103" s="1611" t="s">
        <v>5574</v>
      </c>
      <c r="C3103" s="1611" t="s">
        <v>5575</v>
      </c>
      <c r="D3103" s="1612">
        <v>0</v>
      </c>
      <c r="E3103" s="1706" t="s">
        <v>7592</v>
      </c>
      <c r="F3103" s="1613">
        <v>-11724545</v>
      </c>
      <c r="G3103" s="1613">
        <v>134365922352</v>
      </c>
    </row>
    <row r="3104" spans="1:7" ht="17.25" customHeight="1" x14ac:dyDescent="0.2">
      <c r="A3104" s="1611">
        <v>16</v>
      </c>
      <c r="B3104" s="1611" t="s">
        <v>5574</v>
      </c>
      <c r="C3104" s="1611" t="s">
        <v>5575</v>
      </c>
      <c r="D3104" s="1612">
        <v>0</v>
      </c>
      <c r="E3104" s="1706" t="s">
        <v>7592</v>
      </c>
      <c r="F3104" s="1613">
        <v>11689091</v>
      </c>
      <c r="G3104" s="1613">
        <v>134377611443</v>
      </c>
    </row>
    <row r="3105" spans="1:7" ht="17.25" customHeight="1" x14ac:dyDescent="0.2">
      <c r="A3105" s="1611">
        <v>16</v>
      </c>
      <c r="B3105" s="1611" t="s">
        <v>7176</v>
      </c>
      <c r="C3105" s="1611" t="s">
        <v>5118</v>
      </c>
      <c r="D3105" s="1612">
        <v>0</v>
      </c>
      <c r="E3105" s="1706" t="s">
        <v>7592</v>
      </c>
      <c r="F3105" s="1613">
        <v>40900000</v>
      </c>
      <c r="G3105" s="1613">
        <v>134418511443</v>
      </c>
    </row>
    <row r="3106" spans="1:7" ht="17.25" customHeight="1" x14ac:dyDescent="0.2">
      <c r="A3106" s="1611">
        <v>16</v>
      </c>
      <c r="B3106" s="1611" t="s">
        <v>7176</v>
      </c>
      <c r="C3106" s="1611" t="s">
        <v>5576</v>
      </c>
      <c r="D3106" s="1612">
        <v>0</v>
      </c>
      <c r="E3106" s="1706" t="s">
        <v>7592</v>
      </c>
      <c r="F3106" s="1613">
        <v>37000000</v>
      </c>
      <c r="G3106" s="1613">
        <v>134455511443</v>
      </c>
    </row>
    <row r="3107" spans="1:7" ht="17.25" customHeight="1" x14ac:dyDescent="0.2">
      <c r="A3107" s="1611">
        <v>16</v>
      </c>
      <c r="B3107" s="1611" t="s">
        <v>7154</v>
      </c>
      <c r="C3107" s="1611" t="s">
        <v>5577</v>
      </c>
      <c r="D3107" s="1612">
        <v>0</v>
      </c>
      <c r="E3107" s="1706" t="s">
        <v>7592</v>
      </c>
      <c r="F3107" s="1613">
        <v>50909090</v>
      </c>
      <c r="G3107" s="1613">
        <v>134506420533</v>
      </c>
    </row>
    <row r="3108" spans="1:7" ht="17.25" customHeight="1" x14ac:dyDescent="0.2">
      <c r="A3108" s="1611">
        <v>16</v>
      </c>
      <c r="B3108" s="1611" t="s">
        <v>7156</v>
      </c>
      <c r="C3108" s="1611" t="s">
        <v>5578</v>
      </c>
      <c r="D3108" s="1612">
        <v>0</v>
      </c>
      <c r="E3108" s="1706" t="s">
        <v>7592</v>
      </c>
      <c r="F3108" s="1613">
        <v>14780000</v>
      </c>
      <c r="G3108" s="1613">
        <v>134521200533</v>
      </c>
    </row>
    <row r="3109" spans="1:7" ht="17.25" customHeight="1" x14ac:dyDescent="0.2">
      <c r="A3109" s="1611">
        <v>16</v>
      </c>
      <c r="B3109" s="1611" t="s">
        <v>7203</v>
      </c>
      <c r="C3109" s="1611" t="s">
        <v>5579</v>
      </c>
      <c r="D3109" s="1612">
        <v>0</v>
      </c>
      <c r="E3109" s="1706" t="s">
        <v>7592</v>
      </c>
      <c r="F3109" s="1613">
        <v>34020000</v>
      </c>
      <c r="G3109" s="1613">
        <v>134555220533</v>
      </c>
    </row>
    <row r="3110" spans="1:7" ht="17.25" customHeight="1" x14ac:dyDescent="0.2">
      <c r="A3110" s="1611">
        <v>16</v>
      </c>
      <c r="B3110" s="1611" t="s">
        <v>7203</v>
      </c>
      <c r="C3110" s="1611" t="s">
        <v>5580</v>
      </c>
      <c r="D3110" s="1612">
        <v>0</v>
      </c>
      <c r="E3110" s="1706" t="s">
        <v>7592</v>
      </c>
      <c r="F3110" s="1613">
        <v>36363636</v>
      </c>
      <c r="G3110" s="1613">
        <v>134591584169</v>
      </c>
    </row>
    <row r="3111" spans="1:7" ht="17.25" customHeight="1" x14ac:dyDescent="0.2">
      <c r="A3111" s="1611">
        <v>16</v>
      </c>
      <c r="B3111" s="1611" t="s">
        <v>7154</v>
      </c>
      <c r="C3111" s="1611" t="s">
        <v>5581</v>
      </c>
      <c r="D3111" s="1612">
        <v>0</v>
      </c>
      <c r="E3111" s="1706" t="s">
        <v>7592</v>
      </c>
      <c r="F3111" s="1613">
        <v>50000000</v>
      </c>
      <c r="G3111" s="1613">
        <v>134641584169</v>
      </c>
    </row>
    <row r="3112" spans="1:7" ht="17.25" customHeight="1" x14ac:dyDescent="0.2">
      <c r="A3112" s="1611">
        <v>16</v>
      </c>
      <c r="B3112" s="1611" t="s">
        <v>7176</v>
      </c>
      <c r="C3112" s="1611" t="s">
        <v>5582</v>
      </c>
      <c r="D3112" s="1612">
        <v>0</v>
      </c>
      <c r="E3112" s="1706" t="s">
        <v>7592</v>
      </c>
      <c r="F3112" s="1613">
        <v>40909091</v>
      </c>
      <c r="G3112" s="1613">
        <v>134682493260</v>
      </c>
    </row>
    <row r="3113" spans="1:7" ht="17.25" customHeight="1" x14ac:dyDescent="0.2">
      <c r="A3113" s="1611">
        <v>16</v>
      </c>
      <c r="B3113" s="1611" t="s">
        <v>7154</v>
      </c>
      <c r="C3113" s="1611" t="s">
        <v>5583</v>
      </c>
      <c r="D3113" s="1612">
        <v>0</v>
      </c>
      <c r="E3113" s="1706" t="s">
        <v>7592</v>
      </c>
      <c r="F3113" s="1613">
        <v>51818181</v>
      </c>
      <c r="G3113" s="1613">
        <v>134734311441</v>
      </c>
    </row>
    <row r="3114" spans="1:7" ht="17.25" customHeight="1" x14ac:dyDescent="0.2">
      <c r="A3114" s="1611">
        <v>16</v>
      </c>
      <c r="B3114" s="1611" t="s">
        <v>7154</v>
      </c>
      <c r="C3114" s="1611" t="s">
        <v>5584</v>
      </c>
      <c r="D3114" s="1612">
        <v>0</v>
      </c>
      <c r="E3114" s="1706" t="s">
        <v>7592</v>
      </c>
      <c r="F3114" s="1613">
        <v>51800000</v>
      </c>
      <c r="G3114" s="1613">
        <v>134786111441</v>
      </c>
    </row>
    <row r="3115" spans="1:7" ht="17.25" customHeight="1" x14ac:dyDescent="0.2">
      <c r="A3115" s="1611">
        <v>16</v>
      </c>
      <c r="B3115" s="1611" t="s">
        <v>7203</v>
      </c>
      <c r="C3115" s="1611" t="s">
        <v>3874</v>
      </c>
      <c r="D3115" s="1612">
        <v>0</v>
      </c>
      <c r="E3115" s="1706" t="s">
        <v>7592</v>
      </c>
      <c r="F3115" s="1613">
        <v>35909091</v>
      </c>
      <c r="G3115" s="1613">
        <v>134822020532</v>
      </c>
    </row>
    <row r="3116" spans="1:7" ht="17.25" customHeight="1" x14ac:dyDescent="0.2">
      <c r="A3116" s="1611">
        <v>16</v>
      </c>
      <c r="B3116" s="1611" t="s">
        <v>7203</v>
      </c>
      <c r="C3116" s="1611" t="s">
        <v>3874</v>
      </c>
      <c r="D3116" s="1612">
        <v>0</v>
      </c>
      <c r="E3116" s="1706" t="s">
        <v>7592</v>
      </c>
      <c r="F3116" s="1613">
        <v>35000000</v>
      </c>
      <c r="G3116" s="1613">
        <v>134857020532</v>
      </c>
    </row>
    <row r="3117" spans="1:7" ht="17.25" customHeight="1" x14ac:dyDescent="0.2">
      <c r="A3117" s="1611">
        <v>16</v>
      </c>
      <c r="B3117" s="1611" t="s">
        <v>7203</v>
      </c>
      <c r="C3117" s="1611" t="s">
        <v>3874</v>
      </c>
      <c r="D3117" s="1612">
        <v>0</v>
      </c>
      <c r="E3117" s="1706" t="s">
        <v>7592</v>
      </c>
      <c r="F3117" s="1613">
        <v>35000000</v>
      </c>
      <c r="G3117" s="1613">
        <v>134892020532</v>
      </c>
    </row>
    <row r="3118" spans="1:7" ht="17.25" customHeight="1" x14ac:dyDescent="0.2">
      <c r="A3118" s="1611">
        <v>16</v>
      </c>
      <c r="B3118" s="1611" t="s">
        <v>7154</v>
      </c>
      <c r="C3118" s="1611" t="s">
        <v>5585</v>
      </c>
      <c r="D3118" s="1612">
        <v>0</v>
      </c>
      <c r="E3118" s="1706" t="s">
        <v>7592</v>
      </c>
      <c r="F3118" s="1613">
        <v>50909091</v>
      </c>
      <c r="G3118" s="1613">
        <v>134942929623</v>
      </c>
    </row>
    <row r="3119" spans="1:7" ht="17.25" customHeight="1" x14ac:dyDescent="0.2">
      <c r="A3119" s="1611">
        <v>16</v>
      </c>
      <c r="B3119" s="1611" t="s">
        <v>7154</v>
      </c>
      <c r="C3119" s="1611" t="s">
        <v>3676</v>
      </c>
      <c r="D3119" s="1612">
        <v>0</v>
      </c>
      <c r="E3119" s="1706" t="s">
        <v>7592</v>
      </c>
      <c r="F3119" s="1613">
        <v>51000000</v>
      </c>
      <c r="G3119" s="1613">
        <v>134993929623</v>
      </c>
    </row>
    <row r="3120" spans="1:7" ht="17.25" customHeight="1" x14ac:dyDescent="0.2">
      <c r="A3120" s="1611">
        <v>16</v>
      </c>
      <c r="B3120" s="1611" t="s">
        <v>7294</v>
      </c>
      <c r="C3120" s="1611" t="s">
        <v>4226</v>
      </c>
      <c r="D3120" s="1612">
        <v>0</v>
      </c>
      <c r="E3120" s="1706" t="s">
        <v>7592</v>
      </c>
      <c r="F3120" s="1613">
        <v>17765000</v>
      </c>
      <c r="G3120" s="1613">
        <v>135011694623</v>
      </c>
    </row>
    <row r="3121" spans="1:7" ht="17.25" customHeight="1" x14ac:dyDescent="0.2">
      <c r="A3121" s="1611">
        <v>16</v>
      </c>
      <c r="B3121" s="1611" t="s">
        <v>7303</v>
      </c>
      <c r="C3121" s="1611" t="s">
        <v>4859</v>
      </c>
      <c r="D3121" s="1612">
        <v>0</v>
      </c>
      <c r="E3121" s="1706" t="s">
        <v>7592</v>
      </c>
      <c r="F3121" s="1613">
        <v>1896200000</v>
      </c>
      <c r="G3121" s="1613">
        <v>136907894623</v>
      </c>
    </row>
    <row r="3122" spans="1:7" ht="17.25" customHeight="1" x14ac:dyDescent="0.2">
      <c r="A3122" s="1611">
        <v>16</v>
      </c>
      <c r="B3122" s="1611" t="s">
        <v>7156</v>
      </c>
      <c r="C3122" s="1611" t="s">
        <v>5586</v>
      </c>
      <c r="D3122" s="1612">
        <v>0</v>
      </c>
      <c r="E3122" s="1706" t="s">
        <v>7592</v>
      </c>
      <c r="F3122" s="1613">
        <v>15013636</v>
      </c>
      <c r="G3122" s="1613">
        <v>136922908259</v>
      </c>
    </row>
    <row r="3123" spans="1:7" ht="17.25" customHeight="1" x14ac:dyDescent="0.2">
      <c r="A3123" s="1611">
        <v>16</v>
      </c>
      <c r="B3123" s="1611" t="s">
        <v>7176</v>
      </c>
      <c r="C3123" s="1611" t="s">
        <v>5587</v>
      </c>
      <c r="D3123" s="1612">
        <v>0</v>
      </c>
      <c r="E3123" s="1706" t="s">
        <v>7592</v>
      </c>
      <c r="F3123" s="1613">
        <v>39600000</v>
      </c>
      <c r="G3123" s="1613">
        <v>136962508259</v>
      </c>
    </row>
    <row r="3124" spans="1:7" ht="17.25" customHeight="1" x14ac:dyDescent="0.2">
      <c r="A3124" s="1611">
        <v>16</v>
      </c>
      <c r="B3124" s="1611" t="s">
        <v>7156</v>
      </c>
      <c r="C3124" s="1611" t="s">
        <v>5588</v>
      </c>
      <c r="D3124" s="1612">
        <v>0</v>
      </c>
      <c r="E3124" s="1706" t="s">
        <v>7592</v>
      </c>
      <c r="F3124" s="1613">
        <v>15000000</v>
      </c>
      <c r="G3124" s="1613">
        <v>136977508259</v>
      </c>
    </row>
    <row r="3125" spans="1:7" ht="17.25" customHeight="1" x14ac:dyDescent="0.2">
      <c r="A3125" s="1611">
        <v>16</v>
      </c>
      <c r="B3125" s="1611" t="s">
        <v>7294</v>
      </c>
      <c r="C3125" s="1611" t="s">
        <v>5589</v>
      </c>
      <c r="D3125" s="1612">
        <v>0</v>
      </c>
      <c r="E3125" s="1706" t="s">
        <v>7592</v>
      </c>
      <c r="F3125" s="1613">
        <v>16856000</v>
      </c>
      <c r="G3125" s="1613">
        <v>136994364259</v>
      </c>
    </row>
    <row r="3126" spans="1:7" ht="17.25" customHeight="1" x14ac:dyDescent="0.2">
      <c r="A3126" s="1611">
        <v>16</v>
      </c>
      <c r="B3126" s="1611" t="s">
        <v>7156</v>
      </c>
      <c r="C3126" s="1611" t="s">
        <v>4591</v>
      </c>
      <c r="D3126" s="1612">
        <v>0</v>
      </c>
      <c r="E3126" s="1706" t="s">
        <v>7592</v>
      </c>
      <c r="F3126" s="1613">
        <v>14000000</v>
      </c>
      <c r="G3126" s="1613">
        <v>137008364259</v>
      </c>
    </row>
    <row r="3127" spans="1:7" ht="17.25" customHeight="1" x14ac:dyDescent="0.2">
      <c r="A3127" s="1611">
        <v>16</v>
      </c>
      <c r="B3127" s="1611" t="s">
        <v>7203</v>
      </c>
      <c r="C3127" s="1611" t="s">
        <v>5590</v>
      </c>
      <c r="D3127" s="1612">
        <v>0</v>
      </c>
      <c r="E3127" s="1706" t="s">
        <v>7592</v>
      </c>
      <c r="F3127" s="1613">
        <v>36700000</v>
      </c>
      <c r="G3127" s="1613">
        <v>137045064259</v>
      </c>
    </row>
    <row r="3128" spans="1:7" ht="17.25" customHeight="1" x14ac:dyDescent="0.2">
      <c r="A3128" s="1611">
        <v>16</v>
      </c>
      <c r="B3128" s="1611" t="s">
        <v>2038</v>
      </c>
      <c r="C3128" s="1611" t="s">
        <v>5591</v>
      </c>
      <c r="D3128" s="1612" t="s">
        <v>7555</v>
      </c>
      <c r="E3128" s="1706" t="s">
        <v>7592</v>
      </c>
      <c r="F3128" s="1613">
        <v>39500000</v>
      </c>
      <c r="G3128" s="1613">
        <v>137084564259</v>
      </c>
    </row>
    <row r="3129" spans="1:7" ht="17.25" customHeight="1" x14ac:dyDescent="0.2">
      <c r="A3129" s="1611">
        <v>16</v>
      </c>
      <c r="B3129" s="1611" t="s">
        <v>7176</v>
      </c>
      <c r="C3129" s="1611" t="s">
        <v>5592</v>
      </c>
      <c r="D3129" s="1612">
        <v>0</v>
      </c>
      <c r="E3129" s="1706" t="s">
        <v>7592</v>
      </c>
      <c r="F3129" s="1613">
        <v>45000000</v>
      </c>
      <c r="G3129" s="1613">
        <v>137129564259</v>
      </c>
    </row>
    <row r="3130" spans="1:7" ht="17.25" customHeight="1" x14ac:dyDescent="0.2">
      <c r="A3130" s="1611">
        <v>16</v>
      </c>
      <c r="B3130" s="1611" t="s">
        <v>7203</v>
      </c>
      <c r="C3130" s="1611" t="s">
        <v>5593</v>
      </c>
      <c r="D3130" s="1612">
        <v>0</v>
      </c>
      <c r="E3130" s="1706" t="s">
        <v>7592</v>
      </c>
      <c r="F3130" s="1613">
        <v>34000000</v>
      </c>
      <c r="G3130" s="1613">
        <v>137163564259</v>
      </c>
    </row>
    <row r="3131" spans="1:7" ht="17.25" customHeight="1" x14ac:dyDescent="0.2">
      <c r="A3131" s="1611">
        <v>16</v>
      </c>
      <c r="B3131" s="1611" t="s">
        <v>7156</v>
      </c>
      <c r="C3131" s="1611" t="s">
        <v>5594</v>
      </c>
      <c r="D3131" s="1612">
        <v>0</v>
      </c>
      <c r="E3131" s="1706" t="s">
        <v>7592</v>
      </c>
      <c r="F3131" s="1613">
        <v>14065455</v>
      </c>
      <c r="G3131" s="1613">
        <v>137177629714</v>
      </c>
    </row>
    <row r="3132" spans="1:7" ht="17.25" customHeight="1" x14ac:dyDescent="0.2">
      <c r="A3132" s="1611">
        <v>16</v>
      </c>
      <c r="B3132" s="1611" t="s">
        <v>7176</v>
      </c>
      <c r="C3132" s="1611" t="s">
        <v>5592</v>
      </c>
      <c r="D3132" s="1612">
        <v>0</v>
      </c>
      <c r="E3132" s="1706" t="s">
        <v>7592</v>
      </c>
      <c r="F3132" s="1613">
        <v>-45000000</v>
      </c>
      <c r="G3132" s="1613">
        <v>137132629714</v>
      </c>
    </row>
    <row r="3133" spans="1:7" ht="17.25" customHeight="1" x14ac:dyDescent="0.2">
      <c r="A3133" s="1611">
        <v>16</v>
      </c>
      <c r="B3133" s="1611" t="s">
        <v>7176</v>
      </c>
      <c r="C3133" s="1611" t="s">
        <v>5592</v>
      </c>
      <c r="D3133" s="1612">
        <v>0</v>
      </c>
      <c r="E3133" s="1706" t="s">
        <v>7592</v>
      </c>
      <c r="F3133" s="1613">
        <v>45300000</v>
      </c>
      <c r="G3133" s="1613">
        <v>137177929714</v>
      </c>
    </row>
    <row r="3134" spans="1:7" ht="17.25" customHeight="1" x14ac:dyDescent="0.2">
      <c r="A3134" s="1611">
        <v>16</v>
      </c>
      <c r="B3134" s="1611" t="s">
        <v>5595</v>
      </c>
      <c r="C3134" s="1611" t="s">
        <v>5250</v>
      </c>
      <c r="D3134" s="1612">
        <v>0</v>
      </c>
      <c r="E3134" s="1706" t="s">
        <v>7592</v>
      </c>
      <c r="F3134" s="1613">
        <v>48094049</v>
      </c>
      <c r="G3134" s="1613">
        <v>137226023763</v>
      </c>
    </row>
    <row r="3135" spans="1:7" ht="17.25" customHeight="1" x14ac:dyDescent="0.2">
      <c r="A3135" s="1611">
        <v>16</v>
      </c>
      <c r="B3135" s="1611" t="s">
        <v>5595</v>
      </c>
      <c r="C3135" s="1611" t="s">
        <v>5250</v>
      </c>
      <c r="D3135" s="1612">
        <v>0</v>
      </c>
      <c r="E3135" s="1706" t="s">
        <v>7592</v>
      </c>
      <c r="F3135" s="1613">
        <v>48094049</v>
      </c>
      <c r="G3135" s="1613">
        <v>137274117812</v>
      </c>
    </row>
    <row r="3136" spans="1:7" ht="17.25" customHeight="1" x14ac:dyDescent="0.2">
      <c r="A3136" s="1611">
        <v>16</v>
      </c>
      <c r="B3136" s="1611" t="s">
        <v>5595</v>
      </c>
      <c r="C3136" s="1611" t="s">
        <v>5250</v>
      </c>
      <c r="D3136" s="1612">
        <v>0</v>
      </c>
      <c r="E3136" s="1706" t="s">
        <v>7592</v>
      </c>
      <c r="F3136" s="1613">
        <v>48094049</v>
      </c>
      <c r="G3136" s="1613">
        <v>137322211861</v>
      </c>
    </row>
    <row r="3137" spans="1:7" ht="17.25" customHeight="1" x14ac:dyDescent="0.2">
      <c r="A3137" s="1611">
        <v>16</v>
      </c>
      <c r="B3137" s="1611" t="s">
        <v>5595</v>
      </c>
      <c r="C3137" s="1611" t="s">
        <v>5250</v>
      </c>
      <c r="D3137" s="1612">
        <v>0</v>
      </c>
      <c r="E3137" s="1706" t="s">
        <v>7592</v>
      </c>
      <c r="F3137" s="1613">
        <v>48094049</v>
      </c>
      <c r="G3137" s="1613">
        <v>137370305910</v>
      </c>
    </row>
    <row r="3138" spans="1:7" ht="17.25" customHeight="1" x14ac:dyDescent="0.2">
      <c r="A3138" s="1611">
        <v>16</v>
      </c>
      <c r="B3138" s="1611" t="s">
        <v>5595</v>
      </c>
      <c r="C3138" s="1611" t="s">
        <v>5250</v>
      </c>
      <c r="D3138" s="1612">
        <v>0</v>
      </c>
      <c r="E3138" s="1706" t="s">
        <v>7592</v>
      </c>
      <c r="F3138" s="1613">
        <v>48094049</v>
      </c>
      <c r="G3138" s="1613">
        <v>137418399959</v>
      </c>
    </row>
    <row r="3139" spans="1:7" ht="17.25" customHeight="1" x14ac:dyDescent="0.2">
      <c r="A3139" s="1611">
        <v>16</v>
      </c>
      <c r="B3139" s="1611" t="s">
        <v>5595</v>
      </c>
      <c r="C3139" s="1611" t="s">
        <v>5250</v>
      </c>
      <c r="D3139" s="1612">
        <v>0</v>
      </c>
      <c r="E3139" s="1706" t="s">
        <v>7592</v>
      </c>
      <c r="F3139" s="1613">
        <v>48094049</v>
      </c>
      <c r="G3139" s="1613">
        <v>137466494008</v>
      </c>
    </row>
    <row r="3140" spans="1:7" ht="17.25" customHeight="1" x14ac:dyDescent="0.2">
      <c r="A3140" s="1611">
        <v>16</v>
      </c>
      <c r="B3140" s="1611" t="s">
        <v>5595</v>
      </c>
      <c r="C3140" s="1611" t="s">
        <v>5250</v>
      </c>
      <c r="D3140" s="1612">
        <v>0</v>
      </c>
      <c r="E3140" s="1706" t="s">
        <v>7592</v>
      </c>
      <c r="F3140" s="1613">
        <v>48094049</v>
      </c>
      <c r="G3140" s="1613">
        <v>137514588057</v>
      </c>
    </row>
    <row r="3141" spans="1:7" ht="17.25" customHeight="1" x14ac:dyDescent="0.2">
      <c r="A3141" s="1611">
        <v>16</v>
      </c>
      <c r="B3141" s="1611" t="s">
        <v>5595</v>
      </c>
      <c r="C3141" s="1611" t="s">
        <v>5250</v>
      </c>
      <c r="D3141" s="1612">
        <v>0</v>
      </c>
      <c r="E3141" s="1706" t="s">
        <v>7592</v>
      </c>
      <c r="F3141" s="1613">
        <v>48094049</v>
      </c>
      <c r="G3141" s="1613">
        <v>137562682106</v>
      </c>
    </row>
    <row r="3142" spans="1:7" ht="17.25" customHeight="1" x14ac:dyDescent="0.2">
      <c r="A3142" s="1611">
        <v>16</v>
      </c>
      <c r="B3142" s="1611" t="s">
        <v>5595</v>
      </c>
      <c r="C3142" s="1611" t="s">
        <v>5250</v>
      </c>
      <c r="D3142" s="1612">
        <v>0</v>
      </c>
      <c r="E3142" s="1706" t="s">
        <v>7592</v>
      </c>
      <c r="F3142" s="1613">
        <v>48094049</v>
      </c>
      <c r="G3142" s="1613">
        <v>137610776155</v>
      </c>
    </row>
    <row r="3143" spans="1:7" ht="17.25" customHeight="1" x14ac:dyDescent="0.2">
      <c r="A3143" s="1611">
        <v>16</v>
      </c>
      <c r="B3143" s="1611" t="s">
        <v>5595</v>
      </c>
      <c r="C3143" s="1611" t="s">
        <v>5250</v>
      </c>
      <c r="D3143" s="1612">
        <v>0</v>
      </c>
      <c r="E3143" s="1706" t="s">
        <v>7592</v>
      </c>
      <c r="F3143" s="1613">
        <v>48094049</v>
      </c>
      <c r="G3143" s="1613">
        <v>137658870204</v>
      </c>
    </row>
    <row r="3144" spans="1:7" ht="17.25" customHeight="1" x14ac:dyDescent="0.2">
      <c r="A3144" s="1611">
        <v>16</v>
      </c>
      <c r="B3144" s="1611" t="s">
        <v>5595</v>
      </c>
      <c r="C3144" s="1611" t="s">
        <v>5250</v>
      </c>
      <c r="D3144" s="1612">
        <v>0</v>
      </c>
      <c r="E3144" s="1706" t="s">
        <v>7592</v>
      </c>
      <c r="F3144" s="1613">
        <v>48094049</v>
      </c>
      <c r="G3144" s="1613">
        <v>137706964253</v>
      </c>
    </row>
    <row r="3145" spans="1:7" ht="17.25" customHeight="1" x14ac:dyDescent="0.2">
      <c r="A3145" s="1611">
        <v>16</v>
      </c>
      <c r="B3145" s="1611" t="s">
        <v>5595</v>
      </c>
      <c r="C3145" s="1611" t="s">
        <v>5250</v>
      </c>
      <c r="D3145" s="1612">
        <v>0</v>
      </c>
      <c r="E3145" s="1706" t="s">
        <v>7592</v>
      </c>
      <c r="F3145" s="1613">
        <v>48094049</v>
      </c>
      <c r="G3145" s="1613">
        <v>137755058302</v>
      </c>
    </row>
    <row r="3146" spans="1:7" ht="17.25" customHeight="1" x14ac:dyDescent="0.2">
      <c r="A3146" s="1611">
        <v>16</v>
      </c>
      <c r="B3146" s="1611" t="s">
        <v>5595</v>
      </c>
      <c r="C3146" s="1611" t="s">
        <v>5250</v>
      </c>
      <c r="D3146" s="1612">
        <v>0</v>
      </c>
      <c r="E3146" s="1706" t="s">
        <v>7592</v>
      </c>
      <c r="F3146" s="1613">
        <v>48094049</v>
      </c>
      <c r="G3146" s="1613">
        <v>137803152351</v>
      </c>
    </row>
    <row r="3147" spans="1:7" ht="17.25" customHeight="1" x14ac:dyDescent="0.2">
      <c r="A3147" s="1611">
        <v>16</v>
      </c>
      <c r="B3147" s="1611" t="s">
        <v>5595</v>
      </c>
      <c r="C3147" s="1611" t="s">
        <v>5250</v>
      </c>
      <c r="D3147" s="1612">
        <v>0</v>
      </c>
      <c r="E3147" s="1706" t="s">
        <v>7592</v>
      </c>
      <c r="F3147" s="1613">
        <v>-48094049</v>
      </c>
      <c r="G3147" s="1613">
        <v>137755058302</v>
      </c>
    </row>
    <row r="3148" spans="1:7" ht="17.25" customHeight="1" x14ac:dyDescent="0.2">
      <c r="A3148" s="1611">
        <v>16</v>
      </c>
      <c r="B3148" s="1611" t="s">
        <v>5595</v>
      </c>
      <c r="C3148" s="1611" t="s">
        <v>5250</v>
      </c>
      <c r="D3148" s="1612">
        <v>0</v>
      </c>
      <c r="E3148" s="1706" t="s">
        <v>7592</v>
      </c>
      <c r="F3148" s="1613">
        <v>-48094049</v>
      </c>
      <c r="G3148" s="1613">
        <v>137706964253</v>
      </c>
    </row>
    <row r="3149" spans="1:7" ht="17.25" customHeight="1" x14ac:dyDescent="0.2">
      <c r="A3149" s="1611">
        <v>16</v>
      </c>
      <c r="B3149" s="1611" t="s">
        <v>5595</v>
      </c>
      <c r="C3149" s="1611" t="s">
        <v>5250</v>
      </c>
      <c r="D3149" s="1612">
        <v>0</v>
      </c>
      <c r="E3149" s="1706" t="s">
        <v>7592</v>
      </c>
      <c r="F3149" s="1613">
        <v>-48094049</v>
      </c>
      <c r="G3149" s="1613">
        <v>137658870204</v>
      </c>
    </row>
    <row r="3150" spans="1:7" ht="17.25" customHeight="1" x14ac:dyDescent="0.2">
      <c r="A3150" s="1611">
        <v>16</v>
      </c>
      <c r="B3150" s="1611" t="s">
        <v>5595</v>
      </c>
      <c r="C3150" s="1611" t="s">
        <v>5250</v>
      </c>
      <c r="D3150" s="1612">
        <v>0</v>
      </c>
      <c r="E3150" s="1706" t="s">
        <v>7592</v>
      </c>
      <c r="F3150" s="1613">
        <v>-48094049</v>
      </c>
      <c r="G3150" s="1613">
        <v>137610776155</v>
      </c>
    </row>
    <row r="3151" spans="1:7" ht="17.25" customHeight="1" x14ac:dyDescent="0.2">
      <c r="A3151" s="1611">
        <v>16</v>
      </c>
      <c r="B3151" s="1611" t="s">
        <v>5595</v>
      </c>
      <c r="C3151" s="1611" t="s">
        <v>5250</v>
      </c>
      <c r="D3151" s="1612">
        <v>0</v>
      </c>
      <c r="E3151" s="1706" t="s">
        <v>7592</v>
      </c>
      <c r="F3151" s="1613">
        <v>-48094049</v>
      </c>
      <c r="G3151" s="1613">
        <v>137562682106</v>
      </c>
    </row>
    <row r="3152" spans="1:7" ht="17.25" customHeight="1" x14ac:dyDescent="0.2">
      <c r="A3152" s="1611">
        <v>16</v>
      </c>
      <c r="B3152" s="1611" t="s">
        <v>5595</v>
      </c>
      <c r="C3152" s="1611" t="s">
        <v>5250</v>
      </c>
      <c r="D3152" s="1612">
        <v>0</v>
      </c>
      <c r="E3152" s="1706" t="s">
        <v>7592</v>
      </c>
      <c r="F3152" s="1613">
        <v>-48094049</v>
      </c>
      <c r="G3152" s="1613">
        <v>137514588057</v>
      </c>
    </row>
    <row r="3153" spans="1:7" ht="17.25" customHeight="1" x14ac:dyDescent="0.2">
      <c r="A3153" s="1611">
        <v>16</v>
      </c>
      <c r="B3153" s="1611" t="s">
        <v>5595</v>
      </c>
      <c r="C3153" s="1611" t="s">
        <v>5250</v>
      </c>
      <c r="D3153" s="1612">
        <v>0</v>
      </c>
      <c r="E3153" s="1706" t="s">
        <v>7592</v>
      </c>
      <c r="F3153" s="1613">
        <v>-48094049</v>
      </c>
      <c r="G3153" s="1613">
        <v>137466494008</v>
      </c>
    </row>
    <row r="3154" spans="1:7" ht="17.25" customHeight="1" x14ac:dyDescent="0.2">
      <c r="A3154" s="1611">
        <v>16</v>
      </c>
      <c r="B3154" s="1611" t="s">
        <v>5595</v>
      </c>
      <c r="C3154" s="1611" t="s">
        <v>5250</v>
      </c>
      <c r="D3154" s="1612">
        <v>0</v>
      </c>
      <c r="E3154" s="1706" t="s">
        <v>7592</v>
      </c>
      <c r="F3154" s="1613">
        <v>-48094049</v>
      </c>
      <c r="G3154" s="1613">
        <v>137418399959</v>
      </c>
    </row>
    <row r="3155" spans="1:7" ht="17.25" customHeight="1" x14ac:dyDescent="0.2">
      <c r="A3155" s="1611">
        <v>16</v>
      </c>
      <c r="B3155" s="1611" t="s">
        <v>5595</v>
      </c>
      <c r="C3155" s="1611" t="s">
        <v>5250</v>
      </c>
      <c r="D3155" s="1612">
        <v>0</v>
      </c>
      <c r="E3155" s="1706" t="s">
        <v>7592</v>
      </c>
      <c r="F3155" s="1613">
        <v>-48094049</v>
      </c>
      <c r="G3155" s="1613">
        <v>137370305910</v>
      </c>
    </row>
    <row r="3156" spans="1:7" ht="17.25" customHeight="1" x14ac:dyDescent="0.2">
      <c r="A3156" s="1611">
        <v>16</v>
      </c>
      <c r="B3156" s="1611" t="s">
        <v>5595</v>
      </c>
      <c r="C3156" s="1611" t="s">
        <v>5250</v>
      </c>
      <c r="D3156" s="1612">
        <v>0</v>
      </c>
      <c r="E3156" s="1706" t="s">
        <v>7592</v>
      </c>
      <c r="F3156" s="1613">
        <v>-48094049</v>
      </c>
      <c r="G3156" s="1613">
        <v>137322211861</v>
      </c>
    </row>
    <row r="3157" spans="1:7" ht="17.25" customHeight="1" x14ac:dyDescent="0.2">
      <c r="A3157" s="1611">
        <v>16</v>
      </c>
      <c r="B3157" s="1611" t="s">
        <v>5595</v>
      </c>
      <c r="C3157" s="1611" t="s">
        <v>5250</v>
      </c>
      <c r="D3157" s="1612">
        <v>0</v>
      </c>
      <c r="E3157" s="1706" t="s">
        <v>7592</v>
      </c>
      <c r="F3157" s="1613">
        <v>-48094049</v>
      </c>
      <c r="G3157" s="1613">
        <v>137274117812</v>
      </c>
    </row>
    <row r="3158" spans="1:7" ht="17.25" customHeight="1" x14ac:dyDescent="0.2">
      <c r="A3158" s="1611">
        <v>16</v>
      </c>
      <c r="B3158" s="1611" t="s">
        <v>5595</v>
      </c>
      <c r="C3158" s="1611" t="s">
        <v>5250</v>
      </c>
      <c r="D3158" s="1612">
        <v>0</v>
      </c>
      <c r="E3158" s="1706" t="s">
        <v>7592</v>
      </c>
      <c r="F3158" s="1613">
        <v>-48094049</v>
      </c>
      <c r="G3158" s="1613">
        <v>137226023763</v>
      </c>
    </row>
    <row r="3159" spans="1:7" ht="17.25" customHeight="1" x14ac:dyDescent="0.2">
      <c r="A3159" s="1611">
        <v>16</v>
      </c>
      <c r="B3159" s="1611" t="s">
        <v>5595</v>
      </c>
      <c r="C3159" s="1611" t="s">
        <v>5250</v>
      </c>
      <c r="D3159" s="1612">
        <v>0</v>
      </c>
      <c r="E3159" s="1706" t="s">
        <v>7592</v>
      </c>
      <c r="F3159" s="1613">
        <v>-48094049</v>
      </c>
      <c r="G3159" s="1613">
        <v>137177929714</v>
      </c>
    </row>
    <row r="3160" spans="1:7" ht="17.25" customHeight="1" x14ac:dyDescent="0.2">
      <c r="A3160" s="1611">
        <v>16</v>
      </c>
      <c r="B3160" s="1611" t="s">
        <v>5595</v>
      </c>
      <c r="C3160" s="1611" t="s">
        <v>5250</v>
      </c>
      <c r="D3160" s="1612">
        <v>0</v>
      </c>
      <c r="E3160" s="1706" t="s">
        <v>7592</v>
      </c>
      <c r="F3160" s="1613">
        <v>48094049</v>
      </c>
      <c r="G3160" s="1613">
        <v>137226023763</v>
      </c>
    </row>
    <row r="3161" spans="1:7" ht="17.25" customHeight="1" x14ac:dyDescent="0.2">
      <c r="A3161" s="1611">
        <v>16</v>
      </c>
      <c r="B3161" s="1611" t="s">
        <v>5595</v>
      </c>
      <c r="C3161" s="1611" t="s">
        <v>5250</v>
      </c>
      <c r="D3161" s="1612">
        <v>0</v>
      </c>
      <c r="E3161" s="1706" t="s">
        <v>7592</v>
      </c>
      <c r="F3161" s="1613">
        <v>48094049</v>
      </c>
      <c r="G3161" s="1613">
        <v>137274117812</v>
      </c>
    </row>
    <row r="3162" spans="1:7" ht="17.25" customHeight="1" x14ac:dyDescent="0.2">
      <c r="A3162" s="1611">
        <v>16</v>
      </c>
      <c r="B3162" s="1611" t="s">
        <v>5595</v>
      </c>
      <c r="C3162" s="1611" t="s">
        <v>5250</v>
      </c>
      <c r="D3162" s="1612">
        <v>0</v>
      </c>
      <c r="E3162" s="1706" t="s">
        <v>7592</v>
      </c>
      <c r="F3162" s="1613">
        <v>48094049</v>
      </c>
      <c r="G3162" s="1613">
        <v>137322211861</v>
      </c>
    </row>
    <row r="3163" spans="1:7" ht="17.25" customHeight="1" x14ac:dyDescent="0.2">
      <c r="A3163" s="1611">
        <v>16</v>
      </c>
      <c r="B3163" s="1611" t="s">
        <v>5595</v>
      </c>
      <c r="C3163" s="1611" t="s">
        <v>5250</v>
      </c>
      <c r="D3163" s="1612">
        <v>0</v>
      </c>
      <c r="E3163" s="1706" t="s">
        <v>7592</v>
      </c>
      <c r="F3163" s="1613">
        <v>48094049</v>
      </c>
      <c r="G3163" s="1613">
        <v>137370305910</v>
      </c>
    </row>
    <row r="3164" spans="1:7" ht="17.25" customHeight="1" x14ac:dyDescent="0.2">
      <c r="A3164" s="1611">
        <v>16</v>
      </c>
      <c r="B3164" s="1611" t="s">
        <v>5595</v>
      </c>
      <c r="C3164" s="1611" t="s">
        <v>5250</v>
      </c>
      <c r="D3164" s="1612">
        <v>0</v>
      </c>
      <c r="E3164" s="1706" t="s">
        <v>7592</v>
      </c>
      <c r="F3164" s="1613">
        <v>48094049</v>
      </c>
      <c r="G3164" s="1613">
        <v>137418399959</v>
      </c>
    </row>
    <row r="3165" spans="1:7" ht="17.25" customHeight="1" x14ac:dyDescent="0.2">
      <c r="A3165" s="1611">
        <v>16</v>
      </c>
      <c r="B3165" s="1611" t="s">
        <v>5595</v>
      </c>
      <c r="C3165" s="1611" t="s">
        <v>5250</v>
      </c>
      <c r="D3165" s="1612">
        <v>0</v>
      </c>
      <c r="E3165" s="1706" t="s">
        <v>7592</v>
      </c>
      <c r="F3165" s="1613">
        <v>48094049</v>
      </c>
      <c r="G3165" s="1613">
        <v>137466494008</v>
      </c>
    </row>
    <row r="3166" spans="1:7" ht="17.25" customHeight="1" x14ac:dyDescent="0.2">
      <c r="A3166" s="1611">
        <v>16</v>
      </c>
      <c r="B3166" s="1611" t="s">
        <v>5595</v>
      </c>
      <c r="C3166" s="1611" t="s">
        <v>5250</v>
      </c>
      <c r="D3166" s="1612">
        <v>0</v>
      </c>
      <c r="E3166" s="1706" t="s">
        <v>7592</v>
      </c>
      <c r="F3166" s="1613">
        <v>48094049</v>
      </c>
      <c r="G3166" s="1613">
        <v>137514588057</v>
      </c>
    </row>
    <row r="3167" spans="1:7" ht="17.25" customHeight="1" x14ac:dyDescent="0.2">
      <c r="A3167" s="1611">
        <v>16</v>
      </c>
      <c r="B3167" s="1611" t="s">
        <v>5595</v>
      </c>
      <c r="C3167" s="1611" t="s">
        <v>5250</v>
      </c>
      <c r="D3167" s="1612">
        <v>0</v>
      </c>
      <c r="E3167" s="1706" t="s">
        <v>7592</v>
      </c>
      <c r="F3167" s="1613">
        <v>48094049</v>
      </c>
      <c r="G3167" s="1613">
        <v>137562682106</v>
      </c>
    </row>
    <row r="3168" spans="1:7" ht="17.25" customHeight="1" x14ac:dyDescent="0.2">
      <c r="A3168" s="1611">
        <v>16</v>
      </c>
      <c r="B3168" s="1611" t="s">
        <v>7294</v>
      </c>
      <c r="C3168" s="1611" t="s">
        <v>5596</v>
      </c>
      <c r="D3168" s="1612">
        <v>0</v>
      </c>
      <c r="E3168" s="1706" t="s">
        <v>7592</v>
      </c>
      <c r="F3168" s="1613">
        <v>16856000</v>
      </c>
      <c r="G3168" s="1613">
        <v>137579538106</v>
      </c>
    </row>
    <row r="3169" spans="1:7" ht="17.25" customHeight="1" x14ac:dyDescent="0.2">
      <c r="A3169" s="1611">
        <v>16</v>
      </c>
      <c r="B3169" s="1611" t="s">
        <v>7176</v>
      </c>
      <c r="C3169" s="1611" t="s">
        <v>5597</v>
      </c>
      <c r="D3169" s="1612">
        <v>0</v>
      </c>
      <c r="E3169" s="1706" t="s">
        <v>7592</v>
      </c>
      <c r="F3169" s="1613">
        <v>42000000</v>
      </c>
      <c r="G3169" s="1613">
        <v>137621538106</v>
      </c>
    </row>
    <row r="3170" spans="1:7" ht="17.25" customHeight="1" x14ac:dyDescent="0.2">
      <c r="A3170" s="1611">
        <v>16</v>
      </c>
      <c r="B3170" s="1611" t="s">
        <v>7154</v>
      </c>
      <c r="C3170" s="1611" t="s">
        <v>5598</v>
      </c>
      <c r="D3170" s="1612">
        <v>0</v>
      </c>
      <c r="E3170" s="1706" t="s">
        <v>7592</v>
      </c>
      <c r="F3170" s="1613">
        <v>50909090</v>
      </c>
      <c r="G3170" s="1613">
        <v>137672447196</v>
      </c>
    </row>
    <row r="3171" spans="1:7" ht="17.25" customHeight="1" x14ac:dyDescent="0.2">
      <c r="A3171" s="1611">
        <v>16</v>
      </c>
      <c r="B3171" s="1611" t="s">
        <v>7203</v>
      </c>
      <c r="C3171" s="1611" t="s">
        <v>4814</v>
      </c>
      <c r="D3171" s="1612">
        <v>0</v>
      </c>
      <c r="E3171" s="1706" t="s">
        <v>7592</v>
      </c>
      <c r="F3171" s="1613">
        <v>35454545</v>
      </c>
      <c r="G3171" s="1613">
        <v>137707901741</v>
      </c>
    </row>
    <row r="3172" spans="1:7" ht="17.25" customHeight="1" x14ac:dyDescent="0.2">
      <c r="A3172" s="1611">
        <v>16</v>
      </c>
      <c r="B3172" s="1611" t="s">
        <v>7203</v>
      </c>
      <c r="C3172" s="1611" t="s">
        <v>4351</v>
      </c>
      <c r="D3172" s="1612">
        <v>0</v>
      </c>
      <c r="E3172" s="1706" t="s">
        <v>7592</v>
      </c>
      <c r="F3172" s="1613">
        <v>33000000</v>
      </c>
      <c r="G3172" s="1613">
        <v>137740901741</v>
      </c>
    </row>
    <row r="3173" spans="1:7" ht="17.25" customHeight="1" x14ac:dyDescent="0.2">
      <c r="A3173" s="1611">
        <v>16</v>
      </c>
      <c r="B3173" s="1611" t="s">
        <v>7203</v>
      </c>
      <c r="C3173" s="1611" t="s">
        <v>5599</v>
      </c>
      <c r="D3173" s="1612">
        <v>0</v>
      </c>
      <c r="E3173" s="1706" t="s">
        <v>7592</v>
      </c>
      <c r="F3173" s="1613">
        <v>36700000</v>
      </c>
      <c r="G3173" s="1613">
        <v>137777601741</v>
      </c>
    </row>
    <row r="3174" spans="1:7" ht="17.25" customHeight="1" x14ac:dyDescent="0.2">
      <c r="A3174" s="1611">
        <v>16</v>
      </c>
      <c r="B3174" s="1611" t="s">
        <v>7294</v>
      </c>
      <c r="C3174" s="1611" t="s">
        <v>5368</v>
      </c>
      <c r="D3174" s="1612">
        <v>0</v>
      </c>
      <c r="E3174" s="1706" t="s">
        <v>7592</v>
      </c>
      <c r="F3174" s="1613">
        <v>17765000</v>
      </c>
      <c r="G3174" s="1613">
        <v>137795366741</v>
      </c>
    </row>
    <row r="3175" spans="1:7" ht="17.25" customHeight="1" x14ac:dyDescent="0.2">
      <c r="A3175" s="1611">
        <v>16</v>
      </c>
      <c r="B3175" s="1611" t="s">
        <v>7203</v>
      </c>
      <c r="C3175" s="1611" t="s">
        <v>3681</v>
      </c>
      <c r="D3175" s="1612">
        <v>0</v>
      </c>
      <c r="E3175" s="1706" t="s">
        <v>7592</v>
      </c>
      <c r="F3175" s="1613">
        <v>36363636</v>
      </c>
      <c r="G3175" s="1613">
        <v>137831730377</v>
      </c>
    </row>
    <row r="3176" spans="1:7" ht="17.25" customHeight="1" x14ac:dyDescent="0.2">
      <c r="A3176" s="1611">
        <v>16</v>
      </c>
      <c r="B3176" s="1611" t="s">
        <v>7251</v>
      </c>
      <c r="C3176" s="1611" t="s">
        <v>5600</v>
      </c>
      <c r="D3176" s="1612">
        <v>0</v>
      </c>
      <c r="E3176" s="1706" t="s">
        <v>7592</v>
      </c>
      <c r="F3176" s="1613">
        <v>34000000</v>
      </c>
      <c r="G3176" s="1613">
        <v>137865730377</v>
      </c>
    </row>
    <row r="3177" spans="1:7" ht="17.25" customHeight="1" x14ac:dyDescent="0.2">
      <c r="A3177" s="1611">
        <v>16</v>
      </c>
      <c r="B3177" s="1611" t="s">
        <v>7154</v>
      </c>
      <c r="C3177" s="1611" t="s">
        <v>5190</v>
      </c>
      <c r="D3177" s="1612">
        <v>0</v>
      </c>
      <c r="E3177" s="1706" t="s">
        <v>7592</v>
      </c>
      <c r="F3177" s="1613">
        <v>48390909</v>
      </c>
      <c r="G3177" s="1613">
        <v>137914121286</v>
      </c>
    </row>
    <row r="3178" spans="1:7" ht="17.25" customHeight="1" x14ac:dyDescent="0.2">
      <c r="A3178" s="1611">
        <v>16</v>
      </c>
      <c r="B3178" s="1611" t="s">
        <v>7251</v>
      </c>
      <c r="C3178" s="1611" t="s">
        <v>5601</v>
      </c>
      <c r="D3178" s="1612">
        <v>0</v>
      </c>
      <c r="E3178" s="1706" t="s">
        <v>7592</v>
      </c>
      <c r="F3178" s="1613">
        <v>33000000</v>
      </c>
      <c r="G3178" s="1613">
        <v>137947121286</v>
      </c>
    </row>
    <row r="3179" spans="1:7" ht="17.25" customHeight="1" x14ac:dyDescent="0.2">
      <c r="A3179" s="1611">
        <v>16</v>
      </c>
      <c r="B3179" s="1611" t="s">
        <v>7261</v>
      </c>
      <c r="C3179" s="1611" t="s">
        <v>5602</v>
      </c>
      <c r="D3179" s="1612">
        <v>0</v>
      </c>
      <c r="E3179" s="1706" t="s">
        <v>7592</v>
      </c>
      <c r="F3179" s="1613">
        <v>145500000</v>
      </c>
      <c r="G3179" s="1613">
        <v>138092621286</v>
      </c>
    </row>
    <row r="3180" spans="1:7" ht="17.25" customHeight="1" x14ac:dyDescent="0.2">
      <c r="A3180" s="1611">
        <v>16</v>
      </c>
      <c r="B3180" s="1611" t="s">
        <v>7203</v>
      </c>
      <c r="C3180" s="1611" t="s">
        <v>4511</v>
      </c>
      <c r="D3180" s="1612">
        <v>0</v>
      </c>
      <c r="E3180" s="1706" t="s">
        <v>7592</v>
      </c>
      <c r="F3180" s="1613">
        <v>35909091</v>
      </c>
      <c r="G3180" s="1613">
        <v>138128530377</v>
      </c>
    </row>
    <row r="3181" spans="1:7" ht="17.25" customHeight="1" x14ac:dyDescent="0.2">
      <c r="A3181" s="1611">
        <v>16</v>
      </c>
      <c r="B3181" s="1611" t="s">
        <v>7203</v>
      </c>
      <c r="C3181" s="1611" t="s">
        <v>4511</v>
      </c>
      <c r="D3181" s="1612">
        <v>0</v>
      </c>
      <c r="E3181" s="1706" t="s">
        <v>7592</v>
      </c>
      <c r="F3181" s="1613">
        <v>35909091</v>
      </c>
      <c r="G3181" s="1613">
        <v>138164439468</v>
      </c>
    </row>
    <row r="3182" spans="1:7" ht="17.25" customHeight="1" x14ac:dyDescent="0.2">
      <c r="A3182" s="1611">
        <v>16</v>
      </c>
      <c r="B3182" s="1611" t="s">
        <v>7203</v>
      </c>
      <c r="C3182" s="1611" t="s">
        <v>4511</v>
      </c>
      <c r="D3182" s="1612">
        <v>0</v>
      </c>
      <c r="E3182" s="1706" t="s">
        <v>7592</v>
      </c>
      <c r="F3182" s="1613">
        <v>35909091</v>
      </c>
      <c r="G3182" s="1613">
        <v>138200348559</v>
      </c>
    </row>
    <row r="3183" spans="1:7" ht="17.25" customHeight="1" x14ac:dyDescent="0.2">
      <c r="A3183" s="1611">
        <v>16</v>
      </c>
      <c r="B3183" s="1611" t="s">
        <v>7203</v>
      </c>
      <c r="C3183" s="1611" t="s">
        <v>5554</v>
      </c>
      <c r="D3183" s="1612">
        <v>0</v>
      </c>
      <c r="E3183" s="1706" t="s">
        <v>7592</v>
      </c>
      <c r="F3183" s="1613">
        <v>34300000</v>
      </c>
      <c r="G3183" s="1613">
        <v>138234648559</v>
      </c>
    </row>
    <row r="3184" spans="1:7" ht="17.25" customHeight="1" x14ac:dyDescent="0.2">
      <c r="A3184" s="1611">
        <v>16</v>
      </c>
      <c r="B3184" s="1611" t="s">
        <v>5595</v>
      </c>
      <c r="C3184" s="1611" t="s">
        <v>5250</v>
      </c>
      <c r="D3184" s="1612">
        <v>0</v>
      </c>
      <c r="E3184" s="1706" t="s">
        <v>7592</v>
      </c>
      <c r="F3184" s="1613">
        <v>48094049</v>
      </c>
      <c r="G3184" s="1613">
        <v>138282742608</v>
      </c>
    </row>
    <row r="3185" spans="1:7" ht="17.25" customHeight="1" x14ac:dyDescent="0.2">
      <c r="A3185" s="1611">
        <v>16</v>
      </c>
      <c r="B3185" s="1611" t="s">
        <v>5595</v>
      </c>
      <c r="C3185" s="1611" t="s">
        <v>5250</v>
      </c>
      <c r="D3185" s="1612">
        <v>0</v>
      </c>
      <c r="E3185" s="1706" t="s">
        <v>7592</v>
      </c>
      <c r="F3185" s="1613">
        <v>48094049</v>
      </c>
      <c r="G3185" s="1613">
        <v>138330836657</v>
      </c>
    </row>
    <row r="3186" spans="1:7" ht="17.25" customHeight="1" x14ac:dyDescent="0.2">
      <c r="A3186" s="1611">
        <v>16</v>
      </c>
      <c r="B3186" s="1611" t="s">
        <v>5595</v>
      </c>
      <c r="C3186" s="1611" t="s">
        <v>5250</v>
      </c>
      <c r="D3186" s="1612">
        <v>0</v>
      </c>
      <c r="E3186" s="1706" t="s">
        <v>7592</v>
      </c>
      <c r="F3186" s="1613">
        <v>48094049</v>
      </c>
      <c r="G3186" s="1613">
        <v>138378930706</v>
      </c>
    </row>
    <row r="3187" spans="1:7" ht="17.25" customHeight="1" x14ac:dyDescent="0.2">
      <c r="A3187" s="1611">
        <v>16</v>
      </c>
      <c r="B3187" s="1611" t="s">
        <v>5595</v>
      </c>
      <c r="C3187" s="1611" t="s">
        <v>5250</v>
      </c>
      <c r="D3187" s="1612">
        <v>0</v>
      </c>
      <c r="E3187" s="1706" t="s">
        <v>7592</v>
      </c>
      <c r="F3187" s="1613">
        <v>48094049</v>
      </c>
      <c r="G3187" s="1613">
        <v>138427024755</v>
      </c>
    </row>
    <row r="3188" spans="1:7" ht="17.25" customHeight="1" x14ac:dyDescent="0.2">
      <c r="A3188" s="1611">
        <v>16</v>
      </c>
      <c r="B3188" s="1611" t="s">
        <v>5595</v>
      </c>
      <c r="C3188" s="1611" t="s">
        <v>5250</v>
      </c>
      <c r="D3188" s="1612">
        <v>0</v>
      </c>
      <c r="E3188" s="1706" t="s">
        <v>7592</v>
      </c>
      <c r="F3188" s="1613">
        <v>48094049</v>
      </c>
      <c r="G3188" s="1613">
        <v>138475118804</v>
      </c>
    </row>
    <row r="3189" spans="1:7" ht="17.25" customHeight="1" x14ac:dyDescent="0.2">
      <c r="A3189" s="1611">
        <v>16</v>
      </c>
      <c r="B3189" s="1611" t="s">
        <v>2037</v>
      </c>
      <c r="C3189" s="1611" t="s">
        <v>5603</v>
      </c>
      <c r="D3189" s="1612" t="s">
        <v>7555</v>
      </c>
      <c r="E3189" s="1706" t="s">
        <v>7592</v>
      </c>
      <c r="F3189" s="1613">
        <v>35909090</v>
      </c>
      <c r="G3189" s="1613">
        <v>138511027894</v>
      </c>
    </row>
    <row r="3190" spans="1:7" ht="17.25" customHeight="1" x14ac:dyDescent="0.2">
      <c r="A3190" s="1611">
        <v>16</v>
      </c>
      <c r="B3190" s="1611" t="s">
        <v>7203</v>
      </c>
      <c r="C3190" s="1611" t="s">
        <v>5604</v>
      </c>
      <c r="D3190" s="1612">
        <v>0</v>
      </c>
      <c r="E3190" s="1706" t="s">
        <v>7592</v>
      </c>
      <c r="F3190" s="1613">
        <v>35214545</v>
      </c>
      <c r="G3190" s="1613">
        <v>138546242439</v>
      </c>
    </row>
    <row r="3191" spans="1:7" ht="17.25" customHeight="1" x14ac:dyDescent="0.2">
      <c r="A3191" s="1611">
        <v>16</v>
      </c>
      <c r="B3191" s="1611" t="s">
        <v>7154</v>
      </c>
      <c r="C3191" s="1611" t="s">
        <v>5605</v>
      </c>
      <c r="D3191" s="1612">
        <v>0</v>
      </c>
      <c r="E3191" s="1706" t="s">
        <v>7592</v>
      </c>
      <c r="F3191" s="1613">
        <v>50300000</v>
      </c>
      <c r="G3191" s="1613">
        <v>138596542439</v>
      </c>
    </row>
    <row r="3192" spans="1:7" ht="17.25" customHeight="1" x14ac:dyDescent="0.2">
      <c r="A3192" s="1611">
        <v>16</v>
      </c>
      <c r="B3192" s="1611" t="s">
        <v>7154</v>
      </c>
      <c r="C3192" s="1611" t="s">
        <v>4378</v>
      </c>
      <c r="D3192" s="1612">
        <v>0</v>
      </c>
      <c r="E3192" s="1706" t="s">
        <v>7592</v>
      </c>
      <c r="F3192" s="1613">
        <v>49454545</v>
      </c>
      <c r="G3192" s="1613">
        <v>138645996984</v>
      </c>
    </row>
    <row r="3193" spans="1:7" ht="17.25" customHeight="1" x14ac:dyDescent="0.2">
      <c r="A3193" s="1611">
        <v>16</v>
      </c>
      <c r="B3193" s="1611" t="s">
        <v>7303</v>
      </c>
      <c r="C3193" s="1611" t="s">
        <v>4859</v>
      </c>
      <c r="D3193" s="1612">
        <v>0</v>
      </c>
      <c r="E3193" s="1706" t="s">
        <v>7592</v>
      </c>
      <c r="F3193" s="1613">
        <v>2749490000</v>
      </c>
      <c r="G3193" s="1613">
        <v>141395486984</v>
      </c>
    </row>
    <row r="3194" spans="1:7" ht="17.25" customHeight="1" x14ac:dyDescent="0.2">
      <c r="A3194" s="1611">
        <v>16</v>
      </c>
      <c r="B3194" s="1611" t="s">
        <v>7294</v>
      </c>
      <c r="C3194" s="1611" t="s">
        <v>4332</v>
      </c>
      <c r="D3194" s="1612">
        <v>0</v>
      </c>
      <c r="E3194" s="1706" t="s">
        <v>7592</v>
      </c>
      <c r="F3194" s="1613">
        <v>17765000</v>
      </c>
      <c r="G3194" s="1613">
        <v>141413251984</v>
      </c>
    </row>
    <row r="3195" spans="1:7" ht="17.25" customHeight="1" x14ac:dyDescent="0.2">
      <c r="A3195" s="1611">
        <v>16</v>
      </c>
      <c r="B3195" s="1611" t="s">
        <v>7294</v>
      </c>
      <c r="C3195" s="1611" t="s">
        <v>4332</v>
      </c>
      <c r="D3195" s="1612">
        <v>0</v>
      </c>
      <c r="E3195" s="1706" t="s">
        <v>7592</v>
      </c>
      <c r="F3195" s="1613">
        <v>17765000</v>
      </c>
      <c r="G3195" s="1613">
        <v>141431016984</v>
      </c>
    </row>
    <row r="3196" spans="1:7" ht="17.25" customHeight="1" x14ac:dyDescent="0.2">
      <c r="A3196" s="1611">
        <v>16</v>
      </c>
      <c r="B3196" s="1611" t="s">
        <v>7294</v>
      </c>
      <c r="C3196" s="1611" t="s">
        <v>4332</v>
      </c>
      <c r="D3196" s="1612">
        <v>0</v>
      </c>
      <c r="E3196" s="1706" t="s">
        <v>7592</v>
      </c>
      <c r="F3196" s="1613">
        <v>17765000</v>
      </c>
      <c r="G3196" s="1613">
        <v>141448781984</v>
      </c>
    </row>
    <row r="3197" spans="1:7" ht="17.25" customHeight="1" x14ac:dyDescent="0.2">
      <c r="A3197" s="1611">
        <v>16</v>
      </c>
      <c r="B3197" s="1611" t="s">
        <v>7294</v>
      </c>
      <c r="C3197" s="1611" t="s">
        <v>4332</v>
      </c>
      <c r="D3197" s="1612">
        <v>0</v>
      </c>
      <c r="E3197" s="1706" t="s">
        <v>7592</v>
      </c>
      <c r="F3197" s="1613">
        <v>17765000</v>
      </c>
      <c r="G3197" s="1613">
        <v>141466546984</v>
      </c>
    </row>
    <row r="3198" spans="1:7" ht="17.25" customHeight="1" x14ac:dyDescent="0.2">
      <c r="A3198" s="1611">
        <v>16</v>
      </c>
      <c r="B3198" s="1611" t="s">
        <v>7203</v>
      </c>
      <c r="C3198" s="1611" t="s">
        <v>5582</v>
      </c>
      <c r="D3198" s="1612">
        <v>0</v>
      </c>
      <c r="E3198" s="1706" t="s">
        <v>7592</v>
      </c>
      <c r="F3198" s="1613">
        <v>35413636</v>
      </c>
      <c r="G3198" s="1613">
        <v>141501960620</v>
      </c>
    </row>
    <row r="3199" spans="1:7" ht="17.25" customHeight="1" x14ac:dyDescent="0.2">
      <c r="A3199" s="1611">
        <v>16</v>
      </c>
      <c r="B3199" s="1611" t="s">
        <v>7176</v>
      </c>
      <c r="C3199" s="1611" t="s">
        <v>5606</v>
      </c>
      <c r="D3199" s="1612">
        <v>0</v>
      </c>
      <c r="E3199" s="1706" t="s">
        <v>7592</v>
      </c>
      <c r="F3199" s="1613">
        <v>44000000</v>
      </c>
      <c r="G3199" s="1613">
        <v>141545960620</v>
      </c>
    </row>
    <row r="3200" spans="1:7" ht="17.25" customHeight="1" x14ac:dyDescent="0.2">
      <c r="A3200" s="1611">
        <v>16</v>
      </c>
      <c r="B3200" s="1611" t="s">
        <v>7176</v>
      </c>
      <c r="C3200" s="1611" t="s">
        <v>5607</v>
      </c>
      <c r="D3200" s="1612">
        <v>0</v>
      </c>
      <c r="E3200" s="1706" t="s">
        <v>7592</v>
      </c>
      <c r="F3200" s="1613">
        <v>44800000</v>
      </c>
      <c r="G3200" s="1613">
        <v>141590760620</v>
      </c>
    </row>
    <row r="3201" spans="1:7" ht="17.25" customHeight="1" x14ac:dyDescent="0.2">
      <c r="A3201" s="1611">
        <v>16</v>
      </c>
      <c r="B3201" s="1611" t="s">
        <v>7273</v>
      </c>
      <c r="C3201" s="1611" t="s">
        <v>5608</v>
      </c>
      <c r="D3201" s="1612">
        <v>0</v>
      </c>
      <c r="E3201" s="1706" t="s">
        <v>7592</v>
      </c>
      <c r="F3201" s="1613">
        <v>161000000</v>
      </c>
      <c r="G3201" s="1613">
        <v>141751760620</v>
      </c>
    </row>
    <row r="3202" spans="1:7" ht="17.25" customHeight="1" x14ac:dyDescent="0.2">
      <c r="A3202" s="1611">
        <v>16</v>
      </c>
      <c r="B3202" s="1611" t="s">
        <v>7203</v>
      </c>
      <c r="C3202" s="1611" t="s">
        <v>5609</v>
      </c>
      <c r="D3202" s="1612">
        <v>0</v>
      </c>
      <c r="E3202" s="1706" t="s">
        <v>7592</v>
      </c>
      <c r="F3202" s="1613">
        <v>33000000</v>
      </c>
      <c r="G3202" s="1613">
        <v>141784760620</v>
      </c>
    </row>
    <row r="3203" spans="1:7" ht="17.25" customHeight="1" x14ac:dyDescent="0.2">
      <c r="A3203" s="1611">
        <v>16</v>
      </c>
      <c r="B3203" s="1611" t="s">
        <v>7294</v>
      </c>
      <c r="C3203" s="1611" t="s">
        <v>5376</v>
      </c>
      <c r="D3203" s="1612">
        <v>0</v>
      </c>
      <c r="E3203" s="1706" t="s">
        <v>7592</v>
      </c>
      <c r="F3203" s="1613">
        <v>17765000</v>
      </c>
      <c r="G3203" s="1613">
        <v>141802525620</v>
      </c>
    </row>
    <row r="3204" spans="1:7" ht="17.25" customHeight="1" x14ac:dyDescent="0.2">
      <c r="A3204" s="1611">
        <v>16</v>
      </c>
      <c r="B3204" s="1611" t="s">
        <v>7294</v>
      </c>
      <c r="C3204" s="1611" t="s">
        <v>5596</v>
      </c>
      <c r="D3204" s="1612">
        <v>0</v>
      </c>
      <c r="E3204" s="1706" t="s">
        <v>7592</v>
      </c>
      <c r="F3204" s="1613">
        <v>16856000</v>
      </c>
      <c r="G3204" s="1613">
        <v>141819381620</v>
      </c>
    </row>
    <row r="3205" spans="1:7" ht="17.25" customHeight="1" x14ac:dyDescent="0.2">
      <c r="A3205" s="1611">
        <v>16</v>
      </c>
      <c r="B3205" s="1611" t="s">
        <v>7294</v>
      </c>
      <c r="C3205" s="1611" t="s">
        <v>5596</v>
      </c>
      <c r="D3205" s="1612">
        <v>0</v>
      </c>
      <c r="E3205" s="1706" t="s">
        <v>7592</v>
      </c>
      <c r="F3205" s="1613">
        <v>16856000</v>
      </c>
      <c r="G3205" s="1613">
        <v>141836237620</v>
      </c>
    </row>
    <row r="3206" spans="1:7" ht="17.25" customHeight="1" x14ac:dyDescent="0.2">
      <c r="A3206" s="1611">
        <v>16</v>
      </c>
      <c r="B3206" s="1611" t="s">
        <v>7176</v>
      </c>
      <c r="C3206" s="1611" t="s">
        <v>5610</v>
      </c>
      <c r="D3206" s="1612">
        <v>0</v>
      </c>
      <c r="E3206" s="1706" t="s">
        <v>7592</v>
      </c>
      <c r="F3206" s="1613">
        <v>41800000</v>
      </c>
      <c r="G3206" s="1613">
        <v>141878037620</v>
      </c>
    </row>
    <row r="3207" spans="1:7" ht="17.25" customHeight="1" x14ac:dyDescent="0.2">
      <c r="A3207" s="1611">
        <v>16</v>
      </c>
      <c r="B3207" s="1611" t="s">
        <v>7176</v>
      </c>
      <c r="C3207" s="1611" t="s">
        <v>4190</v>
      </c>
      <c r="D3207" s="1612">
        <v>0</v>
      </c>
      <c r="E3207" s="1706" t="s">
        <v>7592</v>
      </c>
      <c r="F3207" s="1613">
        <v>43800000</v>
      </c>
      <c r="G3207" s="1613">
        <v>141921837620</v>
      </c>
    </row>
    <row r="3208" spans="1:7" ht="17.25" customHeight="1" x14ac:dyDescent="0.2">
      <c r="A3208" s="1611">
        <v>16</v>
      </c>
      <c r="B3208" s="1611" t="s">
        <v>7176</v>
      </c>
      <c r="C3208" s="1611" t="s">
        <v>5611</v>
      </c>
      <c r="D3208" s="1612">
        <v>0</v>
      </c>
      <c r="E3208" s="1706" t="s">
        <v>7592</v>
      </c>
      <c r="F3208" s="1613">
        <v>41818182</v>
      </c>
      <c r="G3208" s="1613">
        <v>141963655802</v>
      </c>
    </row>
    <row r="3209" spans="1:7" ht="17.25" customHeight="1" x14ac:dyDescent="0.2">
      <c r="A3209" s="1611">
        <v>16</v>
      </c>
      <c r="B3209" s="1611" t="s">
        <v>5595</v>
      </c>
      <c r="C3209" s="1611" t="s">
        <v>5250</v>
      </c>
      <c r="D3209" s="1612">
        <v>0</v>
      </c>
      <c r="E3209" s="1706" t="s">
        <v>7592</v>
      </c>
      <c r="F3209" s="1613">
        <v>48094049</v>
      </c>
      <c r="G3209" s="1613">
        <v>142011749851</v>
      </c>
    </row>
    <row r="3210" spans="1:7" ht="17.25" customHeight="1" x14ac:dyDescent="0.2">
      <c r="A3210" s="1611">
        <v>16</v>
      </c>
      <c r="B3210" s="1611" t="s">
        <v>5595</v>
      </c>
      <c r="C3210" s="1611" t="s">
        <v>5250</v>
      </c>
      <c r="D3210" s="1612">
        <v>0</v>
      </c>
      <c r="E3210" s="1706" t="s">
        <v>7592</v>
      </c>
      <c r="F3210" s="1613">
        <v>48094049</v>
      </c>
      <c r="G3210" s="1613">
        <v>142059843900</v>
      </c>
    </row>
    <row r="3211" spans="1:7" ht="17.25" customHeight="1" x14ac:dyDescent="0.2">
      <c r="A3211" s="1611">
        <v>16</v>
      </c>
      <c r="B3211" s="1611" t="s">
        <v>5595</v>
      </c>
      <c r="C3211" s="1611" t="s">
        <v>5250</v>
      </c>
      <c r="D3211" s="1612">
        <v>0</v>
      </c>
      <c r="E3211" s="1706" t="s">
        <v>7592</v>
      </c>
      <c r="F3211" s="1613">
        <v>48094049</v>
      </c>
      <c r="G3211" s="1613">
        <v>142107937949</v>
      </c>
    </row>
    <row r="3212" spans="1:7" ht="17.25" customHeight="1" x14ac:dyDescent="0.2">
      <c r="A3212" s="1611">
        <v>16</v>
      </c>
      <c r="B3212" s="1611" t="s">
        <v>5595</v>
      </c>
      <c r="C3212" s="1611" t="s">
        <v>5250</v>
      </c>
      <c r="D3212" s="1612">
        <v>0</v>
      </c>
      <c r="E3212" s="1706" t="s">
        <v>7592</v>
      </c>
      <c r="F3212" s="1613">
        <v>48094049</v>
      </c>
      <c r="G3212" s="1613">
        <v>142156031998</v>
      </c>
    </row>
    <row r="3213" spans="1:7" ht="17.25" customHeight="1" x14ac:dyDescent="0.2">
      <c r="A3213" s="1611">
        <v>16</v>
      </c>
      <c r="B3213" s="1611" t="s">
        <v>5595</v>
      </c>
      <c r="C3213" s="1611" t="s">
        <v>5250</v>
      </c>
      <c r="D3213" s="1612">
        <v>0</v>
      </c>
      <c r="E3213" s="1706" t="s">
        <v>7592</v>
      </c>
      <c r="F3213" s="1613">
        <v>48094049</v>
      </c>
      <c r="G3213" s="1613">
        <v>142204126047</v>
      </c>
    </row>
    <row r="3214" spans="1:7" ht="17.25" customHeight="1" x14ac:dyDescent="0.2">
      <c r="A3214" s="1611">
        <v>16</v>
      </c>
      <c r="B3214" s="1611" t="s">
        <v>5595</v>
      </c>
      <c r="C3214" s="1611" t="s">
        <v>5250</v>
      </c>
      <c r="D3214" s="1612">
        <v>0</v>
      </c>
      <c r="E3214" s="1706" t="s">
        <v>7592</v>
      </c>
      <c r="F3214" s="1613">
        <v>48094049</v>
      </c>
      <c r="G3214" s="1613">
        <v>142252220096</v>
      </c>
    </row>
    <row r="3215" spans="1:7" ht="17.25" customHeight="1" x14ac:dyDescent="0.2">
      <c r="A3215" s="1611">
        <v>16</v>
      </c>
      <c r="B3215" s="1611" t="s">
        <v>5595</v>
      </c>
      <c r="C3215" s="1611" t="s">
        <v>5250</v>
      </c>
      <c r="D3215" s="1612">
        <v>0</v>
      </c>
      <c r="E3215" s="1706" t="s">
        <v>7592</v>
      </c>
      <c r="F3215" s="1613">
        <v>48094049</v>
      </c>
      <c r="G3215" s="1613">
        <v>142300314145</v>
      </c>
    </row>
    <row r="3216" spans="1:7" ht="17.25" customHeight="1" x14ac:dyDescent="0.2">
      <c r="A3216" s="1611">
        <v>16</v>
      </c>
      <c r="B3216" s="1611" t="s">
        <v>5595</v>
      </c>
      <c r="C3216" s="1611" t="s">
        <v>5250</v>
      </c>
      <c r="D3216" s="1612">
        <v>0</v>
      </c>
      <c r="E3216" s="1706" t="s">
        <v>7592</v>
      </c>
      <c r="F3216" s="1613">
        <v>48094049</v>
      </c>
      <c r="G3216" s="1613">
        <v>142348408194</v>
      </c>
    </row>
    <row r="3217" spans="1:7" ht="17.25" customHeight="1" x14ac:dyDescent="0.2">
      <c r="A3217" s="1611">
        <v>16</v>
      </c>
      <c r="B3217" s="1611" t="s">
        <v>5595</v>
      </c>
      <c r="C3217" s="1611" t="s">
        <v>5250</v>
      </c>
      <c r="D3217" s="1612">
        <v>0</v>
      </c>
      <c r="E3217" s="1706" t="s">
        <v>7592</v>
      </c>
      <c r="F3217" s="1613">
        <v>48094049</v>
      </c>
      <c r="G3217" s="1613">
        <v>142396502243</v>
      </c>
    </row>
    <row r="3218" spans="1:7" ht="17.25" customHeight="1" x14ac:dyDescent="0.2">
      <c r="A3218" s="1611">
        <v>16</v>
      </c>
      <c r="B3218" s="1611" t="s">
        <v>5595</v>
      </c>
      <c r="C3218" s="1611" t="s">
        <v>5250</v>
      </c>
      <c r="D3218" s="1612">
        <v>0</v>
      </c>
      <c r="E3218" s="1706" t="s">
        <v>7592</v>
      </c>
      <c r="F3218" s="1613">
        <v>48094049</v>
      </c>
      <c r="G3218" s="1613">
        <v>142444596292</v>
      </c>
    </row>
    <row r="3219" spans="1:7" ht="17.25" customHeight="1" x14ac:dyDescent="0.2">
      <c r="A3219" s="1611">
        <v>16</v>
      </c>
      <c r="B3219" s="1611" t="s">
        <v>7203</v>
      </c>
      <c r="C3219" s="1611" t="s">
        <v>5612</v>
      </c>
      <c r="D3219" s="1612">
        <v>0</v>
      </c>
      <c r="E3219" s="1706" t="s">
        <v>7592</v>
      </c>
      <c r="F3219" s="1613">
        <v>35909090</v>
      </c>
      <c r="G3219" s="1613">
        <v>142480505382</v>
      </c>
    </row>
    <row r="3220" spans="1:7" ht="17.25" customHeight="1" x14ac:dyDescent="0.2">
      <c r="A3220" s="1611">
        <v>16</v>
      </c>
      <c r="B3220" s="1611" t="s">
        <v>7156</v>
      </c>
      <c r="C3220" s="1611" t="s">
        <v>5613</v>
      </c>
      <c r="D3220" s="1612">
        <v>0</v>
      </c>
      <c r="E3220" s="1706" t="s">
        <v>7592</v>
      </c>
      <c r="F3220" s="1613">
        <v>14000000</v>
      </c>
      <c r="G3220" s="1613">
        <v>142494505382</v>
      </c>
    </row>
    <row r="3221" spans="1:7" ht="17.25" customHeight="1" x14ac:dyDescent="0.2">
      <c r="A3221" s="1611">
        <v>16</v>
      </c>
      <c r="B3221" s="1611" t="s">
        <v>7203</v>
      </c>
      <c r="C3221" s="1611" t="s">
        <v>4450</v>
      </c>
      <c r="D3221" s="1612">
        <v>0</v>
      </c>
      <c r="E3221" s="1706" t="s">
        <v>7592</v>
      </c>
      <c r="F3221" s="1613">
        <v>36727273</v>
      </c>
      <c r="G3221" s="1613">
        <v>142531232655</v>
      </c>
    </row>
    <row r="3222" spans="1:7" ht="17.25" customHeight="1" x14ac:dyDescent="0.2">
      <c r="A3222" s="1611">
        <v>16</v>
      </c>
      <c r="B3222" s="1611" t="s">
        <v>7203</v>
      </c>
      <c r="C3222" s="1611" t="s">
        <v>5614</v>
      </c>
      <c r="D3222" s="1612">
        <v>0</v>
      </c>
      <c r="E3222" s="1706" t="s">
        <v>7592</v>
      </c>
      <c r="F3222" s="1613">
        <v>34500000</v>
      </c>
      <c r="G3222" s="1613">
        <v>142565732655</v>
      </c>
    </row>
    <row r="3223" spans="1:7" ht="17.25" customHeight="1" x14ac:dyDescent="0.2">
      <c r="A3223" s="1611">
        <v>16</v>
      </c>
      <c r="B3223" s="1611" t="s">
        <v>7203</v>
      </c>
      <c r="C3223" s="1611" t="s">
        <v>5614</v>
      </c>
      <c r="D3223" s="1612">
        <v>0</v>
      </c>
      <c r="E3223" s="1706" t="s">
        <v>7592</v>
      </c>
      <c r="F3223" s="1613">
        <v>34500000</v>
      </c>
      <c r="G3223" s="1613">
        <v>142600232655</v>
      </c>
    </row>
    <row r="3224" spans="1:7" ht="17.25" customHeight="1" x14ac:dyDescent="0.2">
      <c r="A3224" s="1611">
        <v>16</v>
      </c>
      <c r="B3224" s="1611" t="s">
        <v>7154</v>
      </c>
      <c r="C3224" s="1611" t="s">
        <v>5615</v>
      </c>
      <c r="D3224" s="1612">
        <v>0</v>
      </c>
      <c r="E3224" s="1706" t="s">
        <v>7592</v>
      </c>
      <c r="F3224" s="1613">
        <v>48181818</v>
      </c>
      <c r="G3224" s="1613">
        <v>142648414473</v>
      </c>
    </row>
    <row r="3225" spans="1:7" ht="17.25" customHeight="1" x14ac:dyDescent="0.2">
      <c r="A3225" s="1611">
        <v>16</v>
      </c>
      <c r="B3225" s="1611" t="s">
        <v>7156</v>
      </c>
      <c r="C3225" s="1611" t="s">
        <v>5616</v>
      </c>
      <c r="D3225" s="1612">
        <v>0</v>
      </c>
      <c r="E3225" s="1706" t="s">
        <v>7592</v>
      </c>
      <c r="F3225" s="1613">
        <v>14545455</v>
      </c>
      <c r="G3225" s="1613">
        <v>142662959928</v>
      </c>
    </row>
    <row r="3226" spans="1:7" ht="17.25" customHeight="1" x14ac:dyDescent="0.2">
      <c r="A3226" s="1611">
        <v>16</v>
      </c>
      <c r="B3226" s="1611" t="s">
        <v>7203</v>
      </c>
      <c r="C3226" s="1611" t="s">
        <v>5617</v>
      </c>
      <c r="D3226" s="1612">
        <v>0</v>
      </c>
      <c r="E3226" s="1706" t="s">
        <v>7592</v>
      </c>
      <c r="F3226" s="1613">
        <v>35500000</v>
      </c>
      <c r="G3226" s="1613">
        <v>142698459928</v>
      </c>
    </row>
    <row r="3227" spans="1:7" ht="17.25" customHeight="1" x14ac:dyDescent="0.2">
      <c r="A3227" s="1611">
        <v>16</v>
      </c>
      <c r="B3227" s="1611" t="s">
        <v>7203</v>
      </c>
      <c r="C3227" s="1611" t="s">
        <v>5414</v>
      </c>
      <c r="D3227" s="1612">
        <v>0</v>
      </c>
      <c r="E3227" s="1706" t="s">
        <v>7592</v>
      </c>
      <c r="F3227" s="1613">
        <v>31400000</v>
      </c>
      <c r="G3227" s="1613">
        <v>142729859928</v>
      </c>
    </row>
    <row r="3228" spans="1:7" ht="17.25" customHeight="1" x14ac:dyDescent="0.2">
      <c r="A3228" s="1611">
        <v>16</v>
      </c>
      <c r="B3228" s="1611" t="s">
        <v>7203</v>
      </c>
      <c r="C3228" s="1611" t="s">
        <v>5414</v>
      </c>
      <c r="D3228" s="1612">
        <v>0</v>
      </c>
      <c r="E3228" s="1706" t="s">
        <v>7592</v>
      </c>
      <c r="F3228" s="1613">
        <v>31400000</v>
      </c>
      <c r="G3228" s="1613">
        <v>142761259928</v>
      </c>
    </row>
    <row r="3229" spans="1:7" ht="17.25" customHeight="1" x14ac:dyDescent="0.2">
      <c r="A3229" s="1611">
        <v>16</v>
      </c>
      <c r="B3229" s="1611" t="s">
        <v>7203</v>
      </c>
      <c r="C3229" s="1611" t="s">
        <v>5414</v>
      </c>
      <c r="D3229" s="1612">
        <v>0</v>
      </c>
      <c r="E3229" s="1706" t="s">
        <v>7592</v>
      </c>
      <c r="F3229" s="1613">
        <v>31400000</v>
      </c>
      <c r="G3229" s="1613">
        <v>142792659928</v>
      </c>
    </row>
    <row r="3230" spans="1:7" ht="17.25" customHeight="1" x14ac:dyDescent="0.2">
      <c r="A3230" s="1611">
        <v>16</v>
      </c>
      <c r="B3230" s="1611" t="s">
        <v>7156</v>
      </c>
      <c r="C3230" s="1611" t="s">
        <v>5618</v>
      </c>
      <c r="D3230" s="1612">
        <v>0</v>
      </c>
      <c r="E3230" s="1706" t="s">
        <v>7592</v>
      </c>
      <c r="F3230" s="1613">
        <v>13717273</v>
      </c>
      <c r="G3230" s="1613">
        <v>142806377201</v>
      </c>
    </row>
    <row r="3231" spans="1:7" ht="17.25" customHeight="1" x14ac:dyDescent="0.2">
      <c r="A3231" s="1611">
        <v>16</v>
      </c>
      <c r="B3231" s="1611" t="s">
        <v>7203</v>
      </c>
      <c r="C3231" s="1611" t="s">
        <v>5619</v>
      </c>
      <c r="D3231" s="1612">
        <v>0</v>
      </c>
      <c r="E3231" s="1706" t="s">
        <v>7592</v>
      </c>
      <c r="F3231" s="1613">
        <v>35500000</v>
      </c>
      <c r="G3231" s="1613">
        <v>142841877201</v>
      </c>
    </row>
    <row r="3232" spans="1:7" ht="17.25" customHeight="1" x14ac:dyDescent="0.2">
      <c r="A3232" s="1611">
        <v>16</v>
      </c>
      <c r="B3232" s="1611" t="s">
        <v>7203</v>
      </c>
      <c r="C3232" s="1611" t="s">
        <v>5620</v>
      </c>
      <c r="D3232" s="1612">
        <v>0</v>
      </c>
      <c r="E3232" s="1706" t="s">
        <v>7592</v>
      </c>
      <c r="F3232" s="1613">
        <v>34000000</v>
      </c>
      <c r="G3232" s="1613">
        <v>142875877201</v>
      </c>
    </row>
    <row r="3233" spans="1:7" ht="17.25" customHeight="1" x14ac:dyDescent="0.2">
      <c r="A3233" s="1611">
        <v>16</v>
      </c>
      <c r="B3233" s="1611" t="s">
        <v>7203</v>
      </c>
      <c r="C3233" s="1611" t="s">
        <v>4060</v>
      </c>
      <c r="D3233" s="1612">
        <v>0</v>
      </c>
      <c r="E3233" s="1706" t="s">
        <v>7592</v>
      </c>
      <c r="F3233" s="1613">
        <v>34000000</v>
      </c>
      <c r="G3233" s="1613">
        <v>142909877201</v>
      </c>
    </row>
    <row r="3234" spans="1:7" ht="17.25" customHeight="1" x14ac:dyDescent="0.2">
      <c r="A3234" s="1611">
        <v>16</v>
      </c>
      <c r="B3234" s="1611" t="s">
        <v>7203</v>
      </c>
      <c r="C3234" s="1611" t="s">
        <v>3910</v>
      </c>
      <c r="D3234" s="1612">
        <v>0</v>
      </c>
      <c r="E3234" s="1706" t="s">
        <v>7592</v>
      </c>
      <c r="F3234" s="1613">
        <v>36363636</v>
      </c>
      <c r="G3234" s="1613">
        <v>142946240837</v>
      </c>
    </row>
    <row r="3235" spans="1:7" ht="17.25" customHeight="1" x14ac:dyDescent="0.2">
      <c r="A3235" s="1611">
        <v>16</v>
      </c>
      <c r="B3235" s="1611" t="s">
        <v>7203</v>
      </c>
      <c r="C3235" s="1611" t="s">
        <v>5621</v>
      </c>
      <c r="D3235" s="1612">
        <v>0</v>
      </c>
      <c r="E3235" s="1706" t="s">
        <v>7592</v>
      </c>
      <c r="F3235" s="1613">
        <v>35454545</v>
      </c>
      <c r="G3235" s="1613">
        <v>142981695382</v>
      </c>
    </row>
    <row r="3236" spans="1:7" ht="17.25" customHeight="1" x14ac:dyDescent="0.2">
      <c r="A3236" s="1611">
        <v>16</v>
      </c>
      <c r="B3236" s="1611" t="s">
        <v>7176</v>
      </c>
      <c r="C3236" s="1611" t="s">
        <v>5622</v>
      </c>
      <c r="D3236" s="1612">
        <v>0</v>
      </c>
      <c r="E3236" s="1706" t="s">
        <v>7592</v>
      </c>
      <c r="F3236" s="1613">
        <v>45000000</v>
      </c>
      <c r="G3236" s="1613">
        <v>143026695382</v>
      </c>
    </row>
    <row r="3237" spans="1:7" ht="17.25" customHeight="1" x14ac:dyDescent="0.2">
      <c r="A3237" s="1611">
        <v>16</v>
      </c>
      <c r="B3237" s="1611" t="s">
        <v>7154</v>
      </c>
      <c r="C3237" s="1611" t="s">
        <v>5623</v>
      </c>
      <c r="D3237" s="1612">
        <v>0</v>
      </c>
      <c r="E3237" s="1706" t="s">
        <v>7592</v>
      </c>
      <c r="F3237" s="1613">
        <v>52000000</v>
      </c>
      <c r="G3237" s="1613">
        <v>143078695382</v>
      </c>
    </row>
    <row r="3238" spans="1:7" ht="17.25" customHeight="1" x14ac:dyDescent="0.2">
      <c r="A3238" s="1611">
        <v>16</v>
      </c>
      <c r="B3238" s="1611" t="s">
        <v>7203</v>
      </c>
      <c r="C3238" s="1611" t="s">
        <v>5624</v>
      </c>
      <c r="D3238" s="1612">
        <v>0</v>
      </c>
      <c r="E3238" s="1706" t="s">
        <v>7592</v>
      </c>
      <c r="F3238" s="1613">
        <v>36000000</v>
      </c>
      <c r="G3238" s="1613">
        <v>143114695382</v>
      </c>
    </row>
    <row r="3239" spans="1:7" ht="17.25" customHeight="1" x14ac:dyDescent="0.2">
      <c r="A3239" s="1611">
        <v>16</v>
      </c>
      <c r="B3239" s="1611" t="s">
        <v>7203</v>
      </c>
      <c r="C3239" s="1611" t="s">
        <v>4392</v>
      </c>
      <c r="D3239" s="1612">
        <v>0</v>
      </c>
      <c r="E3239" s="1706" t="s">
        <v>7592</v>
      </c>
      <c r="F3239" s="1613">
        <v>37000000</v>
      </c>
      <c r="G3239" s="1613">
        <v>143151695382</v>
      </c>
    </row>
    <row r="3240" spans="1:7" ht="17.25" customHeight="1" x14ac:dyDescent="0.2">
      <c r="A3240" s="1611">
        <v>16</v>
      </c>
      <c r="B3240" s="1611" t="s">
        <v>5595</v>
      </c>
      <c r="C3240" s="1611" t="s">
        <v>5250</v>
      </c>
      <c r="D3240" s="1612">
        <v>0</v>
      </c>
      <c r="E3240" s="1706" t="s">
        <v>7592</v>
      </c>
      <c r="F3240" s="1613">
        <v>48094049</v>
      </c>
      <c r="G3240" s="1613">
        <v>143199789431</v>
      </c>
    </row>
    <row r="3241" spans="1:7" ht="17.25" customHeight="1" x14ac:dyDescent="0.2">
      <c r="A3241" s="1611">
        <v>16</v>
      </c>
      <c r="B3241" s="1611" t="s">
        <v>5595</v>
      </c>
      <c r="C3241" s="1611" t="s">
        <v>5250</v>
      </c>
      <c r="D3241" s="1612">
        <v>0</v>
      </c>
      <c r="E3241" s="1706" t="s">
        <v>7592</v>
      </c>
      <c r="F3241" s="1613">
        <v>48094049</v>
      </c>
      <c r="G3241" s="1613">
        <v>143247883480</v>
      </c>
    </row>
    <row r="3242" spans="1:7" ht="17.25" customHeight="1" x14ac:dyDescent="0.2">
      <c r="A3242" s="1611">
        <v>16</v>
      </c>
      <c r="B3242" s="1611" t="s">
        <v>5595</v>
      </c>
      <c r="C3242" s="1611" t="s">
        <v>5250</v>
      </c>
      <c r="D3242" s="1612">
        <v>0</v>
      </c>
      <c r="E3242" s="1706" t="s">
        <v>7592</v>
      </c>
      <c r="F3242" s="1613">
        <v>48094049</v>
      </c>
      <c r="G3242" s="1613">
        <v>143295977529</v>
      </c>
    </row>
    <row r="3243" spans="1:7" ht="17.25" customHeight="1" x14ac:dyDescent="0.2">
      <c r="A3243" s="1611">
        <v>16</v>
      </c>
      <c r="B3243" s="1611" t="s">
        <v>5595</v>
      </c>
      <c r="C3243" s="1611" t="s">
        <v>5250</v>
      </c>
      <c r="D3243" s="1612">
        <v>0</v>
      </c>
      <c r="E3243" s="1706" t="s">
        <v>7592</v>
      </c>
      <c r="F3243" s="1613">
        <v>48094049</v>
      </c>
      <c r="G3243" s="1613">
        <v>143344071578</v>
      </c>
    </row>
    <row r="3244" spans="1:7" ht="17.25" customHeight="1" x14ac:dyDescent="0.2">
      <c r="A3244" s="1611">
        <v>16</v>
      </c>
      <c r="B3244" s="1611" t="s">
        <v>5595</v>
      </c>
      <c r="C3244" s="1611" t="s">
        <v>5250</v>
      </c>
      <c r="D3244" s="1612">
        <v>0</v>
      </c>
      <c r="E3244" s="1706" t="s">
        <v>7592</v>
      </c>
      <c r="F3244" s="1613">
        <v>48094049</v>
      </c>
      <c r="G3244" s="1613">
        <v>143392165627</v>
      </c>
    </row>
    <row r="3245" spans="1:7" ht="17.25" customHeight="1" x14ac:dyDescent="0.2">
      <c r="A3245" s="1611">
        <v>16</v>
      </c>
      <c r="B3245" s="1611" t="s">
        <v>5595</v>
      </c>
      <c r="C3245" s="1611" t="s">
        <v>5250</v>
      </c>
      <c r="D3245" s="1612">
        <v>0</v>
      </c>
      <c r="E3245" s="1706" t="s">
        <v>7592</v>
      </c>
      <c r="F3245" s="1613">
        <v>48094049</v>
      </c>
      <c r="G3245" s="1613">
        <v>143440259676</v>
      </c>
    </row>
    <row r="3246" spans="1:7" ht="17.25" customHeight="1" x14ac:dyDescent="0.2">
      <c r="A3246" s="1611">
        <v>16</v>
      </c>
      <c r="B3246" s="1611" t="s">
        <v>5595</v>
      </c>
      <c r="C3246" s="1611" t="s">
        <v>5250</v>
      </c>
      <c r="D3246" s="1612">
        <v>0</v>
      </c>
      <c r="E3246" s="1706" t="s">
        <v>7592</v>
      </c>
      <c r="F3246" s="1613">
        <v>48094049</v>
      </c>
      <c r="G3246" s="1613">
        <v>143488353725</v>
      </c>
    </row>
    <row r="3247" spans="1:7" ht="17.25" customHeight="1" x14ac:dyDescent="0.2">
      <c r="A3247" s="1611">
        <v>16</v>
      </c>
      <c r="B3247" s="1611" t="s">
        <v>5595</v>
      </c>
      <c r="C3247" s="1611" t="s">
        <v>5250</v>
      </c>
      <c r="D3247" s="1612">
        <v>0</v>
      </c>
      <c r="E3247" s="1706" t="s">
        <v>7592</v>
      </c>
      <c r="F3247" s="1613">
        <v>48094049</v>
      </c>
      <c r="G3247" s="1613">
        <v>143536447774</v>
      </c>
    </row>
    <row r="3248" spans="1:7" ht="17.25" customHeight="1" x14ac:dyDescent="0.2">
      <c r="A3248" s="1611">
        <v>16</v>
      </c>
      <c r="B3248" s="1611" t="s">
        <v>5595</v>
      </c>
      <c r="C3248" s="1611" t="s">
        <v>5250</v>
      </c>
      <c r="D3248" s="1612">
        <v>0</v>
      </c>
      <c r="E3248" s="1706" t="s">
        <v>7592</v>
      </c>
      <c r="F3248" s="1613">
        <v>48094049</v>
      </c>
      <c r="G3248" s="1613">
        <v>143584541823</v>
      </c>
    </row>
    <row r="3249" spans="1:7" ht="17.25" customHeight="1" x14ac:dyDescent="0.2">
      <c r="A3249" s="1611">
        <v>16</v>
      </c>
      <c r="B3249" s="1611" t="s">
        <v>5595</v>
      </c>
      <c r="C3249" s="1611" t="s">
        <v>5250</v>
      </c>
      <c r="D3249" s="1612">
        <v>0</v>
      </c>
      <c r="E3249" s="1706" t="s">
        <v>7592</v>
      </c>
      <c r="F3249" s="1613">
        <v>48094049</v>
      </c>
      <c r="G3249" s="1613">
        <v>143632635872</v>
      </c>
    </row>
    <row r="3250" spans="1:7" ht="17.25" customHeight="1" x14ac:dyDescent="0.2">
      <c r="A3250" s="1611">
        <v>16</v>
      </c>
      <c r="B3250" s="1611" t="s">
        <v>7154</v>
      </c>
      <c r="C3250" s="1611" t="s">
        <v>5625</v>
      </c>
      <c r="D3250" s="1612">
        <v>0</v>
      </c>
      <c r="E3250" s="1706" t="s">
        <v>7592</v>
      </c>
      <c r="F3250" s="1613">
        <v>51000000</v>
      </c>
      <c r="G3250" s="1613">
        <v>143683635872</v>
      </c>
    </row>
    <row r="3251" spans="1:7" ht="17.25" customHeight="1" x14ac:dyDescent="0.2">
      <c r="A3251" s="1611">
        <v>16</v>
      </c>
      <c r="B3251" s="1611" t="s">
        <v>7203</v>
      </c>
      <c r="C3251" s="1611" t="s">
        <v>5582</v>
      </c>
      <c r="D3251" s="1612">
        <v>0</v>
      </c>
      <c r="E3251" s="1706" t="s">
        <v>7592</v>
      </c>
      <c r="F3251" s="1613">
        <v>36363636</v>
      </c>
      <c r="G3251" s="1613">
        <v>143719999508</v>
      </c>
    </row>
    <row r="3252" spans="1:7" ht="17.25" customHeight="1" x14ac:dyDescent="0.2">
      <c r="A3252" s="1611">
        <v>16</v>
      </c>
      <c r="B3252" s="1611" t="s">
        <v>7251</v>
      </c>
      <c r="C3252" s="1611" t="s">
        <v>4509</v>
      </c>
      <c r="D3252" s="1612">
        <v>0</v>
      </c>
      <c r="E3252" s="1706" t="s">
        <v>7592</v>
      </c>
      <c r="F3252" s="1613">
        <v>35000000</v>
      </c>
      <c r="G3252" s="1613">
        <v>143754999508</v>
      </c>
    </row>
    <row r="3253" spans="1:7" ht="17.25" customHeight="1" x14ac:dyDescent="0.2">
      <c r="A3253" s="1611">
        <v>16</v>
      </c>
      <c r="B3253" s="1611" t="s">
        <v>7251</v>
      </c>
      <c r="C3253" s="1611" t="s">
        <v>4509</v>
      </c>
      <c r="D3253" s="1612">
        <v>0</v>
      </c>
      <c r="E3253" s="1706" t="s">
        <v>7592</v>
      </c>
      <c r="F3253" s="1613">
        <v>34500000</v>
      </c>
      <c r="G3253" s="1613">
        <v>143789499508</v>
      </c>
    </row>
    <row r="3254" spans="1:7" ht="17.25" customHeight="1" x14ac:dyDescent="0.2">
      <c r="A3254" s="1611">
        <v>16</v>
      </c>
      <c r="B3254" s="1611" t="s">
        <v>7251</v>
      </c>
      <c r="C3254" s="1611" t="s">
        <v>5260</v>
      </c>
      <c r="D3254" s="1612">
        <v>0</v>
      </c>
      <c r="E3254" s="1706" t="s">
        <v>7592</v>
      </c>
      <c r="F3254" s="1613">
        <v>34545455</v>
      </c>
      <c r="G3254" s="1613">
        <v>143824044963</v>
      </c>
    </row>
    <row r="3255" spans="1:7" ht="17.25" customHeight="1" x14ac:dyDescent="0.2">
      <c r="A3255" s="1611">
        <v>16</v>
      </c>
      <c r="B3255" s="1611" t="s">
        <v>7203</v>
      </c>
      <c r="C3255" s="1611" t="s">
        <v>4284</v>
      </c>
      <c r="D3255" s="1612">
        <v>0</v>
      </c>
      <c r="E3255" s="1706" t="s">
        <v>7592</v>
      </c>
      <c r="F3255" s="1613">
        <v>34000000</v>
      </c>
      <c r="G3255" s="1613">
        <v>143858044963</v>
      </c>
    </row>
    <row r="3256" spans="1:7" ht="17.25" customHeight="1" x14ac:dyDescent="0.2">
      <c r="A3256" s="1611">
        <v>16</v>
      </c>
      <c r="B3256" s="1611" t="s">
        <v>7203</v>
      </c>
      <c r="C3256" s="1611" t="s">
        <v>3464</v>
      </c>
      <c r="D3256" s="1612">
        <v>0</v>
      </c>
      <c r="E3256" s="1706" t="s">
        <v>7592</v>
      </c>
      <c r="F3256" s="1613">
        <v>35909091</v>
      </c>
      <c r="G3256" s="1613">
        <v>143893954054</v>
      </c>
    </row>
    <row r="3257" spans="1:7" ht="17.25" customHeight="1" x14ac:dyDescent="0.2">
      <c r="A3257" s="1611">
        <v>16</v>
      </c>
      <c r="B3257" s="1611" t="s">
        <v>7203</v>
      </c>
      <c r="C3257" s="1611" t="s">
        <v>3464</v>
      </c>
      <c r="D3257" s="1612">
        <v>0</v>
      </c>
      <c r="E3257" s="1706" t="s">
        <v>7592</v>
      </c>
      <c r="F3257" s="1613">
        <v>35000000</v>
      </c>
      <c r="G3257" s="1613">
        <v>143928954054</v>
      </c>
    </row>
    <row r="3258" spans="1:7" ht="17.25" customHeight="1" x14ac:dyDescent="0.2">
      <c r="A3258" s="1611">
        <v>16</v>
      </c>
      <c r="B3258" s="1611" t="s">
        <v>7251</v>
      </c>
      <c r="C3258" s="1611" t="s">
        <v>3464</v>
      </c>
      <c r="D3258" s="1612">
        <v>0</v>
      </c>
      <c r="E3258" s="1706" t="s">
        <v>7592</v>
      </c>
      <c r="F3258" s="1613">
        <v>33636364</v>
      </c>
      <c r="G3258" s="1613">
        <v>143962590418</v>
      </c>
    </row>
    <row r="3259" spans="1:7" ht="17.25" customHeight="1" x14ac:dyDescent="0.2">
      <c r="A3259" s="1611">
        <v>16</v>
      </c>
      <c r="B3259" s="1611" t="s">
        <v>7203</v>
      </c>
      <c r="C3259" s="1611" t="s">
        <v>5626</v>
      </c>
      <c r="D3259" s="1612">
        <v>0</v>
      </c>
      <c r="E3259" s="1706" t="s">
        <v>7592</v>
      </c>
      <c r="F3259" s="1613">
        <v>36590909</v>
      </c>
      <c r="G3259" s="1613">
        <v>143999181327</v>
      </c>
    </row>
    <row r="3260" spans="1:7" ht="17.25" customHeight="1" x14ac:dyDescent="0.2">
      <c r="A3260" s="1611">
        <v>16</v>
      </c>
      <c r="B3260" s="1611" t="s">
        <v>7170</v>
      </c>
      <c r="C3260" s="1611" t="s">
        <v>5627</v>
      </c>
      <c r="D3260" s="1612">
        <v>0</v>
      </c>
      <c r="E3260" s="1706" t="s">
        <v>7592</v>
      </c>
      <c r="F3260" s="1613">
        <v>170000000</v>
      </c>
      <c r="G3260" s="1613">
        <v>144169181327</v>
      </c>
    </row>
    <row r="3261" spans="1:7" ht="17.25" customHeight="1" x14ac:dyDescent="0.2">
      <c r="A3261" s="1611">
        <v>16</v>
      </c>
      <c r="B3261" s="1611" t="s">
        <v>7154</v>
      </c>
      <c r="C3261" s="1611" t="s">
        <v>5628</v>
      </c>
      <c r="D3261" s="1612">
        <v>0</v>
      </c>
      <c r="E3261" s="1706" t="s">
        <v>7592</v>
      </c>
      <c r="F3261" s="1613">
        <v>50700000</v>
      </c>
      <c r="G3261" s="1613">
        <v>144219881327</v>
      </c>
    </row>
    <row r="3262" spans="1:7" ht="17.25" customHeight="1" x14ac:dyDescent="0.2">
      <c r="A3262" s="1611">
        <v>16</v>
      </c>
      <c r="B3262" s="1611" t="s">
        <v>7154</v>
      </c>
      <c r="C3262" s="1611" t="s">
        <v>5629</v>
      </c>
      <c r="D3262" s="1612">
        <v>0</v>
      </c>
      <c r="E3262" s="1706" t="s">
        <v>7592</v>
      </c>
      <c r="F3262" s="1613">
        <v>52000000</v>
      </c>
      <c r="G3262" s="1613">
        <v>144271881327</v>
      </c>
    </row>
    <row r="3263" spans="1:7" ht="17.25" customHeight="1" x14ac:dyDescent="0.2">
      <c r="A3263" s="1611">
        <v>16</v>
      </c>
      <c r="B3263" s="1611" t="s">
        <v>5595</v>
      </c>
      <c r="C3263" s="1611" t="s">
        <v>5250</v>
      </c>
      <c r="D3263" s="1612">
        <v>0</v>
      </c>
      <c r="E3263" s="1706" t="s">
        <v>7592</v>
      </c>
      <c r="F3263" s="1613">
        <v>48094049</v>
      </c>
      <c r="G3263" s="1613">
        <v>144319975376</v>
      </c>
    </row>
    <row r="3264" spans="1:7" ht="17.25" customHeight="1" x14ac:dyDescent="0.2">
      <c r="A3264" s="1611">
        <v>16</v>
      </c>
      <c r="B3264" s="1611" t="s">
        <v>5595</v>
      </c>
      <c r="C3264" s="1611" t="s">
        <v>5250</v>
      </c>
      <c r="D3264" s="1612">
        <v>0</v>
      </c>
      <c r="E3264" s="1706" t="s">
        <v>7592</v>
      </c>
      <c r="F3264" s="1613">
        <v>48094049</v>
      </c>
      <c r="G3264" s="1613">
        <v>144368069425</v>
      </c>
    </row>
    <row r="3265" spans="1:7" ht="17.25" customHeight="1" x14ac:dyDescent="0.2">
      <c r="A3265" s="1611">
        <v>16</v>
      </c>
      <c r="B3265" s="1611" t="s">
        <v>5595</v>
      </c>
      <c r="C3265" s="1611" t="s">
        <v>5250</v>
      </c>
      <c r="D3265" s="1612">
        <v>0</v>
      </c>
      <c r="E3265" s="1706" t="s">
        <v>7592</v>
      </c>
      <c r="F3265" s="1613">
        <v>48094049</v>
      </c>
      <c r="G3265" s="1613">
        <v>144416163474</v>
      </c>
    </row>
    <row r="3266" spans="1:7" ht="17.25" customHeight="1" x14ac:dyDescent="0.2">
      <c r="A3266" s="1611">
        <v>16</v>
      </c>
      <c r="B3266" s="1611" t="s">
        <v>5595</v>
      </c>
      <c r="C3266" s="1611" t="s">
        <v>5250</v>
      </c>
      <c r="D3266" s="1612">
        <v>0</v>
      </c>
      <c r="E3266" s="1706" t="s">
        <v>7592</v>
      </c>
      <c r="F3266" s="1613">
        <v>48094049</v>
      </c>
      <c r="G3266" s="1613">
        <v>144464257523</v>
      </c>
    </row>
    <row r="3267" spans="1:7" ht="17.25" customHeight="1" x14ac:dyDescent="0.2">
      <c r="A3267" s="1611">
        <v>16</v>
      </c>
      <c r="B3267" s="1611" t="s">
        <v>5595</v>
      </c>
      <c r="C3267" s="1611" t="s">
        <v>5250</v>
      </c>
      <c r="D3267" s="1612">
        <v>0</v>
      </c>
      <c r="E3267" s="1706" t="s">
        <v>7592</v>
      </c>
      <c r="F3267" s="1613">
        <v>48094049</v>
      </c>
      <c r="G3267" s="1613">
        <v>144512351572</v>
      </c>
    </row>
    <row r="3268" spans="1:7" ht="17.25" customHeight="1" x14ac:dyDescent="0.2">
      <c r="A3268" s="1611">
        <v>16</v>
      </c>
      <c r="B3268" s="1611" t="s">
        <v>5595</v>
      </c>
      <c r="C3268" s="1611" t="s">
        <v>5250</v>
      </c>
      <c r="D3268" s="1612">
        <v>0</v>
      </c>
      <c r="E3268" s="1706" t="s">
        <v>7592</v>
      </c>
      <c r="F3268" s="1613">
        <v>48094049</v>
      </c>
      <c r="G3268" s="1613">
        <v>144560445621</v>
      </c>
    </row>
    <row r="3269" spans="1:7" ht="17.25" customHeight="1" x14ac:dyDescent="0.2">
      <c r="A3269" s="1611">
        <v>16</v>
      </c>
      <c r="B3269" s="1611" t="s">
        <v>5595</v>
      </c>
      <c r="C3269" s="1611" t="s">
        <v>5250</v>
      </c>
      <c r="D3269" s="1612">
        <v>0</v>
      </c>
      <c r="E3269" s="1706" t="s">
        <v>7592</v>
      </c>
      <c r="F3269" s="1613">
        <v>48094049</v>
      </c>
      <c r="G3269" s="1613">
        <v>144608539670</v>
      </c>
    </row>
    <row r="3270" spans="1:7" ht="17.25" customHeight="1" x14ac:dyDescent="0.2">
      <c r="A3270" s="1611">
        <v>16</v>
      </c>
      <c r="B3270" s="1611" t="s">
        <v>5595</v>
      </c>
      <c r="C3270" s="1611" t="s">
        <v>5250</v>
      </c>
      <c r="D3270" s="1612">
        <v>0</v>
      </c>
      <c r="E3270" s="1706" t="s">
        <v>7592</v>
      </c>
      <c r="F3270" s="1613">
        <v>48094049</v>
      </c>
      <c r="G3270" s="1613">
        <v>144656633719</v>
      </c>
    </row>
    <row r="3271" spans="1:7" ht="17.25" customHeight="1" x14ac:dyDescent="0.2">
      <c r="A3271" s="1611">
        <v>16</v>
      </c>
      <c r="B3271" s="1611" t="s">
        <v>5595</v>
      </c>
      <c r="C3271" s="1611" t="s">
        <v>5250</v>
      </c>
      <c r="D3271" s="1612">
        <v>0</v>
      </c>
      <c r="E3271" s="1706" t="s">
        <v>7592</v>
      </c>
      <c r="F3271" s="1613">
        <v>48094049</v>
      </c>
      <c r="G3271" s="1613">
        <v>144704727768</v>
      </c>
    </row>
    <row r="3272" spans="1:7" ht="17.25" customHeight="1" x14ac:dyDescent="0.2">
      <c r="A3272" s="1611">
        <v>16</v>
      </c>
      <c r="B3272" s="1611" t="s">
        <v>5595</v>
      </c>
      <c r="C3272" s="1611" t="s">
        <v>5250</v>
      </c>
      <c r="D3272" s="1612">
        <v>0</v>
      </c>
      <c r="E3272" s="1706" t="s">
        <v>7592</v>
      </c>
      <c r="F3272" s="1613">
        <v>48094049</v>
      </c>
      <c r="G3272" s="1613">
        <v>144752821817</v>
      </c>
    </row>
    <row r="3273" spans="1:7" ht="17.25" customHeight="1" x14ac:dyDescent="0.2">
      <c r="A3273" s="1611">
        <v>16</v>
      </c>
      <c r="B3273" s="1611" t="s">
        <v>7203</v>
      </c>
      <c r="C3273" s="1611" t="s">
        <v>5630</v>
      </c>
      <c r="D3273" s="1612">
        <v>0</v>
      </c>
      <c r="E3273" s="1706" t="s">
        <v>7592</v>
      </c>
      <c r="F3273" s="1613">
        <v>36545455</v>
      </c>
      <c r="G3273" s="1613">
        <v>144789367272</v>
      </c>
    </row>
    <row r="3274" spans="1:7" ht="17.25" customHeight="1" x14ac:dyDescent="0.2">
      <c r="A3274" s="1611">
        <v>16</v>
      </c>
      <c r="B3274" s="1611" t="s">
        <v>7155</v>
      </c>
      <c r="C3274" s="1611" t="s">
        <v>5139</v>
      </c>
      <c r="D3274" s="1612">
        <v>0</v>
      </c>
      <c r="E3274" s="1706" t="s">
        <v>7592</v>
      </c>
      <c r="F3274" s="1613">
        <v>101500000</v>
      </c>
      <c r="G3274" s="1613">
        <v>144890867272</v>
      </c>
    </row>
    <row r="3275" spans="1:7" ht="17.25" customHeight="1" x14ac:dyDescent="0.2">
      <c r="A3275" s="1611">
        <v>16</v>
      </c>
      <c r="B3275" s="1611" t="s">
        <v>7282</v>
      </c>
      <c r="C3275" s="1611" t="s">
        <v>5631</v>
      </c>
      <c r="D3275" s="1612">
        <v>0</v>
      </c>
      <c r="E3275" s="1706" t="s">
        <v>7592</v>
      </c>
      <c r="F3275" s="1613">
        <v>150000000</v>
      </c>
      <c r="G3275" s="1613">
        <v>145040867272</v>
      </c>
    </row>
    <row r="3276" spans="1:7" ht="17.25" customHeight="1" x14ac:dyDescent="0.2">
      <c r="A3276" s="1611">
        <v>16</v>
      </c>
      <c r="B3276" s="1611" t="s">
        <v>7154</v>
      </c>
      <c r="C3276" s="1611" t="s">
        <v>5632</v>
      </c>
      <c r="D3276" s="1612">
        <v>0</v>
      </c>
      <c r="E3276" s="1706" t="s">
        <v>7592</v>
      </c>
      <c r="F3276" s="1613">
        <v>48181818</v>
      </c>
      <c r="G3276" s="1613">
        <v>145089049090</v>
      </c>
    </row>
    <row r="3277" spans="1:7" ht="17.25" customHeight="1" x14ac:dyDescent="0.2">
      <c r="A3277" s="1611">
        <v>16</v>
      </c>
      <c r="B3277" s="1611" t="s">
        <v>7154</v>
      </c>
      <c r="C3277" s="1611" t="s">
        <v>5633</v>
      </c>
      <c r="D3277" s="1612">
        <v>0</v>
      </c>
      <c r="E3277" s="1706" t="s">
        <v>7592</v>
      </c>
      <c r="F3277" s="1613">
        <v>50500000</v>
      </c>
      <c r="G3277" s="1613">
        <v>145139549090</v>
      </c>
    </row>
    <row r="3278" spans="1:7" ht="17.25" customHeight="1" x14ac:dyDescent="0.2">
      <c r="A3278" s="1611">
        <v>16</v>
      </c>
      <c r="B3278" s="1611" t="s">
        <v>7154</v>
      </c>
      <c r="C3278" s="1611" t="s">
        <v>5634</v>
      </c>
      <c r="D3278" s="1612">
        <v>0</v>
      </c>
      <c r="E3278" s="1706" t="s">
        <v>7592</v>
      </c>
      <c r="F3278" s="1613">
        <v>50000000</v>
      </c>
      <c r="G3278" s="1613">
        <v>145189549090</v>
      </c>
    </row>
    <row r="3279" spans="1:7" ht="17.25" customHeight="1" x14ac:dyDescent="0.2">
      <c r="A3279" s="1611">
        <v>16</v>
      </c>
      <c r="B3279" s="1611" t="s">
        <v>7176</v>
      </c>
      <c r="C3279" s="1611" t="s">
        <v>5635</v>
      </c>
      <c r="D3279" s="1612">
        <v>0</v>
      </c>
      <c r="E3279" s="1706" t="s">
        <v>7592</v>
      </c>
      <c r="F3279" s="1613">
        <v>40000000</v>
      </c>
      <c r="G3279" s="1613">
        <v>145229549090</v>
      </c>
    </row>
    <row r="3280" spans="1:7" ht="17.25" customHeight="1" x14ac:dyDescent="0.2">
      <c r="A3280" s="1611">
        <v>16</v>
      </c>
      <c r="B3280" s="1611" t="s">
        <v>7203</v>
      </c>
      <c r="C3280" s="1611" t="s">
        <v>5614</v>
      </c>
      <c r="D3280" s="1612">
        <v>0</v>
      </c>
      <c r="E3280" s="1706" t="s">
        <v>7592</v>
      </c>
      <c r="F3280" s="1613">
        <v>34500000</v>
      </c>
      <c r="G3280" s="1613">
        <v>145264049090</v>
      </c>
    </row>
    <row r="3281" spans="1:7" ht="17.25" customHeight="1" x14ac:dyDescent="0.2">
      <c r="A3281" s="1611">
        <v>16</v>
      </c>
      <c r="B3281" s="1611" t="s">
        <v>7203</v>
      </c>
      <c r="C3281" s="1611" t="s">
        <v>5619</v>
      </c>
      <c r="D3281" s="1612">
        <v>0</v>
      </c>
      <c r="E3281" s="1706" t="s">
        <v>7592</v>
      </c>
      <c r="F3281" s="1613">
        <v>35000000</v>
      </c>
      <c r="G3281" s="1613">
        <v>145299049090</v>
      </c>
    </row>
    <row r="3282" spans="1:7" ht="17.25" customHeight="1" x14ac:dyDescent="0.2">
      <c r="A3282" s="1611">
        <v>16</v>
      </c>
      <c r="B3282" s="1611" t="s">
        <v>7306</v>
      </c>
      <c r="C3282" s="1611" t="s">
        <v>4305</v>
      </c>
      <c r="D3282" s="1612">
        <v>0</v>
      </c>
      <c r="E3282" s="1612" t="s">
        <v>3296</v>
      </c>
      <c r="F3282" s="1613">
        <v>9815617</v>
      </c>
      <c r="G3282" s="1613">
        <v>145308864707</v>
      </c>
    </row>
    <row r="3283" spans="1:7" ht="17.25" customHeight="1" x14ac:dyDescent="0.2">
      <c r="A3283" s="1611">
        <v>16</v>
      </c>
      <c r="B3283" s="1611" t="s">
        <v>7203</v>
      </c>
      <c r="C3283" s="1611" t="s">
        <v>5636</v>
      </c>
      <c r="D3283" s="1612">
        <v>0</v>
      </c>
      <c r="E3283" s="1706" t="s">
        <v>7592</v>
      </c>
      <c r="F3283" s="1613">
        <v>35000000</v>
      </c>
      <c r="G3283" s="1613">
        <v>145343864707</v>
      </c>
    </row>
    <row r="3284" spans="1:7" ht="17.25" customHeight="1" x14ac:dyDescent="0.2">
      <c r="A3284" s="1611">
        <v>16</v>
      </c>
      <c r="B3284" s="1611" t="s">
        <v>7176</v>
      </c>
      <c r="C3284" s="1611" t="s">
        <v>5301</v>
      </c>
      <c r="D3284" s="1612">
        <v>0</v>
      </c>
      <c r="E3284" s="1706" t="s">
        <v>7592</v>
      </c>
      <c r="F3284" s="1613">
        <v>46500000</v>
      </c>
      <c r="G3284" s="1613">
        <v>145390364707</v>
      </c>
    </row>
    <row r="3285" spans="1:7" ht="17.25" customHeight="1" x14ac:dyDescent="0.2">
      <c r="A3285" s="1611">
        <v>16</v>
      </c>
      <c r="B3285" s="1611" t="s">
        <v>7176</v>
      </c>
      <c r="C3285" s="1611" t="s">
        <v>5302</v>
      </c>
      <c r="D3285" s="1612">
        <v>0</v>
      </c>
      <c r="E3285" s="1706" t="s">
        <v>7592</v>
      </c>
      <c r="F3285" s="1613">
        <v>46500000</v>
      </c>
      <c r="G3285" s="1613">
        <v>145436864707</v>
      </c>
    </row>
    <row r="3286" spans="1:7" ht="17.25" customHeight="1" x14ac:dyDescent="0.2">
      <c r="A3286" s="1611">
        <v>16</v>
      </c>
      <c r="B3286" s="1611" t="s">
        <v>7176</v>
      </c>
      <c r="C3286" s="1611" t="s">
        <v>5302</v>
      </c>
      <c r="D3286" s="1612">
        <v>0</v>
      </c>
      <c r="E3286" s="1706" t="s">
        <v>7592</v>
      </c>
      <c r="F3286" s="1613">
        <v>46500000</v>
      </c>
      <c r="G3286" s="1613">
        <v>145483364707</v>
      </c>
    </row>
    <row r="3287" spans="1:7" ht="17.25" customHeight="1" x14ac:dyDescent="0.2">
      <c r="A3287" s="1611">
        <v>16</v>
      </c>
      <c r="B3287" s="1611" t="s">
        <v>7176</v>
      </c>
      <c r="C3287" s="1611" t="s">
        <v>5303</v>
      </c>
      <c r="D3287" s="1612">
        <v>0</v>
      </c>
      <c r="E3287" s="1706" t="s">
        <v>7592</v>
      </c>
      <c r="F3287" s="1613">
        <v>46500000</v>
      </c>
      <c r="G3287" s="1613">
        <v>145529864707</v>
      </c>
    </row>
    <row r="3288" spans="1:7" ht="17.25" customHeight="1" x14ac:dyDescent="0.2">
      <c r="A3288" s="1611">
        <v>16</v>
      </c>
      <c r="B3288" s="1611" t="s">
        <v>7203</v>
      </c>
      <c r="C3288" s="1611" t="s">
        <v>5298</v>
      </c>
      <c r="D3288" s="1612">
        <v>0</v>
      </c>
      <c r="E3288" s="1706" t="s">
        <v>7592</v>
      </c>
      <c r="F3288" s="1613">
        <v>39000000</v>
      </c>
      <c r="G3288" s="1613">
        <v>145568864707</v>
      </c>
    </row>
    <row r="3289" spans="1:7" ht="17.25" customHeight="1" x14ac:dyDescent="0.2">
      <c r="A3289" s="1611">
        <v>16</v>
      </c>
      <c r="B3289" s="1611" t="s">
        <v>7203</v>
      </c>
      <c r="C3289" s="1611" t="s">
        <v>5637</v>
      </c>
      <c r="D3289" s="1612">
        <v>0</v>
      </c>
      <c r="E3289" s="1706" t="s">
        <v>7592</v>
      </c>
      <c r="F3289" s="1613">
        <v>39000000</v>
      </c>
      <c r="G3289" s="1613">
        <v>145607864707</v>
      </c>
    </row>
    <row r="3290" spans="1:7" ht="17.25" customHeight="1" x14ac:dyDescent="0.2">
      <c r="A3290" s="1611">
        <v>16</v>
      </c>
      <c r="B3290" s="1611" t="s">
        <v>7203</v>
      </c>
      <c r="C3290" s="1611" t="s">
        <v>4028</v>
      </c>
      <c r="D3290" s="1612">
        <v>0</v>
      </c>
      <c r="E3290" s="1706" t="s">
        <v>7592</v>
      </c>
      <c r="F3290" s="1613">
        <v>39000000</v>
      </c>
      <c r="G3290" s="1613">
        <v>145646864707</v>
      </c>
    </row>
    <row r="3291" spans="1:7" ht="17.25" customHeight="1" x14ac:dyDescent="0.2">
      <c r="A3291" s="1611">
        <v>16</v>
      </c>
      <c r="B3291" s="1611" t="s">
        <v>7203</v>
      </c>
      <c r="C3291" s="1611" t="s">
        <v>5638</v>
      </c>
      <c r="D3291" s="1612">
        <v>0</v>
      </c>
      <c r="E3291" s="1706" t="s">
        <v>7592</v>
      </c>
      <c r="F3291" s="1613">
        <v>39000000</v>
      </c>
      <c r="G3291" s="1613">
        <v>145685864707</v>
      </c>
    </row>
    <row r="3292" spans="1:7" ht="17.25" customHeight="1" x14ac:dyDescent="0.2">
      <c r="A3292" s="1611">
        <v>16</v>
      </c>
      <c r="B3292" s="1611" t="s">
        <v>7203</v>
      </c>
      <c r="C3292" s="1611" t="s">
        <v>3950</v>
      </c>
      <c r="D3292" s="1612">
        <v>0</v>
      </c>
      <c r="E3292" s="1706" t="s">
        <v>7592</v>
      </c>
      <c r="F3292" s="1613">
        <v>39000000</v>
      </c>
      <c r="G3292" s="1613">
        <v>145724864707</v>
      </c>
    </row>
    <row r="3293" spans="1:7" ht="17.25" customHeight="1" x14ac:dyDescent="0.2">
      <c r="A3293" s="1611">
        <v>16</v>
      </c>
      <c r="B3293" s="1611" t="s">
        <v>7203</v>
      </c>
      <c r="C3293" s="1611" t="s">
        <v>4427</v>
      </c>
      <c r="D3293" s="1612">
        <v>0</v>
      </c>
      <c r="E3293" s="1706" t="s">
        <v>7592</v>
      </c>
      <c r="F3293" s="1613">
        <v>33818182</v>
      </c>
      <c r="G3293" s="1613">
        <v>145758682889</v>
      </c>
    </row>
    <row r="3294" spans="1:7" ht="17.25" customHeight="1" x14ac:dyDescent="0.2">
      <c r="A3294" s="1611">
        <v>16</v>
      </c>
      <c r="B3294" s="1611" t="s">
        <v>7203</v>
      </c>
      <c r="C3294" s="1611" t="s">
        <v>4427</v>
      </c>
      <c r="D3294" s="1612">
        <v>0</v>
      </c>
      <c r="E3294" s="1706" t="s">
        <v>7592</v>
      </c>
      <c r="F3294" s="1613">
        <v>33818182</v>
      </c>
      <c r="G3294" s="1613">
        <v>145792501071</v>
      </c>
    </row>
    <row r="3295" spans="1:7" ht="17.25" customHeight="1" x14ac:dyDescent="0.2">
      <c r="A3295" s="1611">
        <v>16</v>
      </c>
      <c r="B3295" s="1611" t="s">
        <v>7203</v>
      </c>
      <c r="C3295" s="1611" t="s">
        <v>4427</v>
      </c>
      <c r="D3295" s="1612">
        <v>0</v>
      </c>
      <c r="E3295" s="1706" t="s">
        <v>7592</v>
      </c>
      <c r="F3295" s="1613">
        <v>33818182</v>
      </c>
      <c r="G3295" s="1613">
        <v>145826319253</v>
      </c>
    </row>
    <row r="3296" spans="1:7" ht="17.25" customHeight="1" x14ac:dyDescent="0.2">
      <c r="A3296" s="1611">
        <v>16</v>
      </c>
      <c r="B3296" s="1611" t="s">
        <v>7203</v>
      </c>
      <c r="C3296" s="1611" t="s">
        <v>4427</v>
      </c>
      <c r="D3296" s="1612">
        <v>0</v>
      </c>
      <c r="E3296" s="1706" t="s">
        <v>7592</v>
      </c>
      <c r="F3296" s="1613">
        <v>33818182</v>
      </c>
      <c r="G3296" s="1613">
        <v>145860137435</v>
      </c>
    </row>
    <row r="3297" spans="1:7" ht="17.25" customHeight="1" x14ac:dyDescent="0.2">
      <c r="A3297" s="1611">
        <v>16</v>
      </c>
      <c r="B3297" s="1611" t="s">
        <v>7203</v>
      </c>
      <c r="C3297" s="1611" t="s">
        <v>5639</v>
      </c>
      <c r="D3297" s="1612">
        <v>0</v>
      </c>
      <c r="E3297" s="1706" t="s">
        <v>7592</v>
      </c>
      <c r="F3297" s="1613">
        <v>35909091</v>
      </c>
      <c r="G3297" s="1613">
        <v>145896046526</v>
      </c>
    </row>
    <row r="3298" spans="1:7" ht="17.25" customHeight="1" x14ac:dyDescent="0.2">
      <c r="A3298" s="1611">
        <v>16</v>
      </c>
      <c r="B3298" s="1611" t="s">
        <v>7203</v>
      </c>
      <c r="C3298" s="1611" t="s">
        <v>5639</v>
      </c>
      <c r="D3298" s="1612">
        <v>0</v>
      </c>
      <c r="E3298" s="1706" t="s">
        <v>7592</v>
      </c>
      <c r="F3298" s="1613">
        <v>35909091</v>
      </c>
      <c r="G3298" s="1613">
        <v>145931955617</v>
      </c>
    </row>
    <row r="3299" spans="1:7" ht="17.25" customHeight="1" x14ac:dyDescent="0.2">
      <c r="A3299" s="1611">
        <v>16</v>
      </c>
      <c r="B3299" s="1611" t="s">
        <v>7203</v>
      </c>
      <c r="C3299" s="1611" t="s">
        <v>5639</v>
      </c>
      <c r="D3299" s="1612">
        <v>0</v>
      </c>
      <c r="E3299" s="1706" t="s">
        <v>7592</v>
      </c>
      <c r="F3299" s="1613">
        <v>35909091</v>
      </c>
      <c r="G3299" s="1613">
        <v>145967864708</v>
      </c>
    </row>
    <row r="3300" spans="1:7" ht="17.25" customHeight="1" x14ac:dyDescent="0.2">
      <c r="A3300" s="1611">
        <v>16</v>
      </c>
      <c r="B3300" s="1611" t="s">
        <v>7156</v>
      </c>
      <c r="C3300" s="1611" t="s">
        <v>5640</v>
      </c>
      <c r="D3300" s="1612">
        <v>0</v>
      </c>
      <c r="E3300" s="1706" t="s">
        <v>7592</v>
      </c>
      <c r="F3300" s="1613">
        <v>14000000</v>
      </c>
      <c r="G3300" s="1613">
        <v>145981864708</v>
      </c>
    </row>
    <row r="3301" spans="1:7" ht="17.25" customHeight="1" x14ac:dyDescent="0.2">
      <c r="A3301" s="1611">
        <v>16</v>
      </c>
      <c r="B3301" s="1611" t="s">
        <v>7156</v>
      </c>
      <c r="C3301" s="1611" t="s">
        <v>5640</v>
      </c>
      <c r="D3301" s="1612">
        <v>0</v>
      </c>
      <c r="E3301" s="1706" t="s">
        <v>7592</v>
      </c>
      <c r="F3301" s="1613">
        <v>14000000</v>
      </c>
      <c r="G3301" s="1613">
        <v>145995864708</v>
      </c>
    </row>
    <row r="3302" spans="1:7" ht="17.25" customHeight="1" x14ac:dyDescent="0.2">
      <c r="A3302" s="1611">
        <v>16</v>
      </c>
      <c r="B3302" s="1611" t="s">
        <v>7154</v>
      </c>
      <c r="C3302" s="1611" t="s">
        <v>5641</v>
      </c>
      <c r="D3302" s="1612">
        <v>0</v>
      </c>
      <c r="E3302" s="1706" t="s">
        <v>7592</v>
      </c>
      <c r="F3302" s="1613">
        <v>50454546</v>
      </c>
      <c r="G3302" s="1613">
        <v>146046319254</v>
      </c>
    </row>
    <row r="3303" spans="1:7" ht="17.25" customHeight="1" x14ac:dyDescent="0.2">
      <c r="A3303" s="1611">
        <v>16</v>
      </c>
      <c r="B3303" s="1611" t="s">
        <v>7154</v>
      </c>
      <c r="C3303" s="1611" t="s">
        <v>5642</v>
      </c>
      <c r="D3303" s="1612">
        <v>0</v>
      </c>
      <c r="E3303" s="1706" t="s">
        <v>7592</v>
      </c>
      <c r="F3303" s="1613">
        <v>49250000</v>
      </c>
      <c r="G3303" s="1613">
        <v>146095569254</v>
      </c>
    </row>
    <row r="3304" spans="1:7" ht="17.25" customHeight="1" x14ac:dyDescent="0.2">
      <c r="A3304" s="1611">
        <v>16</v>
      </c>
      <c r="B3304" s="1611" t="s">
        <v>7203</v>
      </c>
      <c r="C3304" s="1611" t="s">
        <v>5643</v>
      </c>
      <c r="D3304" s="1612">
        <v>0</v>
      </c>
      <c r="E3304" s="1706" t="s">
        <v>7592</v>
      </c>
      <c r="F3304" s="1613">
        <v>34000000</v>
      </c>
      <c r="G3304" s="1613">
        <v>146129569254</v>
      </c>
    </row>
    <row r="3305" spans="1:7" ht="17.25" customHeight="1" x14ac:dyDescent="0.2">
      <c r="A3305" s="1611">
        <v>16</v>
      </c>
      <c r="B3305" s="1611" t="s">
        <v>7203</v>
      </c>
      <c r="C3305" s="1611" t="s">
        <v>5643</v>
      </c>
      <c r="D3305" s="1612">
        <v>0</v>
      </c>
      <c r="E3305" s="1706" t="s">
        <v>7592</v>
      </c>
      <c r="F3305" s="1613">
        <v>34000000</v>
      </c>
      <c r="G3305" s="1613">
        <v>146163569254</v>
      </c>
    </row>
    <row r="3306" spans="1:7" ht="17.25" customHeight="1" x14ac:dyDescent="0.2">
      <c r="A3306" s="1611">
        <v>16</v>
      </c>
      <c r="B3306" s="1611" t="s">
        <v>7203</v>
      </c>
      <c r="C3306" s="1611" t="s">
        <v>5643</v>
      </c>
      <c r="D3306" s="1612">
        <v>0</v>
      </c>
      <c r="E3306" s="1706" t="s">
        <v>7592</v>
      </c>
      <c r="F3306" s="1613">
        <v>34000000</v>
      </c>
      <c r="G3306" s="1613">
        <v>146197569254</v>
      </c>
    </row>
    <row r="3307" spans="1:7" ht="17.25" customHeight="1" x14ac:dyDescent="0.2">
      <c r="A3307" s="1611">
        <v>16</v>
      </c>
      <c r="B3307" s="1611" t="s">
        <v>7176</v>
      </c>
      <c r="C3307" s="1611" t="s">
        <v>5300</v>
      </c>
      <c r="D3307" s="1612">
        <v>0</v>
      </c>
      <c r="E3307" s="1706" t="s">
        <v>7592</v>
      </c>
      <c r="F3307" s="1613">
        <v>46500000</v>
      </c>
      <c r="G3307" s="1613">
        <v>146244069254</v>
      </c>
    </row>
    <row r="3308" spans="1:7" ht="17.25" customHeight="1" x14ac:dyDescent="0.2">
      <c r="A3308" s="1611">
        <v>16</v>
      </c>
      <c r="B3308" s="1611" t="s">
        <v>7176</v>
      </c>
      <c r="C3308" s="1611" t="s">
        <v>5300</v>
      </c>
      <c r="D3308" s="1612">
        <v>0</v>
      </c>
      <c r="E3308" s="1706" t="s">
        <v>7592</v>
      </c>
      <c r="F3308" s="1613">
        <v>46500000</v>
      </c>
      <c r="G3308" s="1613">
        <v>146290569254</v>
      </c>
    </row>
    <row r="3309" spans="1:7" ht="17.25" customHeight="1" x14ac:dyDescent="0.2">
      <c r="A3309" s="1611">
        <v>16</v>
      </c>
      <c r="B3309" s="1611" t="s">
        <v>7203</v>
      </c>
      <c r="C3309" s="1611" t="s">
        <v>5644</v>
      </c>
      <c r="D3309" s="1612">
        <v>0</v>
      </c>
      <c r="E3309" s="1706" t="s">
        <v>7592</v>
      </c>
      <c r="F3309" s="1613">
        <v>36818182</v>
      </c>
      <c r="G3309" s="1613">
        <v>146327387436</v>
      </c>
    </row>
    <row r="3310" spans="1:7" ht="17.25" customHeight="1" x14ac:dyDescent="0.2">
      <c r="A3310" s="1611">
        <v>16</v>
      </c>
      <c r="B3310" s="1611" t="s">
        <v>7154</v>
      </c>
      <c r="C3310" s="1611" t="s">
        <v>5645</v>
      </c>
      <c r="D3310" s="1612">
        <v>0</v>
      </c>
      <c r="E3310" s="1706" t="s">
        <v>7592</v>
      </c>
      <c r="F3310" s="1613">
        <v>47800000</v>
      </c>
      <c r="G3310" s="1613">
        <v>146375187436</v>
      </c>
    </row>
    <row r="3311" spans="1:7" ht="17.25" customHeight="1" x14ac:dyDescent="0.2">
      <c r="A3311" s="1611">
        <v>16</v>
      </c>
      <c r="B3311" s="1611" t="s">
        <v>7176</v>
      </c>
      <c r="C3311" s="1611" t="s">
        <v>5247</v>
      </c>
      <c r="D3311" s="1612">
        <v>0</v>
      </c>
      <c r="E3311" s="1706" t="s">
        <v>7592</v>
      </c>
      <c r="F3311" s="1613">
        <v>41600000</v>
      </c>
      <c r="G3311" s="1613">
        <v>146416787436</v>
      </c>
    </row>
    <row r="3312" spans="1:7" ht="17.25" customHeight="1" x14ac:dyDescent="0.2">
      <c r="A3312" s="1611">
        <v>16</v>
      </c>
      <c r="B3312" s="1611" t="s">
        <v>7261</v>
      </c>
      <c r="C3312" s="1611" t="s">
        <v>5646</v>
      </c>
      <c r="D3312" s="1612">
        <v>0</v>
      </c>
      <c r="E3312" s="1706" t="s">
        <v>7592</v>
      </c>
      <c r="F3312" s="1613">
        <v>144000000</v>
      </c>
      <c r="G3312" s="1613">
        <v>146560787436</v>
      </c>
    </row>
    <row r="3313" spans="1:7" ht="17.25" customHeight="1" x14ac:dyDescent="0.2">
      <c r="A3313" s="1611">
        <v>16</v>
      </c>
      <c r="B3313" s="1611" t="s">
        <v>7261</v>
      </c>
      <c r="C3313" s="1611" t="s">
        <v>5647</v>
      </c>
      <c r="D3313" s="1612">
        <v>0</v>
      </c>
      <c r="E3313" s="1706" t="s">
        <v>7592</v>
      </c>
      <c r="F3313" s="1613">
        <v>145000000</v>
      </c>
      <c r="G3313" s="1613">
        <v>146705787436</v>
      </c>
    </row>
    <row r="3314" spans="1:7" ht="17.25" customHeight="1" x14ac:dyDescent="0.2">
      <c r="A3314" s="1611">
        <v>16</v>
      </c>
      <c r="B3314" s="1611" t="s">
        <v>7261</v>
      </c>
      <c r="C3314" s="1611" t="s">
        <v>5648</v>
      </c>
      <c r="D3314" s="1612">
        <v>0</v>
      </c>
      <c r="E3314" s="1706" t="s">
        <v>7592</v>
      </c>
      <c r="F3314" s="1613">
        <v>145500000</v>
      </c>
      <c r="G3314" s="1613">
        <v>146851287436</v>
      </c>
    </row>
    <row r="3315" spans="1:7" ht="17.25" customHeight="1" x14ac:dyDescent="0.2">
      <c r="A3315" s="1611">
        <v>16</v>
      </c>
      <c r="B3315" s="1611" t="s">
        <v>7156</v>
      </c>
      <c r="C3315" s="1611" t="s">
        <v>5250</v>
      </c>
      <c r="D3315" s="1612">
        <v>0</v>
      </c>
      <c r="E3315" s="1706" t="s">
        <v>7592</v>
      </c>
      <c r="F3315" s="1613">
        <v>13900000</v>
      </c>
      <c r="G3315" s="1613">
        <v>146865187436</v>
      </c>
    </row>
    <row r="3316" spans="1:7" ht="17.25" customHeight="1" x14ac:dyDescent="0.2">
      <c r="A3316" s="1611">
        <v>16</v>
      </c>
      <c r="B3316" s="1611" t="s">
        <v>7203</v>
      </c>
      <c r="C3316" s="1611" t="s">
        <v>5639</v>
      </c>
      <c r="D3316" s="1612">
        <v>0</v>
      </c>
      <c r="E3316" s="1706" t="s">
        <v>7592</v>
      </c>
      <c r="F3316" s="1613">
        <v>35909090</v>
      </c>
      <c r="G3316" s="1613">
        <v>146901096526</v>
      </c>
    </row>
    <row r="3317" spans="1:7" ht="17.25" customHeight="1" x14ac:dyDescent="0.2">
      <c r="A3317" s="1611">
        <v>16</v>
      </c>
      <c r="B3317" s="1611" t="s">
        <v>7261</v>
      </c>
      <c r="C3317" s="1611" t="s">
        <v>5649</v>
      </c>
      <c r="D3317" s="1612">
        <v>0</v>
      </c>
      <c r="E3317" s="1706" t="s">
        <v>7592</v>
      </c>
      <c r="F3317" s="1613">
        <v>141000000</v>
      </c>
      <c r="G3317" s="1613">
        <v>147042096526</v>
      </c>
    </row>
    <row r="3318" spans="1:7" ht="17.25" customHeight="1" x14ac:dyDescent="0.2">
      <c r="A3318" s="1611">
        <v>16</v>
      </c>
      <c r="B3318" s="1611" t="s">
        <v>7273</v>
      </c>
      <c r="C3318" s="1611" t="s">
        <v>5650</v>
      </c>
      <c r="D3318" s="1612">
        <v>0</v>
      </c>
      <c r="E3318" s="1706" t="s">
        <v>7592</v>
      </c>
      <c r="F3318" s="1613">
        <v>161000000</v>
      </c>
      <c r="G3318" s="1613">
        <v>147203096526</v>
      </c>
    </row>
    <row r="3319" spans="1:7" ht="17.25" customHeight="1" x14ac:dyDescent="0.2">
      <c r="A3319" s="1611">
        <v>16</v>
      </c>
      <c r="B3319" s="1611" t="s">
        <v>7273</v>
      </c>
      <c r="C3319" s="1611" t="s">
        <v>5651</v>
      </c>
      <c r="D3319" s="1612">
        <v>0</v>
      </c>
      <c r="E3319" s="1706" t="s">
        <v>7592</v>
      </c>
      <c r="F3319" s="1613">
        <v>160000000</v>
      </c>
      <c r="G3319" s="1613">
        <v>147363096526</v>
      </c>
    </row>
    <row r="3320" spans="1:7" ht="17.25" customHeight="1" x14ac:dyDescent="0.2">
      <c r="A3320" s="1611">
        <v>16</v>
      </c>
      <c r="B3320" s="1611" t="s">
        <v>7203</v>
      </c>
      <c r="C3320" s="1611" t="s">
        <v>5652</v>
      </c>
      <c r="D3320" s="1612">
        <v>0</v>
      </c>
      <c r="E3320" s="1706" t="s">
        <v>7592</v>
      </c>
      <c r="F3320" s="1613">
        <v>37272727</v>
      </c>
      <c r="G3320" s="1613">
        <v>147400369253</v>
      </c>
    </row>
    <row r="3321" spans="1:7" ht="17.25" customHeight="1" x14ac:dyDescent="0.2">
      <c r="A3321" s="1611">
        <v>16</v>
      </c>
      <c r="B3321" s="1611" t="s">
        <v>7203</v>
      </c>
      <c r="C3321" s="1611" t="s">
        <v>5653</v>
      </c>
      <c r="D3321" s="1612">
        <v>0</v>
      </c>
      <c r="E3321" s="1706" t="s">
        <v>7592</v>
      </c>
      <c r="F3321" s="1613">
        <v>34500000</v>
      </c>
      <c r="G3321" s="1613">
        <v>147434869253</v>
      </c>
    </row>
    <row r="3322" spans="1:7" ht="17.25" customHeight="1" x14ac:dyDescent="0.2">
      <c r="A3322" s="1611">
        <v>16</v>
      </c>
      <c r="B3322" s="1611" t="s">
        <v>7203</v>
      </c>
      <c r="C3322" s="1611" t="s">
        <v>5653</v>
      </c>
      <c r="D3322" s="1612">
        <v>0</v>
      </c>
      <c r="E3322" s="1706" t="s">
        <v>7592</v>
      </c>
      <c r="F3322" s="1613">
        <v>35000000</v>
      </c>
      <c r="G3322" s="1613">
        <v>147469869253</v>
      </c>
    </row>
    <row r="3323" spans="1:7" ht="17.25" customHeight="1" x14ac:dyDescent="0.2">
      <c r="A3323" s="1611">
        <v>16</v>
      </c>
      <c r="B3323" s="1611" t="s">
        <v>7307</v>
      </c>
      <c r="C3323" s="1611" t="s">
        <v>5250</v>
      </c>
      <c r="D3323" s="1612">
        <v>0</v>
      </c>
      <c r="E3323" s="1706" t="s">
        <v>7592</v>
      </c>
      <c r="F3323" s="1613">
        <v>82261904</v>
      </c>
      <c r="G3323" s="1613">
        <v>147552131157</v>
      </c>
    </row>
    <row r="3324" spans="1:7" ht="17.25" customHeight="1" x14ac:dyDescent="0.2">
      <c r="A3324" s="1611">
        <v>16</v>
      </c>
      <c r="B3324" s="1611" t="s">
        <v>7307</v>
      </c>
      <c r="C3324" s="1611" t="s">
        <v>5250</v>
      </c>
      <c r="D3324" s="1612">
        <v>0</v>
      </c>
      <c r="E3324" s="1706" t="s">
        <v>7592</v>
      </c>
      <c r="F3324" s="1613">
        <v>82261904</v>
      </c>
      <c r="G3324" s="1613">
        <v>147634393061</v>
      </c>
    </row>
    <row r="3325" spans="1:7" ht="17.25" customHeight="1" x14ac:dyDescent="0.2">
      <c r="A3325" s="1611">
        <v>16</v>
      </c>
      <c r="B3325" s="1611" t="s">
        <v>7307</v>
      </c>
      <c r="C3325" s="1611" t="s">
        <v>5250</v>
      </c>
      <c r="D3325" s="1612">
        <v>0</v>
      </c>
      <c r="E3325" s="1706" t="s">
        <v>7592</v>
      </c>
      <c r="F3325" s="1613">
        <v>82261904</v>
      </c>
      <c r="G3325" s="1613">
        <v>147716654965</v>
      </c>
    </row>
    <row r="3326" spans="1:7" ht="17.25" customHeight="1" x14ac:dyDescent="0.2">
      <c r="A3326" s="1611">
        <v>16</v>
      </c>
      <c r="B3326" s="1611" t="s">
        <v>7307</v>
      </c>
      <c r="C3326" s="1611" t="s">
        <v>5250</v>
      </c>
      <c r="D3326" s="1612">
        <v>0</v>
      </c>
      <c r="E3326" s="1706" t="s">
        <v>7592</v>
      </c>
      <c r="F3326" s="1613">
        <v>82261904</v>
      </c>
      <c r="G3326" s="1613">
        <v>147798916869</v>
      </c>
    </row>
    <row r="3327" spans="1:7" ht="17.25" customHeight="1" x14ac:dyDescent="0.2">
      <c r="A3327" s="1611">
        <v>16</v>
      </c>
      <c r="B3327" s="1611" t="s">
        <v>7307</v>
      </c>
      <c r="C3327" s="1611" t="s">
        <v>5250</v>
      </c>
      <c r="D3327" s="1612">
        <v>0</v>
      </c>
      <c r="E3327" s="1706" t="s">
        <v>7592</v>
      </c>
      <c r="F3327" s="1613">
        <v>82261904</v>
      </c>
      <c r="G3327" s="1613">
        <v>147881178773</v>
      </c>
    </row>
    <row r="3328" spans="1:7" ht="17.25" customHeight="1" x14ac:dyDescent="0.2">
      <c r="A3328" s="1611">
        <v>16</v>
      </c>
      <c r="B3328" s="1611" t="s">
        <v>7307</v>
      </c>
      <c r="C3328" s="1611" t="s">
        <v>5250</v>
      </c>
      <c r="D3328" s="1612">
        <v>0</v>
      </c>
      <c r="E3328" s="1706" t="s">
        <v>7592</v>
      </c>
      <c r="F3328" s="1613">
        <v>82261904</v>
      </c>
      <c r="G3328" s="1613">
        <v>147963440677</v>
      </c>
    </row>
    <row r="3329" spans="1:7" ht="17.25" customHeight="1" x14ac:dyDescent="0.2">
      <c r="A3329" s="1611">
        <v>16</v>
      </c>
      <c r="B3329" s="1611" t="s">
        <v>7307</v>
      </c>
      <c r="C3329" s="1611" t="s">
        <v>5250</v>
      </c>
      <c r="D3329" s="1612">
        <v>0</v>
      </c>
      <c r="E3329" s="1706" t="s">
        <v>7592</v>
      </c>
      <c r="F3329" s="1613">
        <v>82261904</v>
      </c>
      <c r="G3329" s="1613">
        <v>148045702581</v>
      </c>
    </row>
    <row r="3330" spans="1:7" ht="17.25" customHeight="1" x14ac:dyDescent="0.2">
      <c r="A3330" s="1611">
        <v>16</v>
      </c>
      <c r="B3330" s="1611" t="s">
        <v>7307</v>
      </c>
      <c r="C3330" s="1611" t="s">
        <v>5250</v>
      </c>
      <c r="D3330" s="1612">
        <v>0</v>
      </c>
      <c r="E3330" s="1706" t="s">
        <v>7592</v>
      </c>
      <c r="F3330" s="1613">
        <v>82261904</v>
      </c>
      <c r="G3330" s="1613">
        <v>148127964485</v>
      </c>
    </row>
    <row r="3331" spans="1:7" ht="17.25" customHeight="1" x14ac:dyDescent="0.2">
      <c r="A3331" s="1611">
        <v>16</v>
      </c>
      <c r="B3331" s="1611" t="s">
        <v>7307</v>
      </c>
      <c r="C3331" s="1611" t="s">
        <v>5250</v>
      </c>
      <c r="D3331" s="1612">
        <v>0</v>
      </c>
      <c r="E3331" s="1706" t="s">
        <v>7592</v>
      </c>
      <c r="F3331" s="1613">
        <v>82261904</v>
      </c>
      <c r="G3331" s="1613">
        <v>148210226389</v>
      </c>
    </row>
    <row r="3332" spans="1:7" ht="17.25" customHeight="1" x14ac:dyDescent="0.2">
      <c r="A3332" s="1611">
        <v>16</v>
      </c>
      <c r="B3332" s="1611" t="s">
        <v>7307</v>
      </c>
      <c r="C3332" s="1611" t="s">
        <v>5250</v>
      </c>
      <c r="D3332" s="1612">
        <v>0</v>
      </c>
      <c r="E3332" s="1706" t="s">
        <v>7592</v>
      </c>
      <c r="F3332" s="1613">
        <v>82261904</v>
      </c>
      <c r="G3332" s="1613">
        <v>148292488293</v>
      </c>
    </row>
    <row r="3333" spans="1:7" ht="17.25" customHeight="1" x14ac:dyDescent="0.2">
      <c r="A3333" s="1611">
        <v>16</v>
      </c>
      <c r="B3333" s="1611" t="s">
        <v>7203</v>
      </c>
      <c r="C3333" s="1611" t="s">
        <v>4128</v>
      </c>
      <c r="D3333" s="1612">
        <v>0</v>
      </c>
      <c r="E3333" s="1706" t="s">
        <v>7592</v>
      </c>
      <c r="F3333" s="1613">
        <v>33500000</v>
      </c>
      <c r="G3333" s="1613">
        <v>148325988293</v>
      </c>
    </row>
    <row r="3334" spans="1:7" ht="17.25" customHeight="1" x14ac:dyDescent="0.2">
      <c r="A3334" s="1611">
        <v>16</v>
      </c>
      <c r="B3334" s="1611" t="s">
        <v>7261</v>
      </c>
      <c r="C3334" s="1611" t="s">
        <v>5654</v>
      </c>
      <c r="D3334" s="1612">
        <v>0</v>
      </c>
      <c r="E3334" s="1706" t="s">
        <v>7592</v>
      </c>
      <c r="F3334" s="1613">
        <v>145000000</v>
      </c>
      <c r="G3334" s="1613">
        <v>148470988293</v>
      </c>
    </row>
    <row r="3335" spans="1:7" ht="17.25" customHeight="1" x14ac:dyDescent="0.2">
      <c r="A3335" s="1611">
        <v>16</v>
      </c>
      <c r="B3335" s="1611" t="s">
        <v>7170</v>
      </c>
      <c r="C3335" s="1611" t="s">
        <v>5655</v>
      </c>
      <c r="D3335" s="1612">
        <v>0</v>
      </c>
      <c r="E3335" s="1706" t="s">
        <v>7592</v>
      </c>
      <c r="F3335" s="1613">
        <v>167000000</v>
      </c>
      <c r="G3335" s="1613">
        <v>148637988293</v>
      </c>
    </row>
    <row r="3336" spans="1:7" ht="17.25" customHeight="1" x14ac:dyDescent="0.2">
      <c r="A3336" s="1611">
        <v>16</v>
      </c>
      <c r="B3336" s="1611" t="s">
        <v>7170</v>
      </c>
      <c r="C3336" s="1611" t="s">
        <v>5225</v>
      </c>
      <c r="D3336" s="1612">
        <v>0</v>
      </c>
      <c r="E3336" s="1706" t="s">
        <v>7592</v>
      </c>
      <c r="F3336" s="1613">
        <v>166000000</v>
      </c>
      <c r="G3336" s="1613">
        <v>148803988293</v>
      </c>
    </row>
    <row r="3337" spans="1:7" ht="17.25" customHeight="1" x14ac:dyDescent="0.2">
      <c r="A3337" s="1611">
        <v>16</v>
      </c>
      <c r="B3337" s="1611" t="s">
        <v>7308</v>
      </c>
      <c r="C3337" s="1611" t="s">
        <v>4305</v>
      </c>
      <c r="D3337" s="1612">
        <v>0</v>
      </c>
      <c r="E3337" s="1612" t="s">
        <v>3296</v>
      </c>
      <c r="F3337" s="1613">
        <v>1676637</v>
      </c>
      <c r="G3337" s="1613">
        <v>148805664930</v>
      </c>
    </row>
    <row r="3338" spans="1:7" ht="17.25" customHeight="1" x14ac:dyDescent="0.2">
      <c r="A3338" s="1611">
        <v>16</v>
      </c>
      <c r="B3338" s="1611" t="s">
        <v>7203</v>
      </c>
      <c r="C3338" s="1611" t="s">
        <v>5656</v>
      </c>
      <c r="D3338" s="1612">
        <v>0</v>
      </c>
      <c r="E3338" s="1706" t="s">
        <v>7592</v>
      </c>
      <c r="F3338" s="1613">
        <v>34500000</v>
      </c>
      <c r="G3338" s="1613">
        <v>148840164930</v>
      </c>
    </row>
    <row r="3339" spans="1:7" ht="17.25" customHeight="1" x14ac:dyDescent="0.2">
      <c r="A3339" s="1611">
        <v>16</v>
      </c>
      <c r="B3339" s="1611" t="s">
        <v>7203</v>
      </c>
      <c r="C3339" s="1611" t="s">
        <v>3640</v>
      </c>
      <c r="D3339" s="1612">
        <v>0</v>
      </c>
      <c r="E3339" s="1706" t="s">
        <v>7592</v>
      </c>
      <c r="F3339" s="1613">
        <v>36500000</v>
      </c>
      <c r="G3339" s="1613">
        <v>148876664930</v>
      </c>
    </row>
    <row r="3340" spans="1:7" ht="17.25" customHeight="1" x14ac:dyDescent="0.2">
      <c r="A3340" s="1611">
        <v>16</v>
      </c>
      <c r="B3340" s="1611" t="s">
        <v>7203</v>
      </c>
      <c r="C3340" s="1611" t="s">
        <v>3640</v>
      </c>
      <c r="D3340" s="1612">
        <v>0</v>
      </c>
      <c r="E3340" s="1706" t="s">
        <v>7592</v>
      </c>
      <c r="F3340" s="1613">
        <v>36500000</v>
      </c>
      <c r="G3340" s="1613">
        <v>148913164930</v>
      </c>
    </row>
    <row r="3341" spans="1:7" ht="17.25" customHeight="1" x14ac:dyDescent="0.2">
      <c r="A3341" s="1611">
        <v>16</v>
      </c>
      <c r="B3341" s="1611" t="s">
        <v>7203</v>
      </c>
      <c r="C3341" s="1611" t="s">
        <v>5657</v>
      </c>
      <c r="D3341" s="1612">
        <v>0</v>
      </c>
      <c r="E3341" s="1706" t="s">
        <v>7592</v>
      </c>
      <c r="F3341" s="1613">
        <v>34000000</v>
      </c>
      <c r="G3341" s="1613">
        <v>148947164930</v>
      </c>
    </row>
    <row r="3342" spans="1:7" ht="17.25" customHeight="1" x14ac:dyDescent="0.2">
      <c r="A3342" s="1611">
        <v>16</v>
      </c>
      <c r="B3342" s="1611" t="s">
        <v>7176</v>
      </c>
      <c r="C3342" s="1611" t="s">
        <v>5658</v>
      </c>
      <c r="D3342" s="1612">
        <v>0</v>
      </c>
      <c r="E3342" s="1706" t="s">
        <v>7592</v>
      </c>
      <c r="F3342" s="1613">
        <v>39700000</v>
      </c>
      <c r="G3342" s="1613">
        <v>148986864930</v>
      </c>
    </row>
    <row r="3343" spans="1:7" ht="17.25" customHeight="1" x14ac:dyDescent="0.2">
      <c r="A3343" s="1611">
        <v>16</v>
      </c>
      <c r="B3343" s="1611" t="s">
        <v>7203</v>
      </c>
      <c r="C3343" s="1611" t="s">
        <v>5659</v>
      </c>
      <c r="D3343" s="1612">
        <v>0</v>
      </c>
      <c r="E3343" s="1706" t="s">
        <v>7592</v>
      </c>
      <c r="F3343" s="1613">
        <v>35300000</v>
      </c>
      <c r="G3343" s="1613">
        <v>149022164930</v>
      </c>
    </row>
    <row r="3344" spans="1:7" ht="17.25" customHeight="1" x14ac:dyDescent="0.2">
      <c r="A3344" s="1611">
        <v>16</v>
      </c>
      <c r="B3344" s="1611" t="s">
        <v>7203</v>
      </c>
      <c r="C3344" s="1611" t="s">
        <v>4290</v>
      </c>
      <c r="D3344" s="1612">
        <v>0</v>
      </c>
      <c r="E3344" s="1706" t="s">
        <v>7592</v>
      </c>
      <c r="F3344" s="1613">
        <v>34500000</v>
      </c>
      <c r="G3344" s="1613">
        <v>149056664930</v>
      </c>
    </row>
    <row r="3345" spans="1:7" ht="17.25" customHeight="1" x14ac:dyDescent="0.2">
      <c r="A3345" s="1611">
        <v>16</v>
      </c>
      <c r="B3345" s="1611" t="s">
        <v>7273</v>
      </c>
      <c r="C3345" s="1611" t="s">
        <v>5156</v>
      </c>
      <c r="D3345" s="1612">
        <v>0</v>
      </c>
      <c r="E3345" s="1706" t="s">
        <v>7592</v>
      </c>
      <c r="F3345" s="1613">
        <v>161000000</v>
      </c>
      <c r="G3345" s="1613">
        <v>149217664930</v>
      </c>
    </row>
    <row r="3346" spans="1:7" ht="17.25" customHeight="1" x14ac:dyDescent="0.2">
      <c r="A3346" s="1611">
        <v>16</v>
      </c>
      <c r="B3346" s="1611" t="s">
        <v>7170</v>
      </c>
      <c r="C3346" s="1611" t="s">
        <v>4971</v>
      </c>
      <c r="D3346" s="1612">
        <v>0</v>
      </c>
      <c r="E3346" s="1706" t="s">
        <v>7592</v>
      </c>
      <c r="F3346" s="1613">
        <v>168000000</v>
      </c>
      <c r="G3346" s="1613">
        <v>149385664930</v>
      </c>
    </row>
    <row r="3347" spans="1:7" ht="17.25" customHeight="1" x14ac:dyDescent="0.2">
      <c r="A3347" s="1611">
        <v>16</v>
      </c>
      <c r="B3347" s="1611" t="s">
        <v>7156</v>
      </c>
      <c r="C3347" s="1611" t="s">
        <v>5660</v>
      </c>
      <c r="D3347" s="1612">
        <v>0</v>
      </c>
      <c r="E3347" s="1706" t="s">
        <v>7592</v>
      </c>
      <c r="F3347" s="1613">
        <v>14500000</v>
      </c>
      <c r="G3347" s="1613">
        <v>149400164930</v>
      </c>
    </row>
    <row r="3348" spans="1:7" ht="17.25" customHeight="1" x14ac:dyDescent="0.2">
      <c r="A3348" s="1611">
        <v>16</v>
      </c>
      <c r="B3348" s="1611" t="s">
        <v>7251</v>
      </c>
      <c r="C3348" s="1611" t="s">
        <v>5661</v>
      </c>
      <c r="D3348" s="1612">
        <v>0</v>
      </c>
      <c r="E3348" s="1706" t="s">
        <v>7592</v>
      </c>
      <c r="F3348" s="1613">
        <v>36600000</v>
      </c>
      <c r="G3348" s="1613">
        <v>149436764930</v>
      </c>
    </row>
    <row r="3349" spans="1:7" ht="17.25" customHeight="1" x14ac:dyDescent="0.2">
      <c r="A3349" s="1611">
        <v>16</v>
      </c>
      <c r="B3349" s="1611" t="s">
        <v>7176</v>
      </c>
      <c r="C3349" s="1611" t="s">
        <v>4477</v>
      </c>
      <c r="D3349" s="1612">
        <v>0</v>
      </c>
      <c r="E3349" s="1706" t="s">
        <v>7592</v>
      </c>
      <c r="F3349" s="1613">
        <v>44500000</v>
      </c>
      <c r="G3349" s="1613">
        <v>149481264930</v>
      </c>
    </row>
    <row r="3350" spans="1:7" ht="17.25" customHeight="1" x14ac:dyDescent="0.2">
      <c r="A3350" s="1611">
        <v>16</v>
      </c>
      <c r="B3350" s="1611" t="s">
        <v>7156</v>
      </c>
      <c r="C3350" s="1611" t="s">
        <v>5662</v>
      </c>
      <c r="D3350" s="1612">
        <v>0</v>
      </c>
      <c r="E3350" s="1706" t="s">
        <v>7592</v>
      </c>
      <c r="F3350" s="1613">
        <v>14500000</v>
      </c>
      <c r="G3350" s="1613">
        <v>149495764930</v>
      </c>
    </row>
    <row r="3351" spans="1:7" ht="17.25" customHeight="1" x14ac:dyDescent="0.2">
      <c r="A3351" s="1611">
        <v>16</v>
      </c>
      <c r="B3351" s="1611" t="s">
        <v>7203</v>
      </c>
      <c r="C3351" s="1611" t="s">
        <v>5663</v>
      </c>
      <c r="D3351" s="1612">
        <v>0</v>
      </c>
      <c r="E3351" s="1706" t="s">
        <v>7592</v>
      </c>
      <c r="F3351" s="1613">
        <v>36363636</v>
      </c>
      <c r="G3351" s="1613">
        <v>149532128566</v>
      </c>
    </row>
    <row r="3352" spans="1:7" ht="17.25" customHeight="1" x14ac:dyDescent="0.2">
      <c r="A3352" s="1611">
        <v>16</v>
      </c>
      <c r="B3352" s="1611" t="s">
        <v>7251</v>
      </c>
      <c r="C3352" s="1611" t="s">
        <v>5664</v>
      </c>
      <c r="D3352" s="1612">
        <v>0</v>
      </c>
      <c r="E3352" s="1706" t="s">
        <v>7592</v>
      </c>
      <c r="F3352" s="1613">
        <v>34150000</v>
      </c>
      <c r="G3352" s="1613">
        <v>149566278566</v>
      </c>
    </row>
    <row r="3353" spans="1:7" ht="17.25" customHeight="1" x14ac:dyDescent="0.2">
      <c r="A3353" s="1611">
        <v>16</v>
      </c>
      <c r="B3353" s="1611" t="s">
        <v>7251</v>
      </c>
      <c r="C3353" s="1611" t="s">
        <v>5664</v>
      </c>
      <c r="D3353" s="1612">
        <v>0</v>
      </c>
      <c r="E3353" s="1706" t="s">
        <v>7592</v>
      </c>
      <c r="F3353" s="1613">
        <v>34150000</v>
      </c>
      <c r="G3353" s="1613">
        <v>149600428566</v>
      </c>
    </row>
    <row r="3354" spans="1:7" ht="17.25" customHeight="1" x14ac:dyDescent="0.2">
      <c r="A3354" s="1611">
        <v>16</v>
      </c>
      <c r="B3354" s="1611" t="s">
        <v>7154</v>
      </c>
      <c r="C3354" s="1611" t="s">
        <v>5665</v>
      </c>
      <c r="D3354" s="1612">
        <v>0</v>
      </c>
      <c r="E3354" s="1706" t="s">
        <v>7592</v>
      </c>
      <c r="F3354" s="1613">
        <v>50909090</v>
      </c>
      <c r="G3354" s="1613">
        <v>149651337656</v>
      </c>
    </row>
    <row r="3355" spans="1:7" ht="17.25" customHeight="1" x14ac:dyDescent="0.2">
      <c r="A3355" s="1611">
        <v>16</v>
      </c>
      <c r="B3355" s="1611" t="s">
        <v>7307</v>
      </c>
      <c r="C3355" s="1611" t="s">
        <v>5250</v>
      </c>
      <c r="D3355" s="1612">
        <v>0</v>
      </c>
      <c r="E3355" s="1706" t="s">
        <v>7592</v>
      </c>
      <c r="F3355" s="1613">
        <v>82261904</v>
      </c>
      <c r="G3355" s="1613">
        <v>149733599560</v>
      </c>
    </row>
    <row r="3356" spans="1:7" ht="17.25" customHeight="1" x14ac:dyDescent="0.2">
      <c r="A3356" s="1611">
        <v>16</v>
      </c>
      <c r="B3356" s="1611" t="s">
        <v>7307</v>
      </c>
      <c r="C3356" s="1611" t="s">
        <v>5250</v>
      </c>
      <c r="D3356" s="1612">
        <v>0</v>
      </c>
      <c r="E3356" s="1706" t="s">
        <v>7592</v>
      </c>
      <c r="F3356" s="1613">
        <v>82261904</v>
      </c>
      <c r="G3356" s="1613">
        <v>149815861464</v>
      </c>
    </row>
    <row r="3357" spans="1:7" ht="17.25" customHeight="1" x14ac:dyDescent="0.2">
      <c r="A3357" s="1611">
        <v>16</v>
      </c>
      <c r="B3357" s="1611" t="s">
        <v>7307</v>
      </c>
      <c r="C3357" s="1611" t="s">
        <v>5250</v>
      </c>
      <c r="D3357" s="1612">
        <v>0</v>
      </c>
      <c r="E3357" s="1706" t="s">
        <v>7592</v>
      </c>
      <c r="F3357" s="1613">
        <v>82261904</v>
      </c>
      <c r="G3357" s="1613">
        <v>149898123368</v>
      </c>
    </row>
    <row r="3358" spans="1:7" ht="17.25" customHeight="1" x14ac:dyDescent="0.2">
      <c r="A3358" s="1611">
        <v>16</v>
      </c>
      <c r="B3358" s="1611" t="s">
        <v>7307</v>
      </c>
      <c r="C3358" s="1611" t="s">
        <v>5250</v>
      </c>
      <c r="D3358" s="1612">
        <v>0</v>
      </c>
      <c r="E3358" s="1706" t="s">
        <v>7592</v>
      </c>
      <c r="F3358" s="1613">
        <v>82261904</v>
      </c>
      <c r="G3358" s="1613">
        <v>149980385272</v>
      </c>
    </row>
    <row r="3359" spans="1:7" ht="17.25" customHeight="1" x14ac:dyDescent="0.2">
      <c r="A3359" s="1611">
        <v>16</v>
      </c>
      <c r="B3359" s="1611" t="s">
        <v>7307</v>
      </c>
      <c r="C3359" s="1611" t="s">
        <v>5250</v>
      </c>
      <c r="D3359" s="1612">
        <v>0</v>
      </c>
      <c r="E3359" s="1706" t="s">
        <v>7592</v>
      </c>
      <c r="F3359" s="1613">
        <v>82261904</v>
      </c>
      <c r="G3359" s="1613">
        <v>150062647176</v>
      </c>
    </row>
    <row r="3360" spans="1:7" ht="17.25" customHeight="1" x14ac:dyDescent="0.2">
      <c r="A3360" s="1611">
        <v>16</v>
      </c>
      <c r="B3360" s="1611" t="s">
        <v>7307</v>
      </c>
      <c r="C3360" s="1611" t="s">
        <v>5250</v>
      </c>
      <c r="D3360" s="1612">
        <v>0</v>
      </c>
      <c r="E3360" s="1706" t="s">
        <v>7592</v>
      </c>
      <c r="F3360" s="1613">
        <v>82261904</v>
      </c>
      <c r="G3360" s="1613">
        <v>150144909080</v>
      </c>
    </row>
    <row r="3361" spans="1:7" ht="17.25" customHeight="1" x14ac:dyDescent="0.2">
      <c r="A3361" s="1611">
        <v>16</v>
      </c>
      <c r="B3361" s="1611" t="s">
        <v>7307</v>
      </c>
      <c r="C3361" s="1611" t="s">
        <v>5250</v>
      </c>
      <c r="D3361" s="1612">
        <v>0</v>
      </c>
      <c r="E3361" s="1706" t="s">
        <v>7592</v>
      </c>
      <c r="F3361" s="1613">
        <v>82261904</v>
      </c>
      <c r="G3361" s="1613">
        <v>150227170984</v>
      </c>
    </row>
    <row r="3362" spans="1:7" ht="17.25" customHeight="1" x14ac:dyDescent="0.2">
      <c r="A3362" s="1611">
        <v>16</v>
      </c>
      <c r="B3362" s="1611" t="s">
        <v>7307</v>
      </c>
      <c r="C3362" s="1611" t="s">
        <v>5250</v>
      </c>
      <c r="D3362" s="1612">
        <v>0</v>
      </c>
      <c r="E3362" s="1706" t="s">
        <v>7592</v>
      </c>
      <c r="F3362" s="1613">
        <v>82261904</v>
      </c>
      <c r="G3362" s="1613">
        <v>150309432888</v>
      </c>
    </row>
    <row r="3363" spans="1:7" ht="17.25" customHeight="1" x14ac:dyDescent="0.2">
      <c r="A3363" s="1611">
        <v>16</v>
      </c>
      <c r="B3363" s="1611" t="s">
        <v>7307</v>
      </c>
      <c r="C3363" s="1611" t="s">
        <v>5250</v>
      </c>
      <c r="D3363" s="1612">
        <v>0</v>
      </c>
      <c r="E3363" s="1706" t="s">
        <v>7592</v>
      </c>
      <c r="F3363" s="1613">
        <v>82261904</v>
      </c>
      <c r="G3363" s="1613">
        <v>150391694792</v>
      </c>
    </row>
    <row r="3364" spans="1:7" ht="17.25" customHeight="1" x14ac:dyDescent="0.2">
      <c r="A3364" s="1611">
        <v>16</v>
      </c>
      <c r="B3364" s="1611" t="s">
        <v>7307</v>
      </c>
      <c r="C3364" s="1611" t="s">
        <v>5250</v>
      </c>
      <c r="D3364" s="1612">
        <v>0</v>
      </c>
      <c r="E3364" s="1706" t="s">
        <v>7592</v>
      </c>
      <c r="F3364" s="1613">
        <v>82261904</v>
      </c>
      <c r="G3364" s="1613">
        <v>150473956696</v>
      </c>
    </row>
    <row r="3365" spans="1:7" ht="17.25" customHeight="1" x14ac:dyDescent="0.2">
      <c r="A3365" s="1611">
        <v>16</v>
      </c>
      <c r="B3365" s="1611" t="s">
        <v>7156</v>
      </c>
      <c r="C3365" s="1611" t="s">
        <v>5666</v>
      </c>
      <c r="D3365" s="1612">
        <v>0</v>
      </c>
      <c r="E3365" s="1706" t="s">
        <v>7592</v>
      </c>
      <c r="F3365" s="1613">
        <v>15013636</v>
      </c>
      <c r="G3365" s="1613">
        <v>150488970332</v>
      </c>
    </row>
    <row r="3366" spans="1:7" ht="17.25" customHeight="1" x14ac:dyDescent="0.2">
      <c r="A3366" s="1611">
        <v>16</v>
      </c>
      <c r="B3366" s="1611" t="s">
        <v>7154</v>
      </c>
      <c r="C3366" s="1611" t="s">
        <v>5667</v>
      </c>
      <c r="D3366" s="1612">
        <v>0</v>
      </c>
      <c r="E3366" s="1706" t="s">
        <v>7592</v>
      </c>
      <c r="F3366" s="1613">
        <v>47500000</v>
      </c>
      <c r="G3366" s="1613">
        <v>150536470332</v>
      </c>
    </row>
    <row r="3367" spans="1:7" ht="17.25" customHeight="1" x14ac:dyDescent="0.2">
      <c r="A3367" s="1611">
        <v>16</v>
      </c>
      <c r="B3367" s="1611" t="s">
        <v>7261</v>
      </c>
      <c r="C3367" s="1611" t="s">
        <v>5668</v>
      </c>
      <c r="D3367" s="1612">
        <v>0</v>
      </c>
      <c r="E3367" s="1706" t="s">
        <v>7592</v>
      </c>
      <c r="F3367" s="1613">
        <v>140000000</v>
      </c>
      <c r="G3367" s="1613">
        <v>150676470332</v>
      </c>
    </row>
    <row r="3368" spans="1:7" ht="17.25" customHeight="1" x14ac:dyDescent="0.2">
      <c r="A3368" s="1611">
        <v>16</v>
      </c>
      <c r="B3368" s="1611" t="s">
        <v>7156</v>
      </c>
      <c r="C3368" s="1611" t="s">
        <v>5669</v>
      </c>
      <c r="D3368" s="1612">
        <v>0</v>
      </c>
      <c r="E3368" s="1706" t="s">
        <v>7592</v>
      </c>
      <c r="F3368" s="1613">
        <v>14000000</v>
      </c>
      <c r="G3368" s="1613">
        <v>150690470332</v>
      </c>
    </row>
    <row r="3369" spans="1:7" ht="17.25" customHeight="1" x14ac:dyDescent="0.2">
      <c r="A3369" s="1611">
        <v>16</v>
      </c>
      <c r="B3369" s="1611" t="s">
        <v>7309</v>
      </c>
      <c r="C3369" s="1611" t="s">
        <v>4064</v>
      </c>
      <c r="D3369" s="1612">
        <v>0</v>
      </c>
      <c r="E3369" s="1612" t="s">
        <v>3295</v>
      </c>
      <c r="F3369" s="1613">
        <v>3190318</v>
      </c>
      <c r="G3369" s="1613">
        <v>150693660650</v>
      </c>
    </row>
    <row r="3370" spans="1:7" ht="17.25" customHeight="1" x14ac:dyDescent="0.2">
      <c r="A3370" s="1611">
        <v>16</v>
      </c>
      <c r="B3370" s="1611" t="s">
        <v>7203</v>
      </c>
      <c r="C3370" s="1611" t="s">
        <v>4820</v>
      </c>
      <c r="D3370" s="1612">
        <v>0</v>
      </c>
      <c r="E3370" s="1706" t="s">
        <v>7592</v>
      </c>
      <c r="F3370" s="1613">
        <v>37060000</v>
      </c>
      <c r="G3370" s="1613">
        <v>150730720650</v>
      </c>
    </row>
    <row r="3371" spans="1:7" ht="17.25" customHeight="1" x14ac:dyDescent="0.2">
      <c r="A3371" s="1611">
        <v>16</v>
      </c>
      <c r="B3371" s="1611" t="s">
        <v>7203</v>
      </c>
      <c r="C3371" s="1611" t="s">
        <v>5670</v>
      </c>
      <c r="D3371" s="1612">
        <v>0</v>
      </c>
      <c r="E3371" s="1706" t="s">
        <v>7592</v>
      </c>
      <c r="F3371" s="1613">
        <v>37272727</v>
      </c>
      <c r="G3371" s="1613">
        <v>150767993377</v>
      </c>
    </row>
    <row r="3372" spans="1:7" ht="17.25" customHeight="1" x14ac:dyDescent="0.2">
      <c r="A3372" s="1611">
        <v>16</v>
      </c>
      <c r="B3372" s="1611" t="s">
        <v>7294</v>
      </c>
      <c r="C3372" s="1611" t="s">
        <v>5600</v>
      </c>
      <c r="D3372" s="1612">
        <v>0</v>
      </c>
      <c r="E3372" s="1706" t="s">
        <v>7592</v>
      </c>
      <c r="F3372" s="1613">
        <v>16856000</v>
      </c>
      <c r="G3372" s="1613">
        <v>150784849377</v>
      </c>
    </row>
    <row r="3373" spans="1:7" ht="17.25" customHeight="1" x14ac:dyDescent="0.2">
      <c r="A3373" s="1611">
        <v>16</v>
      </c>
      <c r="B3373" s="1611" t="s">
        <v>7294</v>
      </c>
      <c r="C3373" s="1611" t="s">
        <v>4534</v>
      </c>
      <c r="D3373" s="1612">
        <v>0</v>
      </c>
      <c r="E3373" s="1706" t="s">
        <v>7592</v>
      </c>
      <c r="F3373" s="1613">
        <v>17765000</v>
      </c>
      <c r="G3373" s="1613">
        <v>150802614377</v>
      </c>
    </row>
    <row r="3374" spans="1:7" ht="17.25" customHeight="1" x14ac:dyDescent="0.2">
      <c r="A3374" s="1611">
        <v>16</v>
      </c>
      <c r="B3374" s="1611" t="s">
        <v>7170</v>
      </c>
      <c r="C3374" s="1611" t="s">
        <v>5671</v>
      </c>
      <c r="D3374" s="1612">
        <v>0</v>
      </c>
      <c r="E3374" s="1706" t="s">
        <v>7592</v>
      </c>
      <c r="F3374" s="1613">
        <v>167000000</v>
      </c>
      <c r="G3374" s="1613">
        <v>150969614377</v>
      </c>
    </row>
    <row r="3375" spans="1:7" ht="17.25" customHeight="1" x14ac:dyDescent="0.2">
      <c r="A3375" s="1611">
        <v>16</v>
      </c>
      <c r="B3375" s="1611" t="s">
        <v>7247</v>
      </c>
      <c r="C3375" s="1611" t="s">
        <v>5672</v>
      </c>
      <c r="D3375" s="1612">
        <v>0</v>
      </c>
      <c r="E3375" s="1706" t="s">
        <v>7592</v>
      </c>
      <c r="F3375" s="1613">
        <v>45800000</v>
      </c>
      <c r="G3375" s="1613">
        <v>151015414377</v>
      </c>
    </row>
    <row r="3376" spans="1:7" ht="17.25" customHeight="1" x14ac:dyDescent="0.2">
      <c r="A3376" s="1611">
        <v>16</v>
      </c>
      <c r="B3376" s="1611" t="s">
        <v>7156</v>
      </c>
      <c r="C3376" s="1611" t="s">
        <v>5673</v>
      </c>
      <c r="D3376" s="1612">
        <v>0</v>
      </c>
      <c r="E3376" s="1706" t="s">
        <v>7592</v>
      </c>
      <c r="F3376" s="1613">
        <v>13000000</v>
      </c>
      <c r="G3376" s="1613">
        <v>151028414377</v>
      </c>
    </row>
    <row r="3377" spans="1:7" ht="17.25" customHeight="1" x14ac:dyDescent="0.2">
      <c r="A3377" s="1611">
        <v>16</v>
      </c>
      <c r="B3377" s="1611" t="s">
        <v>7203</v>
      </c>
      <c r="C3377" s="1611" t="s">
        <v>5674</v>
      </c>
      <c r="D3377" s="1612">
        <v>0</v>
      </c>
      <c r="E3377" s="1706" t="s">
        <v>7592</v>
      </c>
      <c r="F3377" s="1613">
        <v>37272727</v>
      </c>
      <c r="G3377" s="1613">
        <v>151065687104</v>
      </c>
    </row>
    <row r="3378" spans="1:7" ht="17.25" customHeight="1" x14ac:dyDescent="0.2">
      <c r="A3378" s="1611">
        <v>16</v>
      </c>
      <c r="B3378" s="1611" t="s">
        <v>7203</v>
      </c>
      <c r="C3378" s="1611" t="s">
        <v>5675</v>
      </c>
      <c r="D3378" s="1612">
        <v>0</v>
      </c>
      <c r="E3378" s="1706" t="s">
        <v>7592</v>
      </c>
      <c r="F3378" s="1613">
        <v>35100000</v>
      </c>
      <c r="G3378" s="1613">
        <v>151100787104</v>
      </c>
    </row>
    <row r="3379" spans="1:7" ht="17.25" customHeight="1" x14ac:dyDescent="0.2">
      <c r="A3379" s="1611">
        <v>16</v>
      </c>
      <c r="B3379" s="1611" t="s">
        <v>7203</v>
      </c>
      <c r="C3379" s="1611" t="s">
        <v>5376</v>
      </c>
      <c r="D3379" s="1612">
        <v>0</v>
      </c>
      <c r="E3379" s="1706" t="s">
        <v>7592</v>
      </c>
      <c r="F3379" s="1613">
        <v>36500000</v>
      </c>
      <c r="G3379" s="1613">
        <v>151137287104</v>
      </c>
    </row>
    <row r="3380" spans="1:7" ht="17.25" customHeight="1" x14ac:dyDescent="0.2">
      <c r="A3380" s="1611">
        <v>16</v>
      </c>
      <c r="B3380" s="1611" t="s">
        <v>7261</v>
      </c>
      <c r="C3380" s="1611" t="s">
        <v>4219</v>
      </c>
      <c r="D3380" s="1612">
        <v>0</v>
      </c>
      <c r="E3380" s="1706" t="s">
        <v>7592</v>
      </c>
      <c r="F3380" s="1613">
        <v>170000000</v>
      </c>
      <c r="G3380" s="1613">
        <v>151307287104</v>
      </c>
    </row>
    <row r="3381" spans="1:7" ht="17.25" customHeight="1" x14ac:dyDescent="0.2">
      <c r="A3381" s="1611">
        <v>16</v>
      </c>
      <c r="B3381" s="1611" t="s">
        <v>7282</v>
      </c>
      <c r="C3381" s="1611" t="s">
        <v>5676</v>
      </c>
      <c r="D3381" s="1612">
        <v>0</v>
      </c>
      <c r="E3381" s="1706" t="s">
        <v>7592</v>
      </c>
      <c r="F3381" s="1613">
        <v>153000000</v>
      </c>
      <c r="G3381" s="1613">
        <v>151460287104</v>
      </c>
    </row>
    <row r="3382" spans="1:7" ht="17.25" customHeight="1" x14ac:dyDescent="0.2">
      <c r="A3382" s="1611">
        <v>16</v>
      </c>
      <c r="B3382" s="1611" t="s">
        <v>7170</v>
      </c>
      <c r="C3382" s="1611" t="s">
        <v>5677</v>
      </c>
      <c r="D3382" s="1612">
        <v>0</v>
      </c>
      <c r="E3382" s="1706" t="s">
        <v>7592</v>
      </c>
      <c r="F3382" s="1613">
        <v>166000000</v>
      </c>
      <c r="G3382" s="1613">
        <v>151626287104</v>
      </c>
    </row>
    <row r="3383" spans="1:7" ht="17.25" customHeight="1" x14ac:dyDescent="0.2">
      <c r="A3383" s="1611">
        <v>16</v>
      </c>
      <c r="B3383" s="1611" t="s">
        <v>7203</v>
      </c>
      <c r="C3383" s="1611" t="s">
        <v>4342</v>
      </c>
      <c r="D3383" s="1612">
        <v>0</v>
      </c>
      <c r="E3383" s="1706" t="s">
        <v>7592</v>
      </c>
      <c r="F3383" s="1613">
        <v>37000000</v>
      </c>
      <c r="G3383" s="1613">
        <v>151663287104</v>
      </c>
    </row>
    <row r="3384" spans="1:7" ht="17.25" customHeight="1" x14ac:dyDescent="0.2">
      <c r="A3384" s="1611">
        <v>16</v>
      </c>
      <c r="B3384" s="1611" t="s">
        <v>7156</v>
      </c>
      <c r="C3384" s="1611" t="s">
        <v>5673</v>
      </c>
      <c r="D3384" s="1612">
        <v>0</v>
      </c>
      <c r="E3384" s="1706" t="s">
        <v>7592</v>
      </c>
      <c r="F3384" s="1613">
        <v>-13000000</v>
      </c>
      <c r="G3384" s="1613">
        <v>151650287104</v>
      </c>
    </row>
    <row r="3385" spans="1:7" ht="17.25" customHeight="1" x14ac:dyDescent="0.2">
      <c r="A3385" s="1611">
        <v>16</v>
      </c>
      <c r="B3385" s="1611" t="s">
        <v>2954</v>
      </c>
      <c r="C3385" s="1611" t="s">
        <v>5673</v>
      </c>
      <c r="D3385" s="1612">
        <v>0</v>
      </c>
      <c r="E3385" s="1706" t="s">
        <v>7592</v>
      </c>
      <c r="F3385" s="1613">
        <v>13000000</v>
      </c>
      <c r="G3385" s="1613">
        <v>151663287104</v>
      </c>
    </row>
    <row r="3386" spans="1:7" ht="17.25" customHeight="1" x14ac:dyDescent="0.2">
      <c r="A3386" s="1611">
        <v>16</v>
      </c>
      <c r="B3386" s="1611" t="s">
        <v>7247</v>
      </c>
      <c r="C3386" s="1611" t="s">
        <v>5678</v>
      </c>
      <c r="D3386" s="1612">
        <v>0</v>
      </c>
      <c r="E3386" s="1706" t="s">
        <v>7592</v>
      </c>
      <c r="F3386" s="1613">
        <v>44000000</v>
      </c>
      <c r="G3386" s="1613">
        <v>151707287104</v>
      </c>
    </row>
    <row r="3387" spans="1:7" ht="17.25" customHeight="1" x14ac:dyDescent="0.2">
      <c r="A3387" s="1611">
        <v>16</v>
      </c>
      <c r="B3387" s="1611" t="s">
        <v>7203</v>
      </c>
      <c r="C3387" s="1611" t="s">
        <v>5679</v>
      </c>
      <c r="D3387" s="1612">
        <v>0</v>
      </c>
      <c r="E3387" s="1706" t="s">
        <v>7592</v>
      </c>
      <c r="F3387" s="1613">
        <v>33636364</v>
      </c>
      <c r="G3387" s="1613">
        <v>151740923468</v>
      </c>
    </row>
    <row r="3388" spans="1:7" ht="17.25" customHeight="1" x14ac:dyDescent="0.2">
      <c r="A3388" s="1611">
        <v>16</v>
      </c>
      <c r="B3388" s="1611" t="s">
        <v>7203</v>
      </c>
      <c r="C3388" s="1611" t="s">
        <v>5680</v>
      </c>
      <c r="D3388" s="1612">
        <v>0</v>
      </c>
      <c r="E3388" s="1706" t="s">
        <v>7592</v>
      </c>
      <c r="F3388" s="1613">
        <v>33000000</v>
      </c>
      <c r="G3388" s="1613">
        <v>151773923468</v>
      </c>
    </row>
    <row r="3389" spans="1:7" ht="17.25" customHeight="1" x14ac:dyDescent="0.2">
      <c r="A3389" s="1611">
        <v>16</v>
      </c>
      <c r="B3389" s="1611" t="s">
        <v>7203</v>
      </c>
      <c r="C3389" s="1611" t="s">
        <v>5639</v>
      </c>
      <c r="D3389" s="1612">
        <v>0</v>
      </c>
      <c r="E3389" s="1706" t="s">
        <v>7592</v>
      </c>
      <c r="F3389" s="1613">
        <v>35909091</v>
      </c>
      <c r="G3389" s="1613">
        <v>151809832559</v>
      </c>
    </row>
    <row r="3390" spans="1:7" ht="17.25" customHeight="1" x14ac:dyDescent="0.2">
      <c r="A3390" s="1611">
        <v>16</v>
      </c>
      <c r="B3390" s="1611" t="s">
        <v>7203</v>
      </c>
      <c r="C3390" s="1611" t="s">
        <v>4073</v>
      </c>
      <c r="D3390" s="1612">
        <v>0</v>
      </c>
      <c r="E3390" s="1706" t="s">
        <v>7592</v>
      </c>
      <c r="F3390" s="1613">
        <v>35000000</v>
      </c>
      <c r="G3390" s="1613">
        <v>151844832559</v>
      </c>
    </row>
    <row r="3391" spans="1:7" ht="17.25" customHeight="1" x14ac:dyDescent="0.2">
      <c r="A3391" s="1611">
        <v>16</v>
      </c>
      <c r="B3391" s="1611" t="s">
        <v>7154</v>
      </c>
      <c r="C3391" s="1611" t="s">
        <v>5681</v>
      </c>
      <c r="D3391" s="1612">
        <v>0</v>
      </c>
      <c r="E3391" s="1706" t="s">
        <v>7592</v>
      </c>
      <c r="F3391" s="1613">
        <v>50909090</v>
      </c>
      <c r="G3391" s="1613">
        <v>151895741649</v>
      </c>
    </row>
    <row r="3392" spans="1:7" ht="17.25" customHeight="1" x14ac:dyDescent="0.2">
      <c r="A3392" s="1611">
        <v>16</v>
      </c>
      <c r="B3392" s="1611" t="s">
        <v>7176</v>
      </c>
      <c r="C3392" s="1611" t="s">
        <v>4190</v>
      </c>
      <c r="D3392" s="1612">
        <v>0</v>
      </c>
      <c r="E3392" s="1706" t="s">
        <v>7592</v>
      </c>
      <c r="F3392" s="1613">
        <v>42700000</v>
      </c>
      <c r="G3392" s="1613">
        <v>151938441649</v>
      </c>
    </row>
    <row r="3393" spans="1:7" ht="17.25" customHeight="1" x14ac:dyDescent="0.2">
      <c r="A3393" s="1611">
        <v>16</v>
      </c>
      <c r="B3393" s="1611" t="s">
        <v>7203</v>
      </c>
      <c r="C3393" s="1611" t="s">
        <v>5682</v>
      </c>
      <c r="D3393" s="1612">
        <v>0</v>
      </c>
      <c r="E3393" s="1706" t="s">
        <v>7592</v>
      </c>
      <c r="F3393" s="1613">
        <v>37272727</v>
      </c>
      <c r="G3393" s="1613">
        <v>151975714376</v>
      </c>
    </row>
    <row r="3394" spans="1:7" ht="17.25" customHeight="1" x14ac:dyDescent="0.2">
      <c r="A3394" s="1611">
        <v>16</v>
      </c>
      <c r="B3394" s="1611" t="s">
        <v>7203</v>
      </c>
      <c r="C3394" s="1611" t="s">
        <v>5098</v>
      </c>
      <c r="D3394" s="1612">
        <v>0</v>
      </c>
      <c r="E3394" s="1706" t="s">
        <v>7592</v>
      </c>
      <c r="F3394" s="1613">
        <v>36900000</v>
      </c>
      <c r="G3394" s="1613">
        <v>152012614376</v>
      </c>
    </row>
    <row r="3395" spans="1:7" ht="17.25" customHeight="1" x14ac:dyDescent="0.2">
      <c r="A3395" s="1611">
        <v>16</v>
      </c>
      <c r="B3395" s="1611" t="s">
        <v>7203</v>
      </c>
      <c r="C3395" s="1611" t="s">
        <v>5596</v>
      </c>
      <c r="D3395" s="1612">
        <v>0</v>
      </c>
      <c r="E3395" s="1706" t="s">
        <v>7592</v>
      </c>
      <c r="F3395" s="1613">
        <v>33818181</v>
      </c>
      <c r="G3395" s="1613">
        <v>152046432557</v>
      </c>
    </row>
    <row r="3396" spans="1:7" ht="17.25" customHeight="1" x14ac:dyDescent="0.2">
      <c r="A3396" s="1611">
        <v>16</v>
      </c>
      <c r="B3396" s="1611" t="s">
        <v>7156</v>
      </c>
      <c r="C3396" s="1611" t="s">
        <v>5683</v>
      </c>
      <c r="D3396" s="1612">
        <v>0</v>
      </c>
      <c r="E3396" s="1706" t="s">
        <v>7592</v>
      </c>
      <c r="F3396" s="1613">
        <v>15800000</v>
      </c>
      <c r="G3396" s="1613">
        <v>152062232557</v>
      </c>
    </row>
    <row r="3397" spans="1:7" ht="17.25" customHeight="1" x14ac:dyDescent="0.2">
      <c r="A3397" s="1611">
        <v>16</v>
      </c>
      <c r="B3397" s="1611" t="s">
        <v>7251</v>
      </c>
      <c r="C3397" s="1611" t="s">
        <v>3635</v>
      </c>
      <c r="D3397" s="1612">
        <v>0</v>
      </c>
      <c r="E3397" s="1706" t="s">
        <v>7592</v>
      </c>
      <c r="F3397" s="1613">
        <v>14664000</v>
      </c>
      <c r="G3397" s="1613">
        <v>152076896557</v>
      </c>
    </row>
    <row r="3398" spans="1:7" ht="17.25" customHeight="1" x14ac:dyDescent="0.2">
      <c r="A3398" s="1611">
        <v>16</v>
      </c>
      <c r="B3398" s="1611" t="s">
        <v>7251</v>
      </c>
      <c r="C3398" s="1611" t="s">
        <v>5684</v>
      </c>
      <c r="D3398" s="1612">
        <v>0</v>
      </c>
      <c r="E3398" s="1706" t="s">
        <v>7592</v>
      </c>
      <c r="F3398" s="1613">
        <v>33636363</v>
      </c>
      <c r="G3398" s="1613">
        <v>152110532920</v>
      </c>
    </row>
    <row r="3399" spans="1:7" ht="17.25" customHeight="1" x14ac:dyDescent="0.2">
      <c r="A3399" s="1611">
        <v>16</v>
      </c>
      <c r="B3399" s="1611" t="s">
        <v>7176</v>
      </c>
      <c r="C3399" s="1611" t="s">
        <v>5685</v>
      </c>
      <c r="D3399" s="1612">
        <v>0</v>
      </c>
      <c r="E3399" s="1706" t="s">
        <v>7592</v>
      </c>
      <c r="F3399" s="1613">
        <v>42727273</v>
      </c>
      <c r="G3399" s="1613">
        <v>152153260193</v>
      </c>
    </row>
    <row r="3400" spans="1:7" ht="17.25" customHeight="1" x14ac:dyDescent="0.2">
      <c r="A3400" s="1611">
        <v>16</v>
      </c>
      <c r="B3400" s="1611" t="s">
        <v>7203</v>
      </c>
      <c r="C3400" s="1611" t="s">
        <v>5686</v>
      </c>
      <c r="D3400" s="1612">
        <v>0</v>
      </c>
      <c r="E3400" s="1706" t="s">
        <v>7592</v>
      </c>
      <c r="F3400" s="1613">
        <v>33720000</v>
      </c>
      <c r="G3400" s="1613">
        <v>152186980193</v>
      </c>
    </row>
    <row r="3401" spans="1:7" ht="17.25" customHeight="1" x14ac:dyDescent="0.2">
      <c r="A3401" s="1611">
        <v>16</v>
      </c>
      <c r="B3401" s="1611" t="s">
        <v>7203</v>
      </c>
      <c r="C3401" s="1611" t="s">
        <v>4872</v>
      </c>
      <c r="D3401" s="1612">
        <v>0</v>
      </c>
      <c r="E3401" s="1706" t="s">
        <v>7592</v>
      </c>
      <c r="F3401" s="1613">
        <v>16900000</v>
      </c>
      <c r="G3401" s="1613">
        <v>152203880193</v>
      </c>
    </row>
    <row r="3402" spans="1:7" ht="17.25" customHeight="1" x14ac:dyDescent="0.2">
      <c r="A3402" s="1611">
        <v>16</v>
      </c>
      <c r="B3402" s="1611" t="s">
        <v>7176</v>
      </c>
      <c r="C3402" s="1611" t="s">
        <v>5687</v>
      </c>
      <c r="D3402" s="1612">
        <v>0</v>
      </c>
      <c r="E3402" s="1706" t="s">
        <v>7592</v>
      </c>
      <c r="F3402" s="1613">
        <v>40500000</v>
      </c>
      <c r="G3402" s="1613">
        <v>152244380193</v>
      </c>
    </row>
    <row r="3403" spans="1:7" ht="17.25" customHeight="1" x14ac:dyDescent="0.2">
      <c r="A3403" s="1611">
        <v>16</v>
      </c>
      <c r="B3403" s="1611" t="s">
        <v>7176</v>
      </c>
      <c r="C3403" s="1611" t="s">
        <v>5688</v>
      </c>
      <c r="D3403" s="1612">
        <v>0</v>
      </c>
      <c r="E3403" s="1706" t="s">
        <v>7592</v>
      </c>
      <c r="F3403" s="1613">
        <v>40909091</v>
      </c>
      <c r="G3403" s="1613">
        <v>152285289284</v>
      </c>
    </row>
    <row r="3404" spans="1:7" ht="17.25" customHeight="1" x14ac:dyDescent="0.2">
      <c r="A3404" s="1611">
        <v>16</v>
      </c>
      <c r="B3404" s="1611" t="s">
        <v>7155</v>
      </c>
      <c r="C3404" s="1611" t="s">
        <v>5689</v>
      </c>
      <c r="D3404" s="1612">
        <v>0</v>
      </c>
      <c r="E3404" s="1612" t="s">
        <v>3308</v>
      </c>
      <c r="F3404" s="1613">
        <v>130778340</v>
      </c>
      <c r="G3404" s="1613">
        <v>152416067624</v>
      </c>
    </row>
    <row r="3405" spans="1:7" ht="17.25" customHeight="1" x14ac:dyDescent="0.2">
      <c r="A3405" s="1611">
        <v>16</v>
      </c>
      <c r="B3405" s="1611" t="s">
        <v>7156</v>
      </c>
      <c r="C3405" s="1611" t="s">
        <v>5690</v>
      </c>
      <c r="D3405" s="1612">
        <v>0</v>
      </c>
      <c r="E3405" s="1706" t="s">
        <v>7592</v>
      </c>
      <c r="F3405" s="1613">
        <v>15150000</v>
      </c>
      <c r="G3405" s="1613">
        <v>152431217624</v>
      </c>
    </row>
    <row r="3406" spans="1:7" ht="17.25" customHeight="1" x14ac:dyDescent="0.2">
      <c r="A3406" s="1611">
        <v>16</v>
      </c>
      <c r="B3406" s="1611" t="s">
        <v>7251</v>
      </c>
      <c r="C3406" s="1611" t="s">
        <v>3720</v>
      </c>
      <c r="D3406" s="1612">
        <v>0</v>
      </c>
      <c r="E3406" s="1706" t="s">
        <v>7592</v>
      </c>
      <c r="F3406" s="1613">
        <v>16900000</v>
      </c>
      <c r="G3406" s="1613">
        <v>152448117624</v>
      </c>
    </row>
    <row r="3407" spans="1:7" ht="17.25" customHeight="1" x14ac:dyDescent="0.2">
      <c r="A3407" s="1611">
        <v>16</v>
      </c>
      <c r="B3407" s="1611" t="s">
        <v>7203</v>
      </c>
      <c r="C3407" s="1611" t="s">
        <v>4142</v>
      </c>
      <c r="D3407" s="1612">
        <v>0</v>
      </c>
      <c r="E3407" s="1706" t="s">
        <v>7592</v>
      </c>
      <c r="F3407" s="1613">
        <v>37272727</v>
      </c>
      <c r="G3407" s="1613">
        <v>152485390351</v>
      </c>
    </row>
    <row r="3408" spans="1:7" ht="17.25" customHeight="1" x14ac:dyDescent="0.2">
      <c r="A3408" s="1611">
        <v>16</v>
      </c>
      <c r="B3408" s="1611" t="s">
        <v>7203</v>
      </c>
      <c r="C3408" s="1611" t="s">
        <v>5691</v>
      </c>
      <c r="D3408" s="1612">
        <v>0</v>
      </c>
      <c r="E3408" s="1706" t="s">
        <v>7592</v>
      </c>
      <c r="F3408" s="1613">
        <v>35000000</v>
      </c>
      <c r="G3408" s="1613">
        <v>152520390351</v>
      </c>
    </row>
    <row r="3409" spans="1:7" ht="17.25" customHeight="1" x14ac:dyDescent="0.2">
      <c r="A3409" s="1611">
        <v>16</v>
      </c>
      <c r="B3409" s="1611" t="s">
        <v>7251</v>
      </c>
      <c r="C3409" s="1611" t="s">
        <v>3716</v>
      </c>
      <c r="D3409" s="1612">
        <v>0</v>
      </c>
      <c r="E3409" s="1706" t="s">
        <v>7592</v>
      </c>
      <c r="F3409" s="1613">
        <v>16900000</v>
      </c>
      <c r="G3409" s="1613">
        <v>152537290351</v>
      </c>
    </row>
    <row r="3410" spans="1:7" ht="17.25" customHeight="1" x14ac:dyDescent="0.2">
      <c r="A3410" s="1611">
        <v>16</v>
      </c>
      <c r="B3410" s="1611" t="s">
        <v>7203</v>
      </c>
      <c r="C3410" s="1611" t="s">
        <v>3716</v>
      </c>
      <c r="D3410" s="1612">
        <v>0</v>
      </c>
      <c r="E3410" s="1706" t="s">
        <v>7592</v>
      </c>
      <c r="F3410" s="1613">
        <v>16900000</v>
      </c>
      <c r="G3410" s="1613">
        <v>152554190351</v>
      </c>
    </row>
    <row r="3411" spans="1:7" ht="17.25" customHeight="1" x14ac:dyDescent="0.2">
      <c r="A3411" s="1611">
        <v>16</v>
      </c>
      <c r="B3411" s="1611" t="s">
        <v>7251</v>
      </c>
      <c r="C3411" s="1611" t="s">
        <v>5692</v>
      </c>
      <c r="D3411" s="1612">
        <v>0</v>
      </c>
      <c r="E3411" s="1706" t="s">
        <v>7592</v>
      </c>
      <c r="F3411" s="1613">
        <v>17765000</v>
      </c>
      <c r="G3411" s="1613">
        <v>152571955351</v>
      </c>
    </row>
    <row r="3412" spans="1:7" ht="17.25" customHeight="1" x14ac:dyDescent="0.2">
      <c r="A3412" s="1611">
        <v>16</v>
      </c>
      <c r="B3412" s="1611" t="s">
        <v>7156</v>
      </c>
      <c r="C3412" s="1611" t="s">
        <v>5690</v>
      </c>
      <c r="D3412" s="1612">
        <v>0</v>
      </c>
      <c r="E3412" s="1706" t="s">
        <v>7592</v>
      </c>
      <c r="F3412" s="1613">
        <v>-15150000</v>
      </c>
      <c r="G3412" s="1613">
        <v>152556805351</v>
      </c>
    </row>
    <row r="3413" spans="1:7" ht="17.25" customHeight="1" x14ac:dyDescent="0.2">
      <c r="A3413" s="1611">
        <v>16</v>
      </c>
      <c r="B3413" s="1611" t="s">
        <v>7156</v>
      </c>
      <c r="C3413" s="1611" t="s">
        <v>5690</v>
      </c>
      <c r="D3413" s="1612">
        <v>0</v>
      </c>
      <c r="E3413" s="1706" t="s">
        <v>7592</v>
      </c>
      <c r="F3413" s="1613">
        <v>15150000</v>
      </c>
      <c r="G3413" s="1613">
        <v>152571955351</v>
      </c>
    </row>
    <row r="3414" spans="1:7" ht="17.25" customHeight="1" x14ac:dyDescent="0.2">
      <c r="A3414" s="1611">
        <v>16</v>
      </c>
      <c r="B3414" s="1611" t="s">
        <v>7251</v>
      </c>
      <c r="C3414" s="1611" t="s">
        <v>5693</v>
      </c>
      <c r="D3414" s="1612">
        <v>0</v>
      </c>
      <c r="E3414" s="1706" t="s">
        <v>7592</v>
      </c>
      <c r="F3414" s="1613">
        <v>16856000</v>
      </c>
      <c r="G3414" s="1613">
        <v>152588811351</v>
      </c>
    </row>
    <row r="3415" spans="1:7" ht="17.25" customHeight="1" x14ac:dyDescent="0.2">
      <c r="A3415" s="1611">
        <v>16</v>
      </c>
      <c r="B3415" s="1611" t="s">
        <v>7251</v>
      </c>
      <c r="C3415" s="1611" t="s">
        <v>5693</v>
      </c>
      <c r="D3415" s="1612">
        <v>0</v>
      </c>
      <c r="E3415" s="1706" t="s">
        <v>7592</v>
      </c>
      <c r="F3415" s="1613">
        <v>16856000</v>
      </c>
      <c r="G3415" s="1613">
        <v>152605667351</v>
      </c>
    </row>
    <row r="3416" spans="1:7" ht="17.25" customHeight="1" x14ac:dyDescent="0.2">
      <c r="A3416" s="1611">
        <v>16</v>
      </c>
      <c r="B3416" s="1611" t="s">
        <v>7251</v>
      </c>
      <c r="C3416" s="1611" t="s">
        <v>5693</v>
      </c>
      <c r="D3416" s="1612">
        <v>0</v>
      </c>
      <c r="E3416" s="1706" t="s">
        <v>7592</v>
      </c>
      <c r="F3416" s="1613">
        <v>16856000</v>
      </c>
      <c r="G3416" s="1613">
        <v>152622523351</v>
      </c>
    </row>
    <row r="3417" spans="1:7" ht="17.25" customHeight="1" x14ac:dyDescent="0.2">
      <c r="A3417" s="1611">
        <v>16</v>
      </c>
      <c r="B3417" s="1611" t="s">
        <v>7170</v>
      </c>
      <c r="C3417" s="1611" t="s">
        <v>5694</v>
      </c>
      <c r="D3417" s="1612">
        <v>0</v>
      </c>
      <c r="E3417" s="1706" t="s">
        <v>7592</v>
      </c>
      <c r="F3417" s="1613">
        <v>170000000</v>
      </c>
      <c r="G3417" s="1613">
        <v>152792523351</v>
      </c>
    </row>
    <row r="3418" spans="1:7" ht="17.25" customHeight="1" x14ac:dyDescent="0.2">
      <c r="A3418" s="1611">
        <v>16</v>
      </c>
      <c r="B3418" s="1611" t="s">
        <v>7273</v>
      </c>
      <c r="C3418" s="1611" t="s">
        <v>5695</v>
      </c>
      <c r="D3418" s="1612">
        <v>0</v>
      </c>
      <c r="E3418" s="1706" t="s">
        <v>7592</v>
      </c>
      <c r="F3418" s="1613">
        <v>163000000</v>
      </c>
      <c r="G3418" s="1613">
        <v>152955523351</v>
      </c>
    </row>
    <row r="3419" spans="1:7" ht="17.25" customHeight="1" x14ac:dyDescent="0.2">
      <c r="A3419" s="1611">
        <v>16</v>
      </c>
      <c r="B3419" s="1611" t="s">
        <v>7156</v>
      </c>
      <c r="C3419" s="1611" t="s">
        <v>5696</v>
      </c>
      <c r="D3419" s="1612">
        <v>0</v>
      </c>
      <c r="E3419" s="1706" t="s">
        <v>7592</v>
      </c>
      <c r="F3419" s="1613">
        <v>14636364</v>
      </c>
      <c r="G3419" s="1613">
        <v>152970159715</v>
      </c>
    </row>
    <row r="3420" spans="1:7" ht="17.25" customHeight="1" x14ac:dyDescent="0.2">
      <c r="A3420" s="1611">
        <v>16</v>
      </c>
      <c r="B3420" s="1611" t="s">
        <v>7307</v>
      </c>
      <c r="C3420" s="1611" t="s">
        <v>5250</v>
      </c>
      <c r="D3420" s="1612">
        <v>0</v>
      </c>
      <c r="E3420" s="1706" t="s">
        <v>7592</v>
      </c>
      <c r="F3420" s="1613">
        <v>82261904</v>
      </c>
      <c r="G3420" s="1613">
        <v>153052421619</v>
      </c>
    </row>
    <row r="3421" spans="1:7" ht="17.25" customHeight="1" x14ac:dyDescent="0.2">
      <c r="A3421" s="1611">
        <v>16</v>
      </c>
      <c r="B3421" s="1611" t="s">
        <v>7307</v>
      </c>
      <c r="C3421" s="1611" t="s">
        <v>5250</v>
      </c>
      <c r="D3421" s="1612">
        <v>0</v>
      </c>
      <c r="E3421" s="1706" t="s">
        <v>7592</v>
      </c>
      <c r="F3421" s="1613">
        <v>82261904</v>
      </c>
      <c r="G3421" s="1613">
        <v>153134683523</v>
      </c>
    </row>
    <row r="3422" spans="1:7" ht="17.25" customHeight="1" x14ac:dyDescent="0.2">
      <c r="A3422" s="1611">
        <v>16</v>
      </c>
      <c r="B3422" s="1611" t="s">
        <v>7307</v>
      </c>
      <c r="C3422" s="1611" t="s">
        <v>5250</v>
      </c>
      <c r="D3422" s="1612">
        <v>0</v>
      </c>
      <c r="E3422" s="1706" t="s">
        <v>7592</v>
      </c>
      <c r="F3422" s="1613">
        <v>82261904</v>
      </c>
      <c r="G3422" s="1613">
        <v>153216945427</v>
      </c>
    </row>
    <row r="3423" spans="1:7" ht="17.25" customHeight="1" x14ac:dyDescent="0.2">
      <c r="A3423" s="1611">
        <v>16</v>
      </c>
      <c r="B3423" s="1611" t="s">
        <v>7307</v>
      </c>
      <c r="C3423" s="1611" t="s">
        <v>5250</v>
      </c>
      <c r="D3423" s="1612">
        <v>0</v>
      </c>
      <c r="E3423" s="1706" t="s">
        <v>7592</v>
      </c>
      <c r="F3423" s="1613">
        <v>82261904</v>
      </c>
      <c r="G3423" s="1613">
        <v>153299207331</v>
      </c>
    </row>
    <row r="3424" spans="1:7" ht="17.25" customHeight="1" x14ac:dyDescent="0.2">
      <c r="A3424" s="1611">
        <v>16</v>
      </c>
      <c r="B3424" s="1611" t="s">
        <v>7307</v>
      </c>
      <c r="C3424" s="1611" t="s">
        <v>5250</v>
      </c>
      <c r="D3424" s="1612">
        <v>0</v>
      </c>
      <c r="E3424" s="1706" t="s">
        <v>7592</v>
      </c>
      <c r="F3424" s="1613">
        <v>82261904</v>
      </c>
      <c r="G3424" s="1613">
        <v>153381469235</v>
      </c>
    </row>
    <row r="3425" spans="1:7" ht="17.25" customHeight="1" x14ac:dyDescent="0.2">
      <c r="A3425" s="1611">
        <v>16</v>
      </c>
      <c r="B3425" s="1611" t="s">
        <v>7307</v>
      </c>
      <c r="C3425" s="1611" t="s">
        <v>5250</v>
      </c>
      <c r="D3425" s="1612">
        <v>0</v>
      </c>
      <c r="E3425" s="1706" t="s">
        <v>7592</v>
      </c>
      <c r="F3425" s="1613">
        <v>82261904</v>
      </c>
      <c r="G3425" s="1613">
        <v>153463731139</v>
      </c>
    </row>
    <row r="3426" spans="1:7" ht="17.25" customHeight="1" x14ac:dyDescent="0.2">
      <c r="A3426" s="1611">
        <v>16</v>
      </c>
      <c r="B3426" s="1611" t="s">
        <v>7307</v>
      </c>
      <c r="C3426" s="1611" t="s">
        <v>5250</v>
      </c>
      <c r="D3426" s="1612">
        <v>0</v>
      </c>
      <c r="E3426" s="1706" t="s">
        <v>7592</v>
      </c>
      <c r="F3426" s="1613">
        <v>82261904</v>
      </c>
      <c r="G3426" s="1613">
        <v>153545993043</v>
      </c>
    </row>
    <row r="3427" spans="1:7" ht="17.25" customHeight="1" x14ac:dyDescent="0.2">
      <c r="A3427" s="1611">
        <v>16</v>
      </c>
      <c r="B3427" s="1611" t="s">
        <v>7307</v>
      </c>
      <c r="C3427" s="1611" t="s">
        <v>5250</v>
      </c>
      <c r="D3427" s="1612">
        <v>0</v>
      </c>
      <c r="E3427" s="1706" t="s">
        <v>7592</v>
      </c>
      <c r="F3427" s="1613">
        <v>82261904</v>
      </c>
      <c r="G3427" s="1613">
        <v>153628254947</v>
      </c>
    </row>
    <row r="3428" spans="1:7" ht="17.25" customHeight="1" x14ac:dyDescent="0.2">
      <c r="A3428" s="1611">
        <v>16</v>
      </c>
      <c r="B3428" s="1611" t="s">
        <v>7307</v>
      </c>
      <c r="C3428" s="1611" t="s">
        <v>5250</v>
      </c>
      <c r="D3428" s="1612">
        <v>0</v>
      </c>
      <c r="E3428" s="1706" t="s">
        <v>7592</v>
      </c>
      <c r="F3428" s="1613">
        <v>82261904</v>
      </c>
      <c r="G3428" s="1613">
        <v>153710516851</v>
      </c>
    </row>
    <row r="3429" spans="1:7" ht="17.25" customHeight="1" x14ac:dyDescent="0.2">
      <c r="A3429" s="1611">
        <v>16</v>
      </c>
      <c r="B3429" s="1611" t="s">
        <v>7307</v>
      </c>
      <c r="C3429" s="1611" t="s">
        <v>5250</v>
      </c>
      <c r="D3429" s="1612">
        <v>0</v>
      </c>
      <c r="E3429" s="1706" t="s">
        <v>7592</v>
      </c>
      <c r="F3429" s="1613">
        <v>82261904</v>
      </c>
      <c r="G3429" s="1613">
        <v>153792778755</v>
      </c>
    </row>
    <row r="3430" spans="1:7" ht="17.25" customHeight="1" x14ac:dyDescent="0.2">
      <c r="A3430" s="1611">
        <v>16</v>
      </c>
      <c r="B3430" s="1611" t="s">
        <v>7170</v>
      </c>
      <c r="C3430" s="1611" t="s">
        <v>5697</v>
      </c>
      <c r="D3430" s="1612">
        <v>0</v>
      </c>
      <c r="E3430" s="1706" t="s">
        <v>7592</v>
      </c>
      <c r="F3430" s="1613">
        <v>170000000</v>
      </c>
      <c r="G3430" s="1613">
        <v>153962778755</v>
      </c>
    </row>
    <row r="3431" spans="1:7" ht="17.25" customHeight="1" x14ac:dyDescent="0.2">
      <c r="A3431" s="1611">
        <v>16</v>
      </c>
      <c r="B3431" s="1611" t="s">
        <v>7273</v>
      </c>
      <c r="C3431" s="1611" t="s">
        <v>5698</v>
      </c>
      <c r="D3431" s="1612">
        <v>0</v>
      </c>
      <c r="E3431" s="1706" t="s">
        <v>7592</v>
      </c>
      <c r="F3431" s="1613">
        <v>163000000</v>
      </c>
      <c r="G3431" s="1613">
        <v>154125778755</v>
      </c>
    </row>
    <row r="3432" spans="1:7" ht="17.25" customHeight="1" x14ac:dyDescent="0.2">
      <c r="A3432" s="1611">
        <v>16</v>
      </c>
      <c r="B3432" s="1611" t="s">
        <v>7156</v>
      </c>
      <c r="C3432" s="1611" t="s">
        <v>5699</v>
      </c>
      <c r="D3432" s="1612">
        <v>0</v>
      </c>
      <c r="E3432" s="1706" t="s">
        <v>7592</v>
      </c>
      <c r="F3432" s="1613">
        <v>15000000</v>
      </c>
      <c r="G3432" s="1613">
        <v>154140778755</v>
      </c>
    </row>
    <row r="3433" spans="1:7" ht="17.25" customHeight="1" x14ac:dyDescent="0.2">
      <c r="A3433" s="1611">
        <v>16</v>
      </c>
      <c r="B3433" s="1611" t="s">
        <v>7203</v>
      </c>
      <c r="C3433" s="1611" t="s">
        <v>5700</v>
      </c>
      <c r="D3433" s="1612">
        <v>0</v>
      </c>
      <c r="E3433" s="1706" t="s">
        <v>7592</v>
      </c>
      <c r="F3433" s="1613">
        <v>34272727</v>
      </c>
      <c r="G3433" s="1613">
        <v>154175051482</v>
      </c>
    </row>
    <row r="3434" spans="1:7" ht="17.25" customHeight="1" x14ac:dyDescent="0.2">
      <c r="A3434" s="1611">
        <v>16</v>
      </c>
      <c r="B3434" s="1611" t="s">
        <v>7214</v>
      </c>
      <c r="C3434" s="1611" t="s">
        <v>5701</v>
      </c>
      <c r="D3434" s="1612">
        <v>0</v>
      </c>
      <c r="E3434" s="1612" t="s">
        <v>3297</v>
      </c>
      <c r="F3434" s="1613">
        <v>108693634</v>
      </c>
      <c r="G3434" s="1613">
        <v>154283745116</v>
      </c>
    </row>
    <row r="3435" spans="1:7" ht="17.25" customHeight="1" x14ac:dyDescent="0.2">
      <c r="A3435" s="1611">
        <v>16</v>
      </c>
      <c r="B3435" s="1611" t="s">
        <v>7156</v>
      </c>
      <c r="C3435" s="1611" t="s">
        <v>5696</v>
      </c>
      <c r="D3435" s="1612">
        <v>0</v>
      </c>
      <c r="E3435" s="1706" t="s">
        <v>7592</v>
      </c>
      <c r="F3435" s="1613">
        <v>14636364</v>
      </c>
      <c r="G3435" s="1613">
        <v>154298381480</v>
      </c>
    </row>
    <row r="3436" spans="1:7" ht="17.25" customHeight="1" x14ac:dyDescent="0.2">
      <c r="A3436" s="1611">
        <v>16</v>
      </c>
      <c r="B3436" s="1611" t="s">
        <v>7203</v>
      </c>
      <c r="C3436" s="1611" t="s">
        <v>5702</v>
      </c>
      <c r="D3436" s="1612">
        <v>0</v>
      </c>
      <c r="E3436" s="1706" t="s">
        <v>7592</v>
      </c>
      <c r="F3436" s="1613">
        <v>35500000</v>
      </c>
      <c r="G3436" s="1613">
        <v>154333881480</v>
      </c>
    </row>
    <row r="3437" spans="1:7" ht="17.25" customHeight="1" x14ac:dyDescent="0.2">
      <c r="A3437" s="1611">
        <v>16</v>
      </c>
      <c r="B3437" s="1611" t="s">
        <v>7156</v>
      </c>
      <c r="C3437" s="1611" t="s">
        <v>5703</v>
      </c>
      <c r="D3437" s="1612">
        <v>0</v>
      </c>
      <c r="E3437" s="1706" t="s">
        <v>7592</v>
      </c>
      <c r="F3437" s="1613">
        <v>15013636</v>
      </c>
      <c r="G3437" s="1613">
        <v>154348895116</v>
      </c>
    </row>
    <row r="3438" spans="1:7" ht="17.25" customHeight="1" x14ac:dyDescent="0.2">
      <c r="A3438" s="1611">
        <v>16</v>
      </c>
      <c r="B3438" s="1611" t="s">
        <v>7154</v>
      </c>
      <c r="C3438" s="1611" t="s">
        <v>5704</v>
      </c>
      <c r="D3438" s="1612">
        <v>0</v>
      </c>
      <c r="E3438" s="1706" t="s">
        <v>7592</v>
      </c>
      <c r="F3438" s="1613">
        <v>50909091</v>
      </c>
      <c r="G3438" s="1613">
        <v>154399804207</v>
      </c>
    </row>
    <row r="3439" spans="1:7" ht="17.25" customHeight="1" x14ac:dyDescent="0.2">
      <c r="A3439" s="1611">
        <v>16</v>
      </c>
      <c r="B3439" s="1611" t="s">
        <v>7282</v>
      </c>
      <c r="C3439" s="1611" t="s">
        <v>5705</v>
      </c>
      <c r="D3439" s="1612">
        <v>0</v>
      </c>
      <c r="E3439" s="1706" t="s">
        <v>7592</v>
      </c>
      <c r="F3439" s="1613">
        <v>153000000</v>
      </c>
      <c r="G3439" s="1613">
        <v>154552804207</v>
      </c>
    </row>
    <row r="3440" spans="1:7" ht="17.25" customHeight="1" x14ac:dyDescent="0.2">
      <c r="A3440" s="1611">
        <v>16</v>
      </c>
      <c r="B3440" s="1611" t="s">
        <v>7282</v>
      </c>
      <c r="C3440" s="1611" t="s">
        <v>5706</v>
      </c>
      <c r="D3440" s="1612">
        <v>0</v>
      </c>
      <c r="E3440" s="1706" t="s">
        <v>7592</v>
      </c>
      <c r="F3440" s="1613">
        <v>151000000</v>
      </c>
      <c r="G3440" s="1613">
        <v>154703804207</v>
      </c>
    </row>
    <row r="3441" spans="1:7" ht="17.25" customHeight="1" x14ac:dyDescent="0.2">
      <c r="A3441" s="1611">
        <v>16</v>
      </c>
      <c r="B3441" s="1611" t="s">
        <v>7170</v>
      </c>
      <c r="C3441" s="1611" t="s">
        <v>4971</v>
      </c>
      <c r="D3441" s="1612">
        <v>0</v>
      </c>
      <c r="E3441" s="1706" t="s">
        <v>7592</v>
      </c>
      <c r="F3441" s="1613">
        <v>168000000</v>
      </c>
      <c r="G3441" s="1613">
        <v>154871804207</v>
      </c>
    </row>
    <row r="3442" spans="1:7" ht="17.25" customHeight="1" x14ac:dyDescent="0.2">
      <c r="A3442" s="1611">
        <v>16</v>
      </c>
      <c r="B3442" s="1611" t="s">
        <v>7156</v>
      </c>
      <c r="C3442" s="1611" t="s">
        <v>4455</v>
      </c>
      <c r="D3442" s="1612">
        <v>0</v>
      </c>
      <c r="E3442" s="1706" t="s">
        <v>7592</v>
      </c>
      <c r="F3442" s="1613">
        <v>15454546</v>
      </c>
      <c r="G3442" s="1613">
        <v>154887258753</v>
      </c>
    </row>
    <row r="3443" spans="1:7" ht="17.25" customHeight="1" x14ac:dyDescent="0.2">
      <c r="A3443" s="1611">
        <v>16</v>
      </c>
      <c r="B3443" s="1611" t="s">
        <v>7153</v>
      </c>
      <c r="C3443" s="1611" t="s">
        <v>5701</v>
      </c>
      <c r="D3443" s="1612">
        <v>0</v>
      </c>
      <c r="E3443" s="1612" t="s">
        <v>3297</v>
      </c>
      <c r="F3443" s="1613">
        <v>57481996</v>
      </c>
      <c r="G3443" s="1613">
        <v>154944740749</v>
      </c>
    </row>
    <row r="3444" spans="1:7" ht="17.25" customHeight="1" x14ac:dyDescent="0.2">
      <c r="A3444" s="1611">
        <v>16</v>
      </c>
      <c r="B3444" s="1611" t="s">
        <v>7251</v>
      </c>
      <c r="C3444" s="1611" t="s">
        <v>5707</v>
      </c>
      <c r="D3444" s="1612">
        <v>0</v>
      </c>
      <c r="E3444" s="1706" t="s">
        <v>7592</v>
      </c>
      <c r="F3444" s="1613">
        <v>16856000</v>
      </c>
      <c r="G3444" s="1613">
        <v>154961596749</v>
      </c>
    </row>
    <row r="3445" spans="1:7" ht="17.25" customHeight="1" x14ac:dyDescent="0.2">
      <c r="A3445" s="1611">
        <v>16</v>
      </c>
      <c r="B3445" s="1611" t="s">
        <v>7203</v>
      </c>
      <c r="C3445" s="1611" t="s">
        <v>4290</v>
      </c>
      <c r="D3445" s="1612">
        <v>0</v>
      </c>
      <c r="E3445" s="1706" t="s">
        <v>7592</v>
      </c>
      <c r="F3445" s="1613">
        <v>37272727</v>
      </c>
      <c r="G3445" s="1613">
        <v>154998869476</v>
      </c>
    </row>
    <row r="3446" spans="1:7" ht="17.25" customHeight="1" x14ac:dyDescent="0.2">
      <c r="A3446" s="1611">
        <v>16</v>
      </c>
      <c r="B3446" s="1611" t="s">
        <v>7251</v>
      </c>
      <c r="C3446" s="1611" t="s">
        <v>4290</v>
      </c>
      <c r="D3446" s="1612">
        <v>0</v>
      </c>
      <c r="E3446" s="1706" t="s">
        <v>7592</v>
      </c>
      <c r="F3446" s="1613">
        <v>35454545</v>
      </c>
      <c r="G3446" s="1613">
        <v>155034324021</v>
      </c>
    </row>
    <row r="3447" spans="1:7" ht="17.25" customHeight="1" x14ac:dyDescent="0.2">
      <c r="A3447" s="1611">
        <v>16</v>
      </c>
      <c r="B3447" s="1611" t="s">
        <v>7251</v>
      </c>
      <c r="C3447" s="1611" t="s">
        <v>5708</v>
      </c>
      <c r="D3447" s="1612">
        <v>0</v>
      </c>
      <c r="E3447" s="1706" t="s">
        <v>7592</v>
      </c>
      <c r="F3447" s="1613">
        <v>50909090</v>
      </c>
      <c r="G3447" s="1613">
        <v>155085233111</v>
      </c>
    </row>
    <row r="3448" spans="1:7" ht="17.25" customHeight="1" x14ac:dyDescent="0.2">
      <c r="A3448" s="1611">
        <v>16</v>
      </c>
      <c r="B3448" s="1611" t="s">
        <v>7154</v>
      </c>
      <c r="C3448" s="1611" t="s">
        <v>5709</v>
      </c>
      <c r="D3448" s="1612">
        <v>0</v>
      </c>
      <c r="E3448" s="1706" t="s">
        <v>7592</v>
      </c>
      <c r="F3448" s="1613">
        <v>51818181</v>
      </c>
      <c r="G3448" s="1613">
        <v>155137051292</v>
      </c>
    </row>
    <row r="3449" spans="1:7" ht="17.25" customHeight="1" x14ac:dyDescent="0.2">
      <c r="A3449" s="1611">
        <v>16</v>
      </c>
      <c r="B3449" s="1611" t="s">
        <v>7203</v>
      </c>
      <c r="C3449" s="1611" t="s">
        <v>5710</v>
      </c>
      <c r="D3449" s="1612">
        <v>0</v>
      </c>
      <c r="E3449" s="1706" t="s">
        <v>7592</v>
      </c>
      <c r="F3449" s="1613">
        <v>33000000</v>
      </c>
      <c r="G3449" s="1613">
        <v>155170051292</v>
      </c>
    </row>
    <row r="3450" spans="1:7" ht="17.25" customHeight="1" x14ac:dyDescent="0.2">
      <c r="A3450" s="1611">
        <v>16</v>
      </c>
      <c r="B3450" s="1611" t="s">
        <v>7252</v>
      </c>
      <c r="C3450" s="1611" t="s">
        <v>5711</v>
      </c>
      <c r="D3450" s="1612">
        <v>0</v>
      </c>
      <c r="E3450" s="1706" t="s">
        <v>7592</v>
      </c>
      <c r="F3450" s="1613">
        <v>60500000</v>
      </c>
      <c r="G3450" s="1613">
        <v>155230551292</v>
      </c>
    </row>
    <row r="3451" spans="1:7" ht="17.25" customHeight="1" x14ac:dyDescent="0.2">
      <c r="A3451" s="1611">
        <v>16</v>
      </c>
      <c r="B3451" s="1611" t="s">
        <v>7307</v>
      </c>
      <c r="C3451" s="1611" t="s">
        <v>5250</v>
      </c>
      <c r="D3451" s="1612">
        <v>0</v>
      </c>
      <c r="E3451" s="1706" t="s">
        <v>7592</v>
      </c>
      <c r="F3451" s="1613">
        <v>82261904</v>
      </c>
      <c r="G3451" s="1613">
        <v>155312813196</v>
      </c>
    </row>
    <row r="3452" spans="1:7" ht="17.25" customHeight="1" x14ac:dyDescent="0.2">
      <c r="A3452" s="1611">
        <v>16</v>
      </c>
      <c r="B3452" s="1611" t="s">
        <v>7307</v>
      </c>
      <c r="C3452" s="1611" t="s">
        <v>5250</v>
      </c>
      <c r="D3452" s="1612">
        <v>0</v>
      </c>
      <c r="E3452" s="1706" t="s">
        <v>7592</v>
      </c>
      <c r="F3452" s="1613">
        <v>82261904</v>
      </c>
      <c r="G3452" s="1613">
        <v>155395075100</v>
      </c>
    </row>
    <row r="3453" spans="1:7" ht="17.25" customHeight="1" x14ac:dyDescent="0.2">
      <c r="A3453" s="1611">
        <v>16</v>
      </c>
      <c r="B3453" s="1611" t="s">
        <v>7307</v>
      </c>
      <c r="C3453" s="1611" t="s">
        <v>5250</v>
      </c>
      <c r="D3453" s="1612">
        <v>0</v>
      </c>
      <c r="E3453" s="1706" t="s">
        <v>7592</v>
      </c>
      <c r="F3453" s="1613">
        <v>82261904</v>
      </c>
      <c r="G3453" s="1613">
        <v>155477337004</v>
      </c>
    </row>
    <row r="3454" spans="1:7" ht="17.25" customHeight="1" x14ac:dyDescent="0.2">
      <c r="A3454" s="1611">
        <v>16</v>
      </c>
      <c r="B3454" s="1611" t="s">
        <v>7307</v>
      </c>
      <c r="C3454" s="1611" t="s">
        <v>5250</v>
      </c>
      <c r="D3454" s="1612">
        <v>0</v>
      </c>
      <c r="E3454" s="1706" t="s">
        <v>7592</v>
      </c>
      <c r="F3454" s="1613">
        <v>82261904</v>
      </c>
      <c r="G3454" s="1613">
        <v>155559598908</v>
      </c>
    </row>
    <row r="3455" spans="1:7" ht="17.25" customHeight="1" x14ac:dyDescent="0.2">
      <c r="A3455" s="1611">
        <v>16</v>
      </c>
      <c r="B3455" s="1611" t="s">
        <v>7307</v>
      </c>
      <c r="C3455" s="1611" t="s">
        <v>5250</v>
      </c>
      <c r="D3455" s="1612">
        <v>0</v>
      </c>
      <c r="E3455" s="1706" t="s">
        <v>7592</v>
      </c>
      <c r="F3455" s="1613">
        <v>82261904</v>
      </c>
      <c r="G3455" s="1613">
        <v>155641860812</v>
      </c>
    </row>
    <row r="3456" spans="1:7" ht="17.25" customHeight="1" x14ac:dyDescent="0.2">
      <c r="A3456" s="1611">
        <v>16</v>
      </c>
      <c r="B3456" s="1611" t="s">
        <v>7307</v>
      </c>
      <c r="C3456" s="1611" t="s">
        <v>5250</v>
      </c>
      <c r="D3456" s="1612">
        <v>0</v>
      </c>
      <c r="E3456" s="1706" t="s">
        <v>7592</v>
      </c>
      <c r="F3456" s="1613">
        <v>82261904</v>
      </c>
      <c r="G3456" s="1613">
        <v>155724122716</v>
      </c>
    </row>
    <row r="3457" spans="1:7" ht="17.25" customHeight="1" x14ac:dyDescent="0.2">
      <c r="A3457" s="1611">
        <v>16</v>
      </c>
      <c r="B3457" s="1611" t="s">
        <v>7307</v>
      </c>
      <c r="C3457" s="1611" t="s">
        <v>5250</v>
      </c>
      <c r="D3457" s="1612">
        <v>0</v>
      </c>
      <c r="E3457" s="1706" t="s">
        <v>7592</v>
      </c>
      <c r="F3457" s="1613">
        <v>82261904</v>
      </c>
      <c r="G3457" s="1613">
        <v>155806384620</v>
      </c>
    </row>
    <row r="3458" spans="1:7" ht="17.25" customHeight="1" x14ac:dyDescent="0.2">
      <c r="A3458" s="1611">
        <v>16</v>
      </c>
      <c r="B3458" s="1611" t="s">
        <v>7307</v>
      </c>
      <c r="C3458" s="1611" t="s">
        <v>5250</v>
      </c>
      <c r="D3458" s="1612">
        <v>0</v>
      </c>
      <c r="E3458" s="1706" t="s">
        <v>7592</v>
      </c>
      <c r="F3458" s="1613">
        <v>82261904</v>
      </c>
      <c r="G3458" s="1613">
        <v>155888646524</v>
      </c>
    </row>
    <row r="3459" spans="1:7" ht="17.25" customHeight="1" x14ac:dyDescent="0.2">
      <c r="A3459" s="1611">
        <v>16</v>
      </c>
      <c r="B3459" s="1611" t="s">
        <v>7307</v>
      </c>
      <c r="C3459" s="1611" t="s">
        <v>5250</v>
      </c>
      <c r="D3459" s="1612">
        <v>0</v>
      </c>
      <c r="E3459" s="1706" t="s">
        <v>7592</v>
      </c>
      <c r="F3459" s="1613">
        <v>82261904</v>
      </c>
      <c r="G3459" s="1613">
        <v>155970908428</v>
      </c>
    </row>
    <row r="3460" spans="1:7" ht="17.25" customHeight="1" x14ac:dyDescent="0.2">
      <c r="A3460" s="1611">
        <v>16</v>
      </c>
      <c r="B3460" s="1611" t="s">
        <v>7307</v>
      </c>
      <c r="C3460" s="1611" t="s">
        <v>5250</v>
      </c>
      <c r="D3460" s="1612">
        <v>0</v>
      </c>
      <c r="E3460" s="1706" t="s">
        <v>7592</v>
      </c>
      <c r="F3460" s="1613">
        <v>82261904</v>
      </c>
      <c r="G3460" s="1613">
        <v>156053170332</v>
      </c>
    </row>
    <row r="3461" spans="1:7" ht="17.25" customHeight="1" x14ac:dyDescent="0.2">
      <c r="A3461" s="1611">
        <v>16</v>
      </c>
      <c r="B3461" s="1611" t="s">
        <v>7307</v>
      </c>
      <c r="C3461" s="1611" t="s">
        <v>5250</v>
      </c>
      <c r="D3461" s="1612">
        <v>0</v>
      </c>
      <c r="E3461" s="1706" t="s">
        <v>7592</v>
      </c>
      <c r="F3461" s="1613">
        <v>82261904</v>
      </c>
      <c r="G3461" s="1613">
        <v>156135432236</v>
      </c>
    </row>
    <row r="3462" spans="1:7" ht="17.25" customHeight="1" x14ac:dyDescent="0.2">
      <c r="A3462" s="1611">
        <v>16</v>
      </c>
      <c r="B3462" s="1611" t="s">
        <v>7307</v>
      </c>
      <c r="C3462" s="1611" t="s">
        <v>5250</v>
      </c>
      <c r="D3462" s="1612">
        <v>0</v>
      </c>
      <c r="E3462" s="1706" t="s">
        <v>7592</v>
      </c>
      <c r="F3462" s="1613">
        <v>82261904</v>
      </c>
      <c r="G3462" s="1613">
        <v>156217694140</v>
      </c>
    </row>
    <row r="3463" spans="1:7" ht="17.25" customHeight="1" x14ac:dyDescent="0.2">
      <c r="A3463" s="1611">
        <v>16</v>
      </c>
      <c r="B3463" s="1611" t="s">
        <v>7273</v>
      </c>
      <c r="C3463" s="1611" t="s">
        <v>5712</v>
      </c>
      <c r="D3463" s="1612">
        <v>0</v>
      </c>
      <c r="E3463" s="1706" t="s">
        <v>7592</v>
      </c>
      <c r="F3463" s="1613">
        <v>159090909</v>
      </c>
      <c r="G3463" s="1613">
        <v>156376785049</v>
      </c>
    </row>
    <row r="3464" spans="1:7" ht="17.25" customHeight="1" x14ac:dyDescent="0.2">
      <c r="A3464" s="1611">
        <v>16</v>
      </c>
      <c r="B3464" s="1611" t="s">
        <v>7252</v>
      </c>
      <c r="C3464" s="1611" t="s">
        <v>5711</v>
      </c>
      <c r="D3464" s="1612">
        <v>0</v>
      </c>
      <c r="E3464" s="1706" t="s">
        <v>7592</v>
      </c>
      <c r="F3464" s="1613">
        <v>-60500000</v>
      </c>
      <c r="G3464" s="1613">
        <v>156316285049</v>
      </c>
    </row>
    <row r="3465" spans="1:7" ht="17.25" customHeight="1" x14ac:dyDescent="0.2">
      <c r="A3465" s="1611">
        <v>16</v>
      </c>
      <c r="B3465" s="1611" t="s">
        <v>7252</v>
      </c>
      <c r="C3465" s="1611" t="s">
        <v>5713</v>
      </c>
      <c r="D3465" s="1612">
        <v>0</v>
      </c>
      <c r="E3465" s="1706" t="s">
        <v>7592</v>
      </c>
      <c r="F3465" s="1613">
        <v>60500000</v>
      </c>
      <c r="G3465" s="1613">
        <v>156376785049</v>
      </c>
    </row>
    <row r="3466" spans="1:7" ht="17.25" customHeight="1" x14ac:dyDescent="0.2">
      <c r="A3466" s="1611">
        <v>16</v>
      </c>
      <c r="B3466" s="1611" t="s">
        <v>7203</v>
      </c>
      <c r="C3466" s="1611" t="s">
        <v>5714</v>
      </c>
      <c r="D3466" s="1612">
        <v>0</v>
      </c>
      <c r="E3466" s="1706" t="s">
        <v>7592</v>
      </c>
      <c r="F3466" s="1613">
        <v>35909091</v>
      </c>
      <c r="G3466" s="1613">
        <v>156412694140</v>
      </c>
    </row>
    <row r="3467" spans="1:7" ht="17.25" customHeight="1" x14ac:dyDescent="0.2">
      <c r="A3467" s="1611">
        <v>16</v>
      </c>
      <c r="B3467" s="1611" t="s">
        <v>7203</v>
      </c>
      <c r="C3467" s="1611" t="s">
        <v>5715</v>
      </c>
      <c r="D3467" s="1612">
        <v>0</v>
      </c>
      <c r="E3467" s="1706" t="s">
        <v>7592</v>
      </c>
      <c r="F3467" s="1613">
        <v>34181818</v>
      </c>
      <c r="G3467" s="1613">
        <v>156446875958</v>
      </c>
    </row>
    <row r="3468" spans="1:7" ht="17.25" customHeight="1" x14ac:dyDescent="0.2">
      <c r="A3468" s="1611">
        <v>16</v>
      </c>
      <c r="B3468" s="1611" t="s">
        <v>7203</v>
      </c>
      <c r="C3468" s="1611" t="s">
        <v>5715</v>
      </c>
      <c r="D3468" s="1612">
        <v>0</v>
      </c>
      <c r="E3468" s="1706" t="s">
        <v>7592</v>
      </c>
      <c r="F3468" s="1613">
        <v>33272727</v>
      </c>
      <c r="G3468" s="1613">
        <v>156480148685</v>
      </c>
    </row>
    <row r="3469" spans="1:7" ht="17.25" customHeight="1" x14ac:dyDescent="0.2">
      <c r="A3469" s="1611">
        <v>16</v>
      </c>
      <c r="B3469" s="1611" t="s">
        <v>7203</v>
      </c>
      <c r="C3469" s="1611" t="s">
        <v>5715</v>
      </c>
      <c r="D3469" s="1612">
        <v>0</v>
      </c>
      <c r="E3469" s="1706" t="s">
        <v>7592</v>
      </c>
      <c r="F3469" s="1613">
        <v>33272727</v>
      </c>
      <c r="G3469" s="1613">
        <v>156513421412</v>
      </c>
    </row>
    <row r="3470" spans="1:7" ht="17.25" customHeight="1" x14ac:dyDescent="0.2">
      <c r="A3470" s="1611">
        <v>16</v>
      </c>
      <c r="B3470" s="1611" t="s">
        <v>7203</v>
      </c>
      <c r="C3470" s="1611" t="s">
        <v>5715</v>
      </c>
      <c r="D3470" s="1612">
        <v>0</v>
      </c>
      <c r="E3470" s="1706" t="s">
        <v>7592</v>
      </c>
      <c r="F3470" s="1613">
        <v>33272727</v>
      </c>
      <c r="G3470" s="1613">
        <v>156546694139</v>
      </c>
    </row>
    <row r="3471" spans="1:7" ht="17.25" customHeight="1" x14ac:dyDescent="0.2">
      <c r="A3471" s="1611">
        <v>16</v>
      </c>
      <c r="B3471" s="1611" t="s">
        <v>7203</v>
      </c>
      <c r="C3471" s="1611" t="s">
        <v>5715</v>
      </c>
      <c r="D3471" s="1612">
        <v>0</v>
      </c>
      <c r="E3471" s="1706" t="s">
        <v>7592</v>
      </c>
      <c r="F3471" s="1613">
        <v>33272727</v>
      </c>
      <c r="G3471" s="1613">
        <v>156579966866</v>
      </c>
    </row>
    <row r="3472" spans="1:7" ht="17.25" customHeight="1" x14ac:dyDescent="0.2">
      <c r="A3472" s="1611">
        <v>16</v>
      </c>
      <c r="B3472" s="1611" t="s">
        <v>7203</v>
      </c>
      <c r="C3472" s="1611" t="s">
        <v>5716</v>
      </c>
      <c r="D3472" s="1612">
        <v>0</v>
      </c>
      <c r="E3472" s="1706" t="s">
        <v>7592</v>
      </c>
      <c r="F3472" s="1613">
        <v>35000000</v>
      </c>
      <c r="G3472" s="1613">
        <v>156614966866</v>
      </c>
    </row>
    <row r="3473" spans="1:7" ht="17.25" customHeight="1" x14ac:dyDescent="0.2">
      <c r="A3473" s="1611">
        <v>16</v>
      </c>
      <c r="B3473" s="1611" t="s">
        <v>7203</v>
      </c>
      <c r="C3473" s="1611" t="s">
        <v>5717</v>
      </c>
      <c r="D3473" s="1612">
        <v>0</v>
      </c>
      <c r="E3473" s="1706" t="s">
        <v>7592</v>
      </c>
      <c r="F3473" s="1613">
        <v>36818181</v>
      </c>
      <c r="G3473" s="1613">
        <v>156651785047</v>
      </c>
    </row>
    <row r="3474" spans="1:7" ht="17.25" customHeight="1" x14ac:dyDescent="0.2">
      <c r="A3474" s="1611">
        <v>16</v>
      </c>
      <c r="B3474" s="1611" t="s">
        <v>7154</v>
      </c>
      <c r="C3474" s="1611" t="s">
        <v>5718</v>
      </c>
      <c r="D3474" s="1612">
        <v>0</v>
      </c>
      <c r="E3474" s="1706" t="s">
        <v>7592</v>
      </c>
      <c r="F3474" s="1613">
        <v>50909091</v>
      </c>
      <c r="G3474" s="1613">
        <v>156702694138</v>
      </c>
    </row>
    <row r="3475" spans="1:7" ht="17.25" customHeight="1" x14ac:dyDescent="0.2">
      <c r="A3475" s="1611">
        <v>16</v>
      </c>
      <c r="B3475" s="1611" t="s">
        <v>7154</v>
      </c>
      <c r="C3475" s="1611" t="s">
        <v>5719</v>
      </c>
      <c r="D3475" s="1612">
        <v>0</v>
      </c>
      <c r="E3475" s="1706" t="s">
        <v>7592</v>
      </c>
      <c r="F3475" s="1613">
        <v>50909091</v>
      </c>
      <c r="G3475" s="1613">
        <v>156753603229</v>
      </c>
    </row>
    <row r="3476" spans="1:7" ht="17.25" customHeight="1" x14ac:dyDescent="0.2">
      <c r="A3476" s="1611">
        <v>16</v>
      </c>
      <c r="B3476" s="1611" t="s">
        <v>7251</v>
      </c>
      <c r="C3476" s="1611" t="s">
        <v>5720</v>
      </c>
      <c r="D3476" s="1612">
        <v>0</v>
      </c>
      <c r="E3476" s="1706" t="s">
        <v>7592</v>
      </c>
      <c r="F3476" s="1613">
        <v>17765000</v>
      </c>
      <c r="G3476" s="1613">
        <v>156771368229</v>
      </c>
    </row>
    <row r="3477" spans="1:7" ht="17.25" customHeight="1" x14ac:dyDescent="0.2">
      <c r="A3477" s="1611">
        <v>16</v>
      </c>
      <c r="B3477" s="1611" t="s">
        <v>7251</v>
      </c>
      <c r="C3477" s="1611" t="s">
        <v>5720</v>
      </c>
      <c r="D3477" s="1612">
        <v>0</v>
      </c>
      <c r="E3477" s="1706" t="s">
        <v>7592</v>
      </c>
      <c r="F3477" s="1613">
        <v>17765000</v>
      </c>
      <c r="G3477" s="1613">
        <v>156789133229</v>
      </c>
    </row>
    <row r="3478" spans="1:7" ht="17.25" customHeight="1" x14ac:dyDescent="0.2">
      <c r="A3478" s="1611">
        <v>16</v>
      </c>
      <c r="B3478" s="1611" t="s">
        <v>7203</v>
      </c>
      <c r="C3478" s="1611" t="s">
        <v>5721</v>
      </c>
      <c r="D3478" s="1612">
        <v>0</v>
      </c>
      <c r="E3478" s="1706" t="s">
        <v>7592</v>
      </c>
      <c r="F3478" s="1613">
        <v>35000000</v>
      </c>
      <c r="G3478" s="1613">
        <v>156824133229</v>
      </c>
    </row>
    <row r="3479" spans="1:7" ht="17.25" customHeight="1" x14ac:dyDescent="0.2">
      <c r="A3479" s="1611">
        <v>16</v>
      </c>
      <c r="B3479" s="1611" t="s">
        <v>7176</v>
      </c>
      <c r="C3479" s="1611" t="s">
        <v>5722</v>
      </c>
      <c r="D3479" s="1612">
        <v>0</v>
      </c>
      <c r="E3479" s="1706" t="s">
        <v>7592</v>
      </c>
      <c r="F3479" s="1613">
        <v>43500000</v>
      </c>
      <c r="G3479" s="1613">
        <v>156867633229</v>
      </c>
    </row>
    <row r="3480" spans="1:7" ht="17.25" customHeight="1" x14ac:dyDescent="0.2">
      <c r="A3480" s="1611">
        <v>16</v>
      </c>
      <c r="B3480" s="1611" t="s">
        <v>2954</v>
      </c>
      <c r="C3480" s="1611" t="s">
        <v>5723</v>
      </c>
      <c r="D3480" s="1612">
        <v>0</v>
      </c>
      <c r="E3480" s="1706" t="s">
        <v>7592</v>
      </c>
      <c r="F3480" s="1613">
        <v>13000000</v>
      </c>
      <c r="G3480" s="1613">
        <v>156880633229</v>
      </c>
    </row>
    <row r="3481" spans="1:7" ht="17.25" customHeight="1" x14ac:dyDescent="0.2">
      <c r="A3481" s="1611">
        <v>16</v>
      </c>
      <c r="B3481" s="1611" t="s">
        <v>7203</v>
      </c>
      <c r="C3481" s="1611" t="s">
        <v>5724</v>
      </c>
      <c r="D3481" s="1612">
        <v>0</v>
      </c>
      <c r="E3481" s="1706" t="s">
        <v>7592</v>
      </c>
      <c r="F3481" s="1613">
        <v>34636364</v>
      </c>
      <c r="G3481" s="1613">
        <v>156915269593</v>
      </c>
    </row>
    <row r="3482" spans="1:7" ht="17.25" customHeight="1" x14ac:dyDescent="0.2">
      <c r="A3482" s="1611">
        <v>16</v>
      </c>
      <c r="B3482" s="1611" t="s">
        <v>7154</v>
      </c>
      <c r="C3482" s="1611" t="s">
        <v>5725</v>
      </c>
      <c r="D3482" s="1612">
        <v>0</v>
      </c>
      <c r="E3482" s="1706" t="s">
        <v>7592</v>
      </c>
      <c r="F3482" s="1613">
        <v>49000000</v>
      </c>
      <c r="G3482" s="1613">
        <v>156964269593</v>
      </c>
    </row>
    <row r="3483" spans="1:7" ht="17.25" customHeight="1" x14ac:dyDescent="0.2">
      <c r="A3483" s="1611">
        <v>16</v>
      </c>
      <c r="B3483" s="1611" t="s">
        <v>7186</v>
      </c>
      <c r="C3483" s="1611" t="s">
        <v>5726</v>
      </c>
      <c r="D3483" s="1612">
        <v>0</v>
      </c>
      <c r="E3483" s="1706" t="s">
        <v>7592</v>
      </c>
      <c r="F3483" s="1613">
        <v>52000000</v>
      </c>
      <c r="G3483" s="1613">
        <v>157016269593</v>
      </c>
    </row>
    <row r="3484" spans="1:7" ht="17.25" customHeight="1" x14ac:dyDescent="0.2">
      <c r="A3484" s="1611">
        <v>16</v>
      </c>
      <c r="B3484" s="1611" t="s">
        <v>7293</v>
      </c>
      <c r="C3484" s="1611" t="s">
        <v>5727</v>
      </c>
      <c r="D3484" s="1612">
        <v>0</v>
      </c>
      <c r="E3484" s="1706" t="s">
        <v>7592</v>
      </c>
      <c r="F3484" s="1613">
        <v>183000000</v>
      </c>
      <c r="G3484" s="1613">
        <v>157199269593</v>
      </c>
    </row>
    <row r="3485" spans="1:7" ht="17.25" customHeight="1" x14ac:dyDescent="0.2">
      <c r="A3485" s="1611">
        <v>16</v>
      </c>
      <c r="B3485" s="1611" t="s">
        <v>7176</v>
      </c>
      <c r="C3485" s="1611" t="s">
        <v>5728</v>
      </c>
      <c r="D3485" s="1612">
        <v>0</v>
      </c>
      <c r="E3485" s="1706" t="s">
        <v>7592</v>
      </c>
      <c r="F3485" s="1613">
        <v>38900000</v>
      </c>
      <c r="G3485" s="1613">
        <v>157238169593</v>
      </c>
    </row>
    <row r="3486" spans="1:7" ht="17.25" customHeight="1" x14ac:dyDescent="0.2">
      <c r="A3486" s="1611">
        <v>16</v>
      </c>
      <c r="B3486" s="1611" t="s">
        <v>7203</v>
      </c>
      <c r="C3486" s="1611" t="s">
        <v>5729</v>
      </c>
      <c r="D3486" s="1612">
        <v>0</v>
      </c>
      <c r="E3486" s="1706" t="s">
        <v>7592</v>
      </c>
      <c r="F3486" s="1613">
        <v>33800000</v>
      </c>
      <c r="G3486" s="1613">
        <v>157271969593</v>
      </c>
    </row>
    <row r="3487" spans="1:7" ht="17.25" customHeight="1" x14ac:dyDescent="0.2">
      <c r="A3487" s="1611">
        <v>16</v>
      </c>
      <c r="B3487" s="1611" t="s">
        <v>7156</v>
      </c>
      <c r="C3487" s="1611" t="s">
        <v>5730</v>
      </c>
      <c r="D3487" s="1612">
        <v>0</v>
      </c>
      <c r="E3487" s="1706" t="s">
        <v>7592</v>
      </c>
      <c r="F3487" s="1613">
        <v>14509000</v>
      </c>
      <c r="G3487" s="1613">
        <v>157286478593</v>
      </c>
    </row>
    <row r="3488" spans="1:7" ht="17.25" customHeight="1" x14ac:dyDescent="0.2">
      <c r="A3488" s="1611">
        <v>16</v>
      </c>
      <c r="B3488" s="1611" t="s">
        <v>7203</v>
      </c>
      <c r="C3488" s="1611" t="s">
        <v>5731</v>
      </c>
      <c r="D3488" s="1612">
        <v>0</v>
      </c>
      <c r="E3488" s="1706" t="s">
        <v>7592</v>
      </c>
      <c r="F3488" s="1613">
        <v>39181819</v>
      </c>
      <c r="G3488" s="1613">
        <v>157325660412</v>
      </c>
    </row>
    <row r="3489" spans="1:7" ht="17.25" customHeight="1" x14ac:dyDescent="0.2">
      <c r="A3489" s="1611">
        <v>16</v>
      </c>
      <c r="B3489" s="1611" t="s">
        <v>7251</v>
      </c>
      <c r="C3489" s="1611" t="s">
        <v>3438</v>
      </c>
      <c r="D3489" s="1612">
        <v>0</v>
      </c>
      <c r="E3489" s="1706" t="s">
        <v>7592</v>
      </c>
      <c r="F3489" s="1613">
        <v>30465000</v>
      </c>
      <c r="G3489" s="1613">
        <v>157356125412</v>
      </c>
    </row>
    <row r="3490" spans="1:7" ht="17.25" customHeight="1" x14ac:dyDescent="0.2">
      <c r="A3490" s="1611">
        <v>16</v>
      </c>
      <c r="B3490" s="1611" t="s">
        <v>7251</v>
      </c>
      <c r="C3490" s="1611" t="s">
        <v>3438</v>
      </c>
      <c r="D3490" s="1612">
        <v>0</v>
      </c>
      <c r="E3490" s="1706" t="s">
        <v>7592</v>
      </c>
      <c r="F3490" s="1613">
        <v>30465000</v>
      </c>
      <c r="G3490" s="1613">
        <v>157386590412</v>
      </c>
    </row>
    <row r="3491" spans="1:7" ht="17.25" customHeight="1" x14ac:dyDescent="0.2">
      <c r="A3491" s="1611">
        <v>16</v>
      </c>
      <c r="B3491" s="1611" t="s">
        <v>7251</v>
      </c>
      <c r="C3491" s="1611" t="s">
        <v>3438</v>
      </c>
      <c r="D3491" s="1612">
        <v>0</v>
      </c>
      <c r="E3491" s="1706" t="s">
        <v>7592</v>
      </c>
      <c r="F3491" s="1613">
        <v>30465000</v>
      </c>
      <c r="G3491" s="1613">
        <v>157417055412</v>
      </c>
    </row>
    <row r="3492" spans="1:7" ht="17.25" customHeight="1" x14ac:dyDescent="0.2">
      <c r="A3492" s="1611">
        <v>16</v>
      </c>
      <c r="B3492" s="1611" t="s">
        <v>7251</v>
      </c>
      <c r="C3492" s="1611" t="s">
        <v>3438</v>
      </c>
      <c r="D3492" s="1612">
        <v>0</v>
      </c>
      <c r="E3492" s="1706" t="s">
        <v>7592</v>
      </c>
      <c r="F3492" s="1613">
        <v>30465000</v>
      </c>
      <c r="G3492" s="1613">
        <v>157447520412</v>
      </c>
    </row>
    <row r="3493" spans="1:7" ht="17.25" customHeight="1" x14ac:dyDescent="0.2">
      <c r="A3493" s="1611">
        <v>16</v>
      </c>
      <c r="B3493" s="1611" t="s">
        <v>7251</v>
      </c>
      <c r="C3493" s="1611" t="s">
        <v>3438</v>
      </c>
      <c r="D3493" s="1612">
        <v>0</v>
      </c>
      <c r="E3493" s="1706" t="s">
        <v>7592</v>
      </c>
      <c r="F3493" s="1613">
        <v>30465000</v>
      </c>
      <c r="G3493" s="1613">
        <v>157477985412</v>
      </c>
    </row>
    <row r="3494" spans="1:7" ht="17.25" customHeight="1" x14ac:dyDescent="0.2">
      <c r="A3494" s="1611">
        <v>16</v>
      </c>
      <c r="B3494" s="1611" t="s">
        <v>7251</v>
      </c>
      <c r="C3494" s="1611" t="s">
        <v>3438</v>
      </c>
      <c r="D3494" s="1612">
        <v>0</v>
      </c>
      <c r="E3494" s="1706" t="s">
        <v>7592</v>
      </c>
      <c r="F3494" s="1613">
        <v>30465000</v>
      </c>
      <c r="G3494" s="1613">
        <v>157508450412</v>
      </c>
    </row>
    <row r="3495" spans="1:7" ht="17.25" customHeight="1" x14ac:dyDescent="0.2">
      <c r="A3495" s="1611">
        <v>16</v>
      </c>
      <c r="B3495" s="1611" t="s">
        <v>7251</v>
      </c>
      <c r="C3495" s="1611" t="s">
        <v>3438</v>
      </c>
      <c r="D3495" s="1612">
        <v>0</v>
      </c>
      <c r="E3495" s="1706" t="s">
        <v>7592</v>
      </c>
      <c r="F3495" s="1613">
        <v>30465000</v>
      </c>
      <c r="G3495" s="1613">
        <v>157538915412</v>
      </c>
    </row>
    <row r="3496" spans="1:7" ht="17.25" customHeight="1" x14ac:dyDescent="0.2">
      <c r="A3496" s="1611">
        <v>16</v>
      </c>
      <c r="B3496" s="1611" t="s">
        <v>7251</v>
      </c>
      <c r="C3496" s="1611" t="s">
        <v>3438</v>
      </c>
      <c r="D3496" s="1612">
        <v>0</v>
      </c>
      <c r="E3496" s="1706" t="s">
        <v>7592</v>
      </c>
      <c r="F3496" s="1613">
        <v>30465000</v>
      </c>
      <c r="G3496" s="1613">
        <v>157569380412</v>
      </c>
    </row>
    <row r="3497" spans="1:7" ht="17.25" customHeight="1" x14ac:dyDescent="0.2">
      <c r="A3497" s="1611">
        <v>16</v>
      </c>
      <c r="B3497" s="1611" t="s">
        <v>7251</v>
      </c>
      <c r="C3497" s="1611" t="s">
        <v>3438</v>
      </c>
      <c r="D3497" s="1612">
        <v>0</v>
      </c>
      <c r="E3497" s="1706" t="s">
        <v>7592</v>
      </c>
      <c r="F3497" s="1613">
        <v>30465000</v>
      </c>
      <c r="G3497" s="1613">
        <v>157599845412</v>
      </c>
    </row>
    <row r="3498" spans="1:7" ht="17.25" customHeight="1" x14ac:dyDescent="0.2">
      <c r="A3498" s="1611">
        <v>16</v>
      </c>
      <c r="B3498" s="1611" t="s">
        <v>7251</v>
      </c>
      <c r="C3498" s="1611" t="s">
        <v>3438</v>
      </c>
      <c r="D3498" s="1612">
        <v>0</v>
      </c>
      <c r="E3498" s="1706" t="s">
        <v>7592</v>
      </c>
      <c r="F3498" s="1613">
        <v>30465000</v>
      </c>
      <c r="G3498" s="1613">
        <v>157630310412</v>
      </c>
    </row>
    <row r="3499" spans="1:7" ht="17.25" customHeight="1" x14ac:dyDescent="0.2">
      <c r="A3499" s="1611">
        <v>16</v>
      </c>
      <c r="B3499" s="1611" t="s">
        <v>7251</v>
      </c>
      <c r="C3499" s="1611" t="s">
        <v>3438</v>
      </c>
      <c r="D3499" s="1612">
        <v>0</v>
      </c>
      <c r="E3499" s="1706" t="s">
        <v>7592</v>
      </c>
      <c r="F3499" s="1613">
        <v>30465000</v>
      </c>
      <c r="G3499" s="1613">
        <v>157660775412</v>
      </c>
    </row>
    <row r="3500" spans="1:7" ht="17.25" customHeight="1" x14ac:dyDescent="0.2">
      <c r="A3500" s="1611">
        <v>16</v>
      </c>
      <c r="B3500" s="1611" t="s">
        <v>7251</v>
      </c>
      <c r="C3500" s="1611" t="s">
        <v>3438</v>
      </c>
      <c r="D3500" s="1612">
        <v>0</v>
      </c>
      <c r="E3500" s="1706" t="s">
        <v>7592</v>
      </c>
      <c r="F3500" s="1613">
        <v>30465000</v>
      </c>
      <c r="G3500" s="1613">
        <v>157691240412</v>
      </c>
    </row>
    <row r="3501" spans="1:7" ht="17.25" customHeight="1" x14ac:dyDescent="0.2">
      <c r="A3501" s="1611">
        <v>16</v>
      </c>
      <c r="B3501" s="1611" t="s">
        <v>7251</v>
      </c>
      <c r="C3501" s="1611" t="s">
        <v>3438</v>
      </c>
      <c r="D3501" s="1612">
        <v>0</v>
      </c>
      <c r="E3501" s="1706" t="s">
        <v>7592</v>
      </c>
      <c r="F3501" s="1613">
        <v>30465000</v>
      </c>
      <c r="G3501" s="1613">
        <v>157721705412</v>
      </c>
    </row>
    <row r="3502" spans="1:7" ht="17.25" customHeight="1" x14ac:dyDescent="0.2">
      <c r="A3502" s="1611">
        <v>16</v>
      </c>
      <c r="B3502" s="1611" t="s">
        <v>7251</v>
      </c>
      <c r="C3502" s="1611" t="s">
        <v>3438</v>
      </c>
      <c r="D3502" s="1612">
        <v>0</v>
      </c>
      <c r="E3502" s="1706" t="s">
        <v>7592</v>
      </c>
      <c r="F3502" s="1613">
        <v>30465000</v>
      </c>
      <c r="G3502" s="1613">
        <v>157752170412</v>
      </c>
    </row>
    <row r="3503" spans="1:7" ht="17.25" customHeight="1" x14ac:dyDescent="0.2">
      <c r="A3503" s="1611">
        <v>16</v>
      </c>
      <c r="B3503" s="1611" t="s">
        <v>7251</v>
      </c>
      <c r="C3503" s="1611" t="s">
        <v>3438</v>
      </c>
      <c r="D3503" s="1612">
        <v>0</v>
      </c>
      <c r="E3503" s="1706" t="s">
        <v>7592</v>
      </c>
      <c r="F3503" s="1613">
        <v>30465000</v>
      </c>
      <c r="G3503" s="1613">
        <v>157782635412</v>
      </c>
    </row>
    <row r="3504" spans="1:7" ht="17.25" customHeight="1" x14ac:dyDescent="0.2">
      <c r="A3504" s="1611">
        <v>16</v>
      </c>
      <c r="B3504" s="1611" t="s">
        <v>7251</v>
      </c>
      <c r="C3504" s="1611" t="s">
        <v>3438</v>
      </c>
      <c r="D3504" s="1612">
        <v>0</v>
      </c>
      <c r="E3504" s="1706" t="s">
        <v>7592</v>
      </c>
      <c r="F3504" s="1613">
        <v>30465000</v>
      </c>
      <c r="G3504" s="1613">
        <v>157813100412</v>
      </c>
    </row>
    <row r="3505" spans="1:7" ht="17.25" customHeight="1" x14ac:dyDescent="0.2">
      <c r="A3505" s="1611">
        <v>16</v>
      </c>
      <c r="B3505" s="1611" t="s">
        <v>7251</v>
      </c>
      <c r="C3505" s="1611" t="s">
        <v>3438</v>
      </c>
      <c r="D3505" s="1612">
        <v>0</v>
      </c>
      <c r="E3505" s="1706" t="s">
        <v>7592</v>
      </c>
      <c r="F3505" s="1613">
        <v>30465000</v>
      </c>
      <c r="G3505" s="1613">
        <v>157843565412</v>
      </c>
    </row>
    <row r="3506" spans="1:7" ht="17.25" customHeight="1" x14ac:dyDescent="0.2">
      <c r="A3506" s="1611">
        <v>16</v>
      </c>
      <c r="B3506" s="1611" t="s">
        <v>7251</v>
      </c>
      <c r="C3506" s="1611" t="s">
        <v>3438</v>
      </c>
      <c r="D3506" s="1612">
        <v>0</v>
      </c>
      <c r="E3506" s="1706" t="s">
        <v>7592</v>
      </c>
      <c r="F3506" s="1613">
        <v>30465000</v>
      </c>
      <c r="G3506" s="1613">
        <v>157874030412</v>
      </c>
    </row>
    <row r="3507" spans="1:7" ht="17.25" customHeight="1" x14ac:dyDescent="0.2">
      <c r="A3507" s="1611">
        <v>16</v>
      </c>
      <c r="B3507" s="1611" t="s">
        <v>7251</v>
      </c>
      <c r="C3507" s="1611" t="s">
        <v>3438</v>
      </c>
      <c r="D3507" s="1612">
        <v>0</v>
      </c>
      <c r="E3507" s="1706" t="s">
        <v>7592</v>
      </c>
      <c r="F3507" s="1613">
        <v>30465000</v>
      </c>
      <c r="G3507" s="1613">
        <v>157904495412</v>
      </c>
    </row>
    <row r="3508" spans="1:7" ht="17.25" customHeight="1" x14ac:dyDescent="0.2">
      <c r="A3508" s="1611">
        <v>16</v>
      </c>
      <c r="B3508" s="1611" t="s">
        <v>7251</v>
      </c>
      <c r="C3508" s="1611" t="s">
        <v>3438</v>
      </c>
      <c r="D3508" s="1612">
        <v>0</v>
      </c>
      <c r="E3508" s="1706" t="s">
        <v>7592</v>
      </c>
      <c r="F3508" s="1613">
        <v>30465000</v>
      </c>
      <c r="G3508" s="1613">
        <v>157934960412</v>
      </c>
    </row>
    <row r="3509" spans="1:7" ht="17.25" customHeight="1" x14ac:dyDescent="0.2">
      <c r="A3509" s="1611">
        <v>16</v>
      </c>
      <c r="B3509" s="1611" t="s">
        <v>7251</v>
      </c>
      <c r="C3509" s="1611" t="s">
        <v>3438</v>
      </c>
      <c r="D3509" s="1612">
        <v>0</v>
      </c>
      <c r="E3509" s="1706" t="s">
        <v>7592</v>
      </c>
      <c r="F3509" s="1613">
        <v>30465000</v>
      </c>
      <c r="G3509" s="1613">
        <v>157965425412</v>
      </c>
    </row>
    <row r="3510" spans="1:7" ht="17.25" customHeight="1" x14ac:dyDescent="0.2">
      <c r="A3510" s="1611">
        <v>16</v>
      </c>
      <c r="B3510" s="1611" t="s">
        <v>7251</v>
      </c>
      <c r="C3510" s="1611" t="s">
        <v>3438</v>
      </c>
      <c r="D3510" s="1612">
        <v>0</v>
      </c>
      <c r="E3510" s="1706" t="s">
        <v>7592</v>
      </c>
      <c r="F3510" s="1613">
        <v>30465000</v>
      </c>
      <c r="G3510" s="1613">
        <v>157995890412</v>
      </c>
    </row>
    <row r="3511" spans="1:7" ht="17.25" customHeight="1" x14ac:dyDescent="0.2">
      <c r="A3511" s="1611">
        <v>16</v>
      </c>
      <c r="B3511" s="1611" t="s">
        <v>7251</v>
      </c>
      <c r="C3511" s="1611" t="s">
        <v>3438</v>
      </c>
      <c r="D3511" s="1612">
        <v>0</v>
      </c>
      <c r="E3511" s="1706" t="s">
        <v>7592</v>
      </c>
      <c r="F3511" s="1613">
        <v>30465000</v>
      </c>
      <c r="G3511" s="1613">
        <v>158026355412</v>
      </c>
    </row>
    <row r="3512" spans="1:7" ht="17.25" customHeight="1" x14ac:dyDescent="0.2">
      <c r="A3512" s="1611">
        <v>16</v>
      </c>
      <c r="B3512" s="1611" t="s">
        <v>7251</v>
      </c>
      <c r="C3512" s="1611" t="s">
        <v>3438</v>
      </c>
      <c r="D3512" s="1612">
        <v>0</v>
      </c>
      <c r="E3512" s="1706" t="s">
        <v>7592</v>
      </c>
      <c r="F3512" s="1613">
        <v>30465000</v>
      </c>
      <c r="G3512" s="1613">
        <v>158056820412</v>
      </c>
    </row>
    <row r="3513" spans="1:7" ht="17.25" customHeight="1" x14ac:dyDescent="0.2">
      <c r="A3513" s="1611">
        <v>16</v>
      </c>
      <c r="B3513" s="1611" t="s">
        <v>7251</v>
      </c>
      <c r="C3513" s="1611" t="s">
        <v>3438</v>
      </c>
      <c r="D3513" s="1612">
        <v>0</v>
      </c>
      <c r="E3513" s="1706" t="s">
        <v>7592</v>
      </c>
      <c r="F3513" s="1613">
        <v>30465000</v>
      </c>
      <c r="G3513" s="1613">
        <v>158087285412</v>
      </c>
    </row>
    <row r="3514" spans="1:7" ht="17.25" customHeight="1" x14ac:dyDescent="0.2">
      <c r="A3514" s="1611">
        <v>16</v>
      </c>
      <c r="B3514" s="1611" t="s">
        <v>7251</v>
      </c>
      <c r="C3514" s="1611" t="s">
        <v>3438</v>
      </c>
      <c r="D3514" s="1612">
        <v>0</v>
      </c>
      <c r="E3514" s="1706" t="s">
        <v>7592</v>
      </c>
      <c r="F3514" s="1613">
        <v>30465000</v>
      </c>
      <c r="G3514" s="1613">
        <v>158117750412</v>
      </c>
    </row>
    <row r="3515" spans="1:7" ht="17.25" customHeight="1" x14ac:dyDescent="0.2">
      <c r="A3515" s="1611">
        <v>16</v>
      </c>
      <c r="B3515" s="1611" t="s">
        <v>7251</v>
      </c>
      <c r="C3515" s="1611" t="s">
        <v>3438</v>
      </c>
      <c r="D3515" s="1612">
        <v>0</v>
      </c>
      <c r="E3515" s="1706" t="s">
        <v>7592</v>
      </c>
      <c r="F3515" s="1613">
        <v>30465000</v>
      </c>
      <c r="G3515" s="1613">
        <v>158148215412</v>
      </c>
    </row>
    <row r="3516" spans="1:7" ht="17.25" customHeight="1" x14ac:dyDescent="0.2">
      <c r="A3516" s="1611">
        <v>16</v>
      </c>
      <c r="B3516" s="1611" t="s">
        <v>7251</v>
      </c>
      <c r="C3516" s="1611" t="s">
        <v>3438</v>
      </c>
      <c r="D3516" s="1612">
        <v>0</v>
      </c>
      <c r="E3516" s="1706" t="s">
        <v>7592</v>
      </c>
      <c r="F3516" s="1613">
        <v>30465000</v>
      </c>
      <c r="G3516" s="1613">
        <v>158178680412</v>
      </c>
    </row>
    <row r="3517" spans="1:7" ht="17.25" customHeight="1" x14ac:dyDescent="0.2">
      <c r="A3517" s="1611">
        <v>16</v>
      </c>
      <c r="B3517" s="1611" t="s">
        <v>7251</v>
      </c>
      <c r="C3517" s="1611" t="s">
        <v>3438</v>
      </c>
      <c r="D3517" s="1612">
        <v>0</v>
      </c>
      <c r="E3517" s="1706" t="s">
        <v>7592</v>
      </c>
      <c r="F3517" s="1613">
        <v>30465000</v>
      </c>
      <c r="G3517" s="1613">
        <v>158209145412</v>
      </c>
    </row>
    <row r="3518" spans="1:7" ht="17.25" customHeight="1" x14ac:dyDescent="0.2">
      <c r="A3518" s="1611">
        <v>16</v>
      </c>
      <c r="B3518" s="1611" t="s">
        <v>7251</v>
      </c>
      <c r="C3518" s="1611" t="s">
        <v>3438</v>
      </c>
      <c r="D3518" s="1612">
        <v>0</v>
      </c>
      <c r="E3518" s="1706" t="s">
        <v>7592</v>
      </c>
      <c r="F3518" s="1613">
        <v>30465000</v>
      </c>
      <c r="G3518" s="1613">
        <v>158239610412</v>
      </c>
    </row>
    <row r="3519" spans="1:7" ht="17.25" customHeight="1" x14ac:dyDescent="0.2">
      <c r="A3519" s="1611">
        <v>16</v>
      </c>
      <c r="B3519" s="1611" t="s">
        <v>7251</v>
      </c>
      <c r="C3519" s="1611" t="s">
        <v>3438</v>
      </c>
      <c r="D3519" s="1612">
        <v>0</v>
      </c>
      <c r="E3519" s="1706" t="s">
        <v>7592</v>
      </c>
      <c r="F3519" s="1613">
        <v>30465000</v>
      </c>
      <c r="G3519" s="1613">
        <v>158270075412</v>
      </c>
    </row>
    <row r="3520" spans="1:7" ht="17.25" customHeight="1" x14ac:dyDescent="0.2">
      <c r="A3520" s="1611">
        <v>16</v>
      </c>
      <c r="B3520" s="1611" t="s">
        <v>7251</v>
      </c>
      <c r="C3520" s="1611" t="s">
        <v>3438</v>
      </c>
      <c r="D3520" s="1612">
        <v>0</v>
      </c>
      <c r="E3520" s="1706" t="s">
        <v>7592</v>
      </c>
      <c r="F3520" s="1613">
        <v>30465000</v>
      </c>
      <c r="G3520" s="1613">
        <v>158300540412</v>
      </c>
    </row>
    <row r="3521" spans="1:7" ht="17.25" customHeight="1" x14ac:dyDescent="0.2">
      <c r="A3521" s="1611">
        <v>16</v>
      </c>
      <c r="B3521" s="1611" t="s">
        <v>7251</v>
      </c>
      <c r="C3521" s="1611" t="s">
        <v>3438</v>
      </c>
      <c r="D3521" s="1612">
        <v>0</v>
      </c>
      <c r="E3521" s="1706" t="s">
        <v>7592</v>
      </c>
      <c r="F3521" s="1613">
        <v>30465000</v>
      </c>
      <c r="G3521" s="1613">
        <v>158331005412</v>
      </c>
    </row>
    <row r="3522" spans="1:7" ht="17.25" customHeight="1" x14ac:dyDescent="0.2">
      <c r="A3522" s="1611">
        <v>16</v>
      </c>
      <c r="B3522" s="1611" t="s">
        <v>7251</v>
      </c>
      <c r="C3522" s="1611" t="s">
        <v>3438</v>
      </c>
      <c r="D3522" s="1612">
        <v>0</v>
      </c>
      <c r="E3522" s="1706" t="s">
        <v>7592</v>
      </c>
      <c r="F3522" s="1613">
        <v>30465000</v>
      </c>
      <c r="G3522" s="1613">
        <v>158361470412</v>
      </c>
    </row>
    <row r="3523" spans="1:7" ht="17.25" customHeight="1" x14ac:dyDescent="0.2">
      <c r="A3523" s="1611">
        <v>16</v>
      </c>
      <c r="B3523" s="1611" t="s">
        <v>7251</v>
      </c>
      <c r="C3523" s="1611" t="s">
        <v>3438</v>
      </c>
      <c r="D3523" s="1612">
        <v>0</v>
      </c>
      <c r="E3523" s="1706" t="s">
        <v>7592</v>
      </c>
      <c r="F3523" s="1613">
        <v>30465000</v>
      </c>
      <c r="G3523" s="1613">
        <v>158391935412</v>
      </c>
    </row>
    <row r="3524" spans="1:7" ht="17.25" customHeight="1" x14ac:dyDescent="0.2">
      <c r="A3524" s="1611">
        <v>16</v>
      </c>
      <c r="B3524" s="1611" t="s">
        <v>7251</v>
      </c>
      <c r="C3524" s="1611" t="s">
        <v>3438</v>
      </c>
      <c r="D3524" s="1612">
        <v>0</v>
      </c>
      <c r="E3524" s="1706" t="s">
        <v>7592</v>
      </c>
      <c r="F3524" s="1613">
        <v>30465000</v>
      </c>
      <c r="G3524" s="1613">
        <v>158422400412</v>
      </c>
    </row>
    <row r="3525" spans="1:7" ht="17.25" customHeight="1" x14ac:dyDescent="0.2">
      <c r="A3525" s="1611">
        <v>16</v>
      </c>
      <c r="B3525" s="1611" t="s">
        <v>7251</v>
      </c>
      <c r="C3525" s="1611" t="s">
        <v>3438</v>
      </c>
      <c r="D3525" s="1612">
        <v>0</v>
      </c>
      <c r="E3525" s="1706" t="s">
        <v>7592</v>
      </c>
      <c r="F3525" s="1613">
        <v>30465000</v>
      </c>
      <c r="G3525" s="1613">
        <v>158452865412</v>
      </c>
    </row>
    <row r="3526" spans="1:7" ht="17.25" customHeight="1" x14ac:dyDescent="0.2">
      <c r="A3526" s="1611">
        <v>16</v>
      </c>
      <c r="B3526" s="1611" t="s">
        <v>7251</v>
      </c>
      <c r="C3526" s="1611" t="s">
        <v>3438</v>
      </c>
      <c r="D3526" s="1612">
        <v>0</v>
      </c>
      <c r="E3526" s="1706" t="s">
        <v>7592</v>
      </c>
      <c r="F3526" s="1613">
        <v>30465000</v>
      </c>
      <c r="G3526" s="1613">
        <v>158483330412</v>
      </c>
    </row>
    <row r="3527" spans="1:7" ht="17.25" customHeight="1" x14ac:dyDescent="0.2">
      <c r="A3527" s="1611">
        <v>16</v>
      </c>
      <c r="B3527" s="1611" t="s">
        <v>7251</v>
      </c>
      <c r="C3527" s="1611" t="s">
        <v>3438</v>
      </c>
      <c r="D3527" s="1612">
        <v>0</v>
      </c>
      <c r="E3527" s="1706" t="s">
        <v>7592</v>
      </c>
      <c r="F3527" s="1613">
        <v>30465000</v>
      </c>
      <c r="G3527" s="1613">
        <v>158513795412</v>
      </c>
    </row>
    <row r="3528" spans="1:7" ht="17.25" customHeight="1" x14ac:dyDescent="0.2">
      <c r="A3528" s="1611">
        <v>16</v>
      </c>
      <c r="B3528" s="1611" t="s">
        <v>7251</v>
      </c>
      <c r="C3528" s="1611" t="s">
        <v>3438</v>
      </c>
      <c r="D3528" s="1612">
        <v>0</v>
      </c>
      <c r="E3528" s="1706" t="s">
        <v>7592</v>
      </c>
      <c r="F3528" s="1613">
        <v>30465000</v>
      </c>
      <c r="G3528" s="1613">
        <v>158544260412</v>
      </c>
    </row>
    <row r="3529" spans="1:7" ht="17.25" customHeight="1" x14ac:dyDescent="0.2">
      <c r="A3529" s="1611">
        <v>16</v>
      </c>
      <c r="B3529" s="1611" t="s">
        <v>7186</v>
      </c>
      <c r="C3529" s="1611" t="s">
        <v>5732</v>
      </c>
      <c r="D3529" s="1612">
        <v>0</v>
      </c>
      <c r="E3529" s="1706" t="s">
        <v>7592</v>
      </c>
      <c r="F3529" s="1613">
        <v>53000000</v>
      </c>
      <c r="G3529" s="1613">
        <v>158597260412</v>
      </c>
    </row>
    <row r="3530" spans="1:7" ht="17.25" customHeight="1" x14ac:dyDescent="0.2">
      <c r="A3530" s="1611">
        <v>16</v>
      </c>
      <c r="B3530" s="1611" t="s">
        <v>7310</v>
      </c>
      <c r="C3530" s="1611" t="s">
        <v>5250</v>
      </c>
      <c r="D3530" s="1612">
        <v>0</v>
      </c>
      <c r="E3530" s="1706" t="s">
        <v>7592</v>
      </c>
      <c r="F3530" s="1613">
        <v>90069820</v>
      </c>
      <c r="G3530" s="1613">
        <v>158687330232</v>
      </c>
    </row>
    <row r="3531" spans="1:7" ht="17.25" customHeight="1" x14ac:dyDescent="0.2">
      <c r="A3531" s="1611">
        <v>16</v>
      </c>
      <c r="B3531" s="1611" t="s">
        <v>7310</v>
      </c>
      <c r="C3531" s="1611" t="s">
        <v>5250</v>
      </c>
      <c r="D3531" s="1612">
        <v>0</v>
      </c>
      <c r="E3531" s="1706" t="s">
        <v>7592</v>
      </c>
      <c r="F3531" s="1613">
        <v>90069820</v>
      </c>
      <c r="G3531" s="1613">
        <v>158777400052</v>
      </c>
    </row>
    <row r="3532" spans="1:7" ht="17.25" customHeight="1" x14ac:dyDescent="0.2">
      <c r="A3532" s="1611">
        <v>16</v>
      </c>
      <c r="B3532" s="1611" t="s">
        <v>7310</v>
      </c>
      <c r="C3532" s="1611" t="s">
        <v>5250</v>
      </c>
      <c r="D3532" s="1612">
        <v>0</v>
      </c>
      <c r="E3532" s="1706" t="s">
        <v>7592</v>
      </c>
      <c r="F3532" s="1613">
        <v>90069820</v>
      </c>
      <c r="G3532" s="1613">
        <v>158867469872</v>
      </c>
    </row>
    <row r="3533" spans="1:7" ht="17.25" customHeight="1" x14ac:dyDescent="0.2">
      <c r="A3533" s="1611">
        <v>16</v>
      </c>
      <c r="B3533" s="1611" t="s">
        <v>7310</v>
      </c>
      <c r="C3533" s="1611" t="s">
        <v>5250</v>
      </c>
      <c r="D3533" s="1612">
        <v>0</v>
      </c>
      <c r="E3533" s="1706" t="s">
        <v>7592</v>
      </c>
      <c r="F3533" s="1613">
        <v>90069820</v>
      </c>
      <c r="G3533" s="1613">
        <v>158957539692</v>
      </c>
    </row>
    <row r="3534" spans="1:7" ht="17.25" customHeight="1" x14ac:dyDescent="0.2">
      <c r="A3534" s="1611">
        <v>16</v>
      </c>
      <c r="B3534" s="1611" t="s">
        <v>7310</v>
      </c>
      <c r="C3534" s="1611" t="s">
        <v>5250</v>
      </c>
      <c r="D3534" s="1612">
        <v>0</v>
      </c>
      <c r="E3534" s="1706" t="s">
        <v>7592</v>
      </c>
      <c r="F3534" s="1613">
        <v>90069820</v>
      </c>
      <c r="G3534" s="1613">
        <v>159047609512</v>
      </c>
    </row>
    <row r="3535" spans="1:7" ht="17.25" customHeight="1" x14ac:dyDescent="0.2">
      <c r="A3535" s="1611">
        <v>16</v>
      </c>
      <c r="B3535" s="1611" t="s">
        <v>7310</v>
      </c>
      <c r="C3535" s="1611" t="s">
        <v>5250</v>
      </c>
      <c r="D3535" s="1612">
        <v>0</v>
      </c>
      <c r="E3535" s="1706" t="s">
        <v>7592</v>
      </c>
      <c r="F3535" s="1613">
        <v>90069820</v>
      </c>
      <c r="G3535" s="1613">
        <v>159137679332</v>
      </c>
    </row>
    <row r="3536" spans="1:7" ht="17.25" customHeight="1" x14ac:dyDescent="0.2">
      <c r="A3536" s="1611">
        <v>16</v>
      </c>
      <c r="B3536" s="1611" t="s">
        <v>7310</v>
      </c>
      <c r="C3536" s="1611" t="s">
        <v>5250</v>
      </c>
      <c r="D3536" s="1612">
        <v>0</v>
      </c>
      <c r="E3536" s="1706" t="s">
        <v>7592</v>
      </c>
      <c r="F3536" s="1613">
        <v>90069820</v>
      </c>
      <c r="G3536" s="1613">
        <v>159227749152</v>
      </c>
    </row>
    <row r="3537" spans="1:7" ht="17.25" customHeight="1" x14ac:dyDescent="0.2">
      <c r="A3537" s="1611">
        <v>16</v>
      </c>
      <c r="B3537" s="1611" t="s">
        <v>7310</v>
      </c>
      <c r="C3537" s="1611" t="s">
        <v>5250</v>
      </c>
      <c r="D3537" s="1612">
        <v>0</v>
      </c>
      <c r="E3537" s="1706" t="s">
        <v>7592</v>
      </c>
      <c r="F3537" s="1613">
        <v>90069820</v>
      </c>
      <c r="G3537" s="1613">
        <v>159317818972</v>
      </c>
    </row>
    <row r="3538" spans="1:7" ht="17.25" customHeight="1" x14ac:dyDescent="0.2">
      <c r="A3538" s="1611">
        <v>16</v>
      </c>
      <c r="B3538" s="1611" t="s">
        <v>7310</v>
      </c>
      <c r="C3538" s="1611" t="s">
        <v>5250</v>
      </c>
      <c r="D3538" s="1612">
        <v>0</v>
      </c>
      <c r="E3538" s="1706" t="s">
        <v>7592</v>
      </c>
      <c r="F3538" s="1613">
        <v>90069820</v>
      </c>
      <c r="G3538" s="1613">
        <v>159407888792</v>
      </c>
    </row>
    <row r="3539" spans="1:7" ht="17.25" customHeight="1" x14ac:dyDescent="0.2">
      <c r="A3539" s="1611">
        <v>16</v>
      </c>
      <c r="B3539" s="1611" t="s">
        <v>7310</v>
      </c>
      <c r="C3539" s="1611" t="s">
        <v>5250</v>
      </c>
      <c r="D3539" s="1612">
        <v>0</v>
      </c>
      <c r="E3539" s="1706" t="s">
        <v>7592</v>
      </c>
      <c r="F3539" s="1613">
        <v>90069820</v>
      </c>
      <c r="G3539" s="1613">
        <v>159497958612</v>
      </c>
    </row>
    <row r="3540" spans="1:7" ht="17.25" customHeight="1" x14ac:dyDescent="0.2">
      <c r="A3540" s="1611">
        <v>16</v>
      </c>
      <c r="B3540" s="1611" t="s">
        <v>7310</v>
      </c>
      <c r="C3540" s="1611" t="s">
        <v>5250</v>
      </c>
      <c r="D3540" s="1612">
        <v>0</v>
      </c>
      <c r="E3540" s="1706" t="s">
        <v>7592</v>
      </c>
      <c r="F3540" s="1613">
        <v>-90069820</v>
      </c>
      <c r="G3540" s="1613">
        <v>159407888792</v>
      </c>
    </row>
    <row r="3541" spans="1:7" ht="17.25" customHeight="1" x14ac:dyDescent="0.2">
      <c r="A3541" s="1611">
        <v>16</v>
      </c>
      <c r="B3541" s="1611" t="s">
        <v>7310</v>
      </c>
      <c r="C3541" s="1611" t="s">
        <v>5250</v>
      </c>
      <c r="D3541" s="1612">
        <v>0</v>
      </c>
      <c r="E3541" s="1706" t="s">
        <v>7592</v>
      </c>
      <c r="F3541" s="1613">
        <v>-90069820</v>
      </c>
      <c r="G3541" s="1613">
        <v>159317818972</v>
      </c>
    </row>
    <row r="3542" spans="1:7" ht="17.25" customHeight="1" x14ac:dyDescent="0.2">
      <c r="A3542" s="1611">
        <v>16</v>
      </c>
      <c r="B3542" s="1611" t="s">
        <v>7310</v>
      </c>
      <c r="C3542" s="1611" t="s">
        <v>5250</v>
      </c>
      <c r="D3542" s="1612">
        <v>0</v>
      </c>
      <c r="E3542" s="1706" t="s">
        <v>7592</v>
      </c>
      <c r="F3542" s="1613">
        <v>-90069820</v>
      </c>
      <c r="G3542" s="1613">
        <v>159227749152</v>
      </c>
    </row>
    <row r="3543" spans="1:7" ht="17.25" customHeight="1" x14ac:dyDescent="0.2">
      <c r="A3543" s="1611">
        <v>16</v>
      </c>
      <c r="B3543" s="1611" t="s">
        <v>7310</v>
      </c>
      <c r="C3543" s="1611" t="s">
        <v>5250</v>
      </c>
      <c r="D3543" s="1612">
        <v>0</v>
      </c>
      <c r="E3543" s="1706" t="s">
        <v>7592</v>
      </c>
      <c r="F3543" s="1613">
        <v>-90069820</v>
      </c>
      <c r="G3543" s="1613">
        <v>159137679332</v>
      </c>
    </row>
    <row r="3544" spans="1:7" ht="17.25" customHeight="1" x14ac:dyDescent="0.2">
      <c r="A3544" s="1611">
        <v>16</v>
      </c>
      <c r="B3544" s="1611" t="s">
        <v>7310</v>
      </c>
      <c r="C3544" s="1611" t="s">
        <v>5250</v>
      </c>
      <c r="D3544" s="1612">
        <v>0</v>
      </c>
      <c r="E3544" s="1706" t="s">
        <v>7592</v>
      </c>
      <c r="F3544" s="1613">
        <v>-90069820</v>
      </c>
      <c r="G3544" s="1613">
        <v>159047609512</v>
      </c>
    </row>
    <row r="3545" spans="1:7" ht="17.25" customHeight="1" x14ac:dyDescent="0.2">
      <c r="A3545" s="1611">
        <v>16</v>
      </c>
      <c r="B3545" s="1611" t="s">
        <v>7310</v>
      </c>
      <c r="C3545" s="1611" t="s">
        <v>5250</v>
      </c>
      <c r="D3545" s="1612">
        <v>0</v>
      </c>
      <c r="E3545" s="1706" t="s">
        <v>7592</v>
      </c>
      <c r="F3545" s="1613">
        <v>-90069820</v>
      </c>
      <c r="G3545" s="1613">
        <v>158957539692</v>
      </c>
    </row>
    <row r="3546" spans="1:7" ht="17.25" customHeight="1" x14ac:dyDescent="0.2">
      <c r="A3546" s="1611">
        <v>16</v>
      </c>
      <c r="B3546" s="1611" t="s">
        <v>7310</v>
      </c>
      <c r="C3546" s="1611" t="s">
        <v>5250</v>
      </c>
      <c r="D3546" s="1612">
        <v>0</v>
      </c>
      <c r="E3546" s="1706" t="s">
        <v>7592</v>
      </c>
      <c r="F3546" s="1613">
        <v>-90069820</v>
      </c>
      <c r="G3546" s="1613">
        <v>158867469872</v>
      </c>
    </row>
    <row r="3547" spans="1:7" ht="17.25" customHeight="1" x14ac:dyDescent="0.2">
      <c r="A3547" s="1611">
        <v>16</v>
      </c>
      <c r="B3547" s="1611" t="s">
        <v>7310</v>
      </c>
      <c r="C3547" s="1611" t="s">
        <v>5250</v>
      </c>
      <c r="D3547" s="1612">
        <v>0</v>
      </c>
      <c r="E3547" s="1706" t="s">
        <v>7592</v>
      </c>
      <c r="F3547" s="1613">
        <v>-90069820</v>
      </c>
      <c r="G3547" s="1613">
        <v>158777400052</v>
      </c>
    </row>
    <row r="3548" spans="1:7" ht="17.25" customHeight="1" x14ac:dyDescent="0.2">
      <c r="A3548" s="1611">
        <v>16</v>
      </c>
      <c r="B3548" s="1611" t="s">
        <v>7310</v>
      </c>
      <c r="C3548" s="1611" t="s">
        <v>5250</v>
      </c>
      <c r="D3548" s="1612">
        <v>0</v>
      </c>
      <c r="E3548" s="1706" t="s">
        <v>7592</v>
      </c>
      <c r="F3548" s="1613">
        <v>-90069820</v>
      </c>
      <c r="G3548" s="1613">
        <v>158687330232</v>
      </c>
    </row>
    <row r="3549" spans="1:7" ht="17.25" customHeight="1" x14ac:dyDescent="0.2">
      <c r="A3549" s="1611">
        <v>16</v>
      </c>
      <c r="B3549" s="1611" t="s">
        <v>7310</v>
      </c>
      <c r="C3549" s="1611" t="s">
        <v>5250</v>
      </c>
      <c r="D3549" s="1612">
        <v>0</v>
      </c>
      <c r="E3549" s="1706" t="s">
        <v>7592</v>
      </c>
      <c r="F3549" s="1613">
        <v>-90069820</v>
      </c>
      <c r="G3549" s="1613">
        <v>158597260412</v>
      </c>
    </row>
    <row r="3550" spans="1:7" ht="17.25" customHeight="1" x14ac:dyDescent="0.2">
      <c r="A3550" s="1611">
        <v>16</v>
      </c>
      <c r="B3550" s="1611" t="s">
        <v>7273</v>
      </c>
      <c r="C3550" s="1611" t="s">
        <v>5733</v>
      </c>
      <c r="D3550" s="1612">
        <v>0</v>
      </c>
      <c r="E3550" s="1706" t="s">
        <v>7592</v>
      </c>
      <c r="F3550" s="1613">
        <v>163000000</v>
      </c>
      <c r="G3550" s="1613">
        <v>158760260412</v>
      </c>
    </row>
    <row r="3551" spans="1:7" ht="17.25" customHeight="1" x14ac:dyDescent="0.2">
      <c r="A3551" s="1611">
        <v>16</v>
      </c>
      <c r="B3551" s="1611" t="s">
        <v>7282</v>
      </c>
      <c r="C3551" s="1611" t="s">
        <v>5734</v>
      </c>
      <c r="D3551" s="1612">
        <v>0</v>
      </c>
      <c r="E3551" s="1706" t="s">
        <v>7592</v>
      </c>
      <c r="F3551" s="1613">
        <v>153000000</v>
      </c>
      <c r="G3551" s="1613">
        <v>158913260412</v>
      </c>
    </row>
    <row r="3552" spans="1:7" ht="17.25" customHeight="1" x14ac:dyDescent="0.2">
      <c r="A3552" s="1611">
        <v>16</v>
      </c>
      <c r="B3552" s="1611" t="s">
        <v>7176</v>
      </c>
      <c r="C3552" s="1611" t="s">
        <v>5735</v>
      </c>
      <c r="D3552" s="1612">
        <v>0</v>
      </c>
      <c r="E3552" s="1706" t="s">
        <v>7592</v>
      </c>
      <c r="F3552" s="1613">
        <v>38500000</v>
      </c>
      <c r="G3552" s="1613">
        <v>158951760412</v>
      </c>
    </row>
    <row r="3553" spans="1:7" ht="17.25" customHeight="1" x14ac:dyDescent="0.2">
      <c r="A3553" s="1611">
        <v>16</v>
      </c>
      <c r="B3553" s="1611" t="s">
        <v>7176</v>
      </c>
      <c r="C3553" s="1611" t="s">
        <v>5736</v>
      </c>
      <c r="D3553" s="1612">
        <v>0</v>
      </c>
      <c r="E3553" s="1706" t="s">
        <v>7592</v>
      </c>
      <c r="F3553" s="1613">
        <v>38636364</v>
      </c>
      <c r="G3553" s="1613">
        <v>158990396776</v>
      </c>
    </row>
    <row r="3554" spans="1:7" ht="17.25" customHeight="1" x14ac:dyDescent="0.2">
      <c r="A3554" s="1611">
        <v>16</v>
      </c>
      <c r="B3554" s="1611" t="s">
        <v>7176</v>
      </c>
      <c r="C3554" s="1611" t="s">
        <v>5737</v>
      </c>
      <c r="D3554" s="1612">
        <v>0</v>
      </c>
      <c r="E3554" s="1706" t="s">
        <v>7592</v>
      </c>
      <c r="F3554" s="1613">
        <v>37600000</v>
      </c>
      <c r="G3554" s="1613">
        <v>159027996776</v>
      </c>
    </row>
    <row r="3555" spans="1:7" ht="17.25" customHeight="1" x14ac:dyDescent="0.2">
      <c r="A3555" s="1611">
        <v>16</v>
      </c>
      <c r="B3555" s="1611" t="s">
        <v>2068</v>
      </c>
      <c r="C3555" s="1611" t="s">
        <v>5250</v>
      </c>
      <c r="D3555" s="1612" t="s">
        <v>2024</v>
      </c>
      <c r="E3555" s="1706" t="s">
        <v>7592</v>
      </c>
      <c r="F3555" s="1613">
        <v>90069820</v>
      </c>
      <c r="G3555" s="1613">
        <v>159118066596</v>
      </c>
    </row>
    <row r="3556" spans="1:7" ht="17.25" customHeight="1" x14ac:dyDescent="0.2">
      <c r="A3556" s="1611">
        <v>16</v>
      </c>
      <c r="B3556" s="1611" t="s">
        <v>2068</v>
      </c>
      <c r="C3556" s="1611" t="s">
        <v>5250</v>
      </c>
      <c r="D3556" s="1612" t="s">
        <v>2024</v>
      </c>
      <c r="E3556" s="1706" t="s">
        <v>7592</v>
      </c>
      <c r="F3556" s="1613">
        <v>90069820</v>
      </c>
      <c r="G3556" s="1613">
        <v>159208136416</v>
      </c>
    </row>
    <row r="3557" spans="1:7" ht="17.25" customHeight="1" x14ac:dyDescent="0.2">
      <c r="A3557" s="1611">
        <v>16</v>
      </c>
      <c r="B3557" s="1611" t="s">
        <v>2068</v>
      </c>
      <c r="C3557" s="1611" t="s">
        <v>5250</v>
      </c>
      <c r="D3557" s="1612" t="s">
        <v>2024</v>
      </c>
      <c r="E3557" s="1706" t="s">
        <v>7592</v>
      </c>
      <c r="F3557" s="1613">
        <v>90069820</v>
      </c>
      <c r="G3557" s="1613">
        <v>159298206236</v>
      </c>
    </row>
    <row r="3558" spans="1:7" ht="17.25" customHeight="1" x14ac:dyDescent="0.2">
      <c r="A3558" s="1611">
        <v>16</v>
      </c>
      <c r="B3558" s="1611" t="s">
        <v>2068</v>
      </c>
      <c r="C3558" s="1611" t="s">
        <v>5250</v>
      </c>
      <c r="D3558" s="1612" t="s">
        <v>2024</v>
      </c>
      <c r="E3558" s="1706" t="s">
        <v>7592</v>
      </c>
      <c r="F3558" s="1613">
        <v>90069820</v>
      </c>
      <c r="G3558" s="1613">
        <v>159388276056</v>
      </c>
    </row>
    <row r="3559" spans="1:7" ht="17.25" customHeight="1" x14ac:dyDescent="0.2">
      <c r="A3559" s="1611">
        <v>16</v>
      </c>
      <c r="B3559" s="1611" t="s">
        <v>2068</v>
      </c>
      <c r="C3559" s="1611" t="s">
        <v>5250</v>
      </c>
      <c r="D3559" s="1612" t="s">
        <v>2024</v>
      </c>
      <c r="E3559" s="1706" t="s">
        <v>7592</v>
      </c>
      <c r="F3559" s="1613">
        <v>90069820</v>
      </c>
      <c r="G3559" s="1613">
        <v>159478345876</v>
      </c>
    </row>
    <row r="3560" spans="1:7" ht="17.25" customHeight="1" x14ac:dyDescent="0.2">
      <c r="A3560" s="1611">
        <v>16</v>
      </c>
      <c r="B3560" s="1611" t="s">
        <v>2068</v>
      </c>
      <c r="C3560" s="1611" t="s">
        <v>5250</v>
      </c>
      <c r="D3560" s="1612" t="s">
        <v>2024</v>
      </c>
      <c r="E3560" s="1706" t="s">
        <v>7592</v>
      </c>
      <c r="F3560" s="1613">
        <v>90069820</v>
      </c>
      <c r="G3560" s="1613">
        <v>159568415696</v>
      </c>
    </row>
    <row r="3561" spans="1:7" ht="17.25" customHeight="1" x14ac:dyDescent="0.2">
      <c r="A3561" s="1611">
        <v>16</v>
      </c>
      <c r="B3561" s="1611" t="s">
        <v>2068</v>
      </c>
      <c r="C3561" s="1611" t="s">
        <v>5250</v>
      </c>
      <c r="D3561" s="1612" t="s">
        <v>2024</v>
      </c>
      <c r="E3561" s="1706" t="s">
        <v>7592</v>
      </c>
      <c r="F3561" s="1613">
        <v>90069820</v>
      </c>
      <c r="G3561" s="1613">
        <v>159658485516</v>
      </c>
    </row>
    <row r="3562" spans="1:7" ht="17.25" customHeight="1" x14ac:dyDescent="0.2">
      <c r="A3562" s="1611">
        <v>16</v>
      </c>
      <c r="B3562" s="1611" t="s">
        <v>2068</v>
      </c>
      <c r="C3562" s="1611" t="s">
        <v>5250</v>
      </c>
      <c r="D3562" s="1612" t="s">
        <v>2024</v>
      </c>
      <c r="E3562" s="1706" t="s">
        <v>7592</v>
      </c>
      <c r="F3562" s="1613">
        <v>90069820</v>
      </c>
      <c r="G3562" s="1613">
        <v>159748555336</v>
      </c>
    </row>
    <row r="3563" spans="1:7" ht="17.25" customHeight="1" x14ac:dyDescent="0.2">
      <c r="A3563" s="1611">
        <v>16</v>
      </c>
      <c r="B3563" s="1611" t="s">
        <v>2068</v>
      </c>
      <c r="C3563" s="1611" t="s">
        <v>5250</v>
      </c>
      <c r="D3563" s="1612" t="s">
        <v>2024</v>
      </c>
      <c r="E3563" s="1706" t="s">
        <v>7592</v>
      </c>
      <c r="F3563" s="1613">
        <v>90069820</v>
      </c>
      <c r="G3563" s="1613">
        <v>159838625156</v>
      </c>
    </row>
    <row r="3564" spans="1:7" ht="17.25" customHeight="1" x14ac:dyDescent="0.2">
      <c r="A3564" s="1611">
        <v>16</v>
      </c>
      <c r="B3564" s="1611" t="s">
        <v>2068</v>
      </c>
      <c r="C3564" s="1611" t="s">
        <v>5250</v>
      </c>
      <c r="D3564" s="1612" t="s">
        <v>2024</v>
      </c>
      <c r="E3564" s="1706" t="s">
        <v>7592</v>
      </c>
      <c r="F3564" s="1613">
        <v>90069820</v>
      </c>
      <c r="G3564" s="1613">
        <v>159928694976</v>
      </c>
    </row>
    <row r="3565" spans="1:7" ht="17.25" customHeight="1" x14ac:dyDescent="0.2">
      <c r="A3565" s="1611">
        <v>16</v>
      </c>
      <c r="B3565" s="1611" t="s">
        <v>7252</v>
      </c>
      <c r="C3565" s="1611" t="s">
        <v>5738</v>
      </c>
      <c r="D3565" s="1612">
        <v>0</v>
      </c>
      <c r="E3565" s="1706" t="s">
        <v>7592</v>
      </c>
      <c r="F3565" s="1613">
        <v>61000000</v>
      </c>
      <c r="G3565" s="1613">
        <v>159989694976</v>
      </c>
    </row>
    <row r="3566" spans="1:7" ht="17.25" customHeight="1" x14ac:dyDescent="0.2">
      <c r="A3566" s="1611">
        <v>16</v>
      </c>
      <c r="B3566" s="1611" t="s">
        <v>7251</v>
      </c>
      <c r="C3566" s="1611" t="s">
        <v>5587</v>
      </c>
      <c r="D3566" s="1612">
        <v>0</v>
      </c>
      <c r="E3566" s="1706" t="s">
        <v>7592</v>
      </c>
      <c r="F3566" s="1613">
        <v>33700000</v>
      </c>
      <c r="G3566" s="1613">
        <v>160023394976</v>
      </c>
    </row>
    <row r="3567" spans="1:7" ht="17.25" customHeight="1" x14ac:dyDescent="0.2">
      <c r="A3567" s="1611">
        <v>16</v>
      </c>
      <c r="B3567" s="1611" t="s">
        <v>7251</v>
      </c>
      <c r="C3567" s="1611" t="s">
        <v>5587</v>
      </c>
      <c r="D3567" s="1612">
        <v>0</v>
      </c>
      <c r="E3567" s="1706" t="s">
        <v>7592</v>
      </c>
      <c r="F3567" s="1613">
        <v>33700000</v>
      </c>
      <c r="G3567" s="1613">
        <v>160057094976</v>
      </c>
    </row>
    <row r="3568" spans="1:7" ht="17.25" customHeight="1" x14ac:dyDescent="0.2">
      <c r="A3568" s="1611">
        <v>16</v>
      </c>
      <c r="B3568" s="1611" t="s">
        <v>7176</v>
      </c>
      <c r="C3568" s="1611" t="s">
        <v>5739</v>
      </c>
      <c r="D3568" s="1612">
        <v>0</v>
      </c>
      <c r="E3568" s="1706" t="s">
        <v>7592</v>
      </c>
      <c r="F3568" s="1613">
        <v>38516364</v>
      </c>
      <c r="G3568" s="1613">
        <v>160095611340</v>
      </c>
    </row>
    <row r="3569" spans="1:7" ht="17.25" customHeight="1" x14ac:dyDescent="0.2">
      <c r="A3569" s="1611">
        <v>16</v>
      </c>
      <c r="B3569" s="1611" t="s">
        <v>7176</v>
      </c>
      <c r="C3569" s="1611" t="s">
        <v>5740</v>
      </c>
      <c r="D3569" s="1612">
        <v>0</v>
      </c>
      <c r="E3569" s="1706" t="s">
        <v>7592</v>
      </c>
      <c r="F3569" s="1613">
        <v>40000000</v>
      </c>
      <c r="G3569" s="1613">
        <v>160135611340</v>
      </c>
    </row>
    <row r="3570" spans="1:7" ht="17.25" customHeight="1" x14ac:dyDescent="0.2">
      <c r="A3570" s="1611">
        <v>16</v>
      </c>
      <c r="B3570" s="1611" t="s">
        <v>7176</v>
      </c>
      <c r="C3570" s="1611" t="s">
        <v>5741</v>
      </c>
      <c r="D3570" s="1612">
        <v>0</v>
      </c>
      <c r="E3570" s="1706" t="s">
        <v>7592</v>
      </c>
      <c r="F3570" s="1613">
        <v>40000000</v>
      </c>
      <c r="G3570" s="1613">
        <v>160175611340</v>
      </c>
    </row>
    <row r="3571" spans="1:7" ht="17.25" customHeight="1" x14ac:dyDescent="0.2">
      <c r="A3571" s="1611">
        <v>16</v>
      </c>
      <c r="B3571" s="1611" t="s">
        <v>7311</v>
      </c>
      <c r="C3571" s="1611" t="s">
        <v>4137</v>
      </c>
      <c r="D3571" s="1612">
        <v>0</v>
      </c>
      <c r="E3571" s="1706" t="s">
        <v>7592</v>
      </c>
      <c r="F3571" s="1613">
        <v>46600000</v>
      </c>
      <c r="G3571" s="1613">
        <v>160222211340</v>
      </c>
    </row>
    <row r="3572" spans="1:7" ht="17.25" customHeight="1" x14ac:dyDescent="0.2">
      <c r="A3572" s="1611">
        <v>16</v>
      </c>
      <c r="B3572" s="1611" t="s">
        <v>7311</v>
      </c>
      <c r="C3572" s="1611" t="s">
        <v>5742</v>
      </c>
      <c r="D3572" s="1612">
        <v>0</v>
      </c>
      <c r="E3572" s="1706" t="s">
        <v>7592</v>
      </c>
      <c r="F3572" s="1613">
        <v>44538000</v>
      </c>
      <c r="G3572" s="1613">
        <v>160266749340</v>
      </c>
    </row>
    <row r="3573" spans="1:7" ht="17.25" customHeight="1" x14ac:dyDescent="0.2">
      <c r="A3573" s="1611">
        <v>16</v>
      </c>
      <c r="B3573" s="1611" t="s">
        <v>7156</v>
      </c>
      <c r="C3573" s="1611" t="s">
        <v>5743</v>
      </c>
      <c r="D3573" s="1612">
        <v>0</v>
      </c>
      <c r="E3573" s="1706" t="s">
        <v>7592</v>
      </c>
      <c r="F3573" s="1613">
        <v>15000000</v>
      </c>
      <c r="G3573" s="1613">
        <v>160281749340</v>
      </c>
    </row>
    <row r="3574" spans="1:7" ht="17.25" customHeight="1" x14ac:dyDescent="0.2">
      <c r="A3574" s="1611">
        <v>16</v>
      </c>
      <c r="B3574" s="1611" t="s">
        <v>7310</v>
      </c>
      <c r="C3574" s="1611" t="s">
        <v>5250</v>
      </c>
      <c r="D3574" s="1612">
        <v>0</v>
      </c>
      <c r="E3574" s="1706" t="s">
        <v>7592</v>
      </c>
      <c r="F3574" s="1613">
        <v>90069820</v>
      </c>
      <c r="G3574" s="1613">
        <v>160371819160</v>
      </c>
    </row>
    <row r="3575" spans="1:7" ht="17.25" customHeight="1" x14ac:dyDescent="0.2">
      <c r="A3575" s="1611">
        <v>16</v>
      </c>
      <c r="B3575" s="1611" t="s">
        <v>7310</v>
      </c>
      <c r="C3575" s="1611" t="s">
        <v>5250</v>
      </c>
      <c r="D3575" s="1612">
        <v>0</v>
      </c>
      <c r="E3575" s="1706" t="s">
        <v>7592</v>
      </c>
      <c r="F3575" s="1613">
        <v>90069820</v>
      </c>
      <c r="G3575" s="1613">
        <v>160461888980</v>
      </c>
    </row>
    <row r="3576" spans="1:7" ht="17.25" customHeight="1" x14ac:dyDescent="0.2">
      <c r="A3576" s="1611">
        <v>16</v>
      </c>
      <c r="B3576" s="1611" t="s">
        <v>7310</v>
      </c>
      <c r="C3576" s="1611" t="s">
        <v>5250</v>
      </c>
      <c r="D3576" s="1612">
        <v>0</v>
      </c>
      <c r="E3576" s="1706" t="s">
        <v>7592</v>
      </c>
      <c r="F3576" s="1613">
        <v>90069820</v>
      </c>
      <c r="G3576" s="1613">
        <v>160551958800</v>
      </c>
    </row>
    <row r="3577" spans="1:7" ht="17.25" customHeight="1" x14ac:dyDescent="0.2">
      <c r="A3577" s="1611">
        <v>16</v>
      </c>
      <c r="B3577" s="1611" t="s">
        <v>7310</v>
      </c>
      <c r="C3577" s="1611" t="s">
        <v>5250</v>
      </c>
      <c r="D3577" s="1612">
        <v>0</v>
      </c>
      <c r="E3577" s="1706" t="s">
        <v>7592</v>
      </c>
      <c r="F3577" s="1613">
        <v>90069820</v>
      </c>
      <c r="G3577" s="1613">
        <v>160642028620</v>
      </c>
    </row>
    <row r="3578" spans="1:7" ht="17.25" customHeight="1" x14ac:dyDescent="0.2">
      <c r="A3578" s="1611">
        <v>16</v>
      </c>
      <c r="B3578" s="1611" t="s">
        <v>7310</v>
      </c>
      <c r="C3578" s="1611" t="s">
        <v>5250</v>
      </c>
      <c r="D3578" s="1612">
        <v>0</v>
      </c>
      <c r="E3578" s="1706" t="s">
        <v>7592</v>
      </c>
      <c r="F3578" s="1613">
        <v>90069820</v>
      </c>
      <c r="G3578" s="1613">
        <v>160732098440</v>
      </c>
    </row>
    <row r="3579" spans="1:7" ht="17.25" customHeight="1" x14ac:dyDescent="0.2">
      <c r="A3579" s="1611">
        <v>16</v>
      </c>
      <c r="B3579" s="1611" t="s">
        <v>7310</v>
      </c>
      <c r="C3579" s="1611" t="s">
        <v>5250</v>
      </c>
      <c r="D3579" s="1612">
        <v>0</v>
      </c>
      <c r="E3579" s="1706" t="s">
        <v>7592</v>
      </c>
      <c r="F3579" s="1613">
        <v>90069820</v>
      </c>
      <c r="G3579" s="1613">
        <v>160822168260</v>
      </c>
    </row>
    <row r="3580" spans="1:7" ht="17.25" customHeight="1" x14ac:dyDescent="0.2">
      <c r="A3580" s="1611">
        <v>16</v>
      </c>
      <c r="B3580" s="1611" t="s">
        <v>7310</v>
      </c>
      <c r="C3580" s="1611" t="s">
        <v>5250</v>
      </c>
      <c r="D3580" s="1612">
        <v>0</v>
      </c>
      <c r="E3580" s="1706" t="s">
        <v>7592</v>
      </c>
      <c r="F3580" s="1613">
        <v>90069820</v>
      </c>
      <c r="G3580" s="1613">
        <v>160912238080</v>
      </c>
    </row>
    <row r="3581" spans="1:7" ht="17.25" customHeight="1" x14ac:dyDescent="0.2">
      <c r="A3581" s="1611">
        <v>16</v>
      </c>
      <c r="B3581" s="1611" t="s">
        <v>7310</v>
      </c>
      <c r="C3581" s="1611" t="s">
        <v>5250</v>
      </c>
      <c r="D3581" s="1612">
        <v>0</v>
      </c>
      <c r="E3581" s="1706" t="s">
        <v>7592</v>
      </c>
      <c r="F3581" s="1613">
        <v>90069820</v>
      </c>
      <c r="G3581" s="1613">
        <v>161002307900</v>
      </c>
    </row>
    <row r="3582" spans="1:7" ht="17.25" customHeight="1" x14ac:dyDescent="0.2">
      <c r="A3582" s="1611">
        <v>16</v>
      </c>
      <c r="B3582" s="1611" t="s">
        <v>7310</v>
      </c>
      <c r="C3582" s="1611" t="s">
        <v>5250</v>
      </c>
      <c r="D3582" s="1612">
        <v>0</v>
      </c>
      <c r="E3582" s="1706" t="s">
        <v>7592</v>
      </c>
      <c r="F3582" s="1613">
        <v>90069820</v>
      </c>
      <c r="G3582" s="1613">
        <v>161092377720</v>
      </c>
    </row>
    <row r="3583" spans="1:7" ht="17.25" customHeight="1" x14ac:dyDescent="0.2">
      <c r="A3583" s="1611">
        <v>16</v>
      </c>
      <c r="B3583" s="1611" t="s">
        <v>7310</v>
      </c>
      <c r="C3583" s="1611" t="s">
        <v>5250</v>
      </c>
      <c r="D3583" s="1612">
        <v>0</v>
      </c>
      <c r="E3583" s="1706" t="s">
        <v>7592</v>
      </c>
      <c r="F3583" s="1613">
        <v>90069820</v>
      </c>
      <c r="G3583" s="1613">
        <v>161182447540</v>
      </c>
    </row>
    <row r="3584" spans="1:7" ht="17.25" customHeight="1" x14ac:dyDescent="0.2">
      <c r="A3584" s="1611">
        <v>16</v>
      </c>
      <c r="B3584" s="1611" t="s">
        <v>7273</v>
      </c>
      <c r="C3584" s="1611" t="s">
        <v>5744</v>
      </c>
      <c r="D3584" s="1612">
        <v>0</v>
      </c>
      <c r="E3584" s="1706" t="s">
        <v>7592</v>
      </c>
      <c r="F3584" s="1613">
        <v>159000000</v>
      </c>
      <c r="G3584" s="1613">
        <v>161341447540</v>
      </c>
    </row>
    <row r="3585" spans="1:7" ht="17.25" customHeight="1" x14ac:dyDescent="0.2">
      <c r="A3585" s="1611">
        <v>16</v>
      </c>
      <c r="B3585" s="1611" t="s">
        <v>7203</v>
      </c>
      <c r="C3585" s="1611" t="s">
        <v>4673</v>
      </c>
      <c r="D3585" s="1612">
        <v>0</v>
      </c>
      <c r="E3585" s="1706" t="s">
        <v>7592</v>
      </c>
      <c r="F3585" s="1613">
        <v>16856000</v>
      </c>
      <c r="G3585" s="1613">
        <v>161358303540</v>
      </c>
    </row>
    <row r="3586" spans="1:7" ht="17.25" customHeight="1" x14ac:dyDescent="0.2">
      <c r="A3586" s="1611">
        <v>16</v>
      </c>
      <c r="B3586" s="1611" t="s">
        <v>7252</v>
      </c>
      <c r="C3586" s="1611" t="s">
        <v>5745</v>
      </c>
      <c r="D3586" s="1612">
        <v>0</v>
      </c>
      <c r="E3586" s="1706" t="s">
        <v>7592</v>
      </c>
      <c r="F3586" s="1613">
        <v>62727272</v>
      </c>
      <c r="G3586" s="1613">
        <v>161421030812</v>
      </c>
    </row>
    <row r="3587" spans="1:7" ht="17.25" customHeight="1" x14ac:dyDescent="0.2">
      <c r="A3587" s="1611">
        <v>16</v>
      </c>
      <c r="B3587" s="1611" t="s">
        <v>7203</v>
      </c>
      <c r="C3587" s="1611" t="s">
        <v>5746</v>
      </c>
      <c r="D3587" s="1612">
        <v>0</v>
      </c>
      <c r="E3587" s="1706" t="s">
        <v>7592</v>
      </c>
      <c r="F3587" s="1613">
        <v>37272727</v>
      </c>
      <c r="G3587" s="1613">
        <v>161458303539</v>
      </c>
    </row>
    <row r="3588" spans="1:7" ht="17.25" customHeight="1" x14ac:dyDescent="0.2">
      <c r="A3588" s="1611">
        <v>16</v>
      </c>
      <c r="B3588" s="1611" t="s">
        <v>7312</v>
      </c>
      <c r="C3588" s="1611" t="s">
        <v>4064</v>
      </c>
      <c r="D3588" s="1612">
        <v>0</v>
      </c>
      <c r="E3588" s="1612" t="s">
        <v>3295</v>
      </c>
      <c r="F3588" s="1613">
        <v>81943200</v>
      </c>
      <c r="G3588" s="1613">
        <v>161540246739</v>
      </c>
    </row>
    <row r="3589" spans="1:7" ht="17.25" customHeight="1" x14ac:dyDescent="0.2">
      <c r="A3589" s="1611">
        <v>16</v>
      </c>
      <c r="B3589" s="1611" t="s">
        <v>7203</v>
      </c>
      <c r="C3589" s="1611" t="s">
        <v>5441</v>
      </c>
      <c r="D3589" s="1612">
        <v>0</v>
      </c>
      <c r="E3589" s="1706" t="s">
        <v>7592</v>
      </c>
      <c r="F3589" s="1613">
        <v>33620000</v>
      </c>
      <c r="G3589" s="1613">
        <v>161573866739</v>
      </c>
    </row>
    <row r="3590" spans="1:7" ht="17.25" customHeight="1" x14ac:dyDescent="0.2">
      <c r="A3590" s="1611">
        <v>16</v>
      </c>
      <c r="B3590" s="1611" t="s">
        <v>7170</v>
      </c>
      <c r="C3590" s="1611" t="s">
        <v>5747</v>
      </c>
      <c r="D3590" s="1612">
        <v>0</v>
      </c>
      <c r="E3590" s="1706" t="s">
        <v>7592</v>
      </c>
      <c r="F3590" s="1613">
        <v>170000000</v>
      </c>
      <c r="G3590" s="1613">
        <v>161743866739</v>
      </c>
    </row>
    <row r="3591" spans="1:7" ht="17.25" customHeight="1" x14ac:dyDescent="0.2">
      <c r="A3591" s="1611">
        <v>16</v>
      </c>
      <c r="B3591" s="1611" t="s">
        <v>7245</v>
      </c>
      <c r="C3591" s="1611" t="s">
        <v>4186</v>
      </c>
      <c r="D3591" s="1612">
        <v>0</v>
      </c>
      <c r="E3591" s="1706" t="s">
        <v>7592</v>
      </c>
      <c r="F3591" s="1613">
        <v>50545455</v>
      </c>
      <c r="G3591" s="1613">
        <v>161794412194</v>
      </c>
    </row>
    <row r="3592" spans="1:7" ht="17.25" customHeight="1" x14ac:dyDescent="0.2">
      <c r="A3592" s="1611">
        <v>16</v>
      </c>
      <c r="B3592" s="1611" t="s">
        <v>7313</v>
      </c>
      <c r="C3592" s="1611" t="s">
        <v>5748</v>
      </c>
      <c r="D3592" s="1612">
        <v>0</v>
      </c>
      <c r="E3592" s="1706" t="s">
        <v>7592</v>
      </c>
      <c r="F3592" s="1613">
        <v>59818182</v>
      </c>
      <c r="G3592" s="1613">
        <v>161854230376</v>
      </c>
    </row>
    <row r="3593" spans="1:7" ht="17.25" customHeight="1" x14ac:dyDescent="0.2">
      <c r="A3593" s="1611">
        <v>16</v>
      </c>
      <c r="B3593" s="1611" t="s">
        <v>7313</v>
      </c>
      <c r="C3593" s="1611" t="s">
        <v>5748</v>
      </c>
      <c r="D3593" s="1612">
        <v>0</v>
      </c>
      <c r="E3593" s="1706" t="s">
        <v>7592</v>
      </c>
      <c r="F3593" s="1613">
        <v>-59818182</v>
      </c>
      <c r="G3593" s="1613">
        <v>161794412194</v>
      </c>
    </row>
    <row r="3594" spans="1:7" ht="17.25" customHeight="1" x14ac:dyDescent="0.2">
      <c r="A3594" s="1611">
        <v>16</v>
      </c>
      <c r="B3594" s="1611" t="s">
        <v>7314</v>
      </c>
      <c r="C3594" s="1611" t="s">
        <v>5749</v>
      </c>
      <c r="D3594" s="1612">
        <v>0</v>
      </c>
      <c r="E3594" s="1706" t="s">
        <v>7592</v>
      </c>
      <c r="F3594" s="1613">
        <v>167000000</v>
      </c>
      <c r="G3594" s="1613">
        <v>161961412194</v>
      </c>
    </row>
    <row r="3595" spans="1:7" ht="17.25" customHeight="1" x14ac:dyDescent="0.2">
      <c r="A3595" s="1611">
        <v>16</v>
      </c>
      <c r="B3595" s="1611" t="s">
        <v>7203</v>
      </c>
      <c r="C3595" s="1611" t="s">
        <v>5750</v>
      </c>
      <c r="D3595" s="1612">
        <v>0</v>
      </c>
      <c r="E3595" s="1706" t="s">
        <v>7592</v>
      </c>
      <c r="F3595" s="1613">
        <v>36090909</v>
      </c>
      <c r="G3595" s="1613">
        <v>161997503103</v>
      </c>
    </row>
    <row r="3596" spans="1:7" ht="17.25" customHeight="1" x14ac:dyDescent="0.2">
      <c r="A3596" s="1611">
        <v>16</v>
      </c>
      <c r="B3596" s="1611" t="s">
        <v>7203</v>
      </c>
      <c r="C3596" s="1611" t="s">
        <v>4873</v>
      </c>
      <c r="D3596" s="1612">
        <v>0</v>
      </c>
      <c r="E3596" s="1706" t="s">
        <v>7592</v>
      </c>
      <c r="F3596" s="1613">
        <v>33000000</v>
      </c>
      <c r="G3596" s="1613">
        <v>162030503103</v>
      </c>
    </row>
    <row r="3597" spans="1:7" ht="17.25" customHeight="1" x14ac:dyDescent="0.2">
      <c r="A3597" s="1611">
        <v>16</v>
      </c>
      <c r="B3597" s="1611" t="s">
        <v>7176</v>
      </c>
      <c r="C3597" s="1611" t="s">
        <v>5751</v>
      </c>
      <c r="D3597" s="1612">
        <v>0</v>
      </c>
      <c r="E3597" s="1706" t="s">
        <v>7592</v>
      </c>
      <c r="F3597" s="1613">
        <v>39000000</v>
      </c>
      <c r="G3597" s="1613">
        <v>162069503103</v>
      </c>
    </row>
    <row r="3598" spans="1:7" ht="17.25" customHeight="1" x14ac:dyDescent="0.2">
      <c r="A3598" s="1611">
        <v>16</v>
      </c>
      <c r="B3598" s="1611" t="s">
        <v>7176</v>
      </c>
      <c r="C3598" s="1611" t="s">
        <v>3874</v>
      </c>
      <c r="D3598" s="1612">
        <v>0</v>
      </c>
      <c r="E3598" s="1706" t="s">
        <v>7592</v>
      </c>
      <c r="F3598" s="1613">
        <v>43181818</v>
      </c>
      <c r="G3598" s="1613">
        <v>162112684921</v>
      </c>
    </row>
    <row r="3599" spans="1:7" ht="17.25" customHeight="1" x14ac:dyDescent="0.2">
      <c r="A3599" s="1611">
        <v>16</v>
      </c>
      <c r="B3599" s="1611" t="s">
        <v>7176</v>
      </c>
      <c r="C3599" s="1611" t="s">
        <v>3874</v>
      </c>
      <c r="D3599" s="1612">
        <v>0</v>
      </c>
      <c r="E3599" s="1706" t="s">
        <v>7592</v>
      </c>
      <c r="F3599" s="1613">
        <v>43181818</v>
      </c>
      <c r="G3599" s="1613">
        <v>162155866739</v>
      </c>
    </row>
    <row r="3600" spans="1:7" ht="17.25" customHeight="1" x14ac:dyDescent="0.2">
      <c r="A3600" s="1611">
        <v>16</v>
      </c>
      <c r="B3600" s="1611" t="s">
        <v>7154</v>
      </c>
      <c r="C3600" s="1611" t="s">
        <v>5752</v>
      </c>
      <c r="D3600" s="1612">
        <v>0</v>
      </c>
      <c r="E3600" s="1706" t="s">
        <v>7592</v>
      </c>
      <c r="F3600" s="1613">
        <v>51000000</v>
      </c>
      <c r="G3600" s="1613">
        <v>162206866739</v>
      </c>
    </row>
    <row r="3601" spans="1:7" ht="17.25" customHeight="1" x14ac:dyDescent="0.2">
      <c r="A3601" s="1611">
        <v>16</v>
      </c>
      <c r="B3601" s="1611" t="s">
        <v>7282</v>
      </c>
      <c r="C3601" s="1611" t="s">
        <v>5753</v>
      </c>
      <c r="D3601" s="1612">
        <v>0</v>
      </c>
      <c r="E3601" s="1706" t="s">
        <v>7592</v>
      </c>
      <c r="F3601" s="1613">
        <v>149000000</v>
      </c>
      <c r="G3601" s="1613">
        <v>162355866739</v>
      </c>
    </row>
    <row r="3602" spans="1:7" ht="17.25" customHeight="1" x14ac:dyDescent="0.2">
      <c r="A3602" s="1611">
        <v>16</v>
      </c>
      <c r="B3602" s="1611" t="s">
        <v>7315</v>
      </c>
      <c r="C3602" s="1611" t="s">
        <v>4305</v>
      </c>
      <c r="D3602" s="1612">
        <v>0</v>
      </c>
      <c r="E3602" s="1612" t="s">
        <v>3296</v>
      </c>
      <c r="F3602" s="1613">
        <v>287117750</v>
      </c>
      <c r="G3602" s="1613">
        <v>162642984489</v>
      </c>
    </row>
    <row r="3603" spans="1:7" ht="17.25" customHeight="1" x14ac:dyDescent="0.2">
      <c r="A3603" s="1611">
        <v>16</v>
      </c>
      <c r="B3603" s="1611" t="s">
        <v>7186</v>
      </c>
      <c r="C3603" s="1611" t="s">
        <v>5754</v>
      </c>
      <c r="D3603" s="1612">
        <v>0</v>
      </c>
      <c r="E3603" s="1706" t="s">
        <v>7592</v>
      </c>
      <c r="F3603" s="1613">
        <v>54272727</v>
      </c>
      <c r="G3603" s="1613">
        <v>162697257216</v>
      </c>
    </row>
    <row r="3604" spans="1:7" ht="17.25" customHeight="1" x14ac:dyDescent="0.2">
      <c r="A3604" s="1611">
        <v>16</v>
      </c>
      <c r="B3604" s="1611" t="s">
        <v>7186</v>
      </c>
      <c r="C3604" s="1611" t="s">
        <v>5755</v>
      </c>
      <c r="D3604" s="1612">
        <v>0</v>
      </c>
      <c r="E3604" s="1706" t="s">
        <v>7592</v>
      </c>
      <c r="F3604" s="1613">
        <v>54800000</v>
      </c>
      <c r="G3604" s="1613">
        <v>162752057216</v>
      </c>
    </row>
    <row r="3605" spans="1:7" ht="17.25" customHeight="1" x14ac:dyDescent="0.2">
      <c r="A3605" s="1611">
        <v>16</v>
      </c>
      <c r="B3605" s="1611" t="s">
        <v>7310</v>
      </c>
      <c r="C3605" s="1611" t="s">
        <v>5250</v>
      </c>
      <c r="D3605" s="1612">
        <v>0</v>
      </c>
      <c r="E3605" s="1706" t="s">
        <v>7592</v>
      </c>
      <c r="F3605" s="1613">
        <v>90069820</v>
      </c>
      <c r="G3605" s="1613">
        <v>162842127036</v>
      </c>
    </row>
    <row r="3606" spans="1:7" ht="17.25" customHeight="1" x14ac:dyDescent="0.2">
      <c r="A3606" s="1611">
        <v>16</v>
      </c>
      <c r="B3606" s="1611" t="s">
        <v>7310</v>
      </c>
      <c r="C3606" s="1611" t="s">
        <v>5250</v>
      </c>
      <c r="D3606" s="1612">
        <v>0</v>
      </c>
      <c r="E3606" s="1706" t="s">
        <v>7592</v>
      </c>
      <c r="F3606" s="1613">
        <v>90069820</v>
      </c>
      <c r="G3606" s="1613">
        <v>162932196856</v>
      </c>
    </row>
    <row r="3607" spans="1:7" ht="17.25" customHeight="1" x14ac:dyDescent="0.2">
      <c r="A3607" s="1611">
        <v>16</v>
      </c>
      <c r="B3607" s="1611" t="s">
        <v>7310</v>
      </c>
      <c r="C3607" s="1611" t="s">
        <v>5250</v>
      </c>
      <c r="D3607" s="1612">
        <v>0</v>
      </c>
      <c r="E3607" s="1706" t="s">
        <v>7592</v>
      </c>
      <c r="F3607" s="1613">
        <v>90069820</v>
      </c>
      <c r="G3607" s="1613">
        <v>163022266676</v>
      </c>
    </row>
    <row r="3608" spans="1:7" ht="17.25" customHeight="1" x14ac:dyDescent="0.2">
      <c r="A3608" s="1611">
        <v>16</v>
      </c>
      <c r="B3608" s="1611" t="s">
        <v>7310</v>
      </c>
      <c r="C3608" s="1611" t="s">
        <v>5250</v>
      </c>
      <c r="D3608" s="1612">
        <v>0</v>
      </c>
      <c r="E3608" s="1706" t="s">
        <v>7592</v>
      </c>
      <c r="F3608" s="1613">
        <v>90069820</v>
      </c>
      <c r="G3608" s="1613">
        <v>163112336496</v>
      </c>
    </row>
    <row r="3609" spans="1:7" ht="17.25" customHeight="1" x14ac:dyDescent="0.2">
      <c r="A3609" s="1611">
        <v>16</v>
      </c>
      <c r="B3609" s="1611" t="s">
        <v>7310</v>
      </c>
      <c r="C3609" s="1611" t="s">
        <v>5250</v>
      </c>
      <c r="D3609" s="1612">
        <v>0</v>
      </c>
      <c r="E3609" s="1706" t="s">
        <v>7592</v>
      </c>
      <c r="F3609" s="1613">
        <v>90069820</v>
      </c>
      <c r="G3609" s="1613">
        <v>163202406316</v>
      </c>
    </row>
    <row r="3610" spans="1:7" ht="17.25" customHeight="1" x14ac:dyDescent="0.2">
      <c r="A3610" s="1611">
        <v>16</v>
      </c>
      <c r="B3610" s="1611" t="s">
        <v>7310</v>
      </c>
      <c r="C3610" s="1611" t="s">
        <v>5250</v>
      </c>
      <c r="D3610" s="1612">
        <v>0</v>
      </c>
      <c r="E3610" s="1706" t="s">
        <v>7592</v>
      </c>
      <c r="F3610" s="1613">
        <v>90069820</v>
      </c>
      <c r="G3610" s="1613">
        <v>163292476136</v>
      </c>
    </row>
    <row r="3611" spans="1:7" ht="17.25" customHeight="1" x14ac:dyDescent="0.2">
      <c r="A3611" s="1611">
        <v>16</v>
      </c>
      <c r="B3611" s="1611" t="s">
        <v>7310</v>
      </c>
      <c r="C3611" s="1611" t="s">
        <v>5250</v>
      </c>
      <c r="D3611" s="1612">
        <v>0</v>
      </c>
      <c r="E3611" s="1706" t="s">
        <v>7592</v>
      </c>
      <c r="F3611" s="1613">
        <v>90069820</v>
      </c>
      <c r="G3611" s="1613">
        <v>163382545956</v>
      </c>
    </row>
    <row r="3612" spans="1:7" ht="17.25" customHeight="1" x14ac:dyDescent="0.2">
      <c r="A3612" s="1611">
        <v>16</v>
      </c>
      <c r="B3612" s="1611" t="s">
        <v>7310</v>
      </c>
      <c r="C3612" s="1611" t="s">
        <v>5250</v>
      </c>
      <c r="D3612" s="1612">
        <v>0</v>
      </c>
      <c r="E3612" s="1706" t="s">
        <v>7592</v>
      </c>
      <c r="F3612" s="1613">
        <v>90069820</v>
      </c>
      <c r="G3612" s="1613">
        <v>163472615776</v>
      </c>
    </row>
    <row r="3613" spans="1:7" ht="17.25" customHeight="1" x14ac:dyDescent="0.2">
      <c r="A3613" s="1611">
        <v>16</v>
      </c>
      <c r="B3613" s="1611" t="s">
        <v>7310</v>
      </c>
      <c r="C3613" s="1611" t="s">
        <v>5250</v>
      </c>
      <c r="D3613" s="1612">
        <v>0</v>
      </c>
      <c r="E3613" s="1706" t="s">
        <v>7592</v>
      </c>
      <c r="F3613" s="1613">
        <v>90069820</v>
      </c>
      <c r="G3613" s="1613">
        <v>163562685596</v>
      </c>
    </row>
    <row r="3614" spans="1:7" ht="17.25" customHeight="1" x14ac:dyDescent="0.2">
      <c r="A3614" s="1611">
        <v>16</v>
      </c>
      <c r="B3614" s="1611" t="s">
        <v>7310</v>
      </c>
      <c r="C3614" s="1611" t="s">
        <v>5250</v>
      </c>
      <c r="D3614" s="1612">
        <v>0</v>
      </c>
      <c r="E3614" s="1706" t="s">
        <v>7592</v>
      </c>
      <c r="F3614" s="1613">
        <v>90069820</v>
      </c>
      <c r="G3614" s="1613">
        <v>163652755416</v>
      </c>
    </row>
    <row r="3615" spans="1:7" ht="17.25" customHeight="1" x14ac:dyDescent="0.2">
      <c r="A3615" s="1611">
        <v>16</v>
      </c>
      <c r="B3615" s="1611" t="s">
        <v>7153</v>
      </c>
      <c r="C3615" s="1611" t="s">
        <v>5756</v>
      </c>
      <c r="D3615" s="1612">
        <v>0</v>
      </c>
      <c r="E3615" s="1706" t="s">
        <v>7592</v>
      </c>
      <c r="F3615" s="1613">
        <v>11763636</v>
      </c>
      <c r="G3615" s="1613">
        <v>163664519052</v>
      </c>
    </row>
    <row r="3616" spans="1:7" ht="17.25" customHeight="1" x14ac:dyDescent="0.2">
      <c r="A3616" s="1611">
        <v>16</v>
      </c>
      <c r="B3616" s="1611" t="s">
        <v>7273</v>
      </c>
      <c r="C3616" s="1611" t="s">
        <v>5757</v>
      </c>
      <c r="D3616" s="1612">
        <v>0</v>
      </c>
      <c r="E3616" s="1706" t="s">
        <v>7592</v>
      </c>
      <c r="F3616" s="1613">
        <v>163000000</v>
      </c>
      <c r="G3616" s="1613">
        <v>163827519052</v>
      </c>
    </row>
    <row r="3617" spans="1:7" ht="17.25" customHeight="1" x14ac:dyDescent="0.2">
      <c r="A3617" s="1611">
        <v>16</v>
      </c>
      <c r="B3617" s="1611" t="s">
        <v>7203</v>
      </c>
      <c r="C3617" s="1611" t="s">
        <v>5758</v>
      </c>
      <c r="D3617" s="1612">
        <v>0</v>
      </c>
      <c r="E3617" s="1706" t="s">
        <v>7592</v>
      </c>
      <c r="F3617" s="1613">
        <v>35000000</v>
      </c>
      <c r="G3617" s="1613">
        <v>163862519052</v>
      </c>
    </row>
    <row r="3618" spans="1:7" ht="17.25" customHeight="1" x14ac:dyDescent="0.2">
      <c r="A3618" s="1611">
        <v>16</v>
      </c>
      <c r="B3618" s="1611" t="s">
        <v>7251</v>
      </c>
      <c r="C3618" s="1611" t="s">
        <v>4058</v>
      </c>
      <c r="D3618" s="1612">
        <v>0</v>
      </c>
      <c r="E3618" s="1706" t="s">
        <v>7592</v>
      </c>
      <c r="F3618" s="1613">
        <v>35600000</v>
      </c>
      <c r="G3618" s="1613">
        <v>163898119052</v>
      </c>
    </row>
    <row r="3619" spans="1:7" ht="17.25" customHeight="1" x14ac:dyDescent="0.2">
      <c r="A3619" s="1611">
        <v>16</v>
      </c>
      <c r="B3619" s="1611" t="s">
        <v>7313</v>
      </c>
      <c r="C3619" s="1611" t="s">
        <v>5748</v>
      </c>
      <c r="D3619" s="1612">
        <v>0</v>
      </c>
      <c r="E3619" s="1706" t="s">
        <v>7592</v>
      </c>
      <c r="F3619" s="1613">
        <v>59818182</v>
      </c>
      <c r="G3619" s="1613">
        <v>163957937234</v>
      </c>
    </row>
    <row r="3620" spans="1:7" ht="17.25" customHeight="1" x14ac:dyDescent="0.2">
      <c r="A3620" s="1611">
        <v>16</v>
      </c>
      <c r="B3620" s="1611" t="s">
        <v>7308</v>
      </c>
      <c r="C3620" s="1611" t="s">
        <v>4305</v>
      </c>
      <c r="D3620" s="1612">
        <v>0</v>
      </c>
      <c r="E3620" s="1612" t="s">
        <v>3296</v>
      </c>
      <c r="F3620" s="1613">
        <v>1847214</v>
      </c>
      <c r="G3620" s="1613">
        <v>163959784448</v>
      </c>
    </row>
    <row r="3621" spans="1:7" ht="17.25" customHeight="1" x14ac:dyDescent="0.2">
      <c r="A3621" s="1611">
        <v>16</v>
      </c>
      <c r="B3621" s="1611" t="s">
        <v>7203</v>
      </c>
      <c r="C3621" s="1611" t="s">
        <v>4566</v>
      </c>
      <c r="D3621" s="1612">
        <v>0</v>
      </c>
      <c r="E3621" s="1706" t="s">
        <v>7592</v>
      </c>
      <c r="F3621" s="1613">
        <v>32000000</v>
      </c>
      <c r="G3621" s="1613">
        <v>163991784448</v>
      </c>
    </row>
    <row r="3622" spans="1:7" ht="17.25" customHeight="1" x14ac:dyDescent="0.2">
      <c r="A3622" s="1611">
        <v>16</v>
      </c>
      <c r="B3622" s="1611" t="s">
        <v>7203</v>
      </c>
      <c r="C3622" s="1611" t="s">
        <v>5759</v>
      </c>
      <c r="D3622" s="1612">
        <v>0</v>
      </c>
      <c r="E3622" s="1706" t="s">
        <v>7592</v>
      </c>
      <c r="F3622" s="1613">
        <v>35909091</v>
      </c>
      <c r="G3622" s="1613">
        <v>164027693539</v>
      </c>
    </row>
    <row r="3623" spans="1:7" ht="17.25" customHeight="1" x14ac:dyDescent="0.2">
      <c r="A3623" s="1611">
        <v>16</v>
      </c>
      <c r="B3623" s="1611" t="s">
        <v>7203</v>
      </c>
      <c r="C3623" s="1611" t="s">
        <v>5088</v>
      </c>
      <c r="D3623" s="1612">
        <v>0</v>
      </c>
      <c r="E3623" s="1706" t="s">
        <v>7592</v>
      </c>
      <c r="F3623" s="1613">
        <v>34500000</v>
      </c>
      <c r="G3623" s="1613">
        <v>164062193539</v>
      </c>
    </row>
    <row r="3624" spans="1:7" ht="17.25" customHeight="1" x14ac:dyDescent="0.2">
      <c r="A3624" s="1611">
        <v>16</v>
      </c>
      <c r="B3624" s="1611" t="s">
        <v>7154</v>
      </c>
      <c r="C3624" s="1611" t="s">
        <v>4577</v>
      </c>
      <c r="D3624" s="1612">
        <v>0</v>
      </c>
      <c r="E3624" s="1706" t="s">
        <v>7592</v>
      </c>
      <c r="F3624" s="1613">
        <v>50909091</v>
      </c>
      <c r="G3624" s="1613">
        <v>164113102630</v>
      </c>
    </row>
    <row r="3625" spans="1:7" ht="17.25" customHeight="1" x14ac:dyDescent="0.2">
      <c r="A3625" s="1611">
        <v>16</v>
      </c>
      <c r="B3625" s="1611" t="s">
        <v>7251</v>
      </c>
      <c r="C3625" s="1611" t="s">
        <v>3438</v>
      </c>
      <c r="D3625" s="1612">
        <v>0</v>
      </c>
      <c r="E3625" s="1706" t="s">
        <v>7592</v>
      </c>
      <c r="F3625" s="1613">
        <v>30465000</v>
      </c>
      <c r="G3625" s="1613">
        <v>164143567630</v>
      </c>
    </row>
    <row r="3626" spans="1:7" ht="17.25" customHeight="1" x14ac:dyDescent="0.2">
      <c r="A3626" s="1611">
        <v>16</v>
      </c>
      <c r="B3626" s="1611" t="s">
        <v>7251</v>
      </c>
      <c r="C3626" s="1611" t="s">
        <v>3438</v>
      </c>
      <c r="D3626" s="1612">
        <v>0</v>
      </c>
      <c r="E3626" s="1706" t="s">
        <v>7592</v>
      </c>
      <c r="F3626" s="1613">
        <v>30465000</v>
      </c>
      <c r="G3626" s="1613">
        <v>164174032630</v>
      </c>
    </row>
    <row r="3627" spans="1:7" ht="17.25" customHeight="1" x14ac:dyDescent="0.2">
      <c r="A3627" s="1611">
        <v>16</v>
      </c>
      <c r="B3627" s="1611" t="s">
        <v>7251</v>
      </c>
      <c r="C3627" s="1611" t="s">
        <v>3438</v>
      </c>
      <c r="D3627" s="1612">
        <v>0</v>
      </c>
      <c r="E3627" s="1706" t="s">
        <v>7592</v>
      </c>
      <c r="F3627" s="1613">
        <v>30465000</v>
      </c>
      <c r="G3627" s="1613">
        <v>164204497630</v>
      </c>
    </row>
    <row r="3628" spans="1:7" ht="17.25" customHeight="1" x14ac:dyDescent="0.2">
      <c r="A3628" s="1611">
        <v>16</v>
      </c>
      <c r="B3628" s="1611" t="s">
        <v>7251</v>
      </c>
      <c r="C3628" s="1611" t="s">
        <v>3438</v>
      </c>
      <c r="D3628" s="1612">
        <v>0</v>
      </c>
      <c r="E3628" s="1706" t="s">
        <v>7592</v>
      </c>
      <c r="F3628" s="1613">
        <v>30465000</v>
      </c>
      <c r="G3628" s="1613">
        <v>164234962630</v>
      </c>
    </row>
    <row r="3629" spans="1:7" ht="17.25" customHeight="1" x14ac:dyDescent="0.2">
      <c r="A3629" s="1611">
        <v>16</v>
      </c>
      <c r="B3629" s="1611" t="s">
        <v>7251</v>
      </c>
      <c r="C3629" s="1611" t="s">
        <v>3438</v>
      </c>
      <c r="D3629" s="1612">
        <v>0</v>
      </c>
      <c r="E3629" s="1706" t="s">
        <v>7592</v>
      </c>
      <c r="F3629" s="1613">
        <v>30465000</v>
      </c>
      <c r="G3629" s="1613">
        <v>164265427630</v>
      </c>
    </row>
    <row r="3630" spans="1:7" ht="17.25" customHeight="1" x14ac:dyDescent="0.2">
      <c r="A3630" s="1611">
        <v>16</v>
      </c>
      <c r="B3630" s="1611" t="s">
        <v>7251</v>
      </c>
      <c r="C3630" s="1611" t="s">
        <v>3438</v>
      </c>
      <c r="D3630" s="1612">
        <v>0</v>
      </c>
      <c r="E3630" s="1706" t="s">
        <v>7592</v>
      </c>
      <c r="F3630" s="1613">
        <v>30465000</v>
      </c>
      <c r="G3630" s="1613">
        <v>164295892630</v>
      </c>
    </row>
    <row r="3631" spans="1:7" ht="17.25" customHeight="1" x14ac:dyDescent="0.2">
      <c r="A3631" s="1611">
        <v>16</v>
      </c>
      <c r="B3631" s="1611" t="s">
        <v>7251</v>
      </c>
      <c r="C3631" s="1611" t="s">
        <v>3438</v>
      </c>
      <c r="D3631" s="1612">
        <v>0</v>
      </c>
      <c r="E3631" s="1706" t="s">
        <v>7592</v>
      </c>
      <c r="F3631" s="1613">
        <v>30465000</v>
      </c>
      <c r="G3631" s="1613">
        <v>164326357630</v>
      </c>
    </row>
    <row r="3632" spans="1:7" ht="17.25" customHeight="1" x14ac:dyDescent="0.2">
      <c r="A3632" s="1611">
        <v>16</v>
      </c>
      <c r="B3632" s="1611" t="s">
        <v>7251</v>
      </c>
      <c r="C3632" s="1611" t="s">
        <v>3438</v>
      </c>
      <c r="D3632" s="1612">
        <v>0</v>
      </c>
      <c r="E3632" s="1706" t="s">
        <v>7592</v>
      </c>
      <c r="F3632" s="1613">
        <v>30465000</v>
      </c>
      <c r="G3632" s="1613">
        <v>164356822630</v>
      </c>
    </row>
    <row r="3633" spans="1:7" ht="17.25" customHeight="1" x14ac:dyDescent="0.2">
      <c r="A3633" s="1611">
        <v>16</v>
      </c>
      <c r="B3633" s="1611" t="s">
        <v>7251</v>
      </c>
      <c r="C3633" s="1611" t="s">
        <v>3438</v>
      </c>
      <c r="D3633" s="1612">
        <v>0</v>
      </c>
      <c r="E3633" s="1706" t="s">
        <v>7592</v>
      </c>
      <c r="F3633" s="1613">
        <v>30465000</v>
      </c>
      <c r="G3633" s="1613">
        <v>164387287630</v>
      </c>
    </row>
    <row r="3634" spans="1:7" ht="17.25" customHeight="1" x14ac:dyDescent="0.2">
      <c r="A3634" s="1611">
        <v>16</v>
      </c>
      <c r="B3634" s="1611" t="s">
        <v>7251</v>
      </c>
      <c r="C3634" s="1611" t="s">
        <v>3438</v>
      </c>
      <c r="D3634" s="1612">
        <v>0</v>
      </c>
      <c r="E3634" s="1706" t="s">
        <v>7592</v>
      </c>
      <c r="F3634" s="1613">
        <v>30465000</v>
      </c>
      <c r="G3634" s="1613">
        <v>164417752630</v>
      </c>
    </row>
    <row r="3635" spans="1:7" ht="17.25" customHeight="1" x14ac:dyDescent="0.2">
      <c r="A3635" s="1611">
        <v>16</v>
      </c>
      <c r="B3635" s="1611" t="s">
        <v>7251</v>
      </c>
      <c r="C3635" s="1611" t="s">
        <v>3438</v>
      </c>
      <c r="D3635" s="1612">
        <v>0</v>
      </c>
      <c r="E3635" s="1706" t="s">
        <v>7592</v>
      </c>
      <c r="F3635" s="1613">
        <v>30465000</v>
      </c>
      <c r="G3635" s="1613">
        <v>164448217630</v>
      </c>
    </row>
    <row r="3636" spans="1:7" ht="17.25" customHeight="1" x14ac:dyDescent="0.2">
      <c r="A3636" s="1611">
        <v>16</v>
      </c>
      <c r="B3636" s="1611" t="s">
        <v>7251</v>
      </c>
      <c r="C3636" s="1611" t="s">
        <v>3438</v>
      </c>
      <c r="D3636" s="1612">
        <v>0</v>
      </c>
      <c r="E3636" s="1706" t="s">
        <v>7592</v>
      </c>
      <c r="F3636" s="1613">
        <v>30465000</v>
      </c>
      <c r="G3636" s="1613">
        <v>164478682630</v>
      </c>
    </row>
    <row r="3637" spans="1:7" ht="17.25" customHeight="1" x14ac:dyDescent="0.2">
      <c r="A3637" s="1611">
        <v>16</v>
      </c>
      <c r="B3637" s="1611" t="s">
        <v>7251</v>
      </c>
      <c r="C3637" s="1611" t="s">
        <v>3438</v>
      </c>
      <c r="D3637" s="1612">
        <v>0</v>
      </c>
      <c r="E3637" s="1706" t="s">
        <v>7592</v>
      </c>
      <c r="F3637" s="1613">
        <v>30465000</v>
      </c>
      <c r="G3637" s="1613">
        <v>164509147630</v>
      </c>
    </row>
    <row r="3638" spans="1:7" ht="17.25" customHeight="1" x14ac:dyDescent="0.2">
      <c r="A3638" s="1611">
        <v>16</v>
      </c>
      <c r="B3638" s="1611" t="s">
        <v>7251</v>
      </c>
      <c r="C3638" s="1611" t="s">
        <v>3438</v>
      </c>
      <c r="D3638" s="1612">
        <v>0</v>
      </c>
      <c r="E3638" s="1706" t="s">
        <v>7592</v>
      </c>
      <c r="F3638" s="1613">
        <v>30465000</v>
      </c>
      <c r="G3638" s="1613">
        <v>164539612630</v>
      </c>
    </row>
    <row r="3639" spans="1:7" ht="17.25" customHeight="1" x14ac:dyDescent="0.2">
      <c r="A3639" s="1611">
        <v>16</v>
      </c>
      <c r="B3639" s="1611" t="s">
        <v>7251</v>
      </c>
      <c r="C3639" s="1611" t="s">
        <v>3438</v>
      </c>
      <c r="D3639" s="1612">
        <v>0</v>
      </c>
      <c r="E3639" s="1706" t="s">
        <v>7592</v>
      </c>
      <c r="F3639" s="1613">
        <v>30465000</v>
      </c>
      <c r="G3639" s="1613">
        <v>164570077630</v>
      </c>
    </row>
    <row r="3640" spans="1:7" ht="17.25" customHeight="1" x14ac:dyDescent="0.2">
      <c r="A3640" s="1611">
        <v>16</v>
      </c>
      <c r="B3640" s="1611" t="s">
        <v>7251</v>
      </c>
      <c r="C3640" s="1611" t="s">
        <v>3438</v>
      </c>
      <c r="D3640" s="1612">
        <v>0</v>
      </c>
      <c r="E3640" s="1706" t="s">
        <v>7592</v>
      </c>
      <c r="F3640" s="1613">
        <v>30465000</v>
      </c>
      <c r="G3640" s="1613">
        <v>164600542630</v>
      </c>
    </row>
    <row r="3641" spans="1:7" ht="17.25" customHeight="1" x14ac:dyDescent="0.2">
      <c r="A3641" s="1611">
        <v>16</v>
      </c>
      <c r="B3641" s="1611" t="s">
        <v>7251</v>
      </c>
      <c r="C3641" s="1611" t="s">
        <v>3438</v>
      </c>
      <c r="D3641" s="1612">
        <v>0</v>
      </c>
      <c r="E3641" s="1706" t="s">
        <v>7592</v>
      </c>
      <c r="F3641" s="1613">
        <v>30465000</v>
      </c>
      <c r="G3641" s="1613">
        <v>164631007630</v>
      </c>
    </row>
    <row r="3642" spans="1:7" ht="17.25" customHeight="1" x14ac:dyDescent="0.2">
      <c r="A3642" s="1611">
        <v>16</v>
      </c>
      <c r="B3642" s="1611" t="s">
        <v>7176</v>
      </c>
      <c r="C3642" s="1611" t="s">
        <v>5260</v>
      </c>
      <c r="D3642" s="1612">
        <v>0</v>
      </c>
      <c r="E3642" s="1706" t="s">
        <v>7592</v>
      </c>
      <c r="F3642" s="1613">
        <v>39818182</v>
      </c>
      <c r="G3642" s="1613">
        <v>164670825812</v>
      </c>
    </row>
    <row r="3643" spans="1:7" ht="17.25" customHeight="1" x14ac:dyDescent="0.2">
      <c r="A3643" s="1611">
        <v>16</v>
      </c>
      <c r="B3643" s="1611" t="s">
        <v>7176</v>
      </c>
      <c r="C3643" s="1611" t="s">
        <v>5760</v>
      </c>
      <c r="D3643" s="1612">
        <v>0</v>
      </c>
      <c r="E3643" s="1706" t="s">
        <v>7592</v>
      </c>
      <c r="F3643" s="1613">
        <v>33900000</v>
      </c>
      <c r="G3643" s="1613">
        <v>164704725812</v>
      </c>
    </row>
    <row r="3644" spans="1:7" ht="17.25" customHeight="1" x14ac:dyDescent="0.2">
      <c r="A3644" s="1611">
        <v>16</v>
      </c>
      <c r="B3644" s="1611" t="s">
        <v>7176</v>
      </c>
      <c r="C3644" s="1611" t="s">
        <v>5761</v>
      </c>
      <c r="D3644" s="1612">
        <v>0</v>
      </c>
      <c r="E3644" s="1706" t="s">
        <v>7592</v>
      </c>
      <c r="F3644" s="1613">
        <v>38000000</v>
      </c>
      <c r="G3644" s="1613">
        <v>164742725812</v>
      </c>
    </row>
    <row r="3645" spans="1:7" ht="17.25" customHeight="1" x14ac:dyDescent="0.2">
      <c r="A3645" s="1611">
        <v>16</v>
      </c>
      <c r="B3645" s="1611" t="s">
        <v>7251</v>
      </c>
      <c r="C3645" s="1611" t="s">
        <v>3438</v>
      </c>
      <c r="D3645" s="1612">
        <v>0</v>
      </c>
      <c r="E3645" s="1706" t="s">
        <v>7592</v>
      </c>
      <c r="F3645" s="1613">
        <v>30465000</v>
      </c>
      <c r="G3645" s="1613">
        <v>164773190812</v>
      </c>
    </row>
    <row r="3646" spans="1:7" ht="17.25" customHeight="1" x14ac:dyDescent="0.2">
      <c r="A3646" s="1611">
        <v>16</v>
      </c>
      <c r="B3646" s="1611" t="s">
        <v>7251</v>
      </c>
      <c r="C3646" s="1611" t="s">
        <v>3438</v>
      </c>
      <c r="D3646" s="1612">
        <v>0</v>
      </c>
      <c r="E3646" s="1706" t="s">
        <v>7592</v>
      </c>
      <c r="F3646" s="1613">
        <v>30465000</v>
      </c>
      <c r="G3646" s="1613">
        <v>164803655812</v>
      </c>
    </row>
    <row r="3647" spans="1:7" ht="17.25" customHeight="1" x14ac:dyDescent="0.2">
      <c r="A3647" s="1611">
        <v>16</v>
      </c>
      <c r="B3647" s="1611" t="s">
        <v>7251</v>
      </c>
      <c r="C3647" s="1611" t="s">
        <v>3438</v>
      </c>
      <c r="D3647" s="1612">
        <v>0</v>
      </c>
      <c r="E3647" s="1706" t="s">
        <v>7592</v>
      </c>
      <c r="F3647" s="1613">
        <v>30465000</v>
      </c>
      <c r="G3647" s="1613">
        <v>164834120812</v>
      </c>
    </row>
    <row r="3648" spans="1:7" ht="17.25" customHeight="1" x14ac:dyDescent="0.2">
      <c r="A3648" s="1611">
        <v>16</v>
      </c>
      <c r="B3648" s="1611" t="s">
        <v>7251</v>
      </c>
      <c r="C3648" s="1611" t="s">
        <v>3438</v>
      </c>
      <c r="D3648" s="1612">
        <v>0</v>
      </c>
      <c r="E3648" s="1706" t="s">
        <v>7592</v>
      </c>
      <c r="F3648" s="1613">
        <v>30465000</v>
      </c>
      <c r="G3648" s="1613">
        <v>164864585812</v>
      </c>
    </row>
    <row r="3649" spans="1:7" ht="17.25" customHeight="1" x14ac:dyDescent="0.2">
      <c r="A3649" s="1611">
        <v>16</v>
      </c>
      <c r="B3649" s="1611" t="s">
        <v>7251</v>
      </c>
      <c r="C3649" s="1611" t="s">
        <v>3438</v>
      </c>
      <c r="D3649" s="1612">
        <v>0</v>
      </c>
      <c r="E3649" s="1706" t="s">
        <v>7592</v>
      </c>
      <c r="F3649" s="1613">
        <v>30465000</v>
      </c>
      <c r="G3649" s="1613">
        <v>164895050812</v>
      </c>
    </row>
    <row r="3650" spans="1:7" ht="17.25" customHeight="1" x14ac:dyDescent="0.2">
      <c r="A3650" s="1611">
        <v>16</v>
      </c>
      <c r="B3650" s="1611" t="s">
        <v>7251</v>
      </c>
      <c r="C3650" s="1611" t="s">
        <v>3438</v>
      </c>
      <c r="D3650" s="1612">
        <v>0</v>
      </c>
      <c r="E3650" s="1706" t="s">
        <v>7592</v>
      </c>
      <c r="F3650" s="1613">
        <v>30465000</v>
      </c>
      <c r="G3650" s="1613">
        <v>164925515812</v>
      </c>
    </row>
    <row r="3651" spans="1:7" ht="17.25" customHeight="1" x14ac:dyDescent="0.2">
      <c r="A3651" s="1611">
        <v>16</v>
      </c>
      <c r="B3651" s="1611" t="s">
        <v>7251</v>
      </c>
      <c r="C3651" s="1611" t="s">
        <v>3438</v>
      </c>
      <c r="D3651" s="1612">
        <v>0</v>
      </c>
      <c r="E3651" s="1706" t="s">
        <v>7592</v>
      </c>
      <c r="F3651" s="1613">
        <v>30465000</v>
      </c>
      <c r="G3651" s="1613">
        <v>164955980812</v>
      </c>
    </row>
    <row r="3652" spans="1:7" ht="17.25" customHeight="1" x14ac:dyDescent="0.2">
      <c r="A3652" s="1611">
        <v>16</v>
      </c>
      <c r="B3652" s="1611" t="s">
        <v>7251</v>
      </c>
      <c r="C3652" s="1611" t="s">
        <v>3438</v>
      </c>
      <c r="D3652" s="1612">
        <v>0</v>
      </c>
      <c r="E3652" s="1706" t="s">
        <v>7592</v>
      </c>
      <c r="F3652" s="1613">
        <v>30465000</v>
      </c>
      <c r="G3652" s="1613">
        <v>164986445812</v>
      </c>
    </row>
    <row r="3653" spans="1:7" ht="17.25" customHeight="1" x14ac:dyDescent="0.2">
      <c r="A3653" s="1611">
        <v>16</v>
      </c>
      <c r="B3653" s="1611" t="s">
        <v>7251</v>
      </c>
      <c r="C3653" s="1611" t="s">
        <v>3438</v>
      </c>
      <c r="D3653" s="1612">
        <v>0</v>
      </c>
      <c r="E3653" s="1706" t="s">
        <v>7592</v>
      </c>
      <c r="F3653" s="1613">
        <v>30465000</v>
      </c>
      <c r="G3653" s="1613">
        <v>165016910812</v>
      </c>
    </row>
    <row r="3654" spans="1:7" ht="17.25" customHeight="1" x14ac:dyDescent="0.2">
      <c r="A3654" s="1611">
        <v>16</v>
      </c>
      <c r="B3654" s="1611" t="s">
        <v>7251</v>
      </c>
      <c r="C3654" s="1611" t="s">
        <v>3438</v>
      </c>
      <c r="D3654" s="1612">
        <v>0</v>
      </c>
      <c r="E3654" s="1706" t="s">
        <v>7592</v>
      </c>
      <c r="F3654" s="1613">
        <v>30465000</v>
      </c>
      <c r="G3654" s="1613">
        <v>165047375812</v>
      </c>
    </row>
    <row r="3655" spans="1:7" ht="17.25" customHeight="1" x14ac:dyDescent="0.2">
      <c r="A3655" s="1611">
        <v>16</v>
      </c>
      <c r="B3655" s="1611" t="s">
        <v>7251</v>
      </c>
      <c r="C3655" s="1611" t="s">
        <v>3438</v>
      </c>
      <c r="D3655" s="1612">
        <v>0</v>
      </c>
      <c r="E3655" s="1706" t="s">
        <v>7592</v>
      </c>
      <c r="F3655" s="1613">
        <v>30465000</v>
      </c>
      <c r="G3655" s="1613">
        <v>165077840812</v>
      </c>
    </row>
    <row r="3656" spans="1:7" ht="17.25" customHeight="1" x14ac:dyDescent="0.2">
      <c r="A3656" s="1611">
        <v>16</v>
      </c>
      <c r="B3656" s="1611" t="s">
        <v>7251</v>
      </c>
      <c r="C3656" s="1611" t="s">
        <v>3438</v>
      </c>
      <c r="D3656" s="1612">
        <v>0</v>
      </c>
      <c r="E3656" s="1706" t="s">
        <v>7592</v>
      </c>
      <c r="F3656" s="1613">
        <v>30465000</v>
      </c>
      <c r="G3656" s="1613">
        <v>165108305812</v>
      </c>
    </row>
    <row r="3657" spans="1:7" ht="17.25" customHeight="1" x14ac:dyDescent="0.2">
      <c r="A3657" s="1611">
        <v>16</v>
      </c>
      <c r="B3657" s="1611" t="s">
        <v>7310</v>
      </c>
      <c r="C3657" s="1611" t="s">
        <v>5250</v>
      </c>
      <c r="D3657" s="1612">
        <v>0</v>
      </c>
      <c r="E3657" s="1706" t="s">
        <v>7592</v>
      </c>
      <c r="F3657" s="1613">
        <v>90069820</v>
      </c>
      <c r="G3657" s="1613">
        <v>165198375632</v>
      </c>
    </row>
    <row r="3658" spans="1:7" ht="17.25" customHeight="1" x14ac:dyDescent="0.2">
      <c r="A3658" s="1611">
        <v>16</v>
      </c>
      <c r="B3658" s="1611" t="s">
        <v>7310</v>
      </c>
      <c r="C3658" s="1611" t="s">
        <v>5250</v>
      </c>
      <c r="D3658" s="1612">
        <v>0</v>
      </c>
      <c r="E3658" s="1706" t="s">
        <v>7592</v>
      </c>
      <c r="F3658" s="1613">
        <v>90069820</v>
      </c>
      <c r="G3658" s="1613">
        <v>165288445452</v>
      </c>
    </row>
    <row r="3659" spans="1:7" ht="17.25" customHeight="1" x14ac:dyDescent="0.2">
      <c r="A3659" s="1611">
        <v>16</v>
      </c>
      <c r="B3659" s="1611" t="s">
        <v>7310</v>
      </c>
      <c r="C3659" s="1611" t="s">
        <v>5250</v>
      </c>
      <c r="D3659" s="1612">
        <v>0</v>
      </c>
      <c r="E3659" s="1706" t="s">
        <v>7592</v>
      </c>
      <c r="F3659" s="1613">
        <v>90069820</v>
      </c>
      <c r="G3659" s="1613">
        <v>165378515272</v>
      </c>
    </row>
    <row r="3660" spans="1:7" ht="17.25" customHeight="1" x14ac:dyDescent="0.2">
      <c r="A3660" s="1611">
        <v>16</v>
      </c>
      <c r="B3660" s="1611" t="s">
        <v>7310</v>
      </c>
      <c r="C3660" s="1611" t="s">
        <v>5250</v>
      </c>
      <c r="D3660" s="1612">
        <v>0</v>
      </c>
      <c r="E3660" s="1706" t="s">
        <v>7592</v>
      </c>
      <c r="F3660" s="1613">
        <v>90069820</v>
      </c>
      <c r="G3660" s="1613">
        <v>165468585092</v>
      </c>
    </row>
    <row r="3661" spans="1:7" ht="17.25" customHeight="1" x14ac:dyDescent="0.2">
      <c r="A3661" s="1611">
        <v>16</v>
      </c>
      <c r="B3661" s="1611" t="s">
        <v>7310</v>
      </c>
      <c r="C3661" s="1611" t="s">
        <v>5250</v>
      </c>
      <c r="D3661" s="1612">
        <v>0</v>
      </c>
      <c r="E3661" s="1706" t="s">
        <v>7592</v>
      </c>
      <c r="F3661" s="1613">
        <v>90069820</v>
      </c>
      <c r="G3661" s="1613">
        <v>165558654912</v>
      </c>
    </row>
    <row r="3662" spans="1:7" ht="17.25" customHeight="1" x14ac:dyDescent="0.2">
      <c r="A3662" s="1611">
        <v>16</v>
      </c>
      <c r="B3662" s="1611" t="s">
        <v>7310</v>
      </c>
      <c r="C3662" s="1611" t="s">
        <v>5250</v>
      </c>
      <c r="D3662" s="1612">
        <v>0</v>
      </c>
      <c r="E3662" s="1706" t="s">
        <v>7592</v>
      </c>
      <c r="F3662" s="1613">
        <v>90069820</v>
      </c>
      <c r="G3662" s="1613">
        <v>165648724732</v>
      </c>
    </row>
    <row r="3663" spans="1:7" ht="17.25" customHeight="1" x14ac:dyDescent="0.2">
      <c r="A3663" s="1611">
        <v>16</v>
      </c>
      <c r="B3663" s="1611" t="s">
        <v>7310</v>
      </c>
      <c r="C3663" s="1611" t="s">
        <v>5250</v>
      </c>
      <c r="D3663" s="1612">
        <v>0</v>
      </c>
      <c r="E3663" s="1706" t="s">
        <v>7592</v>
      </c>
      <c r="F3663" s="1613">
        <v>90069820</v>
      </c>
      <c r="G3663" s="1613">
        <v>165738794552</v>
      </c>
    </row>
    <row r="3664" spans="1:7" ht="17.25" customHeight="1" x14ac:dyDescent="0.2">
      <c r="A3664" s="1611">
        <v>16</v>
      </c>
      <c r="B3664" s="1611" t="s">
        <v>7310</v>
      </c>
      <c r="C3664" s="1611" t="s">
        <v>5250</v>
      </c>
      <c r="D3664" s="1612">
        <v>0</v>
      </c>
      <c r="E3664" s="1706" t="s">
        <v>7592</v>
      </c>
      <c r="F3664" s="1613">
        <v>90069820</v>
      </c>
      <c r="G3664" s="1613">
        <v>165828864372</v>
      </c>
    </row>
    <row r="3665" spans="1:7" ht="17.25" customHeight="1" x14ac:dyDescent="0.2">
      <c r="A3665" s="1611">
        <v>16</v>
      </c>
      <c r="B3665" s="1611" t="s">
        <v>7310</v>
      </c>
      <c r="C3665" s="1611" t="s">
        <v>5250</v>
      </c>
      <c r="D3665" s="1612">
        <v>0</v>
      </c>
      <c r="E3665" s="1706" t="s">
        <v>7592</v>
      </c>
      <c r="F3665" s="1613">
        <v>90069820</v>
      </c>
      <c r="G3665" s="1613">
        <v>165918934192</v>
      </c>
    </row>
    <row r="3666" spans="1:7" ht="17.25" customHeight="1" x14ac:dyDescent="0.2">
      <c r="A3666" s="1611">
        <v>16</v>
      </c>
      <c r="B3666" s="1611" t="s">
        <v>7310</v>
      </c>
      <c r="C3666" s="1611" t="s">
        <v>5250</v>
      </c>
      <c r="D3666" s="1612">
        <v>0</v>
      </c>
      <c r="E3666" s="1706" t="s">
        <v>7592</v>
      </c>
      <c r="F3666" s="1613">
        <v>90069820</v>
      </c>
      <c r="G3666" s="1613">
        <v>166009004012</v>
      </c>
    </row>
    <row r="3667" spans="1:7" ht="17.25" customHeight="1" x14ac:dyDescent="0.2">
      <c r="A3667" s="1611">
        <v>16</v>
      </c>
      <c r="B3667" s="1611" t="s">
        <v>7203</v>
      </c>
      <c r="C3667" s="1611" t="s">
        <v>5762</v>
      </c>
      <c r="D3667" s="1612">
        <v>0</v>
      </c>
      <c r="E3667" s="1706" t="s">
        <v>7592</v>
      </c>
      <c r="F3667" s="1613">
        <v>34500000</v>
      </c>
      <c r="G3667" s="1613">
        <v>166043504012</v>
      </c>
    </row>
    <row r="3668" spans="1:7" ht="17.25" customHeight="1" x14ac:dyDescent="0.2">
      <c r="A3668" s="1611">
        <v>16</v>
      </c>
      <c r="B3668" s="1611" t="s">
        <v>7203</v>
      </c>
      <c r="C3668" s="1611" t="s">
        <v>5763</v>
      </c>
      <c r="D3668" s="1612">
        <v>0</v>
      </c>
      <c r="E3668" s="1706" t="s">
        <v>7592</v>
      </c>
      <c r="F3668" s="1613">
        <v>36181818</v>
      </c>
      <c r="G3668" s="1613">
        <v>166079685830</v>
      </c>
    </row>
    <row r="3669" spans="1:7" ht="17.25" customHeight="1" x14ac:dyDescent="0.2">
      <c r="A3669" s="1611">
        <v>16</v>
      </c>
      <c r="B3669" s="1611" t="s">
        <v>7251</v>
      </c>
      <c r="C3669" s="1611" t="s">
        <v>5764</v>
      </c>
      <c r="D3669" s="1612">
        <v>0</v>
      </c>
      <c r="E3669" s="1706" t="s">
        <v>7592</v>
      </c>
      <c r="F3669" s="1613">
        <v>36000000</v>
      </c>
      <c r="G3669" s="1613">
        <v>166115685830</v>
      </c>
    </row>
    <row r="3670" spans="1:7" ht="17.25" customHeight="1" x14ac:dyDescent="0.2">
      <c r="A3670" s="1611">
        <v>16</v>
      </c>
      <c r="B3670" s="1611" t="s">
        <v>7251</v>
      </c>
      <c r="C3670" s="1611" t="s">
        <v>5764</v>
      </c>
      <c r="D3670" s="1612">
        <v>0</v>
      </c>
      <c r="E3670" s="1706" t="s">
        <v>7592</v>
      </c>
      <c r="F3670" s="1613">
        <v>-36000000</v>
      </c>
      <c r="G3670" s="1613">
        <v>166079685830</v>
      </c>
    </row>
    <row r="3671" spans="1:7" ht="17.25" customHeight="1" x14ac:dyDescent="0.2">
      <c r="A3671" s="1611">
        <v>16</v>
      </c>
      <c r="B3671" s="1611" t="s">
        <v>7203</v>
      </c>
      <c r="C3671" s="1611" t="s">
        <v>5764</v>
      </c>
      <c r="D3671" s="1612">
        <v>0</v>
      </c>
      <c r="E3671" s="1706" t="s">
        <v>7592</v>
      </c>
      <c r="F3671" s="1613">
        <v>36000000</v>
      </c>
      <c r="G3671" s="1613">
        <v>166115685830</v>
      </c>
    </row>
    <row r="3672" spans="1:7" ht="17.25" customHeight="1" x14ac:dyDescent="0.2">
      <c r="A3672" s="1611">
        <v>16</v>
      </c>
      <c r="B3672" s="1611" t="s">
        <v>7203</v>
      </c>
      <c r="C3672" s="1611" t="s">
        <v>5272</v>
      </c>
      <c r="D3672" s="1612">
        <v>0</v>
      </c>
      <c r="E3672" s="1706" t="s">
        <v>7592</v>
      </c>
      <c r="F3672" s="1613">
        <v>33400000</v>
      </c>
      <c r="G3672" s="1613">
        <v>166149085830</v>
      </c>
    </row>
    <row r="3673" spans="1:7" ht="17.25" customHeight="1" x14ac:dyDescent="0.2">
      <c r="A3673" s="1611">
        <v>16</v>
      </c>
      <c r="B3673" s="1611" t="s">
        <v>7245</v>
      </c>
      <c r="C3673" s="1611" t="s">
        <v>5765</v>
      </c>
      <c r="D3673" s="1612">
        <v>0</v>
      </c>
      <c r="E3673" s="1706" t="s">
        <v>7592</v>
      </c>
      <c r="F3673" s="1613">
        <v>41000000</v>
      </c>
      <c r="G3673" s="1613">
        <v>166190085830</v>
      </c>
    </row>
    <row r="3674" spans="1:7" ht="17.25" customHeight="1" x14ac:dyDescent="0.2">
      <c r="A3674" s="1611">
        <v>16</v>
      </c>
      <c r="B3674" s="1611" t="s">
        <v>7203</v>
      </c>
      <c r="C3674" s="1611" t="s">
        <v>5766</v>
      </c>
      <c r="D3674" s="1612">
        <v>0</v>
      </c>
      <c r="E3674" s="1706" t="s">
        <v>7592</v>
      </c>
      <c r="F3674" s="1613">
        <v>35909090</v>
      </c>
      <c r="G3674" s="1613">
        <v>166225994920</v>
      </c>
    </row>
    <row r="3675" spans="1:7" ht="17.25" customHeight="1" x14ac:dyDescent="0.2">
      <c r="A3675" s="1611">
        <v>16</v>
      </c>
      <c r="B3675" s="1611" t="s">
        <v>7251</v>
      </c>
      <c r="C3675" s="1611" t="s">
        <v>5767</v>
      </c>
      <c r="D3675" s="1612">
        <v>0</v>
      </c>
      <c r="E3675" s="1706" t="s">
        <v>7592</v>
      </c>
      <c r="F3675" s="1613">
        <v>37700000</v>
      </c>
      <c r="G3675" s="1613">
        <v>166263694920</v>
      </c>
    </row>
    <row r="3676" spans="1:7" ht="17.25" customHeight="1" x14ac:dyDescent="0.2">
      <c r="A3676" s="1611">
        <v>16</v>
      </c>
      <c r="B3676" s="1611" t="s">
        <v>7247</v>
      </c>
      <c r="C3676" s="1611" t="s">
        <v>4245</v>
      </c>
      <c r="D3676" s="1612">
        <v>0</v>
      </c>
      <c r="E3676" s="1706" t="s">
        <v>7592</v>
      </c>
      <c r="F3676" s="1613">
        <v>43000000</v>
      </c>
      <c r="G3676" s="1613">
        <v>166306694920</v>
      </c>
    </row>
    <row r="3677" spans="1:7" ht="17.25" customHeight="1" x14ac:dyDescent="0.2">
      <c r="A3677" s="1611">
        <v>16</v>
      </c>
      <c r="B3677" s="1611" t="s">
        <v>7203</v>
      </c>
      <c r="C3677" s="1611" t="s">
        <v>5768</v>
      </c>
      <c r="D3677" s="1612">
        <v>0</v>
      </c>
      <c r="E3677" s="1706" t="s">
        <v>7592</v>
      </c>
      <c r="F3677" s="1613">
        <v>35909090</v>
      </c>
      <c r="G3677" s="1613">
        <v>166342604010</v>
      </c>
    </row>
    <row r="3678" spans="1:7" ht="17.25" customHeight="1" x14ac:dyDescent="0.2">
      <c r="A3678" s="1611">
        <v>16</v>
      </c>
      <c r="B3678" s="1611" t="s">
        <v>7282</v>
      </c>
      <c r="C3678" s="1611" t="s">
        <v>5769</v>
      </c>
      <c r="D3678" s="1612">
        <v>0</v>
      </c>
      <c r="E3678" s="1706" t="s">
        <v>7592</v>
      </c>
      <c r="F3678" s="1613">
        <v>157500000</v>
      </c>
      <c r="G3678" s="1613">
        <v>166500104010</v>
      </c>
    </row>
    <row r="3679" spans="1:7" ht="17.25" customHeight="1" x14ac:dyDescent="0.2">
      <c r="A3679" s="1611">
        <v>16</v>
      </c>
      <c r="B3679" s="1611" t="s">
        <v>7156</v>
      </c>
      <c r="C3679" s="1611" t="s">
        <v>5770</v>
      </c>
      <c r="D3679" s="1612">
        <v>0</v>
      </c>
      <c r="E3679" s="1706" t="s">
        <v>7592</v>
      </c>
      <c r="F3679" s="1613">
        <v>14300000</v>
      </c>
      <c r="G3679" s="1613">
        <v>166514404010</v>
      </c>
    </row>
    <row r="3680" spans="1:7" ht="17.25" customHeight="1" x14ac:dyDescent="0.2">
      <c r="A3680" s="1611">
        <v>16</v>
      </c>
      <c r="B3680" s="1611" t="s">
        <v>7154</v>
      </c>
      <c r="C3680" s="1611" t="s">
        <v>3928</v>
      </c>
      <c r="D3680" s="1612">
        <v>0</v>
      </c>
      <c r="E3680" s="1706" t="s">
        <v>7592</v>
      </c>
      <c r="F3680" s="1613">
        <v>53516364</v>
      </c>
      <c r="G3680" s="1613">
        <v>166567920374</v>
      </c>
    </row>
    <row r="3681" spans="1:7" ht="17.25" customHeight="1" x14ac:dyDescent="0.2">
      <c r="A3681" s="1611">
        <v>16</v>
      </c>
      <c r="B3681" s="1611" t="s">
        <v>7310</v>
      </c>
      <c r="C3681" s="1611" t="s">
        <v>5250</v>
      </c>
      <c r="D3681" s="1612">
        <v>0</v>
      </c>
      <c r="E3681" s="1706" t="s">
        <v>7592</v>
      </c>
      <c r="F3681" s="1613">
        <v>90069820</v>
      </c>
      <c r="G3681" s="1613">
        <v>166657990194</v>
      </c>
    </row>
    <row r="3682" spans="1:7" ht="17.25" customHeight="1" x14ac:dyDescent="0.2">
      <c r="A3682" s="1611">
        <v>16</v>
      </c>
      <c r="B3682" s="1611" t="s">
        <v>7310</v>
      </c>
      <c r="C3682" s="1611" t="s">
        <v>5250</v>
      </c>
      <c r="D3682" s="1612">
        <v>0</v>
      </c>
      <c r="E3682" s="1706" t="s">
        <v>7592</v>
      </c>
      <c r="F3682" s="1613">
        <v>90069820</v>
      </c>
      <c r="G3682" s="1613">
        <v>166748060014</v>
      </c>
    </row>
    <row r="3683" spans="1:7" ht="17.25" customHeight="1" x14ac:dyDescent="0.2">
      <c r="A3683" s="1611">
        <v>16</v>
      </c>
      <c r="B3683" s="1611" t="s">
        <v>7310</v>
      </c>
      <c r="C3683" s="1611" t="s">
        <v>5250</v>
      </c>
      <c r="D3683" s="1612">
        <v>0</v>
      </c>
      <c r="E3683" s="1706" t="s">
        <v>7592</v>
      </c>
      <c r="F3683" s="1613">
        <v>90069820</v>
      </c>
      <c r="G3683" s="1613">
        <v>166838129834</v>
      </c>
    </row>
    <row r="3684" spans="1:7" ht="17.25" customHeight="1" x14ac:dyDescent="0.2">
      <c r="A3684" s="1611">
        <v>16</v>
      </c>
      <c r="B3684" s="1611" t="s">
        <v>7310</v>
      </c>
      <c r="C3684" s="1611" t="s">
        <v>5250</v>
      </c>
      <c r="D3684" s="1612">
        <v>0</v>
      </c>
      <c r="E3684" s="1706" t="s">
        <v>7592</v>
      </c>
      <c r="F3684" s="1613">
        <v>90069820</v>
      </c>
      <c r="G3684" s="1613">
        <v>166928199654</v>
      </c>
    </row>
    <row r="3685" spans="1:7" ht="17.25" customHeight="1" x14ac:dyDescent="0.2">
      <c r="A3685" s="1611">
        <v>16</v>
      </c>
      <c r="B3685" s="1611" t="s">
        <v>7310</v>
      </c>
      <c r="C3685" s="1611" t="s">
        <v>5250</v>
      </c>
      <c r="D3685" s="1612">
        <v>0</v>
      </c>
      <c r="E3685" s="1706" t="s">
        <v>7592</v>
      </c>
      <c r="F3685" s="1613">
        <v>90069820</v>
      </c>
      <c r="G3685" s="1613">
        <v>167018269474</v>
      </c>
    </row>
    <row r="3686" spans="1:7" ht="17.25" customHeight="1" x14ac:dyDescent="0.2">
      <c r="A3686" s="1611">
        <v>16</v>
      </c>
      <c r="B3686" s="1611" t="s">
        <v>7310</v>
      </c>
      <c r="C3686" s="1611" t="s">
        <v>5250</v>
      </c>
      <c r="D3686" s="1612">
        <v>0</v>
      </c>
      <c r="E3686" s="1706" t="s">
        <v>7592</v>
      </c>
      <c r="F3686" s="1613">
        <v>90069820</v>
      </c>
      <c r="G3686" s="1613">
        <v>167108339294</v>
      </c>
    </row>
    <row r="3687" spans="1:7" ht="17.25" customHeight="1" x14ac:dyDescent="0.2">
      <c r="A3687" s="1611">
        <v>16</v>
      </c>
      <c r="B3687" s="1611" t="s">
        <v>7310</v>
      </c>
      <c r="C3687" s="1611" t="s">
        <v>5250</v>
      </c>
      <c r="D3687" s="1612">
        <v>0</v>
      </c>
      <c r="E3687" s="1706" t="s">
        <v>7592</v>
      </c>
      <c r="F3687" s="1613">
        <v>90069820</v>
      </c>
      <c r="G3687" s="1613">
        <v>167198409114</v>
      </c>
    </row>
    <row r="3688" spans="1:7" ht="17.25" customHeight="1" x14ac:dyDescent="0.2">
      <c r="A3688" s="1611">
        <v>16</v>
      </c>
      <c r="B3688" s="1611" t="s">
        <v>7310</v>
      </c>
      <c r="C3688" s="1611" t="s">
        <v>5250</v>
      </c>
      <c r="D3688" s="1612">
        <v>0</v>
      </c>
      <c r="E3688" s="1706" t="s">
        <v>7592</v>
      </c>
      <c r="F3688" s="1613">
        <v>90069820</v>
      </c>
      <c r="G3688" s="1613">
        <v>167288478934</v>
      </c>
    </row>
    <row r="3689" spans="1:7" ht="17.25" customHeight="1" x14ac:dyDescent="0.2">
      <c r="A3689" s="1611">
        <v>16</v>
      </c>
      <c r="B3689" s="1611" t="s">
        <v>7310</v>
      </c>
      <c r="C3689" s="1611" t="s">
        <v>5250</v>
      </c>
      <c r="D3689" s="1612">
        <v>0</v>
      </c>
      <c r="E3689" s="1706" t="s">
        <v>7592</v>
      </c>
      <c r="F3689" s="1613">
        <v>90069820</v>
      </c>
      <c r="G3689" s="1613">
        <v>167378548754</v>
      </c>
    </row>
    <row r="3690" spans="1:7" ht="17.25" customHeight="1" x14ac:dyDescent="0.2">
      <c r="A3690" s="1611">
        <v>16</v>
      </c>
      <c r="B3690" s="1611" t="s">
        <v>7310</v>
      </c>
      <c r="C3690" s="1611" t="s">
        <v>5250</v>
      </c>
      <c r="D3690" s="1612">
        <v>0</v>
      </c>
      <c r="E3690" s="1706" t="s">
        <v>7592</v>
      </c>
      <c r="F3690" s="1613">
        <v>90069820</v>
      </c>
      <c r="G3690" s="1613">
        <v>167468618574</v>
      </c>
    </row>
    <row r="3691" spans="1:7" ht="17.25" customHeight="1" x14ac:dyDescent="0.2">
      <c r="A3691" s="1611">
        <v>16</v>
      </c>
      <c r="B3691" s="1611" t="s">
        <v>7154</v>
      </c>
      <c r="C3691" s="1611" t="s">
        <v>5771</v>
      </c>
      <c r="D3691" s="1612">
        <v>0</v>
      </c>
      <c r="E3691" s="1706" t="s">
        <v>7592</v>
      </c>
      <c r="F3691" s="1613">
        <v>53636364</v>
      </c>
      <c r="G3691" s="1613">
        <v>167522254938</v>
      </c>
    </row>
    <row r="3692" spans="1:7" ht="17.25" customHeight="1" x14ac:dyDescent="0.2">
      <c r="A3692" s="1611">
        <v>16</v>
      </c>
      <c r="B3692" s="1611" t="s">
        <v>7213</v>
      </c>
      <c r="C3692" s="1611" t="s">
        <v>5336</v>
      </c>
      <c r="D3692" s="1612">
        <v>0</v>
      </c>
      <c r="E3692" s="1706" t="s">
        <v>7592</v>
      </c>
      <c r="F3692" s="1613">
        <v>17250000</v>
      </c>
      <c r="G3692" s="1613">
        <v>167539504938</v>
      </c>
    </row>
    <row r="3693" spans="1:7" ht="17.25" customHeight="1" x14ac:dyDescent="0.2">
      <c r="A3693" s="1611">
        <v>16</v>
      </c>
      <c r="B3693" s="1611" t="s">
        <v>7251</v>
      </c>
      <c r="C3693" s="1611" t="s">
        <v>3438</v>
      </c>
      <c r="D3693" s="1612">
        <v>0</v>
      </c>
      <c r="E3693" s="1706" t="s">
        <v>7592</v>
      </c>
      <c r="F3693" s="1613">
        <v>30465000</v>
      </c>
      <c r="G3693" s="1613">
        <v>167569969938</v>
      </c>
    </row>
    <row r="3694" spans="1:7" ht="17.25" customHeight="1" x14ac:dyDescent="0.2">
      <c r="A3694" s="1611">
        <v>16</v>
      </c>
      <c r="B3694" s="1611" t="s">
        <v>7251</v>
      </c>
      <c r="C3694" s="1611" t="s">
        <v>3438</v>
      </c>
      <c r="D3694" s="1612">
        <v>0</v>
      </c>
      <c r="E3694" s="1706" t="s">
        <v>7592</v>
      </c>
      <c r="F3694" s="1613">
        <v>30465000</v>
      </c>
      <c r="G3694" s="1613">
        <v>167600434938</v>
      </c>
    </row>
    <row r="3695" spans="1:7" ht="17.25" customHeight="1" x14ac:dyDescent="0.2">
      <c r="A3695" s="1611">
        <v>16</v>
      </c>
      <c r="B3695" s="1611" t="s">
        <v>7251</v>
      </c>
      <c r="C3695" s="1611" t="s">
        <v>3438</v>
      </c>
      <c r="D3695" s="1612">
        <v>0</v>
      </c>
      <c r="E3695" s="1706" t="s">
        <v>7592</v>
      </c>
      <c r="F3695" s="1613">
        <v>30465000</v>
      </c>
      <c r="G3695" s="1613">
        <v>167630899938</v>
      </c>
    </row>
    <row r="3696" spans="1:7" ht="17.25" customHeight="1" x14ac:dyDescent="0.2">
      <c r="A3696" s="1611">
        <v>16</v>
      </c>
      <c r="B3696" s="1611" t="s">
        <v>7251</v>
      </c>
      <c r="C3696" s="1611" t="s">
        <v>3438</v>
      </c>
      <c r="D3696" s="1612">
        <v>0</v>
      </c>
      <c r="E3696" s="1706" t="s">
        <v>7592</v>
      </c>
      <c r="F3696" s="1613">
        <v>30465000</v>
      </c>
      <c r="G3696" s="1613">
        <v>167661364938</v>
      </c>
    </row>
    <row r="3697" spans="1:7" ht="17.25" customHeight="1" x14ac:dyDescent="0.2">
      <c r="A3697" s="1611">
        <v>16</v>
      </c>
      <c r="B3697" s="1611" t="s">
        <v>7251</v>
      </c>
      <c r="C3697" s="1611" t="s">
        <v>3438</v>
      </c>
      <c r="D3697" s="1612">
        <v>0</v>
      </c>
      <c r="E3697" s="1706" t="s">
        <v>7592</v>
      </c>
      <c r="F3697" s="1613">
        <v>30465000</v>
      </c>
      <c r="G3697" s="1613">
        <v>167691829938</v>
      </c>
    </row>
    <row r="3698" spans="1:7" ht="17.25" customHeight="1" x14ac:dyDescent="0.2">
      <c r="A3698" s="1611">
        <v>16</v>
      </c>
      <c r="B3698" s="1611" t="s">
        <v>7154</v>
      </c>
      <c r="C3698" s="1611" t="s">
        <v>5772</v>
      </c>
      <c r="D3698" s="1612">
        <v>0</v>
      </c>
      <c r="E3698" s="1706" t="s">
        <v>7592</v>
      </c>
      <c r="F3698" s="1613">
        <v>50500000</v>
      </c>
      <c r="G3698" s="1613">
        <v>167742329938</v>
      </c>
    </row>
    <row r="3699" spans="1:7" ht="17.25" customHeight="1" x14ac:dyDescent="0.2">
      <c r="A3699" s="1611">
        <v>16</v>
      </c>
      <c r="B3699" s="1611" t="s">
        <v>7154</v>
      </c>
      <c r="C3699" s="1611" t="s">
        <v>5772</v>
      </c>
      <c r="D3699" s="1612">
        <v>0</v>
      </c>
      <c r="E3699" s="1706" t="s">
        <v>7592</v>
      </c>
      <c r="F3699" s="1613">
        <v>50500000</v>
      </c>
      <c r="G3699" s="1613">
        <v>167792829938</v>
      </c>
    </row>
    <row r="3700" spans="1:7" ht="17.25" customHeight="1" x14ac:dyDescent="0.2">
      <c r="A3700" s="1611">
        <v>16</v>
      </c>
      <c r="B3700" s="1611" t="s">
        <v>7154</v>
      </c>
      <c r="C3700" s="1611" t="s">
        <v>5773</v>
      </c>
      <c r="D3700" s="1612">
        <v>0</v>
      </c>
      <c r="E3700" s="1706" t="s">
        <v>7592</v>
      </c>
      <c r="F3700" s="1613">
        <v>50909091</v>
      </c>
      <c r="G3700" s="1613">
        <v>167843739029</v>
      </c>
    </row>
    <row r="3701" spans="1:7" ht="17.25" customHeight="1" x14ac:dyDescent="0.2">
      <c r="A3701" s="1611">
        <v>16</v>
      </c>
      <c r="B3701" s="1611" t="s">
        <v>7261</v>
      </c>
      <c r="C3701" s="1611" t="s">
        <v>5774</v>
      </c>
      <c r="D3701" s="1612">
        <v>0</v>
      </c>
      <c r="E3701" s="1706" t="s">
        <v>7592</v>
      </c>
      <c r="F3701" s="1613">
        <v>143000000</v>
      </c>
      <c r="G3701" s="1613">
        <v>167986739029</v>
      </c>
    </row>
    <row r="3702" spans="1:7" ht="17.25" customHeight="1" x14ac:dyDescent="0.2">
      <c r="A3702" s="1611">
        <v>16</v>
      </c>
      <c r="B3702" s="1611" t="s">
        <v>7156</v>
      </c>
      <c r="C3702" s="1611" t="s">
        <v>5775</v>
      </c>
      <c r="D3702" s="1612">
        <v>0</v>
      </c>
      <c r="E3702" s="1706" t="s">
        <v>7592</v>
      </c>
      <c r="F3702" s="1613">
        <v>15300000</v>
      </c>
      <c r="G3702" s="1613">
        <v>168002039029</v>
      </c>
    </row>
    <row r="3703" spans="1:7" ht="17.25" customHeight="1" x14ac:dyDescent="0.2">
      <c r="A3703" s="1611">
        <v>16</v>
      </c>
      <c r="B3703" s="1611" t="s">
        <v>7261</v>
      </c>
      <c r="C3703" s="1611" t="s">
        <v>3839</v>
      </c>
      <c r="D3703" s="1612">
        <v>0</v>
      </c>
      <c r="E3703" s="1706" t="s">
        <v>7592</v>
      </c>
      <c r="F3703" s="1613">
        <v>137818182</v>
      </c>
      <c r="G3703" s="1613">
        <v>168139857211</v>
      </c>
    </row>
    <row r="3704" spans="1:7" ht="17.25" customHeight="1" x14ac:dyDescent="0.2">
      <c r="A3704" s="1611">
        <v>16</v>
      </c>
      <c r="B3704" s="1611" t="s">
        <v>7278</v>
      </c>
      <c r="C3704" s="1611" t="s">
        <v>5776</v>
      </c>
      <c r="D3704" s="1612">
        <v>0</v>
      </c>
      <c r="E3704" s="1706" t="s">
        <v>7592</v>
      </c>
      <c r="F3704" s="1613">
        <v>42254546</v>
      </c>
      <c r="G3704" s="1613">
        <v>168182111757</v>
      </c>
    </row>
    <row r="3705" spans="1:7" ht="17.25" customHeight="1" x14ac:dyDescent="0.2">
      <c r="A3705" s="1611">
        <v>16</v>
      </c>
      <c r="B3705" s="1611" t="s">
        <v>7203</v>
      </c>
      <c r="C3705" s="1611" t="s">
        <v>5777</v>
      </c>
      <c r="D3705" s="1612">
        <v>0</v>
      </c>
      <c r="E3705" s="1706" t="s">
        <v>7592</v>
      </c>
      <c r="F3705" s="1613">
        <v>34500000</v>
      </c>
      <c r="G3705" s="1613">
        <v>168216611757</v>
      </c>
    </row>
    <row r="3706" spans="1:7" ht="17.25" customHeight="1" x14ac:dyDescent="0.2">
      <c r="A3706" s="1611">
        <v>16</v>
      </c>
      <c r="B3706" s="1611" t="s">
        <v>7176</v>
      </c>
      <c r="C3706" s="1611" t="s">
        <v>5778</v>
      </c>
      <c r="D3706" s="1612">
        <v>0</v>
      </c>
      <c r="E3706" s="1706" t="s">
        <v>7592</v>
      </c>
      <c r="F3706" s="1613">
        <v>40000000</v>
      </c>
      <c r="G3706" s="1613">
        <v>168256611757</v>
      </c>
    </row>
    <row r="3707" spans="1:7" ht="17.25" customHeight="1" x14ac:dyDescent="0.2">
      <c r="A3707" s="1611">
        <v>16</v>
      </c>
      <c r="B3707" s="1611" t="s">
        <v>7245</v>
      </c>
      <c r="C3707" s="1611" t="s">
        <v>5779</v>
      </c>
      <c r="D3707" s="1612">
        <v>0</v>
      </c>
      <c r="E3707" s="1706" t="s">
        <v>7592</v>
      </c>
      <c r="F3707" s="1613">
        <v>40500000</v>
      </c>
      <c r="G3707" s="1613">
        <v>168297111757</v>
      </c>
    </row>
    <row r="3708" spans="1:7" ht="17.25" customHeight="1" x14ac:dyDescent="0.2">
      <c r="A3708" s="1611">
        <v>16</v>
      </c>
      <c r="B3708" s="1611" t="s">
        <v>7156</v>
      </c>
      <c r="C3708" s="1611" t="s">
        <v>5780</v>
      </c>
      <c r="D3708" s="1612">
        <v>0</v>
      </c>
      <c r="E3708" s="1706" t="s">
        <v>7592</v>
      </c>
      <c r="F3708" s="1613">
        <v>15013636</v>
      </c>
      <c r="G3708" s="1613">
        <v>168312125393</v>
      </c>
    </row>
    <row r="3709" spans="1:7" ht="17.25" customHeight="1" x14ac:dyDescent="0.2">
      <c r="A3709" s="1611">
        <v>16</v>
      </c>
      <c r="B3709" s="1611" t="s">
        <v>7154</v>
      </c>
      <c r="C3709" s="1611" t="s">
        <v>5781</v>
      </c>
      <c r="D3709" s="1612">
        <v>0</v>
      </c>
      <c r="E3709" s="1706" t="s">
        <v>7592</v>
      </c>
      <c r="F3709" s="1613">
        <v>56834547</v>
      </c>
      <c r="G3709" s="1613">
        <v>168368959940</v>
      </c>
    </row>
    <row r="3710" spans="1:7" ht="17.25" customHeight="1" x14ac:dyDescent="0.2">
      <c r="A3710" s="1611">
        <v>16</v>
      </c>
      <c r="B3710" s="1611" t="s">
        <v>7251</v>
      </c>
      <c r="C3710" s="1611" t="s">
        <v>5782</v>
      </c>
      <c r="D3710" s="1612">
        <v>0</v>
      </c>
      <c r="E3710" s="1706" t="s">
        <v>7592</v>
      </c>
      <c r="F3710" s="1613">
        <v>34000000</v>
      </c>
      <c r="G3710" s="1613">
        <v>168402959940</v>
      </c>
    </row>
    <row r="3711" spans="1:7" ht="17.25" customHeight="1" x14ac:dyDescent="0.2">
      <c r="A3711" s="1611">
        <v>16</v>
      </c>
      <c r="B3711" s="1611" t="s">
        <v>7311</v>
      </c>
      <c r="C3711" s="1611" t="s">
        <v>5783</v>
      </c>
      <c r="D3711" s="1612">
        <v>0</v>
      </c>
      <c r="E3711" s="1706" t="s">
        <v>7592</v>
      </c>
      <c r="F3711" s="1613">
        <v>44000000</v>
      </c>
      <c r="G3711" s="1613">
        <v>168446959940</v>
      </c>
    </row>
    <row r="3712" spans="1:7" ht="17.25" customHeight="1" x14ac:dyDescent="0.2">
      <c r="A3712" s="1611">
        <v>16</v>
      </c>
      <c r="B3712" s="1611" t="s">
        <v>7311</v>
      </c>
      <c r="C3712" s="1611" t="s">
        <v>5783</v>
      </c>
      <c r="D3712" s="1612">
        <v>0</v>
      </c>
      <c r="E3712" s="1706" t="s">
        <v>7592</v>
      </c>
      <c r="F3712" s="1613">
        <v>44000000</v>
      </c>
      <c r="G3712" s="1613">
        <v>168490959940</v>
      </c>
    </row>
    <row r="3713" spans="1:7" ht="17.25" customHeight="1" x14ac:dyDescent="0.2">
      <c r="A3713" s="1611">
        <v>16</v>
      </c>
      <c r="B3713" s="1611" t="s">
        <v>7156</v>
      </c>
      <c r="C3713" s="1611" t="s">
        <v>3438</v>
      </c>
      <c r="D3713" s="1612">
        <v>0</v>
      </c>
      <c r="E3713" s="1706" t="s">
        <v>7592</v>
      </c>
      <c r="F3713" s="1613">
        <v>45940000</v>
      </c>
      <c r="G3713" s="1613">
        <v>168536899940</v>
      </c>
    </row>
    <row r="3714" spans="1:7" ht="17.25" customHeight="1" x14ac:dyDescent="0.2">
      <c r="A3714" s="1611">
        <v>16</v>
      </c>
      <c r="B3714" s="1611" t="s">
        <v>7316</v>
      </c>
      <c r="C3714" s="1611" t="s">
        <v>3438</v>
      </c>
      <c r="D3714" s="1612">
        <v>0</v>
      </c>
      <c r="E3714" s="1706" t="s">
        <v>7592</v>
      </c>
      <c r="F3714" s="1613">
        <v>29986000</v>
      </c>
      <c r="G3714" s="1613">
        <v>168566885940</v>
      </c>
    </row>
    <row r="3715" spans="1:7" ht="17.25" customHeight="1" x14ac:dyDescent="0.2">
      <c r="A3715" s="1611">
        <v>16</v>
      </c>
      <c r="B3715" s="1611" t="s">
        <v>7316</v>
      </c>
      <c r="C3715" s="1611" t="s">
        <v>3438</v>
      </c>
      <c r="D3715" s="1612">
        <v>0</v>
      </c>
      <c r="E3715" s="1706" t="s">
        <v>7592</v>
      </c>
      <c r="F3715" s="1613">
        <v>29986000</v>
      </c>
      <c r="G3715" s="1613">
        <v>168596871940</v>
      </c>
    </row>
    <row r="3716" spans="1:7" ht="17.25" customHeight="1" x14ac:dyDescent="0.2">
      <c r="A3716" s="1611">
        <v>16</v>
      </c>
      <c r="B3716" s="1611" t="s">
        <v>7316</v>
      </c>
      <c r="C3716" s="1611" t="s">
        <v>3438</v>
      </c>
      <c r="D3716" s="1612">
        <v>0</v>
      </c>
      <c r="E3716" s="1706" t="s">
        <v>7592</v>
      </c>
      <c r="F3716" s="1613">
        <v>29986000</v>
      </c>
      <c r="G3716" s="1613">
        <v>168626857940</v>
      </c>
    </row>
    <row r="3717" spans="1:7" ht="17.25" customHeight="1" x14ac:dyDescent="0.2">
      <c r="A3717" s="1611">
        <v>16</v>
      </c>
      <c r="B3717" s="1611" t="s">
        <v>7316</v>
      </c>
      <c r="C3717" s="1611" t="s">
        <v>3438</v>
      </c>
      <c r="D3717" s="1612">
        <v>0</v>
      </c>
      <c r="E3717" s="1706" t="s">
        <v>7592</v>
      </c>
      <c r="F3717" s="1613">
        <v>29986000</v>
      </c>
      <c r="G3717" s="1613">
        <v>168656843940</v>
      </c>
    </row>
    <row r="3718" spans="1:7" ht="17.25" customHeight="1" x14ac:dyDescent="0.2">
      <c r="A3718" s="1611">
        <v>16</v>
      </c>
      <c r="B3718" s="1611" t="s">
        <v>7316</v>
      </c>
      <c r="C3718" s="1611" t="s">
        <v>3438</v>
      </c>
      <c r="D3718" s="1612">
        <v>0</v>
      </c>
      <c r="E3718" s="1706" t="s">
        <v>7592</v>
      </c>
      <c r="F3718" s="1613">
        <v>29986000</v>
      </c>
      <c r="G3718" s="1613">
        <v>168686829940</v>
      </c>
    </row>
    <row r="3719" spans="1:7" ht="17.25" customHeight="1" x14ac:dyDescent="0.2">
      <c r="A3719" s="1611">
        <v>16</v>
      </c>
      <c r="B3719" s="1611" t="s">
        <v>7316</v>
      </c>
      <c r="C3719" s="1611" t="s">
        <v>3438</v>
      </c>
      <c r="D3719" s="1612">
        <v>0</v>
      </c>
      <c r="E3719" s="1706" t="s">
        <v>7592</v>
      </c>
      <c r="F3719" s="1613">
        <v>29986000</v>
      </c>
      <c r="G3719" s="1613">
        <v>168716815940</v>
      </c>
    </row>
    <row r="3720" spans="1:7" ht="17.25" customHeight="1" x14ac:dyDescent="0.2">
      <c r="A3720" s="1611">
        <v>16</v>
      </c>
      <c r="B3720" s="1611" t="s">
        <v>7316</v>
      </c>
      <c r="C3720" s="1611" t="s">
        <v>3438</v>
      </c>
      <c r="D3720" s="1612">
        <v>0</v>
      </c>
      <c r="E3720" s="1706" t="s">
        <v>7592</v>
      </c>
      <c r="F3720" s="1613">
        <v>29986000</v>
      </c>
      <c r="G3720" s="1613">
        <v>168746801940</v>
      </c>
    </row>
    <row r="3721" spans="1:7" ht="17.25" customHeight="1" x14ac:dyDescent="0.2">
      <c r="A3721" s="1611">
        <v>16</v>
      </c>
      <c r="B3721" s="1611" t="s">
        <v>7316</v>
      </c>
      <c r="C3721" s="1611" t="s">
        <v>3438</v>
      </c>
      <c r="D3721" s="1612">
        <v>0</v>
      </c>
      <c r="E3721" s="1706" t="s">
        <v>7592</v>
      </c>
      <c r="F3721" s="1613">
        <v>29986000</v>
      </c>
      <c r="G3721" s="1613">
        <v>168776787940</v>
      </c>
    </row>
    <row r="3722" spans="1:7" ht="17.25" customHeight="1" x14ac:dyDescent="0.2">
      <c r="A3722" s="1611">
        <v>16</v>
      </c>
      <c r="B3722" s="1611" t="s">
        <v>7316</v>
      </c>
      <c r="C3722" s="1611" t="s">
        <v>3438</v>
      </c>
      <c r="D3722" s="1612">
        <v>0</v>
      </c>
      <c r="E3722" s="1706" t="s">
        <v>7592</v>
      </c>
      <c r="F3722" s="1613">
        <v>29986000</v>
      </c>
      <c r="G3722" s="1613">
        <v>168806773940</v>
      </c>
    </row>
    <row r="3723" spans="1:7" ht="17.25" customHeight="1" x14ac:dyDescent="0.2">
      <c r="A3723" s="1611">
        <v>16</v>
      </c>
      <c r="B3723" s="1611" t="s">
        <v>7316</v>
      </c>
      <c r="C3723" s="1611" t="s">
        <v>3438</v>
      </c>
      <c r="D3723" s="1612">
        <v>0</v>
      </c>
      <c r="E3723" s="1706" t="s">
        <v>7592</v>
      </c>
      <c r="F3723" s="1613">
        <v>29986000</v>
      </c>
      <c r="G3723" s="1613">
        <v>168836759940</v>
      </c>
    </row>
    <row r="3724" spans="1:7" ht="17.25" customHeight="1" x14ac:dyDescent="0.2">
      <c r="A3724" s="1611">
        <v>16</v>
      </c>
      <c r="B3724" s="1611" t="s">
        <v>7316</v>
      </c>
      <c r="C3724" s="1611" t="s">
        <v>3438</v>
      </c>
      <c r="D3724" s="1612">
        <v>0</v>
      </c>
      <c r="E3724" s="1706" t="s">
        <v>7592</v>
      </c>
      <c r="F3724" s="1613">
        <v>29986000</v>
      </c>
      <c r="G3724" s="1613">
        <v>168866745940</v>
      </c>
    </row>
    <row r="3725" spans="1:7" ht="17.25" customHeight="1" x14ac:dyDescent="0.2">
      <c r="A3725" s="1611">
        <v>16</v>
      </c>
      <c r="B3725" s="1611" t="s">
        <v>7316</v>
      </c>
      <c r="C3725" s="1611" t="s">
        <v>3438</v>
      </c>
      <c r="D3725" s="1612">
        <v>0</v>
      </c>
      <c r="E3725" s="1706" t="s">
        <v>7592</v>
      </c>
      <c r="F3725" s="1613">
        <v>29986000</v>
      </c>
      <c r="G3725" s="1613">
        <v>168896731940</v>
      </c>
    </row>
    <row r="3726" spans="1:7" ht="17.25" customHeight="1" x14ac:dyDescent="0.2">
      <c r="A3726" s="1611">
        <v>16</v>
      </c>
      <c r="B3726" s="1611" t="s">
        <v>7303</v>
      </c>
      <c r="C3726" s="1611" t="s">
        <v>4492</v>
      </c>
      <c r="D3726" s="1612">
        <v>0</v>
      </c>
      <c r="E3726" s="1706" t="s">
        <v>7592</v>
      </c>
      <c r="F3726" s="1613">
        <v>97831820</v>
      </c>
      <c r="G3726" s="1613">
        <v>168994563760</v>
      </c>
    </row>
    <row r="3727" spans="1:7" ht="17.25" customHeight="1" x14ac:dyDescent="0.2">
      <c r="A3727" s="1611">
        <v>16</v>
      </c>
      <c r="B3727" s="1611" t="s">
        <v>7317</v>
      </c>
      <c r="C3727" s="1611" t="s">
        <v>4492</v>
      </c>
      <c r="D3727" s="1612">
        <v>0</v>
      </c>
      <c r="E3727" s="1706" t="s">
        <v>7592</v>
      </c>
      <c r="F3727" s="1613">
        <v>3069000</v>
      </c>
      <c r="G3727" s="1613">
        <v>168997632760</v>
      </c>
    </row>
    <row r="3728" spans="1:7" ht="17.25" customHeight="1" x14ac:dyDescent="0.2">
      <c r="A3728" s="1611">
        <v>16</v>
      </c>
      <c r="B3728" s="1611" t="s">
        <v>7310</v>
      </c>
      <c r="C3728" s="1611" t="s">
        <v>5250</v>
      </c>
      <c r="D3728" s="1612">
        <v>0</v>
      </c>
      <c r="E3728" s="1706" t="s">
        <v>7592</v>
      </c>
      <c r="F3728" s="1613">
        <v>90069820</v>
      </c>
      <c r="G3728" s="1613">
        <v>169087702580</v>
      </c>
    </row>
    <row r="3729" spans="1:7" ht="17.25" customHeight="1" x14ac:dyDescent="0.2">
      <c r="A3729" s="1611">
        <v>16</v>
      </c>
      <c r="B3729" s="1611" t="s">
        <v>7310</v>
      </c>
      <c r="C3729" s="1611" t="s">
        <v>5250</v>
      </c>
      <c r="D3729" s="1612">
        <v>0</v>
      </c>
      <c r="E3729" s="1706" t="s">
        <v>7592</v>
      </c>
      <c r="F3729" s="1613">
        <v>90069820</v>
      </c>
      <c r="G3729" s="1613">
        <v>169177772400</v>
      </c>
    </row>
    <row r="3730" spans="1:7" ht="17.25" customHeight="1" x14ac:dyDescent="0.2">
      <c r="A3730" s="1611">
        <v>16</v>
      </c>
      <c r="B3730" s="1611" t="s">
        <v>7310</v>
      </c>
      <c r="C3730" s="1611" t="s">
        <v>5250</v>
      </c>
      <c r="D3730" s="1612">
        <v>0</v>
      </c>
      <c r="E3730" s="1706" t="s">
        <v>7592</v>
      </c>
      <c r="F3730" s="1613">
        <v>90069820</v>
      </c>
      <c r="G3730" s="1613">
        <v>169267842220</v>
      </c>
    </row>
    <row r="3731" spans="1:7" ht="17.25" customHeight="1" x14ac:dyDescent="0.2">
      <c r="A3731" s="1611">
        <v>16</v>
      </c>
      <c r="B3731" s="1611" t="s">
        <v>7310</v>
      </c>
      <c r="C3731" s="1611" t="s">
        <v>5250</v>
      </c>
      <c r="D3731" s="1612">
        <v>0</v>
      </c>
      <c r="E3731" s="1706" t="s">
        <v>7592</v>
      </c>
      <c r="F3731" s="1613">
        <v>90069820</v>
      </c>
      <c r="G3731" s="1613">
        <v>169357912040</v>
      </c>
    </row>
    <row r="3732" spans="1:7" ht="17.25" customHeight="1" x14ac:dyDescent="0.2">
      <c r="A3732" s="1611">
        <v>16</v>
      </c>
      <c r="B3732" s="1611" t="s">
        <v>7310</v>
      </c>
      <c r="C3732" s="1611" t="s">
        <v>5250</v>
      </c>
      <c r="D3732" s="1612">
        <v>0</v>
      </c>
      <c r="E3732" s="1706" t="s">
        <v>7592</v>
      </c>
      <c r="F3732" s="1613">
        <v>90069820</v>
      </c>
      <c r="G3732" s="1613">
        <v>169447981860</v>
      </c>
    </row>
    <row r="3733" spans="1:7" ht="17.25" customHeight="1" x14ac:dyDescent="0.2">
      <c r="A3733" s="1611">
        <v>16</v>
      </c>
      <c r="B3733" s="1611" t="s">
        <v>7310</v>
      </c>
      <c r="C3733" s="1611" t="s">
        <v>5250</v>
      </c>
      <c r="D3733" s="1612">
        <v>0</v>
      </c>
      <c r="E3733" s="1706" t="s">
        <v>7592</v>
      </c>
      <c r="F3733" s="1613">
        <v>90069820</v>
      </c>
      <c r="G3733" s="1613">
        <v>169538051680</v>
      </c>
    </row>
    <row r="3734" spans="1:7" ht="17.25" customHeight="1" x14ac:dyDescent="0.2">
      <c r="A3734" s="1611">
        <v>16</v>
      </c>
      <c r="B3734" s="1611" t="s">
        <v>7310</v>
      </c>
      <c r="C3734" s="1611" t="s">
        <v>5250</v>
      </c>
      <c r="D3734" s="1612">
        <v>0</v>
      </c>
      <c r="E3734" s="1706" t="s">
        <v>7592</v>
      </c>
      <c r="F3734" s="1613">
        <v>90069820</v>
      </c>
      <c r="G3734" s="1613">
        <v>169628121500</v>
      </c>
    </row>
    <row r="3735" spans="1:7" ht="17.25" customHeight="1" x14ac:dyDescent="0.2">
      <c r="A3735" s="1611">
        <v>16</v>
      </c>
      <c r="B3735" s="1611" t="s">
        <v>7310</v>
      </c>
      <c r="C3735" s="1611" t="s">
        <v>5250</v>
      </c>
      <c r="D3735" s="1612">
        <v>0</v>
      </c>
      <c r="E3735" s="1706" t="s">
        <v>7592</v>
      </c>
      <c r="F3735" s="1613">
        <v>90069820</v>
      </c>
      <c r="G3735" s="1613">
        <v>169718191320</v>
      </c>
    </row>
    <row r="3736" spans="1:7" ht="17.25" customHeight="1" x14ac:dyDescent="0.2">
      <c r="A3736" s="1611">
        <v>16</v>
      </c>
      <c r="B3736" s="1611" t="s">
        <v>7310</v>
      </c>
      <c r="C3736" s="1611" t="s">
        <v>5250</v>
      </c>
      <c r="D3736" s="1612">
        <v>0</v>
      </c>
      <c r="E3736" s="1706" t="s">
        <v>7592</v>
      </c>
      <c r="F3736" s="1613">
        <v>90069820</v>
      </c>
      <c r="G3736" s="1613">
        <v>169808261140</v>
      </c>
    </row>
    <row r="3737" spans="1:7" ht="17.25" customHeight="1" x14ac:dyDescent="0.2">
      <c r="A3737" s="1611">
        <v>16</v>
      </c>
      <c r="B3737" s="1611" t="s">
        <v>7310</v>
      </c>
      <c r="C3737" s="1611" t="s">
        <v>5250</v>
      </c>
      <c r="D3737" s="1612">
        <v>0</v>
      </c>
      <c r="E3737" s="1706" t="s">
        <v>7592</v>
      </c>
      <c r="F3737" s="1613">
        <v>90069820</v>
      </c>
      <c r="G3737" s="1613">
        <v>169898330960</v>
      </c>
    </row>
    <row r="3738" spans="1:7" ht="17.25" customHeight="1" x14ac:dyDescent="0.2">
      <c r="A3738" s="1611">
        <v>16</v>
      </c>
      <c r="B3738" s="1611" t="s">
        <v>7154</v>
      </c>
      <c r="C3738" s="1611" t="s">
        <v>5748</v>
      </c>
      <c r="D3738" s="1612">
        <v>0</v>
      </c>
      <c r="E3738" s="1706" t="s">
        <v>7592</v>
      </c>
      <c r="F3738" s="1613">
        <v>25636364</v>
      </c>
      <c r="G3738" s="1613">
        <v>169923967324</v>
      </c>
    </row>
    <row r="3739" spans="1:7" ht="17.25" customHeight="1" x14ac:dyDescent="0.2">
      <c r="A3739" s="1611">
        <v>16</v>
      </c>
      <c r="B3739" s="1611" t="s">
        <v>7156</v>
      </c>
      <c r="C3739" s="1611" t="s">
        <v>3438</v>
      </c>
      <c r="D3739" s="1612">
        <v>0</v>
      </c>
      <c r="E3739" s="1706" t="s">
        <v>7592</v>
      </c>
      <c r="F3739" s="1613">
        <v>45940000</v>
      </c>
      <c r="G3739" s="1613">
        <v>169969907324</v>
      </c>
    </row>
    <row r="3740" spans="1:7" ht="17.25" customHeight="1" x14ac:dyDescent="0.2">
      <c r="A3740" s="1611">
        <v>16</v>
      </c>
      <c r="B3740" s="1611" t="s">
        <v>7156</v>
      </c>
      <c r="C3740" s="1611" t="s">
        <v>3438</v>
      </c>
      <c r="D3740" s="1612">
        <v>0</v>
      </c>
      <c r="E3740" s="1706" t="s">
        <v>7592</v>
      </c>
      <c r="F3740" s="1613">
        <v>45940000</v>
      </c>
      <c r="G3740" s="1613">
        <v>170015847324</v>
      </c>
    </row>
    <row r="3741" spans="1:7" ht="17.25" customHeight="1" x14ac:dyDescent="0.2">
      <c r="A3741" s="1611">
        <v>16</v>
      </c>
      <c r="B3741" s="1611" t="s">
        <v>7156</v>
      </c>
      <c r="C3741" s="1611" t="s">
        <v>3438</v>
      </c>
      <c r="D3741" s="1612">
        <v>0</v>
      </c>
      <c r="E3741" s="1706" t="s">
        <v>7592</v>
      </c>
      <c r="F3741" s="1613">
        <v>45940000</v>
      </c>
      <c r="G3741" s="1613">
        <v>170061787324</v>
      </c>
    </row>
    <row r="3742" spans="1:7" ht="17.25" customHeight="1" x14ac:dyDescent="0.2">
      <c r="A3742" s="1611">
        <v>16</v>
      </c>
      <c r="B3742" s="1611" t="s">
        <v>7156</v>
      </c>
      <c r="C3742" s="1611" t="s">
        <v>3438</v>
      </c>
      <c r="D3742" s="1612">
        <v>0</v>
      </c>
      <c r="E3742" s="1706" t="s">
        <v>7592</v>
      </c>
      <c r="F3742" s="1613">
        <v>45940000</v>
      </c>
      <c r="G3742" s="1613">
        <v>170107727324</v>
      </c>
    </row>
    <row r="3743" spans="1:7" ht="17.25" customHeight="1" x14ac:dyDescent="0.2">
      <c r="A3743" s="1611">
        <v>16</v>
      </c>
      <c r="B3743" s="1611" t="s">
        <v>7156</v>
      </c>
      <c r="C3743" s="1611" t="s">
        <v>3438</v>
      </c>
      <c r="D3743" s="1612">
        <v>0</v>
      </c>
      <c r="E3743" s="1706" t="s">
        <v>7592</v>
      </c>
      <c r="F3743" s="1613">
        <v>45940000</v>
      </c>
      <c r="G3743" s="1613">
        <v>170153667324</v>
      </c>
    </row>
    <row r="3744" spans="1:7" ht="17.25" customHeight="1" x14ac:dyDescent="0.2">
      <c r="A3744" s="1611">
        <v>16</v>
      </c>
      <c r="B3744" s="1611" t="s">
        <v>7251</v>
      </c>
      <c r="C3744" s="1611" t="s">
        <v>3438</v>
      </c>
      <c r="D3744" s="1612">
        <v>0</v>
      </c>
      <c r="E3744" s="1706" t="s">
        <v>7592</v>
      </c>
      <c r="F3744" s="1613">
        <v>30465000</v>
      </c>
      <c r="G3744" s="1613">
        <v>170184132324</v>
      </c>
    </row>
    <row r="3745" spans="1:7" ht="17.25" customHeight="1" x14ac:dyDescent="0.2">
      <c r="A3745" s="1611">
        <v>16</v>
      </c>
      <c r="B3745" s="1611" t="s">
        <v>7251</v>
      </c>
      <c r="C3745" s="1611" t="s">
        <v>3438</v>
      </c>
      <c r="D3745" s="1612">
        <v>0</v>
      </c>
      <c r="E3745" s="1706" t="s">
        <v>7592</v>
      </c>
      <c r="F3745" s="1613">
        <v>30465000</v>
      </c>
      <c r="G3745" s="1613">
        <v>170214597324</v>
      </c>
    </row>
    <row r="3746" spans="1:7" ht="17.25" customHeight="1" x14ac:dyDescent="0.2">
      <c r="A3746" s="1611">
        <v>16</v>
      </c>
      <c r="B3746" s="1611" t="s">
        <v>7251</v>
      </c>
      <c r="C3746" s="1611" t="s">
        <v>3438</v>
      </c>
      <c r="D3746" s="1612">
        <v>0</v>
      </c>
      <c r="E3746" s="1706" t="s">
        <v>7592</v>
      </c>
      <c r="F3746" s="1613">
        <v>30465000</v>
      </c>
      <c r="G3746" s="1613">
        <v>170245062324</v>
      </c>
    </row>
    <row r="3747" spans="1:7" ht="17.25" customHeight="1" x14ac:dyDescent="0.2">
      <c r="A3747" s="1611">
        <v>16</v>
      </c>
      <c r="B3747" s="1611" t="s">
        <v>7251</v>
      </c>
      <c r="C3747" s="1611" t="s">
        <v>3438</v>
      </c>
      <c r="D3747" s="1612">
        <v>0</v>
      </c>
      <c r="E3747" s="1706" t="s">
        <v>7592</v>
      </c>
      <c r="F3747" s="1613">
        <v>30465000</v>
      </c>
      <c r="G3747" s="1613">
        <v>170275527324</v>
      </c>
    </row>
    <row r="3748" spans="1:7" ht="17.25" customHeight="1" x14ac:dyDescent="0.2">
      <c r="A3748" s="1611">
        <v>16</v>
      </c>
      <c r="B3748" s="1611" t="s">
        <v>7251</v>
      </c>
      <c r="C3748" s="1611" t="s">
        <v>3438</v>
      </c>
      <c r="D3748" s="1612">
        <v>0</v>
      </c>
      <c r="E3748" s="1706" t="s">
        <v>7592</v>
      </c>
      <c r="F3748" s="1613">
        <v>30465000</v>
      </c>
      <c r="G3748" s="1613">
        <v>170305992324</v>
      </c>
    </row>
    <row r="3749" spans="1:7" ht="17.25" customHeight="1" x14ac:dyDescent="0.2">
      <c r="A3749" s="1611">
        <v>16</v>
      </c>
      <c r="B3749" s="1611" t="s">
        <v>7278</v>
      </c>
      <c r="C3749" s="1611" t="s">
        <v>5784</v>
      </c>
      <c r="D3749" s="1612">
        <v>0</v>
      </c>
      <c r="E3749" s="1706" t="s">
        <v>7592</v>
      </c>
      <c r="F3749" s="1613">
        <v>44443637</v>
      </c>
      <c r="G3749" s="1613">
        <v>170350435961</v>
      </c>
    </row>
    <row r="3750" spans="1:7" ht="17.25" customHeight="1" x14ac:dyDescent="0.2">
      <c r="A3750" s="1611">
        <v>16</v>
      </c>
      <c r="B3750" s="1611" t="s">
        <v>7203</v>
      </c>
      <c r="C3750" s="1611" t="s">
        <v>5785</v>
      </c>
      <c r="D3750" s="1612">
        <v>0</v>
      </c>
      <c r="E3750" s="1706" t="s">
        <v>7592</v>
      </c>
      <c r="F3750" s="1613">
        <v>36363636</v>
      </c>
      <c r="G3750" s="1613">
        <v>170386799597</v>
      </c>
    </row>
    <row r="3751" spans="1:7" ht="17.25" customHeight="1" x14ac:dyDescent="0.2">
      <c r="A3751" s="1611">
        <v>16</v>
      </c>
      <c r="B3751" s="1611" t="s">
        <v>7261</v>
      </c>
      <c r="C3751" s="1611" t="s">
        <v>5786</v>
      </c>
      <c r="D3751" s="1612">
        <v>0</v>
      </c>
      <c r="E3751" s="1706" t="s">
        <v>7592</v>
      </c>
      <c r="F3751" s="1613">
        <v>146363636</v>
      </c>
      <c r="G3751" s="1613">
        <v>170533163233</v>
      </c>
    </row>
    <row r="3752" spans="1:7" ht="17.25" customHeight="1" x14ac:dyDescent="0.2">
      <c r="A3752" s="1611">
        <v>16</v>
      </c>
      <c r="B3752" s="1611" t="s">
        <v>7261</v>
      </c>
      <c r="C3752" s="1611" t="s">
        <v>5787</v>
      </c>
      <c r="D3752" s="1612">
        <v>0</v>
      </c>
      <c r="E3752" s="1706" t="s">
        <v>7592</v>
      </c>
      <c r="F3752" s="1613">
        <v>146363636</v>
      </c>
      <c r="G3752" s="1613">
        <v>170679526869</v>
      </c>
    </row>
    <row r="3753" spans="1:7" ht="17.25" customHeight="1" x14ac:dyDescent="0.2">
      <c r="A3753" s="1611">
        <v>16</v>
      </c>
      <c r="B3753" s="1611" t="s">
        <v>7156</v>
      </c>
      <c r="C3753" s="1611" t="s">
        <v>5788</v>
      </c>
      <c r="D3753" s="1612">
        <v>0</v>
      </c>
      <c r="E3753" s="1706" t="s">
        <v>7592</v>
      </c>
      <c r="F3753" s="1613">
        <v>14750000</v>
      </c>
      <c r="G3753" s="1613">
        <v>170694276869</v>
      </c>
    </row>
    <row r="3754" spans="1:7" ht="17.25" customHeight="1" x14ac:dyDescent="0.2">
      <c r="A3754" s="1611">
        <v>16</v>
      </c>
      <c r="B3754" s="1611" t="s">
        <v>7203</v>
      </c>
      <c r="C3754" s="1611" t="s">
        <v>5250</v>
      </c>
      <c r="D3754" s="1612">
        <v>0</v>
      </c>
      <c r="E3754" s="1706" t="s">
        <v>7592</v>
      </c>
      <c r="F3754" s="1613">
        <v>43120653</v>
      </c>
      <c r="G3754" s="1613">
        <v>170737397522</v>
      </c>
    </row>
    <row r="3755" spans="1:7" ht="17.25" customHeight="1" x14ac:dyDescent="0.2">
      <c r="A3755" s="1611">
        <v>16</v>
      </c>
      <c r="B3755" s="1611" t="s">
        <v>7203</v>
      </c>
      <c r="C3755" s="1611" t="s">
        <v>5250</v>
      </c>
      <c r="D3755" s="1612">
        <v>0</v>
      </c>
      <c r="E3755" s="1706" t="s">
        <v>7592</v>
      </c>
      <c r="F3755" s="1613">
        <v>43120653</v>
      </c>
      <c r="G3755" s="1613">
        <v>170780518175</v>
      </c>
    </row>
    <row r="3756" spans="1:7" ht="17.25" customHeight="1" x14ac:dyDescent="0.2">
      <c r="A3756" s="1611">
        <v>16</v>
      </c>
      <c r="B3756" s="1611" t="s">
        <v>7203</v>
      </c>
      <c r="C3756" s="1611" t="s">
        <v>5250</v>
      </c>
      <c r="D3756" s="1612">
        <v>0</v>
      </c>
      <c r="E3756" s="1706" t="s">
        <v>7592</v>
      </c>
      <c r="F3756" s="1613">
        <v>43120653</v>
      </c>
      <c r="G3756" s="1613">
        <v>170823638828</v>
      </c>
    </row>
    <row r="3757" spans="1:7" ht="17.25" customHeight="1" x14ac:dyDescent="0.2">
      <c r="A3757" s="1611">
        <v>16</v>
      </c>
      <c r="B3757" s="1611" t="s">
        <v>7203</v>
      </c>
      <c r="C3757" s="1611" t="s">
        <v>5250</v>
      </c>
      <c r="D3757" s="1612">
        <v>0</v>
      </c>
      <c r="E3757" s="1706" t="s">
        <v>7592</v>
      </c>
      <c r="F3757" s="1613">
        <v>43120653</v>
      </c>
      <c r="G3757" s="1613">
        <v>170866759481</v>
      </c>
    </row>
    <row r="3758" spans="1:7" ht="17.25" customHeight="1" x14ac:dyDescent="0.2">
      <c r="A3758" s="1611">
        <v>16</v>
      </c>
      <c r="B3758" s="1611" t="s">
        <v>7203</v>
      </c>
      <c r="C3758" s="1611" t="s">
        <v>5250</v>
      </c>
      <c r="D3758" s="1612">
        <v>0</v>
      </c>
      <c r="E3758" s="1706" t="s">
        <v>7592</v>
      </c>
      <c r="F3758" s="1613">
        <v>43120653</v>
      </c>
      <c r="G3758" s="1613">
        <v>170909880134</v>
      </c>
    </row>
    <row r="3759" spans="1:7" ht="17.25" customHeight="1" x14ac:dyDescent="0.2">
      <c r="A3759" s="1611">
        <v>16</v>
      </c>
      <c r="B3759" s="1611" t="s">
        <v>7203</v>
      </c>
      <c r="C3759" s="1611" t="s">
        <v>5250</v>
      </c>
      <c r="D3759" s="1612">
        <v>0</v>
      </c>
      <c r="E3759" s="1706" t="s">
        <v>7592</v>
      </c>
      <c r="F3759" s="1613">
        <v>43120653</v>
      </c>
      <c r="G3759" s="1613">
        <v>170953000787</v>
      </c>
    </row>
    <row r="3760" spans="1:7" ht="17.25" customHeight="1" x14ac:dyDescent="0.2">
      <c r="A3760" s="1611">
        <v>16</v>
      </c>
      <c r="B3760" s="1611" t="s">
        <v>7203</v>
      </c>
      <c r="C3760" s="1611" t="s">
        <v>5250</v>
      </c>
      <c r="D3760" s="1612">
        <v>0</v>
      </c>
      <c r="E3760" s="1706" t="s">
        <v>7592</v>
      </c>
      <c r="F3760" s="1613">
        <v>43120653</v>
      </c>
      <c r="G3760" s="1613">
        <v>170996121440</v>
      </c>
    </row>
    <row r="3761" spans="1:7" ht="17.25" customHeight="1" x14ac:dyDescent="0.2">
      <c r="A3761" s="1611">
        <v>16</v>
      </c>
      <c r="B3761" s="1611" t="s">
        <v>7203</v>
      </c>
      <c r="C3761" s="1611" t="s">
        <v>5250</v>
      </c>
      <c r="D3761" s="1612">
        <v>0</v>
      </c>
      <c r="E3761" s="1706" t="s">
        <v>7592</v>
      </c>
      <c r="F3761" s="1613">
        <v>43120653</v>
      </c>
      <c r="G3761" s="1613">
        <v>171039242093</v>
      </c>
    </row>
    <row r="3762" spans="1:7" ht="17.25" customHeight="1" x14ac:dyDescent="0.2">
      <c r="A3762" s="1611">
        <v>16</v>
      </c>
      <c r="B3762" s="1611" t="s">
        <v>7203</v>
      </c>
      <c r="C3762" s="1611" t="s">
        <v>5250</v>
      </c>
      <c r="D3762" s="1612">
        <v>0</v>
      </c>
      <c r="E3762" s="1706" t="s">
        <v>7592</v>
      </c>
      <c r="F3762" s="1613">
        <v>43120653</v>
      </c>
      <c r="G3762" s="1613">
        <v>171082362746</v>
      </c>
    </row>
    <row r="3763" spans="1:7" ht="17.25" customHeight="1" x14ac:dyDescent="0.2">
      <c r="A3763" s="1611">
        <v>16</v>
      </c>
      <c r="B3763" s="1611" t="s">
        <v>7203</v>
      </c>
      <c r="C3763" s="1611" t="s">
        <v>5250</v>
      </c>
      <c r="D3763" s="1612">
        <v>0</v>
      </c>
      <c r="E3763" s="1706" t="s">
        <v>7592</v>
      </c>
      <c r="F3763" s="1613">
        <v>43120653</v>
      </c>
      <c r="G3763" s="1613">
        <v>171125483399</v>
      </c>
    </row>
    <row r="3764" spans="1:7" ht="17.25" customHeight="1" x14ac:dyDescent="0.2">
      <c r="A3764" s="1611">
        <v>16</v>
      </c>
      <c r="B3764" s="1611" t="s">
        <v>7203</v>
      </c>
      <c r="C3764" s="1611" t="s">
        <v>5250</v>
      </c>
      <c r="D3764" s="1612">
        <v>0</v>
      </c>
      <c r="E3764" s="1706" t="s">
        <v>7592</v>
      </c>
      <c r="F3764" s="1613">
        <v>43120653</v>
      </c>
      <c r="G3764" s="1613">
        <v>171168604052</v>
      </c>
    </row>
    <row r="3765" spans="1:7" ht="17.25" customHeight="1" x14ac:dyDescent="0.2">
      <c r="A3765" s="1611">
        <v>16</v>
      </c>
      <c r="B3765" s="1611" t="s">
        <v>7203</v>
      </c>
      <c r="C3765" s="1611" t="s">
        <v>5250</v>
      </c>
      <c r="D3765" s="1612">
        <v>0</v>
      </c>
      <c r="E3765" s="1706" t="s">
        <v>7592</v>
      </c>
      <c r="F3765" s="1613">
        <v>43120653</v>
      </c>
      <c r="G3765" s="1613">
        <v>171211724705</v>
      </c>
    </row>
    <row r="3766" spans="1:7" ht="17.25" customHeight="1" x14ac:dyDescent="0.2">
      <c r="A3766" s="1611">
        <v>16</v>
      </c>
      <c r="B3766" s="1611" t="s">
        <v>7203</v>
      </c>
      <c r="C3766" s="1611" t="s">
        <v>5250</v>
      </c>
      <c r="D3766" s="1612">
        <v>0</v>
      </c>
      <c r="E3766" s="1706" t="s">
        <v>7592</v>
      </c>
      <c r="F3766" s="1613">
        <v>43120653</v>
      </c>
      <c r="G3766" s="1613">
        <v>171254845358</v>
      </c>
    </row>
    <row r="3767" spans="1:7" ht="17.25" customHeight="1" x14ac:dyDescent="0.2">
      <c r="A3767" s="1611">
        <v>16</v>
      </c>
      <c r="B3767" s="1611" t="s">
        <v>7203</v>
      </c>
      <c r="C3767" s="1611" t="s">
        <v>5250</v>
      </c>
      <c r="D3767" s="1612">
        <v>0</v>
      </c>
      <c r="E3767" s="1706" t="s">
        <v>7592</v>
      </c>
      <c r="F3767" s="1613">
        <v>43120653</v>
      </c>
      <c r="G3767" s="1613">
        <v>171297966011</v>
      </c>
    </row>
    <row r="3768" spans="1:7" ht="17.25" customHeight="1" x14ac:dyDescent="0.2">
      <c r="A3768" s="1611">
        <v>16</v>
      </c>
      <c r="B3768" s="1611" t="s">
        <v>7203</v>
      </c>
      <c r="C3768" s="1611" t="s">
        <v>5250</v>
      </c>
      <c r="D3768" s="1612">
        <v>0</v>
      </c>
      <c r="E3768" s="1706" t="s">
        <v>7592</v>
      </c>
      <c r="F3768" s="1613">
        <v>43120653</v>
      </c>
      <c r="G3768" s="1613">
        <v>171341086664</v>
      </c>
    </row>
    <row r="3769" spans="1:7" ht="17.25" customHeight="1" x14ac:dyDescent="0.2">
      <c r="A3769" s="1611">
        <v>16</v>
      </c>
      <c r="B3769" s="1611" t="s">
        <v>7203</v>
      </c>
      <c r="C3769" s="1611" t="s">
        <v>5250</v>
      </c>
      <c r="D3769" s="1612">
        <v>0</v>
      </c>
      <c r="E3769" s="1706" t="s">
        <v>7592</v>
      </c>
      <c r="F3769" s="1613">
        <v>43120653</v>
      </c>
      <c r="G3769" s="1613">
        <v>171384207317</v>
      </c>
    </row>
    <row r="3770" spans="1:7" ht="17.25" customHeight="1" x14ac:dyDescent="0.2">
      <c r="A3770" s="1611">
        <v>16</v>
      </c>
      <c r="B3770" s="1611" t="s">
        <v>7203</v>
      </c>
      <c r="C3770" s="1611" t="s">
        <v>5250</v>
      </c>
      <c r="D3770" s="1612">
        <v>0</v>
      </c>
      <c r="E3770" s="1706" t="s">
        <v>7592</v>
      </c>
      <c r="F3770" s="1613">
        <v>43120653</v>
      </c>
      <c r="G3770" s="1613">
        <v>171427327970</v>
      </c>
    </row>
    <row r="3771" spans="1:7" ht="17.25" customHeight="1" x14ac:dyDescent="0.2">
      <c r="A3771" s="1611">
        <v>16</v>
      </c>
      <c r="B3771" s="1611" t="s">
        <v>7203</v>
      </c>
      <c r="C3771" s="1611" t="s">
        <v>5250</v>
      </c>
      <c r="D3771" s="1612">
        <v>0</v>
      </c>
      <c r="E3771" s="1706" t="s">
        <v>7592</v>
      </c>
      <c r="F3771" s="1613">
        <v>43120653</v>
      </c>
      <c r="G3771" s="1613">
        <v>171470448623</v>
      </c>
    </row>
    <row r="3772" spans="1:7" ht="17.25" customHeight="1" x14ac:dyDescent="0.2">
      <c r="A3772" s="1611">
        <v>16</v>
      </c>
      <c r="B3772" s="1611" t="s">
        <v>7203</v>
      </c>
      <c r="C3772" s="1611" t="s">
        <v>5250</v>
      </c>
      <c r="D3772" s="1612">
        <v>0</v>
      </c>
      <c r="E3772" s="1706" t="s">
        <v>7592</v>
      </c>
      <c r="F3772" s="1613">
        <v>43120653</v>
      </c>
      <c r="G3772" s="1613">
        <v>171513569276</v>
      </c>
    </row>
    <row r="3773" spans="1:7" ht="17.25" customHeight="1" x14ac:dyDescent="0.2">
      <c r="A3773" s="1611">
        <v>16</v>
      </c>
      <c r="B3773" s="1611" t="s">
        <v>7203</v>
      </c>
      <c r="C3773" s="1611" t="s">
        <v>5250</v>
      </c>
      <c r="D3773" s="1612">
        <v>0</v>
      </c>
      <c r="E3773" s="1706" t="s">
        <v>7592</v>
      </c>
      <c r="F3773" s="1613">
        <v>43120653</v>
      </c>
      <c r="G3773" s="1613">
        <v>171556689929</v>
      </c>
    </row>
    <row r="3774" spans="1:7" ht="17.25" customHeight="1" x14ac:dyDescent="0.2">
      <c r="A3774" s="1611">
        <v>16</v>
      </c>
      <c r="B3774" s="1611" t="s">
        <v>7176</v>
      </c>
      <c r="C3774" s="1611" t="s">
        <v>5789</v>
      </c>
      <c r="D3774" s="1612">
        <v>0</v>
      </c>
      <c r="E3774" s="1706" t="s">
        <v>7592</v>
      </c>
      <c r="F3774" s="1613">
        <v>39200000</v>
      </c>
      <c r="G3774" s="1613">
        <v>171595889929</v>
      </c>
    </row>
    <row r="3775" spans="1:7" ht="17.25" customHeight="1" x14ac:dyDescent="0.2">
      <c r="A3775" s="1611">
        <v>16</v>
      </c>
      <c r="B3775" s="1611" t="s">
        <v>7156</v>
      </c>
      <c r="C3775" s="1611" t="s">
        <v>5790</v>
      </c>
      <c r="D3775" s="1612">
        <v>0</v>
      </c>
      <c r="E3775" s="1706" t="s">
        <v>7592</v>
      </c>
      <c r="F3775" s="1613">
        <v>32700000</v>
      </c>
      <c r="G3775" s="1613">
        <v>171628589929</v>
      </c>
    </row>
    <row r="3776" spans="1:7" ht="17.25" customHeight="1" x14ac:dyDescent="0.2">
      <c r="A3776" s="1611">
        <v>16</v>
      </c>
      <c r="B3776" s="1611" t="s">
        <v>7310</v>
      </c>
      <c r="C3776" s="1611" t="s">
        <v>5250</v>
      </c>
      <c r="D3776" s="1612">
        <v>0</v>
      </c>
      <c r="E3776" s="1706" t="s">
        <v>7592</v>
      </c>
      <c r="F3776" s="1613">
        <v>90069820</v>
      </c>
      <c r="G3776" s="1613">
        <v>171718659749</v>
      </c>
    </row>
    <row r="3777" spans="1:7" ht="17.25" customHeight="1" x14ac:dyDescent="0.2">
      <c r="A3777" s="1611">
        <v>16</v>
      </c>
      <c r="B3777" s="1611" t="s">
        <v>7310</v>
      </c>
      <c r="C3777" s="1611" t="s">
        <v>5250</v>
      </c>
      <c r="D3777" s="1612">
        <v>0</v>
      </c>
      <c r="E3777" s="1706" t="s">
        <v>7592</v>
      </c>
      <c r="F3777" s="1613">
        <v>90069820</v>
      </c>
      <c r="G3777" s="1613">
        <v>171808729569</v>
      </c>
    </row>
    <row r="3778" spans="1:7" ht="17.25" customHeight="1" x14ac:dyDescent="0.2">
      <c r="A3778" s="1611">
        <v>16</v>
      </c>
      <c r="B3778" s="1611" t="s">
        <v>7310</v>
      </c>
      <c r="C3778" s="1611" t="s">
        <v>5250</v>
      </c>
      <c r="D3778" s="1612">
        <v>0</v>
      </c>
      <c r="E3778" s="1706" t="s">
        <v>7592</v>
      </c>
      <c r="F3778" s="1613">
        <v>90069820</v>
      </c>
      <c r="G3778" s="1613">
        <v>171898799389</v>
      </c>
    </row>
    <row r="3779" spans="1:7" ht="17.25" customHeight="1" x14ac:dyDescent="0.2">
      <c r="A3779" s="1611">
        <v>16</v>
      </c>
      <c r="B3779" s="1611" t="s">
        <v>7310</v>
      </c>
      <c r="C3779" s="1611" t="s">
        <v>5250</v>
      </c>
      <c r="D3779" s="1612">
        <v>0</v>
      </c>
      <c r="E3779" s="1706" t="s">
        <v>7592</v>
      </c>
      <c r="F3779" s="1613">
        <v>90069820</v>
      </c>
      <c r="G3779" s="1613">
        <v>171988869209</v>
      </c>
    </row>
    <row r="3780" spans="1:7" ht="17.25" customHeight="1" x14ac:dyDescent="0.2">
      <c r="A3780" s="1611">
        <v>16</v>
      </c>
      <c r="B3780" s="1611" t="s">
        <v>7310</v>
      </c>
      <c r="C3780" s="1611" t="s">
        <v>5250</v>
      </c>
      <c r="D3780" s="1612">
        <v>0</v>
      </c>
      <c r="E3780" s="1706" t="s">
        <v>7592</v>
      </c>
      <c r="F3780" s="1613">
        <v>90069820</v>
      </c>
      <c r="G3780" s="1613">
        <v>172078939029</v>
      </c>
    </row>
    <row r="3781" spans="1:7" ht="17.25" customHeight="1" x14ac:dyDescent="0.2">
      <c r="A3781" s="1611">
        <v>16</v>
      </c>
      <c r="B3781" s="1611" t="s">
        <v>7310</v>
      </c>
      <c r="C3781" s="1611" t="s">
        <v>5250</v>
      </c>
      <c r="D3781" s="1612">
        <v>0</v>
      </c>
      <c r="E3781" s="1706" t="s">
        <v>7592</v>
      </c>
      <c r="F3781" s="1613">
        <v>90069820</v>
      </c>
      <c r="G3781" s="1613">
        <v>172169008849</v>
      </c>
    </row>
    <row r="3782" spans="1:7" ht="17.25" customHeight="1" x14ac:dyDescent="0.2">
      <c r="A3782" s="1611">
        <v>16</v>
      </c>
      <c r="B3782" s="1611" t="s">
        <v>7310</v>
      </c>
      <c r="C3782" s="1611" t="s">
        <v>5250</v>
      </c>
      <c r="D3782" s="1612">
        <v>0</v>
      </c>
      <c r="E3782" s="1706" t="s">
        <v>7592</v>
      </c>
      <c r="F3782" s="1613">
        <v>90069820</v>
      </c>
      <c r="G3782" s="1613">
        <v>172259078669</v>
      </c>
    </row>
    <row r="3783" spans="1:7" ht="17.25" customHeight="1" x14ac:dyDescent="0.2">
      <c r="A3783" s="1611">
        <v>16</v>
      </c>
      <c r="B3783" s="1611" t="s">
        <v>7310</v>
      </c>
      <c r="C3783" s="1611" t="s">
        <v>5250</v>
      </c>
      <c r="D3783" s="1612">
        <v>0</v>
      </c>
      <c r="E3783" s="1706" t="s">
        <v>7592</v>
      </c>
      <c r="F3783" s="1613">
        <v>90069820</v>
      </c>
      <c r="G3783" s="1613">
        <v>172349148489</v>
      </c>
    </row>
    <row r="3784" spans="1:7" ht="17.25" customHeight="1" x14ac:dyDescent="0.2">
      <c r="A3784" s="1611">
        <v>16</v>
      </c>
      <c r="B3784" s="1611" t="s">
        <v>7310</v>
      </c>
      <c r="C3784" s="1611" t="s">
        <v>5250</v>
      </c>
      <c r="D3784" s="1612">
        <v>0</v>
      </c>
      <c r="E3784" s="1706" t="s">
        <v>7592</v>
      </c>
      <c r="F3784" s="1613">
        <v>90069820</v>
      </c>
      <c r="G3784" s="1613">
        <v>172439218309</v>
      </c>
    </row>
    <row r="3785" spans="1:7" ht="17.25" customHeight="1" x14ac:dyDescent="0.2">
      <c r="A3785" s="1611">
        <v>16</v>
      </c>
      <c r="B3785" s="1611" t="s">
        <v>7310</v>
      </c>
      <c r="C3785" s="1611" t="s">
        <v>5250</v>
      </c>
      <c r="D3785" s="1612">
        <v>0</v>
      </c>
      <c r="E3785" s="1706" t="s">
        <v>7592</v>
      </c>
      <c r="F3785" s="1613">
        <v>90069820</v>
      </c>
      <c r="G3785" s="1613">
        <v>172529288129</v>
      </c>
    </row>
    <row r="3786" spans="1:7" ht="17.25" customHeight="1" x14ac:dyDescent="0.2">
      <c r="A3786" s="1611">
        <v>16</v>
      </c>
      <c r="B3786" s="1611" t="s">
        <v>7310</v>
      </c>
      <c r="C3786" s="1611" t="s">
        <v>5250</v>
      </c>
      <c r="D3786" s="1612">
        <v>0</v>
      </c>
      <c r="E3786" s="1706" t="s">
        <v>7592</v>
      </c>
      <c r="F3786" s="1613">
        <v>90069820</v>
      </c>
      <c r="G3786" s="1613">
        <v>172619357949</v>
      </c>
    </row>
    <row r="3787" spans="1:7" ht="17.25" customHeight="1" x14ac:dyDescent="0.2">
      <c r="A3787" s="1611">
        <v>16</v>
      </c>
      <c r="B3787" s="1611" t="s">
        <v>7310</v>
      </c>
      <c r="C3787" s="1611" t="s">
        <v>5250</v>
      </c>
      <c r="D3787" s="1612">
        <v>0</v>
      </c>
      <c r="E3787" s="1706" t="s">
        <v>7592</v>
      </c>
      <c r="F3787" s="1613">
        <v>90069820</v>
      </c>
      <c r="G3787" s="1613">
        <v>172709427769</v>
      </c>
    </row>
    <row r="3788" spans="1:7" ht="17.25" customHeight="1" x14ac:dyDescent="0.2">
      <c r="A3788" s="1611">
        <v>16</v>
      </c>
      <c r="B3788" s="1611" t="s">
        <v>7245</v>
      </c>
      <c r="C3788" s="1611" t="s">
        <v>5791</v>
      </c>
      <c r="D3788" s="1612">
        <v>0</v>
      </c>
      <c r="E3788" s="1706" t="s">
        <v>7592</v>
      </c>
      <c r="F3788" s="1613">
        <v>39400000</v>
      </c>
      <c r="G3788" s="1613">
        <v>172748827769</v>
      </c>
    </row>
    <row r="3789" spans="1:7" ht="17.25" customHeight="1" x14ac:dyDescent="0.2">
      <c r="A3789" s="1611">
        <v>16</v>
      </c>
      <c r="B3789" s="1611" t="s">
        <v>7203</v>
      </c>
      <c r="C3789" s="1611" t="s">
        <v>5792</v>
      </c>
      <c r="D3789" s="1612">
        <v>0</v>
      </c>
      <c r="E3789" s="1706" t="s">
        <v>7592</v>
      </c>
      <c r="F3789" s="1613">
        <v>36363636</v>
      </c>
      <c r="G3789" s="1613">
        <v>172785191405</v>
      </c>
    </row>
    <row r="3790" spans="1:7" ht="17.25" customHeight="1" x14ac:dyDescent="0.2">
      <c r="A3790" s="1611">
        <v>16</v>
      </c>
      <c r="B3790" s="1611" t="s">
        <v>7203</v>
      </c>
      <c r="C3790" s="1611" t="s">
        <v>4511</v>
      </c>
      <c r="D3790" s="1612">
        <v>0</v>
      </c>
      <c r="E3790" s="1706" t="s">
        <v>7592</v>
      </c>
      <c r="F3790" s="1613">
        <v>35909091</v>
      </c>
      <c r="G3790" s="1613">
        <v>172821100496</v>
      </c>
    </row>
    <row r="3791" spans="1:7" ht="17.25" customHeight="1" x14ac:dyDescent="0.2">
      <c r="A3791" s="1611">
        <v>16</v>
      </c>
      <c r="B3791" s="1611" t="s">
        <v>7154</v>
      </c>
      <c r="C3791" s="1611" t="s">
        <v>5793</v>
      </c>
      <c r="D3791" s="1612">
        <v>0</v>
      </c>
      <c r="E3791" s="1706" t="s">
        <v>7592</v>
      </c>
      <c r="F3791" s="1613">
        <v>50500000</v>
      </c>
      <c r="G3791" s="1613">
        <v>172871600496</v>
      </c>
    </row>
    <row r="3792" spans="1:7" ht="17.25" customHeight="1" x14ac:dyDescent="0.2">
      <c r="A3792" s="1611">
        <v>16</v>
      </c>
      <c r="B3792" s="1611" t="s">
        <v>7176</v>
      </c>
      <c r="C3792" s="1611" t="s">
        <v>5794</v>
      </c>
      <c r="D3792" s="1612">
        <v>0</v>
      </c>
      <c r="E3792" s="1706" t="s">
        <v>7592</v>
      </c>
      <c r="F3792" s="1613">
        <v>4000000</v>
      </c>
      <c r="G3792" s="1613">
        <v>172875600496</v>
      </c>
    </row>
    <row r="3793" spans="1:7" ht="17.25" customHeight="1" x14ac:dyDescent="0.2">
      <c r="A3793" s="1611">
        <v>16</v>
      </c>
      <c r="B3793" s="1611" t="s">
        <v>7251</v>
      </c>
      <c r="C3793" s="1611" t="s">
        <v>3438</v>
      </c>
      <c r="D3793" s="1612">
        <v>0</v>
      </c>
      <c r="E3793" s="1706" t="s">
        <v>7592</v>
      </c>
      <c r="F3793" s="1613">
        <v>30465000</v>
      </c>
      <c r="G3793" s="1613">
        <v>172906065496</v>
      </c>
    </row>
    <row r="3794" spans="1:7" ht="17.25" customHeight="1" x14ac:dyDescent="0.2">
      <c r="A3794" s="1611">
        <v>16</v>
      </c>
      <c r="B3794" s="1611" t="s">
        <v>7251</v>
      </c>
      <c r="C3794" s="1611" t="s">
        <v>3438</v>
      </c>
      <c r="D3794" s="1612">
        <v>0</v>
      </c>
      <c r="E3794" s="1706" t="s">
        <v>7592</v>
      </c>
      <c r="F3794" s="1613">
        <v>30465000</v>
      </c>
      <c r="G3794" s="1613">
        <v>172936530496</v>
      </c>
    </row>
    <row r="3795" spans="1:7" ht="17.25" customHeight="1" x14ac:dyDescent="0.2">
      <c r="A3795" s="1611">
        <v>16</v>
      </c>
      <c r="B3795" s="1611" t="s">
        <v>7251</v>
      </c>
      <c r="C3795" s="1611" t="s">
        <v>3438</v>
      </c>
      <c r="D3795" s="1612">
        <v>0</v>
      </c>
      <c r="E3795" s="1706" t="s">
        <v>7592</v>
      </c>
      <c r="F3795" s="1613">
        <v>30465000</v>
      </c>
      <c r="G3795" s="1613">
        <v>172966995496</v>
      </c>
    </row>
    <row r="3796" spans="1:7" ht="17.25" customHeight="1" x14ac:dyDescent="0.2">
      <c r="A3796" s="1611">
        <v>16</v>
      </c>
      <c r="B3796" s="1611" t="s">
        <v>7176</v>
      </c>
      <c r="C3796" s="1611" t="s">
        <v>5795</v>
      </c>
      <c r="D3796" s="1612">
        <v>0</v>
      </c>
      <c r="E3796" s="1706" t="s">
        <v>7592</v>
      </c>
      <c r="F3796" s="1613">
        <v>54793637</v>
      </c>
      <c r="G3796" s="1613">
        <v>173021789133</v>
      </c>
    </row>
    <row r="3797" spans="1:7" ht="17.25" customHeight="1" x14ac:dyDescent="0.2">
      <c r="A3797" s="1611">
        <v>16</v>
      </c>
      <c r="B3797" s="1611" t="s">
        <v>7176</v>
      </c>
      <c r="C3797" s="1611" t="s">
        <v>5796</v>
      </c>
      <c r="D3797" s="1612">
        <v>0</v>
      </c>
      <c r="E3797" s="1706" t="s">
        <v>7592</v>
      </c>
      <c r="F3797" s="1613">
        <v>53281819</v>
      </c>
      <c r="G3797" s="1613">
        <v>173075070952</v>
      </c>
    </row>
    <row r="3798" spans="1:7" ht="17.25" customHeight="1" x14ac:dyDescent="0.2">
      <c r="A3798" s="1611">
        <v>16</v>
      </c>
      <c r="B3798" s="1611" t="s">
        <v>7245</v>
      </c>
      <c r="C3798" s="1611" t="s">
        <v>5797</v>
      </c>
      <c r="D3798" s="1612">
        <v>0</v>
      </c>
      <c r="E3798" s="1706" t="s">
        <v>7592</v>
      </c>
      <c r="F3798" s="1613">
        <v>39400000</v>
      </c>
      <c r="G3798" s="1613">
        <v>173114470952</v>
      </c>
    </row>
    <row r="3799" spans="1:7" ht="17.25" customHeight="1" x14ac:dyDescent="0.2">
      <c r="A3799" s="1611">
        <v>16</v>
      </c>
      <c r="B3799" s="1611" t="s">
        <v>7154</v>
      </c>
      <c r="C3799" s="1611" t="s">
        <v>5798</v>
      </c>
      <c r="D3799" s="1612">
        <v>0</v>
      </c>
      <c r="E3799" s="1706" t="s">
        <v>7592</v>
      </c>
      <c r="F3799" s="1613">
        <v>50000000</v>
      </c>
      <c r="G3799" s="1613">
        <v>173164470952</v>
      </c>
    </row>
    <row r="3800" spans="1:7" ht="17.25" customHeight="1" x14ac:dyDescent="0.2">
      <c r="A3800" s="1611">
        <v>16</v>
      </c>
      <c r="B3800" s="1611" t="s">
        <v>7154</v>
      </c>
      <c r="C3800" s="1611" t="s">
        <v>5772</v>
      </c>
      <c r="D3800" s="1612">
        <v>0</v>
      </c>
      <c r="E3800" s="1706" t="s">
        <v>7592</v>
      </c>
      <c r="F3800" s="1613">
        <v>50500000</v>
      </c>
      <c r="G3800" s="1613">
        <v>173214970952</v>
      </c>
    </row>
    <row r="3801" spans="1:7" ht="17.25" customHeight="1" x14ac:dyDescent="0.2">
      <c r="A3801" s="1611">
        <v>16</v>
      </c>
      <c r="B3801" s="1611" t="s">
        <v>7154</v>
      </c>
      <c r="C3801" s="1611" t="s">
        <v>5772</v>
      </c>
      <c r="D3801" s="1612">
        <v>0</v>
      </c>
      <c r="E3801" s="1706" t="s">
        <v>7592</v>
      </c>
      <c r="F3801" s="1613">
        <v>50500000</v>
      </c>
      <c r="G3801" s="1613">
        <v>173265470952</v>
      </c>
    </row>
    <row r="3802" spans="1:7" ht="17.25" customHeight="1" x14ac:dyDescent="0.2">
      <c r="A3802" s="1611">
        <v>16</v>
      </c>
      <c r="B3802" s="1611" t="s">
        <v>7318</v>
      </c>
      <c r="C3802" s="1611" t="s">
        <v>3826</v>
      </c>
      <c r="D3802" s="1612">
        <v>0</v>
      </c>
      <c r="E3802" s="1706" t="s">
        <v>7592</v>
      </c>
      <c r="F3802" s="1613">
        <v>1018182</v>
      </c>
      <c r="G3802" s="1613">
        <v>173266489134</v>
      </c>
    </row>
    <row r="3803" spans="1:7" ht="17.25" customHeight="1" x14ac:dyDescent="0.2">
      <c r="A3803" s="1611">
        <v>16</v>
      </c>
      <c r="B3803" s="1611" t="s">
        <v>7156</v>
      </c>
      <c r="C3803" s="1611" t="s">
        <v>3826</v>
      </c>
      <c r="D3803" s="1612">
        <v>0</v>
      </c>
      <c r="E3803" s="1706" t="s">
        <v>7592</v>
      </c>
      <c r="F3803" s="1613">
        <v>30381819</v>
      </c>
      <c r="G3803" s="1613">
        <v>173296870953</v>
      </c>
    </row>
    <row r="3804" spans="1:7" ht="17.25" customHeight="1" x14ac:dyDescent="0.2">
      <c r="A3804" s="1611">
        <v>16</v>
      </c>
      <c r="B3804" s="1611" t="s">
        <v>2037</v>
      </c>
      <c r="C3804" s="1611" t="s">
        <v>5799</v>
      </c>
      <c r="D3804" s="1612" t="s">
        <v>7555</v>
      </c>
      <c r="E3804" s="1706" t="s">
        <v>7592</v>
      </c>
      <c r="F3804" s="1613">
        <v>17499180</v>
      </c>
      <c r="G3804" s="1613">
        <v>173314370133</v>
      </c>
    </row>
    <row r="3805" spans="1:7" ht="17.25" customHeight="1" x14ac:dyDescent="0.2">
      <c r="A3805" s="1611">
        <v>16</v>
      </c>
      <c r="B3805" s="1611" t="s">
        <v>7176</v>
      </c>
      <c r="C3805" s="1611" t="s">
        <v>5800</v>
      </c>
      <c r="D3805" s="1612">
        <v>0</v>
      </c>
      <c r="E3805" s="1706" t="s">
        <v>7592</v>
      </c>
      <c r="F3805" s="1613">
        <v>37700000</v>
      </c>
      <c r="G3805" s="1613">
        <v>173352070133</v>
      </c>
    </row>
    <row r="3806" spans="1:7" ht="17.25" customHeight="1" x14ac:dyDescent="0.2">
      <c r="A3806" s="1611">
        <v>16</v>
      </c>
      <c r="B3806" s="1611" t="s">
        <v>7311</v>
      </c>
      <c r="C3806" s="1611" t="s">
        <v>5801</v>
      </c>
      <c r="D3806" s="1612">
        <v>0</v>
      </c>
      <c r="E3806" s="1706" t="s">
        <v>7592</v>
      </c>
      <c r="F3806" s="1613">
        <v>46363636</v>
      </c>
      <c r="G3806" s="1613">
        <v>173398433769</v>
      </c>
    </row>
    <row r="3807" spans="1:7" ht="17.25" customHeight="1" x14ac:dyDescent="0.2">
      <c r="A3807" s="1611">
        <v>16</v>
      </c>
      <c r="B3807" s="1611" t="s">
        <v>7176</v>
      </c>
      <c r="C3807" s="1611" t="s">
        <v>5802</v>
      </c>
      <c r="D3807" s="1612">
        <v>0</v>
      </c>
      <c r="E3807" s="1706" t="s">
        <v>7592</v>
      </c>
      <c r="F3807" s="1613">
        <v>43000000</v>
      </c>
      <c r="G3807" s="1613">
        <v>173441433769</v>
      </c>
    </row>
    <row r="3808" spans="1:7" ht="17.25" customHeight="1" x14ac:dyDescent="0.2">
      <c r="A3808" s="1611">
        <v>16</v>
      </c>
      <c r="B3808" s="1611" t="s">
        <v>7176</v>
      </c>
      <c r="C3808" s="1611" t="s">
        <v>5803</v>
      </c>
      <c r="D3808" s="1612">
        <v>0</v>
      </c>
      <c r="E3808" s="1706" t="s">
        <v>7592</v>
      </c>
      <c r="F3808" s="1613">
        <v>36000000</v>
      </c>
      <c r="G3808" s="1613">
        <v>173477433769</v>
      </c>
    </row>
    <row r="3809" spans="1:7" ht="17.25" customHeight="1" x14ac:dyDescent="0.2">
      <c r="A3809" s="1611">
        <v>16</v>
      </c>
      <c r="B3809" s="1611" t="s">
        <v>7154</v>
      </c>
      <c r="C3809" s="1611" t="s">
        <v>5804</v>
      </c>
      <c r="D3809" s="1612">
        <v>0</v>
      </c>
      <c r="E3809" s="1706" t="s">
        <v>7592</v>
      </c>
      <c r="F3809" s="1613">
        <v>51363636</v>
      </c>
      <c r="G3809" s="1613">
        <v>173528797405</v>
      </c>
    </row>
    <row r="3810" spans="1:7" ht="17.25" customHeight="1" x14ac:dyDescent="0.2">
      <c r="A3810" s="1611">
        <v>16</v>
      </c>
      <c r="B3810" s="1611" t="s">
        <v>5805</v>
      </c>
      <c r="C3810" s="1611" t="s">
        <v>5806</v>
      </c>
      <c r="D3810" s="1612">
        <v>0</v>
      </c>
      <c r="E3810" s="1706" t="s">
        <v>7592</v>
      </c>
      <c r="F3810" s="1613">
        <v>100000000</v>
      </c>
      <c r="G3810" s="1613">
        <v>173628797405</v>
      </c>
    </row>
    <row r="3811" spans="1:7" ht="17.25" customHeight="1" x14ac:dyDescent="0.2">
      <c r="A3811" s="1611">
        <v>16</v>
      </c>
      <c r="B3811" s="1611" t="s">
        <v>7154</v>
      </c>
      <c r="C3811" s="1611" t="s">
        <v>5807</v>
      </c>
      <c r="D3811" s="1612">
        <v>0</v>
      </c>
      <c r="E3811" s="1706" t="s">
        <v>7592</v>
      </c>
      <c r="F3811" s="1613">
        <v>51931819</v>
      </c>
      <c r="G3811" s="1613">
        <v>173680729224</v>
      </c>
    </row>
    <row r="3812" spans="1:7" ht="17.25" customHeight="1" x14ac:dyDescent="0.2">
      <c r="A3812" s="1611">
        <v>16</v>
      </c>
      <c r="B3812" s="1611" t="s">
        <v>7203</v>
      </c>
      <c r="C3812" s="1611" t="s">
        <v>5808</v>
      </c>
      <c r="D3812" s="1612">
        <v>0</v>
      </c>
      <c r="E3812" s="1706" t="s">
        <v>7592</v>
      </c>
      <c r="F3812" s="1613">
        <v>34500000</v>
      </c>
      <c r="G3812" s="1613">
        <v>173715229224</v>
      </c>
    </row>
    <row r="3813" spans="1:7" ht="17.25" customHeight="1" x14ac:dyDescent="0.2">
      <c r="A3813" s="1611">
        <v>16</v>
      </c>
      <c r="B3813" s="1611" t="s">
        <v>7176</v>
      </c>
      <c r="C3813" s="1611" t="s">
        <v>5809</v>
      </c>
      <c r="D3813" s="1612">
        <v>0</v>
      </c>
      <c r="E3813" s="1706" t="s">
        <v>7592</v>
      </c>
      <c r="F3813" s="1613">
        <v>40300000</v>
      </c>
      <c r="G3813" s="1613">
        <v>173755529224</v>
      </c>
    </row>
    <row r="3814" spans="1:7" ht="17.25" customHeight="1" x14ac:dyDescent="0.2">
      <c r="A3814" s="1611">
        <v>16</v>
      </c>
      <c r="B3814" s="1611" t="s">
        <v>7156</v>
      </c>
      <c r="C3814" s="1611" t="s">
        <v>3826</v>
      </c>
      <c r="D3814" s="1612">
        <v>0</v>
      </c>
      <c r="E3814" s="1706" t="s">
        <v>7592</v>
      </c>
      <c r="F3814" s="1613">
        <v>30381819</v>
      </c>
      <c r="G3814" s="1613">
        <v>173785911043</v>
      </c>
    </row>
    <row r="3815" spans="1:7" ht="17.25" customHeight="1" x14ac:dyDescent="0.2">
      <c r="A3815" s="1611">
        <v>16</v>
      </c>
      <c r="B3815" s="1611" t="s">
        <v>7203</v>
      </c>
      <c r="C3815" s="1611" t="s">
        <v>5250</v>
      </c>
      <c r="D3815" s="1612">
        <v>0</v>
      </c>
      <c r="E3815" s="1706" t="s">
        <v>7592</v>
      </c>
      <c r="F3815" s="1613">
        <v>43120653</v>
      </c>
      <c r="G3815" s="1613">
        <v>173829031696</v>
      </c>
    </row>
    <row r="3816" spans="1:7" ht="17.25" customHeight="1" x14ac:dyDescent="0.2">
      <c r="A3816" s="1611">
        <v>16</v>
      </c>
      <c r="B3816" s="1611" t="s">
        <v>7203</v>
      </c>
      <c r="C3816" s="1611" t="s">
        <v>5250</v>
      </c>
      <c r="D3816" s="1612">
        <v>0</v>
      </c>
      <c r="E3816" s="1706" t="s">
        <v>7592</v>
      </c>
      <c r="F3816" s="1613">
        <v>43120653</v>
      </c>
      <c r="G3816" s="1613">
        <v>173872152349</v>
      </c>
    </row>
    <row r="3817" spans="1:7" ht="17.25" customHeight="1" x14ac:dyDescent="0.2">
      <c r="A3817" s="1611">
        <v>16</v>
      </c>
      <c r="B3817" s="1611" t="s">
        <v>7203</v>
      </c>
      <c r="C3817" s="1611" t="s">
        <v>5250</v>
      </c>
      <c r="D3817" s="1612">
        <v>0</v>
      </c>
      <c r="E3817" s="1706" t="s">
        <v>7592</v>
      </c>
      <c r="F3817" s="1613">
        <v>43120653</v>
      </c>
      <c r="G3817" s="1613">
        <v>173915273002</v>
      </c>
    </row>
    <row r="3818" spans="1:7" ht="17.25" customHeight="1" x14ac:dyDescent="0.2">
      <c r="A3818" s="1611">
        <v>16</v>
      </c>
      <c r="B3818" s="1611" t="s">
        <v>7203</v>
      </c>
      <c r="C3818" s="1611" t="s">
        <v>5250</v>
      </c>
      <c r="D3818" s="1612">
        <v>0</v>
      </c>
      <c r="E3818" s="1706" t="s">
        <v>7592</v>
      </c>
      <c r="F3818" s="1613">
        <v>43120653</v>
      </c>
      <c r="G3818" s="1613">
        <v>173958393655</v>
      </c>
    </row>
    <row r="3819" spans="1:7" ht="17.25" customHeight="1" x14ac:dyDescent="0.2">
      <c r="A3819" s="1611">
        <v>16</v>
      </c>
      <c r="B3819" s="1611" t="s">
        <v>7203</v>
      </c>
      <c r="C3819" s="1611" t="s">
        <v>5250</v>
      </c>
      <c r="D3819" s="1612">
        <v>0</v>
      </c>
      <c r="E3819" s="1706" t="s">
        <v>7592</v>
      </c>
      <c r="F3819" s="1613">
        <v>43120653</v>
      </c>
      <c r="G3819" s="1613">
        <v>174001514308</v>
      </c>
    </row>
    <row r="3820" spans="1:7" ht="17.25" customHeight="1" x14ac:dyDescent="0.2">
      <c r="A3820" s="1611">
        <v>16</v>
      </c>
      <c r="B3820" s="1611" t="s">
        <v>7203</v>
      </c>
      <c r="C3820" s="1611" t="s">
        <v>5250</v>
      </c>
      <c r="D3820" s="1612">
        <v>0</v>
      </c>
      <c r="E3820" s="1706" t="s">
        <v>7592</v>
      </c>
      <c r="F3820" s="1613">
        <v>43120653</v>
      </c>
      <c r="G3820" s="1613">
        <v>174044634961</v>
      </c>
    </row>
    <row r="3821" spans="1:7" ht="17.25" customHeight="1" x14ac:dyDescent="0.2">
      <c r="A3821" s="1611">
        <v>16</v>
      </c>
      <c r="B3821" s="1611" t="s">
        <v>7203</v>
      </c>
      <c r="C3821" s="1611" t="s">
        <v>5250</v>
      </c>
      <c r="D3821" s="1612">
        <v>0</v>
      </c>
      <c r="E3821" s="1706" t="s">
        <v>7592</v>
      </c>
      <c r="F3821" s="1613">
        <v>43120653</v>
      </c>
      <c r="G3821" s="1613">
        <v>174087755614</v>
      </c>
    </row>
    <row r="3822" spans="1:7" ht="17.25" customHeight="1" x14ac:dyDescent="0.2">
      <c r="A3822" s="1611">
        <v>16</v>
      </c>
      <c r="B3822" s="1611" t="s">
        <v>7203</v>
      </c>
      <c r="C3822" s="1611" t="s">
        <v>5250</v>
      </c>
      <c r="D3822" s="1612">
        <v>0</v>
      </c>
      <c r="E3822" s="1706" t="s">
        <v>7592</v>
      </c>
      <c r="F3822" s="1613">
        <v>43120653</v>
      </c>
      <c r="G3822" s="1613">
        <v>174130876267</v>
      </c>
    </row>
    <row r="3823" spans="1:7" ht="17.25" customHeight="1" x14ac:dyDescent="0.2">
      <c r="A3823" s="1611">
        <v>16</v>
      </c>
      <c r="B3823" s="1611" t="s">
        <v>7203</v>
      </c>
      <c r="C3823" s="1611" t="s">
        <v>5250</v>
      </c>
      <c r="D3823" s="1612">
        <v>0</v>
      </c>
      <c r="E3823" s="1706" t="s">
        <v>7592</v>
      </c>
      <c r="F3823" s="1613">
        <v>43120653</v>
      </c>
      <c r="G3823" s="1613">
        <v>174173996920</v>
      </c>
    </row>
    <row r="3824" spans="1:7" ht="17.25" customHeight="1" x14ac:dyDescent="0.2">
      <c r="A3824" s="1611">
        <v>16</v>
      </c>
      <c r="B3824" s="1611" t="s">
        <v>7203</v>
      </c>
      <c r="C3824" s="1611" t="s">
        <v>5250</v>
      </c>
      <c r="D3824" s="1612">
        <v>0</v>
      </c>
      <c r="E3824" s="1706" t="s">
        <v>7592</v>
      </c>
      <c r="F3824" s="1613">
        <v>43120653</v>
      </c>
      <c r="G3824" s="1613">
        <v>174217117573</v>
      </c>
    </row>
    <row r="3825" spans="1:7" ht="17.25" customHeight="1" x14ac:dyDescent="0.2">
      <c r="A3825" s="1611">
        <v>16</v>
      </c>
      <c r="B3825" s="1611" t="s">
        <v>7203</v>
      </c>
      <c r="C3825" s="1611" t="s">
        <v>5250</v>
      </c>
      <c r="D3825" s="1612">
        <v>0</v>
      </c>
      <c r="E3825" s="1706" t="s">
        <v>7592</v>
      </c>
      <c r="F3825" s="1613">
        <v>43120653</v>
      </c>
      <c r="G3825" s="1613">
        <v>174260238226</v>
      </c>
    </row>
    <row r="3826" spans="1:7" ht="17.25" customHeight="1" x14ac:dyDescent="0.2">
      <c r="A3826" s="1611">
        <v>16</v>
      </c>
      <c r="B3826" s="1611" t="s">
        <v>7203</v>
      </c>
      <c r="C3826" s="1611" t="s">
        <v>5250</v>
      </c>
      <c r="D3826" s="1612">
        <v>0</v>
      </c>
      <c r="E3826" s="1706" t="s">
        <v>7592</v>
      </c>
      <c r="F3826" s="1613">
        <v>43120653</v>
      </c>
      <c r="G3826" s="1613">
        <v>174303358879</v>
      </c>
    </row>
    <row r="3827" spans="1:7" ht="17.25" customHeight="1" x14ac:dyDescent="0.2">
      <c r="A3827" s="1611">
        <v>16</v>
      </c>
      <c r="B3827" s="1611" t="s">
        <v>7203</v>
      </c>
      <c r="C3827" s="1611" t="s">
        <v>5250</v>
      </c>
      <c r="D3827" s="1612">
        <v>0</v>
      </c>
      <c r="E3827" s="1706" t="s">
        <v>7592</v>
      </c>
      <c r="F3827" s="1613">
        <v>43120653</v>
      </c>
      <c r="G3827" s="1613">
        <v>174346479532</v>
      </c>
    </row>
    <row r="3828" spans="1:7" ht="17.25" customHeight="1" x14ac:dyDescent="0.2">
      <c r="A3828" s="1611">
        <v>16</v>
      </c>
      <c r="B3828" s="1611" t="s">
        <v>7203</v>
      </c>
      <c r="C3828" s="1611" t="s">
        <v>5250</v>
      </c>
      <c r="D3828" s="1612">
        <v>0</v>
      </c>
      <c r="E3828" s="1706" t="s">
        <v>7592</v>
      </c>
      <c r="F3828" s="1613">
        <v>43120653</v>
      </c>
      <c r="G3828" s="1613">
        <v>174389600185</v>
      </c>
    </row>
    <row r="3829" spans="1:7" ht="17.25" customHeight="1" x14ac:dyDescent="0.2">
      <c r="A3829" s="1611">
        <v>16</v>
      </c>
      <c r="B3829" s="1611" t="s">
        <v>7203</v>
      </c>
      <c r="C3829" s="1611" t="s">
        <v>5250</v>
      </c>
      <c r="D3829" s="1612">
        <v>0</v>
      </c>
      <c r="E3829" s="1706" t="s">
        <v>7592</v>
      </c>
      <c r="F3829" s="1613">
        <v>43120653</v>
      </c>
      <c r="G3829" s="1613">
        <v>174432720838</v>
      </c>
    </row>
    <row r="3830" spans="1:7" ht="17.25" customHeight="1" x14ac:dyDescent="0.2">
      <c r="A3830" s="1611">
        <v>16</v>
      </c>
      <c r="B3830" s="1611" t="s">
        <v>7203</v>
      </c>
      <c r="C3830" s="1611" t="s">
        <v>5250</v>
      </c>
      <c r="D3830" s="1612">
        <v>0</v>
      </c>
      <c r="E3830" s="1706" t="s">
        <v>7592</v>
      </c>
      <c r="F3830" s="1613">
        <v>43120653</v>
      </c>
      <c r="G3830" s="1613">
        <v>174475841491</v>
      </c>
    </row>
    <row r="3831" spans="1:7" ht="17.25" customHeight="1" x14ac:dyDescent="0.2">
      <c r="A3831" s="1611">
        <v>16</v>
      </c>
      <c r="B3831" s="1611" t="s">
        <v>7203</v>
      </c>
      <c r="C3831" s="1611" t="s">
        <v>5250</v>
      </c>
      <c r="D3831" s="1612">
        <v>0</v>
      </c>
      <c r="E3831" s="1706" t="s">
        <v>7592</v>
      </c>
      <c r="F3831" s="1613">
        <v>43120653</v>
      </c>
      <c r="G3831" s="1613">
        <v>174518962144</v>
      </c>
    </row>
    <row r="3832" spans="1:7" ht="17.25" customHeight="1" x14ac:dyDescent="0.2">
      <c r="A3832" s="1611">
        <v>16</v>
      </c>
      <c r="B3832" s="1611" t="s">
        <v>7203</v>
      </c>
      <c r="C3832" s="1611" t="s">
        <v>5250</v>
      </c>
      <c r="D3832" s="1612">
        <v>0</v>
      </c>
      <c r="E3832" s="1706" t="s">
        <v>7592</v>
      </c>
      <c r="F3832" s="1613">
        <v>43120653</v>
      </c>
      <c r="G3832" s="1613">
        <v>174562082797</v>
      </c>
    </row>
    <row r="3833" spans="1:7" ht="17.25" customHeight="1" x14ac:dyDescent="0.2">
      <c r="A3833" s="1611">
        <v>16</v>
      </c>
      <c r="B3833" s="1611" t="s">
        <v>7203</v>
      </c>
      <c r="C3833" s="1611" t="s">
        <v>5250</v>
      </c>
      <c r="D3833" s="1612">
        <v>0</v>
      </c>
      <c r="E3833" s="1706" t="s">
        <v>7592</v>
      </c>
      <c r="F3833" s="1613">
        <v>43120653</v>
      </c>
      <c r="G3833" s="1613">
        <v>174605203450</v>
      </c>
    </row>
    <row r="3834" spans="1:7" ht="17.25" customHeight="1" x14ac:dyDescent="0.2">
      <c r="A3834" s="1611">
        <v>16</v>
      </c>
      <c r="B3834" s="1611" t="s">
        <v>7203</v>
      </c>
      <c r="C3834" s="1611" t="s">
        <v>5250</v>
      </c>
      <c r="D3834" s="1612">
        <v>0</v>
      </c>
      <c r="E3834" s="1706" t="s">
        <v>7592</v>
      </c>
      <c r="F3834" s="1613">
        <v>43120653</v>
      </c>
      <c r="G3834" s="1613">
        <v>174648324103</v>
      </c>
    </row>
    <row r="3835" spans="1:7" ht="17.25" customHeight="1" x14ac:dyDescent="0.2">
      <c r="A3835" s="1611">
        <v>16</v>
      </c>
      <c r="B3835" s="1611" t="s">
        <v>7176</v>
      </c>
      <c r="C3835" s="1611" t="s">
        <v>5810</v>
      </c>
      <c r="D3835" s="1612">
        <v>0</v>
      </c>
      <c r="E3835" s="1706" t="s">
        <v>7592</v>
      </c>
      <c r="F3835" s="1613">
        <v>37909090</v>
      </c>
      <c r="G3835" s="1613">
        <v>174686233193</v>
      </c>
    </row>
    <row r="3836" spans="1:7" ht="17.25" customHeight="1" x14ac:dyDescent="0.2">
      <c r="A3836" s="1611">
        <v>16</v>
      </c>
      <c r="B3836" s="1611" t="s">
        <v>7251</v>
      </c>
      <c r="C3836" s="1611" t="s">
        <v>5811</v>
      </c>
      <c r="D3836" s="1612">
        <v>0</v>
      </c>
      <c r="E3836" s="1706" t="s">
        <v>7592</v>
      </c>
      <c r="F3836" s="1613">
        <v>34545455</v>
      </c>
      <c r="G3836" s="1613">
        <v>174720778648</v>
      </c>
    </row>
    <row r="3837" spans="1:7" ht="17.25" customHeight="1" x14ac:dyDescent="0.2">
      <c r="A3837" s="1611">
        <v>16</v>
      </c>
      <c r="B3837" s="1611" t="s">
        <v>7251</v>
      </c>
      <c r="C3837" s="1611" t="s">
        <v>5812</v>
      </c>
      <c r="D3837" s="1612">
        <v>0</v>
      </c>
      <c r="E3837" s="1706" t="s">
        <v>7592</v>
      </c>
      <c r="F3837" s="1613">
        <v>36100000</v>
      </c>
      <c r="G3837" s="1613">
        <v>174756878648</v>
      </c>
    </row>
    <row r="3838" spans="1:7" ht="17.25" customHeight="1" x14ac:dyDescent="0.2">
      <c r="A3838" s="1611">
        <v>16</v>
      </c>
      <c r="B3838" s="1611" t="s">
        <v>7176</v>
      </c>
      <c r="C3838" s="1611" t="s">
        <v>5813</v>
      </c>
      <c r="D3838" s="1612">
        <v>0</v>
      </c>
      <c r="E3838" s="1706" t="s">
        <v>7592</v>
      </c>
      <c r="F3838" s="1613">
        <v>38500000</v>
      </c>
      <c r="G3838" s="1613">
        <v>174795378648</v>
      </c>
    </row>
    <row r="3839" spans="1:7" ht="17.25" customHeight="1" x14ac:dyDescent="0.2">
      <c r="A3839" s="1611">
        <v>16</v>
      </c>
      <c r="B3839" s="1611" t="s">
        <v>2906</v>
      </c>
      <c r="C3839" s="1611" t="s">
        <v>5812</v>
      </c>
      <c r="D3839" s="1612">
        <v>0</v>
      </c>
      <c r="E3839" s="1706" t="s">
        <v>7592</v>
      </c>
      <c r="F3839" s="1613">
        <v>4400000</v>
      </c>
      <c r="G3839" s="1613">
        <v>174799778648</v>
      </c>
    </row>
    <row r="3840" spans="1:7" ht="17.25" customHeight="1" x14ac:dyDescent="0.2">
      <c r="A3840" s="1611">
        <v>16</v>
      </c>
      <c r="B3840" s="1611" t="s">
        <v>7203</v>
      </c>
      <c r="C3840" s="1611" t="s">
        <v>5814</v>
      </c>
      <c r="D3840" s="1612">
        <v>0</v>
      </c>
      <c r="E3840" s="1706" t="s">
        <v>7592</v>
      </c>
      <c r="F3840" s="1613">
        <v>35500000</v>
      </c>
      <c r="G3840" s="1613">
        <v>174835278648</v>
      </c>
    </row>
    <row r="3841" spans="1:7" ht="17.25" customHeight="1" x14ac:dyDescent="0.2">
      <c r="A3841" s="1611">
        <v>16</v>
      </c>
      <c r="B3841" s="1611" t="s">
        <v>7203</v>
      </c>
      <c r="C3841" s="1611" t="s">
        <v>5815</v>
      </c>
      <c r="D3841" s="1612">
        <v>0</v>
      </c>
      <c r="E3841" s="1706" t="s">
        <v>7592</v>
      </c>
      <c r="F3841" s="1613">
        <v>36100000</v>
      </c>
      <c r="G3841" s="1613">
        <v>174871378648</v>
      </c>
    </row>
    <row r="3842" spans="1:7" ht="17.25" customHeight="1" x14ac:dyDescent="0.2">
      <c r="A3842" s="1611">
        <v>16</v>
      </c>
      <c r="B3842" s="1611" t="s">
        <v>7203</v>
      </c>
      <c r="C3842" s="1611" t="s">
        <v>5816</v>
      </c>
      <c r="D3842" s="1612">
        <v>0</v>
      </c>
      <c r="E3842" s="1706" t="s">
        <v>7592</v>
      </c>
      <c r="F3842" s="1613">
        <v>36409090</v>
      </c>
      <c r="G3842" s="1613">
        <v>174907787738</v>
      </c>
    </row>
    <row r="3843" spans="1:7" ht="17.25" customHeight="1" x14ac:dyDescent="0.2">
      <c r="A3843" s="1611">
        <v>16</v>
      </c>
      <c r="B3843" s="1611" t="s">
        <v>2954</v>
      </c>
      <c r="C3843" s="1611" t="s">
        <v>5817</v>
      </c>
      <c r="D3843" s="1612">
        <v>0</v>
      </c>
      <c r="E3843" s="1706" t="s">
        <v>7592</v>
      </c>
      <c r="F3843" s="1613">
        <v>13000000</v>
      </c>
      <c r="G3843" s="1613">
        <v>174920787738</v>
      </c>
    </row>
    <row r="3844" spans="1:7" ht="17.25" customHeight="1" x14ac:dyDescent="0.2">
      <c r="A3844" s="1611">
        <v>16</v>
      </c>
      <c r="B3844" s="1611" t="s">
        <v>7245</v>
      </c>
      <c r="C3844" s="1611" t="s">
        <v>5818</v>
      </c>
      <c r="D3844" s="1612">
        <v>0</v>
      </c>
      <c r="E3844" s="1706" t="s">
        <v>7592</v>
      </c>
      <c r="F3844" s="1613">
        <v>40400000</v>
      </c>
      <c r="G3844" s="1613">
        <v>174961187738</v>
      </c>
    </row>
    <row r="3845" spans="1:7" ht="17.25" customHeight="1" x14ac:dyDescent="0.2">
      <c r="A3845" s="1611">
        <v>16</v>
      </c>
      <c r="B3845" s="1611" t="s">
        <v>7203</v>
      </c>
      <c r="C3845" s="1611" t="s">
        <v>5819</v>
      </c>
      <c r="D3845" s="1612">
        <v>0</v>
      </c>
      <c r="E3845" s="1706" t="s">
        <v>7592</v>
      </c>
      <c r="F3845" s="1613">
        <v>34000000</v>
      </c>
      <c r="G3845" s="1613">
        <v>174995187738</v>
      </c>
    </row>
    <row r="3846" spans="1:7" ht="17.25" customHeight="1" x14ac:dyDescent="0.2">
      <c r="A3846" s="1611">
        <v>16</v>
      </c>
      <c r="B3846" s="1611" t="s">
        <v>7318</v>
      </c>
      <c r="C3846" s="1611" t="s">
        <v>3826</v>
      </c>
      <c r="D3846" s="1612">
        <v>0</v>
      </c>
      <c r="E3846" s="1706" t="s">
        <v>7592</v>
      </c>
      <c r="F3846" s="1613">
        <v>1018182</v>
      </c>
      <c r="G3846" s="1613">
        <v>174996205920</v>
      </c>
    </row>
    <row r="3847" spans="1:7" ht="17.25" customHeight="1" x14ac:dyDescent="0.2">
      <c r="A3847" s="1611">
        <v>16</v>
      </c>
      <c r="B3847" s="1611" t="s">
        <v>7282</v>
      </c>
      <c r="C3847" s="1611" t="s">
        <v>5820</v>
      </c>
      <c r="D3847" s="1612">
        <v>0</v>
      </c>
      <c r="E3847" s="1706" t="s">
        <v>7592</v>
      </c>
      <c r="F3847" s="1613">
        <v>155000000</v>
      </c>
      <c r="G3847" s="1613">
        <v>175151205920</v>
      </c>
    </row>
    <row r="3848" spans="1:7" ht="17.25" customHeight="1" x14ac:dyDescent="0.2">
      <c r="A3848" s="1611">
        <v>16</v>
      </c>
      <c r="B3848" s="1611" t="s">
        <v>7203</v>
      </c>
      <c r="C3848" s="1611" t="s">
        <v>5821</v>
      </c>
      <c r="D3848" s="1612">
        <v>0</v>
      </c>
      <c r="E3848" s="1706" t="s">
        <v>7592</v>
      </c>
      <c r="F3848" s="1613">
        <v>36363636</v>
      </c>
      <c r="G3848" s="1613">
        <v>175187569556</v>
      </c>
    </row>
    <row r="3849" spans="1:7" ht="17.25" customHeight="1" x14ac:dyDescent="0.2">
      <c r="A3849" s="1611">
        <v>16</v>
      </c>
      <c r="B3849" s="1611" t="s">
        <v>7154</v>
      </c>
      <c r="C3849" s="1611" t="s">
        <v>5822</v>
      </c>
      <c r="D3849" s="1612">
        <v>0</v>
      </c>
      <c r="E3849" s="1706" t="s">
        <v>7592</v>
      </c>
      <c r="F3849" s="1613">
        <v>50000000</v>
      </c>
      <c r="G3849" s="1613">
        <v>175237569556</v>
      </c>
    </row>
    <row r="3850" spans="1:7" ht="17.25" customHeight="1" x14ac:dyDescent="0.2">
      <c r="A3850" s="1611">
        <v>16</v>
      </c>
      <c r="B3850" s="1611" t="s">
        <v>7156</v>
      </c>
      <c r="C3850" s="1611" t="s">
        <v>5775</v>
      </c>
      <c r="D3850" s="1612">
        <v>0</v>
      </c>
      <c r="E3850" s="1706" t="s">
        <v>7592</v>
      </c>
      <c r="F3850" s="1613">
        <v>15300000</v>
      </c>
      <c r="G3850" s="1613">
        <v>175252869556</v>
      </c>
    </row>
    <row r="3851" spans="1:7" ht="17.25" customHeight="1" x14ac:dyDescent="0.2">
      <c r="A3851" s="1611">
        <v>16</v>
      </c>
      <c r="B3851" s="1611" t="s">
        <v>7203</v>
      </c>
      <c r="C3851" s="1611" t="s">
        <v>3954</v>
      </c>
      <c r="D3851" s="1612">
        <v>0</v>
      </c>
      <c r="E3851" s="1706" t="s">
        <v>7592</v>
      </c>
      <c r="F3851" s="1613">
        <v>35000000</v>
      </c>
      <c r="G3851" s="1613">
        <v>175287869556</v>
      </c>
    </row>
    <row r="3852" spans="1:7" ht="17.25" customHeight="1" x14ac:dyDescent="0.2">
      <c r="A3852" s="1611">
        <v>16</v>
      </c>
      <c r="B3852" s="1611" t="s">
        <v>7203</v>
      </c>
      <c r="C3852" s="1611" t="s">
        <v>5823</v>
      </c>
      <c r="D3852" s="1612">
        <v>0</v>
      </c>
      <c r="E3852" s="1706" t="s">
        <v>7592</v>
      </c>
      <c r="F3852" s="1613">
        <v>36363636</v>
      </c>
      <c r="G3852" s="1613">
        <v>175324233192</v>
      </c>
    </row>
    <row r="3853" spans="1:7" ht="17.25" customHeight="1" x14ac:dyDescent="0.2">
      <c r="A3853" s="1611">
        <v>16</v>
      </c>
      <c r="B3853" s="1611" t="s">
        <v>7203</v>
      </c>
      <c r="C3853" s="1611" t="s">
        <v>5824</v>
      </c>
      <c r="D3853" s="1612">
        <v>0</v>
      </c>
      <c r="E3853" s="1706" t="s">
        <v>7592</v>
      </c>
      <c r="F3853" s="1613">
        <v>36363636</v>
      </c>
      <c r="G3853" s="1613">
        <v>175360596828</v>
      </c>
    </row>
    <row r="3854" spans="1:7" ht="17.25" customHeight="1" x14ac:dyDescent="0.2">
      <c r="A3854" s="1611">
        <v>16</v>
      </c>
      <c r="B3854" s="1611" t="s">
        <v>7319</v>
      </c>
      <c r="C3854" s="1611" t="s">
        <v>5825</v>
      </c>
      <c r="D3854" s="1612">
        <v>0</v>
      </c>
      <c r="E3854" s="1706" t="s">
        <v>7592</v>
      </c>
      <c r="F3854" s="1613">
        <v>15013636</v>
      </c>
      <c r="G3854" s="1613">
        <v>175375610464</v>
      </c>
    </row>
    <row r="3855" spans="1:7" ht="17.25" customHeight="1" x14ac:dyDescent="0.2">
      <c r="A3855" s="1611">
        <v>16</v>
      </c>
      <c r="B3855" s="1611" t="s">
        <v>7154</v>
      </c>
      <c r="C3855" s="1611" t="s">
        <v>4434</v>
      </c>
      <c r="D3855" s="1612">
        <v>0</v>
      </c>
      <c r="E3855" s="1706" t="s">
        <v>7592</v>
      </c>
      <c r="F3855" s="1613">
        <v>49700000</v>
      </c>
      <c r="G3855" s="1613">
        <v>175425310464</v>
      </c>
    </row>
    <row r="3856" spans="1:7" ht="17.25" customHeight="1" x14ac:dyDescent="0.2">
      <c r="A3856" s="1611">
        <v>16</v>
      </c>
      <c r="B3856" s="1611" t="s">
        <v>7291</v>
      </c>
      <c r="C3856" s="1611" t="s">
        <v>4971</v>
      </c>
      <c r="D3856" s="1612">
        <v>0</v>
      </c>
      <c r="E3856" s="1706" t="s">
        <v>7592</v>
      </c>
      <c r="F3856" s="1613">
        <v>39000000</v>
      </c>
      <c r="G3856" s="1613">
        <v>175464310464</v>
      </c>
    </row>
    <row r="3857" spans="1:7" ht="17.25" customHeight="1" x14ac:dyDescent="0.2">
      <c r="A3857" s="1611">
        <v>16</v>
      </c>
      <c r="B3857" s="1611" t="s">
        <v>7170</v>
      </c>
      <c r="C3857" s="1611" t="s">
        <v>5826</v>
      </c>
      <c r="D3857" s="1612">
        <v>0</v>
      </c>
      <c r="E3857" s="1706" t="s">
        <v>7592</v>
      </c>
      <c r="F3857" s="1613">
        <v>171000000</v>
      </c>
      <c r="G3857" s="1613">
        <v>175635310464</v>
      </c>
    </row>
    <row r="3858" spans="1:7" ht="17.25" customHeight="1" x14ac:dyDescent="0.2">
      <c r="A3858" s="1611">
        <v>16</v>
      </c>
      <c r="B3858" s="1611" t="s">
        <v>7176</v>
      </c>
      <c r="C3858" s="1611" t="s">
        <v>5827</v>
      </c>
      <c r="D3858" s="1612">
        <v>0</v>
      </c>
      <c r="E3858" s="1706" t="s">
        <v>7592</v>
      </c>
      <c r="F3858" s="1613">
        <v>36000000</v>
      </c>
      <c r="G3858" s="1613">
        <v>175671310464</v>
      </c>
    </row>
    <row r="3859" spans="1:7" ht="17.25" customHeight="1" x14ac:dyDescent="0.2">
      <c r="A3859" s="1611">
        <v>16</v>
      </c>
      <c r="B3859" s="1611" t="s">
        <v>7170</v>
      </c>
      <c r="C3859" s="1611" t="s">
        <v>5828</v>
      </c>
      <c r="D3859" s="1612">
        <v>0</v>
      </c>
      <c r="E3859" s="1706" t="s">
        <v>7592</v>
      </c>
      <c r="F3859" s="1613">
        <v>172000000</v>
      </c>
      <c r="G3859" s="1613">
        <v>175843310464</v>
      </c>
    </row>
    <row r="3860" spans="1:7" ht="17.25" customHeight="1" x14ac:dyDescent="0.2">
      <c r="A3860" s="1611">
        <v>16</v>
      </c>
      <c r="B3860" s="1611" t="s">
        <v>7203</v>
      </c>
      <c r="C3860" s="1611" t="s">
        <v>5829</v>
      </c>
      <c r="D3860" s="1612">
        <v>0</v>
      </c>
      <c r="E3860" s="1706" t="s">
        <v>7592</v>
      </c>
      <c r="F3860" s="1613">
        <v>34000000</v>
      </c>
      <c r="G3860" s="1613">
        <v>175877310464</v>
      </c>
    </row>
    <row r="3861" spans="1:7" ht="17.25" customHeight="1" x14ac:dyDescent="0.2">
      <c r="A3861" s="1611">
        <v>16</v>
      </c>
      <c r="B3861" s="1611" t="s">
        <v>7203</v>
      </c>
      <c r="C3861" s="1611" t="s">
        <v>5830</v>
      </c>
      <c r="D3861" s="1612">
        <v>0</v>
      </c>
      <c r="E3861" s="1706" t="s">
        <v>7592</v>
      </c>
      <c r="F3861" s="1613">
        <v>35818182</v>
      </c>
      <c r="G3861" s="1613">
        <v>175913128646</v>
      </c>
    </row>
    <row r="3862" spans="1:7" ht="17.25" customHeight="1" x14ac:dyDescent="0.2">
      <c r="A3862" s="1611">
        <v>16</v>
      </c>
      <c r="B3862" s="1611" t="s">
        <v>7285</v>
      </c>
      <c r="C3862" s="1611" t="s">
        <v>5831</v>
      </c>
      <c r="D3862" s="1612">
        <v>0</v>
      </c>
      <c r="E3862" s="1706" t="s">
        <v>7592</v>
      </c>
      <c r="F3862" s="1613">
        <v>49868182</v>
      </c>
      <c r="G3862" s="1613">
        <v>175962996828</v>
      </c>
    </row>
    <row r="3863" spans="1:7" ht="17.25" customHeight="1" x14ac:dyDescent="0.2">
      <c r="A3863" s="1611">
        <v>16</v>
      </c>
      <c r="B3863" s="1611" t="s">
        <v>7278</v>
      </c>
      <c r="C3863" s="1611" t="s">
        <v>5832</v>
      </c>
      <c r="D3863" s="1612">
        <v>0</v>
      </c>
      <c r="E3863" s="1706" t="s">
        <v>7592</v>
      </c>
      <c r="F3863" s="1613">
        <v>43254546</v>
      </c>
      <c r="G3863" s="1613">
        <v>176006251374</v>
      </c>
    </row>
    <row r="3864" spans="1:7" ht="17.25" customHeight="1" x14ac:dyDescent="0.2">
      <c r="A3864" s="1611">
        <v>16</v>
      </c>
      <c r="B3864" s="1611" t="s">
        <v>7158</v>
      </c>
      <c r="C3864" s="1611" t="s">
        <v>5833</v>
      </c>
      <c r="D3864" s="1612">
        <v>0</v>
      </c>
      <c r="E3864" s="1706" t="s">
        <v>7592</v>
      </c>
      <c r="F3864" s="1613">
        <v>122136000</v>
      </c>
      <c r="G3864" s="1613">
        <v>176128387374</v>
      </c>
    </row>
    <row r="3865" spans="1:7" ht="17.25" customHeight="1" x14ac:dyDescent="0.2">
      <c r="A3865" s="1611">
        <v>16</v>
      </c>
      <c r="B3865" s="1611" t="s">
        <v>7203</v>
      </c>
      <c r="C3865" s="1611" t="s">
        <v>5834</v>
      </c>
      <c r="D3865" s="1612">
        <v>0</v>
      </c>
      <c r="E3865" s="1706" t="s">
        <v>7592</v>
      </c>
      <c r="F3865" s="1613">
        <v>36363636</v>
      </c>
      <c r="G3865" s="1613">
        <v>176164751010</v>
      </c>
    </row>
    <row r="3866" spans="1:7" ht="17.25" customHeight="1" x14ac:dyDescent="0.2">
      <c r="A3866" s="1611">
        <v>16</v>
      </c>
      <c r="B3866" s="1611" t="s">
        <v>7203</v>
      </c>
      <c r="C3866" s="1611" t="s">
        <v>5441</v>
      </c>
      <c r="D3866" s="1612">
        <v>0</v>
      </c>
      <c r="E3866" s="1706" t="s">
        <v>7592</v>
      </c>
      <c r="F3866" s="1613">
        <v>33620000</v>
      </c>
      <c r="G3866" s="1613">
        <v>176198371010</v>
      </c>
    </row>
    <row r="3867" spans="1:7" ht="17.25" customHeight="1" x14ac:dyDescent="0.2">
      <c r="A3867" s="1611">
        <v>16</v>
      </c>
      <c r="B3867" s="1611" t="s">
        <v>7261</v>
      </c>
      <c r="C3867" s="1611" t="s">
        <v>5165</v>
      </c>
      <c r="D3867" s="1612">
        <v>0</v>
      </c>
      <c r="E3867" s="1706" t="s">
        <v>7592</v>
      </c>
      <c r="F3867" s="1613">
        <v>145000000</v>
      </c>
      <c r="G3867" s="1613">
        <v>176343371010</v>
      </c>
    </row>
    <row r="3868" spans="1:7" ht="17.25" customHeight="1" x14ac:dyDescent="0.2">
      <c r="A3868" s="1611">
        <v>16</v>
      </c>
      <c r="B3868" s="1611" t="s">
        <v>7156</v>
      </c>
      <c r="C3868" s="1611" t="s">
        <v>5835</v>
      </c>
      <c r="D3868" s="1612">
        <v>0</v>
      </c>
      <c r="E3868" s="1706" t="s">
        <v>7592</v>
      </c>
      <c r="F3868" s="1613">
        <v>15000000</v>
      </c>
      <c r="G3868" s="1613">
        <v>176358371010</v>
      </c>
    </row>
    <row r="3869" spans="1:7" ht="17.25" customHeight="1" x14ac:dyDescent="0.2">
      <c r="A3869" s="1611">
        <v>16</v>
      </c>
      <c r="B3869" s="1611" t="s">
        <v>7203</v>
      </c>
      <c r="C3869" s="1611" t="s">
        <v>5836</v>
      </c>
      <c r="D3869" s="1612">
        <v>0</v>
      </c>
      <c r="E3869" s="1706" t="s">
        <v>7592</v>
      </c>
      <c r="F3869" s="1613">
        <v>37272727</v>
      </c>
      <c r="G3869" s="1613">
        <v>176395643737</v>
      </c>
    </row>
    <row r="3870" spans="1:7" ht="17.25" customHeight="1" x14ac:dyDescent="0.2">
      <c r="A3870" s="1611">
        <v>16</v>
      </c>
      <c r="B3870" s="1611" t="s">
        <v>7261</v>
      </c>
      <c r="C3870" s="1611" t="s">
        <v>5837</v>
      </c>
      <c r="D3870" s="1612">
        <v>0</v>
      </c>
      <c r="E3870" s="1706" t="s">
        <v>7592</v>
      </c>
      <c r="F3870" s="1613">
        <v>148600000</v>
      </c>
      <c r="G3870" s="1613">
        <v>176544243737</v>
      </c>
    </row>
    <row r="3871" spans="1:7" ht="17.25" customHeight="1" x14ac:dyDescent="0.2">
      <c r="A3871" s="1611">
        <v>16</v>
      </c>
      <c r="B3871" s="1611" t="s">
        <v>7154</v>
      </c>
      <c r="C3871" s="1611" t="s">
        <v>3787</v>
      </c>
      <c r="D3871" s="1612">
        <v>0</v>
      </c>
      <c r="E3871" s="1706" t="s">
        <v>7592</v>
      </c>
      <c r="F3871" s="1613">
        <v>54804546</v>
      </c>
      <c r="G3871" s="1613">
        <v>176599048283</v>
      </c>
    </row>
    <row r="3872" spans="1:7" ht="17.25" customHeight="1" x14ac:dyDescent="0.2">
      <c r="A3872" s="1611">
        <v>16</v>
      </c>
      <c r="B3872" s="1611" t="s">
        <v>7203</v>
      </c>
      <c r="C3872" s="1611" t="s">
        <v>5838</v>
      </c>
      <c r="D3872" s="1612">
        <v>0</v>
      </c>
      <c r="E3872" s="1706" t="s">
        <v>7592</v>
      </c>
      <c r="F3872" s="1613">
        <v>34500000</v>
      </c>
      <c r="G3872" s="1613">
        <v>176633548283</v>
      </c>
    </row>
    <row r="3873" spans="1:7" ht="17.25" customHeight="1" x14ac:dyDescent="0.2">
      <c r="A3873" s="1611">
        <v>16</v>
      </c>
      <c r="B3873" s="1611" t="s">
        <v>7203</v>
      </c>
      <c r="C3873" s="1611" t="s">
        <v>3537</v>
      </c>
      <c r="D3873" s="1612">
        <v>0</v>
      </c>
      <c r="E3873" s="1706" t="s">
        <v>7592</v>
      </c>
      <c r="F3873" s="1613">
        <v>17765000</v>
      </c>
      <c r="G3873" s="1613">
        <v>176651313283</v>
      </c>
    </row>
    <row r="3874" spans="1:7" ht="17.25" customHeight="1" x14ac:dyDescent="0.2">
      <c r="A3874" s="1611">
        <v>16</v>
      </c>
      <c r="B3874" s="1611" t="s">
        <v>7156</v>
      </c>
      <c r="C3874" s="1611" t="s">
        <v>5839</v>
      </c>
      <c r="D3874" s="1612">
        <v>0</v>
      </c>
      <c r="E3874" s="1706" t="s">
        <v>7592</v>
      </c>
      <c r="F3874" s="1613">
        <v>15909091</v>
      </c>
      <c r="G3874" s="1613">
        <v>176667222374</v>
      </c>
    </row>
    <row r="3875" spans="1:7" ht="17.25" customHeight="1" x14ac:dyDescent="0.2">
      <c r="A3875" s="1611">
        <v>16</v>
      </c>
      <c r="B3875" s="1611" t="s">
        <v>7203</v>
      </c>
      <c r="C3875" s="1611" t="s">
        <v>5840</v>
      </c>
      <c r="D3875" s="1612">
        <v>0</v>
      </c>
      <c r="E3875" s="1706" t="s">
        <v>7592</v>
      </c>
      <c r="F3875" s="1613">
        <v>35909090</v>
      </c>
      <c r="G3875" s="1613">
        <v>176703131464</v>
      </c>
    </row>
    <row r="3876" spans="1:7" ht="17.25" customHeight="1" x14ac:dyDescent="0.2">
      <c r="A3876" s="1611">
        <v>16</v>
      </c>
      <c r="B3876" s="1611" t="s">
        <v>7203</v>
      </c>
      <c r="C3876" s="1611" t="s">
        <v>5841</v>
      </c>
      <c r="D3876" s="1612">
        <v>0</v>
      </c>
      <c r="E3876" s="1706" t="s">
        <v>7592</v>
      </c>
      <c r="F3876" s="1613">
        <v>36900000</v>
      </c>
      <c r="G3876" s="1613">
        <v>176740031464</v>
      </c>
    </row>
    <row r="3877" spans="1:7" ht="17.25" customHeight="1" x14ac:dyDescent="0.2">
      <c r="A3877" s="1611">
        <v>16</v>
      </c>
      <c r="B3877" s="1611" t="s">
        <v>7203</v>
      </c>
      <c r="C3877" s="1611" t="s">
        <v>5842</v>
      </c>
      <c r="D3877" s="1612">
        <v>0</v>
      </c>
      <c r="E3877" s="1706" t="s">
        <v>7592</v>
      </c>
      <c r="F3877" s="1613">
        <v>36900000</v>
      </c>
      <c r="G3877" s="1613">
        <v>176776931464</v>
      </c>
    </row>
    <row r="3878" spans="1:7" ht="17.25" customHeight="1" x14ac:dyDescent="0.2">
      <c r="A3878" s="1611">
        <v>16</v>
      </c>
      <c r="B3878" s="1611" t="s">
        <v>7261</v>
      </c>
      <c r="C3878" s="1611" t="s">
        <v>5843</v>
      </c>
      <c r="D3878" s="1612">
        <v>0</v>
      </c>
      <c r="E3878" s="1706" t="s">
        <v>7592</v>
      </c>
      <c r="F3878" s="1613">
        <v>146600000</v>
      </c>
      <c r="G3878" s="1613">
        <v>176923531464</v>
      </c>
    </row>
    <row r="3879" spans="1:7" ht="17.25" customHeight="1" x14ac:dyDescent="0.2">
      <c r="A3879" s="1611">
        <v>16</v>
      </c>
      <c r="B3879" s="1611" t="s">
        <v>7203</v>
      </c>
      <c r="C3879" s="1611" t="s">
        <v>5013</v>
      </c>
      <c r="D3879" s="1612">
        <v>0</v>
      </c>
      <c r="E3879" s="1706" t="s">
        <v>7592</v>
      </c>
      <c r="F3879" s="1613">
        <v>34770000</v>
      </c>
      <c r="G3879" s="1613">
        <v>176958301464</v>
      </c>
    </row>
    <row r="3880" spans="1:7" ht="17.25" customHeight="1" x14ac:dyDescent="0.2">
      <c r="A3880" s="1611">
        <v>16</v>
      </c>
      <c r="B3880" s="1611" t="s">
        <v>7203</v>
      </c>
      <c r="C3880" s="1611" t="s">
        <v>5250</v>
      </c>
      <c r="D3880" s="1612">
        <v>0</v>
      </c>
      <c r="E3880" s="1706" t="s">
        <v>7592</v>
      </c>
      <c r="F3880" s="1613">
        <v>43120653</v>
      </c>
      <c r="G3880" s="1613">
        <v>177001422117</v>
      </c>
    </row>
    <row r="3881" spans="1:7" ht="17.25" customHeight="1" x14ac:dyDescent="0.2">
      <c r="A3881" s="1611">
        <v>16</v>
      </c>
      <c r="B3881" s="1611" t="s">
        <v>7203</v>
      </c>
      <c r="C3881" s="1611" t="s">
        <v>5250</v>
      </c>
      <c r="D3881" s="1612">
        <v>0</v>
      </c>
      <c r="E3881" s="1706" t="s">
        <v>7592</v>
      </c>
      <c r="F3881" s="1613">
        <v>43120653</v>
      </c>
      <c r="G3881" s="1613">
        <v>177044542770</v>
      </c>
    </row>
    <row r="3882" spans="1:7" ht="17.25" customHeight="1" x14ac:dyDescent="0.2">
      <c r="A3882" s="1611">
        <v>16</v>
      </c>
      <c r="B3882" s="1611" t="s">
        <v>7203</v>
      </c>
      <c r="C3882" s="1611" t="s">
        <v>5250</v>
      </c>
      <c r="D3882" s="1612">
        <v>0</v>
      </c>
      <c r="E3882" s="1706" t="s">
        <v>7592</v>
      </c>
      <c r="F3882" s="1613">
        <v>43120653</v>
      </c>
      <c r="G3882" s="1613">
        <v>177087663423</v>
      </c>
    </row>
    <row r="3883" spans="1:7" ht="17.25" customHeight="1" x14ac:dyDescent="0.2">
      <c r="A3883" s="1611">
        <v>16</v>
      </c>
      <c r="B3883" s="1611" t="s">
        <v>7203</v>
      </c>
      <c r="C3883" s="1611" t="s">
        <v>5250</v>
      </c>
      <c r="D3883" s="1612">
        <v>0</v>
      </c>
      <c r="E3883" s="1706" t="s">
        <v>7592</v>
      </c>
      <c r="F3883" s="1613">
        <v>43120653</v>
      </c>
      <c r="G3883" s="1613">
        <v>177130784076</v>
      </c>
    </row>
    <row r="3884" spans="1:7" ht="17.25" customHeight="1" x14ac:dyDescent="0.2">
      <c r="A3884" s="1611">
        <v>16</v>
      </c>
      <c r="B3884" s="1611" t="s">
        <v>7203</v>
      </c>
      <c r="C3884" s="1611" t="s">
        <v>5250</v>
      </c>
      <c r="D3884" s="1612">
        <v>0</v>
      </c>
      <c r="E3884" s="1706" t="s">
        <v>7592</v>
      </c>
      <c r="F3884" s="1613">
        <v>43120653</v>
      </c>
      <c r="G3884" s="1613">
        <v>177173904729</v>
      </c>
    </row>
    <row r="3885" spans="1:7" ht="17.25" customHeight="1" x14ac:dyDescent="0.2">
      <c r="A3885" s="1611">
        <v>16</v>
      </c>
      <c r="B3885" s="1611" t="s">
        <v>7203</v>
      </c>
      <c r="C3885" s="1611" t="s">
        <v>5250</v>
      </c>
      <c r="D3885" s="1612">
        <v>0</v>
      </c>
      <c r="E3885" s="1706" t="s">
        <v>7592</v>
      </c>
      <c r="F3885" s="1613">
        <v>43120653</v>
      </c>
      <c r="G3885" s="1613">
        <v>177217025382</v>
      </c>
    </row>
    <row r="3886" spans="1:7" ht="17.25" customHeight="1" x14ac:dyDescent="0.2">
      <c r="A3886" s="1611">
        <v>16</v>
      </c>
      <c r="B3886" s="1611" t="s">
        <v>7203</v>
      </c>
      <c r="C3886" s="1611" t="s">
        <v>5250</v>
      </c>
      <c r="D3886" s="1612">
        <v>0</v>
      </c>
      <c r="E3886" s="1706" t="s">
        <v>7592</v>
      </c>
      <c r="F3886" s="1613">
        <v>43120653</v>
      </c>
      <c r="G3886" s="1613">
        <v>177260146035</v>
      </c>
    </row>
    <row r="3887" spans="1:7" ht="17.25" customHeight="1" x14ac:dyDescent="0.2">
      <c r="A3887" s="1611">
        <v>16</v>
      </c>
      <c r="B3887" s="1611" t="s">
        <v>7203</v>
      </c>
      <c r="C3887" s="1611" t="s">
        <v>5250</v>
      </c>
      <c r="D3887" s="1612">
        <v>0</v>
      </c>
      <c r="E3887" s="1706" t="s">
        <v>7592</v>
      </c>
      <c r="F3887" s="1613">
        <v>43120653</v>
      </c>
      <c r="G3887" s="1613">
        <v>177303266688</v>
      </c>
    </row>
    <row r="3888" spans="1:7" ht="17.25" customHeight="1" x14ac:dyDescent="0.2">
      <c r="A3888" s="1611">
        <v>16</v>
      </c>
      <c r="B3888" s="1611" t="s">
        <v>7203</v>
      </c>
      <c r="C3888" s="1611" t="s">
        <v>5250</v>
      </c>
      <c r="D3888" s="1612">
        <v>0</v>
      </c>
      <c r="E3888" s="1706" t="s">
        <v>7592</v>
      </c>
      <c r="F3888" s="1613">
        <v>43120653</v>
      </c>
      <c r="G3888" s="1613">
        <v>177346387341</v>
      </c>
    </row>
    <row r="3889" spans="1:7" ht="17.25" customHeight="1" x14ac:dyDescent="0.2">
      <c r="A3889" s="1611">
        <v>16</v>
      </c>
      <c r="B3889" s="1611" t="s">
        <v>7203</v>
      </c>
      <c r="C3889" s="1611" t="s">
        <v>5250</v>
      </c>
      <c r="D3889" s="1612">
        <v>0</v>
      </c>
      <c r="E3889" s="1706" t="s">
        <v>7592</v>
      </c>
      <c r="F3889" s="1613">
        <v>43120653</v>
      </c>
      <c r="G3889" s="1613">
        <v>177389507994</v>
      </c>
    </row>
    <row r="3890" spans="1:7" ht="17.25" customHeight="1" x14ac:dyDescent="0.2">
      <c r="A3890" s="1611">
        <v>16</v>
      </c>
      <c r="B3890" s="1611" t="s">
        <v>7203</v>
      </c>
      <c r="C3890" s="1611" t="s">
        <v>5250</v>
      </c>
      <c r="D3890" s="1612">
        <v>0</v>
      </c>
      <c r="E3890" s="1706" t="s">
        <v>7592</v>
      </c>
      <c r="F3890" s="1613">
        <v>43120653</v>
      </c>
      <c r="G3890" s="1613">
        <v>177432628647</v>
      </c>
    </row>
    <row r="3891" spans="1:7" ht="17.25" customHeight="1" x14ac:dyDescent="0.2">
      <c r="A3891" s="1611">
        <v>16</v>
      </c>
      <c r="B3891" s="1611" t="s">
        <v>7203</v>
      </c>
      <c r="C3891" s="1611" t="s">
        <v>5250</v>
      </c>
      <c r="D3891" s="1612">
        <v>0</v>
      </c>
      <c r="E3891" s="1706" t="s">
        <v>7592</v>
      </c>
      <c r="F3891" s="1613">
        <v>43120653</v>
      </c>
      <c r="G3891" s="1613">
        <v>177475749300</v>
      </c>
    </row>
    <row r="3892" spans="1:7" ht="17.25" customHeight="1" x14ac:dyDescent="0.2">
      <c r="A3892" s="1611">
        <v>16</v>
      </c>
      <c r="B3892" s="1611" t="s">
        <v>7203</v>
      </c>
      <c r="C3892" s="1611" t="s">
        <v>5250</v>
      </c>
      <c r="D3892" s="1612">
        <v>0</v>
      </c>
      <c r="E3892" s="1706" t="s">
        <v>7592</v>
      </c>
      <c r="F3892" s="1613">
        <v>43120653</v>
      </c>
      <c r="G3892" s="1613">
        <v>177518869953</v>
      </c>
    </row>
    <row r="3893" spans="1:7" ht="17.25" customHeight="1" x14ac:dyDescent="0.2">
      <c r="A3893" s="1611">
        <v>16</v>
      </c>
      <c r="B3893" s="1611" t="s">
        <v>7203</v>
      </c>
      <c r="C3893" s="1611" t="s">
        <v>5250</v>
      </c>
      <c r="D3893" s="1612">
        <v>0</v>
      </c>
      <c r="E3893" s="1706" t="s">
        <v>7592</v>
      </c>
      <c r="F3893" s="1613">
        <v>43120653</v>
      </c>
      <c r="G3893" s="1613">
        <v>177561990606</v>
      </c>
    </row>
    <row r="3894" spans="1:7" ht="17.25" customHeight="1" x14ac:dyDescent="0.2">
      <c r="A3894" s="1611">
        <v>16</v>
      </c>
      <c r="B3894" s="1611" t="s">
        <v>7203</v>
      </c>
      <c r="C3894" s="1611" t="s">
        <v>5250</v>
      </c>
      <c r="D3894" s="1612">
        <v>0</v>
      </c>
      <c r="E3894" s="1706" t="s">
        <v>7592</v>
      </c>
      <c r="F3894" s="1613">
        <v>43120653</v>
      </c>
      <c r="G3894" s="1613">
        <v>177605111259</v>
      </c>
    </row>
    <row r="3895" spans="1:7" ht="17.25" customHeight="1" x14ac:dyDescent="0.2">
      <c r="A3895" s="1611">
        <v>16</v>
      </c>
      <c r="B3895" s="1611" t="s">
        <v>7203</v>
      </c>
      <c r="C3895" s="1611" t="s">
        <v>5250</v>
      </c>
      <c r="D3895" s="1612">
        <v>0</v>
      </c>
      <c r="E3895" s="1706" t="s">
        <v>7592</v>
      </c>
      <c r="F3895" s="1613">
        <v>43120653</v>
      </c>
      <c r="G3895" s="1613">
        <v>177648231912</v>
      </c>
    </row>
    <row r="3896" spans="1:7" ht="17.25" customHeight="1" x14ac:dyDescent="0.2">
      <c r="A3896" s="1611">
        <v>16</v>
      </c>
      <c r="B3896" s="1611" t="s">
        <v>7203</v>
      </c>
      <c r="C3896" s="1611" t="s">
        <v>5250</v>
      </c>
      <c r="D3896" s="1612">
        <v>0</v>
      </c>
      <c r="E3896" s="1706" t="s">
        <v>7592</v>
      </c>
      <c r="F3896" s="1613">
        <v>43120653</v>
      </c>
      <c r="G3896" s="1613">
        <v>177691352565</v>
      </c>
    </row>
    <row r="3897" spans="1:7" ht="17.25" customHeight="1" x14ac:dyDescent="0.2">
      <c r="A3897" s="1611">
        <v>16</v>
      </c>
      <c r="B3897" s="1611" t="s">
        <v>7203</v>
      </c>
      <c r="C3897" s="1611" t="s">
        <v>5250</v>
      </c>
      <c r="D3897" s="1612">
        <v>0</v>
      </c>
      <c r="E3897" s="1706" t="s">
        <v>7592</v>
      </c>
      <c r="F3897" s="1613">
        <v>43120653</v>
      </c>
      <c r="G3897" s="1613">
        <v>177734473218</v>
      </c>
    </row>
    <row r="3898" spans="1:7" ht="17.25" customHeight="1" x14ac:dyDescent="0.2">
      <c r="A3898" s="1611">
        <v>16</v>
      </c>
      <c r="B3898" s="1611" t="s">
        <v>7203</v>
      </c>
      <c r="C3898" s="1611" t="s">
        <v>5250</v>
      </c>
      <c r="D3898" s="1612">
        <v>0</v>
      </c>
      <c r="E3898" s="1706" t="s">
        <v>7592</v>
      </c>
      <c r="F3898" s="1613">
        <v>43120653</v>
      </c>
      <c r="G3898" s="1613">
        <v>177777593871</v>
      </c>
    </row>
    <row r="3899" spans="1:7" ht="17.25" customHeight="1" x14ac:dyDescent="0.2">
      <c r="A3899" s="1611">
        <v>16</v>
      </c>
      <c r="B3899" s="1611" t="s">
        <v>7247</v>
      </c>
      <c r="C3899" s="1611" t="s">
        <v>5844</v>
      </c>
      <c r="D3899" s="1612">
        <v>0</v>
      </c>
      <c r="E3899" s="1706" t="s">
        <v>7592</v>
      </c>
      <c r="F3899" s="1613">
        <v>44818181</v>
      </c>
      <c r="G3899" s="1613">
        <v>177822412052</v>
      </c>
    </row>
    <row r="3900" spans="1:7" ht="17.25" customHeight="1" x14ac:dyDescent="0.2">
      <c r="A3900" s="1611">
        <v>16</v>
      </c>
      <c r="B3900" s="1611" t="s">
        <v>7203</v>
      </c>
      <c r="C3900" s="1611" t="s">
        <v>5845</v>
      </c>
      <c r="D3900" s="1612">
        <v>0</v>
      </c>
      <c r="E3900" s="1706" t="s">
        <v>7592</v>
      </c>
      <c r="F3900" s="1613">
        <v>16856000</v>
      </c>
      <c r="G3900" s="1613">
        <v>177839268052</v>
      </c>
    </row>
    <row r="3901" spans="1:7" ht="17.25" customHeight="1" x14ac:dyDescent="0.2">
      <c r="A3901" s="1611">
        <v>16</v>
      </c>
      <c r="B3901" s="1611" t="s">
        <v>7156</v>
      </c>
      <c r="C3901" s="1611" t="s">
        <v>5846</v>
      </c>
      <c r="D3901" s="1612">
        <v>0</v>
      </c>
      <c r="E3901" s="1706" t="s">
        <v>7592</v>
      </c>
      <c r="F3901" s="1613">
        <v>14000000</v>
      </c>
      <c r="G3901" s="1613">
        <v>177853268052</v>
      </c>
    </row>
    <row r="3902" spans="1:7" ht="17.25" customHeight="1" x14ac:dyDescent="0.2">
      <c r="A3902" s="1611">
        <v>16</v>
      </c>
      <c r="B3902" s="1611" t="s">
        <v>7156</v>
      </c>
      <c r="C3902" s="1611" t="s">
        <v>3438</v>
      </c>
      <c r="D3902" s="1612">
        <v>0</v>
      </c>
      <c r="E3902" s="1706" t="s">
        <v>7592</v>
      </c>
      <c r="F3902" s="1613">
        <v>41557000</v>
      </c>
      <c r="G3902" s="1613">
        <v>177894825052</v>
      </c>
    </row>
    <row r="3903" spans="1:7" ht="17.25" customHeight="1" x14ac:dyDescent="0.2">
      <c r="A3903" s="1611">
        <v>16</v>
      </c>
      <c r="B3903" s="1611" t="s">
        <v>7156</v>
      </c>
      <c r="C3903" s="1611" t="s">
        <v>3438</v>
      </c>
      <c r="D3903" s="1612">
        <v>0</v>
      </c>
      <c r="E3903" s="1706" t="s">
        <v>7592</v>
      </c>
      <c r="F3903" s="1613">
        <v>41557000</v>
      </c>
      <c r="G3903" s="1613">
        <v>177936382052</v>
      </c>
    </row>
    <row r="3904" spans="1:7" ht="17.25" customHeight="1" x14ac:dyDescent="0.2">
      <c r="A3904" s="1611">
        <v>16</v>
      </c>
      <c r="B3904" s="1611" t="s">
        <v>7156</v>
      </c>
      <c r="C3904" s="1611" t="s">
        <v>3438</v>
      </c>
      <c r="D3904" s="1612">
        <v>0</v>
      </c>
      <c r="E3904" s="1706" t="s">
        <v>7592</v>
      </c>
      <c r="F3904" s="1613">
        <v>41557000</v>
      </c>
      <c r="G3904" s="1613">
        <v>177977939052</v>
      </c>
    </row>
    <row r="3905" spans="1:7" ht="17.25" customHeight="1" x14ac:dyDescent="0.2">
      <c r="A3905" s="1611">
        <v>16</v>
      </c>
      <c r="B3905" s="1611" t="s">
        <v>7156</v>
      </c>
      <c r="C3905" s="1611" t="s">
        <v>3438</v>
      </c>
      <c r="D3905" s="1612">
        <v>0</v>
      </c>
      <c r="E3905" s="1706" t="s">
        <v>7592</v>
      </c>
      <c r="F3905" s="1613">
        <v>41557000</v>
      </c>
      <c r="G3905" s="1613">
        <v>178019496052</v>
      </c>
    </row>
    <row r="3906" spans="1:7" ht="17.25" customHeight="1" x14ac:dyDescent="0.2">
      <c r="A3906" s="1611">
        <v>16</v>
      </c>
      <c r="B3906" s="1611" t="s">
        <v>7156</v>
      </c>
      <c r="C3906" s="1611" t="s">
        <v>3438</v>
      </c>
      <c r="D3906" s="1612">
        <v>0</v>
      </c>
      <c r="E3906" s="1706" t="s">
        <v>7592</v>
      </c>
      <c r="F3906" s="1613">
        <v>41557000</v>
      </c>
      <c r="G3906" s="1613">
        <v>178061053052</v>
      </c>
    </row>
    <row r="3907" spans="1:7" ht="17.25" customHeight="1" x14ac:dyDescent="0.2">
      <c r="A3907" s="1611">
        <v>16</v>
      </c>
      <c r="B3907" s="1611" t="s">
        <v>7156</v>
      </c>
      <c r="C3907" s="1611" t="s">
        <v>3438</v>
      </c>
      <c r="D3907" s="1612">
        <v>0</v>
      </c>
      <c r="E3907" s="1706" t="s">
        <v>7592</v>
      </c>
      <c r="F3907" s="1613">
        <v>41557000</v>
      </c>
      <c r="G3907" s="1613">
        <v>178102610052</v>
      </c>
    </row>
    <row r="3908" spans="1:7" ht="17.25" customHeight="1" x14ac:dyDescent="0.2">
      <c r="A3908" s="1611">
        <v>16</v>
      </c>
      <c r="B3908" s="1611" t="s">
        <v>7156</v>
      </c>
      <c r="C3908" s="1611" t="s">
        <v>3438</v>
      </c>
      <c r="D3908" s="1612">
        <v>0</v>
      </c>
      <c r="E3908" s="1706" t="s">
        <v>7592</v>
      </c>
      <c r="F3908" s="1613">
        <v>41557000</v>
      </c>
      <c r="G3908" s="1613">
        <v>178144167052</v>
      </c>
    </row>
    <row r="3909" spans="1:7" ht="17.25" customHeight="1" x14ac:dyDescent="0.2">
      <c r="A3909" s="1611">
        <v>16</v>
      </c>
      <c r="B3909" s="1611" t="s">
        <v>7156</v>
      </c>
      <c r="C3909" s="1611" t="s">
        <v>3438</v>
      </c>
      <c r="D3909" s="1612">
        <v>0</v>
      </c>
      <c r="E3909" s="1706" t="s">
        <v>7592</v>
      </c>
      <c r="F3909" s="1613">
        <v>43102000</v>
      </c>
      <c r="G3909" s="1613">
        <v>178187269052</v>
      </c>
    </row>
    <row r="3910" spans="1:7" ht="17.25" customHeight="1" x14ac:dyDescent="0.2">
      <c r="A3910" s="1611">
        <v>16</v>
      </c>
      <c r="B3910" s="1611" t="s">
        <v>7156</v>
      </c>
      <c r="C3910" s="1611" t="s">
        <v>3438</v>
      </c>
      <c r="D3910" s="1612">
        <v>0</v>
      </c>
      <c r="E3910" s="1706" t="s">
        <v>7592</v>
      </c>
      <c r="F3910" s="1613">
        <v>43102000</v>
      </c>
      <c r="G3910" s="1613">
        <v>178230371052</v>
      </c>
    </row>
    <row r="3911" spans="1:7" ht="17.25" customHeight="1" x14ac:dyDescent="0.2">
      <c r="A3911" s="1611">
        <v>16</v>
      </c>
      <c r="B3911" s="1611" t="s">
        <v>7320</v>
      </c>
      <c r="C3911" s="1611" t="s">
        <v>3438</v>
      </c>
      <c r="D3911" s="1612">
        <v>0</v>
      </c>
      <c r="E3911" s="1706" t="s">
        <v>7592</v>
      </c>
      <c r="F3911" s="1613">
        <v>32234000</v>
      </c>
      <c r="G3911" s="1613">
        <v>178262605052</v>
      </c>
    </row>
    <row r="3912" spans="1:7" ht="17.25" customHeight="1" x14ac:dyDescent="0.2">
      <c r="A3912" s="1611">
        <v>16</v>
      </c>
      <c r="B3912" s="1611" t="s">
        <v>7320</v>
      </c>
      <c r="C3912" s="1611" t="s">
        <v>3438</v>
      </c>
      <c r="D3912" s="1612">
        <v>0</v>
      </c>
      <c r="E3912" s="1706" t="s">
        <v>7592</v>
      </c>
      <c r="F3912" s="1613">
        <v>32234000</v>
      </c>
      <c r="G3912" s="1613">
        <v>178294839052</v>
      </c>
    </row>
    <row r="3913" spans="1:7" ht="17.25" customHeight="1" x14ac:dyDescent="0.2">
      <c r="A3913" s="1611">
        <v>16</v>
      </c>
      <c r="B3913" s="1611" t="s">
        <v>7320</v>
      </c>
      <c r="C3913" s="1611" t="s">
        <v>3438</v>
      </c>
      <c r="D3913" s="1612">
        <v>0</v>
      </c>
      <c r="E3913" s="1706" t="s">
        <v>7592</v>
      </c>
      <c r="F3913" s="1613">
        <v>32234000</v>
      </c>
      <c r="G3913" s="1613">
        <v>178327073052</v>
      </c>
    </row>
    <row r="3914" spans="1:7" ht="17.25" customHeight="1" x14ac:dyDescent="0.2">
      <c r="A3914" s="1611">
        <v>16</v>
      </c>
      <c r="B3914" s="1611" t="s">
        <v>7320</v>
      </c>
      <c r="C3914" s="1611" t="s">
        <v>3438</v>
      </c>
      <c r="D3914" s="1612">
        <v>0</v>
      </c>
      <c r="E3914" s="1706" t="s">
        <v>7592</v>
      </c>
      <c r="F3914" s="1613">
        <v>32234000</v>
      </c>
      <c r="G3914" s="1613">
        <v>178359307052</v>
      </c>
    </row>
    <row r="3915" spans="1:7" ht="17.25" customHeight="1" x14ac:dyDescent="0.2">
      <c r="A3915" s="1611">
        <v>16</v>
      </c>
      <c r="B3915" s="1611" t="s">
        <v>7320</v>
      </c>
      <c r="C3915" s="1611" t="s">
        <v>3438</v>
      </c>
      <c r="D3915" s="1612">
        <v>0</v>
      </c>
      <c r="E3915" s="1706" t="s">
        <v>7592</v>
      </c>
      <c r="F3915" s="1613">
        <v>32234000</v>
      </c>
      <c r="G3915" s="1613">
        <v>178391541052</v>
      </c>
    </row>
    <row r="3916" spans="1:7" ht="17.25" customHeight="1" x14ac:dyDescent="0.2">
      <c r="A3916" s="1611">
        <v>16</v>
      </c>
      <c r="B3916" s="1611" t="s">
        <v>7320</v>
      </c>
      <c r="C3916" s="1611" t="s">
        <v>3438</v>
      </c>
      <c r="D3916" s="1612">
        <v>0</v>
      </c>
      <c r="E3916" s="1706" t="s">
        <v>7592</v>
      </c>
      <c r="F3916" s="1613">
        <v>32234000</v>
      </c>
      <c r="G3916" s="1613">
        <v>178423775052</v>
      </c>
    </row>
    <row r="3917" spans="1:7" ht="17.25" customHeight="1" x14ac:dyDescent="0.2">
      <c r="A3917" s="1611">
        <v>16</v>
      </c>
      <c r="B3917" s="1611" t="s">
        <v>7320</v>
      </c>
      <c r="C3917" s="1611" t="s">
        <v>3438</v>
      </c>
      <c r="D3917" s="1612">
        <v>0</v>
      </c>
      <c r="E3917" s="1706" t="s">
        <v>7592</v>
      </c>
      <c r="F3917" s="1613">
        <v>32234000</v>
      </c>
      <c r="G3917" s="1613">
        <v>178456009052</v>
      </c>
    </row>
    <row r="3918" spans="1:7" ht="17.25" customHeight="1" x14ac:dyDescent="0.2">
      <c r="A3918" s="1611">
        <v>16</v>
      </c>
      <c r="B3918" s="1611" t="s">
        <v>7321</v>
      </c>
      <c r="C3918" s="1611" t="s">
        <v>3438</v>
      </c>
      <c r="D3918" s="1612">
        <v>0</v>
      </c>
      <c r="E3918" s="1706" t="s">
        <v>7592</v>
      </c>
      <c r="F3918" s="1613">
        <v>3218000</v>
      </c>
      <c r="G3918" s="1613">
        <v>178459227052</v>
      </c>
    </row>
    <row r="3919" spans="1:7" ht="17.25" customHeight="1" x14ac:dyDescent="0.2">
      <c r="A3919" s="1611">
        <v>16</v>
      </c>
      <c r="B3919" s="1611" t="s">
        <v>7321</v>
      </c>
      <c r="C3919" s="1611" t="s">
        <v>3438</v>
      </c>
      <c r="D3919" s="1612">
        <v>0</v>
      </c>
      <c r="E3919" s="1706" t="s">
        <v>7592</v>
      </c>
      <c r="F3919" s="1613">
        <v>3218000</v>
      </c>
      <c r="G3919" s="1613">
        <v>178462445052</v>
      </c>
    </row>
    <row r="3920" spans="1:7" ht="17.25" customHeight="1" x14ac:dyDescent="0.2">
      <c r="A3920" s="1611">
        <v>16</v>
      </c>
      <c r="B3920" s="1611" t="s">
        <v>7321</v>
      </c>
      <c r="C3920" s="1611" t="s">
        <v>3438</v>
      </c>
      <c r="D3920" s="1612">
        <v>0</v>
      </c>
      <c r="E3920" s="1706" t="s">
        <v>7592</v>
      </c>
      <c r="F3920" s="1613">
        <v>3218000</v>
      </c>
      <c r="G3920" s="1613">
        <v>178465663052</v>
      </c>
    </row>
    <row r="3921" spans="1:7" ht="17.25" customHeight="1" x14ac:dyDescent="0.2">
      <c r="A3921" s="1611">
        <v>16</v>
      </c>
      <c r="B3921" s="1611" t="s">
        <v>7285</v>
      </c>
      <c r="C3921" s="1611" t="s">
        <v>5847</v>
      </c>
      <c r="D3921" s="1612">
        <v>0</v>
      </c>
      <c r="E3921" s="1706" t="s">
        <v>7592</v>
      </c>
      <c r="F3921" s="1613">
        <v>97659091</v>
      </c>
      <c r="G3921" s="1613">
        <v>178563322143</v>
      </c>
    </row>
    <row r="3922" spans="1:7" ht="17.25" customHeight="1" x14ac:dyDescent="0.2">
      <c r="A3922" s="1611">
        <v>16</v>
      </c>
      <c r="B3922" s="1611" t="s">
        <v>7203</v>
      </c>
      <c r="C3922" s="1611" t="s">
        <v>4797</v>
      </c>
      <c r="D3922" s="1612">
        <v>0</v>
      </c>
      <c r="E3922" s="1706" t="s">
        <v>7592</v>
      </c>
      <c r="F3922" s="1613">
        <v>34545454</v>
      </c>
      <c r="G3922" s="1613">
        <v>178597867597</v>
      </c>
    </row>
    <row r="3923" spans="1:7" ht="17.25" customHeight="1" x14ac:dyDescent="0.2">
      <c r="A3923" s="1611">
        <v>16</v>
      </c>
      <c r="B3923" s="1611" t="s">
        <v>7156</v>
      </c>
      <c r="C3923" s="1611" t="s">
        <v>5848</v>
      </c>
      <c r="D3923" s="1612">
        <v>0</v>
      </c>
      <c r="E3923" s="1706" t="s">
        <v>7592</v>
      </c>
      <c r="F3923" s="1613">
        <v>15013636</v>
      </c>
      <c r="G3923" s="1613">
        <v>178612881233</v>
      </c>
    </row>
    <row r="3924" spans="1:7" ht="17.25" customHeight="1" x14ac:dyDescent="0.2">
      <c r="A3924" s="1611">
        <v>16</v>
      </c>
      <c r="B3924" s="1611" t="s">
        <v>7156</v>
      </c>
      <c r="C3924" s="1611" t="s">
        <v>5849</v>
      </c>
      <c r="D3924" s="1612">
        <v>0</v>
      </c>
      <c r="E3924" s="1706" t="s">
        <v>7592</v>
      </c>
      <c r="F3924" s="1613">
        <v>14500000</v>
      </c>
      <c r="G3924" s="1613">
        <v>178627381233</v>
      </c>
    </row>
    <row r="3925" spans="1:7" ht="17.25" customHeight="1" x14ac:dyDescent="0.2">
      <c r="A3925" s="1611">
        <v>16</v>
      </c>
      <c r="B3925" s="1611" t="s">
        <v>7176</v>
      </c>
      <c r="C3925" s="1611" t="s">
        <v>5850</v>
      </c>
      <c r="D3925" s="1612">
        <v>0</v>
      </c>
      <c r="E3925" s="1706" t="s">
        <v>7592</v>
      </c>
      <c r="F3925" s="1613">
        <v>53398182</v>
      </c>
      <c r="G3925" s="1613">
        <v>178680779415</v>
      </c>
    </row>
    <row r="3926" spans="1:7" ht="17.25" customHeight="1" x14ac:dyDescent="0.2">
      <c r="A3926" s="1611">
        <v>16</v>
      </c>
      <c r="B3926" s="1611" t="s">
        <v>7154</v>
      </c>
      <c r="C3926" s="1611" t="s">
        <v>3787</v>
      </c>
      <c r="D3926" s="1612">
        <v>0</v>
      </c>
      <c r="E3926" s="1706" t="s">
        <v>7592</v>
      </c>
      <c r="F3926" s="1613">
        <v>909091</v>
      </c>
      <c r="G3926" s="1613">
        <v>178681688506</v>
      </c>
    </row>
    <row r="3927" spans="1:7" ht="17.25" customHeight="1" x14ac:dyDescent="0.2">
      <c r="A3927" s="1611">
        <v>16</v>
      </c>
      <c r="B3927" s="1611" t="s">
        <v>7176</v>
      </c>
      <c r="C3927" s="1611" t="s">
        <v>5850</v>
      </c>
      <c r="D3927" s="1612">
        <v>0</v>
      </c>
      <c r="E3927" s="1706" t="s">
        <v>7592</v>
      </c>
      <c r="F3927" s="1613">
        <v>1000000</v>
      </c>
      <c r="G3927" s="1613">
        <v>178682688506</v>
      </c>
    </row>
    <row r="3928" spans="1:7" ht="17.25" customHeight="1" x14ac:dyDescent="0.2">
      <c r="A3928" s="1611">
        <v>16</v>
      </c>
      <c r="B3928" s="1611" t="s">
        <v>7154</v>
      </c>
      <c r="C3928" s="1611" t="s">
        <v>5851</v>
      </c>
      <c r="D3928" s="1612">
        <v>0</v>
      </c>
      <c r="E3928" s="1706" t="s">
        <v>7592</v>
      </c>
      <c r="F3928" s="1613">
        <v>90284546</v>
      </c>
      <c r="G3928" s="1613">
        <v>178772973052</v>
      </c>
    </row>
    <row r="3929" spans="1:7" ht="17.25" customHeight="1" x14ac:dyDescent="0.2">
      <c r="A3929" s="1611">
        <v>16</v>
      </c>
      <c r="B3929" s="1611" t="s">
        <v>7203</v>
      </c>
      <c r="C3929" s="1611" t="s">
        <v>5852</v>
      </c>
      <c r="D3929" s="1612">
        <v>0</v>
      </c>
      <c r="E3929" s="1706" t="s">
        <v>7592</v>
      </c>
      <c r="F3929" s="1613">
        <v>17765000</v>
      </c>
      <c r="G3929" s="1613">
        <v>178790738052</v>
      </c>
    </row>
    <row r="3930" spans="1:7" ht="17.25" customHeight="1" x14ac:dyDescent="0.2">
      <c r="A3930" s="1611">
        <v>16</v>
      </c>
      <c r="B3930" s="1611" t="s">
        <v>7282</v>
      </c>
      <c r="C3930" s="1611" t="s">
        <v>5853</v>
      </c>
      <c r="D3930" s="1612">
        <v>0</v>
      </c>
      <c r="E3930" s="1706" t="s">
        <v>7592</v>
      </c>
      <c r="F3930" s="1613">
        <v>159500000</v>
      </c>
      <c r="G3930" s="1613">
        <v>178950238052</v>
      </c>
    </row>
    <row r="3931" spans="1:7" ht="17.25" customHeight="1" x14ac:dyDescent="0.2">
      <c r="A3931" s="1611">
        <v>16</v>
      </c>
      <c r="B3931" s="1611" t="s">
        <v>7156</v>
      </c>
      <c r="C3931" s="1611" t="s">
        <v>5854</v>
      </c>
      <c r="D3931" s="1612">
        <v>0</v>
      </c>
      <c r="E3931" s="1706" t="s">
        <v>7592</v>
      </c>
      <c r="F3931" s="1613">
        <v>15250000</v>
      </c>
      <c r="G3931" s="1613">
        <v>178965488052</v>
      </c>
    </row>
    <row r="3932" spans="1:7" ht="17.25" customHeight="1" x14ac:dyDescent="0.2">
      <c r="A3932" s="1611">
        <v>16</v>
      </c>
      <c r="B3932" s="1611" t="s">
        <v>7176</v>
      </c>
      <c r="C3932" s="1611" t="s">
        <v>5855</v>
      </c>
      <c r="D3932" s="1612">
        <v>0</v>
      </c>
      <c r="E3932" s="1706" t="s">
        <v>7592</v>
      </c>
      <c r="F3932" s="1613">
        <v>9090909</v>
      </c>
      <c r="G3932" s="1613">
        <v>178974578961</v>
      </c>
    </row>
    <row r="3933" spans="1:7" ht="17.25" customHeight="1" x14ac:dyDescent="0.2">
      <c r="A3933" s="1611">
        <v>16</v>
      </c>
      <c r="B3933" s="1611" t="s">
        <v>7154</v>
      </c>
      <c r="C3933" s="1611" t="s">
        <v>5856</v>
      </c>
      <c r="D3933" s="1612">
        <v>0</v>
      </c>
      <c r="E3933" s="1706" t="s">
        <v>7592</v>
      </c>
      <c r="F3933" s="1613">
        <v>52250000</v>
      </c>
      <c r="G3933" s="1613">
        <v>179026828961</v>
      </c>
    </row>
    <row r="3934" spans="1:7" ht="17.25" customHeight="1" x14ac:dyDescent="0.2">
      <c r="A3934" s="1611">
        <v>16</v>
      </c>
      <c r="B3934" s="1611" t="s">
        <v>7176</v>
      </c>
      <c r="C3934" s="1611" t="s">
        <v>5857</v>
      </c>
      <c r="D3934" s="1612">
        <v>0</v>
      </c>
      <c r="E3934" s="1706" t="s">
        <v>7592</v>
      </c>
      <c r="F3934" s="1613">
        <v>44000000</v>
      </c>
      <c r="G3934" s="1613">
        <v>179070828961</v>
      </c>
    </row>
    <row r="3935" spans="1:7" ht="17.25" customHeight="1" x14ac:dyDescent="0.2">
      <c r="A3935" s="1611">
        <v>16</v>
      </c>
      <c r="B3935" s="1611" t="s">
        <v>7156</v>
      </c>
      <c r="C3935" s="1611" t="s">
        <v>5858</v>
      </c>
      <c r="D3935" s="1612">
        <v>0</v>
      </c>
      <c r="E3935" s="1706" t="s">
        <v>7592</v>
      </c>
      <c r="F3935" s="1613">
        <v>13500000</v>
      </c>
      <c r="G3935" s="1613">
        <v>179084328961</v>
      </c>
    </row>
    <row r="3936" spans="1:7" ht="17.25" customHeight="1" x14ac:dyDescent="0.2">
      <c r="A3936" s="1611">
        <v>16</v>
      </c>
      <c r="B3936" s="1611" t="s">
        <v>7176</v>
      </c>
      <c r="C3936" s="1611" t="s">
        <v>5859</v>
      </c>
      <c r="D3936" s="1612">
        <v>0</v>
      </c>
      <c r="E3936" s="1706" t="s">
        <v>7592</v>
      </c>
      <c r="F3936" s="1613">
        <v>42250000</v>
      </c>
      <c r="G3936" s="1613">
        <v>179126578961</v>
      </c>
    </row>
    <row r="3937" spans="1:7" ht="17.25" customHeight="1" x14ac:dyDescent="0.2">
      <c r="A3937" s="1611">
        <v>16</v>
      </c>
      <c r="B3937" s="1611" t="s">
        <v>7154</v>
      </c>
      <c r="C3937" s="1611" t="s">
        <v>5860</v>
      </c>
      <c r="D3937" s="1612">
        <v>0</v>
      </c>
      <c r="E3937" s="1706" t="s">
        <v>7592</v>
      </c>
      <c r="F3937" s="1613">
        <v>50909090</v>
      </c>
      <c r="G3937" s="1613">
        <v>179177488051</v>
      </c>
    </row>
    <row r="3938" spans="1:7" ht="17.25" customHeight="1" x14ac:dyDescent="0.2">
      <c r="A3938" s="1611">
        <v>16</v>
      </c>
      <c r="B3938" s="1611" t="s">
        <v>7154</v>
      </c>
      <c r="C3938" s="1611" t="s">
        <v>5861</v>
      </c>
      <c r="D3938" s="1612">
        <v>0</v>
      </c>
      <c r="E3938" s="1706" t="s">
        <v>7592</v>
      </c>
      <c r="F3938" s="1613">
        <v>50000000</v>
      </c>
      <c r="G3938" s="1613">
        <v>179227488051</v>
      </c>
    </row>
    <row r="3939" spans="1:7" ht="17.25" customHeight="1" x14ac:dyDescent="0.2">
      <c r="A3939" s="1611">
        <v>16</v>
      </c>
      <c r="B3939" s="1611" t="s">
        <v>7154</v>
      </c>
      <c r="C3939" s="1611" t="s">
        <v>5862</v>
      </c>
      <c r="D3939" s="1612">
        <v>0</v>
      </c>
      <c r="E3939" s="1706" t="s">
        <v>7592</v>
      </c>
      <c r="F3939" s="1613">
        <v>51500000</v>
      </c>
      <c r="G3939" s="1613">
        <v>179278988051</v>
      </c>
    </row>
    <row r="3940" spans="1:7" ht="17.25" customHeight="1" x14ac:dyDescent="0.2">
      <c r="A3940" s="1611">
        <v>16</v>
      </c>
      <c r="B3940" s="1611" t="s">
        <v>7154</v>
      </c>
      <c r="C3940" s="1611" t="s">
        <v>5863</v>
      </c>
      <c r="D3940" s="1612">
        <v>0</v>
      </c>
      <c r="E3940" s="1706" t="s">
        <v>7592</v>
      </c>
      <c r="F3940" s="1613">
        <v>50000000</v>
      </c>
      <c r="G3940" s="1613">
        <v>179328988051</v>
      </c>
    </row>
    <row r="3941" spans="1:7" ht="17.25" customHeight="1" x14ac:dyDescent="0.2">
      <c r="A3941" s="1611">
        <v>16</v>
      </c>
      <c r="B3941" s="1611" t="s">
        <v>7156</v>
      </c>
      <c r="C3941" s="1611" t="s">
        <v>5864</v>
      </c>
      <c r="D3941" s="1612">
        <v>0</v>
      </c>
      <c r="E3941" s="1706" t="s">
        <v>7592</v>
      </c>
      <c r="F3941" s="1613">
        <v>13505456</v>
      </c>
      <c r="G3941" s="1613">
        <v>179342493507</v>
      </c>
    </row>
    <row r="3942" spans="1:7" ht="17.25" customHeight="1" x14ac:dyDescent="0.2">
      <c r="A3942" s="1611">
        <v>16</v>
      </c>
      <c r="B3942" s="1611" t="s">
        <v>2954</v>
      </c>
      <c r="C3942" s="1611" t="s">
        <v>5865</v>
      </c>
      <c r="D3942" s="1612">
        <v>0</v>
      </c>
      <c r="E3942" s="1706" t="s">
        <v>7592</v>
      </c>
      <c r="F3942" s="1613">
        <v>15000000</v>
      </c>
      <c r="G3942" s="1613">
        <v>179357493507</v>
      </c>
    </row>
    <row r="3943" spans="1:7" ht="17.25" customHeight="1" x14ac:dyDescent="0.2">
      <c r="A3943" s="1611">
        <v>16</v>
      </c>
      <c r="B3943" s="1611" t="s">
        <v>7156</v>
      </c>
      <c r="C3943" s="1611" t="s">
        <v>5866</v>
      </c>
      <c r="D3943" s="1612">
        <v>0</v>
      </c>
      <c r="E3943" s="1706" t="s">
        <v>7592</v>
      </c>
      <c r="F3943" s="1613">
        <v>15454545</v>
      </c>
      <c r="G3943" s="1613">
        <v>179372948052</v>
      </c>
    </row>
    <row r="3944" spans="1:7" ht="17.25" customHeight="1" x14ac:dyDescent="0.2">
      <c r="A3944" s="1611">
        <v>16</v>
      </c>
      <c r="B3944" s="1611" t="s">
        <v>7278</v>
      </c>
      <c r="C3944" s="1611" t="s">
        <v>5867</v>
      </c>
      <c r="D3944" s="1612">
        <v>0</v>
      </c>
      <c r="E3944" s="1706" t="s">
        <v>7592</v>
      </c>
      <c r="F3944" s="1613">
        <v>49225455</v>
      </c>
      <c r="G3944" s="1613">
        <v>179422173507</v>
      </c>
    </row>
    <row r="3945" spans="1:7" ht="17.25" customHeight="1" x14ac:dyDescent="0.2">
      <c r="A3945" s="1611">
        <v>16</v>
      </c>
      <c r="B3945" s="1611" t="s">
        <v>7203</v>
      </c>
      <c r="C3945" s="1611" t="s">
        <v>4669</v>
      </c>
      <c r="D3945" s="1612">
        <v>0</v>
      </c>
      <c r="E3945" s="1706" t="s">
        <v>7592</v>
      </c>
      <c r="F3945" s="1613">
        <v>38636364</v>
      </c>
      <c r="G3945" s="1613">
        <v>179460809871</v>
      </c>
    </row>
    <row r="3946" spans="1:7" ht="17.25" customHeight="1" x14ac:dyDescent="0.2">
      <c r="A3946" s="1611">
        <v>16</v>
      </c>
      <c r="B3946" s="1611" t="s">
        <v>7203</v>
      </c>
      <c r="C3946" s="1611" t="s">
        <v>4669</v>
      </c>
      <c r="D3946" s="1612">
        <v>0</v>
      </c>
      <c r="E3946" s="1706" t="s">
        <v>7592</v>
      </c>
      <c r="F3946" s="1613">
        <v>38636364</v>
      </c>
      <c r="G3946" s="1613">
        <v>179499446235</v>
      </c>
    </row>
    <row r="3947" spans="1:7" ht="17.25" customHeight="1" x14ac:dyDescent="0.2">
      <c r="A3947" s="1611">
        <v>16</v>
      </c>
      <c r="B3947" s="1611" t="s">
        <v>7176</v>
      </c>
      <c r="C3947" s="1611" t="s">
        <v>5207</v>
      </c>
      <c r="D3947" s="1612">
        <v>0</v>
      </c>
      <c r="E3947" s="1706" t="s">
        <v>7592</v>
      </c>
      <c r="F3947" s="1613">
        <v>38500000</v>
      </c>
      <c r="G3947" s="1613">
        <v>179537946235</v>
      </c>
    </row>
    <row r="3948" spans="1:7" ht="17.25" customHeight="1" x14ac:dyDescent="0.2">
      <c r="A3948" s="1611">
        <v>16</v>
      </c>
      <c r="B3948" s="1611" t="s">
        <v>7176</v>
      </c>
      <c r="C3948" s="1611" t="s">
        <v>5868</v>
      </c>
      <c r="D3948" s="1612">
        <v>0</v>
      </c>
      <c r="E3948" s="1706" t="s">
        <v>7592</v>
      </c>
      <c r="F3948" s="1613">
        <v>39800000</v>
      </c>
      <c r="G3948" s="1613">
        <v>179577746235</v>
      </c>
    </row>
    <row r="3949" spans="1:7" ht="17.25" customHeight="1" x14ac:dyDescent="0.2">
      <c r="A3949" s="1611">
        <v>16</v>
      </c>
      <c r="B3949" s="1611" t="s">
        <v>7203</v>
      </c>
      <c r="C3949" s="1611" t="s">
        <v>5869</v>
      </c>
      <c r="D3949" s="1612">
        <v>0</v>
      </c>
      <c r="E3949" s="1706" t="s">
        <v>7592</v>
      </c>
      <c r="F3949" s="1613">
        <v>17765000</v>
      </c>
      <c r="G3949" s="1613">
        <v>179595511235</v>
      </c>
    </row>
    <row r="3950" spans="1:7" ht="17.25" customHeight="1" x14ac:dyDescent="0.2">
      <c r="A3950" s="1611">
        <v>16</v>
      </c>
      <c r="B3950" s="1611" t="s">
        <v>7176</v>
      </c>
      <c r="C3950" s="1611" t="s">
        <v>4399</v>
      </c>
      <c r="D3950" s="1612">
        <v>0</v>
      </c>
      <c r="E3950" s="1706" t="s">
        <v>7592</v>
      </c>
      <c r="F3950" s="1613">
        <v>42000000</v>
      </c>
      <c r="G3950" s="1613">
        <v>179637511235</v>
      </c>
    </row>
    <row r="3951" spans="1:7" ht="17.25" customHeight="1" x14ac:dyDescent="0.2">
      <c r="A3951" s="1611">
        <v>16</v>
      </c>
      <c r="B3951" s="1611" t="s">
        <v>7176</v>
      </c>
      <c r="C3951" s="1611" t="s">
        <v>5870</v>
      </c>
      <c r="D3951" s="1612">
        <v>0</v>
      </c>
      <c r="E3951" s="1706" t="s">
        <v>7592</v>
      </c>
      <c r="F3951" s="1613">
        <v>38181818</v>
      </c>
      <c r="G3951" s="1613">
        <v>179675693053</v>
      </c>
    </row>
    <row r="3952" spans="1:7" ht="17.25" customHeight="1" x14ac:dyDescent="0.2">
      <c r="A3952" s="1611">
        <v>16</v>
      </c>
      <c r="B3952" s="1611" t="s">
        <v>7176</v>
      </c>
      <c r="C3952" s="1611" t="s">
        <v>5871</v>
      </c>
      <c r="D3952" s="1612">
        <v>0</v>
      </c>
      <c r="E3952" s="1706" t="s">
        <v>7592</v>
      </c>
      <c r="F3952" s="1613">
        <v>38859091</v>
      </c>
      <c r="G3952" s="1613">
        <v>179714552144</v>
      </c>
    </row>
    <row r="3953" spans="1:7" ht="17.25" customHeight="1" x14ac:dyDescent="0.2">
      <c r="A3953" s="1611">
        <v>16</v>
      </c>
      <c r="B3953" s="1611" t="s">
        <v>7154</v>
      </c>
      <c r="C3953" s="1611" t="s">
        <v>5872</v>
      </c>
      <c r="D3953" s="1612">
        <v>0</v>
      </c>
      <c r="E3953" s="1706" t="s">
        <v>7592</v>
      </c>
      <c r="F3953" s="1613">
        <v>50909091</v>
      </c>
      <c r="G3953" s="1613">
        <v>179765461235</v>
      </c>
    </row>
    <row r="3954" spans="1:7" ht="17.25" customHeight="1" x14ac:dyDescent="0.2">
      <c r="A3954" s="1611">
        <v>16</v>
      </c>
      <c r="B3954" s="1611" t="s">
        <v>7203</v>
      </c>
      <c r="C3954" s="1611" t="s">
        <v>5408</v>
      </c>
      <c r="D3954" s="1612">
        <v>0</v>
      </c>
      <c r="E3954" s="1706" t="s">
        <v>7592</v>
      </c>
      <c r="F3954" s="1613">
        <v>35000000</v>
      </c>
      <c r="G3954" s="1613">
        <v>179800461235</v>
      </c>
    </row>
    <row r="3955" spans="1:7" ht="17.25" customHeight="1" x14ac:dyDescent="0.2">
      <c r="A3955" s="1611">
        <v>16</v>
      </c>
      <c r="B3955" s="1611" t="s">
        <v>7203</v>
      </c>
      <c r="C3955" s="1611" t="s">
        <v>5873</v>
      </c>
      <c r="D3955" s="1612">
        <v>0</v>
      </c>
      <c r="E3955" s="1706" t="s">
        <v>7592</v>
      </c>
      <c r="F3955" s="1613">
        <v>35500000</v>
      </c>
      <c r="G3955" s="1613">
        <v>179835961235</v>
      </c>
    </row>
    <row r="3956" spans="1:7" ht="17.25" customHeight="1" x14ac:dyDescent="0.2">
      <c r="A3956" s="1611">
        <v>16</v>
      </c>
      <c r="B3956" s="1611" t="s">
        <v>7247</v>
      </c>
      <c r="C3956" s="1611" t="s">
        <v>5874</v>
      </c>
      <c r="D3956" s="1612">
        <v>0</v>
      </c>
      <c r="E3956" s="1706" t="s">
        <v>7592</v>
      </c>
      <c r="F3956" s="1613">
        <v>44727273</v>
      </c>
      <c r="G3956" s="1613">
        <v>179880688508</v>
      </c>
    </row>
    <row r="3957" spans="1:7" ht="17.25" customHeight="1" x14ac:dyDescent="0.2">
      <c r="A3957" s="1611">
        <v>16</v>
      </c>
      <c r="B3957" s="1611" t="s">
        <v>7247</v>
      </c>
      <c r="C3957" s="1611" t="s">
        <v>5875</v>
      </c>
      <c r="D3957" s="1612">
        <v>0</v>
      </c>
      <c r="E3957" s="1706" t="s">
        <v>7592</v>
      </c>
      <c r="F3957" s="1613">
        <v>44727273</v>
      </c>
      <c r="G3957" s="1613">
        <v>179925415781</v>
      </c>
    </row>
    <row r="3958" spans="1:7" ht="17.25" customHeight="1" x14ac:dyDescent="0.2">
      <c r="A3958" s="1611">
        <v>16</v>
      </c>
      <c r="B3958" s="1611" t="s">
        <v>7251</v>
      </c>
      <c r="C3958" s="1611" t="s">
        <v>4888</v>
      </c>
      <c r="D3958" s="1612">
        <v>0</v>
      </c>
      <c r="E3958" s="1706" t="s">
        <v>7592</v>
      </c>
      <c r="F3958" s="1613">
        <v>31000000</v>
      </c>
      <c r="G3958" s="1613">
        <v>179956415781</v>
      </c>
    </row>
    <row r="3959" spans="1:7" ht="17.25" customHeight="1" x14ac:dyDescent="0.2">
      <c r="A3959" s="1611">
        <v>16</v>
      </c>
      <c r="B3959" s="1611" t="s">
        <v>7203</v>
      </c>
      <c r="C3959" s="1611" t="s">
        <v>5876</v>
      </c>
      <c r="D3959" s="1612">
        <v>0</v>
      </c>
      <c r="E3959" s="1706" t="s">
        <v>7592</v>
      </c>
      <c r="F3959" s="1613">
        <v>35500000</v>
      </c>
      <c r="G3959" s="1613">
        <v>179991915781</v>
      </c>
    </row>
    <row r="3960" spans="1:7" ht="17.25" customHeight="1" x14ac:dyDescent="0.2">
      <c r="A3960" s="1611">
        <v>16</v>
      </c>
      <c r="B3960" s="1611" t="s">
        <v>7203</v>
      </c>
      <c r="C3960" s="1611" t="s">
        <v>5876</v>
      </c>
      <c r="D3960" s="1612">
        <v>0</v>
      </c>
      <c r="E3960" s="1706" t="s">
        <v>7592</v>
      </c>
      <c r="F3960" s="1613">
        <v>35500000</v>
      </c>
      <c r="G3960" s="1613">
        <v>180027415781</v>
      </c>
    </row>
    <row r="3961" spans="1:7" ht="17.25" customHeight="1" x14ac:dyDescent="0.2">
      <c r="A3961" s="1611">
        <v>16</v>
      </c>
      <c r="B3961" s="1611" t="s">
        <v>7261</v>
      </c>
      <c r="C3961" s="1611" t="s">
        <v>5877</v>
      </c>
      <c r="D3961" s="1612">
        <v>0</v>
      </c>
      <c r="E3961" s="1706" t="s">
        <v>7592</v>
      </c>
      <c r="F3961" s="1613">
        <v>145500000</v>
      </c>
      <c r="G3961" s="1613">
        <v>180172915781</v>
      </c>
    </row>
    <row r="3962" spans="1:7" ht="17.25" customHeight="1" x14ac:dyDescent="0.2">
      <c r="A3962" s="1611">
        <v>16</v>
      </c>
      <c r="B3962" s="1611" t="s">
        <v>7156</v>
      </c>
      <c r="C3962" s="1611" t="s">
        <v>5878</v>
      </c>
      <c r="D3962" s="1612">
        <v>0</v>
      </c>
      <c r="E3962" s="1706" t="s">
        <v>7592</v>
      </c>
      <c r="F3962" s="1613">
        <v>15750000</v>
      </c>
      <c r="G3962" s="1613">
        <v>180188665781</v>
      </c>
    </row>
    <row r="3963" spans="1:7" ht="17.25" customHeight="1" x14ac:dyDescent="0.2">
      <c r="A3963" s="1611">
        <v>16</v>
      </c>
      <c r="B3963" s="1611" t="s">
        <v>7203</v>
      </c>
      <c r="C3963" s="1611" t="s">
        <v>5879</v>
      </c>
      <c r="D3963" s="1612">
        <v>0</v>
      </c>
      <c r="E3963" s="1706" t="s">
        <v>7592</v>
      </c>
      <c r="F3963" s="1613">
        <v>37000000</v>
      </c>
      <c r="G3963" s="1613">
        <v>180225665781</v>
      </c>
    </row>
    <row r="3964" spans="1:7" ht="17.25" customHeight="1" x14ac:dyDescent="0.2">
      <c r="A3964" s="1611">
        <v>16</v>
      </c>
      <c r="B3964" s="1611" t="s">
        <v>7322</v>
      </c>
      <c r="C3964" s="1611" t="s">
        <v>5701</v>
      </c>
      <c r="D3964" s="1612">
        <v>0</v>
      </c>
      <c r="E3964" s="1612" t="s">
        <v>3297</v>
      </c>
      <c r="F3964" s="1613">
        <v>158636520</v>
      </c>
      <c r="G3964" s="1613">
        <v>180384302301</v>
      </c>
    </row>
    <row r="3965" spans="1:7" ht="17.25" customHeight="1" x14ac:dyDescent="0.2">
      <c r="A3965" s="1611">
        <v>16</v>
      </c>
      <c r="B3965" s="1611" t="s">
        <v>7154</v>
      </c>
      <c r="C3965" s="1611" t="s">
        <v>5880</v>
      </c>
      <c r="D3965" s="1612">
        <v>0</v>
      </c>
      <c r="E3965" s="1706" t="s">
        <v>7592</v>
      </c>
      <c r="F3965" s="1613">
        <v>50000000</v>
      </c>
      <c r="G3965" s="1613">
        <v>180434302301</v>
      </c>
    </row>
    <row r="3966" spans="1:7" ht="17.25" customHeight="1" x14ac:dyDescent="0.2">
      <c r="A3966" s="1611">
        <v>16</v>
      </c>
      <c r="B3966" s="1611" t="s">
        <v>7154</v>
      </c>
      <c r="C3966" s="1611" t="s">
        <v>5881</v>
      </c>
      <c r="D3966" s="1612">
        <v>0</v>
      </c>
      <c r="E3966" s="1706" t="s">
        <v>7592</v>
      </c>
      <c r="F3966" s="1613">
        <v>50909091</v>
      </c>
      <c r="G3966" s="1613">
        <v>180485211392</v>
      </c>
    </row>
    <row r="3967" spans="1:7" ht="17.25" customHeight="1" x14ac:dyDescent="0.2">
      <c r="A3967" s="1611">
        <v>16</v>
      </c>
      <c r="B3967" s="1611" t="s">
        <v>7154</v>
      </c>
      <c r="C3967" s="1611" t="s">
        <v>5882</v>
      </c>
      <c r="D3967" s="1612">
        <v>0</v>
      </c>
      <c r="E3967" s="1706" t="s">
        <v>7592</v>
      </c>
      <c r="F3967" s="1613">
        <v>50909091</v>
      </c>
      <c r="G3967" s="1613">
        <v>180536120483</v>
      </c>
    </row>
    <row r="3968" spans="1:7" ht="17.25" customHeight="1" x14ac:dyDescent="0.2">
      <c r="A3968" s="1611">
        <v>16</v>
      </c>
      <c r="B3968" s="1611" t="s">
        <v>7176</v>
      </c>
      <c r="C3968" s="1611" t="s">
        <v>5883</v>
      </c>
      <c r="D3968" s="1612">
        <v>0</v>
      </c>
      <c r="E3968" s="1706" t="s">
        <v>7592</v>
      </c>
      <c r="F3968" s="1613">
        <v>43181818</v>
      </c>
      <c r="G3968" s="1613">
        <v>180579302301</v>
      </c>
    </row>
    <row r="3969" spans="1:7" ht="17.25" customHeight="1" x14ac:dyDescent="0.2">
      <c r="A3969" s="1611">
        <v>16</v>
      </c>
      <c r="B3969" s="1611" t="s">
        <v>7154</v>
      </c>
      <c r="C3969" s="1611" t="s">
        <v>5884</v>
      </c>
      <c r="D3969" s="1612">
        <v>0</v>
      </c>
      <c r="E3969" s="1706" t="s">
        <v>7592</v>
      </c>
      <c r="F3969" s="1613">
        <v>51500000</v>
      </c>
      <c r="G3969" s="1613">
        <v>180630802301</v>
      </c>
    </row>
    <row r="3970" spans="1:7" ht="17.25" customHeight="1" x14ac:dyDescent="0.2">
      <c r="A3970" s="1611">
        <v>16</v>
      </c>
      <c r="B3970" s="1611" t="s">
        <v>7154</v>
      </c>
      <c r="C3970" s="1611" t="s">
        <v>5885</v>
      </c>
      <c r="D3970" s="1612">
        <v>0</v>
      </c>
      <c r="E3970" s="1706" t="s">
        <v>7592</v>
      </c>
      <c r="F3970" s="1613">
        <v>50000000</v>
      </c>
      <c r="G3970" s="1613">
        <v>180680802301</v>
      </c>
    </row>
    <row r="3971" spans="1:7" ht="17.25" customHeight="1" x14ac:dyDescent="0.2">
      <c r="A3971" s="1611">
        <v>16</v>
      </c>
      <c r="B3971" s="1611" t="s">
        <v>7203</v>
      </c>
      <c r="C3971" s="1611" t="s">
        <v>5886</v>
      </c>
      <c r="D3971" s="1612">
        <v>0</v>
      </c>
      <c r="E3971" s="1706" t="s">
        <v>7592</v>
      </c>
      <c r="F3971" s="1613">
        <v>36000000</v>
      </c>
      <c r="G3971" s="1613">
        <v>180716802301</v>
      </c>
    </row>
    <row r="3972" spans="1:7" ht="17.25" customHeight="1" x14ac:dyDescent="0.2">
      <c r="A3972" s="1611">
        <v>16</v>
      </c>
      <c r="B3972" s="1611" t="s">
        <v>7203</v>
      </c>
      <c r="C3972" s="1611" t="s">
        <v>5887</v>
      </c>
      <c r="D3972" s="1612">
        <v>0</v>
      </c>
      <c r="E3972" s="1706" t="s">
        <v>7592</v>
      </c>
      <c r="F3972" s="1613">
        <v>35655000</v>
      </c>
      <c r="G3972" s="1613">
        <v>180752457301</v>
      </c>
    </row>
    <row r="3973" spans="1:7" ht="17.25" customHeight="1" x14ac:dyDescent="0.2">
      <c r="A3973" s="1611">
        <v>16</v>
      </c>
      <c r="B3973" s="1611" t="s">
        <v>7203</v>
      </c>
      <c r="C3973" s="1611" t="s">
        <v>5250</v>
      </c>
      <c r="D3973" s="1612">
        <v>0</v>
      </c>
      <c r="E3973" s="1706" t="s">
        <v>7592</v>
      </c>
      <c r="F3973" s="1613">
        <v>37409091</v>
      </c>
      <c r="G3973" s="1613">
        <v>180789866392</v>
      </c>
    </row>
    <row r="3974" spans="1:7" ht="17.25" customHeight="1" x14ac:dyDescent="0.2">
      <c r="A3974" s="1611">
        <v>16</v>
      </c>
      <c r="B3974" s="1611" t="s">
        <v>7154</v>
      </c>
      <c r="C3974" s="1611" t="s">
        <v>3909</v>
      </c>
      <c r="D3974" s="1612">
        <v>0</v>
      </c>
      <c r="E3974" s="1706" t="s">
        <v>7592</v>
      </c>
      <c r="F3974" s="1613">
        <v>51000000</v>
      </c>
      <c r="G3974" s="1613">
        <v>180840866392</v>
      </c>
    </row>
    <row r="3975" spans="1:7" ht="17.25" customHeight="1" x14ac:dyDescent="0.2">
      <c r="A3975" s="1611">
        <v>16</v>
      </c>
      <c r="B3975" s="1611" t="s">
        <v>7156</v>
      </c>
      <c r="C3975" s="1611" t="s">
        <v>5888</v>
      </c>
      <c r="D3975" s="1612">
        <v>0</v>
      </c>
      <c r="E3975" s="1706" t="s">
        <v>7592</v>
      </c>
      <c r="F3975" s="1613">
        <v>14545455</v>
      </c>
      <c r="G3975" s="1613">
        <v>180855411847</v>
      </c>
    </row>
    <row r="3976" spans="1:7" ht="17.25" customHeight="1" x14ac:dyDescent="0.2">
      <c r="A3976" s="1611">
        <v>16</v>
      </c>
      <c r="B3976" s="1611" t="s">
        <v>2037</v>
      </c>
      <c r="C3976" s="1611" t="s">
        <v>214</v>
      </c>
      <c r="D3976" s="1612" t="s">
        <v>7555</v>
      </c>
      <c r="E3976" s="1706" t="s">
        <v>7592</v>
      </c>
      <c r="F3976" s="1613">
        <v>22360000</v>
      </c>
      <c r="G3976" s="1613">
        <v>180877771847</v>
      </c>
    </row>
    <row r="3977" spans="1:7" ht="17.25" customHeight="1" x14ac:dyDescent="0.2">
      <c r="A3977" s="1611">
        <v>16</v>
      </c>
      <c r="B3977" s="1611" t="s">
        <v>2055</v>
      </c>
      <c r="C3977" s="1611" t="s">
        <v>214</v>
      </c>
      <c r="D3977" s="1612" t="s">
        <v>7555</v>
      </c>
      <c r="E3977" s="1706" t="s">
        <v>7592</v>
      </c>
      <c r="F3977" s="1613">
        <v>50237000</v>
      </c>
      <c r="G3977" s="1613">
        <v>180928008847</v>
      </c>
    </row>
    <row r="3978" spans="1:7" ht="17.25" customHeight="1" x14ac:dyDescent="0.2">
      <c r="A3978" s="1611">
        <v>16</v>
      </c>
      <c r="B3978" s="1611" t="s">
        <v>7323</v>
      </c>
      <c r="C3978" s="1611" t="s">
        <v>214</v>
      </c>
      <c r="D3978" s="1612">
        <v>0</v>
      </c>
      <c r="E3978" s="1706" t="s">
        <v>7592</v>
      </c>
      <c r="F3978" s="1613">
        <v>15088828</v>
      </c>
      <c r="G3978" s="1613">
        <v>180943097675</v>
      </c>
    </row>
    <row r="3979" spans="1:7" ht="17.25" customHeight="1" x14ac:dyDescent="0.2">
      <c r="A3979" s="1611">
        <v>16</v>
      </c>
      <c r="B3979" s="1611" t="s">
        <v>7203</v>
      </c>
      <c r="C3979" s="1611" t="s">
        <v>214</v>
      </c>
      <c r="D3979" s="1612">
        <v>0</v>
      </c>
      <c r="E3979" s="1706" t="s">
        <v>7592</v>
      </c>
      <c r="F3979" s="1613">
        <v>23942000</v>
      </c>
      <c r="G3979" s="1613">
        <v>180967039675</v>
      </c>
    </row>
    <row r="3980" spans="1:7" ht="17.25" customHeight="1" x14ac:dyDescent="0.2">
      <c r="A3980" s="1611">
        <v>16</v>
      </c>
      <c r="B3980" s="1611" t="s">
        <v>7324</v>
      </c>
      <c r="C3980" s="1611" t="s">
        <v>214</v>
      </c>
      <c r="D3980" s="1612">
        <v>0</v>
      </c>
      <c r="E3980" s="1706" t="s">
        <v>7592</v>
      </c>
      <c r="F3980" s="1613">
        <v>12600909</v>
      </c>
      <c r="G3980" s="1613">
        <v>180979640584</v>
      </c>
    </row>
    <row r="3981" spans="1:7" ht="17.25" customHeight="1" x14ac:dyDescent="0.2">
      <c r="A3981" s="1611">
        <v>16</v>
      </c>
      <c r="B3981" s="1611" t="s">
        <v>7176</v>
      </c>
      <c r="C3981" s="1611" t="s">
        <v>5889</v>
      </c>
      <c r="D3981" s="1612">
        <v>0</v>
      </c>
      <c r="E3981" s="1706" t="s">
        <v>7592</v>
      </c>
      <c r="F3981" s="1613">
        <v>35500000</v>
      </c>
      <c r="G3981" s="1613">
        <v>181015140584</v>
      </c>
    </row>
    <row r="3982" spans="1:7" ht="17.25" customHeight="1" x14ac:dyDescent="0.2">
      <c r="A3982" s="1611">
        <v>16</v>
      </c>
      <c r="B3982" s="1611" t="s">
        <v>7156</v>
      </c>
      <c r="C3982" s="1611" t="s">
        <v>3866</v>
      </c>
      <c r="D3982" s="1612">
        <v>0</v>
      </c>
      <c r="E3982" s="1706" t="s">
        <v>7592</v>
      </c>
      <c r="F3982" s="1613">
        <v>15013636</v>
      </c>
      <c r="G3982" s="1613">
        <v>181030154220</v>
      </c>
    </row>
    <row r="3983" spans="1:7" ht="17.25" customHeight="1" x14ac:dyDescent="0.2">
      <c r="A3983" s="1611">
        <v>16</v>
      </c>
      <c r="B3983" s="1611" t="s">
        <v>7176</v>
      </c>
      <c r="C3983" s="1611" t="s">
        <v>5475</v>
      </c>
      <c r="D3983" s="1612">
        <v>0</v>
      </c>
      <c r="E3983" s="1612" t="s">
        <v>3299</v>
      </c>
      <c r="F3983" s="1613">
        <v>34696866</v>
      </c>
      <c r="G3983" s="1613">
        <v>181064851086</v>
      </c>
    </row>
    <row r="3984" spans="1:7" ht="17.25" customHeight="1" x14ac:dyDescent="0.2">
      <c r="A3984" s="1611">
        <v>16</v>
      </c>
      <c r="B3984" s="1611" t="s">
        <v>7186</v>
      </c>
      <c r="C3984" s="1611" t="s">
        <v>5890</v>
      </c>
      <c r="D3984" s="1612">
        <v>0</v>
      </c>
      <c r="E3984" s="1706" t="s">
        <v>7592</v>
      </c>
      <c r="F3984" s="1613">
        <v>53636363</v>
      </c>
      <c r="G3984" s="1613">
        <v>181118487449</v>
      </c>
    </row>
    <row r="3985" spans="1:7" ht="17.25" customHeight="1" x14ac:dyDescent="0.2">
      <c r="A3985" s="1611">
        <v>16</v>
      </c>
      <c r="B3985" s="1611" t="s">
        <v>7176</v>
      </c>
      <c r="C3985" s="1611" t="s">
        <v>5891</v>
      </c>
      <c r="D3985" s="1612">
        <v>0</v>
      </c>
      <c r="E3985" s="1706" t="s">
        <v>7592</v>
      </c>
      <c r="F3985" s="1613">
        <v>40000000</v>
      </c>
      <c r="G3985" s="1613">
        <v>181158487449</v>
      </c>
    </row>
    <row r="3986" spans="1:7" ht="17.25" customHeight="1" x14ac:dyDescent="0.2">
      <c r="A3986" s="1611">
        <v>16</v>
      </c>
      <c r="B3986" s="1611" t="s">
        <v>7176</v>
      </c>
      <c r="C3986" s="1611" t="s">
        <v>5794</v>
      </c>
      <c r="D3986" s="1612">
        <v>0</v>
      </c>
      <c r="E3986" s="1706" t="s">
        <v>7592</v>
      </c>
      <c r="F3986" s="1613">
        <v>40000000</v>
      </c>
      <c r="G3986" s="1613">
        <v>181198487449</v>
      </c>
    </row>
    <row r="3987" spans="1:7" ht="17.25" customHeight="1" x14ac:dyDescent="0.2">
      <c r="A3987" s="1611">
        <v>16</v>
      </c>
      <c r="B3987" s="1611" t="s">
        <v>7156</v>
      </c>
      <c r="C3987" s="1611" t="s">
        <v>5892</v>
      </c>
      <c r="D3987" s="1612">
        <v>0</v>
      </c>
      <c r="E3987" s="1706" t="s">
        <v>7592</v>
      </c>
      <c r="F3987" s="1613">
        <v>14500000</v>
      </c>
      <c r="G3987" s="1613">
        <v>181212987449</v>
      </c>
    </row>
    <row r="3988" spans="1:7" ht="17.25" customHeight="1" x14ac:dyDescent="0.2">
      <c r="A3988" s="1611">
        <v>16</v>
      </c>
      <c r="B3988" s="1611" t="s">
        <v>7176</v>
      </c>
      <c r="C3988" s="1611" t="s">
        <v>5794</v>
      </c>
      <c r="D3988" s="1612">
        <v>0</v>
      </c>
      <c r="E3988" s="1706" t="s">
        <v>7592</v>
      </c>
      <c r="F3988" s="1613">
        <v>-40000000</v>
      </c>
      <c r="G3988" s="1613">
        <v>181172987449</v>
      </c>
    </row>
    <row r="3989" spans="1:7" ht="17.25" customHeight="1" x14ac:dyDescent="0.2">
      <c r="A3989" s="1611">
        <v>16</v>
      </c>
      <c r="B3989" s="1611" t="s">
        <v>7176</v>
      </c>
      <c r="C3989" s="1611" t="s">
        <v>5794</v>
      </c>
      <c r="D3989" s="1612">
        <v>0</v>
      </c>
      <c r="E3989" s="1706" t="s">
        <v>7592</v>
      </c>
      <c r="F3989" s="1613">
        <v>36000000</v>
      </c>
      <c r="G3989" s="1613">
        <v>181208987449</v>
      </c>
    </row>
    <row r="3990" spans="1:7" ht="17.25" customHeight="1" x14ac:dyDescent="0.2">
      <c r="A3990" s="1611">
        <v>16</v>
      </c>
      <c r="B3990" s="1611" t="s">
        <v>7170</v>
      </c>
      <c r="C3990" s="1611" t="s">
        <v>5893</v>
      </c>
      <c r="D3990" s="1612">
        <v>0</v>
      </c>
      <c r="E3990" s="1706" t="s">
        <v>7592</v>
      </c>
      <c r="F3990" s="1613">
        <v>175000000</v>
      </c>
      <c r="G3990" s="1613">
        <v>181383987449</v>
      </c>
    </row>
    <row r="3991" spans="1:7" ht="17.25" customHeight="1" x14ac:dyDescent="0.2">
      <c r="A3991" s="1611">
        <v>16</v>
      </c>
      <c r="B3991" s="1611" t="s">
        <v>7170</v>
      </c>
      <c r="C3991" s="1611" t="s">
        <v>5894</v>
      </c>
      <c r="D3991" s="1612">
        <v>0</v>
      </c>
      <c r="E3991" s="1706" t="s">
        <v>7592</v>
      </c>
      <c r="F3991" s="1613">
        <v>175000000</v>
      </c>
      <c r="G3991" s="1613">
        <v>181558987449</v>
      </c>
    </row>
    <row r="3992" spans="1:7" ht="17.25" customHeight="1" x14ac:dyDescent="0.2">
      <c r="A3992" s="1611">
        <v>16</v>
      </c>
      <c r="B3992" s="1611" t="s">
        <v>7311</v>
      </c>
      <c r="C3992" s="1611" t="s">
        <v>4106</v>
      </c>
      <c r="D3992" s="1612">
        <v>0</v>
      </c>
      <c r="E3992" s="1706" t="s">
        <v>7592</v>
      </c>
      <c r="F3992" s="1613">
        <v>47272727</v>
      </c>
      <c r="G3992" s="1613">
        <v>181606260176</v>
      </c>
    </row>
    <row r="3993" spans="1:7" ht="17.25" customHeight="1" x14ac:dyDescent="0.2">
      <c r="A3993" s="1611">
        <v>16</v>
      </c>
      <c r="B3993" s="1611" t="s">
        <v>7156</v>
      </c>
      <c r="C3993" s="1611" t="s">
        <v>5895</v>
      </c>
      <c r="D3993" s="1612">
        <v>0</v>
      </c>
      <c r="E3993" s="1706" t="s">
        <v>7592</v>
      </c>
      <c r="F3993" s="1613">
        <v>15013636</v>
      </c>
      <c r="G3993" s="1613">
        <v>181621273812</v>
      </c>
    </row>
    <row r="3994" spans="1:7" ht="17.25" customHeight="1" x14ac:dyDescent="0.2">
      <c r="A3994" s="1611">
        <v>16</v>
      </c>
      <c r="B3994" s="1611" t="s">
        <v>7176</v>
      </c>
      <c r="C3994" s="1611" t="s">
        <v>5896</v>
      </c>
      <c r="D3994" s="1612">
        <v>0</v>
      </c>
      <c r="E3994" s="1706" t="s">
        <v>7592</v>
      </c>
      <c r="F3994" s="1613">
        <v>44545455</v>
      </c>
      <c r="G3994" s="1613">
        <v>181665819267</v>
      </c>
    </row>
    <row r="3995" spans="1:7" ht="17.25" customHeight="1" x14ac:dyDescent="0.2">
      <c r="A3995" s="1611">
        <v>16</v>
      </c>
      <c r="B3995" s="1611" t="s">
        <v>7176</v>
      </c>
      <c r="C3995" s="1611" t="s">
        <v>5855</v>
      </c>
      <c r="D3995" s="1612">
        <v>0</v>
      </c>
      <c r="E3995" s="1706" t="s">
        <v>7592</v>
      </c>
      <c r="F3995" s="1613">
        <v>30000000</v>
      </c>
      <c r="G3995" s="1613">
        <v>181695819267</v>
      </c>
    </row>
    <row r="3996" spans="1:7" ht="17.25" customHeight="1" x14ac:dyDescent="0.2">
      <c r="A3996" s="1611">
        <v>16</v>
      </c>
      <c r="B3996" s="1611" t="s">
        <v>7156</v>
      </c>
      <c r="C3996" s="1611" t="s">
        <v>4275</v>
      </c>
      <c r="D3996" s="1612">
        <v>0</v>
      </c>
      <c r="E3996" s="1706" t="s">
        <v>7592</v>
      </c>
      <c r="F3996" s="1613">
        <v>16150000</v>
      </c>
      <c r="G3996" s="1613">
        <v>181711969267</v>
      </c>
    </row>
    <row r="3997" spans="1:7" ht="17.25" customHeight="1" x14ac:dyDescent="0.2">
      <c r="A3997" s="1611">
        <v>16</v>
      </c>
      <c r="B3997" s="1611" t="s">
        <v>7156</v>
      </c>
      <c r="C3997" s="1611" t="s">
        <v>5897</v>
      </c>
      <c r="D3997" s="1612">
        <v>0</v>
      </c>
      <c r="E3997" s="1706" t="s">
        <v>7592</v>
      </c>
      <c r="F3997" s="1613">
        <v>14300000</v>
      </c>
      <c r="G3997" s="1613">
        <v>181726269267</v>
      </c>
    </row>
    <row r="3998" spans="1:7" ht="17.25" customHeight="1" x14ac:dyDescent="0.2">
      <c r="A3998" s="1611">
        <v>16</v>
      </c>
      <c r="B3998" s="1611" t="s">
        <v>7176</v>
      </c>
      <c r="C3998" s="1611" t="s">
        <v>5898</v>
      </c>
      <c r="D3998" s="1612">
        <v>0</v>
      </c>
      <c r="E3998" s="1706" t="s">
        <v>7592</v>
      </c>
      <c r="F3998" s="1613">
        <v>39090909</v>
      </c>
      <c r="G3998" s="1613">
        <v>181765360176</v>
      </c>
    </row>
    <row r="3999" spans="1:7" ht="17.25" customHeight="1" x14ac:dyDescent="0.2">
      <c r="A3999" s="1611">
        <v>16</v>
      </c>
      <c r="B3999" s="1611" t="s">
        <v>7155</v>
      </c>
      <c r="C3999" s="1611" t="s">
        <v>5899</v>
      </c>
      <c r="D3999" s="1612">
        <v>0</v>
      </c>
      <c r="E3999" s="1706" t="s">
        <v>7592</v>
      </c>
      <c r="F3999" s="1613">
        <v>2850000</v>
      </c>
      <c r="G3999" s="1613">
        <v>181768210176</v>
      </c>
    </row>
    <row r="4000" spans="1:7" ht="17.25" customHeight="1" x14ac:dyDescent="0.2">
      <c r="A4000" s="1611">
        <v>16</v>
      </c>
      <c r="B4000" s="1611" t="s">
        <v>7156</v>
      </c>
      <c r="C4000" s="1611" t="s">
        <v>5900</v>
      </c>
      <c r="D4000" s="1612">
        <v>0</v>
      </c>
      <c r="E4000" s="1706" t="s">
        <v>7592</v>
      </c>
      <c r="F4000" s="1613">
        <v>14300000</v>
      </c>
      <c r="G4000" s="1613">
        <v>181782510176</v>
      </c>
    </row>
    <row r="4001" spans="1:7" ht="17.25" customHeight="1" x14ac:dyDescent="0.2">
      <c r="A4001" s="1611">
        <v>16</v>
      </c>
      <c r="B4001" s="1611" t="s">
        <v>7170</v>
      </c>
      <c r="C4001" s="1611" t="s">
        <v>5901</v>
      </c>
      <c r="D4001" s="1612">
        <v>0</v>
      </c>
      <c r="E4001" s="1706" t="s">
        <v>7592</v>
      </c>
      <c r="F4001" s="1613">
        <v>175000000</v>
      </c>
      <c r="G4001" s="1613">
        <v>181957510176</v>
      </c>
    </row>
    <row r="4002" spans="1:7" ht="17.25" customHeight="1" x14ac:dyDescent="0.2">
      <c r="A4002" s="1611">
        <v>16</v>
      </c>
      <c r="B4002" s="1611" t="s">
        <v>7154</v>
      </c>
      <c r="C4002" s="1611" t="s">
        <v>5902</v>
      </c>
      <c r="D4002" s="1612">
        <v>0</v>
      </c>
      <c r="E4002" s="1706" t="s">
        <v>7592</v>
      </c>
      <c r="F4002" s="1613">
        <v>51500000</v>
      </c>
      <c r="G4002" s="1613">
        <v>182009010176</v>
      </c>
    </row>
    <row r="4003" spans="1:7" ht="17.25" customHeight="1" x14ac:dyDescent="0.2">
      <c r="A4003" s="1611">
        <v>16</v>
      </c>
      <c r="B4003" s="1611" t="s">
        <v>7176</v>
      </c>
      <c r="C4003" s="1611" t="s">
        <v>5903</v>
      </c>
      <c r="D4003" s="1612">
        <v>0</v>
      </c>
      <c r="E4003" s="1706" t="s">
        <v>7592</v>
      </c>
      <c r="F4003" s="1613">
        <v>38500000</v>
      </c>
      <c r="G4003" s="1613">
        <v>182047510176</v>
      </c>
    </row>
    <row r="4004" spans="1:7" ht="17.25" customHeight="1" x14ac:dyDescent="0.2">
      <c r="A4004" s="1611">
        <v>16</v>
      </c>
      <c r="B4004" s="1611" t="s">
        <v>7154</v>
      </c>
      <c r="C4004" s="1611" t="s">
        <v>5904</v>
      </c>
      <c r="D4004" s="1612">
        <v>0</v>
      </c>
      <c r="E4004" s="1706" t="s">
        <v>7592</v>
      </c>
      <c r="F4004" s="1613">
        <v>51000000</v>
      </c>
      <c r="G4004" s="1613">
        <v>182098510176</v>
      </c>
    </row>
    <row r="4005" spans="1:7" ht="17.25" customHeight="1" x14ac:dyDescent="0.2">
      <c r="A4005" s="1611">
        <v>16</v>
      </c>
      <c r="B4005" s="1611" t="s">
        <v>7285</v>
      </c>
      <c r="C4005" s="1611" t="s">
        <v>5905</v>
      </c>
      <c r="D4005" s="1612">
        <v>0</v>
      </c>
      <c r="E4005" s="1706" t="s">
        <v>7592</v>
      </c>
      <c r="F4005" s="1613">
        <v>99986364</v>
      </c>
      <c r="G4005" s="1613">
        <v>182198496540</v>
      </c>
    </row>
    <row r="4006" spans="1:7" ht="17.25" customHeight="1" x14ac:dyDescent="0.2">
      <c r="A4006" s="1611">
        <v>16</v>
      </c>
      <c r="B4006" s="1611" t="s">
        <v>7156</v>
      </c>
      <c r="C4006" s="1611" t="s">
        <v>5906</v>
      </c>
      <c r="D4006" s="1612">
        <v>0</v>
      </c>
      <c r="E4006" s="1706" t="s">
        <v>7592</v>
      </c>
      <c r="F4006" s="1613">
        <v>14650000</v>
      </c>
      <c r="G4006" s="1613">
        <v>182213146540</v>
      </c>
    </row>
    <row r="4007" spans="1:7" ht="17.25" customHeight="1" x14ac:dyDescent="0.2">
      <c r="A4007" s="1611">
        <v>16</v>
      </c>
      <c r="B4007" s="1611" t="s">
        <v>7176</v>
      </c>
      <c r="C4007" s="1611" t="s">
        <v>5907</v>
      </c>
      <c r="D4007" s="1612">
        <v>0</v>
      </c>
      <c r="E4007" s="1706" t="s">
        <v>7592</v>
      </c>
      <c r="F4007" s="1613">
        <v>34000000</v>
      </c>
      <c r="G4007" s="1613">
        <v>182247146540</v>
      </c>
    </row>
    <row r="4008" spans="1:7" ht="17.25" customHeight="1" x14ac:dyDescent="0.2">
      <c r="A4008" s="1611">
        <v>16</v>
      </c>
      <c r="B4008" s="1611" t="s">
        <v>7203</v>
      </c>
      <c r="C4008" s="1611" t="s">
        <v>5908</v>
      </c>
      <c r="D4008" s="1612">
        <v>0</v>
      </c>
      <c r="E4008" s="1706" t="s">
        <v>7592</v>
      </c>
      <c r="F4008" s="1613">
        <v>35950000</v>
      </c>
      <c r="G4008" s="1613">
        <v>182283096540</v>
      </c>
    </row>
    <row r="4009" spans="1:7" ht="17.25" customHeight="1" x14ac:dyDescent="0.2">
      <c r="A4009" s="1611">
        <v>16</v>
      </c>
      <c r="B4009" s="1611" t="s">
        <v>7282</v>
      </c>
      <c r="C4009" s="1611" t="s">
        <v>5543</v>
      </c>
      <c r="D4009" s="1612">
        <v>0</v>
      </c>
      <c r="E4009" s="1706" t="s">
        <v>7592</v>
      </c>
      <c r="F4009" s="1613">
        <v>159000000</v>
      </c>
      <c r="G4009" s="1613">
        <v>182442096540</v>
      </c>
    </row>
    <row r="4010" spans="1:7" ht="17.25" customHeight="1" x14ac:dyDescent="0.2">
      <c r="A4010" s="1611">
        <v>16</v>
      </c>
      <c r="B4010" s="1611" t="s">
        <v>7311</v>
      </c>
      <c r="C4010" s="1611" t="s">
        <v>5909</v>
      </c>
      <c r="D4010" s="1612">
        <v>0</v>
      </c>
      <c r="E4010" s="1706" t="s">
        <v>7592</v>
      </c>
      <c r="F4010" s="1613">
        <v>46636364</v>
      </c>
      <c r="G4010" s="1613">
        <v>182488732904</v>
      </c>
    </row>
    <row r="4011" spans="1:7" ht="17.25" customHeight="1" x14ac:dyDescent="0.2">
      <c r="A4011" s="1611">
        <v>16</v>
      </c>
      <c r="B4011" s="1611" t="s">
        <v>7203</v>
      </c>
      <c r="C4011" s="1611" t="s">
        <v>3874</v>
      </c>
      <c r="D4011" s="1612">
        <v>0</v>
      </c>
      <c r="E4011" s="1706" t="s">
        <v>7592</v>
      </c>
      <c r="F4011" s="1613">
        <v>37272727</v>
      </c>
      <c r="G4011" s="1613">
        <v>182526005631</v>
      </c>
    </row>
    <row r="4012" spans="1:7" ht="17.25" customHeight="1" x14ac:dyDescent="0.2">
      <c r="A4012" s="1611">
        <v>16</v>
      </c>
      <c r="B4012" s="1611" t="s">
        <v>7203</v>
      </c>
      <c r="C4012" s="1611" t="s">
        <v>5910</v>
      </c>
      <c r="D4012" s="1612">
        <v>0</v>
      </c>
      <c r="E4012" s="1706" t="s">
        <v>7592</v>
      </c>
      <c r="F4012" s="1613">
        <v>37000000</v>
      </c>
      <c r="G4012" s="1613">
        <v>182563005631</v>
      </c>
    </row>
    <row r="4013" spans="1:7" ht="17.25" customHeight="1" x14ac:dyDescent="0.2">
      <c r="A4013" s="1611">
        <v>16</v>
      </c>
      <c r="B4013" s="1611" t="s">
        <v>7203</v>
      </c>
      <c r="C4013" s="1611" t="s">
        <v>5911</v>
      </c>
      <c r="D4013" s="1612">
        <v>0</v>
      </c>
      <c r="E4013" s="1706" t="s">
        <v>7592</v>
      </c>
      <c r="F4013" s="1613">
        <v>17765000</v>
      </c>
      <c r="G4013" s="1613">
        <v>182580770631</v>
      </c>
    </row>
    <row r="4014" spans="1:7" ht="17.25" customHeight="1" x14ac:dyDescent="0.2">
      <c r="A4014" s="1611">
        <v>16</v>
      </c>
      <c r="B4014" s="1611" t="s">
        <v>7203</v>
      </c>
      <c r="C4014" s="1611" t="s">
        <v>5912</v>
      </c>
      <c r="D4014" s="1612">
        <v>0</v>
      </c>
      <c r="E4014" s="1706" t="s">
        <v>7592</v>
      </c>
      <c r="F4014" s="1613">
        <v>18490000</v>
      </c>
      <c r="G4014" s="1613">
        <v>182599260631</v>
      </c>
    </row>
    <row r="4015" spans="1:7" ht="17.25" customHeight="1" x14ac:dyDescent="0.2">
      <c r="A4015" s="1611">
        <v>16</v>
      </c>
      <c r="B4015" s="1611" t="s">
        <v>7154</v>
      </c>
      <c r="C4015" s="1611" t="s">
        <v>5913</v>
      </c>
      <c r="D4015" s="1612">
        <v>0</v>
      </c>
      <c r="E4015" s="1706" t="s">
        <v>7592</v>
      </c>
      <c r="F4015" s="1613">
        <v>52016364</v>
      </c>
      <c r="G4015" s="1613">
        <v>182651276995</v>
      </c>
    </row>
    <row r="4016" spans="1:7" ht="17.25" customHeight="1" x14ac:dyDescent="0.2">
      <c r="A4016" s="1611">
        <v>16</v>
      </c>
      <c r="B4016" s="1611" t="s">
        <v>7325</v>
      </c>
      <c r="C4016" s="1611" t="s">
        <v>5914</v>
      </c>
      <c r="D4016" s="1612">
        <v>0</v>
      </c>
      <c r="E4016" s="1706" t="s">
        <v>7592</v>
      </c>
      <c r="F4016" s="1613">
        <v>41825455</v>
      </c>
      <c r="G4016" s="1613">
        <v>182693102450</v>
      </c>
    </row>
    <row r="4017" spans="1:7" ht="17.25" customHeight="1" x14ac:dyDescent="0.2">
      <c r="A4017" s="1611">
        <v>16</v>
      </c>
      <c r="B4017" s="1611" t="s">
        <v>7155</v>
      </c>
      <c r="C4017" s="1611" t="s">
        <v>5899</v>
      </c>
      <c r="D4017" s="1612">
        <v>0</v>
      </c>
      <c r="E4017" s="1706" t="s">
        <v>7592</v>
      </c>
      <c r="F4017" s="1613">
        <v>91343637</v>
      </c>
      <c r="G4017" s="1613">
        <v>182784446087</v>
      </c>
    </row>
    <row r="4018" spans="1:7" ht="17.25" customHeight="1" x14ac:dyDescent="0.2">
      <c r="A4018" s="1611">
        <v>16</v>
      </c>
      <c r="B4018" s="1611" t="s">
        <v>7153</v>
      </c>
      <c r="C4018" s="1611" t="s">
        <v>5756</v>
      </c>
      <c r="D4018" s="1612">
        <v>0</v>
      </c>
      <c r="E4018" s="1706" t="s">
        <v>7592</v>
      </c>
      <c r="F4018" s="1613">
        <v>105876364</v>
      </c>
      <c r="G4018" s="1613">
        <v>182890322451</v>
      </c>
    </row>
    <row r="4019" spans="1:7" ht="17.25" customHeight="1" x14ac:dyDescent="0.2">
      <c r="A4019" s="1611">
        <v>16</v>
      </c>
      <c r="B4019" s="1611" t="s">
        <v>7154</v>
      </c>
      <c r="C4019" s="1611" t="s">
        <v>5915</v>
      </c>
      <c r="D4019" s="1612">
        <v>0</v>
      </c>
      <c r="E4019" s="1706" t="s">
        <v>7592</v>
      </c>
      <c r="F4019" s="1613">
        <v>51000000</v>
      </c>
      <c r="G4019" s="1613">
        <v>182941322451</v>
      </c>
    </row>
    <row r="4020" spans="1:7" ht="17.25" customHeight="1" x14ac:dyDescent="0.2">
      <c r="A4020" s="1611">
        <v>16</v>
      </c>
      <c r="B4020" s="1611" t="s">
        <v>7203</v>
      </c>
      <c r="C4020" s="1611" t="s">
        <v>5916</v>
      </c>
      <c r="D4020" s="1612">
        <v>0</v>
      </c>
      <c r="E4020" s="1706" t="s">
        <v>7592</v>
      </c>
      <c r="F4020" s="1613">
        <v>32454546</v>
      </c>
      <c r="G4020" s="1613">
        <v>182973776997</v>
      </c>
    </row>
    <row r="4021" spans="1:7" ht="17.25" customHeight="1" x14ac:dyDescent="0.2">
      <c r="A4021" s="1611">
        <v>16</v>
      </c>
      <c r="B4021" s="1611" t="s">
        <v>7203</v>
      </c>
      <c r="C4021" s="1611" t="s">
        <v>5917</v>
      </c>
      <c r="D4021" s="1612">
        <v>0</v>
      </c>
      <c r="E4021" s="1706" t="s">
        <v>7592</v>
      </c>
      <c r="F4021" s="1613">
        <v>36459091</v>
      </c>
      <c r="G4021" s="1613">
        <v>183010236088</v>
      </c>
    </row>
    <row r="4022" spans="1:7" ht="17.25" customHeight="1" x14ac:dyDescent="0.2">
      <c r="A4022" s="1611">
        <v>16</v>
      </c>
      <c r="B4022" s="1611" t="s">
        <v>7251</v>
      </c>
      <c r="C4022" s="1611" t="s">
        <v>4914</v>
      </c>
      <c r="D4022" s="1612">
        <v>0</v>
      </c>
      <c r="E4022" s="1706" t="s">
        <v>7592</v>
      </c>
      <c r="F4022" s="1613">
        <v>35000000</v>
      </c>
      <c r="G4022" s="1613">
        <v>183045236088</v>
      </c>
    </row>
    <row r="4023" spans="1:7" ht="17.25" customHeight="1" x14ac:dyDescent="0.2">
      <c r="A4023" s="1611">
        <v>16</v>
      </c>
      <c r="B4023" s="1611" t="s">
        <v>7176</v>
      </c>
      <c r="C4023" s="1611" t="s">
        <v>5918</v>
      </c>
      <c r="D4023" s="1612">
        <v>0</v>
      </c>
      <c r="E4023" s="1706" t="s">
        <v>7592</v>
      </c>
      <c r="F4023" s="1613">
        <v>39090909</v>
      </c>
      <c r="G4023" s="1613">
        <v>183084326997</v>
      </c>
    </row>
    <row r="4024" spans="1:7" ht="17.25" customHeight="1" x14ac:dyDescent="0.2">
      <c r="A4024" s="1611">
        <v>16</v>
      </c>
      <c r="B4024" s="1611" t="s">
        <v>7245</v>
      </c>
      <c r="C4024" s="1611" t="s">
        <v>4304</v>
      </c>
      <c r="D4024" s="1612">
        <v>0</v>
      </c>
      <c r="E4024" s="1706" t="s">
        <v>7592</v>
      </c>
      <c r="F4024" s="1613">
        <v>42000000</v>
      </c>
      <c r="G4024" s="1613">
        <v>183126326997</v>
      </c>
    </row>
    <row r="4025" spans="1:7" ht="17.25" customHeight="1" x14ac:dyDescent="0.2">
      <c r="A4025" s="1611">
        <v>16</v>
      </c>
      <c r="B4025" s="1611" t="s">
        <v>7176</v>
      </c>
      <c r="C4025" s="1611" t="s">
        <v>5919</v>
      </c>
      <c r="D4025" s="1612">
        <v>0</v>
      </c>
      <c r="E4025" s="1706" t="s">
        <v>7592</v>
      </c>
      <c r="F4025" s="1613">
        <v>40000000</v>
      </c>
      <c r="G4025" s="1613">
        <v>183166326997</v>
      </c>
    </row>
    <row r="4026" spans="1:7" ht="17.25" customHeight="1" x14ac:dyDescent="0.2">
      <c r="A4026" s="1611">
        <v>16</v>
      </c>
      <c r="B4026" s="1611" t="s">
        <v>7176</v>
      </c>
      <c r="C4026" s="1611" t="s">
        <v>5919</v>
      </c>
      <c r="D4026" s="1612">
        <v>0</v>
      </c>
      <c r="E4026" s="1706" t="s">
        <v>7592</v>
      </c>
      <c r="F4026" s="1613">
        <v>40000000</v>
      </c>
      <c r="G4026" s="1613">
        <v>183206326997</v>
      </c>
    </row>
    <row r="4027" spans="1:7" ht="17.25" customHeight="1" x14ac:dyDescent="0.2">
      <c r="A4027" s="1611">
        <v>16</v>
      </c>
      <c r="B4027" s="1611" t="s">
        <v>7203</v>
      </c>
      <c r="C4027" s="1611" t="s">
        <v>5920</v>
      </c>
      <c r="D4027" s="1612">
        <v>0</v>
      </c>
      <c r="E4027" s="1706" t="s">
        <v>7592</v>
      </c>
      <c r="F4027" s="1613">
        <v>33636364</v>
      </c>
      <c r="G4027" s="1613">
        <v>183239963361</v>
      </c>
    </row>
    <row r="4028" spans="1:7" ht="17.25" customHeight="1" x14ac:dyDescent="0.2">
      <c r="A4028" s="1611">
        <v>16</v>
      </c>
      <c r="B4028" s="1611" t="s">
        <v>7203</v>
      </c>
      <c r="C4028" s="1611" t="s">
        <v>5920</v>
      </c>
      <c r="D4028" s="1612">
        <v>0</v>
      </c>
      <c r="E4028" s="1706" t="s">
        <v>7592</v>
      </c>
      <c r="F4028" s="1613">
        <v>33636364</v>
      </c>
      <c r="G4028" s="1613">
        <v>183273599725</v>
      </c>
    </row>
    <row r="4029" spans="1:7" ht="17.25" customHeight="1" x14ac:dyDescent="0.2">
      <c r="A4029" s="1611">
        <v>16</v>
      </c>
      <c r="B4029" s="1611" t="s">
        <v>7203</v>
      </c>
      <c r="C4029" s="1611" t="s">
        <v>5920</v>
      </c>
      <c r="D4029" s="1612">
        <v>0</v>
      </c>
      <c r="E4029" s="1706" t="s">
        <v>7592</v>
      </c>
      <c r="F4029" s="1613">
        <v>33636364</v>
      </c>
      <c r="G4029" s="1613">
        <v>183307236089</v>
      </c>
    </row>
    <row r="4030" spans="1:7" ht="17.25" customHeight="1" x14ac:dyDescent="0.2">
      <c r="A4030" s="1611">
        <v>16</v>
      </c>
      <c r="B4030" s="1611" t="s">
        <v>7203</v>
      </c>
      <c r="C4030" s="1611" t="s">
        <v>5920</v>
      </c>
      <c r="D4030" s="1612">
        <v>0</v>
      </c>
      <c r="E4030" s="1706" t="s">
        <v>7592</v>
      </c>
      <c r="F4030" s="1613">
        <v>33636364</v>
      </c>
      <c r="G4030" s="1613">
        <v>183340872453</v>
      </c>
    </row>
    <row r="4031" spans="1:7" ht="17.25" customHeight="1" x14ac:dyDescent="0.2">
      <c r="A4031" s="1611">
        <v>16</v>
      </c>
      <c r="B4031" s="1611" t="s">
        <v>7203</v>
      </c>
      <c r="C4031" s="1611" t="s">
        <v>5920</v>
      </c>
      <c r="D4031" s="1612">
        <v>0</v>
      </c>
      <c r="E4031" s="1706" t="s">
        <v>7592</v>
      </c>
      <c r="F4031" s="1613">
        <v>33636364</v>
      </c>
      <c r="G4031" s="1613">
        <v>183374508817</v>
      </c>
    </row>
    <row r="4032" spans="1:7" ht="17.25" customHeight="1" x14ac:dyDescent="0.2">
      <c r="A4032" s="1611">
        <v>16</v>
      </c>
      <c r="B4032" s="1611" t="s">
        <v>7203</v>
      </c>
      <c r="C4032" s="1611" t="s">
        <v>5920</v>
      </c>
      <c r="D4032" s="1612">
        <v>0</v>
      </c>
      <c r="E4032" s="1706" t="s">
        <v>7592</v>
      </c>
      <c r="F4032" s="1613">
        <v>33636364</v>
      </c>
      <c r="G4032" s="1613">
        <v>183408145181</v>
      </c>
    </row>
    <row r="4033" spans="1:7" ht="17.25" customHeight="1" x14ac:dyDescent="0.2">
      <c r="A4033" s="1611">
        <v>16</v>
      </c>
      <c r="B4033" s="1611" t="s">
        <v>7251</v>
      </c>
      <c r="C4033" s="1611" t="s">
        <v>5128</v>
      </c>
      <c r="D4033" s="1612">
        <v>0</v>
      </c>
      <c r="E4033" s="1706" t="s">
        <v>7592</v>
      </c>
      <c r="F4033" s="1613">
        <v>17765000</v>
      </c>
      <c r="G4033" s="1613">
        <v>183425910181</v>
      </c>
    </row>
    <row r="4034" spans="1:7" ht="17.25" customHeight="1" x14ac:dyDescent="0.2">
      <c r="A4034" s="1611">
        <v>16</v>
      </c>
      <c r="B4034" s="1611" t="s">
        <v>7251</v>
      </c>
      <c r="C4034" s="1611" t="s">
        <v>5128</v>
      </c>
      <c r="D4034" s="1612">
        <v>0</v>
      </c>
      <c r="E4034" s="1706" t="s">
        <v>7592</v>
      </c>
      <c r="F4034" s="1613">
        <v>17765000</v>
      </c>
      <c r="G4034" s="1613">
        <v>183443675181</v>
      </c>
    </row>
    <row r="4035" spans="1:7" ht="17.25" customHeight="1" x14ac:dyDescent="0.2">
      <c r="A4035" s="1611">
        <v>16</v>
      </c>
      <c r="B4035" s="1611" t="s">
        <v>7251</v>
      </c>
      <c r="C4035" s="1611" t="s">
        <v>3594</v>
      </c>
      <c r="D4035" s="1612">
        <v>0</v>
      </c>
      <c r="E4035" s="1706" t="s">
        <v>7592</v>
      </c>
      <c r="F4035" s="1613">
        <v>17765000</v>
      </c>
      <c r="G4035" s="1613">
        <v>183461440181</v>
      </c>
    </row>
    <row r="4036" spans="1:7" ht="17.25" customHeight="1" x14ac:dyDescent="0.2">
      <c r="A4036" s="1611">
        <v>16</v>
      </c>
      <c r="B4036" s="1611" t="s">
        <v>5921</v>
      </c>
      <c r="C4036" s="1611" t="s">
        <v>3438</v>
      </c>
      <c r="D4036" s="1612">
        <v>0</v>
      </c>
      <c r="E4036" s="1706" t="s">
        <v>7592</v>
      </c>
      <c r="F4036" s="1613">
        <v>24080000</v>
      </c>
      <c r="G4036" s="1613">
        <v>183485520181</v>
      </c>
    </row>
    <row r="4037" spans="1:7" ht="17.25" customHeight="1" x14ac:dyDescent="0.2">
      <c r="A4037" s="1611">
        <v>16</v>
      </c>
      <c r="B4037" s="1611" t="s">
        <v>5922</v>
      </c>
      <c r="C4037" s="1611" t="s">
        <v>3438</v>
      </c>
      <c r="D4037" s="1612">
        <v>0</v>
      </c>
      <c r="E4037" s="1706" t="s">
        <v>7592</v>
      </c>
      <c r="F4037" s="1613">
        <v>4760000</v>
      </c>
      <c r="G4037" s="1613">
        <v>183490280181</v>
      </c>
    </row>
    <row r="4038" spans="1:7" ht="17.25" customHeight="1" x14ac:dyDescent="0.2">
      <c r="A4038" s="1611">
        <v>16</v>
      </c>
      <c r="B4038" s="1611" t="s">
        <v>7326</v>
      </c>
      <c r="C4038" s="1611" t="s">
        <v>4305</v>
      </c>
      <c r="D4038" s="1612">
        <v>0</v>
      </c>
      <c r="E4038" s="1612" t="s">
        <v>3296</v>
      </c>
      <c r="F4038" s="1613">
        <v>168361950</v>
      </c>
      <c r="G4038" s="1613">
        <v>183658642131</v>
      </c>
    </row>
    <row r="4039" spans="1:7" ht="17.25" customHeight="1" x14ac:dyDescent="0.2">
      <c r="A4039" s="1611">
        <v>16</v>
      </c>
      <c r="B4039" s="1611" t="s">
        <v>7203</v>
      </c>
      <c r="C4039" s="1611" t="s">
        <v>5910</v>
      </c>
      <c r="D4039" s="1612">
        <v>0</v>
      </c>
      <c r="E4039" s="1706" t="s">
        <v>7592</v>
      </c>
      <c r="F4039" s="1613">
        <v>37000000</v>
      </c>
      <c r="G4039" s="1613">
        <v>183695642131</v>
      </c>
    </row>
    <row r="4040" spans="1:7" ht="17.25" customHeight="1" x14ac:dyDescent="0.2">
      <c r="A4040" s="1611">
        <v>16</v>
      </c>
      <c r="B4040" s="1611" t="s">
        <v>7203</v>
      </c>
      <c r="C4040" s="1611" t="s">
        <v>5923</v>
      </c>
      <c r="D4040" s="1612">
        <v>0</v>
      </c>
      <c r="E4040" s="1706" t="s">
        <v>7592</v>
      </c>
      <c r="F4040" s="1613">
        <v>37272727</v>
      </c>
      <c r="G4040" s="1613">
        <v>183732914858</v>
      </c>
    </row>
    <row r="4041" spans="1:7" ht="17.25" customHeight="1" x14ac:dyDescent="0.2">
      <c r="A4041" s="1611">
        <v>16</v>
      </c>
      <c r="B4041" s="1611" t="s">
        <v>7203</v>
      </c>
      <c r="C4041" s="1611" t="s">
        <v>5426</v>
      </c>
      <c r="D4041" s="1612">
        <v>0</v>
      </c>
      <c r="E4041" s="1706" t="s">
        <v>7592</v>
      </c>
      <c r="F4041" s="1613">
        <v>34909091</v>
      </c>
      <c r="G4041" s="1613">
        <v>183767823949</v>
      </c>
    </row>
    <row r="4042" spans="1:7" ht="17.25" customHeight="1" x14ac:dyDescent="0.2">
      <c r="A4042" s="1611">
        <v>16</v>
      </c>
      <c r="B4042" s="1611" t="s">
        <v>7154</v>
      </c>
      <c r="C4042" s="1611" t="s">
        <v>5701</v>
      </c>
      <c r="D4042" s="1612">
        <v>0</v>
      </c>
      <c r="E4042" s="1612" t="s">
        <v>3297</v>
      </c>
      <c r="F4042" s="1613">
        <v>86053798</v>
      </c>
      <c r="G4042" s="1613">
        <v>183853877747</v>
      </c>
    </row>
    <row r="4043" spans="1:7" ht="17.25" customHeight="1" x14ac:dyDescent="0.2">
      <c r="A4043" s="1611">
        <v>16</v>
      </c>
      <c r="B4043" s="1611" t="s">
        <v>7203</v>
      </c>
      <c r="C4043" s="1611" t="s">
        <v>5639</v>
      </c>
      <c r="D4043" s="1612">
        <v>0</v>
      </c>
      <c r="E4043" s="1706" t="s">
        <v>7592</v>
      </c>
      <c r="F4043" s="1613">
        <v>37727273</v>
      </c>
      <c r="G4043" s="1613">
        <v>183891605020</v>
      </c>
    </row>
    <row r="4044" spans="1:7" ht="17.25" customHeight="1" x14ac:dyDescent="0.2">
      <c r="A4044" s="1611">
        <v>16</v>
      </c>
      <c r="B4044" s="1611" t="s">
        <v>7203</v>
      </c>
      <c r="C4044" s="1611" t="s">
        <v>5639</v>
      </c>
      <c r="D4044" s="1612">
        <v>0</v>
      </c>
      <c r="E4044" s="1706" t="s">
        <v>7592</v>
      </c>
      <c r="F4044" s="1613">
        <v>37727273</v>
      </c>
      <c r="G4044" s="1613">
        <v>183929332293</v>
      </c>
    </row>
    <row r="4045" spans="1:7" ht="17.25" customHeight="1" x14ac:dyDescent="0.2">
      <c r="A4045" s="1611">
        <v>16</v>
      </c>
      <c r="B4045" s="1611" t="s">
        <v>7203</v>
      </c>
      <c r="C4045" s="1611" t="s">
        <v>5639</v>
      </c>
      <c r="D4045" s="1612">
        <v>0</v>
      </c>
      <c r="E4045" s="1706" t="s">
        <v>7592</v>
      </c>
      <c r="F4045" s="1613">
        <v>37727273</v>
      </c>
      <c r="G4045" s="1613">
        <v>183967059566</v>
      </c>
    </row>
    <row r="4046" spans="1:7" ht="17.25" customHeight="1" x14ac:dyDescent="0.2">
      <c r="A4046" s="1611">
        <v>16</v>
      </c>
      <c r="B4046" s="1611" t="s">
        <v>7325</v>
      </c>
      <c r="C4046" s="1611" t="s">
        <v>5924</v>
      </c>
      <c r="D4046" s="1612">
        <v>0</v>
      </c>
      <c r="E4046" s="1706" t="s">
        <v>7592</v>
      </c>
      <c r="F4046" s="1613">
        <v>41575455</v>
      </c>
      <c r="G4046" s="1613">
        <v>184008635021</v>
      </c>
    </row>
    <row r="4047" spans="1:7" ht="17.25" customHeight="1" x14ac:dyDescent="0.2">
      <c r="A4047" s="1611">
        <v>16</v>
      </c>
      <c r="B4047" s="1611" t="s">
        <v>7203</v>
      </c>
      <c r="C4047" s="1611" t="s">
        <v>5925</v>
      </c>
      <c r="D4047" s="1612">
        <v>0</v>
      </c>
      <c r="E4047" s="1706" t="s">
        <v>7592</v>
      </c>
      <c r="F4047" s="1613">
        <v>34245000</v>
      </c>
      <c r="G4047" s="1613">
        <v>184042880021</v>
      </c>
    </row>
    <row r="4048" spans="1:7" ht="17.25" customHeight="1" x14ac:dyDescent="0.2">
      <c r="A4048" s="1611">
        <v>16</v>
      </c>
      <c r="B4048" s="1611" t="s">
        <v>7203</v>
      </c>
      <c r="C4048" s="1611" t="s">
        <v>5926</v>
      </c>
      <c r="D4048" s="1612">
        <v>0</v>
      </c>
      <c r="E4048" s="1706" t="s">
        <v>7592</v>
      </c>
      <c r="F4048" s="1613">
        <v>35288182</v>
      </c>
      <c r="G4048" s="1613">
        <v>184078168203</v>
      </c>
    </row>
    <row r="4049" spans="1:7" ht="17.25" customHeight="1" x14ac:dyDescent="0.2">
      <c r="A4049" s="1611">
        <v>16</v>
      </c>
      <c r="B4049" s="1611" t="s">
        <v>7251</v>
      </c>
      <c r="C4049" s="1611" t="s">
        <v>3438</v>
      </c>
      <c r="D4049" s="1612">
        <v>0</v>
      </c>
      <c r="E4049" s="1706" t="s">
        <v>7592</v>
      </c>
      <c r="F4049" s="1613">
        <v>30465000</v>
      </c>
      <c r="G4049" s="1613">
        <v>184108633203</v>
      </c>
    </row>
    <row r="4050" spans="1:7" ht="17.25" customHeight="1" x14ac:dyDescent="0.2">
      <c r="A4050" s="1611">
        <v>16</v>
      </c>
      <c r="B4050" s="1611" t="s">
        <v>7156</v>
      </c>
      <c r="C4050" s="1611" t="s">
        <v>3975</v>
      </c>
      <c r="D4050" s="1612">
        <v>0</v>
      </c>
      <c r="E4050" s="1706" t="s">
        <v>7592</v>
      </c>
      <c r="F4050" s="1613">
        <v>14500000</v>
      </c>
      <c r="G4050" s="1613">
        <v>184123133203</v>
      </c>
    </row>
    <row r="4051" spans="1:7" ht="17.25" customHeight="1" x14ac:dyDescent="0.2">
      <c r="A4051" s="1611">
        <v>16</v>
      </c>
      <c r="B4051" s="1611" t="s">
        <v>7282</v>
      </c>
      <c r="C4051" s="1611" t="s">
        <v>5927</v>
      </c>
      <c r="D4051" s="1612">
        <v>0</v>
      </c>
      <c r="E4051" s="1706" t="s">
        <v>7592</v>
      </c>
      <c r="F4051" s="1613">
        <v>154700000</v>
      </c>
      <c r="G4051" s="1613">
        <v>184277833203</v>
      </c>
    </row>
    <row r="4052" spans="1:7" ht="17.25" customHeight="1" x14ac:dyDescent="0.2">
      <c r="A4052" s="1611">
        <v>16</v>
      </c>
      <c r="B4052" s="1611" t="s">
        <v>7156</v>
      </c>
      <c r="C4052" s="1611" t="s">
        <v>5928</v>
      </c>
      <c r="D4052" s="1612">
        <v>0</v>
      </c>
      <c r="E4052" s="1706" t="s">
        <v>7592</v>
      </c>
      <c r="F4052" s="1613">
        <v>14500000</v>
      </c>
      <c r="G4052" s="1613">
        <v>184292333203</v>
      </c>
    </row>
    <row r="4053" spans="1:7" ht="17.25" customHeight="1" x14ac:dyDescent="0.2">
      <c r="A4053" s="1611">
        <v>16</v>
      </c>
      <c r="B4053" s="1611" t="s">
        <v>7203</v>
      </c>
      <c r="C4053" s="1611" t="s">
        <v>5929</v>
      </c>
      <c r="D4053" s="1612">
        <v>0</v>
      </c>
      <c r="E4053" s="1706" t="s">
        <v>7592</v>
      </c>
      <c r="F4053" s="1613">
        <v>34500000</v>
      </c>
      <c r="G4053" s="1613">
        <v>184326833203</v>
      </c>
    </row>
    <row r="4054" spans="1:7" ht="17.25" customHeight="1" x14ac:dyDescent="0.2">
      <c r="A4054" s="1611">
        <v>16</v>
      </c>
      <c r="B4054" s="1611" t="s">
        <v>7203</v>
      </c>
      <c r="C4054" s="1611" t="s">
        <v>5930</v>
      </c>
      <c r="D4054" s="1612">
        <v>0</v>
      </c>
      <c r="E4054" s="1706" t="s">
        <v>7592</v>
      </c>
      <c r="F4054" s="1613">
        <v>36363636</v>
      </c>
      <c r="G4054" s="1613">
        <v>184363196839</v>
      </c>
    </row>
    <row r="4055" spans="1:7" ht="17.25" customHeight="1" x14ac:dyDescent="0.2">
      <c r="A4055" s="1611">
        <v>16</v>
      </c>
      <c r="B4055" s="1611" t="s">
        <v>7156</v>
      </c>
      <c r="C4055" s="1611" t="s">
        <v>4213</v>
      </c>
      <c r="D4055" s="1612">
        <v>0</v>
      </c>
      <c r="E4055" s="1706" t="s">
        <v>7592</v>
      </c>
      <c r="F4055" s="1613">
        <v>14500000</v>
      </c>
      <c r="G4055" s="1613">
        <v>184377696839</v>
      </c>
    </row>
    <row r="4056" spans="1:7" ht="17.25" customHeight="1" x14ac:dyDescent="0.2">
      <c r="A4056" s="1611">
        <v>16</v>
      </c>
      <c r="B4056" s="1611" t="s">
        <v>7154</v>
      </c>
      <c r="C4056" s="1611" t="s">
        <v>5931</v>
      </c>
      <c r="D4056" s="1612">
        <v>0</v>
      </c>
      <c r="E4056" s="1706" t="s">
        <v>7592</v>
      </c>
      <c r="F4056" s="1613">
        <v>50000000</v>
      </c>
      <c r="G4056" s="1613">
        <v>184427696839</v>
      </c>
    </row>
    <row r="4057" spans="1:7" ht="17.25" customHeight="1" x14ac:dyDescent="0.2">
      <c r="A4057" s="1611">
        <v>16</v>
      </c>
      <c r="B4057" s="1611" t="s">
        <v>7154</v>
      </c>
      <c r="C4057" s="1611" t="s">
        <v>5932</v>
      </c>
      <c r="D4057" s="1612">
        <v>0</v>
      </c>
      <c r="E4057" s="1706" t="s">
        <v>7592</v>
      </c>
      <c r="F4057" s="1613">
        <v>51000000</v>
      </c>
      <c r="G4057" s="1613">
        <v>184478696839</v>
      </c>
    </row>
    <row r="4058" spans="1:7" ht="17.25" customHeight="1" x14ac:dyDescent="0.2">
      <c r="A4058" s="1611">
        <v>16</v>
      </c>
      <c r="B4058" s="1611" t="s">
        <v>7252</v>
      </c>
      <c r="C4058" s="1611" t="s">
        <v>5933</v>
      </c>
      <c r="D4058" s="1612">
        <v>0</v>
      </c>
      <c r="E4058" s="1706" t="s">
        <v>7592</v>
      </c>
      <c r="F4058" s="1613">
        <v>57700000</v>
      </c>
      <c r="G4058" s="1613">
        <v>184536396839</v>
      </c>
    </row>
    <row r="4059" spans="1:7" ht="17.25" customHeight="1" x14ac:dyDescent="0.2">
      <c r="A4059" s="1611">
        <v>16</v>
      </c>
      <c r="B4059" s="1611" t="s">
        <v>7203</v>
      </c>
      <c r="C4059" s="1611" t="s">
        <v>5934</v>
      </c>
      <c r="D4059" s="1612">
        <v>0</v>
      </c>
      <c r="E4059" s="1706" t="s">
        <v>7592</v>
      </c>
      <c r="F4059" s="1613">
        <v>38181818</v>
      </c>
      <c r="G4059" s="1613">
        <v>184574578657</v>
      </c>
    </row>
    <row r="4060" spans="1:7" ht="17.25" customHeight="1" x14ac:dyDescent="0.2">
      <c r="A4060" s="1611">
        <v>16</v>
      </c>
      <c r="B4060" s="1611" t="s">
        <v>7154</v>
      </c>
      <c r="C4060" s="1611" t="s">
        <v>5935</v>
      </c>
      <c r="D4060" s="1612">
        <v>0</v>
      </c>
      <c r="E4060" s="1706" t="s">
        <v>7592</v>
      </c>
      <c r="F4060" s="1613">
        <v>50909091</v>
      </c>
      <c r="G4060" s="1613">
        <v>184625487748</v>
      </c>
    </row>
    <row r="4061" spans="1:7" ht="17.25" customHeight="1" x14ac:dyDescent="0.2">
      <c r="A4061" s="1611">
        <v>16</v>
      </c>
      <c r="B4061" s="1611" t="s">
        <v>2039</v>
      </c>
      <c r="C4061" s="1611" t="s">
        <v>5936</v>
      </c>
      <c r="D4061" s="1612" t="s">
        <v>7555</v>
      </c>
      <c r="E4061" s="1706" t="s">
        <v>7592</v>
      </c>
      <c r="F4061" s="1613">
        <v>40000000</v>
      </c>
      <c r="G4061" s="1613">
        <v>184665487748</v>
      </c>
    </row>
    <row r="4062" spans="1:7" ht="17.25" customHeight="1" x14ac:dyDescent="0.2">
      <c r="A4062" s="1611">
        <v>16</v>
      </c>
      <c r="B4062" s="1611" t="s">
        <v>7203</v>
      </c>
      <c r="C4062" s="1611" t="s">
        <v>5937</v>
      </c>
      <c r="D4062" s="1612">
        <v>0</v>
      </c>
      <c r="E4062" s="1706" t="s">
        <v>7592</v>
      </c>
      <c r="F4062" s="1613">
        <v>34500000</v>
      </c>
      <c r="G4062" s="1613">
        <v>184699987748</v>
      </c>
    </row>
    <row r="4063" spans="1:7" ht="17.25" customHeight="1" x14ac:dyDescent="0.2">
      <c r="A4063" s="1611">
        <v>16</v>
      </c>
      <c r="B4063" s="1611" t="s">
        <v>7154</v>
      </c>
      <c r="C4063" s="1611" t="s">
        <v>5938</v>
      </c>
      <c r="D4063" s="1612">
        <v>0</v>
      </c>
      <c r="E4063" s="1706" t="s">
        <v>7592</v>
      </c>
      <c r="F4063" s="1613">
        <v>51000000</v>
      </c>
      <c r="G4063" s="1613">
        <v>184750987748</v>
      </c>
    </row>
    <row r="4064" spans="1:7" ht="17.25" customHeight="1" x14ac:dyDescent="0.2">
      <c r="A4064" s="1611">
        <v>16</v>
      </c>
      <c r="B4064" s="1611" t="s">
        <v>7186</v>
      </c>
      <c r="C4064" s="1611" t="s">
        <v>5939</v>
      </c>
      <c r="D4064" s="1612">
        <v>0</v>
      </c>
      <c r="E4064" s="1706" t="s">
        <v>7592</v>
      </c>
      <c r="F4064" s="1613">
        <v>53181818</v>
      </c>
      <c r="G4064" s="1613">
        <v>184804169566</v>
      </c>
    </row>
    <row r="4065" spans="1:7" ht="17.25" customHeight="1" x14ac:dyDescent="0.2">
      <c r="A4065" s="1611">
        <v>16</v>
      </c>
      <c r="B4065" s="1611" t="s">
        <v>7252</v>
      </c>
      <c r="C4065" s="1611" t="s">
        <v>5940</v>
      </c>
      <c r="D4065" s="1612">
        <v>0</v>
      </c>
      <c r="E4065" s="1706" t="s">
        <v>7592</v>
      </c>
      <c r="F4065" s="1613">
        <v>62000000</v>
      </c>
      <c r="G4065" s="1613">
        <v>184866169566</v>
      </c>
    </row>
    <row r="4066" spans="1:7" ht="17.25" customHeight="1" x14ac:dyDescent="0.2">
      <c r="A4066" s="1611">
        <v>16</v>
      </c>
      <c r="B4066" s="1611" t="s">
        <v>7176</v>
      </c>
      <c r="C4066" s="1611" t="s">
        <v>5941</v>
      </c>
      <c r="D4066" s="1612">
        <v>0</v>
      </c>
      <c r="E4066" s="1706" t="s">
        <v>7592</v>
      </c>
      <c r="F4066" s="1613">
        <v>39500000</v>
      </c>
      <c r="G4066" s="1613">
        <v>184905669566</v>
      </c>
    </row>
    <row r="4067" spans="1:7" ht="17.25" customHeight="1" x14ac:dyDescent="0.2">
      <c r="A4067" s="1611">
        <v>16</v>
      </c>
      <c r="B4067" s="1611" t="s">
        <v>7154</v>
      </c>
      <c r="C4067" s="1611" t="s">
        <v>5942</v>
      </c>
      <c r="D4067" s="1612">
        <v>0</v>
      </c>
      <c r="E4067" s="1706" t="s">
        <v>7592</v>
      </c>
      <c r="F4067" s="1613">
        <v>50909091</v>
      </c>
      <c r="G4067" s="1613">
        <v>184956578657</v>
      </c>
    </row>
    <row r="4068" spans="1:7" ht="17.25" customHeight="1" x14ac:dyDescent="0.2">
      <c r="A4068" s="1611">
        <v>16</v>
      </c>
      <c r="B4068" s="1611" t="s">
        <v>7186</v>
      </c>
      <c r="C4068" s="1611" t="s">
        <v>3632</v>
      </c>
      <c r="D4068" s="1612">
        <v>0</v>
      </c>
      <c r="E4068" s="1706" t="s">
        <v>7592</v>
      </c>
      <c r="F4068" s="1613">
        <v>54000000</v>
      </c>
      <c r="G4068" s="1613">
        <v>185010578657</v>
      </c>
    </row>
    <row r="4069" spans="1:7" ht="17.25" customHeight="1" x14ac:dyDescent="0.2">
      <c r="A4069" s="1611">
        <v>16</v>
      </c>
      <c r="B4069" s="1611" t="s">
        <v>7251</v>
      </c>
      <c r="C4069" s="1611" t="s">
        <v>3464</v>
      </c>
      <c r="D4069" s="1612">
        <v>0</v>
      </c>
      <c r="E4069" s="1706" t="s">
        <v>7592</v>
      </c>
      <c r="F4069" s="1613">
        <v>34090909</v>
      </c>
      <c r="G4069" s="1613">
        <v>185044669566</v>
      </c>
    </row>
    <row r="4070" spans="1:7" ht="17.25" customHeight="1" x14ac:dyDescent="0.2">
      <c r="A4070" s="1611">
        <v>16</v>
      </c>
      <c r="B4070" s="1611" t="s">
        <v>7203</v>
      </c>
      <c r="C4070" s="1611" t="s">
        <v>5943</v>
      </c>
      <c r="D4070" s="1612">
        <v>0</v>
      </c>
      <c r="E4070" s="1706" t="s">
        <v>7592</v>
      </c>
      <c r="F4070" s="1613">
        <v>36500000</v>
      </c>
      <c r="G4070" s="1613">
        <v>185081169566</v>
      </c>
    </row>
    <row r="4071" spans="1:7" ht="17.25" customHeight="1" x14ac:dyDescent="0.2">
      <c r="A4071" s="1611">
        <v>16</v>
      </c>
      <c r="B4071" s="1611" t="s">
        <v>7176</v>
      </c>
      <c r="C4071" s="1611" t="s">
        <v>5944</v>
      </c>
      <c r="D4071" s="1612">
        <v>0</v>
      </c>
      <c r="E4071" s="1706" t="s">
        <v>7592</v>
      </c>
      <c r="F4071" s="1613">
        <v>43000000</v>
      </c>
      <c r="G4071" s="1613">
        <v>185124169566</v>
      </c>
    </row>
    <row r="4072" spans="1:7" ht="17.25" customHeight="1" x14ac:dyDescent="0.2">
      <c r="A4072" s="1611">
        <v>16</v>
      </c>
      <c r="B4072" s="1611" t="s">
        <v>7176</v>
      </c>
      <c r="C4072" s="1611" t="s">
        <v>5945</v>
      </c>
      <c r="D4072" s="1612">
        <v>0</v>
      </c>
      <c r="E4072" s="1706" t="s">
        <v>7592</v>
      </c>
      <c r="F4072" s="1613">
        <v>44500000</v>
      </c>
      <c r="G4072" s="1613">
        <v>185168669566</v>
      </c>
    </row>
    <row r="4073" spans="1:7" ht="17.25" customHeight="1" x14ac:dyDescent="0.2">
      <c r="A4073" s="1611">
        <v>16</v>
      </c>
      <c r="B4073" s="1611" t="s">
        <v>7176</v>
      </c>
      <c r="C4073" s="1611" t="s">
        <v>5946</v>
      </c>
      <c r="D4073" s="1612">
        <v>0</v>
      </c>
      <c r="E4073" s="1706" t="s">
        <v>7592</v>
      </c>
      <c r="F4073" s="1613">
        <v>39090909</v>
      </c>
      <c r="G4073" s="1613">
        <v>185207760475</v>
      </c>
    </row>
    <row r="4074" spans="1:7" ht="17.25" customHeight="1" x14ac:dyDescent="0.2">
      <c r="A4074" s="1611">
        <v>16</v>
      </c>
      <c r="B4074" s="1611" t="s">
        <v>7176</v>
      </c>
      <c r="C4074" s="1611" t="s">
        <v>5947</v>
      </c>
      <c r="D4074" s="1612">
        <v>0</v>
      </c>
      <c r="E4074" s="1706" t="s">
        <v>7592</v>
      </c>
      <c r="F4074" s="1613">
        <v>37727272</v>
      </c>
      <c r="G4074" s="1613">
        <v>185245487747</v>
      </c>
    </row>
    <row r="4075" spans="1:7" ht="17.25" customHeight="1" x14ac:dyDescent="0.2">
      <c r="A4075" s="1611">
        <v>16</v>
      </c>
      <c r="B4075" s="1611" t="s">
        <v>7303</v>
      </c>
      <c r="C4075" s="1611" t="s">
        <v>5948</v>
      </c>
      <c r="D4075" s="1612">
        <v>0</v>
      </c>
      <c r="E4075" s="1706" t="s">
        <v>7592</v>
      </c>
      <c r="F4075" s="1613">
        <v>96695455</v>
      </c>
      <c r="G4075" s="1613">
        <v>185342183202</v>
      </c>
    </row>
    <row r="4076" spans="1:7" ht="17.25" customHeight="1" x14ac:dyDescent="0.2">
      <c r="A4076" s="1611">
        <v>16</v>
      </c>
      <c r="B4076" s="1611" t="s">
        <v>7303</v>
      </c>
      <c r="C4076" s="1611" t="s">
        <v>5948</v>
      </c>
      <c r="D4076" s="1612">
        <v>0</v>
      </c>
      <c r="E4076" s="1706" t="s">
        <v>7592</v>
      </c>
      <c r="F4076" s="1613">
        <v>1090910</v>
      </c>
      <c r="G4076" s="1613">
        <v>185343274112</v>
      </c>
    </row>
    <row r="4077" spans="1:7" ht="17.25" customHeight="1" x14ac:dyDescent="0.2">
      <c r="A4077" s="1611">
        <v>16</v>
      </c>
      <c r="B4077" s="1611" t="s">
        <v>7176</v>
      </c>
      <c r="C4077" s="1611" t="s">
        <v>5949</v>
      </c>
      <c r="D4077" s="1612">
        <v>0</v>
      </c>
      <c r="E4077" s="1706" t="s">
        <v>7592</v>
      </c>
      <c r="F4077" s="1613">
        <v>38000000</v>
      </c>
      <c r="G4077" s="1613">
        <v>185381274112</v>
      </c>
    </row>
    <row r="4078" spans="1:7" ht="17.25" customHeight="1" x14ac:dyDescent="0.2">
      <c r="A4078" s="1611">
        <v>16</v>
      </c>
      <c r="B4078" s="1611" t="s">
        <v>7203</v>
      </c>
      <c r="C4078" s="1611" t="s">
        <v>5950</v>
      </c>
      <c r="D4078" s="1612">
        <v>0</v>
      </c>
      <c r="E4078" s="1706" t="s">
        <v>7592</v>
      </c>
      <c r="F4078" s="1613">
        <v>36818182</v>
      </c>
      <c r="G4078" s="1613">
        <v>185418092294</v>
      </c>
    </row>
    <row r="4079" spans="1:7" ht="17.25" customHeight="1" x14ac:dyDescent="0.2">
      <c r="A4079" s="1611">
        <v>16</v>
      </c>
      <c r="B4079" s="1611" t="s">
        <v>7245</v>
      </c>
      <c r="C4079" s="1611" t="s">
        <v>5951</v>
      </c>
      <c r="D4079" s="1612">
        <v>0</v>
      </c>
      <c r="E4079" s="1706" t="s">
        <v>7592</v>
      </c>
      <c r="F4079" s="1613">
        <v>40909091</v>
      </c>
      <c r="G4079" s="1613">
        <v>185459001385</v>
      </c>
    </row>
    <row r="4080" spans="1:7" ht="17.25" customHeight="1" x14ac:dyDescent="0.2">
      <c r="A4080" s="1611">
        <v>16</v>
      </c>
      <c r="B4080" s="1611" t="s">
        <v>7203</v>
      </c>
      <c r="C4080" s="1611" t="s">
        <v>5952</v>
      </c>
      <c r="D4080" s="1612">
        <v>0</v>
      </c>
      <c r="E4080" s="1706" t="s">
        <v>7592</v>
      </c>
      <c r="F4080" s="1613">
        <v>35909091</v>
      </c>
      <c r="G4080" s="1613">
        <v>185494910476</v>
      </c>
    </row>
    <row r="4081" spans="1:7" ht="17.25" customHeight="1" x14ac:dyDescent="0.2">
      <c r="A4081" s="1611">
        <v>16</v>
      </c>
      <c r="B4081" s="1611" t="s">
        <v>7303</v>
      </c>
      <c r="C4081" s="1611" t="s">
        <v>4238</v>
      </c>
      <c r="D4081" s="1612">
        <v>0</v>
      </c>
      <c r="E4081" s="1706" t="s">
        <v>7592</v>
      </c>
      <c r="F4081" s="1613">
        <v>91536364</v>
      </c>
      <c r="G4081" s="1613">
        <v>185586446840</v>
      </c>
    </row>
    <row r="4082" spans="1:7" ht="17.25" customHeight="1" x14ac:dyDescent="0.2">
      <c r="A4082" s="1611">
        <v>16</v>
      </c>
      <c r="B4082" s="1611" t="s">
        <v>7303</v>
      </c>
      <c r="C4082" s="1611" t="s">
        <v>4238</v>
      </c>
      <c r="D4082" s="1612">
        <v>0</v>
      </c>
      <c r="E4082" s="1706" t="s">
        <v>7592</v>
      </c>
      <c r="F4082" s="1613">
        <v>5000000</v>
      </c>
      <c r="G4082" s="1613">
        <v>185591446840</v>
      </c>
    </row>
    <row r="4083" spans="1:7" ht="17.25" customHeight="1" x14ac:dyDescent="0.2">
      <c r="A4083" s="1611">
        <v>16</v>
      </c>
      <c r="B4083" s="1611" t="s">
        <v>7203</v>
      </c>
      <c r="C4083" s="1611" t="s">
        <v>5953</v>
      </c>
      <c r="D4083" s="1612">
        <v>0</v>
      </c>
      <c r="E4083" s="1706" t="s">
        <v>7592</v>
      </c>
      <c r="F4083" s="1613">
        <v>37272728</v>
      </c>
      <c r="G4083" s="1613">
        <v>185628719568</v>
      </c>
    </row>
    <row r="4084" spans="1:7" ht="17.25" customHeight="1" x14ac:dyDescent="0.2">
      <c r="A4084" s="1611">
        <v>16</v>
      </c>
      <c r="B4084" s="1611" t="s">
        <v>7156</v>
      </c>
      <c r="C4084" s="1611" t="s">
        <v>5954</v>
      </c>
      <c r="D4084" s="1612">
        <v>0</v>
      </c>
      <c r="E4084" s="1706" t="s">
        <v>7592</v>
      </c>
      <c r="F4084" s="1613">
        <v>15013636</v>
      </c>
      <c r="G4084" s="1613">
        <v>185643733204</v>
      </c>
    </row>
    <row r="4085" spans="1:7" ht="17.25" customHeight="1" x14ac:dyDescent="0.2">
      <c r="A4085" s="1611">
        <v>16</v>
      </c>
      <c r="B4085" s="1611" t="s">
        <v>7156</v>
      </c>
      <c r="C4085" s="1611" t="s">
        <v>5203</v>
      </c>
      <c r="D4085" s="1612">
        <v>0</v>
      </c>
      <c r="E4085" s="1706" t="s">
        <v>7592</v>
      </c>
      <c r="F4085" s="1613">
        <v>15013636</v>
      </c>
      <c r="G4085" s="1613">
        <v>185658746840</v>
      </c>
    </row>
    <row r="4086" spans="1:7" ht="17.25" customHeight="1" x14ac:dyDescent="0.2">
      <c r="A4086" s="1611">
        <v>16</v>
      </c>
      <c r="B4086" s="1611" t="s">
        <v>7203</v>
      </c>
      <c r="C4086" s="1611" t="s">
        <v>5419</v>
      </c>
      <c r="D4086" s="1612">
        <v>0</v>
      </c>
      <c r="E4086" s="1706" t="s">
        <v>7592</v>
      </c>
      <c r="F4086" s="1613">
        <v>36750000</v>
      </c>
      <c r="G4086" s="1613">
        <v>185695496840</v>
      </c>
    </row>
    <row r="4087" spans="1:7" ht="17.25" customHeight="1" x14ac:dyDescent="0.2">
      <c r="A4087" s="1611">
        <v>16</v>
      </c>
      <c r="B4087" s="1611" t="s">
        <v>7156</v>
      </c>
      <c r="C4087" s="1611" t="s">
        <v>5954</v>
      </c>
      <c r="D4087" s="1612">
        <v>0</v>
      </c>
      <c r="E4087" s="1706" t="s">
        <v>7592</v>
      </c>
      <c r="F4087" s="1613">
        <v>-15013636</v>
      </c>
      <c r="G4087" s="1613">
        <v>185680483204</v>
      </c>
    </row>
    <row r="4088" spans="1:7" ht="17.25" customHeight="1" x14ac:dyDescent="0.2">
      <c r="A4088" s="1611">
        <v>16</v>
      </c>
      <c r="B4088" s="1611" t="s">
        <v>7156</v>
      </c>
      <c r="C4088" s="1611" t="s">
        <v>5954</v>
      </c>
      <c r="D4088" s="1612">
        <v>0</v>
      </c>
      <c r="E4088" s="1706" t="s">
        <v>7592</v>
      </c>
      <c r="F4088" s="1613">
        <v>15013636</v>
      </c>
      <c r="G4088" s="1613">
        <v>185695496840</v>
      </c>
    </row>
    <row r="4089" spans="1:7" ht="17.25" customHeight="1" x14ac:dyDescent="0.2">
      <c r="A4089" s="1611">
        <v>16</v>
      </c>
      <c r="B4089" s="1611" t="s">
        <v>7303</v>
      </c>
      <c r="C4089" s="1611" t="s">
        <v>5955</v>
      </c>
      <c r="D4089" s="1612">
        <v>0</v>
      </c>
      <c r="E4089" s="1706" t="s">
        <v>7592</v>
      </c>
      <c r="F4089" s="1613">
        <v>96695455</v>
      </c>
      <c r="G4089" s="1613">
        <v>185792192295</v>
      </c>
    </row>
    <row r="4090" spans="1:7" ht="17.25" customHeight="1" x14ac:dyDescent="0.2">
      <c r="A4090" s="1611">
        <v>16</v>
      </c>
      <c r="B4090" s="1611" t="s">
        <v>7303</v>
      </c>
      <c r="C4090" s="1611" t="s">
        <v>5956</v>
      </c>
      <c r="D4090" s="1612">
        <v>0</v>
      </c>
      <c r="E4090" s="1706" t="s">
        <v>7592</v>
      </c>
      <c r="F4090" s="1613">
        <v>99013637</v>
      </c>
      <c r="G4090" s="1613">
        <v>185891205932</v>
      </c>
    </row>
    <row r="4091" spans="1:7" ht="17.25" customHeight="1" x14ac:dyDescent="0.2">
      <c r="A4091" s="1611">
        <v>16</v>
      </c>
      <c r="B4091" s="1611" t="s">
        <v>7303</v>
      </c>
      <c r="C4091" s="1611" t="s">
        <v>5957</v>
      </c>
      <c r="D4091" s="1612">
        <v>0</v>
      </c>
      <c r="E4091" s="1706" t="s">
        <v>7592</v>
      </c>
      <c r="F4091" s="1613">
        <v>96445455</v>
      </c>
      <c r="G4091" s="1613">
        <v>185987651387</v>
      </c>
    </row>
    <row r="4092" spans="1:7" ht="17.25" customHeight="1" x14ac:dyDescent="0.2">
      <c r="A4092" s="1611">
        <v>16</v>
      </c>
      <c r="B4092" s="1611" t="s">
        <v>7303</v>
      </c>
      <c r="C4092" s="1611" t="s">
        <v>5958</v>
      </c>
      <c r="D4092" s="1612">
        <v>0</v>
      </c>
      <c r="E4092" s="1706" t="s">
        <v>7592</v>
      </c>
      <c r="F4092" s="1613">
        <v>99013637</v>
      </c>
      <c r="G4092" s="1613">
        <v>186086665024</v>
      </c>
    </row>
    <row r="4093" spans="1:7" ht="17.25" customHeight="1" x14ac:dyDescent="0.2">
      <c r="A4093" s="1611">
        <v>16</v>
      </c>
      <c r="B4093" s="1611" t="s">
        <v>7303</v>
      </c>
      <c r="C4093" s="1611" t="s">
        <v>5959</v>
      </c>
      <c r="D4093" s="1612">
        <v>0</v>
      </c>
      <c r="E4093" s="1706" t="s">
        <v>7592</v>
      </c>
      <c r="F4093" s="1613">
        <v>99013637</v>
      </c>
      <c r="G4093" s="1613">
        <v>186185678661</v>
      </c>
    </row>
    <row r="4094" spans="1:7" ht="17.25" customHeight="1" x14ac:dyDescent="0.2">
      <c r="A4094" s="1611">
        <v>16</v>
      </c>
      <c r="B4094" s="1611" t="s">
        <v>7327</v>
      </c>
      <c r="C4094" s="1611" t="s">
        <v>5960</v>
      </c>
      <c r="D4094" s="1612">
        <v>0</v>
      </c>
      <c r="E4094" s="1612" t="s">
        <v>3305</v>
      </c>
      <c r="F4094" s="1613">
        <v>80532000</v>
      </c>
      <c r="G4094" s="1613">
        <v>186266210661</v>
      </c>
    </row>
    <row r="4095" spans="1:7" ht="17.25" customHeight="1" x14ac:dyDescent="0.2">
      <c r="A4095" s="1611">
        <v>16</v>
      </c>
      <c r="B4095" s="1611" t="s">
        <v>7213</v>
      </c>
      <c r="C4095" s="1611" t="s">
        <v>5475</v>
      </c>
      <c r="D4095" s="1612">
        <v>0</v>
      </c>
      <c r="E4095" s="1612" t="s">
        <v>3299</v>
      </c>
      <c r="F4095" s="1613">
        <v>36149007</v>
      </c>
      <c r="G4095" s="1613">
        <v>186302359668</v>
      </c>
    </row>
    <row r="4096" spans="1:7" ht="17.25" customHeight="1" x14ac:dyDescent="0.2">
      <c r="A4096" s="1611">
        <v>16</v>
      </c>
      <c r="B4096" s="1611" t="s">
        <v>7285</v>
      </c>
      <c r="C4096" s="1611" t="s">
        <v>5831</v>
      </c>
      <c r="D4096" s="1612">
        <v>0</v>
      </c>
      <c r="E4096" s="1706" t="s">
        <v>7592</v>
      </c>
      <c r="F4096" s="1613">
        <v>10000000</v>
      </c>
      <c r="G4096" s="1613">
        <v>186312359668</v>
      </c>
    </row>
    <row r="4097" spans="1:7" ht="17.25" customHeight="1" x14ac:dyDescent="0.2">
      <c r="A4097" s="1611">
        <v>16</v>
      </c>
      <c r="B4097" s="1611" t="s">
        <v>7170</v>
      </c>
      <c r="C4097" s="1611" t="s">
        <v>4903</v>
      </c>
      <c r="D4097" s="1612">
        <v>0</v>
      </c>
      <c r="E4097" s="1706" t="s">
        <v>7592</v>
      </c>
      <c r="F4097" s="1613">
        <v>174000000</v>
      </c>
      <c r="G4097" s="1613">
        <v>186486359668</v>
      </c>
    </row>
    <row r="4098" spans="1:7" ht="17.25" customHeight="1" x14ac:dyDescent="0.2">
      <c r="A4098" s="1611">
        <v>16</v>
      </c>
      <c r="B4098" s="1611" t="s">
        <v>7311</v>
      </c>
      <c r="C4098" s="1611" t="s">
        <v>4470</v>
      </c>
      <c r="D4098" s="1612">
        <v>0</v>
      </c>
      <c r="E4098" s="1706" t="s">
        <v>7592</v>
      </c>
      <c r="F4098" s="1613">
        <v>6818182</v>
      </c>
      <c r="G4098" s="1613">
        <v>186493177850</v>
      </c>
    </row>
    <row r="4099" spans="1:7" ht="17.25" customHeight="1" x14ac:dyDescent="0.2">
      <c r="A4099" s="1611">
        <v>16</v>
      </c>
      <c r="B4099" s="1611" t="s">
        <v>7285</v>
      </c>
      <c r="C4099" s="1611" t="s">
        <v>5771</v>
      </c>
      <c r="D4099" s="1612">
        <v>0</v>
      </c>
      <c r="E4099" s="1706" t="s">
        <v>7592</v>
      </c>
      <c r="F4099" s="1613">
        <v>100184546</v>
      </c>
      <c r="G4099" s="1613">
        <v>186593362396</v>
      </c>
    </row>
    <row r="4100" spans="1:7" ht="17.25" customHeight="1" x14ac:dyDescent="0.2">
      <c r="A4100" s="1611">
        <v>16</v>
      </c>
      <c r="B4100" s="1611" t="s">
        <v>7311</v>
      </c>
      <c r="C4100" s="1611" t="s">
        <v>4470</v>
      </c>
      <c r="D4100" s="1612">
        <v>0</v>
      </c>
      <c r="E4100" s="1706" t="s">
        <v>7592</v>
      </c>
      <c r="F4100" s="1613">
        <v>41575455</v>
      </c>
      <c r="G4100" s="1613">
        <v>186634937851</v>
      </c>
    </row>
    <row r="4101" spans="1:7" ht="17.25" customHeight="1" x14ac:dyDescent="0.2">
      <c r="A4101" s="1611">
        <v>16</v>
      </c>
      <c r="B4101" s="1611" t="s">
        <v>7303</v>
      </c>
      <c r="C4101" s="1611" t="s">
        <v>5961</v>
      </c>
      <c r="D4101" s="1612">
        <v>0</v>
      </c>
      <c r="E4101" s="1706" t="s">
        <v>7592</v>
      </c>
      <c r="F4101" s="1613">
        <v>97831819</v>
      </c>
      <c r="G4101" s="1613">
        <v>186732769670</v>
      </c>
    </row>
    <row r="4102" spans="1:7" ht="17.25" customHeight="1" x14ac:dyDescent="0.2">
      <c r="A4102" s="1611">
        <v>16</v>
      </c>
      <c r="B4102" s="1611" t="s">
        <v>7285</v>
      </c>
      <c r="C4102" s="1611" t="s">
        <v>5831</v>
      </c>
      <c r="D4102" s="1612">
        <v>0</v>
      </c>
      <c r="E4102" s="1706" t="s">
        <v>7592</v>
      </c>
      <c r="F4102" s="1613">
        <v>49868183</v>
      </c>
      <c r="G4102" s="1613">
        <v>186782637853</v>
      </c>
    </row>
    <row r="4103" spans="1:7" ht="17.25" customHeight="1" x14ac:dyDescent="0.2">
      <c r="A4103" s="1611">
        <v>16</v>
      </c>
      <c r="B4103" s="1611" t="s">
        <v>7203</v>
      </c>
      <c r="C4103" s="1611" t="s">
        <v>3733</v>
      </c>
      <c r="D4103" s="1612">
        <v>0</v>
      </c>
      <c r="E4103" s="1706" t="s">
        <v>7592</v>
      </c>
      <c r="F4103" s="1613">
        <v>37272727</v>
      </c>
      <c r="G4103" s="1613">
        <v>186819910580</v>
      </c>
    </row>
    <row r="4104" spans="1:7" ht="17.25" customHeight="1" x14ac:dyDescent="0.2">
      <c r="A4104" s="1611">
        <v>16</v>
      </c>
      <c r="B4104" s="1611" t="s">
        <v>7176</v>
      </c>
      <c r="C4104" s="1611" t="s">
        <v>5962</v>
      </c>
      <c r="D4104" s="1612">
        <v>0</v>
      </c>
      <c r="E4104" s="1706" t="s">
        <v>7592</v>
      </c>
      <c r="F4104" s="1613">
        <v>40000000</v>
      </c>
      <c r="G4104" s="1613">
        <v>186859910580</v>
      </c>
    </row>
    <row r="4105" spans="1:7" ht="17.25" customHeight="1" x14ac:dyDescent="0.2">
      <c r="A4105" s="1611">
        <v>16</v>
      </c>
      <c r="B4105" s="1611" t="s">
        <v>7203</v>
      </c>
      <c r="C4105" s="1611" t="s">
        <v>5963</v>
      </c>
      <c r="D4105" s="1612">
        <v>0</v>
      </c>
      <c r="E4105" s="1706" t="s">
        <v>7592</v>
      </c>
      <c r="F4105" s="1613">
        <v>36818182</v>
      </c>
      <c r="G4105" s="1613">
        <v>186896728762</v>
      </c>
    </row>
    <row r="4106" spans="1:7" ht="17.25" customHeight="1" x14ac:dyDescent="0.2">
      <c r="A4106" s="1611">
        <v>16</v>
      </c>
      <c r="B4106" s="1611" t="s">
        <v>7176</v>
      </c>
      <c r="C4106" s="1611" t="s">
        <v>5207</v>
      </c>
      <c r="D4106" s="1612">
        <v>0</v>
      </c>
      <c r="E4106" s="1706" t="s">
        <v>7592</v>
      </c>
      <c r="F4106" s="1613">
        <v>38181818</v>
      </c>
      <c r="G4106" s="1613">
        <v>186934910580</v>
      </c>
    </row>
    <row r="4107" spans="1:7" ht="17.25" customHeight="1" x14ac:dyDescent="0.2">
      <c r="A4107" s="1611">
        <v>16</v>
      </c>
      <c r="B4107" s="1611" t="s">
        <v>7156</v>
      </c>
      <c r="C4107" s="1611" t="s">
        <v>5964</v>
      </c>
      <c r="D4107" s="1612">
        <v>0</v>
      </c>
      <c r="E4107" s="1706" t="s">
        <v>7592</v>
      </c>
      <c r="F4107" s="1613">
        <v>14000000</v>
      </c>
      <c r="G4107" s="1613">
        <v>186948910580</v>
      </c>
    </row>
    <row r="4108" spans="1:7" ht="17.25" customHeight="1" x14ac:dyDescent="0.2">
      <c r="A4108" s="1611">
        <v>16</v>
      </c>
      <c r="B4108" s="1611" t="s">
        <v>7251</v>
      </c>
      <c r="C4108" s="1611" t="s">
        <v>5965</v>
      </c>
      <c r="D4108" s="1612">
        <v>0</v>
      </c>
      <c r="E4108" s="1706" t="s">
        <v>7592</v>
      </c>
      <c r="F4108" s="1613">
        <v>33636364</v>
      </c>
      <c r="G4108" s="1613">
        <v>186982546944</v>
      </c>
    </row>
    <row r="4109" spans="1:7" ht="17.25" customHeight="1" x14ac:dyDescent="0.2">
      <c r="A4109" s="1611">
        <v>16</v>
      </c>
      <c r="B4109" s="1611" t="s">
        <v>7203</v>
      </c>
      <c r="C4109" s="1611" t="s">
        <v>5966</v>
      </c>
      <c r="D4109" s="1612">
        <v>0</v>
      </c>
      <c r="E4109" s="1706" t="s">
        <v>7592</v>
      </c>
      <c r="F4109" s="1613">
        <v>37500000</v>
      </c>
      <c r="G4109" s="1613">
        <v>187020046944</v>
      </c>
    </row>
    <row r="4110" spans="1:7" ht="17.25" customHeight="1" x14ac:dyDescent="0.2">
      <c r="A4110" s="1611">
        <v>16</v>
      </c>
      <c r="B4110" s="1611" t="s">
        <v>7249</v>
      </c>
      <c r="C4110" s="1611" t="s">
        <v>5967</v>
      </c>
      <c r="D4110" s="1612">
        <v>0</v>
      </c>
      <c r="E4110" s="1706" t="s">
        <v>7592</v>
      </c>
      <c r="F4110" s="1613">
        <v>11400000</v>
      </c>
      <c r="G4110" s="1613">
        <v>187031446944</v>
      </c>
    </row>
    <row r="4111" spans="1:7" ht="17.25" customHeight="1" x14ac:dyDescent="0.2">
      <c r="A4111" s="1611">
        <v>16</v>
      </c>
      <c r="B4111" s="1611" t="s">
        <v>7203</v>
      </c>
      <c r="C4111" s="1611" t="s">
        <v>5693</v>
      </c>
      <c r="D4111" s="1612">
        <v>0</v>
      </c>
      <c r="E4111" s="1706" t="s">
        <v>7592</v>
      </c>
      <c r="F4111" s="1613">
        <v>37800000</v>
      </c>
      <c r="G4111" s="1613">
        <v>187069246944</v>
      </c>
    </row>
    <row r="4112" spans="1:7" ht="17.25" customHeight="1" x14ac:dyDescent="0.2">
      <c r="A4112" s="1611">
        <v>16</v>
      </c>
      <c r="B4112" s="1611" t="s">
        <v>7251</v>
      </c>
      <c r="C4112" s="1611" t="s">
        <v>5968</v>
      </c>
      <c r="D4112" s="1612">
        <v>0</v>
      </c>
      <c r="E4112" s="1706" t="s">
        <v>7592</v>
      </c>
      <c r="F4112" s="1613">
        <v>34900000</v>
      </c>
      <c r="G4112" s="1613">
        <v>187104146944</v>
      </c>
    </row>
    <row r="4113" spans="1:7" ht="17.25" customHeight="1" x14ac:dyDescent="0.2">
      <c r="A4113" s="1611">
        <v>16</v>
      </c>
      <c r="B4113" s="1611" t="s">
        <v>7252</v>
      </c>
      <c r="C4113" s="1611" t="s">
        <v>5969</v>
      </c>
      <c r="D4113" s="1612">
        <v>0</v>
      </c>
      <c r="E4113" s="1706" t="s">
        <v>7592</v>
      </c>
      <c r="F4113" s="1613">
        <v>57500000</v>
      </c>
      <c r="G4113" s="1613">
        <v>187161646944</v>
      </c>
    </row>
    <row r="4114" spans="1:7" ht="17.25" customHeight="1" x14ac:dyDescent="0.2">
      <c r="A4114" s="1611">
        <v>16</v>
      </c>
      <c r="B4114" s="1611" t="s">
        <v>7203</v>
      </c>
      <c r="C4114" s="1611" t="s">
        <v>5970</v>
      </c>
      <c r="D4114" s="1612">
        <v>0</v>
      </c>
      <c r="E4114" s="1706" t="s">
        <v>7592</v>
      </c>
      <c r="F4114" s="1613">
        <v>35000000</v>
      </c>
      <c r="G4114" s="1613">
        <v>187196646944</v>
      </c>
    </row>
    <row r="4115" spans="1:7" ht="17.25" customHeight="1" x14ac:dyDescent="0.2">
      <c r="A4115" s="1611">
        <v>16</v>
      </c>
      <c r="B4115" s="1611" t="s">
        <v>7259</v>
      </c>
      <c r="C4115" s="1611" t="s">
        <v>5105</v>
      </c>
      <c r="D4115" s="1612">
        <v>0</v>
      </c>
      <c r="E4115" s="1706" t="s">
        <v>7592</v>
      </c>
      <c r="F4115" s="1613">
        <v>5978000</v>
      </c>
      <c r="G4115" s="1613">
        <v>187202624944</v>
      </c>
    </row>
    <row r="4116" spans="1:7" ht="17.25" customHeight="1" x14ac:dyDescent="0.2">
      <c r="A4116" s="1611">
        <v>16</v>
      </c>
      <c r="B4116" s="1611" t="s">
        <v>7203</v>
      </c>
      <c r="C4116" s="1611" t="s">
        <v>3943</v>
      </c>
      <c r="D4116" s="1612">
        <v>0</v>
      </c>
      <c r="E4116" s="1706" t="s">
        <v>7592</v>
      </c>
      <c r="F4116" s="1613">
        <v>17765000</v>
      </c>
      <c r="G4116" s="1613">
        <v>187220389944</v>
      </c>
    </row>
    <row r="4117" spans="1:7" ht="17.25" customHeight="1" x14ac:dyDescent="0.2">
      <c r="A4117" s="1611">
        <v>16</v>
      </c>
      <c r="B4117" s="1611" t="s">
        <v>7203</v>
      </c>
      <c r="C4117" s="1611" t="s">
        <v>5971</v>
      </c>
      <c r="D4117" s="1612">
        <v>0</v>
      </c>
      <c r="E4117" s="1706" t="s">
        <v>7592</v>
      </c>
      <c r="F4117" s="1613">
        <v>34000000</v>
      </c>
      <c r="G4117" s="1613">
        <v>187254389944</v>
      </c>
    </row>
    <row r="4118" spans="1:7" ht="17.25" customHeight="1" x14ac:dyDescent="0.2">
      <c r="A4118" s="1611">
        <v>16</v>
      </c>
      <c r="B4118" s="1611" t="s">
        <v>7156</v>
      </c>
      <c r="C4118" s="1611" t="s">
        <v>5972</v>
      </c>
      <c r="D4118" s="1612">
        <v>0</v>
      </c>
      <c r="E4118" s="1706" t="s">
        <v>7592</v>
      </c>
      <c r="F4118" s="1613">
        <v>14000000</v>
      </c>
      <c r="G4118" s="1613">
        <v>187268389944</v>
      </c>
    </row>
    <row r="4119" spans="1:7" ht="17.25" customHeight="1" x14ac:dyDescent="0.2">
      <c r="A4119" s="1611">
        <v>16</v>
      </c>
      <c r="B4119" s="1611" t="s">
        <v>5973</v>
      </c>
      <c r="C4119" s="1611" t="s">
        <v>5974</v>
      </c>
      <c r="D4119" s="1612">
        <v>0</v>
      </c>
      <c r="E4119" s="1706" t="s">
        <v>7592</v>
      </c>
      <c r="F4119" s="1613">
        <v>230000000</v>
      </c>
      <c r="G4119" s="1613">
        <v>187498389944</v>
      </c>
    </row>
    <row r="4120" spans="1:7" ht="17.25" customHeight="1" x14ac:dyDescent="0.2">
      <c r="A4120" s="1611">
        <v>16</v>
      </c>
      <c r="B4120" s="1611" t="s">
        <v>7156</v>
      </c>
      <c r="C4120" s="1611" t="s">
        <v>5975</v>
      </c>
      <c r="D4120" s="1612">
        <v>0</v>
      </c>
      <c r="E4120" s="1706" t="s">
        <v>7592</v>
      </c>
      <c r="F4120" s="1613">
        <v>14700000</v>
      </c>
      <c r="G4120" s="1613">
        <v>187513089944</v>
      </c>
    </row>
    <row r="4121" spans="1:7" ht="17.25" customHeight="1" x14ac:dyDescent="0.2">
      <c r="A4121" s="1611">
        <v>16</v>
      </c>
      <c r="B4121" s="1611" t="s">
        <v>7154</v>
      </c>
      <c r="C4121" s="1611" t="s">
        <v>5976</v>
      </c>
      <c r="D4121" s="1612">
        <v>0</v>
      </c>
      <c r="E4121" s="1706" t="s">
        <v>7592</v>
      </c>
      <c r="F4121" s="1613">
        <v>52363636</v>
      </c>
      <c r="G4121" s="1613">
        <v>187565453580</v>
      </c>
    </row>
    <row r="4122" spans="1:7" ht="17.25" customHeight="1" x14ac:dyDescent="0.2">
      <c r="A4122" s="1611">
        <v>16</v>
      </c>
      <c r="B4122" s="1611" t="s">
        <v>7156</v>
      </c>
      <c r="C4122" s="1611" t="s">
        <v>5977</v>
      </c>
      <c r="D4122" s="1612">
        <v>0</v>
      </c>
      <c r="E4122" s="1706" t="s">
        <v>7592</v>
      </c>
      <c r="F4122" s="1613">
        <v>14000000</v>
      </c>
      <c r="G4122" s="1613">
        <v>187579453580</v>
      </c>
    </row>
    <row r="4123" spans="1:7" ht="17.25" customHeight="1" x14ac:dyDescent="0.2">
      <c r="A4123" s="1611">
        <v>16</v>
      </c>
      <c r="B4123" s="1611" t="s">
        <v>7328</v>
      </c>
      <c r="C4123" s="1611" t="s">
        <v>5978</v>
      </c>
      <c r="D4123" s="1612">
        <v>0</v>
      </c>
      <c r="E4123" s="1706" t="s">
        <v>7592</v>
      </c>
      <c r="F4123" s="1613">
        <v>8000000</v>
      </c>
      <c r="G4123" s="1613">
        <v>187587453580</v>
      </c>
    </row>
    <row r="4124" spans="1:7" ht="17.25" customHeight="1" x14ac:dyDescent="0.2">
      <c r="A4124" s="1611">
        <v>16</v>
      </c>
      <c r="B4124" s="1611" t="s">
        <v>5979</v>
      </c>
      <c r="C4124" s="1611" t="s">
        <v>4111</v>
      </c>
      <c r="D4124" s="1612">
        <v>0</v>
      </c>
      <c r="E4124" s="1706" t="s">
        <v>7592</v>
      </c>
      <c r="F4124" s="1613">
        <v>528214900</v>
      </c>
      <c r="G4124" s="1613">
        <v>188115668480</v>
      </c>
    </row>
    <row r="4125" spans="1:7" ht="17.25" customHeight="1" x14ac:dyDescent="0.2">
      <c r="A4125" s="1611">
        <v>16</v>
      </c>
      <c r="B4125" s="1611" t="s">
        <v>7154</v>
      </c>
      <c r="C4125" s="1611" t="s">
        <v>5980</v>
      </c>
      <c r="D4125" s="1612">
        <v>0</v>
      </c>
      <c r="E4125" s="1706" t="s">
        <v>7592</v>
      </c>
      <c r="F4125" s="1613">
        <v>50909090</v>
      </c>
      <c r="G4125" s="1613">
        <v>188166577570</v>
      </c>
    </row>
    <row r="4126" spans="1:7" ht="17.25" customHeight="1" x14ac:dyDescent="0.2">
      <c r="A4126" s="1611">
        <v>16</v>
      </c>
      <c r="B4126" s="1611" t="s">
        <v>7329</v>
      </c>
      <c r="C4126" s="1611" t="s">
        <v>5961</v>
      </c>
      <c r="D4126" s="1612">
        <v>0</v>
      </c>
      <c r="E4126" s="1706" t="s">
        <v>7592</v>
      </c>
      <c r="F4126" s="1613">
        <v>1181818</v>
      </c>
      <c r="G4126" s="1613">
        <v>188167759388</v>
      </c>
    </row>
    <row r="4127" spans="1:7" ht="17.25" customHeight="1" x14ac:dyDescent="0.2">
      <c r="A4127" s="1611">
        <v>16</v>
      </c>
      <c r="B4127" s="1611" t="s">
        <v>7156</v>
      </c>
      <c r="C4127" s="1611" t="s">
        <v>5981</v>
      </c>
      <c r="D4127" s="1612">
        <v>0</v>
      </c>
      <c r="E4127" s="1706" t="s">
        <v>7592</v>
      </c>
      <c r="F4127" s="1613">
        <v>15013636</v>
      </c>
      <c r="G4127" s="1613">
        <v>188182773024</v>
      </c>
    </row>
    <row r="4128" spans="1:7" ht="17.25" customHeight="1" x14ac:dyDescent="0.2">
      <c r="A4128" s="1611">
        <v>16</v>
      </c>
      <c r="B4128" s="1611" t="s">
        <v>7156</v>
      </c>
      <c r="C4128" s="1611" t="s">
        <v>5982</v>
      </c>
      <c r="D4128" s="1612">
        <v>0</v>
      </c>
      <c r="E4128" s="1706" t="s">
        <v>7592</v>
      </c>
      <c r="F4128" s="1613">
        <v>15500000</v>
      </c>
      <c r="G4128" s="1613">
        <v>188198273024</v>
      </c>
    </row>
    <row r="4129" spans="1:7" ht="17.25" customHeight="1" x14ac:dyDescent="0.2">
      <c r="A4129" s="1611">
        <v>16</v>
      </c>
      <c r="B4129" s="1611" t="s">
        <v>7329</v>
      </c>
      <c r="C4129" s="1611" t="s">
        <v>5955</v>
      </c>
      <c r="D4129" s="1612">
        <v>0</v>
      </c>
      <c r="E4129" s="1706" t="s">
        <v>7592</v>
      </c>
      <c r="F4129" s="1613">
        <v>2318182</v>
      </c>
      <c r="G4129" s="1613">
        <v>188200591206</v>
      </c>
    </row>
    <row r="4130" spans="1:7" ht="17.25" customHeight="1" x14ac:dyDescent="0.2">
      <c r="A4130" s="1611">
        <v>16</v>
      </c>
      <c r="B4130" s="1611" t="s">
        <v>7176</v>
      </c>
      <c r="C4130" s="1611" t="s">
        <v>5983</v>
      </c>
      <c r="D4130" s="1612">
        <v>0</v>
      </c>
      <c r="E4130" s="1706" t="s">
        <v>7592</v>
      </c>
      <c r="F4130" s="1613">
        <v>40000000</v>
      </c>
      <c r="G4130" s="1613">
        <v>188240591206</v>
      </c>
    </row>
    <row r="4131" spans="1:7" ht="17.25" customHeight="1" x14ac:dyDescent="0.2">
      <c r="A4131" s="1611">
        <v>16</v>
      </c>
      <c r="B4131" s="1611" t="s">
        <v>7203</v>
      </c>
      <c r="C4131" s="1611" t="s">
        <v>5966</v>
      </c>
      <c r="D4131" s="1612">
        <v>0</v>
      </c>
      <c r="E4131" s="1706" t="s">
        <v>7592</v>
      </c>
      <c r="F4131" s="1613">
        <v>37500000</v>
      </c>
      <c r="G4131" s="1613">
        <v>188278091206</v>
      </c>
    </row>
    <row r="4132" spans="1:7" ht="17.25" customHeight="1" x14ac:dyDescent="0.2">
      <c r="A4132" s="1611">
        <v>16</v>
      </c>
      <c r="B4132" s="1611" t="s">
        <v>7203</v>
      </c>
      <c r="C4132" s="1611" t="s">
        <v>4107</v>
      </c>
      <c r="D4132" s="1612">
        <v>0</v>
      </c>
      <c r="E4132" s="1706" t="s">
        <v>7592</v>
      </c>
      <c r="F4132" s="1613">
        <v>36000000</v>
      </c>
      <c r="G4132" s="1613">
        <v>188314091206</v>
      </c>
    </row>
    <row r="4133" spans="1:7" ht="17.25" customHeight="1" x14ac:dyDescent="0.2">
      <c r="A4133" s="1611">
        <v>16</v>
      </c>
      <c r="B4133" s="1611" t="s">
        <v>7251</v>
      </c>
      <c r="C4133" s="1611" t="s">
        <v>3635</v>
      </c>
      <c r="D4133" s="1612">
        <v>0</v>
      </c>
      <c r="E4133" s="1706" t="s">
        <v>7592</v>
      </c>
      <c r="F4133" s="1613">
        <v>14664000</v>
      </c>
      <c r="G4133" s="1613">
        <v>188328755206</v>
      </c>
    </row>
    <row r="4134" spans="1:7" ht="17.25" customHeight="1" x14ac:dyDescent="0.2">
      <c r="A4134" s="1611">
        <v>16</v>
      </c>
      <c r="B4134" s="1611" t="s">
        <v>7251</v>
      </c>
      <c r="C4134" s="1611" t="s">
        <v>5984</v>
      </c>
      <c r="D4134" s="1612">
        <v>0</v>
      </c>
      <c r="E4134" s="1706" t="s">
        <v>7592</v>
      </c>
      <c r="F4134" s="1613">
        <v>16856000</v>
      </c>
      <c r="G4134" s="1613">
        <v>188345611206</v>
      </c>
    </row>
    <row r="4135" spans="1:7" ht="17.25" customHeight="1" x14ac:dyDescent="0.2">
      <c r="A4135" s="1611">
        <v>16</v>
      </c>
      <c r="B4135" s="1611" t="s">
        <v>7251</v>
      </c>
      <c r="C4135" s="1611" t="s">
        <v>5984</v>
      </c>
      <c r="D4135" s="1612">
        <v>0</v>
      </c>
      <c r="E4135" s="1706" t="s">
        <v>7592</v>
      </c>
      <c r="F4135" s="1613">
        <v>16856000</v>
      </c>
      <c r="G4135" s="1613">
        <v>188362467206</v>
      </c>
    </row>
    <row r="4136" spans="1:7" ht="17.25" customHeight="1" x14ac:dyDescent="0.2">
      <c r="A4136" s="1611">
        <v>16</v>
      </c>
      <c r="B4136" s="1611" t="s">
        <v>7156</v>
      </c>
      <c r="C4136" s="1611" t="s">
        <v>5985</v>
      </c>
      <c r="D4136" s="1612">
        <v>0</v>
      </c>
      <c r="E4136" s="1706" t="s">
        <v>7592</v>
      </c>
      <c r="F4136" s="1613">
        <v>14818181</v>
      </c>
      <c r="G4136" s="1613">
        <v>188377285387</v>
      </c>
    </row>
    <row r="4137" spans="1:7" ht="17.25" customHeight="1" x14ac:dyDescent="0.2">
      <c r="A4137" s="1611">
        <v>16</v>
      </c>
      <c r="B4137" s="1611" t="s">
        <v>7176</v>
      </c>
      <c r="C4137" s="1611" t="s">
        <v>5986</v>
      </c>
      <c r="D4137" s="1612">
        <v>0</v>
      </c>
      <c r="E4137" s="1706" t="s">
        <v>7592</v>
      </c>
      <c r="F4137" s="1613">
        <v>1134900000</v>
      </c>
      <c r="G4137" s="1613">
        <v>189512185387</v>
      </c>
    </row>
    <row r="4138" spans="1:7" ht="17.25" customHeight="1" x14ac:dyDescent="0.2">
      <c r="A4138" s="1611">
        <v>16</v>
      </c>
      <c r="B4138" s="1611" t="s">
        <v>7156</v>
      </c>
      <c r="C4138" s="1611" t="s">
        <v>5987</v>
      </c>
      <c r="D4138" s="1612">
        <v>0</v>
      </c>
      <c r="E4138" s="1706" t="s">
        <v>7592</v>
      </c>
      <c r="F4138" s="1613">
        <v>13800000</v>
      </c>
      <c r="G4138" s="1613">
        <v>189525985387</v>
      </c>
    </row>
    <row r="4139" spans="1:7" ht="17.25" customHeight="1" x14ac:dyDescent="0.2">
      <c r="A4139" s="1611">
        <v>16</v>
      </c>
      <c r="B4139" s="1611" t="s">
        <v>7156</v>
      </c>
      <c r="C4139" s="1611" t="s">
        <v>5988</v>
      </c>
      <c r="D4139" s="1612">
        <v>0</v>
      </c>
      <c r="E4139" s="1706" t="s">
        <v>7592</v>
      </c>
      <c r="F4139" s="1613">
        <v>14000000</v>
      </c>
      <c r="G4139" s="1613">
        <v>189539985387</v>
      </c>
    </row>
    <row r="4140" spans="1:7" ht="17.25" customHeight="1" x14ac:dyDescent="0.2">
      <c r="A4140" s="1611">
        <v>16</v>
      </c>
      <c r="B4140" s="1611" t="s">
        <v>7156</v>
      </c>
      <c r="C4140" s="1611" t="s">
        <v>5485</v>
      </c>
      <c r="D4140" s="1612">
        <v>0</v>
      </c>
      <c r="E4140" s="1706" t="s">
        <v>7592</v>
      </c>
      <c r="F4140" s="1613">
        <v>13600000</v>
      </c>
      <c r="G4140" s="1613">
        <v>189553585387</v>
      </c>
    </row>
    <row r="4141" spans="1:7" ht="17.25" customHeight="1" x14ac:dyDescent="0.2">
      <c r="A4141" s="1611">
        <v>16</v>
      </c>
      <c r="B4141" s="1611" t="s">
        <v>7261</v>
      </c>
      <c r="C4141" s="1611" t="s">
        <v>3668</v>
      </c>
      <c r="D4141" s="1612">
        <v>0</v>
      </c>
      <c r="E4141" s="1706" t="s">
        <v>7592</v>
      </c>
      <c r="F4141" s="1613">
        <v>148200000</v>
      </c>
      <c r="G4141" s="1613">
        <v>189701785387</v>
      </c>
    </row>
    <row r="4142" spans="1:7" ht="17.25" customHeight="1" x14ac:dyDescent="0.2">
      <c r="A4142" s="1611">
        <v>16</v>
      </c>
      <c r="B4142" s="1611" t="s">
        <v>7203</v>
      </c>
      <c r="C4142" s="1611" t="s">
        <v>5989</v>
      </c>
      <c r="D4142" s="1612">
        <v>0</v>
      </c>
      <c r="E4142" s="1706" t="s">
        <v>7592</v>
      </c>
      <c r="F4142" s="1613">
        <v>35000000</v>
      </c>
      <c r="G4142" s="1613">
        <v>189736785387</v>
      </c>
    </row>
    <row r="4143" spans="1:7" ht="17.25" customHeight="1" x14ac:dyDescent="0.2">
      <c r="A4143" s="1611">
        <v>16</v>
      </c>
      <c r="B4143" s="1611" t="s">
        <v>7251</v>
      </c>
      <c r="C4143" s="1611" t="s">
        <v>4440</v>
      </c>
      <c r="D4143" s="1612">
        <v>0</v>
      </c>
      <c r="E4143" s="1706" t="s">
        <v>7592</v>
      </c>
      <c r="F4143" s="1613">
        <v>35430000</v>
      </c>
      <c r="G4143" s="1613">
        <v>189772215387</v>
      </c>
    </row>
    <row r="4144" spans="1:7" ht="17.25" customHeight="1" x14ac:dyDescent="0.2">
      <c r="A4144" s="1611">
        <v>16</v>
      </c>
      <c r="B4144" s="1611" t="s">
        <v>7251</v>
      </c>
      <c r="C4144" s="1611" t="s">
        <v>4440</v>
      </c>
      <c r="D4144" s="1612">
        <v>0</v>
      </c>
      <c r="E4144" s="1706" t="s">
        <v>7592</v>
      </c>
      <c r="F4144" s="1613">
        <v>35430000</v>
      </c>
      <c r="G4144" s="1613">
        <v>189807645387</v>
      </c>
    </row>
    <row r="4145" spans="1:7" ht="17.25" customHeight="1" x14ac:dyDescent="0.2">
      <c r="A4145" s="1611">
        <v>16</v>
      </c>
      <c r="B4145" s="1611" t="s">
        <v>7251</v>
      </c>
      <c r="C4145" s="1611" t="s">
        <v>4440</v>
      </c>
      <c r="D4145" s="1612">
        <v>0</v>
      </c>
      <c r="E4145" s="1706" t="s">
        <v>7592</v>
      </c>
      <c r="F4145" s="1613">
        <v>35430000</v>
      </c>
      <c r="G4145" s="1613">
        <v>189843075387</v>
      </c>
    </row>
    <row r="4146" spans="1:7" ht="17.25" customHeight="1" x14ac:dyDescent="0.2">
      <c r="A4146" s="1611">
        <v>16</v>
      </c>
      <c r="B4146" s="1611" t="s">
        <v>7176</v>
      </c>
      <c r="C4146" s="1611" t="s">
        <v>3692</v>
      </c>
      <c r="D4146" s="1612">
        <v>0</v>
      </c>
      <c r="E4146" s="1706" t="s">
        <v>7592</v>
      </c>
      <c r="F4146" s="1613">
        <v>41175000</v>
      </c>
      <c r="G4146" s="1613">
        <v>189884250387</v>
      </c>
    </row>
    <row r="4147" spans="1:7" ht="17.25" customHeight="1" x14ac:dyDescent="0.2">
      <c r="A4147" s="1611">
        <v>16</v>
      </c>
      <c r="B4147" s="1611" t="s">
        <v>7176</v>
      </c>
      <c r="C4147" s="1611" t="s">
        <v>5990</v>
      </c>
      <c r="D4147" s="1612">
        <v>0</v>
      </c>
      <c r="E4147" s="1706" t="s">
        <v>7592</v>
      </c>
      <c r="F4147" s="1613">
        <v>44545455</v>
      </c>
      <c r="G4147" s="1613">
        <v>189928795842</v>
      </c>
    </row>
    <row r="4148" spans="1:7" ht="17.25" customHeight="1" x14ac:dyDescent="0.2">
      <c r="A4148" s="1611">
        <v>16</v>
      </c>
      <c r="B4148" s="1611" t="s">
        <v>7154</v>
      </c>
      <c r="C4148" s="1611" t="s">
        <v>5991</v>
      </c>
      <c r="D4148" s="1612">
        <v>0</v>
      </c>
      <c r="E4148" s="1706" t="s">
        <v>7592</v>
      </c>
      <c r="F4148" s="1613">
        <v>51000000</v>
      </c>
      <c r="G4148" s="1613">
        <v>189979795842</v>
      </c>
    </row>
    <row r="4149" spans="1:7" ht="17.25" customHeight="1" x14ac:dyDescent="0.2">
      <c r="A4149" s="1611">
        <v>16</v>
      </c>
      <c r="B4149" s="1611" t="s">
        <v>7176</v>
      </c>
      <c r="C4149" s="1611" t="s">
        <v>5992</v>
      </c>
      <c r="D4149" s="1612">
        <v>0</v>
      </c>
      <c r="E4149" s="1706" t="s">
        <v>7592</v>
      </c>
      <c r="F4149" s="1613">
        <v>36818181</v>
      </c>
      <c r="G4149" s="1613">
        <v>190016614023</v>
      </c>
    </row>
    <row r="4150" spans="1:7" ht="17.25" customHeight="1" x14ac:dyDescent="0.2">
      <c r="A4150" s="1611">
        <v>16</v>
      </c>
      <c r="B4150" s="1611" t="s">
        <v>7156</v>
      </c>
      <c r="C4150" s="1611" t="s">
        <v>3438</v>
      </c>
      <c r="D4150" s="1612">
        <v>0</v>
      </c>
      <c r="E4150" s="1706" t="s">
        <v>7592</v>
      </c>
      <c r="F4150" s="1613">
        <v>43056000</v>
      </c>
      <c r="G4150" s="1613">
        <v>190059670023</v>
      </c>
    </row>
    <row r="4151" spans="1:7" ht="17.25" customHeight="1" x14ac:dyDescent="0.2">
      <c r="A4151" s="1611">
        <v>16</v>
      </c>
      <c r="B4151" s="1611" t="s">
        <v>7156</v>
      </c>
      <c r="C4151" s="1611" t="s">
        <v>3438</v>
      </c>
      <c r="D4151" s="1612">
        <v>0</v>
      </c>
      <c r="E4151" s="1706" t="s">
        <v>7592</v>
      </c>
      <c r="F4151" s="1613">
        <v>43056000</v>
      </c>
      <c r="G4151" s="1613">
        <v>190102726023</v>
      </c>
    </row>
    <row r="4152" spans="1:7" ht="17.25" customHeight="1" x14ac:dyDescent="0.2">
      <c r="A4152" s="1611">
        <v>16</v>
      </c>
      <c r="B4152" s="1611" t="s">
        <v>7156</v>
      </c>
      <c r="C4152" s="1611" t="s">
        <v>3438</v>
      </c>
      <c r="D4152" s="1612">
        <v>0</v>
      </c>
      <c r="E4152" s="1706" t="s">
        <v>7592</v>
      </c>
      <c r="F4152" s="1613">
        <v>43056000</v>
      </c>
      <c r="G4152" s="1613">
        <v>190145782023</v>
      </c>
    </row>
    <row r="4153" spans="1:7" ht="17.25" customHeight="1" x14ac:dyDescent="0.2">
      <c r="A4153" s="1611">
        <v>16</v>
      </c>
      <c r="B4153" s="1611" t="s">
        <v>7156</v>
      </c>
      <c r="C4153" s="1611" t="s">
        <v>3438</v>
      </c>
      <c r="D4153" s="1612">
        <v>0</v>
      </c>
      <c r="E4153" s="1706" t="s">
        <v>7592</v>
      </c>
      <c r="F4153" s="1613">
        <v>43056000</v>
      </c>
      <c r="G4153" s="1613">
        <v>190188838023</v>
      </c>
    </row>
    <row r="4154" spans="1:7" ht="17.25" customHeight="1" x14ac:dyDescent="0.2">
      <c r="A4154" s="1611">
        <v>16</v>
      </c>
      <c r="B4154" s="1611" t="s">
        <v>7156</v>
      </c>
      <c r="C4154" s="1611" t="s">
        <v>3438</v>
      </c>
      <c r="D4154" s="1612">
        <v>0</v>
      </c>
      <c r="E4154" s="1706" t="s">
        <v>7592</v>
      </c>
      <c r="F4154" s="1613">
        <v>43056000</v>
      </c>
      <c r="G4154" s="1613">
        <v>190231894023</v>
      </c>
    </row>
    <row r="4155" spans="1:7" ht="17.25" customHeight="1" x14ac:dyDescent="0.2">
      <c r="A4155" s="1611">
        <v>16</v>
      </c>
      <c r="B4155" s="1611" t="s">
        <v>7156</v>
      </c>
      <c r="C4155" s="1611" t="s">
        <v>3438</v>
      </c>
      <c r="D4155" s="1612">
        <v>0</v>
      </c>
      <c r="E4155" s="1706" t="s">
        <v>7592</v>
      </c>
      <c r="F4155" s="1613">
        <v>44493000</v>
      </c>
      <c r="G4155" s="1613">
        <v>190276387023</v>
      </c>
    </row>
    <row r="4156" spans="1:7" ht="17.25" customHeight="1" x14ac:dyDescent="0.2">
      <c r="A4156" s="1611">
        <v>16</v>
      </c>
      <c r="B4156" s="1611" t="s">
        <v>7156</v>
      </c>
      <c r="C4156" s="1611" t="s">
        <v>3438</v>
      </c>
      <c r="D4156" s="1612">
        <v>0</v>
      </c>
      <c r="E4156" s="1706" t="s">
        <v>7592</v>
      </c>
      <c r="F4156" s="1613">
        <v>44493000</v>
      </c>
      <c r="G4156" s="1613">
        <v>190320880023</v>
      </c>
    </row>
    <row r="4157" spans="1:7" ht="17.25" customHeight="1" x14ac:dyDescent="0.2">
      <c r="A4157" s="1611">
        <v>16</v>
      </c>
      <c r="B4157" s="1611" t="s">
        <v>7320</v>
      </c>
      <c r="C4157" s="1611" t="s">
        <v>3438</v>
      </c>
      <c r="D4157" s="1612">
        <v>0</v>
      </c>
      <c r="E4157" s="1706" t="s">
        <v>7592</v>
      </c>
      <c r="F4157" s="1613">
        <v>33379000</v>
      </c>
      <c r="G4157" s="1613">
        <v>190354259023</v>
      </c>
    </row>
    <row r="4158" spans="1:7" ht="17.25" customHeight="1" x14ac:dyDescent="0.2">
      <c r="A4158" s="1611">
        <v>16</v>
      </c>
      <c r="B4158" s="1611" t="s">
        <v>7320</v>
      </c>
      <c r="C4158" s="1611" t="s">
        <v>3438</v>
      </c>
      <c r="D4158" s="1612">
        <v>0</v>
      </c>
      <c r="E4158" s="1706" t="s">
        <v>7592</v>
      </c>
      <c r="F4158" s="1613">
        <v>33379000</v>
      </c>
      <c r="G4158" s="1613">
        <v>190387638023</v>
      </c>
    </row>
    <row r="4159" spans="1:7" ht="17.25" customHeight="1" x14ac:dyDescent="0.2">
      <c r="A4159" s="1611">
        <v>16</v>
      </c>
      <c r="B4159" s="1611" t="s">
        <v>7320</v>
      </c>
      <c r="C4159" s="1611" t="s">
        <v>3438</v>
      </c>
      <c r="D4159" s="1612">
        <v>0</v>
      </c>
      <c r="E4159" s="1706" t="s">
        <v>7592</v>
      </c>
      <c r="F4159" s="1613">
        <v>33379000</v>
      </c>
      <c r="G4159" s="1613">
        <v>190421017023</v>
      </c>
    </row>
    <row r="4160" spans="1:7" ht="17.25" customHeight="1" x14ac:dyDescent="0.2">
      <c r="A4160" s="1611">
        <v>16</v>
      </c>
      <c r="B4160" s="1611" t="s">
        <v>7320</v>
      </c>
      <c r="C4160" s="1611" t="s">
        <v>3438</v>
      </c>
      <c r="D4160" s="1612">
        <v>0</v>
      </c>
      <c r="E4160" s="1706" t="s">
        <v>7592</v>
      </c>
      <c r="F4160" s="1613">
        <v>33379000</v>
      </c>
      <c r="G4160" s="1613">
        <v>190454396023</v>
      </c>
    </row>
    <row r="4161" spans="1:7" ht="17.25" customHeight="1" x14ac:dyDescent="0.2">
      <c r="A4161" s="1611">
        <v>16</v>
      </c>
      <c r="B4161" s="1611" t="s">
        <v>7320</v>
      </c>
      <c r="C4161" s="1611" t="s">
        <v>3438</v>
      </c>
      <c r="D4161" s="1612">
        <v>0</v>
      </c>
      <c r="E4161" s="1706" t="s">
        <v>7592</v>
      </c>
      <c r="F4161" s="1613">
        <v>33379000</v>
      </c>
      <c r="G4161" s="1613">
        <v>190487775023</v>
      </c>
    </row>
    <row r="4162" spans="1:7" ht="17.25" customHeight="1" x14ac:dyDescent="0.2">
      <c r="A4162" s="1611">
        <v>16</v>
      </c>
      <c r="B4162" s="1611" t="s">
        <v>7320</v>
      </c>
      <c r="C4162" s="1611" t="s">
        <v>3438</v>
      </c>
      <c r="D4162" s="1612">
        <v>0</v>
      </c>
      <c r="E4162" s="1706" t="s">
        <v>7592</v>
      </c>
      <c r="F4162" s="1613">
        <v>33379000</v>
      </c>
      <c r="G4162" s="1613">
        <v>190521154023</v>
      </c>
    </row>
    <row r="4163" spans="1:7" ht="17.25" customHeight="1" x14ac:dyDescent="0.2">
      <c r="A4163" s="1611">
        <v>16</v>
      </c>
      <c r="B4163" s="1611" t="s">
        <v>7156</v>
      </c>
      <c r="C4163" s="1611" t="s">
        <v>5993</v>
      </c>
      <c r="D4163" s="1612">
        <v>0</v>
      </c>
      <c r="E4163" s="1706" t="s">
        <v>7592</v>
      </c>
      <c r="F4163" s="1613">
        <v>14150000</v>
      </c>
      <c r="G4163" s="1613">
        <v>190535304023</v>
      </c>
    </row>
    <row r="4164" spans="1:7" ht="17.25" customHeight="1" x14ac:dyDescent="0.2">
      <c r="A4164" s="1611">
        <v>16</v>
      </c>
      <c r="B4164" s="1611" t="s">
        <v>7154</v>
      </c>
      <c r="C4164" s="1611" t="s">
        <v>4210</v>
      </c>
      <c r="D4164" s="1612">
        <v>0</v>
      </c>
      <c r="E4164" s="1706" t="s">
        <v>7592</v>
      </c>
      <c r="F4164" s="1613">
        <v>1100000</v>
      </c>
      <c r="G4164" s="1613">
        <v>190536404023</v>
      </c>
    </row>
    <row r="4165" spans="1:7" ht="17.25" customHeight="1" x14ac:dyDescent="0.2">
      <c r="A4165" s="1611">
        <v>16</v>
      </c>
      <c r="B4165" s="1611" t="s">
        <v>7321</v>
      </c>
      <c r="C4165" s="1611" t="s">
        <v>3438</v>
      </c>
      <c r="D4165" s="1612">
        <v>0</v>
      </c>
      <c r="E4165" s="1706" t="s">
        <v>7592</v>
      </c>
      <c r="F4165" s="1613">
        <v>3435000</v>
      </c>
      <c r="G4165" s="1613">
        <v>190539839023</v>
      </c>
    </row>
    <row r="4166" spans="1:7" ht="17.25" customHeight="1" x14ac:dyDescent="0.2">
      <c r="A4166" s="1611">
        <v>16</v>
      </c>
      <c r="B4166" s="1611" t="s">
        <v>7321</v>
      </c>
      <c r="C4166" s="1611" t="s">
        <v>3438</v>
      </c>
      <c r="D4166" s="1612">
        <v>0</v>
      </c>
      <c r="E4166" s="1706" t="s">
        <v>7592</v>
      </c>
      <c r="F4166" s="1613">
        <v>3435000</v>
      </c>
      <c r="G4166" s="1613">
        <v>190543274023</v>
      </c>
    </row>
    <row r="4167" spans="1:7" ht="17.25" customHeight="1" x14ac:dyDescent="0.2">
      <c r="A4167" s="1611">
        <v>16</v>
      </c>
      <c r="B4167" s="1611" t="s">
        <v>7321</v>
      </c>
      <c r="C4167" s="1611" t="s">
        <v>3438</v>
      </c>
      <c r="D4167" s="1612">
        <v>0</v>
      </c>
      <c r="E4167" s="1706" t="s">
        <v>7592</v>
      </c>
      <c r="F4167" s="1613">
        <v>3435000</v>
      </c>
      <c r="G4167" s="1613">
        <v>190546709023</v>
      </c>
    </row>
    <row r="4168" spans="1:7" ht="17.25" customHeight="1" x14ac:dyDescent="0.2">
      <c r="A4168" s="1611">
        <v>16</v>
      </c>
      <c r="B4168" s="1611" t="s">
        <v>7330</v>
      </c>
      <c r="C4168" s="1611" t="s">
        <v>5994</v>
      </c>
      <c r="D4168" s="1612">
        <v>0</v>
      </c>
      <c r="E4168" s="1706" t="s">
        <v>7592</v>
      </c>
      <c r="F4168" s="1613">
        <v>37772727</v>
      </c>
      <c r="G4168" s="1613">
        <v>190584481750</v>
      </c>
    </row>
    <row r="4169" spans="1:7" ht="17.25" customHeight="1" x14ac:dyDescent="0.2">
      <c r="A4169" s="1611">
        <v>16</v>
      </c>
      <c r="B4169" s="1611" t="s">
        <v>7321</v>
      </c>
      <c r="C4169" s="1611" t="s">
        <v>3438</v>
      </c>
      <c r="D4169" s="1612">
        <v>0</v>
      </c>
      <c r="E4169" s="1706" t="s">
        <v>7592</v>
      </c>
      <c r="F4169" s="1613">
        <v>-3435000</v>
      </c>
      <c r="G4169" s="1613">
        <v>190581046750</v>
      </c>
    </row>
    <row r="4170" spans="1:7" ht="17.25" customHeight="1" x14ac:dyDescent="0.2">
      <c r="A4170" s="1611">
        <v>16</v>
      </c>
      <c r="B4170" s="1611" t="s">
        <v>7321</v>
      </c>
      <c r="C4170" s="1611" t="s">
        <v>3438</v>
      </c>
      <c r="D4170" s="1612">
        <v>0</v>
      </c>
      <c r="E4170" s="1706" t="s">
        <v>7592</v>
      </c>
      <c r="F4170" s="1613">
        <v>3598182</v>
      </c>
      <c r="G4170" s="1613">
        <v>190584644932</v>
      </c>
    </row>
    <row r="4171" spans="1:7" ht="17.25" customHeight="1" x14ac:dyDescent="0.2">
      <c r="A4171" s="1611">
        <v>16</v>
      </c>
      <c r="B4171" s="1611" t="s">
        <v>7321</v>
      </c>
      <c r="C4171" s="1611" t="s">
        <v>3438</v>
      </c>
      <c r="D4171" s="1612">
        <v>0</v>
      </c>
      <c r="E4171" s="1706" t="s">
        <v>7592</v>
      </c>
      <c r="F4171" s="1613">
        <v>-3435000</v>
      </c>
      <c r="G4171" s="1613">
        <v>190581209932</v>
      </c>
    </row>
    <row r="4172" spans="1:7" ht="17.25" customHeight="1" x14ac:dyDescent="0.2">
      <c r="A4172" s="1611">
        <v>16</v>
      </c>
      <c r="B4172" s="1611" t="s">
        <v>7321</v>
      </c>
      <c r="C4172" s="1611" t="s">
        <v>3438</v>
      </c>
      <c r="D4172" s="1612">
        <v>0</v>
      </c>
      <c r="E4172" s="1706" t="s">
        <v>7592</v>
      </c>
      <c r="F4172" s="1613">
        <v>3598182</v>
      </c>
      <c r="G4172" s="1613">
        <v>190584808114</v>
      </c>
    </row>
    <row r="4173" spans="1:7" ht="17.25" customHeight="1" x14ac:dyDescent="0.2">
      <c r="A4173" s="1611">
        <v>16</v>
      </c>
      <c r="B4173" s="1611" t="s">
        <v>7321</v>
      </c>
      <c r="C4173" s="1611" t="s">
        <v>3438</v>
      </c>
      <c r="D4173" s="1612">
        <v>0</v>
      </c>
      <c r="E4173" s="1706" t="s">
        <v>7592</v>
      </c>
      <c r="F4173" s="1613">
        <v>-3435000</v>
      </c>
      <c r="G4173" s="1613">
        <v>190581373114</v>
      </c>
    </row>
    <row r="4174" spans="1:7" ht="17.25" customHeight="1" x14ac:dyDescent="0.2">
      <c r="A4174" s="1611">
        <v>16</v>
      </c>
      <c r="B4174" s="1611" t="s">
        <v>7321</v>
      </c>
      <c r="C4174" s="1611" t="s">
        <v>3438</v>
      </c>
      <c r="D4174" s="1612">
        <v>0</v>
      </c>
      <c r="E4174" s="1706" t="s">
        <v>7592</v>
      </c>
      <c r="F4174" s="1613">
        <v>3598182</v>
      </c>
      <c r="G4174" s="1613">
        <v>190584971296</v>
      </c>
    </row>
    <row r="4175" spans="1:7" ht="17.25" customHeight="1" x14ac:dyDescent="0.2">
      <c r="A4175" s="1611">
        <v>16</v>
      </c>
      <c r="B4175" s="1611" t="s">
        <v>5995</v>
      </c>
      <c r="C4175" s="1611" t="s">
        <v>5996</v>
      </c>
      <c r="D4175" s="1612">
        <v>0</v>
      </c>
      <c r="E4175" s="1706" t="s">
        <v>7592</v>
      </c>
      <c r="F4175" s="1613">
        <v>5572727</v>
      </c>
      <c r="G4175" s="1613">
        <v>190590544023</v>
      </c>
    </row>
    <row r="4176" spans="1:7" ht="17.25" customHeight="1" x14ac:dyDescent="0.2">
      <c r="A4176" s="1611">
        <v>16</v>
      </c>
      <c r="B4176" s="1611" t="s">
        <v>7251</v>
      </c>
      <c r="C4176" s="1611" t="s">
        <v>5997</v>
      </c>
      <c r="D4176" s="1612">
        <v>0</v>
      </c>
      <c r="E4176" s="1706" t="s">
        <v>7592</v>
      </c>
      <c r="F4176" s="1613">
        <v>17765000</v>
      </c>
      <c r="G4176" s="1613">
        <v>190608309023</v>
      </c>
    </row>
    <row r="4177" spans="1:7" ht="17.25" customHeight="1" x14ac:dyDescent="0.2">
      <c r="A4177" s="1611">
        <v>16</v>
      </c>
      <c r="B4177" s="1611" t="s">
        <v>7176</v>
      </c>
      <c r="C4177" s="1611" t="s">
        <v>4943</v>
      </c>
      <c r="D4177" s="1612">
        <v>0</v>
      </c>
      <c r="E4177" s="1706" t="s">
        <v>7592</v>
      </c>
      <c r="F4177" s="1613">
        <v>40100000</v>
      </c>
      <c r="G4177" s="1613">
        <v>190648409023</v>
      </c>
    </row>
    <row r="4178" spans="1:7" ht="17.25" customHeight="1" x14ac:dyDescent="0.2">
      <c r="A4178" s="1611">
        <v>16</v>
      </c>
      <c r="B4178" s="1611" t="s">
        <v>7176</v>
      </c>
      <c r="C4178" s="1611" t="s">
        <v>5998</v>
      </c>
      <c r="D4178" s="1612">
        <v>0</v>
      </c>
      <c r="E4178" s="1706" t="s">
        <v>7592</v>
      </c>
      <c r="F4178" s="1613">
        <v>37000000</v>
      </c>
      <c r="G4178" s="1613">
        <v>190685409023</v>
      </c>
    </row>
    <row r="4179" spans="1:7" ht="17.25" customHeight="1" x14ac:dyDescent="0.2">
      <c r="A4179" s="1611">
        <v>16</v>
      </c>
      <c r="B4179" s="1611" t="s">
        <v>7156</v>
      </c>
      <c r="C4179" s="1611" t="s">
        <v>5999</v>
      </c>
      <c r="D4179" s="1612">
        <v>0</v>
      </c>
      <c r="E4179" s="1706" t="s">
        <v>7592</v>
      </c>
      <c r="F4179" s="1613">
        <v>44223000</v>
      </c>
      <c r="G4179" s="1613">
        <v>190729632023</v>
      </c>
    </row>
    <row r="4180" spans="1:7" ht="17.25" customHeight="1" x14ac:dyDescent="0.2">
      <c r="A4180" s="1611">
        <v>16</v>
      </c>
      <c r="B4180" s="1611" t="s">
        <v>7186</v>
      </c>
      <c r="C4180" s="1611" t="s">
        <v>6000</v>
      </c>
      <c r="D4180" s="1612">
        <v>0</v>
      </c>
      <c r="E4180" s="1706" t="s">
        <v>7592</v>
      </c>
      <c r="F4180" s="1613">
        <v>53000000</v>
      </c>
      <c r="G4180" s="1613">
        <v>190782632023</v>
      </c>
    </row>
    <row r="4181" spans="1:7" ht="17.25" customHeight="1" x14ac:dyDescent="0.2">
      <c r="A4181" s="1611">
        <v>16</v>
      </c>
      <c r="B4181" s="1611" t="s">
        <v>6001</v>
      </c>
      <c r="C4181" s="1611" t="s">
        <v>5806</v>
      </c>
      <c r="D4181" s="1612">
        <v>0</v>
      </c>
      <c r="E4181" s="1706" t="s">
        <v>7592</v>
      </c>
      <c r="F4181" s="1613">
        <v>220000000</v>
      </c>
      <c r="G4181" s="1613">
        <v>191002632023</v>
      </c>
    </row>
    <row r="4182" spans="1:7" ht="17.25" customHeight="1" x14ac:dyDescent="0.2">
      <c r="A4182" s="1611">
        <v>16</v>
      </c>
      <c r="B4182" s="1611" t="s">
        <v>7203</v>
      </c>
      <c r="C4182" s="1611" t="s">
        <v>6002</v>
      </c>
      <c r="D4182" s="1612">
        <v>0</v>
      </c>
      <c r="E4182" s="1706" t="s">
        <v>7592</v>
      </c>
      <c r="F4182" s="1613">
        <v>36500000</v>
      </c>
      <c r="G4182" s="1613">
        <v>191039132023</v>
      </c>
    </row>
    <row r="4183" spans="1:7" ht="17.25" customHeight="1" x14ac:dyDescent="0.2">
      <c r="A4183" s="1611">
        <v>16</v>
      </c>
      <c r="B4183" s="1611" t="s">
        <v>7154</v>
      </c>
      <c r="C4183" s="1611" t="s">
        <v>6003</v>
      </c>
      <c r="D4183" s="1612">
        <v>0</v>
      </c>
      <c r="E4183" s="1706" t="s">
        <v>7592</v>
      </c>
      <c r="F4183" s="1613">
        <v>50909091</v>
      </c>
      <c r="G4183" s="1613">
        <v>191090041114</v>
      </c>
    </row>
    <row r="4184" spans="1:7" ht="17.25" customHeight="1" x14ac:dyDescent="0.2">
      <c r="A4184" s="1611">
        <v>16</v>
      </c>
      <c r="B4184" s="1611" t="s">
        <v>7186</v>
      </c>
      <c r="C4184" s="1611" t="s">
        <v>6004</v>
      </c>
      <c r="D4184" s="1612">
        <v>0</v>
      </c>
      <c r="E4184" s="1706" t="s">
        <v>7592</v>
      </c>
      <c r="F4184" s="1613">
        <v>53181818</v>
      </c>
      <c r="G4184" s="1613">
        <v>191143222932</v>
      </c>
    </row>
    <row r="4185" spans="1:7" ht="17.25" customHeight="1" x14ac:dyDescent="0.2">
      <c r="A4185" s="1611">
        <v>16</v>
      </c>
      <c r="B4185" s="1611" t="s">
        <v>7331</v>
      </c>
      <c r="C4185" s="1611" t="s">
        <v>6005</v>
      </c>
      <c r="D4185" s="1612">
        <v>0</v>
      </c>
      <c r="E4185" s="1706" t="s">
        <v>7592</v>
      </c>
      <c r="F4185" s="1613">
        <v>40000000</v>
      </c>
      <c r="G4185" s="1613">
        <v>191183222932</v>
      </c>
    </row>
    <row r="4186" spans="1:7" ht="17.25" customHeight="1" x14ac:dyDescent="0.2">
      <c r="A4186" s="1611">
        <v>16</v>
      </c>
      <c r="B4186" s="1611" t="s">
        <v>7176</v>
      </c>
      <c r="C4186" s="1611" t="s">
        <v>6006</v>
      </c>
      <c r="D4186" s="1612">
        <v>0</v>
      </c>
      <c r="E4186" s="1706" t="s">
        <v>7592</v>
      </c>
      <c r="F4186" s="1613">
        <v>39850000</v>
      </c>
      <c r="G4186" s="1613">
        <v>191223072932</v>
      </c>
    </row>
    <row r="4187" spans="1:7" ht="17.25" customHeight="1" x14ac:dyDescent="0.2">
      <c r="A4187" s="1611">
        <v>16</v>
      </c>
      <c r="B4187" s="1611" t="s">
        <v>7154</v>
      </c>
      <c r="C4187" s="1611" t="s">
        <v>4210</v>
      </c>
      <c r="D4187" s="1612">
        <v>0</v>
      </c>
      <c r="E4187" s="1706" t="s">
        <v>7592</v>
      </c>
      <c r="F4187" s="1613">
        <v>51898182</v>
      </c>
      <c r="G4187" s="1613">
        <v>191274971114</v>
      </c>
    </row>
    <row r="4188" spans="1:7" ht="17.25" customHeight="1" x14ac:dyDescent="0.2">
      <c r="A4188" s="1611">
        <v>16</v>
      </c>
      <c r="B4188" s="1611" t="s">
        <v>7154</v>
      </c>
      <c r="C4188" s="1611" t="s">
        <v>6007</v>
      </c>
      <c r="D4188" s="1612">
        <v>0</v>
      </c>
      <c r="E4188" s="1706" t="s">
        <v>7592</v>
      </c>
      <c r="F4188" s="1613">
        <v>51500000</v>
      </c>
      <c r="G4188" s="1613">
        <v>191326471114</v>
      </c>
    </row>
    <row r="4189" spans="1:7" ht="17.25" customHeight="1" x14ac:dyDescent="0.2">
      <c r="A4189" s="1611">
        <v>16</v>
      </c>
      <c r="B4189" s="1611" t="s">
        <v>7170</v>
      </c>
      <c r="C4189" s="1611" t="s">
        <v>3395</v>
      </c>
      <c r="D4189" s="1612">
        <v>0</v>
      </c>
      <c r="E4189" s="1706" t="s">
        <v>7592</v>
      </c>
      <c r="F4189" s="1613">
        <v>175000000</v>
      </c>
      <c r="G4189" s="1613">
        <v>191501471114</v>
      </c>
    </row>
    <row r="4190" spans="1:7" ht="17.25" customHeight="1" x14ac:dyDescent="0.2">
      <c r="A4190" s="1611">
        <v>16</v>
      </c>
      <c r="B4190" s="1611" t="s">
        <v>7156</v>
      </c>
      <c r="C4190" s="1611" t="s">
        <v>6008</v>
      </c>
      <c r="D4190" s="1612">
        <v>0</v>
      </c>
      <c r="E4190" s="1706" t="s">
        <v>7592</v>
      </c>
      <c r="F4190" s="1613">
        <v>14500000</v>
      </c>
      <c r="G4190" s="1613">
        <v>191515971114</v>
      </c>
    </row>
    <row r="4191" spans="1:7" ht="17.25" customHeight="1" x14ac:dyDescent="0.2">
      <c r="A4191" s="1611">
        <v>16</v>
      </c>
      <c r="B4191" s="1611" t="s">
        <v>7156</v>
      </c>
      <c r="C4191" s="1611" t="s">
        <v>6009</v>
      </c>
      <c r="D4191" s="1612">
        <v>0</v>
      </c>
      <c r="E4191" s="1706" t="s">
        <v>7592</v>
      </c>
      <c r="F4191" s="1613">
        <v>13950000</v>
      </c>
      <c r="G4191" s="1613">
        <v>191529921114</v>
      </c>
    </row>
    <row r="4192" spans="1:7" ht="17.25" customHeight="1" x14ac:dyDescent="0.2">
      <c r="A4192" s="1611">
        <v>16</v>
      </c>
      <c r="B4192" s="1611" t="s">
        <v>7156</v>
      </c>
      <c r="C4192" s="1611" t="s">
        <v>6010</v>
      </c>
      <c r="D4192" s="1612">
        <v>0</v>
      </c>
      <c r="E4192" s="1706" t="s">
        <v>7592</v>
      </c>
      <c r="F4192" s="1613">
        <v>15013636</v>
      </c>
      <c r="G4192" s="1613">
        <v>191544934750</v>
      </c>
    </row>
    <row r="4193" spans="1:7" ht="17.25" customHeight="1" x14ac:dyDescent="0.2">
      <c r="A4193" s="1611">
        <v>16</v>
      </c>
      <c r="B4193" s="1611" t="s">
        <v>7156</v>
      </c>
      <c r="C4193" s="1611" t="s">
        <v>6011</v>
      </c>
      <c r="D4193" s="1612">
        <v>0</v>
      </c>
      <c r="E4193" s="1706" t="s">
        <v>7592</v>
      </c>
      <c r="F4193" s="1613">
        <v>13350000</v>
      </c>
      <c r="G4193" s="1613">
        <v>191558284750</v>
      </c>
    </row>
    <row r="4194" spans="1:7" ht="17.25" customHeight="1" x14ac:dyDescent="0.2">
      <c r="A4194" s="1611">
        <v>16</v>
      </c>
      <c r="B4194" s="1611" t="s">
        <v>7203</v>
      </c>
      <c r="C4194" s="1611" t="s">
        <v>6012</v>
      </c>
      <c r="D4194" s="1612">
        <v>0</v>
      </c>
      <c r="E4194" s="1706" t="s">
        <v>7592</v>
      </c>
      <c r="F4194" s="1613">
        <v>36500000</v>
      </c>
      <c r="G4194" s="1613">
        <v>191594784750</v>
      </c>
    </row>
    <row r="4195" spans="1:7" ht="17.25" customHeight="1" x14ac:dyDescent="0.2">
      <c r="A4195" s="1611">
        <v>16</v>
      </c>
      <c r="B4195" s="1611" t="s">
        <v>7176</v>
      </c>
      <c r="C4195" s="1611" t="s">
        <v>6013</v>
      </c>
      <c r="D4195" s="1612">
        <v>0</v>
      </c>
      <c r="E4195" s="1706" t="s">
        <v>7592</v>
      </c>
      <c r="F4195" s="1613">
        <v>39090909</v>
      </c>
      <c r="G4195" s="1613">
        <v>191633875659</v>
      </c>
    </row>
    <row r="4196" spans="1:7" ht="17.25" customHeight="1" x14ac:dyDescent="0.2">
      <c r="A4196" s="1611">
        <v>16</v>
      </c>
      <c r="B4196" s="1611" t="s">
        <v>7176</v>
      </c>
      <c r="C4196" s="1611" t="s">
        <v>6014</v>
      </c>
      <c r="D4196" s="1612">
        <v>0</v>
      </c>
      <c r="E4196" s="1706" t="s">
        <v>7592</v>
      </c>
      <c r="F4196" s="1613">
        <v>36516000</v>
      </c>
      <c r="G4196" s="1613">
        <v>191670391659</v>
      </c>
    </row>
    <row r="4197" spans="1:7" ht="17.25" customHeight="1" x14ac:dyDescent="0.2">
      <c r="A4197" s="1611">
        <v>16</v>
      </c>
      <c r="B4197" s="1611" t="s">
        <v>7176</v>
      </c>
      <c r="C4197" s="1611" t="s">
        <v>6015</v>
      </c>
      <c r="D4197" s="1612">
        <v>0</v>
      </c>
      <c r="E4197" s="1706" t="s">
        <v>7592</v>
      </c>
      <c r="F4197" s="1613">
        <v>41500000</v>
      </c>
      <c r="G4197" s="1613">
        <v>191711891659</v>
      </c>
    </row>
    <row r="4198" spans="1:7" ht="17.25" customHeight="1" x14ac:dyDescent="0.2">
      <c r="A4198" s="1611">
        <v>16</v>
      </c>
      <c r="B4198" s="1611" t="s">
        <v>6016</v>
      </c>
      <c r="C4198" s="1611" t="s">
        <v>4305</v>
      </c>
      <c r="D4198" s="1612">
        <v>0</v>
      </c>
      <c r="E4198" s="1612" t="s">
        <v>3296</v>
      </c>
      <c r="F4198" s="1613">
        <v>607717</v>
      </c>
      <c r="G4198" s="1613">
        <v>191712499376</v>
      </c>
    </row>
    <row r="4199" spans="1:7" ht="17.25" customHeight="1" x14ac:dyDescent="0.2">
      <c r="A4199" s="1611">
        <v>16</v>
      </c>
      <c r="B4199" s="1611" t="s">
        <v>7176</v>
      </c>
      <c r="C4199" s="1611" t="s">
        <v>6017</v>
      </c>
      <c r="D4199" s="1612">
        <v>0</v>
      </c>
      <c r="E4199" s="1706" t="s">
        <v>7592</v>
      </c>
      <c r="F4199" s="1613">
        <v>42727273</v>
      </c>
      <c r="G4199" s="1613">
        <v>191755226649</v>
      </c>
    </row>
    <row r="4200" spans="1:7" ht="17.25" customHeight="1" x14ac:dyDescent="0.2">
      <c r="A4200" s="1611">
        <v>16</v>
      </c>
      <c r="B4200" s="1611" t="s">
        <v>7203</v>
      </c>
      <c r="C4200" s="1611" t="s">
        <v>6018</v>
      </c>
      <c r="D4200" s="1612">
        <v>0</v>
      </c>
      <c r="E4200" s="1706" t="s">
        <v>7592</v>
      </c>
      <c r="F4200" s="1613">
        <v>38000000</v>
      </c>
      <c r="G4200" s="1613">
        <v>191793226649</v>
      </c>
    </row>
    <row r="4201" spans="1:7" ht="17.25" customHeight="1" x14ac:dyDescent="0.2">
      <c r="A4201" s="1611">
        <v>16</v>
      </c>
      <c r="B4201" s="1611" t="s">
        <v>7203</v>
      </c>
      <c r="C4201" s="1611" t="s">
        <v>6019</v>
      </c>
      <c r="D4201" s="1612">
        <v>0</v>
      </c>
      <c r="E4201" s="1706" t="s">
        <v>7592</v>
      </c>
      <c r="F4201" s="1613">
        <v>38000000</v>
      </c>
      <c r="G4201" s="1613">
        <v>191831226649</v>
      </c>
    </row>
    <row r="4202" spans="1:7" ht="17.25" customHeight="1" x14ac:dyDescent="0.2">
      <c r="A4202" s="1611">
        <v>16</v>
      </c>
      <c r="B4202" s="1611" t="s">
        <v>7176</v>
      </c>
      <c r="C4202" s="1611" t="s">
        <v>6020</v>
      </c>
      <c r="D4202" s="1612">
        <v>0</v>
      </c>
      <c r="E4202" s="1706" t="s">
        <v>7592</v>
      </c>
      <c r="F4202" s="1613">
        <v>39500000</v>
      </c>
      <c r="G4202" s="1613">
        <v>191870726649</v>
      </c>
    </row>
    <row r="4203" spans="1:7" ht="17.25" customHeight="1" x14ac:dyDescent="0.2">
      <c r="A4203" s="1611">
        <v>16</v>
      </c>
      <c r="B4203" s="1611" t="s">
        <v>7176</v>
      </c>
      <c r="C4203" s="1611" t="s">
        <v>6021</v>
      </c>
      <c r="D4203" s="1612">
        <v>0</v>
      </c>
      <c r="E4203" s="1706" t="s">
        <v>7592</v>
      </c>
      <c r="F4203" s="1613">
        <v>41000000</v>
      </c>
      <c r="G4203" s="1613">
        <v>191911726649</v>
      </c>
    </row>
    <row r="4204" spans="1:7" ht="17.25" customHeight="1" x14ac:dyDescent="0.2">
      <c r="A4204" s="1611">
        <v>16</v>
      </c>
      <c r="B4204" s="1611" t="s">
        <v>7154</v>
      </c>
      <c r="C4204" s="1611" t="s">
        <v>5772</v>
      </c>
      <c r="D4204" s="1612">
        <v>0</v>
      </c>
      <c r="E4204" s="1706" t="s">
        <v>7592</v>
      </c>
      <c r="F4204" s="1613">
        <v>50500000</v>
      </c>
      <c r="G4204" s="1613">
        <v>191962226649</v>
      </c>
    </row>
    <row r="4205" spans="1:7" ht="17.25" customHeight="1" x14ac:dyDescent="0.2">
      <c r="A4205" s="1611">
        <v>16</v>
      </c>
      <c r="B4205" s="1611" t="s">
        <v>7154</v>
      </c>
      <c r="C4205" s="1611" t="s">
        <v>4210</v>
      </c>
      <c r="D4205" s="1612">
        <v>0</v>
      </c>
      <c r="E4205" s="1706" t="s">
        <v>7592</v>
      </c>
      <c r="F4205" s="1613">
        <v>-1100000</v>
      </c>
      <c r="G4205" s="1613">
        <v>191961126649</v>
      </c>
    </row>
    <row r="4206" spans="1:7" ht="17.25" customHeight="1" x14ac:dyDescent="0.2">
      <c r="A4206" s="1611">
        <v>16</v>
      </c>
      <c r="B4206" s="1611" t="s">
        <v>7154</v>
      </c>
      <c r="C4206" s="1611" t="s">
        <v>4210</v>
      </c>
      <c r="D4206" s="1612">
        <v>0</v>
      </c>
      <c r="E4206" s="1706" t="s">
        <v>7592</v>
      </c>
      <c r="F4206" s="1613">
        <v>1100000</v>
      </c>
      <c r="G4206" s="1613">
        <v>191962226649</v>
      </c>
    </row>
    <row r="4207" spans="1:7" ht="17.25" customHeight="1" x14ac:dyDescent="0.2">
      <c r="A4207" s="1611">
        <v>16</v>
      </c>
      <c r="B4207" s="1611" t="s">
        <v>7251</v>
      </c>
      <c r="C4207" s="1611" t="s">
        <v>6022</v>
      </c>
      <c r="D4207" s="1612">
        <v>0</v>
      </c>
      <c r="E4207" s="1706" t="s">
        <v>7592</v>
      </c>
      <c r="F4207" s="1613">
        <v>35000000</v>
      </c>
      <c r="G4207" s="1613">
        <v>191997226649</v>
      </c>
    </row>
    <row r="4208" spans="1:7" ht="17.25" customHeight="1" x14ac:dyDescent="0.2">
      <c r="A4208" s="1611">
        <v>16</v>
      </c>
      <c r="B4208" s="1611" t="s">
        <v>7154</v>
      </c>
      <c r="C4208" s="1611" t="s">
        <v>6023</v>
      </c>
      <c r="D4208" s="1612">
        <v>0</v>
      </c>
      <c r="E4208" s="1706" t="s">
        <v>7592</v>
      </c>
      <c r="F4208" s="1613">
        <v>49500000</v>
      </c>
      <c r="G4208" s="1613">
        <v>192046726649</v>
      </c>
    </row>
    <row r="4209" spans="1:7" ht="17.25" customHeight="1" x14ac:dyDescent="0.2">
      <c r="A4209" s="1611">
        <v>16</v>
      </c>
      <c r="B4209" s="1611" t="s">
        <v>7176</v>
      </c>
      <c r="C4209" s="1611" t="s">
        <v>6024</v>
      </c>
      <c r="D4209" s="1612">
        <v>0</v>
      </c>
      <c r="E4209" s="1706" t="s">
        <v>7592</v>
      </c>
      <c r="F4209" s="1613">
        <v>37727272</v>
      </c>
      <c r="G4209" s="1613">
        <v>192084453921</v>
      </c>
    </row>
    <row r="4210" spans="1:7" ht="17.25" customHeight="1" x14ac:dyDescent="0.2">
      <c r="A4210" s="1611">
        <v>16</v>
      </c>
      <c r="B4210" s="1611" t="s">
        <v>7176</v>
      </c>
      <c r="C4210" s="1611" t="s">
        <v>6025</v>
      </c>
      <c r="D4210" s="1612">
        <v>0</v>
      </c>
      <c r="E4210" s="1706" t="s">
        <v>7592</v>
      </c>
      <c r="F4210" s="1613">
        <v>40909091</v>
      </c>
      <c r="G4210" s="1613">
        <v>192125363012</v>
      </c>
    </row>
    <row r="4211" spans="1:7" ht="17.25" customHeight="1" x14ac:dyDescent="0.2">
      <c r="A4211" s="1611">
        <v>16</v>
      </c>
      <c r="B4211" s="1611" t="s">
        <v>7176</v>
      </c>
      <c r="C4211" s="1611" t="s">
        <v>6026</v>
      </c>
      <c r="D4211" s="1612">
        <v>0</v>
      </c>
      <c r="E4211" s="1706" t="s">
        <v>7592</v>
      </c>
      <c r="F4211" s="1613">
        <v>37000000</v>
      </c>
      <c r="G4211" s="1613">
        <v>192162363012</v>
      </c>
    </row>
    <row r="4212" spans="1:7" ht="17.25" customHeight="1" x14ac:dyDescent="0.2">
      <c r="A4212" s="1611">
        <v>16</v>
      </c>
      <c r="B4212" s="1611" t="s">
        <v>7176</v>
      </c>
      <c r="C4212" s="1611" t="s">
        <v>6027</v>
      </c>
      <c r="D4212" s="1612">
        <v>0</v>
      </c>
      <c r="E4212" s="1706" t="s">
        <v>7592</v>
      </c>
      <c r="F4212" s="1613">
        <v>39115000</v>
      </c>
      <c r="G4212" s="1613">
        <v>192201478012</v>
      </c>
    </row>
    <row r="4213" spans="1:7" ht="17.25" customHeight="1" x14ac:dyDescent="0.2">
      <c r="A4213" s="1611">
        <v>16</v>
      </c>
      <c r="B4213" s="1611" t="s">
        <v>7332</v>
      </c>
      <c r="C4213" s="1611" t="s">
        <v>3438</v>
      </c>
      <c r="D4213" s="1612">
        <v>0</v>
      </c>
      <c r="E4213" s="1706" t="s">
        <v>7592</v>
      </c>
      <c r="F4213" s="1613">
        <v>47940000</v>
      </c>
      <c r="G4213" s="1613">
        <v>192249418012</v>
      </c>
    </row>
    <row r="4214" spans="1:7" ht="17.25" customHeight="1" x14ac:dyDescent="0.2">
      <c r="A4214" s="1611">
        <v>16</v>
      </c>
      <c r="B4214" s="1611" t="s">
        <v>7332</v>
      </c>
      <c r="C4214" s="1611" t="s">
        <v>3438</v>
      </c>
      <c r="D4214" s="1612">
        <v>0</v>
      </c>
      <c r="E4214" s="1706" t="s">
        <v>7592</v>
      </c>
      <c r="F4214" s="1613">
        <v>47940000</v>
      </c>
      <c r="G4214" s="1613">
        <v>192297358012</v>
      </c>
    </row>
    <row r="4215" spans="1:7" ht="17.25" customHeight="1" x14ac:dyDescent="0.2">
      <c r="A4215" s="1611">
        <v>16</v>
      </c>
      <c r="B4215" s="1611" t="s">
        <v>7332</v>
      </c>
      <c r="C4215" s="1611" t="s">
        <v>3438</v>
      </c>
      <c r="D4215" s="1612">
        <v>0</v>
      </c>
      <c r="E4215" s="1706" t="s">
        <v>7592</v>
      </c>
      <c r="F4215" s="1613">
        <v>47940000</v>
      </c>
      <c r="G4215" s="1613">
        <v>192345298012</v>
      </c>
    </row>
    <row r="4216" spans="1:7" ht="17.25" customHeight="1" x14ac:dyDescent="0.2">
      <c r="A4216" s="1611">
        <v>16</v>
      </c>
      <c r="B4216" s="1611" t="s">
        <v>7332</v>
      </c>
      <c r="C4216" s="1611" t="s">
        <v>3438</v>
      </c>
      <c r="D4216" s="1612">
        <v>0</v>
      </c>
      <c r="E4216" s="1706" t="s">
        <v>7592</v>
      </c>
      <c r="F4216" s="1613">
        <v>47940000</v>
      </c>
      <c r="G4216" s="1613">
        <v>192393238012</v>
      </c>
    </row>
    <row r="4217" spans="1:7" ht="17.25" customHeight="1" x14ac:dyDescent="0.2">
      <c r="A4217" s="1611">
        <v>16</v>
      </c>
      <c r="B4217" s="1611" t="s">
        <v>7332</v>
      </c>
      <c r="C4217" s="1611" t="s">
        <v>3438</v>
      </c>
      <c r="D4217" s="1612">
        <v>0</v>
      </c>
      <c r="E4217" s="1706" t="s">
        <v>7592</v>
      </c>
      <c r="F4217" s="1613">
        <v>47940000</v>
      </c>
      <c r="G4217" s="1613">
        <v>192441178012</v>
      </c>
    </row>
    <row r="4218" spans="1:7" ht="17.25" customHeight="1" x14ac:dyDescent="0.2">
      <c r="A4218" s="1611">
        <v>16</v>
      </c>
      <c r="B4218" s="1611" t="s">
        <v>7332</v>
      </c>
      <c r="C4218" s="1611" t="s">
        <v>3438</v>
      </c>
      <c r="D4218" s="1612">
        <v>0</v>
      </c>
      <c r="E4218" s="1706" t="s">
        <v>7592</v>
      </c>
      <c r="F4218" s="1613">
        <v>47940000</v>
      </c>
      <c r="G4218" s="1613">
        <v>192489118012</v>
      </c>
    </row>
    <row r="4219" spans="1:7" ht="17.25" customHeight="1" x14ac:dyDescent="0.2">
      <c r="A4219" s="1611">
        <v>16</v>
      </c>
      <c r="B4219" s="1611" t="s">
        <v>7156</v>
      </c>
      <c r="C4219" s="1611" t="s">
        <v>3438</v>
      </c>
      <c r="D4219" s="1612">
        <v>0</v>
      </c>
      <c r="E4219" s="1706" t="s">
        <v>7592</v>
      </c>
      <c r="F4219" s="1613">
        <v>35000000</v>
      </c>
      <c r="G4219" s="1613">
        <v>192524118012</v>
      </c>
    </row>
    <row r="4220" spans="1:7" ht="17.25" customHeight="1" x14ac:dyDescent="0.2">
      <c r="A4220" s="1611">
        <v>16</v>
      </c>
      <c r="B4220" s="1611" t="s">
        <v>7176</v>
      </c>
      <c r="C4220" s="1611" t="s">
        <v>6028</v>
      </c>
      <c r="D4220" s="1612">
        <v>0</v>
      </c>
      <c r="E4220" s="1706" t="s">
        <v>7592</v>
      </c>
      <c r="F4220" s="1613">
        <v>40500000</v>
      </c>
      <c r="G4220" s="1613">
        <v>192564618012</v>
      </c>
    </row>
    <row r="4221" spans="1:7" ht="17.25" customHeight="1" x14ac:dyDescent="0.2">
      <c r="A4221" s="1611">
        <v>16</v>
      </c>
      <c r="B4221" s="1611" t="s">
        <v>7203</v>
      </c>
      <c r="C4221" s="1611" t="s">
        <v>6029</v>
      </c>
      <c r="D4221" s="1612">
        <v>0</v>
      </c>
      <c r="E4221" s="1706" t="s">
        <v>7592</v>
      </c>
      <c r="F4221" s="1613">
        <v>16856000</v>
      </c>
      <c r="G4221" s="1613">
        <v>192581474012</v>
      </c>
    </row>
    <row r="4222" spans="1:7" ht="17.25" customHeight="1" x14ac:dyDescent="0.2">
      <c r="A4222" s="1611">
        <v>16</v>
      </c>
      <c r="B4222" s="1611" t="s">
        <v>7156</v>
      </c>
      <c r="C4222" s="1611" t="s">
        <v>6030</v>
      </c>
      <c r="D4222" s="1612">
        <v>0</v>
      </c>
      <c r="E4222" s="1706" t="s">
        <v>7592</v>
      </c>
      <c r="F4222" s="1613">
        <v>14000000</v>
      </c>
      <c r="G4222" s="1613">
        <v>192595474012</v>
      </c>
    </row>
    <row r="4223" spans="1:7" ht="17.25" customHeight="1" x14ac:dyDescent="0.2">
      <c r="A4223" s="1611">
        <v>16</v>
      </c>
      <c r="B4223" s="1611" t="s">
        <v>7154</v>
      </c>
      <c r="C4223" s="1611" t="s">
        <v>6031</v>
      </c>
      <c r="D4223" s="1612">
        <v>0</v>
      </c>
      <c r="E4223" s="1706" t="s">
        <v>7592</v>
      </c>
      <c r="F4223" s="1613">
        <v>50700000</v>
      </c>
      <c r="G4223" s="1613">
        <v>192646174012</v>
      </c>
    </row>
    <row r="4224" spans="1:7" ht="17.25" customHeight="1" x14ac:dyDescent="0.2">
      <c r="A4224" s="1611">
        <v>16</v>
      </c>
      <c r="B4224" s="1611" t="s">
        <v>7176</v>
      </c>
      <c r="C4224" s="1611" t="s">
        <v>6032</v>
      </c>
      <c r="D4224" s="1612">
        <v>0</v>
      </c>
      <c r="E4224" s="1706" t="s">
        <v>7592</v>
      </c>
      <c r="F4224" s="1613">
        <v>39090909</v>
      </c>
      <c r="G4224" s="1613">
        <v>192685264921</v>
      </c>
    </row>
    <row r="4225" spans="1:7" ht="17.25" customHeight="1" x14ac:dyDescent="0.2">
      <c r="A4225" s="1611">
        <v>16</v>
      </c>
      <c r="B4225" s="1611" t="s">
        <v>7203</v>
      </c>
      <c r="C4225" s="1611" t="s">
        <v>6033</v>
      </c>
      <c r="D4225" s="1612">
        <v>0</v>
      </c>
      <c r="E4225" s="1706" t="s">
        <v>7592</v>
      </c>
      <c r="F4225" s="1613">
        <v>16856000</v>
      </c>
      <c r="G4225" s="1613">
        <v>192702120921</v>
      </c>
    </row>
    <row r="4226" spans="1:7" ht="17.25" customHeight="1" x14ac:dyDescent="0.2">
      <c r="A4226" s="1611">
        <v>16</v>
      </c>
      <c r="B4226" s="1611" t="s">
        <v>7203</v>
      </c>
      <c r="C4226" s="1611" t="s">
        <v>6034</v>
      </c>
      <c r="D4226" s="1612">
        <v>0</v>
      </c>
      <c r="E4226" s="1706" t="s">
        <v>7592</v>
      </c>
      <c r="F4226" s="1613">
        <v>35900000</v>
      </c>
      <c r="G4226" s="1613">
        <v>192738020921</v>
      </c>
    </row>
    <row r="4227" spans="1:7" ht="17.25" customHeight="1" x14ac:dyDescent="0.2">
      <c r="A4227" s="1611">
        <v>16</v>
      </c>
      <c r="B4227" s="1611" t="s">
        <v>7282</v>
      </c>
      <c r="C4227" s="1611" t="s">
        <v>5165</v>
      </c>
      <c r="D4227" s="1612">
        <v>0</v>
      </c>
      <c r="E4227" s="1706" t="s">
        <v>7592</v>
      </c>
      <c r="F4227" s="1613">
        <v>159000000</v>
      </c>
      <c r="G4227" s="1613">
        <v>192897020921</v>
      </c>
    </row>
    <row r="4228" spans="1:7" ht="17.25" customHeight="1" x14ac:dyDescent="0.2">
      <c r="A4228" s="1611">
        <v>16</v>
      </c>
      <c r="B4228" s="1611" t="s">
        <v>7156</v>
      </c>
      <c r="C4228" s="1611" t="s">
        <v>6035</v>
      </c>
      <c r="D4228" s="1612">
        <v>0</v>
      </c>
      <c r="E4228" s="1706" t="s">
        <v>7592</v>
      </c>
      <c r="F4228" s="1613">
        <v>47000000</v>
      </c>
      <c r="G4228" s="1613">
        <v>192944020921</v>
      </c>
    </row>
    <row r="4229" spans="1:7" ht="17.25" customHeight="1" x14ac:dyDescent="0.2">
      <c r="A4229" s="1611">
        <v>16</v>
      </c>
      <c r="B4229" s="1611" t="s">
        <v>7252</v>
      </c>
      <c r="C4229" s="1611" t="s">
        <v>6036</v>
      </c>
      <c r="D4229" s="1612">
        <v>0</v>
      </c>
      <c r="E4229" s="1706" t="s">
        <v>7592</v>
      </c>
      <c r="F4229" s="1613">
        <v>59000000</v>
      </c>
      <c r="G4229" s="1613">
        <v>193003020921</v>
      </c>
    </row>
    <row r="4230" spans="1:7" ht="17.25" customHeight="1" x14ac:dyDescent="0.2">
      <c r="A4230" s="1611">
        <v>16</v>
      </c>
      <c r="B4230" s="1611" t="s">
        <v>7203</v>
      </c>
      <c r="C4230" s="1611" t="s">
        <v>6037</v>
      </c>
      <c r="D4230" s="1612">
        <v>0</v>
      </c>
      <c r="E4230" s="1706" t="s">
        <v>7592</v>
      </c>
      <c r="F4230" s="1613">
        <v>38000000</v>
      </c>
      <c r="G4230" s="1613">
        <v>193041020921</v>
      </c>
    </row>
    <row r="4231" spans="1:7" ht="17.25" customHeight="1" x14ac:dyDescent="0.2">
      <c r="A4231" s="1611">
        <v>16</v>
      </c>
      <c r="B4231" s="1611" t="s">
        <v>7176</v>
      </c>
      <c r="C4231" s="1611" t="s">
        <v>5811</v>
      </c>
      <c r="D4231" s="1612">
        <v>0</v>
      </c>
      <c r="E4231" s="1706" t="s">
        <v>7592</v>
      </c>
      <c r="F4231" s="1613">
        <v>37727273</v>
      </c>
      <c r="G4231" s="1613">
        <v>193078748194</v>
      </c>
    </row>
    <row r="4232" spans="1:7" ht="17.25" customHeight="1" x14ac:dyDescent="0.2">
      <c r="A4232" s="1611">
        <v>16</v>
      </c>
      <c r="B4232" s="1611" t="s">
        <v>7176</v>
      </c>
      <c r="C4232" s="1611" t="s">
        <v>6038</v>
      </c>
      <c r="D4232" s="1612">
        <v>0</v>
      </c>
      <c r="E4232" s="1706" t="s">
        <v>7592</v>
      </c>
      <c r="F4232" s="1613">
        <v>40000000</v>
      </c>
      <c r="G4232" s="1613">
        <v>193118748194</v>
      </c>
    </row>
    <row r="4233" spans="1:7" ht="17.25" customHeight="1" x14ac:dyDescent="0.2">
      <c r="A4233" s="1611">
        <v>16</v>
      </c>
      <c r="B4233" s="1611" t="s">
        <v>7154</v>
      </c>
      <c r="C4233" s="1611" t="s">
        <v>6039</v>
      </c>
      <c r="D4233" s="1612">
        <v>0</v>
      </c>
      <c r="E4233" s="1706" t="s">
        <v>7592</v>
      </c>
      <c r="F4233" s="1613">
        <v>49434000</v>
      </c>
      <c r="G4233" s="1613">
        <v>193168182194</v>
      </c>
    </row>
    <row r="4234" spans="1:7" ht="17.25" customHeight="1" x14ac:dyDescent="0.2">
      <c r="A4234" s="1611">
        <v>16</v>
      </c>
      <c r="B4234" s="1611" t="s">
        <v>7154</v>
      </c>
      <c r="C4234" s="1611" t="s">
        <v>6040</v>
      </c>
      <c r="D4234" s="1612">
        <v>0</v>
      </c>
      <c r="E4234" s="1706" t="s">
        <v>7592</v>
      </c>
      <c r="F4234" s="1613">
        <v>51000000</v>
      </c>
      <c r="G4234" s="1613">
        <v>193219182194</v>
      </c>
    </row>
    <row r="4235" spans="1:7" ht="17.25" customHeight="1" x14ac:dyDescent="0.2">
      <c r="A4235" s="1611">
        <v>16</v>
      </c>
      <c r="B4235" s="1611" t="s">
        <v>7251</v>
      </c>
      <c r="C4235" s="1611" t="s">
        <v>6041</v>
      </c>
      <c r="D4235" s="1612">
        <v>0</v>
      </c>
      <c r="E4235" s="1706" t="s">
        <v>7592</v>
      </c>
      <c r="F4235" s="1613">
        <v>35909091</v>
      </c>
      <c r="G4235" s="1613">
        <v>193255091285</v>
      </c>
    </row>
    <row r="4236" spans="1:7" ht="17.25" customHeight="1" x14ac:dyDescent="0.2">
      <c r="A4236" s="1611">
        <v>16</v>
      </c>
      <c r="B4236" s="1611" t="s">
        <v>7154</v>
      </c>
      <c r="C4236" s="1611" t="s">
        <v>5772</v>
      </c>
      <c r="D4236" s="1612">
        <v>0</v>
      </c>
      <c r="E4236" s="1706" t="s">
        <v>7592</v>
      </c>
      <c r="F4236" s="1613">
        <v>50500000</v>
      </c>
      <c r="G4236" s="1613">
        <v>193305591285</v>
      </c>
    </row>
    <row r="4237" spans="1:7" ht="17.25" customHeight="1" x14ac:dyDescent="0.2">
      <c r="A4237" s="1611">
        <v>16</v>
      </c>
      <c r="B4237" s="1611" t="s">
        <v>7333</v>
      </c>
      <c r="C4237" s="1611" t="s">
        <v>3438</v>
      </c>
      <c r="D4237" s="1612">
        <v>0</v>
      </c>
      <c r="E4237" s="1706" t="s">
        <v>7592</v>
      </c>
      <c r="F4237" s="1613">
        <v>33379000</v>
      </c>
      <c r="G4237" s="1613">
        <v>193338970285</v>
      </c>
    </row>
    <row r="4238" spans="1:7" ht="17.25" customHeight="1" x14ac:dyDescent="0.2">
      <c r="A4238" s="1611">
        <v>16</v>
      </c>
      <c r="B4238" s="1611" t="s">
        <v>7333</v>
      </c>
      <c r="C4238" s="1611" t="s">
        <v>3438</v>
      </c>
      <c r="D4238" s="1612">
        <v>0</v>
      </c>
      <c r="E4238" s="1706" t="s">
        <v>7592</v>
      </c>
      <c r="F4238" s="1613">
        <v>33379000</v>
      </c>
      <c r="G4238" s="1613">
        <v>193372349285</v>
      </c>
    </row>
    <row r="4239" spans="1:7" ht="17.25" customHeight="1" x14ac:dyDescent="0.2">
      <c r="A4239" s="1611">
        <v>16</v>
      </c>
      <c r="B4239" s="1611" t="s">
        <v>7333</v>
      </c>
      <c r="C4239" s="1611" t="s">
        <v>3438</v>
      </c>
      <c r="D4239" s="1612">
        <v>0</v>
      </c>
      <c r="E4239" s="1706" t="s">
        <v>7592</v>
      </c>
      <c r="F4239" s="1613">
        <v>33379000</v>
      </c>
      <c r="G4239" s="1613">
        <v>193405728285</v>
      </c>
    </row>
    <row r="4240" spans="1:7" ht="17.25" customHeight="1" x14ac:dyDescent="0.2">
      <c r="A4240" s="1611">
        <v>16</v>
      </c>
      <c r="B4240" s="1611" t="s">
        <v>7333</v>
      </c>
      <c r="C4240" s="1611" t="s">
        <v>3438</v>
      </c>
      <c r="D4240" s="1612">
        <v>0</v>
      </c>
      <c r="E4240" s="1706" t="s">
        <v>7592</v>
      </c>
      <c r="F4240" s="1613">
        <v>33379000</v>
      </c>
      <c r="G4240" s="1613">
        <v>193439107285</v>
      </c>
    </row>
    <row r="4241" spans="1:7" ht="17.25" customHeight="1" x14ac:dyDescent="0.2">
      <c r="A4241" s="1611">
        <v>16</v>
      </c>
      <c r="B4241" s="1611" t="s">
        <v>7203</v>
      </c>
      <c r="C4241" s="1611" t="s">
        <v>6042</v>
      </c>
      <c r="D4241" s="1612">
        <v>0</v>
      </c>
      <c r="E4241" s="1706" t="s">
        <v>7592</v>
      </c>
      <c r="F4241" s="1613">
        <v>36818182</v>
      </c>
      <c r="G4241" s="1613">
        <v>193475925467</v>
      </c>
    </row>
    <row r="4242" spans="1:7" ht="17.25" customHeight="1" x14ac:dyDescent="0.2">
      <c r="A4242" s="1611">
        <v>16</v>
      </c>
      <c r="B4242" s="1611" t="s">
        <v>7334</v>
      </c>
      <c r="C4242" s="1611" t="s">
        <v>4064</v>
      </c>
      <c r="D4242" s="1612">
        <v>0</v>
      </c>
      <c r="E4242" s="1612" t="s">
        <v>3295</v>
      </c>
      <c r="F4242" s="1613">
        <v>172768432</v>
      </c>
      <c r="G4242" s="1613">
        <v>193648693899</v>
      </c>
    </row>
    <row r="4243" spans="1:7" ht="17.25" customHeight="1" x14ac:dyDescent="0.2">
      <c r="A4243" s="1611">
        <v>16</v>
      </c>
      <c r="B4243" s="1611" t="s">
        <v>7203</v>
      </c>
      <c r="C4243" s="1611" t="s">
        <v>6043</v>
      </c>
      <c r="D4243" s="1612">
        <v>0</v>
      </c>
      <c r="E4243" s="1706" t="s">
        <v>7592</v>
      </c>
      <c r="F4243" s="1613">
        <v>35000000</v>
      </c>
      <c r="G4243" s="1613">
        <v>193683693899</v>
      </c>
    </row>
    <row r="4244" spans="1:7" ht="17.25" customHeight="1" x14ac:dyDescent="0.2">
      <c r="A4244" s="1611">
        <v>16</v>
      </c>
      <c r="B4244" s="1611" t="s">
        <v>7251</v>
      </c>
      <c r="C4244" s="1611" t="s">
        <v>6044</v>
      </c>
      <c r="D4244" s="1612">
        <v>0</v>
      </c>
      <c r="E4244" s="1706" t="s">
        <v>7592</v>
      </c>
      <c r="F4244" s="1613">
        <v>35636364</v>
      </c>
      <c r="G4244" s="1613">
        <v>193719330263</v>
      </c>
    </row>
    <row r="4245" spans="1:7" ht="17.25" customHeight="1" x14ac:dyDescent="0.2">
      <c r="A4245" s="1611">
        <v>16</v>
      </c>
      <c r="B4245" s="1611" t="s">
        <v>7203</v>
      </c>
      <c r="C4245" s="1611" t="s">
        <v>6045</v>
      </c>
      <c r="D4245" s="1612">
        <v>0</v>
      </c>
      <c r="E4245" s="1706" t="s">
        <v>7592</v>
      </c>
      <c r="F4245" s="1613">
        <v>37260000</v>
      </c>
      <c r="G4245" s="1613">
        <v>193756590263</v>
      </c>
    </row>
    <row r="4246" spans="1:7" ht="17.25" customHeight="1" x14ac:dyDescent="0.2">
      <c r="A4246" s="1611">
        <v>16</v>
      </c>
      <c r="B4246" s="1611" t="s">
        <v>7203</v>
      </c>
      <c r="C4246" s="1611" t="s">
        <v>6046</v>
      </c>
      <c r="D4246" s="1612">
        <v>0</v>
      </c>
      <c r="E4246" s="1706" t="s">
        <v>7592</v>
      </c>
      <c r="F4246" s="1613">
        <v>38727273</v>
      </c>
      <c r="G4246" s="1613">
        <v>193795317536</v>
      </c>
    </row>
    <row r="4247" spans="1:7" ht="17.25" customHeight="1" x14ac:dyDescent="0.2">
      <c r="A4247" s="1611">
        <v>16</v>
      </c>
      <c r="B4247" s="1611" t="s">
        <v>7176</v>
      </c>
      <c r="C4247" s="1611" t="s">
        <v>6047</v>
      </c>
      <c r="D4247" s="1612">
        <v>0</v>
      </c>
      <c r="E4247" s="1706" t="s">
        <v>7592</v>
      </c>
      <c r="F4247" s="1613">
        <v>44800000</v>
      </c>
      <c r="G4247" s="1613">
        <v>193840117536</v>
      </c>
    </row>
    <row r="4248" spans="1:7" ht="17.25" customHeight="1" x14ac:dyDescent="0.2">
      <c r="A4248" s="1611">
        <v>16</v>
      </c>
      <c r="B4248" s="1611" t="s">
        <v>7203</v>
      </c>
      <c r="C4248" s="1611" t="s">
        <v>3910</v>
      </c>
      <c r="D4248" s="1612">
        <v>0</v>
      </c>
      <c r="E4248" s="1706" t="s">
        <v>7592</v>
      </c>
      <c r="F4248" s="1613">
        <v>38600000</v>
      </c>
      <c r="G4248" s="1613">
        <v>193878717536</v>
      </c>
    </row>
    <row r="4249" spans="1:7" ht="17.25" customHeight="1" x14ac:dyDescent="0.2">
      <c r="A4249" s="1611">
        <v>16</v>
      </c>
      <c r="B4249" s="1611" t="s">
        <v>7203</v>
      </c>
      <c r="C4249" s="1611" t="s">
        <v>5639</v>
      </c>
      <c r="D4249" s="1612">
        <v>0</v>
      </c>
      <c r="E4249" s="1706" t="s">
        <v>7592</v>
      </c>
      <c r="F4249" s="1613">
        <v>37727273</v>
      </c>
      <c r="G4249" s="1613">
        <v>193916444809</v>
      </c>
    </row>
    <row r="4250" spans="1:7" ht="17.25" customHeight="1" x14ac:dyDescent="0.2">
      <c r="A4250" s="1611">
        <v>16</v>
      </c>
      <c r="B4250" s="1611" t="s">
        <v>7154</v>
      </c>
      <c r="C4250" s="1611" t="s">
        <v>3436</v>
      </c>
      <c r="D4250" s="1612">
        <v>0</v>
      </c>
      <c r="E4250" s="1706" t="s">
        <v>7592</v>
      </c>
      <c r="F4250" s="1613">
        <v>50900000</v>
      </c>
      <c r="G4250" s="1613">
        <v>193967344809</v>
      </c>
    </row>
    <row r="4251" spans="1:7" ht="17.25" customHeight="1" x14ac:dyDescent="0.2">
      <c r="A4251" s="1611">
        <v>16</v>
      </c>
      <c r="B4251" s="1611" t="s">
        <v>7251</v>
      </c>
      <c r="C4251" s="1611" t="s">
        <v>6048</v>
      </c>
      <c r="D4251" s="1612">
        <v>0</v>
      </c>
      <c r="E4251" s="1706" t="s">
        <v>7592</v>
      </c>
      <c r="F4251" s="1613">
        <v>35454545</v>
      </c>
      <c r="G4251" s="1613">
        <v>194002799354</v>
      </c>
    </row>
    <row r="4252" spans="1:7" ht="17.25" customHeight="1" x14ac:dyDescent="0.2">
      <c r="A4252" s="1611">
        <v>16</v>
      </c>
      <c r="B4252" s="1611" t="s">
        <v>7156</v>
      </c>
      <c r="C4252" s="1611" t="s">
        <v>3826</v>
      </c>
      <c r="D4252" s="1612">
        <v>0</v>
      </c>
      <c r="E4252" s="1706" t="s">
        <v>7592</v>
      </c>
      <c r="F4252" s="1613">
        <v>31072728</v>
      </c>
      <c r="G4252" s="1613">
        <v>194033872082</v>
      </c>
    </row>
    <row r="4253" spans="1:7" ht="17.25" customHeight="1" x14ac:dyDescent="0.2">
      <c r="A4253" s="1611">
        <v>16</v>
      </c>
      <c r="B4253" s="1611" t="s">
        <v>7170</v>
      </c>
      <c r="C4253" s="1611" t="s">
        <v>6049</v>
      </c>
      <c r="D4253" s="1612">
        <v>0</v>
      </c>
      <c r="E4253" s="1706" t="s">
        <v>7592</v>
      </c>
      <c r="F4253" s="1613">
        <v>171000000</v>
      </c>
      <c r="G4253" s="1613">
        <v>194204872082</v>
      </c>
    </row>
    <row r="4254" spans="1:7" ht="17.25" customHeight="1" x14ac:dyDescent="0.2">
      <c r="A4254" s="1611">
        <v>16</v>
      </c>
      <c r="B4254" s="1611" t="s">
        <v>7176</v>
      </c>
      <c r="C4254" s="1611" t="s">
        <v>6050</v>
      </c>
      <c r="D4254" s="1612">
        <v>0</v>
      </c>
      <c r="E4254" s="1706" t="s">
        <v>7592</v>
      </c>
      <c r="F4254" s="1613">
        <v>38500000</v>
      </c>
      <c r="G4254" s="1613">
        <v>194243372082</v>
      </c>
    </row>
    <row r="4255" spans="1:7" ht="17.25" customHeight="1" x14ac:dyDescent="0.2">
      <c r="A4255" s="1611">
        <v>16</v>
      </c>
      <c r="B4255" s="1611" t="s">
        <v>7203</v>
      </c>
      <c r="C4255" s="1611" t="s">
        <v>6051</v>
      </c>
      <c r="D4255" s="1612">
        <v>0</v>
      </c>
      <c r="E4255" s="1706" t="s">
        <v>7592</v>
      </c>
      <c r="F4255" s="1613">
        <v>38181818</v>
      </c>
      <c r="G4255" s="1613">
        <v>194281553900</v>
      </c>
    </row>
    <row r="4256" spans="1:7" ht="17.25" customHeight="1" x14ac:dyDescent="0.2">
      <c r="A4256" s="1611">
        <v>16</v>
      </c>
      <c r="B4256" s="1611" t="s">
        <v>7154</v>
      </c>
      <c r="C4256" s="1611" t="s">
        <v>5772</v>
      </c>
      <c r="D4256" s="1612">
        <v>0</v>
      </c>
      <c r="E4256" s="1706" t="s">
        <v>7592</v>
      </c>
      <c r="F4256" s="1613">
        <v>51000000</v>
      </c>
      <c r="G4256" s="1613">
        <v>194332553900</v>
      </c>
    </row>
    <row r="4257" spans="1:7" ht="17.25" customHeight="1" x14ac:dyDescent="0.2">
      <c r="A4257" s="1611">
        <v>16</v>
      </c>
      <c r="B4257" s="1611" t="s">
        <v>7203</v>
      </c>
      <c r="C4257" s="1611" t="s">
        <v>6052</v>
      </c>
      <c r="D4257" s="1612">
        <v>0</v>
      </c>
      <c r="E4257" s="1706" t="s">
        <v>7592</v>
      </c>
      <c r="F4257" s="1613">
        <v>37000000</v>
      </c>
      <c r="G4257" s="1613">
        <v>194369553900</v>
      </c>
    </row>
    <row r="4258" spans="1:7" ht="17.25" customHeight="1" x14ac:dyDescent="0.2">
      <c r="A4258" s="1611">
        <v>16</v>
      </c>
      <c r="B4258" s="1611" t="s">
        <v>7156</v>
      </c>
      <c r="C4258" s="1611" t="s">
        <v>6053</v>
      </c>
      <c r="D4258" s="1612">
        <v>0</v>
      </c>
      <c r="E4258" s="1706" t="s">
        <v>7592</v>
      </c>
      <c r="F4258" s="1613">
        <v>31381819</v>
      </c>
      <c r="G4258" s="1613">
        <v>194400935719</v>
      </c>
    </row>
    <row r="4259" spans="1:7" ht="17.25" customHeight="1" x14ac:dyDescent="0.2">
      <c r="A4259" s="1611">
        <v>16</v>
      </c>
      <c r="B4259" s="1611" t="s">
        <v>7170</v>
      </c>
      <c r="C4259" s="1611" t="s">
        <v>6049</v>
      </c>
      <c r="D4259" s="1612">
        <v>0</v>
      </c>
      <c r="E4259" s="1706" t="s">
        <v>7592</v>
      </c>
      <c r="F4259" s="1613">
        <v>-171000000</v>
      </c>
      <c r="G4259" s="1613">
        <v>194229935719</v>
      </c>
    </row>
    <row r="4260" spans="1:7" ht="17.25" customHeight="1" x14ac:dyDescent="0.2">
      <c r="A4260" s="1611">
        <v>16</v>
      </c>
      <c r="B4260" s="1611" t="s">
        <v>7170</v>
      </c>
      <c r="C4260" s="1611" t="s">
        <v>6054</v>
      </c>
      <c r="D4260" s="1612">
        <v>0</v>
      </c>
      <c r="E4260" s="1706" t="s">
        <v>7592</v>
      </c>
      <c r="F4260" s="1613">
        <v>171000000</v>
      </c>
      <c r="G4260" s="1613">
        <v>194400935719</v>
      </c>
    </row>
    <row r="4261" spans="1:7" ht="17.25" customHeight="1" x14ac:dyDescent="0.2">
      <c r="A4261" s="1611">
        <v>16</v>
      </c>
      <c r="B4261" s="1611" t="s">
        <v>7335</v>
      </c>
      <c r="C4261" s="1611" t="s">
        <v>5783</v>
      </c>
      <c r="D4261" s="1612">
        <v>0</v>
      </c>
      <c r="E4261" s="1706" t="s">
        <v>7592</v>
      </c>
      <c r="F4261" s="1613">
        <v>40000000</v>
      </c>
      <c r="G4261" s="1613">
        <v>194440935719</v>
      </c>
    </row>
    <row r="4262" spans="1:7" ht="17.25" customHeight="1" x14ac:dyDescent="0.2">
      <c r="A4262" s="1611">
        <v>16</v>
      </c>
      <c r="B4262" s="1611" t="s">
        <v>7156</v>
      </c>
      <c r="C4262" s="1611" t="s">
        <v>6055</v>
      </c>
      <c r="D4262" s="1612">
        <v>0</v>
      </c>
      <c r="E4262" s="1706" t="s">
        <v>7592</v>
      </c>
      <c r="F4262" s="1613">
        <v>31580000</v>
      </c>
      <c r="G4262" s="1613">
        <v>194472515719</v>
      </c>
    </row>
    <row r="4263" spans="1:7" ht="17.25" customHeight="1" x14ac:dyDescent="0.2">
      <c r="A4263" s="1611">
        <v>16</v>
      </c>
      <c r="B4263" s="1611" t="s">
        <v>7156</v>
      </c>
      <c r="C4263" s="1611" t="s">
        <v>6055</v>
      </c>
      <c r="D4263" s="1612">
        <v>0</v>
      </c>
      <c r="E4263" s="1706" t="s">
        <v>7592</v>
      </c>
      <c r="F4263" s="1613">
        <v>-31580000</v>
      </c>
      <c r="G4263" s="1613">
        <v>194440935719</v>
      </c>
    </row>
    <row r="4264" spans="1:7" ht="17.25" customHeight="1" x14ac:dyDescent="0.2">
      <c r="A4264" s="1611">
        <v>16</v>
      </c>
      <c r="B4264" s="1611" t="s">
        <v>7156</v>
      </c>
      <c r="C4264" s="1611" t="s">
        <v>6055</v>
      </c>
      <c r="D4264" s="1612">
        <v>0</v>
      </c>
      <c r="E4264" s="1706" t="s">
        <v>7592</v>
      </c>
      <c r="F4264" s="1613">
        <v>31580000</v>
      </c>
      <c r="G4264" s="1613">
        <v>194472515719</v>
      </c>
    </row>
    <row r="4265" spans="1:7" ht="17.25" customHeight="1" x14ac:dyDescent="0.2">
      <c r="A4265" s="1611">
        <v>16</v>
      </c>
      <c r="B4265" s="1611" t="s">
        <v>7156</v>
      </c>
      <c r="C4265" s="1611" t="s">
        <v>6055</v>
      </c>
      <c r="D4265" s="1612">
        <v>0</v>
      </c>
      <c r="E4265" s="1706" t="s">
        <v>7592</v>
      </c>
      <c r="F4265" s="1613">
        <v>4179000</v>
      </c>
      <c r="G4265" s="1613">
        <v>194476694719</v>
      </c>
    </row>
    <row r="4266" spans="1:7" ht="17.25" customHeight="1" x14ac:dyDescent="0.2">
      <c r="A4266" s="1611">
        <v>16</v>
      </c>
      <c r="B4266" s="1611" t="s">
        <v>6056</v>
      </c>
      <c r="C4266" s="1611" t="s">
        <v>6057</v>
      </c>
      <c r="D4266" s="1612">
        <v>0</v>
      </c>
      <c r="E4266" s="1706" t="s">
        <v>7592</v>
      </c>
      <c r="F4266" s="1613">
        <v>35816000</v>
      </c>
      <c r="G4266" s="1613">
        <v>194512510719</v>
      </c>
    </row>
    <row r="4267" spans="1:7" ht="17.25" customHeight="1" x14ac:dyDescent="0.2">
      <c r="A4267" s="1611">
        <v>16</v>
      </c>
      <c r="B4267" s="1611" t="s">
        <v>7176</v>
      </c>
      <c r="C4267" s="1611" t="s">
        <v>6058</v>
      </c>
      <c r="D4267" s="1612">
        <v>0</v>
      </c>
      <c r="E4267" s="1706" t="s">
        <v>7592</v>
      </c>
      <c r="F4267" s="1613">
        <v>40500000</v>
      </c>
      <c r="G4267" s="1613">
        <v>194553010719</v>
      </c>
    </row>
    <row r="4268" spans="1:7" ht="17.25" customHeight="1" x14ac:dyDescent="0.2">
      <c r="A4268" s="1611">
        <v>16</v>
      </c>
      <c r="B4268" s="1611" t="s">
        <v>7336</v>
      </c>
      <c r="C4268" s="1611" t="s">
        <v>6059</v>
      </c>
      <c r="D4268" s="1612">
        <v>0</v>
      </c>
      <c r="E4268" s="1706" t="s">
        <v>7556</v>
      </c>
      <c r="F4268" s="1613">
        <v>627990</v>
      </c>
      <c r="G4268" s="1613">
        <v>194553638709</v>
      </c>
    </row>
    <row r="4269" spans="1:7" ht="17.25" customHeight="1" x14ac:dyDescent="0.2">
      <c r="A4269" s="1611">
        <v>16</v>
      </c>
      <c r="B4269" s="1611" t="s">
        <v>7203</v>
      </c>
      <c r="C4269" s="1611" t="s">
        <v>5693</v>
      </c>
      <c r="D4269" s="1612">
        <v>0</v>
      </c>
      <c r="E4269" s="1706" t="s">
        <v>7592</v>
      </c>
      <c r="F4269" s="1613">
        <v>16956000</v>
      </c>
      <c r="G4269" s="1613">
        <v>194570594709</v>
      </c>
    </row>
    <row r="4270" spans="1:7" ht="17.25" customHeight="1" x14ac:dyDescent="0.2">
      <c r="A4270" s="1611">
        <v>16</v>
      </c>
      <c r="B4270" s="1611" t="s">
        <v>7176</v>
      </c>
      <c r="C4270" s="1611" t="s">
        <v>6060</v>
      </c>
      <c r="D4270" s="1612">
        <v>0</v>
      </c>
      <c r="E4270" s="1706" t="s">
        <v>7592</v>
      </c>
      <c r="F4270" s="1613">
        <v>40181818</v>
      </c>
      <c r="G4270" s="1613">
        <v>194610776527</v>
      </c>
    </row>
    <row r="4271" spans="1:7" ht="17.25" customHeight="1" x14ac:dyDescent="0.2">
      <c r="A4271" s="1611">
        <v>16</v>
      </c>
      <c r="B4271" s="1611" t="s">
        <v>7176</v>
      </c>
      <c r="C4271" s="1611" t="s">
        <v>6059</v>
      </c>
      <c r="D4271" s="1612">
        <v>0</v>
      </c>
      <c r="E4271" s="1706" t="s">
        <v>7556</v>
      </c>
      <c r="F4271" s="1613">
        <v>61844859</v>
      </c>
      <c r="G4271" s="1613">
        <v>194672621386</v>
      </c>
    </row>
    <row r="4272" spans="1:7" ht="17.25" customHeight="1" x14ac:dyDescent="0.2">
      <c r="A4272" s="1611">
        <v>16</v>
      </c>
      <c r="B4272" s="1611" t="s">
        <v>7203</v>
      </c>
      <c r="C4272" s="1611" t="s">
        <v>6061</v>
      </c>
      <c r="D4272" s="1612">
        <v>0</v>
      </c>
      <c r="E4272" s="1706" t="s">
        <v>7592</v>
      </c>
      <c r="F4272" s="1613">
        <v>36300000</v>
      </c>
      <c r="G4272" s="1613">
        <v>194708921386</v>
      </c>
    </row>
    <row r="4273" spans="1:7" ht="17.25" customHeight="1" x14ac:dyDescent="0.2">
      <c r="A4273" s="1611">
        <v>16</v>
      </c>
      <c r="B4273" s="1611" t="s">
        <v>7156</v>
      </c>
      <c r="C4273" s="1611" t="s">
        <v>6062</v>
      </c>
      <c r="D4273" s="1612">
        <v>0</v>
      </c>
      <c r="E4273" s="1706" t="s">
        <v>7592</v>
      </c>
      <c r="F4273" s="1613">
        <v>14545454</v>
      </c>
      <c r="G4273" s="1613">
        <v>194723466840</v>
      </c>
    </row>
    <row r="4274" spans="1:7" ht="17.25" customHeight="1" x14ac:dyDescent="0.2">
      <c r="A4274" s="1611">
        <v>16</v>
      </c>
      <c r="B4274" s="1611" t="s">
        <v>7176</v>
      </c>
      <c r="C4274" s="1611" t="s">
        <v>6063</v>
      </c>
      <c r="D4274" s="1612">
        <v>0</v>
      </c>
      <c r="E4274" s="1706" t="s">
        <v>7592</v>
      </c>
      <c r="F4274" s="1613">
        <v>41363636</v>
      </c>
      <c r="G4274" s="1613">
        <v>194764830476</v>
      </c>
    </row>
    <row r="4275" spans="1:7" ht="17.25" customHeight="1" x14ac:dyDescent="0.2">
      <c r="A4275" s="1611">
        <v>16</v>
      </c>
      <c r="B4275" s="1611" t="s">
        <v>7203</v>
      </c>
      <c r="C4275" s="1611" t="s">
        <v>6064</v>
      </c>
      <c r="D4275" s="1612">
        <v>0</v>
      </c>
      <c r="E4275" s="1706" t="s">
        <v>7592</v>
      </c>
      <c r="F4275" s="1613">
        <v>38181818</v>
      </c>
      <c r="G4275" s="1613">
        <v>194803012294</v>
      </c>
    </row>
    <row r="4276" spans="1:7" ht="17.25" customHeight="1" x14ac:dyDescent="0.2">
      <c r="A4276" s="1611">
        <v>16</v>
      </c>
      <c r="B4276" s="1611" t="s">
        <v>7203</v>
      </c>
      <c r="C4276" s="1611" t="s">
        <v>6065</v>
      </c>
      <c r="D4276" s="1612">
        <v>0</v>
      </c>
      <c r="E4276" s="1706" t="s">
        <v>7592</v>
      </c>
      <c r="F4276" s="1613">
        <v>36818182</v>
      </c>
      <c r="G4276" s="1613">
        <v>194839830476</v>
      </c>
    </row>
    <row r="4277" spans="1:7" ht="17.25" customHeight="1" x14ac:dyDescent="0.2">
      <c r="A4277" s="1611">
        <v>16</v>
      </c>
      <c r="B4277" s="1611" t="s">
        <v>7251</v>
      </c>
      <c r="C4277" s="1611" t="s">
        <v>6066</v>
      </c>
      <c r="D4277" s="1612">
        <v>0</v>
      </c>
      <c r="E4277" s="1706" t="s">
        <v>7592</v>
      </c>
      <c r="F4277" s="1613">
        <v>17573000</v>
      </c>
      <c r="G4277" s="1613">
        <v>194857403476</v>
      </c>
    </row>
    <row r="4278" spans="1:7" ht="17.25" customHeight="1" x14ac:dyDescent="0.2">
      <c r="A4278" s="1611">
        <v>16</v>
      </c>
      <c r="B4278" s="1611" t="s">
        <v>7154</v>
      </c>
      <c r="C4278" s="1611" t="s">
        <v>6067</v>
      </c>
      <c r="D4278" s="1612">
        <v>0</v>
      </c>
      <c r="E4278" s="1706" t="s">
        <v>7592</v>
      </c>
      <c r="F4278" s="1613">
        <v>50909090</v>
      </c>
      <c r="G4278" s="1613">
        <v>194908312566</v>
      </c>
    </row>
    <row r="4279" spans="1:7" ht="17.25" customHeight="1" x14ac:dyDescent="0.2">
      <c r="A4279" s="1611">
        <v>16</v>
      </c>
      <c r="B4279" s="1611" t="s">
        <v>7203</v>
      </c>
      <c r="C4279" s="1611" t="s">
        <v>4731</v>
      </c>
      <c r="D4279" s="1612">
        <v>0</v>
      </c>
      <c r="E4279" s="1706" t="s">
        <v>7592</v>
      </c>
      <c r="F4279" s="1613">
        <v>38500000</v>
      </c>
      <c r="G4279" s="1613">
        <v>194946812566</v>
      </c>
    </row>
    <row r="4280" spans="1:7" ht="17.25" customHeight="1" x14ac:dyDescent="0.2">
      <c r="A4280" s="1611">
        <v>16</v>
      </c>
      <c r="B4280" s="1611" t="s">
        <v>7156</v>
      </c>
      <c r="C4280" s="1611" t="s">
        <v>6068</v>
      </c>
      <c r="D4280" s="1612">
        <v>0</v>
      </c>
      <c r="E4280" s="1706" t="s">
        <v>7592</v>
      </c>
      <c r="F4280" s="1613">
        <v>14400000</v>
      </c>
      <c r="G4280" s="1613">
        <v>194961212566</v>
      </c>
    </row>
    <row r="4281" spans="1:7" ht="17.25" customHeight="1" x14ac:dyDescent="0.2">
      <c r="A4281" s="1611">
        <v>16</v>
      </c>
      <c r="B4281" s="1611" t="s">
        <v>7203</v>
      </c>
      <c r="C4281" s="1611" t="s">
        <v>6069</v>
      </c>
      <c r="D4281" s="1612">
        <v>0</v>
      </c>
      <c r="E4281" s="1612" t="s">
        <v>3296</v>
      </c>
      <c r="F4281" s="1613">
        <v>49956880</v>
      </c>
      <c r="G4281" s="1613">
        <v>195011169446</v>
      </c>
    </row>
    <row r="4282" spans="1:7" ht="17.25" customHeight="1" x14ac:dyDescent="0.2">
      <c r="A4282" s="1611">
        <v>16</v>
      </c>
      <c r="B4282" s="1611" t="s">
        <v>7203</v>
      </c>
      <c r="C4282" s="1611" t="s">
        <v>6070</v>
      </c>
      <c r="D4282" s="1612">
        <v>0</v>
      </c>
      <c r="E4282" s="1706" t="s">
        <v>7592</v>
      </c>
      <c r="F4282" s="1613">
        <v>17573000</v>
      </c>
      <c r="G4282" s="1613">
        <v>195028742446</v>
      </c>
    </row>
    <row r="4283" spans="1:7" ht="17.25" customHeight="1" x14ac:dyDescent="0.2">
      <c r="A4283" s="1611">
        <v>16</v>
      </c>
      <c r="B4283" s="1611" t="s">
        <v>7273</v>
      </c>
      <c r="C4283" s="1611" t="s">
        <v>6071</v>
      </c>
      <c r="D4283" s="1612">
        <v>0</v>
      </c>
      <c r="E4283" s="1706" t="s">
        <v>7592</v>
      </c>
      <c r="F4283" s="1613">
        <v>165000000</v>
      </c>
      <c r="G4283" s="1613">
        <v>195193742446</v>
      </c>
    </row>
    <row r="4284" spans="1:7" ht="17.25" customHeight="1" x14ac:dyDescent="0.2">
      <c r="A4284" s="1611">
        <v>16</v>
      </c>
      <c r="B4284" s="1611" t="s">
        <v>7176</v>
      </c>
      <c r="C4284" s="1611" t="s">
        <v>6072</v>
      </c>
      <c r="D4284" s="1612">
        <v>0</v>
      </c>
      <c r="E4284" s="1706" t="s">
        <v>7592</v>
      </c>
      <c r="F4284" s="1613">
        <v>43159091</v>
      </c>
      <c r="G4284" s="1613">
        <v>195236901537</v>
      </c>
    </row>
    <row r="4285" spans="1:7" ht="17.25" customHeight="1" x14ac:dyDescent="0.2">
      <c r="A4285" s="1611">
        <v>16</v>
      </c>
      <c r="B4285" s="1611" t="s">
        <v>7154</v>
      </c>
      <c r="C4285" s="1611" t="s">
        <v>5381</v>
      </c>
      <c r="D4285" s="1612">
        <v>0</v>
      </c>
      <c r="E4285" s="1706" t="s">
        <v>7592</v>
      </c>
      <c r="F4285" s="1613">
        <v>48900000</v>
      </c>
      <c r="G4285" s="1613">
        <v>195285801537</v>
      </c>
    </row>
    <row r="4286" spans="1:7" ht="17.25" customHeight="1" x14ac:dyDescent="0.2">
      <c r="A4286" s="1611">
        <v>16</v>
      </c>
      <c r="B4286" s="1611" t="s">
        <v>7154</v>
      </c>
      <c r="C4286" s="1611" t="s">
        <v>5381</v>
      </c>
      <c r="D4286" s="1612">
        <v>0</v>
      </c>
      <c r="E4286" s="1706" t="s">
        <v>7592</v>
      </c>
      <c r="F4286" s="1613">
        <v>-48900000</v>
      </c>
      <c r="G4286" s="1613">
        <v>195236901537</v>
      </c>
    </row>
    <row r="4287" spans="1:7" ht="17.25" customHeight="1" x14ac:dyDescent="0.2">
      <c r="A4287" s="1611">
        <v>16</v>
      </c>
      <c r="B4287" s="1611" t="s">
        <v>7154</v>
      </c>
      <c r="C4287" s="1611" t="s">
        <v>5381</v>
      </c>
      <c r="D4287" s="1612">
        <v>0</v>
      </c>
      <c r="E4287" s="1706" t="s">
        <v>7592</v>
      </c>
      <c r="F4287" s="1613">
        <v>48900000</v>
      </c>
      <c r="G4287" s="1613">
        <v>195285801537</v>
      </c>
    </row>
    <row r="4288" spans="1:7" ht="17.25" customHeight="1" x14ac:dyDescent="0.2">
      <c r="A4288" s="1611">
        <v>16</v>
      </c>
      <c r="B4288" s="1611" t="s">
        <v>7251</v>
      </c>
      <c r="C4288" s="1611" t="s">
        <v>3765</v>
      </c>
      <c r="D4288" s="1612">
        <v>0</v>
      </c>
      <c r="E4288" s="1706" t="s">
        <v>7592</v>
      </c>
      <c r="F4288" s="1613">
        <v>36500000</v>
      </c>
      <c r="G4288" s="1613">
        <v>195322301537</v>
      </c>
    </row>
    <row r="4289" spans="1:7" ht="17.25" customHeight="1" x14ac:dyDescent="0.2">
      <c r="A4289" s="1611">
        <v>16</v>
      </c>
      <c r="B4289" s="1611" t="s">
        <v>2954</v>
      </c>
      <c r="C4289" s="1611" t="s">
        <v>6073</v>
      </c>
      <c r="D4289" s="1612">
        <v>0</v>
      </c>
      <c r="E4289" s="1706" t="s">
        <v>7592</v>
      </c>
      <c r="F4289" s="1613">
        <v>14000000</v>
      </c>
      <c r="G4289" s="1613">
        <v>195336301537</v>
      </c>
    </row>
    <row r="4290" spans="1:7" ht="17.25" customHeight="1" x14ac:dyDescent="0.2">
      <c r="A4290" s="1611">
        <v>16</v>
      </c>
      <c r="B4290" s="1611" t="s">
        <v>7203</v>
      </c>
      <c r="C4290" s="1611" t="s">
        <v>4595</v>
      </c>
      <c r="D4290" s="1612">
        <v>0</v>
      </c>
      <c r="E4290" s="1706" t="s">
        <v>7592</v>
      </c>
      <c r="F4290" s="1613">
        <v>20144000</v>
      </c>
      <c r="G4290" s="1613">
        <v>195356445537</v>
      </c>
    </row>
    <row r="4291" spans="1:7" ht="17.25" customHeight="1" x14ac:dyDescent="0.2">
      <c r="A4291" s="1611">
        <v>16</v>
      </c>
      <c r="B4291" s="1611" t="s">
        <v>7282</v>
      </c>
      <c r="C4291" s="1611" t="s">
        <v>4257</v>
      </c>
      <c r="D4291" s="1612">
        <v>0</v>
      </c>
      <c r="E4291" s="1706" t="s">
        <v>7592</v>
      </c>
      <c r="F4291" s="1613">
        <v>160909091</v>
      </c>
      <c r="G4291" s="1613">
        <v>195517354628</v>
      </c>
    </row>
    <row r="4292" spans="1:7" ht="17.25" customHeight="1" x14ac:dyDescent="0.2">
      <c r="A4292" s="1611">
        <v>16</v>
      </c>
      <c r="B4292" s="1611" t="s">
        <v>7282</v>
      </c>
      <c r="C4292" s="1611" t="s">
        <v>6074</v>
      </c>
      <c r="D4292" s="1612">
        <v>0</v>
      </c>
      <c r="E4292" s="1706" t="s">
        <v>7592</v>
      </c>
      <c r="F4292" s="1613">
        <v>160909091</v>
      </c>
      <c r="G4292" s="1613">
        <v>195678263719</v>
      </c>
    </row>
    <row r="4293" spans="1:7" ht="17.25" customHeight="1" x14ac:dyDescent="0.2">
      <c r="A4293" s="1611">
        <v>16</v>
      </c>
      <c r="B4293" s="1611" t="s">
        <v>7170</v>
      </c>
      <c r="C4293" s="1611" t="s">
        <v>6075</v>
      </c>
      <c r="D4293" s="1612">
        <v>0</v>
      </c>
      <c r="E4293" s="1706" t="s">
        <v>7592</v>
      </c>
      <c r="F4293" s="1613">
        <v>175000000</v>
      </c>
      <c r="G4293" s="1613">
        <v>195853263719</v>
      </c>
    </row>
    <row r="4294" spans="1:7" ht="17.25" customHeight="1" x14ac:dyDescent="0.2">
      <c r="A4294" s="1611">
        <v>16</v>
      </c>
      <c r="B4294" s="1611" t="s">
        <v>7170</v>
      </c>
      <c r="C4294" s="1611" t="s">
        <v>6076</v>
      </c>
      <c r="D4294" s="1612">
        <v>0</v>
      </c>
      <c r="E4294" s="1706" t="s">
        <v>7592</v>
      </c>
      <c r="F4294" s="1613">
        <v>171000000</v>
      </c>
      <c r="G4294" s="1613">
        <v>196024263719</v>
      </c>
    </row>
    <row r="4295" spans="1:7" ht="17.25" customHeight="1" x14ac:dyDescent="0.2">
      <c r="A4295" s="1611">
        <v>16</v>
      </c>
      <c r="B4295" s="1611" t="s">
        <v>7156</v>
      </c>
      <c r="C4295" s="1611" t="s">
        <v>6077</v>
      </c>
      <c r="D4295" s="1612">
        <v>0</v>
      </c>
      <c r="E4295" s="1706" t="s">
        <v>7592</v>
      </c>
      <c r="F4295" s="1613">
        <v>14900000</v>
      </c>
      <c r="G4295" s="1613">
        <v>196039163719</v>
      </c>
    </row>
    <row r="4296" spans="1:7" ht="17.25" customHeight="1" x14ac:dyDescent="0.2">
      <c r="A4296" s="1611">
        <v>16</v>
      </c>
      <c r="B4296" s="1611" t="s">
        <v>2954</v>
      </c>
      <c r="C4296" s="1611" t="s">
        <v>6078</v>
      </c>
      <c r="D4296" s="1612">
        <v>0</v>
      </c>
      <c r="E4296" s="1706" t="s">
        <v>7592</v>
      </c>
      <c r="F4296" s="1613">
        <v>14000000</v>
      </c>
      <c r="G4296" s="1613">
        <v>196053163719</v>
      </c>
    </row>
    <row r="4297" spans="1:7" ht="17.25" customHeight="1" x14ac:dyDescent="0.2">
      <c r="A4297" s="1611">
        <v>16</v>
      </c>
      <c r="B4297" s="1611" t="s">
        <v>7203</v>
      </c>
      <c r="C4297" s="1611" t="s">
        <v>6079</v>
      </c>
      <c r="D4297" s="1612">
        <v>0</v>
      </c>
      <c r="E4297" s="1706" t="s">
        <v>7592</v>
      </c>
      <c r="F4297" s="1613">
        <v>38300000</v>
      </c>
      <c r="G4297" s="1613">
        <v>196091463719</v>
      </c>
    </row>
    <row r="4298" spans="1:7" ht="17.25" customHeight="1" x14ac:dyDescent="0.2">
      <c r="A4298" s="1611">
        <v>16</v>
      </c>
      <c r="B4298" s="1611" t="s">
        <v>7203</v>
      </c>
      <c r="C4298" s="1611" t="s">
        <v>4332</v>
      </c>
      <c r="D4298" s="1612">
        <v>0</v>
      </c>
      <c r="E4298" s="1706" t="s">
        <v>7592</v>
      </c>
      <c r="F4298" s="1613">
        <v>20144000</v>
      </c>
      <c r="G4298" s="1613">
        <v>196111607719</v>
      </c>
    </row>
    <row r="4299" spans="1:7" ht="17.25" customHeight="1" x14ac:dyDescent="0.2">
      <c r="A4299" s="1611">
        <v>16</v>
      </c>
      <c r="B4299" s="1611" t="s">
        <v>7203</v>
      </c>
      <c r="C4299" s="1611" t="s">
        <v>6080</v>
      </c>
      <c r="D4299" s="1612">
        <v>0</v>
      </c>
      <c r="E4299" s="1706" t="s">
        <v>7592</v>
      </c>
      <c r="F4299" s="1613">
        <v>39272727</v>
      </c>
      <c r="G4299" s="1613">
        <v>196150880446</v>
      </c>
    </row>
    <row r="4300" spans="1:7" ht="17.25" customHeight="1" x14ac:dyDescent="0.2">
      <c r="A4300" s="1611">
        <v>16</v>
      </c>
      <c r="B4300" s="1611" t="s">
        <v>7203</v>
      </c>
      <c r="C4300" s="1611" t="s">
        <v>6081</v>
      </c>
      <c r="D4300" s="1612">
        <v>0</v>
      </c>
      <c r="E4300" s="1706" t="s">
        <v>7592</v>
      </c>
      <c r="F4300" s="1613">
        <v>20144000</v>
      </c>
      <c r="G4300" s="1613">
        <v>196171024446</v>
      </c>
    </row>
    <row r="4301" spans="1:7" ht="17.25" customHeight="1" x14ac:dyDescent="0.2">
      <c r="A4301" s="1611">
        <v>16</v>
      </c>
      <c r="B4301" s="1611" t="s">
        <v>2028</v>
      </c>
      <c r="C4301" s="1611" t="s">
        <v>6082</v>
      </c>
      <c r="D4301" s="1612" t="s">
        <v>2024</v>
      </c>
      <c r="E4301" s="1706" t="s">
        <v>7592</v>
      </c>
      <c r="F4301" s="1613">
        <v>12200000</v>
      </c>
      <c r="G4301" s="1613">
        <v>196183224446</v>
      </c>
    </row>
    <row r="4302" spans="1:7" ht="17.25" customHeight="1" x14ac:dyDescent="0.2">
      <c r="A4302" s="1611">
        <v>16</v>
      </c>
      <c r="B4302" s="1611" t="s">
        <v>2054</v>
      </c>
      <c r="C4302" s="1611" t="s">
        <v>6083</v>
      </c>
      <c r="D4302" s="1612" t="s">
        <v>2024</v>
      </c>
      <c r="E4302" s="1706" t="s">
        <v>7592</v>
      </c>
      <c r="F4302" s="1613">
        <v>14200000</v>
      </c>
      <c r="G4302" s="1613">
        <v>196197424446</v>
      </c>
    </row>
    <row r="4303" spans="1:7" ht="17.25" customHeight="1" x14ac:dyDescent="0.2">
      <c r="A4303" s="1611">
        <v>16</v>
      </c>
      <c r="B4303" s="1611" t="s">
        <v>7337</v>
      </c>
      <c r="C4303" s="1611" t="s">
        <v>4305</v>
      </c>
      <c r="D4303" s="1612">
        <v>0</v>
      </c>
      <c r="E4303" s="1612" t="s">
        <v>3296</v>
      </c>
      <c r="F4303" s="1613">
        <v>701280</v>
      </c>
      <c r="G4303" s="1613">
        <v>196198125726</v>
      </c>
    </row>
    <row r="4304" spans="1:7" ht="17.25" customHeight="1" x14ac:dyDescent="0.2">
      <c r="A4304" s="1611">
        <v>16</v>
      </c>
      <c r="B4304" s="1611" t="s">
        <v>7261</v>
      </c>
      <c r="C4304" s="1611" t="s">
        <v>6084</v>
      </c>
      <c r="D4304" s="1612">
        <v>0</v>
      </c>
      <c r="E4304" s="1706" t="s">
        <v>7592</v>
      </c>
      <c r="F4304" s="1613">
        <v>128636364</v>
      </c>
      <c r="G4304" s="1613">
        <v>196326762090</v>
      </c>
    </row>
    <row r="4305" spans="1:7" ht="17.25" customHeight="1" x14ac:dyDescent="0.2">
      <c r="A4305" s="1611">
        <v>16</v>
      </c>
      <c r="B4305" s="1611" t="s">
        <v>7203</v>
      </c>
      <c r="C4305" s="1611" t="s">
        <v>6085</v>
      </c>
      <c r="D4305" s="1612">
        <v>0</v>
      </c>
      <c r="E4305" s="1706" t="s">
        <v>7592</v>
      </c>
      <c r="F4305" s="1613">
        <v>35000000</v>
      </c>
      <c r="G4305" s="1613">
        <v>196361762090</v>
      </c>
    </row>
    <row r="4306" spans="1:7" ht="17.25" customHeight="1" x14ac:dyDescent="0.2">
      <c r="A4306" s="1611">
        <v>16</v>
      </c>
      <c r="B4306" s="1611" t="s">
        <v>7154</v>
      </c>
      <c r="C4306" s="1611" t="s">
        <v>6086</v>
      </c>
      <c r="D4306" s="1612">
        <v>0</v>
      </c>
      <c r="E4306" s="1706" t="s">
        <v>7592</v>
      </c>
      <c r="F4306" s="1613">
        <v>51818182</v>
      </c>
      <c r="G4306" s="1613">
        <v>196413580272</v>
      </c>
    </row>
    <row r="4307" spans="1:7" ht="17.25" customHeight="1" x14ac:dyDescent="0.2">
      <c r="A4307" s="1611">
        <v>16</v>
      </c>
      <c r="B4307" s="1611" t="s">
        <v>7176</v>
      </c>
      <c r="C4307" s="1611" t="s">
        <v>6087</v>
      </c>
      <c r="D4307" s="1612">
        <v>0</v>
      </c>
      <c r="E4307" s="1706" t="s">
        <v>7592</v>
      </c>
      <c r="F4307" s="1613">
        <v>45300000</v>
      </c>
      <c r="G4307" s="1613">
        <v>196458880272</v>
      </c>
    </row>
    <row r="4308" spans="1:7" ht="17.25" customHeight="1" x14ac:dyDescent="0.2">
      <c r="A4308" s="1611">
        <v>16</v>
      </c>
      <c r="B4308" s="1611" t="s">
        <v>7156</v>
      </c>
      <c r="C4308" s="1611" t="s">
        <v>6088</v>
      </c>
      <c r="D4308" s="1612">
        <v>0</v>
      </c>
      <c r="E4308" s="1706" t="s">
        <v>7592</v>
      </c>
      <c r="F4308" s="1613">
        <v>14200000</v>
      </c>
      <c r="G4308" s="1613">
        <v>196473080272</v>
      </c>
    </row>
    <row r="4309" spans="1:7" ht="17.25" customHeight="1" x14ac:dyDescent="0.2">
      <c r="A4309" s="1611">
        <v>16</v>
      </c>
      <c r="B4309" s="1611" t="s">
        <v>2954</v>
      </c>
      <c r="C4309" s="1611" t="s">
        <v>5138</v>
      </c>
      <c r="D4309" s="1612">
        <v>0</v>
      </c>
      <c r="E4309" s="1706" t="s">
        <v>7592</v>
      </c>
      <c r="F4309" s="1613">
        <v>13180000</v>
      </c>
      <c r="G4309" s="1613">
        <v>196486260272</v>
      </c>
    </row>
    <row r="4310" spans="1:7" ht="17.25" customHeight="1" x14ac:dyDescent="0.2">
      <c r="A4310" s="1611">
        <v>16</v>
      </c>
      <c r="B4310" s="1611" t="s">
        <v>7203</v>
      </c>
      <c r="C4310" s="1611" t="s">
        <v>5693</v>
      </c>
      <c r="D4310" s="1612">
        <v>0</v>
      </c>
      <c r="E4310" s="1706" t="s">
        <v>7592</v>
      </c>
      <c r="F4310" s="1613">
        <v>16956000</v>
      </c>
      <c r="G4310" s="1613">
        <v>196503216272</v>
      </c>
    </row>
    <row r="4311" spans="1:7" ht="17.25" customHeight="1" x14ac:dyDescent="0.2">
      <c r="A4311" s="1611">
        <v>16</v>
      </c>
      <c r="B4311" s="1611" t="s">
        <v>7203</v>
      </c>
      <c r="C4311" s="1611" t="s">
        <v>6089</v>
      </c>
      <c r="D4311" s="1612">
        <v>0</v>
      </c>
      <c r="E4311" s="1706" t="s">
        <v>7592</v>
      </c>
      <c r="F4311" s="1613">
        <v>20144000</v>
      </c>
      <c r="G4311" s="1613">
        <v>196523360272</v>
      </c>
    </row>
    <row r="4312" spans="1:7" ht="17.25" customHeight="1" x14ac:dyDescent="0.2">
      <c r="A4312" s="1611">
        <v>16</v>
      </c>
      <c r="B4312" s="1611" t="s">
        <v>7176</v>
      </c>
      <c r="C4312" s="1611" t="s">
        <v>3665</v>
      </c>
      <c r="D4312" s="1612">
        <v>0</v>
      </c>
      <c r="E4312" s="1706" t="s">
        <v>7592</v>
      </c>
      <c r="F4312" s="1613">
        <v>40450000</v>
      </c>
      <c r="G4312" s="1613">
        <v>196563810272</v>
      </c>
    </row>
    <row r="4313" spans="1:7" ht="17.25" customHeight="1" x14ac:dyDescent="0.2">
      <c r="A4313" s="1611">
        <v>16</v>
      </c>
      <c r="B4313" s="1611" t="s">
        <v>7156</v>
      </c>
      <c r="C4313" s="1611" t="s">
        <v>6090</v>
      </c>
      <c r="D4313" s="1612">
        <v>0</v>
      </c>
      <c r="E4313" s="1706" t="s">
        <v>7592</v>
      </c>
      <c r="F4313" s="1613">
        <v>14545455</v>
      </c>
      <c r="G4313" s="1613">
        <v>196578355727</v>
      </c>
    </row>
    <row r="4314" spans="1:7" ht="17.25" customHeight="1" x14ac:dyDescent="0.2">
      <c r="A4314" s="1611">
        <v>16</v>
      </c>
      <c r="B4314" s="1611" t="s">
        <v>7156</v>
      </c>
      <c r="C4314" s="1611" t="s">
        <v>6091</v>
      </c>
      <c r="D4314" s="1612">
        <v>0</v>
      </c>
      <c r="E4314" s="1706" t="s">
        <v>7592</v>
      </c>
      <c r="F4314" s="1613">
        <v>14300000</v>
      </c>
      <c r="G4314" s="1613">
        <v>196592655727</v>
      </c>
    </row>
    <row r="4315" spans="1:7" ht="17.25" customHeight="1" x14ac:dyDescent="0.2">
      <c r="A4315" s="1611">
        <v>16</v>
      </c>
      <c r="B4315" s="1611" t="s">
        <v>7154</v>
      </c>
      <c r="C4315" s="1611" t="s">
        <v>6092</v>
      </c>
      <c r="D4315" s="1612">
        <v>0</v>
      </c>
      <c r="E4315" s="1706" t="s">
        <v>7592</v>
      </c>
      <c r="F4315" s="1613">
        <v>52409091</v>
      </c>
      <c r="G4315" s="1613">
        <v>196645064818</v>
      </c>
    </row>
    <row r="4316" spans="1:7" ht="17.25" customHeight="1" x14ac:dyDescent="0.2">
      <c r="A4316" s="1611">
        <v>16</v>
      </c>
      <c r="B4316" s="1611" t="s">
        <v>7156</v>
      </c>
      <c r="C4316" s="1611" t="s">
        <v>6093</v>
      </c>
      <c r="D4316" s="1612">
        <v>0</v>
      </c>
      <c r="E4316" s="1706" t="s">
        <v>7592</v>
      </c>
      <c r="F4316" s="1613">
        <v>15000000</v>
      </c>
      <c r="G4316" s="1613">
        <v>196660064818</v>
      </c>
    </row>
    <row r="4317" spans="1:7" ht="17.25" customHeight="1" x14ac:dyDescent="0.2">
      <c r="A4317" s="1611">
        <v>16</v>
      </c>
      <c r="B4317" s="1611" t="s">
        <v>7203</v>
      </c>
      <c r="C4317" s="1611" t="s">
        <v>3633</v>
      </c>
      <c r="D4317" s="1612">
        <v>0</v>
      </c>
      <c r="E4317" s="1706" t="s">
        <v>7592</v>
      </c>
      <c r="F4317" s="1613">
        <v>20144000</v>
      </c>
      <c r="G4317" s="1613">
        <v>196680208818</v>
      </c>
    </row>
    <row r="4318" spans="1:7" ht="17.25" customHeight="1" x14ac:dyDescent="0.2">
      <c r="A4318" s="1611">
        <v>16</v>
      </c>
      <c r="B4318" s="1611" t="s">
        <v>7261</v>
      </c>
      <c r="C4318" s="1611" t="s">
        <v>6094</v>
      </c>
      <c r="D4318" s="1612">
        <v>0</v>
      </c>
      <c r="E4318" s="1706" t="s">
        <v>7592</v>
      </c>
      <c r="F4318" s="1613">
        <v>148200000</v>
      </c>
      <c r="G4318" s="1613">
        <v>196828408818</v>
      </c>
    </row>
    <row r="4319" spans="1:7" ht="17.25" customHeight="1" x14ac:dyDescent="0.2">
      <c r="A4319" s="1611">
        <v>16</v>
      </c>
      <c r="B4319" s="1611" t="s">
        <v>7170</v>
      </c>
      <c r="C4319" s="1611" t="s">
        <v>6095</v>
      </c>
      <c r="D4319" s="1612">
        <v>0</v>
      </c>
      <c r="E4319" s="1706" t="s">
        <v>7592</v>
      </c>
      <c r="F4319" s="1613">
        <v>175000000</v>
      </c>
      <c r="G4319" s="1613">
        <v>197003408818</v>
      </c>
    </row>
    <row r="4320" spans="1:7" ht="17.25" customHeight="1" x14ac:dyDescent="0.2">
      <c r="A4320" s="1611">
        <v>16</v>
      </c>
      <c r="B4320" s="1611" t="s">
        <v>7170</v>
      </c>
      <c r="C4320" s="1611" t="s">
        <v>6096</v>
      </c>
      <c r="D4320" s="1612">
        <v>0</v>
      </c>
      <c r="E4320" s="1706" t="s">
        <v>7592</v>
      </c>
      <c r="F4320" s="1613">
        <v>171000000</v>
      </c>
      <c r="G4320" s="1613">
        <v>197174408818</v>
      </c>
    </row>
    <row r="4321" spans="1:7" ht="17.25" customHeight="1" x14ac:dyDescent="0.2">
      <c r="A4321" s="1611">
        <v>16</v>
      </c>
      <c r="B4321" s="1611" t="s">
        <v>7203</v>
      </c>
      <c r="C4321" s="1611" t="s">
        <v>6097</v>
      </c>
      <c r="D4321" s="1612">
        <v>0</v>
      </c>
      <c r="E4321" s="1706" t="s">
        <v>7592</v>
      </c>
      <c r="F4321" s="1613">
        <v>37500000</v>
      </c>
      <c r="G4321" s="1613">
        <v>197211908818</v>
      </c>
    </row>
    <row r="4322" spans="1:7" ht="17.25" customHeight="1" x14ac:dyDescent="0.2">
      <c r="A4322" s="1611">
        <v>16</v>
      </c>
      <c r="B4322" s="1611" t="s">
        <v>7252</v>
      </c>
      <c r="C4322" s="1611" t="s">
        <v>6098</v>
      </c>
      <c r="D4322" s="1612">
        <v>0</v>
      </c>
      <c r="E4322" s="1706" t="s">
        <v>7592</v>
      </c>
      <c r="F4322" s="1613">
        <v>60000000</v>
      </c>
      <c r="G4322" s="1613">
        <v>197271908818</v>
      </c>
    </row>
    <row r="4323" spans="1:7" ht="17.25" customHeight="1" x14ac:dyDescent="0.2">
      <c r="A4323" s="1611">
        <v>16</v>
      </c>
      <c r="B4323" s="1611" t="s">
        <v>7203</v>
      </c>
      <c r="C4323" s="1611" t="s">
        <v>6099</v>
      </c>
      <c r="D4323" s="1612">
        <v>0</v>
      </c>
      <c r="E4323" s="1612" t="s">
        <v>3296</v>
      </c>
      <c r="F4323" s="1613">
        <v>27375170</v>
      </c>
      <c r="G4323" s="1613">
        <v>197299283988</v>
      </c>
    </row>
    <row r="4324" spans="1:7" ht="17.25" customHeight="1" x14ac:dyDescent="0.2">
      <c r="A4324" s="1611">
        <v>16</v>
      </c>
      <c r="B4324" s="1611" t="s">
        <v>7203</v>
      </c>
      <c r="C4324" s="1611" t="s">
        <v>6100</v>
      </c>
      <c r="D4324" s="1612">
        <v>0</v>
      </c>
      <c r="E4324" s="1706" t="s">
        <v>7592</v>
      </c>
      <c r="F4324" s="1613">
        <v>35000000</v>
      </c>
      <c r="G4324" s="1613">
        <v>197334283988</v>
      </c>
    </row>
    <row r="4325" spans="1:7" ht="17.25" customHeight="1" x14ac:dyDescent="0.2">
      <c r="A4325" s="1611">
        <v>16</v>
      </c>
      <c r="B4325" s="1611" t="s">
        <v>7154</v>
      </c>
      <c r="C4325" s="1611" t="s">
        <v>6101</v>
      </c>
      <c r="D4325" s="1612">
        <v>0</v>
      </c>
      <c r="E4325" s="1706" t="s">
        <v>7592</v>
      </c>
      <c r="F4325" s="1613">
        <v>50909091</v>
      </c>
      <c r="G4325" s="1613">
        <v>197385193079</v>
      </c>
    </row>
    <row r="4326" spans="1:7" ht="17.25" customHeight="1" x14ac:dyDescent="0.2">
      <c r="A4326" s="1611">
        <v>16</v>
      </c>
      <c r="B4326" s="1611" t="s">
        <v>7156</v>
      </c>
      <c r="C4326" s="1611" t="s">
        <v>6102</v>
      </c>
      <c r="D4326" s="1612">
        <v>0</v>
      </c>
      <c r="E4326" s="1706" t="s">
        <v>7592</v>
      </c>
      <c r="F4326" s="1613">
        <v>13909091</v>
      </c>
      <c r="G4326" s="1613">
        <v>197399102170</v>
      </c>
    </row>
    <row r="4327" spans="1:7" ht="17.25" customHeight="1" x14ac:dyDescent="0.2">
      <c r="A4327" s="1611">
        <v>16</v>
      </c>
      <c r="B4327" s="1611" t="s">
        <v>7154</v>
      </c>
      <c r="C4327" s="1611" t="s">
        <v>6103</v>
      </c>
      <c r="D4327" s="1612">
        <v>0</v>
      </c>
      <c r="E4327" s="1706" t="s">
        <v>7592</v>
      </c>
      <c r="F4327" s="1613">
        <v>51000000</v>
      </c>
      <c r="G4327" s="1613">
        <v>197450102170</v>
      </c>
    </row>
    <row r="4328" spans="1:7" ht="17.25" customHeight="1" x14ac:dyDescent="0.2">
      <c r="A4328" s="1611">
        <v>16</v>
      </c>
      <c r="B4328" s="1611" t="s">
        <v>7261</v>
      </c>
      <c r="C4328" s="1611" t="s">
        <v>6104</v>
      </c>
      <c r="D4328" s="1612">
        <v>0</v>
      </c>
      <c r="E4328" s="1706" t="s">
        <v>7592</v>
      </c>
      <c r="F4328" s="1613">
        <v>144950000</v>
      </c>
      <c r="G4328" s="1613">
        <v>197595052170</v>
      </c>
    </row>
    <row r="4329" spans="1:7" ht="17.25" customHeight="1" x14ac:dyDescent="0.2">
      <c r="A4329" s="1611">
        <v>16</v>
      </c>
      <c r="B4329" s="1611" t="s">
        <v>7154</v>
      </c>
      <c r="C4329" s="1611" t="s">
        <v>6105</v>
      </c>
      <c r="D4329" s="1612">
        <v>0</v>
      </c>
      <c r="E4329" s="1706" t="s">
        <v>7557</v>
      </c>
      <c r="F4329" s="1613">
        <v>31038079</v>
      </c>
      <c r="G4329" s="1613">
        <v>197626090249</v>
      </c>
    </row>
    <row r="4330" spans="1:7" ht="17.25" customHeight="1" x14ac:dyDescent="0.2">
      <c r="A4330" s="1611">
        <v>16</v>
      </c>
      <c r="B4330" s="1611" t="s">
        <v>7203</v>
      </c>
      <c r="C4330" s="1611" t="s">
        <v>6106</v>
      </c>
      <c r="D4330" s="1612">
        <v>0</v>
      </c>
      <c r="E4330" s="1706" t="s">
        <v>7592</v>
      </c>
      <c r="F4330" s="1613">
        <v>18373000</v>
      </c>
      <c r="G4330" s="1613">
        <v>197644463249</v>
      </c>
    </row>
    <row r="4331" spans="1:7" ht="17.25" customHeight="1" x14ac:dyDescent="0.2">
      <c r="A4331" s="1611">
        <v>16</v>
      </c>
      <c r="B4331" s="1611" t="s">
        <v>7203</v>
      </c>
      <c r="C4331" s="1611" t="s">
        <v>6106</v>
      </c>
      <c r="D4331" s="1612">
        <v>0</v>
      </c>
      <c r="E4331" s="1706" t="s">
        <v>7592</v>
      </c>
      <c r="F4331" s="1613">
        <v>18373000</v>
      </c>
      <c r="G4331" s="1613">
        <v>197662836249</v>
      </c>
    </row>
    <row r="4332" spans="1:7" ht="17.25" customHeight="1" x14ac:dyDescent="0.2">
      <c r="A4332" s="1611">
        <v>16</v>
      </c>
      <c r="B4332" s="1611" t="s">
        <v>7203</v>
      </c>
      <c r="C4332" s="1611" t="s">
        <v>6107</v>
      </c>
      <c r="D4332" s="1612">
        <v>0</v>
      </c>
      <c r="E4332" s="1706" t="s">
        <v>7592</v>
      </c>
      <c r="F4332" s="1613">
        <v>17573000</v>
      </c>
      <c r="G4332" s="1613">
        <v>197680409249</v>
      </c>
    </row>
    <row r="4333" spans="1:7" ht="17.25" customHeight="1" x14ac:dyDescent="0.2">
      <c r="A4333" s="1611">
        <v>16</v>
      </c>
      <c r="B4333" s="1611" t="s">
        <v>7203</v>
      </c>
      <c r="C4333" s="1611" t="s">
        <v>6108</v>
      </c>
      <c r="D4333" s="1612">
        <v>0</v>
      </c>
      <c r="E4333" s="1706" t="s">
        <v>7592</v>
      </c>
      <c r="F4333" s="1613">
        <v>38181818</v>
      </c>
      <c r="G4333" s="1613">
        <v>197718591067</v>
      </c>
    </row>
    <row r="4334" spans="1:7" ht="17.25" customHeight="1" x14ac:dyDescent="0.2">
      <c r="A4334" s="1611">
        <v>16</v>
      </c>
      <c r="B4334" s="1611" t="s">
        <v>7203</v>
      </c>
      <c r="C4334" s="1611" t="s">
        <v>6109</v>
      </c>
      <c r="D4334" s="1612">
        <v>0</v>
      </c>
      <c r="E4334" s="1706" t="s">
        <v>7592</v>
      </c>
      <c r="F4334" s="1613">
        <v>38181818</v>
      </c>
      <c r="G4334" s="1613">
        <v>197756772885</v>
      </c>
    </row>
    <row r="4335" spans="1:7" ht="17.25" customHeight="1" x14ac:dyDescent="0.2">
      <c r="A4335" s="1611">
        <v>16</v>
      </c>
      <c r="B4335" s="1611" t="s">
        <v>7176</v>
      </c>
      <c r="C4335" s="1611" t="s">
        <v>6110</v>
      </c>
      <c r="D4335" s="1612">
        <v>0</v>
      </c>
      <c r="E4335" s="1706" t="s">
        <v>7592</v>
      </c>
      <c r="F4335" s="1613">
        <v>41000000</v>
      </c>
      <c r="G4335" s="1613">
        <v>197797772885</v>
      </c>
    </row>
    <row r="4336" spans="1:7" ht="17.25" customHeight="1" x14ac:dyDescent="0.2">
      <c r="A4336" s="1611">
        <v>16</v>
      </c>
      <c r="B4336" s="1611" t="s">
        <v>7156</v>
      </c>
      <c r="C4336" s="1611" t="s">
        <v>6111</v>
      </c>
      <c r="D4336" s="1612">
        <v>0</v>
      </c>
      <c r="E4336" s="1706" t="s">
        <v>7592</v>
      </c>
      <c r="F4336" s="1613">
        <v>14309091</v>
      </c>
      <c r="G4336" s="1613">
        <v>197812081976</v>
      </c>
    </row>
    <row r="4337" spans="1:7" ht="17.25" customHeight="1" x14ac:dyDescent="0.2">
      <c r="A4337" s="1611">
        <v>16</v>
      </c>
      <c r="B4337" s="1611" t="s">
        <v>7156</v>
      </c>
      <c r="C4337" s="1611" t="s">
        <v>6112</v>
      </c>
      <c r="D4337" s="1612">
        <v>0</v>
      </c>
      <c r="E4337" s="1706" t="s">
        <v>7592</v>
      </c>
      <c r="F4337" s="1613">
        <v>12800000</v>
      </c>
      <c r="G4337" s="1613">
        <v>197824881976</v>
      </c>
    </row>
    <row r="4338" spans="1:7" ht="17.25" customHeight="1" x14ac:dyDescent="0.2">
      <c r="A4338" s="1611">
        <v>16</v>
      </c>
      <c r="B4338" s="1611" t="s">
        <v>7203</v>
      </c>
      <c r="C4338" s="1611" t="s">
        <v>6113</v>
      </c>
      <c r="D4338" s="1612">
        <v>0</v>
      </c>
      <c r="E4338" s="1706" t="s">
        <v>7592</v>
      </c>
      <c r="F4338" s="1613">
        <v>37727272</v>
      </c>
      <c r="G4338" s="1613">
        <v>197862609248</v>
      </c>
    </row>
    <row r="4339" spans="1:7" ht="17.25" customHeight="1" x14ac:dyDescent="0.2">
      <c r="A4339" s="1611">
        <v>16</v>
      </c>
      <c r="B4339" s="1611" t="s">
        <v>7331</v>
      </c>
      <c r="C4339" s="1611" t="s">
        <v>6114</v>
      </c>
      <c r="D4339" s="1612">
        <v>0</v>
      </c>
      <c r="E4339" s="1706" t="s">
        <v>7592</v>
      </c>
      <c r="F4339" s="1613">
        <v>42700000</v>
      </c>
      <c r="G4339" s="1613">
        <v>197905309248</v>
      </c>
    </row>
    <row r="4340" spans="1:7" ht="17.25" customHeight="1" x14ac:dyDescent="0.2">
      <c r="A4340" s="1611">
        <v>16</v>
      </c>
      <c r="B4340" s="1611" t="s">
        <v>7154</v>
      </c>
      <c r="C4340" s="1611" t="s">
        <v>6115</v>
      </c>
      <c r="D4340" s="1612">
        <v>0</v>
      </c>
      <c r="E4340" s="1706" t="s">
        <v>7592</v>
      </c>
      <c r="F4340" s="1613">
        <v>48500000</v>
      </c>
      <c r="G4340" s="1613">
        <v>197953809248</v>
      </c>
    </row>
    <row r="4341" spans="1:7" ht="17.25" customHeight="1" x14ac:dyDescent="0.2">
      <c r="A4341" s="1611">
        <v>16</v>
      </c>
      <c r="B4341" s="1611" t="s">
        <v>7176</v>
      </c>
      <c r="C4341" s="1611" t="s">
        <v>6116</v>
      </c>
      <c r="D4341" s="1612">
        <v>0</v>
      </c>
      <c r="E4341" s="1706" t="s">
        <v>7592</v>
      </c>
      <c r="F4341" s="1613">
        <v>43636364</v>
      </c>
      <c r="G4341" s="1613">
        <v>197997445612</v>
      </c>
    </row>
    <row r="4342" spans="1:7" ht="17.25" customHeight="1" x14ac:dyDescent="0.2">
      <c r="A4342" s="1611">
        <v>16</v>
      </c>
      <c r="B4342" s="1611" t="s">
        <v>7186</v>
      </c>
      <c r="C4342" s="1611" t="s">
        <v>6117</v>
      </c>
      <c r="D4342" s="1612">
        <v>0</v>
      </c>
      <c r="E4342" s="1706" t="s">
        <v>7592</v>
      </c>
      <c r="F4342" s="1613">
        <v>54545455</v>
      </c>
      <c r="G4342" s="1613">
        <v>198051991067</v>
      </c>
    </row>
    <row r="4343" spans="1:7" ht="17.25" customHeight="1" x14ac:dyDescent="0.2">
      <c r="A4343" s="1611">
        <v>16</v>
      </c>
      <c r="B4343" s="1611" t="s">
        <v>7203</v>
      </c>
      <c r="C4343" s="1611" t="s">
        <v>6118</v>
      </c>
      <c r="D4343" s="1612">
        <v>0</v>
      </c>
      <c r="E4343" s="1706" t="s">
        <v>7592</v>
      </c>
      <c r="F4343" s="1613">
        <v>18373000</v>
      </c>
      <c r="G4343" s="1613">
        <v>198070364067</v>
      </c>
    </row>
    <row r="4344" spans="1:7" ht="17.25" customHeight="1" x14ac:dyDescent="0.2">
      <c r="A4344" s="1611">
        <v>16</v>
      </c>
      <c r="B4344" s="1611" t="s">
        <v>7203</v>
      </c>
      <c r="C4344" s="1611" t="s">
        <v>6119</v>
      </c>
      <c r="D4344" s="1612">
        <v>0</v>
      </c>
      <c r="E4344" s="1706" t="s">
        <v>7592</v>
      </c>
      <c r="F4344" s="1613">
        <v>37500000</v>
      </c>
      <c r="G4344" s="1613">
        <v>198107864067</v>
      </c>
    </row>
    <row r="4345" spans="1:7" ht="17.25" customHeight="1" x14ac:dyDescent="0.2">
      <c r="A4345" s="1611">
        <v>16</v>
      </c>
      <c r="B4345" s="1611" t="s">
        <v>7338</v>
      </c>
      <c r="C4345" s="1611" t="s">
        <v>6120</v>
      </c>
      <c r="D4345" s="1612">
        <v>0</v>
      </c>
      <c r="E4345" s="1706" t="s">
        <v>7592</v>
      </c>
      <c r="F4345" s="1613">
        <v>5079636</v>
      </c>
      <c r="G4345" s="1613">
        <v>198112943703</v>
      </c>
    </row>
    <row r="4346" spans="1:7" ht="17.25" customHeight="1" x14ac:dyDescent="0.2">
      <c r="A4346" s="1611">
        <v>16</v>
      </c>
      <c r="B4346" s="1611" t="s">
        <v>7156</v>
      </c>
      <c r="C4346" s="1611" t="s">
        <v>6121</v>
      </c>
      <c r="D4346" s="1612">
        <v>0</v>
      </c>
      <c r="E4346" s="1706" t="s">
        <v>7592</v>
      </c>
      <c r="F4346" s="1613">
        <v>14500000</v>
      </c>
      <c r="G4346" s="1613">
        <v>198127443703</v>
      </c>
    </row>
    <row r="4347" spans="1:7" ht="17.25" customHeight="1" x14ac:dyDescent="0.2">
      <c r="A4347" s="1611">
        <v>16</v>
      </c>
      <c r="B4347" s="1611" t="s">
        <v>7203</v>
      </c>
      <c r="C4347" s="1611" t="s">
        <v>6122</v>
      </c>
      <c r="D4347" s="1612">
        <v>0</v>
      </c>
      <c r="E4347" s="1706" t="s">
        <v>7592</v>
      </c>
      <c r="F4347" s="1613">
        <v>17803000</v>
      </c>
      <c r="G4347" s="1613">
        <v>198145246703</v>
      </c>
    </row>
    <row r="4348" spans="1:7" ht="17.25" customHeight="1" x14ac:dyDescent="0.2">
      <c r="A4348" s="1611">
        <v>16</v>
      </c>
      <c r="B4348" s="1611" t="s">
        <v>7203</v>
      </c>
      <c r="C4348" s="1611" t="s">
        <v>6123</v>
      </c>
      <c r="D4348" s="1612">
        <v>0</v>
      </c>
      <c r="E4348" s="1706" t="s">
        <v>7592</v>
      </c>
      <c r="F4348" s="1613">
        <v>17803000</v>
      </c>
      <c r="G4348" s="1613">
        <v>198163049703</v>
      </c>
    </row>
    <row r="4349" spans="1:7" ht="17.25" customHeight="1" x14ac:dyDescent="0.2">
      <c r="A4349" s="1611">
        <v>16</v>
      </c>
      <c r="B4349" s="1611" t="s">
        <v>7273</v>
      </c>
      <c r="C4349" s="1611" t="s">
        <v>6124</v>
      </c>
      <c r="D4349" s="1612">
        <v>0</v>
      </c>
      <c r="E4349" s="1706" t="s">
        <v>7592</v>
      </c>
      <c r="F4349" s="1613">
        <v>163000000</v>
      </c>
      <c r="G4349" s="1613">
        <v>198326049703</v>
      </c>
    </row>
    <row r="4350" spans="1:7" ht="17.25" customHeight="1" x14ac:dyDescent="0.2">
      <c r="A4350" s="1611">
        <v>16</v>
      </c>
      <c r="B4350" s="1611" t="s">
        <v>7251</v>
      </c>
      <c r="C4350" s="1611" t="s">
        <v>6125</v>
      </c>
      <c r="D4350" s="1612">
        <v>0</v>
      </c>
      <c r="E4350" s="1706" t="s">
        <v>7592</v>
      </c>
      <c r="F4350" s="1613">
        <v>35909091</v>
      </c>
      <c r="G4350" s="1613">
        <v>198361958794</v>
      </c>
    </row>
    <row r="4351" spans="1:7" ht="17.25" customHeight="1" x14ac:dyDescent="0.2">
      <c r="A4351" s="1611">
        <v>16</v>
      </c>
      <c r="B4351" s="1611" t="s">
        <v>7203</v>
      </c>
      <c r="C4351" s="1611" t="s">
        <v>6126</v>
      </c>
      <c r="D4351" s="1612">
        <v>0</v>
      </c>
      <c r="E4351" s="1706" t="s">
        <v>7592</v>
      </c>
      <c r="F4351" s="1613">
        <v>38181818</v>
      </c>
      <c r="G4351" s="1613">
        <v>198400140612</v>
      </c>
    </row>
    <row r="4352" spans="1:7" ht="17.25" customHeight="1" x14ac:dyDescent="0.2">
      <c r="A4352" s="1611">
        <v>16</v>
      </c>
      <c r="B4352" s="1611" t="s">
        <v>7203</v>
      </c>
      <c r="C4352" s="1611" t="s">
        <v>6127</v>
      </c>
      <c r="D4352" s="1612">
        <v>0</v>
      </c>
      <c r="E4352" s="1706" t="s">
        <v>7592</v>
      </c>
      <c r="F4352" s="1613">
        <v>17600000</v>
      </c>
      <c r="G4352" s="1613">
        <v>198417740612</v>
      </c>
    </row>
    <row r="4353" spans="1:7" ht="17.25" customHeight="1" x14ac:dyDescent="0.2">
      <c r="A4353" s="1611">
        <v>16</v>
      </c>
      <c r="B4353" s="1611" t="s">
        <v>7203</v>
      </c>
      <c r="C4353" s="1611" t="s">
        <v>6128</v>
      </c>
      <c r="D4353" s="1612">
        <v>0</v>
      </c>
      <c r="E4353" s="1706" t="s">
        <v>7592</v>
      </c>
      <c r="F4353" s="1613">
        <v>38500000</v>
      </c>
      <c r="G4353" s="1613">
        <v>198456240612</v>
      </c>
    </row>
    <row r="4354" spans="1:7" ht="17.25" customHeight="1" x14ac:dyDescent="0.2">
      <c r="A4354" s="1611">
        <v>16</v>
      </c>
      <c r="B4354" s="1611" t="s">
        <v>7282</v>
      </c>
      <c r="C4354" s="1611" t="s">
        <v>6129</v>
      </c>
      <c r="D4354" s="1612">
        <v>0</v>
      </c>
      <c r="E4354" s="1706" t="s">
        <v>7592</v>
      </c>
      <c r="F4354" s="1613">
        <v>155000000</v>
      </c>
      <c r="G4354" s="1613">
        <v>198611240612</v>
      </c>
    </row>
    <row r="4355" spans="1:7" ht="17.25" customHeight="1" x14ac:dyDescent="0.2">
      <c r="A4355" s="1611">
        <v>16</v>
      </c>
      <c r="B4355" s="1611" t="s">
        <v>7156</v>
      </c>
      <c r="C4355" s="1611" t="s">
        <v>6130</v>
      </c>
      <c r="D4355" s="1612">
        <v>0</v>
      </c>
      <c r="E4355" s="1706" t="s">
        <v>7592</v>
      </c>
      <c r="F4355" s="1613">
        <v>14500000</v>
      </c>
      <c r="G4355" s="1613">
        <v>198625740612</v>
      </c>
    </row>
    <row r="4356" spans="1:7" ht="17.25" customHeight="1" x14ac:dyDescent="0.2">
      <c r="A4356" s="1611">
        <v>16</v>
      </c>
      <c r="B4356" s="1611" t="s">
        <v>7156</v>
      </c>
      <c r="C4356" s="1611" t="s">
        <v>6130</v>
      </c>
      <c r="D4356" s="1612">
        <v>0</v>
      </c>
      <c r="E4356" s="1706" t="s">
        <v>7592</v>
      </c>
      <c r="F4356" s="1613">
        <v>14500000</v>
      </c>
      <c r="G4356" s="1613">
        <v>198640240612</v>
      </c>
    </row>
    <row r="4357" spans="1:7" ht="17.25" customHeight="1" x14ac:dyDescent="0.2">
      <c r="A4357" s="1611">
        <v>16</v>
      </c>
      <c r="B4357" s="1611" t="s">
        <v>7156</v>
      </c>
      <c r="C4357" s="1611" t="s">
        <v>6130</v>
      </c>
      <c r="D4357" s="1612">
        <v>0</v>
      </c>
      <c r="E4357" s="1706" t="s">
        <v>7592</v>
      </c>
      <c r="F4357" s="1613">
        <v>14500000</v>
      </c>
      <c r="G4357" s="1613">
        <v>198654740612</v>
      </c>
    </row>
    <row r="4358" spans="1:7" ht="17.25" customHeight="1" x14ac:dyDescent="0.2">
      <c r="A4358" s="1611">
        <v>16</v>
      </c>
      <c r="B4358" s="1611" t="s">
        <v>7156</v>
      </c>
      <c r="C4358" s="1611" t="s">
        <v>6130</v>
      </c>
      <c r="D4358" s="1612">
        <v>0</v>
      </c>
      <c r="E4358" s="1706" t="s">
        <v>7592</v>
      </c>
      <c r="F4358" s="1613">
        <v>14500000</v>
      </c>
      <c r="G4358" s="1613">
        <v>198669240612</v>
      </c>
    </row>
    <row r="4359" spans="1:7" ht="17.25" customHeight="1" x14ac:dyDescent="0.2">
      <c r="A4359" s="1611">
        <v>16</v>
      </c>
      <c r="B4359" s="1611" t="s">
        <v>7156</v>
      </c>
      <c r="C4359" s="1611" t="s">
        <v>6130</v>
      </c>
      <c r="D4359" s="1612">
        <v>0</v>
      </c>
      <c r="E4359" s="1706" t="s">
        <v>7592</v>
      </c>
      <c r="F4359" s="1613">
        <v>14500000</v>
      </c>
      <c r="G4359" s="1613">
        <v>198683740612</v>
      </c>
    </row>
    <row r="4360" spans="1:7" ht="17.25" customHeight="1" x14ac:dyDescent="0.2">
      <c r="A4360" s="1611">
        <v>16</v>
      </c>
      <c r="B4360" s="1611" t="s">
        <v>7170</v>
      </c>
      <c r="C4360" s="1611" t="s">
        <v>6131</v>
      </c>
      <c r="D4360" s="1612">
        <v>0</v>
      </c>
      <c r="E4360" s="1706" t="s">
        <v>7592</v>
      </c>
      <c r="F4360" s="1613">
        <v>175000000</v>
      </c>
      <c r="G4360" s="1613">
        <v>198858740612</v>
      </c>
    </row>
    <row r="4361" spans="1:7" ht="17.25" customHeight="1" x14ac:dyDescent="0.2">
      <c r="A4361" s="1611">
        <v>16</v>
      </c>
      <c r="B4361" s="1611" t="s">
        <v>7154</v>
      </c>
      <c r="C4361" s="1611" t="s">
        <v>6132</v>
      </c>
      <c r="D4361" s="1612">
        <v>0</v>
      </c>
      <c r="E4361" s="1706" t="s">
        <v>7592</v>
      </c>
      <c r="F4361" s="1613">
        <v>51181818</v>
      </c>
      <c r="G4361" s="1613">
        <v>198909922430</v>
      </c>
    </row>
    <row r="4362" spans="1:7" ht="17.25" customHeight="1" x14ac:dyDescent="0.2">
      <c r="A4362" s="1611">
        <v>16</v>
      </c>
      <c r="B4362" s="1611" t="s">
        <v>7154</v>
      </c>
      <c r="C4362" s="1611" t="s">
        <v>6133</v>
      </c>
      <c r="D4362" s="1612">
        <v>0</v>
      </c>
      <c r="E4362" s="1706" t="s">
        <v>7592</v>
      </c>
      <c r="F4362" s="1613">
        <v>50454545</v>
      </c>
      <c r="G4362" s="1613">
        <v>198960376975</v>
      </c>
    </row>
    <row r="4363" spans="1:7" ht="17.25" customHeight="1" x14ac:dyDescent="0.2">
      <c r="A4363" s="1611">
        <v>16</v>
      </c>
      <c r="B4363" s="1611" t="s">
        <v>7156</v>
      </c>
      <c r="C4363" s="1611" t="s">
        <v>4213</v>
      </c>
      <c r="D4363" s="1612">
        <v>0</v>
      </c>
      <c r="E4363" s="1706" t="s">
        <v>7592</v>
      </c>
      <c r="F4363" s="1613">
        <v>14500000</v>
      </c>
      <c r="G4363" s="1613">
        <v>198974876975</v>
      </c>
    </row>
    <row r="4364" spans="1:7" ht="17.25" customHeight="1" x14ac:dyDescent="0.2">
      <c r="A4364" s="1611">
        <v>16</v>
      </c>
      <c r="B4364" s="1611" t="s">
        <v>7331</v>
      </c>
      <c r="C4364" s="1611" t="s">
        <v>6134</v>
      </c>
      <c r="D4364" s="1612">
        <v>0</v>
      </c>
      <c r="E4364" s="1706" t="s">
        <v>7592</v>
      </c>
      <c r="F4364" s="1613">
        <v>41000000</v>
      </c>
      <c r="G4364" s="1613">
        <v>199015876975</v>
      </c>
    </row>
    <row r="4365" spans="1:7" ht="17.25" customHeight="1" x14ac:dyDescent="0.2">
      <c r="A4365" s="1611">
        <v>16</v>
      </c>
      <c r="B4365" s="1611" t="s">
        <v>7203</v>
      </c>
      <c r="C4365" s="1611" t="s">
        <v>6135</v>
      </c>
      <c r="D4365" s="1612">
        <v>0</v>
      </c>
      <c r="E4365" s="1706" t="s">
        <v>7592</v>
      </c>
      <c r="F4365" s="1613">
        <v>36363636</v>
      </c>
      <c r="G4365" s="1613">
        <v>199052240611</v>
      </c>
    </row>
    <row r="4366" spans="1:7" ht="17.25" customHeight="1" x14ac:dyDescent="0.2">
      <c r="A4366" s="1611">
        <v>16</v>
      </c>
      <c r="B4366" s="1611" t="s">
        <v>7176</v>
      </c>
      <c r="C4366" s="1611" t="s">
        <v>6136</v>
      </c>
      <c r="D4366" s="1612">
        <v>0</v>
      </c>
      <c r="E4366" s="1706" t="s">
        <v>7592</v>
      </c>
      <c r="F4366" s="1613">
        <v>39500000</v>
      </c>
      <c r="G4366" s="1613">
        <v>199091740611</v>
      </c>
    </row>
    <row r="4367" spans="1:7" ht="17.25" customHeight="1" x14ac:dyDescent="0.2">
      <c r="A4367" s="1611">
        <v>16</v>
      </c>
      <c r="B4367" s="1611" t="s">
        <v>7154</v>
      </c>
      <c r="C4367" s="1611" t="s">
        <v>6137</v>
      </c>
      <c r="D4367" s="1612">
        <v>0</v>
      </c>
      <c r="E4367" s="1706" t="s">
        <v>7592</v>
      </c>
      <c r="F4367" s="1613">
        <v>50500000</v>
      </c>
      <c r="G4367" s="1613">
        <v>199142240611</v>
      </c>
    </row>
    <row r="4368" spans="1:7" ht="17.25" customHeight="1" x14ac:dyDescent="0.2">
      <c r="A4368" s="1611">
        <v>16</v>
      </c>
      <c r="B4368" s="1611" t="s">
        <v>7156</v>
      </c>
      <c r="C4368" s="1611" t="s">
        <v>6138</v>
      </c>
      <c r="D4368" s="1612">
        <v>0</v>
      </c>
      <c r="E4368" s="1706" t="s">
        <v>7592</v>
      </c>
      <c r="F4368" s="1613">
        <v>16018182</v>
      </c>
      <c r="G4368" s="1613">
        <v>199158258793</v>
      </c>
    </row>
    <row r="4369" spans="1:7" ht="17.25" customHeight="1" x14ac:dyDescent="0.2">
      <c r="A4369" s="1611">
        <v>16</v>
      </c>
      <c r="B4369" s="1611" t="s">
        <v>7273</v>
      </c>
      <c r="C4369" s="1611" t="s">
        <v>6139</v>
      </c>
      <c r="D4369" s="1612">
        <v>0</v>
      </c>
      <c r="E4369" s="1706" t="s">
        <v>7592</v>
      </c>
      <c r="F4369" s="1613">
        <v>162000000</v>
      </c>
      <c r="G4369" s="1613">
        <v>199320258793</v>
      </c>
    </row>
    <row r="4370" spans="1:7" ht="17.25" customHeight="1" x14ac:dyDescent="0.2">
      <c r="A4370" s="1611">
        <v>16</v>
      </c>
      <c r="B4370" s="1611" t="s">
        <v>7154</v>
      </c>
      <c r="C4370" s="1611" t="s">
        <v>6140</v>
      </c>
      <c r="D4370" s="1612">
        <v>0</v>
      </c>
      <c r="E4370" s="1706" t="s">
        <v>7592</v>
      </c>
      <c r="F4370" s="1613">
        <v>51000000</v>
      </c>
      <c r="G4370" s="1613">
        <v>199371258793</v>
      </c>
    </row>
    <row r="4371" spans="1:7" ht="17.25" customHeight="1" x14ac:dyDescent="0.2">
      <c r="A4371" s="1611">
        <v>16</v>
      </c>
      <c r="B4371" s="1611" t="s">
        <v>7261</v>
      </c>
      <c r="C4371" s="1611" t="s">
        <v>6141</v>
      </c>
      <c r="D4371" s="1612">
        <v>0</v>
      </c>
      <c r="E4371" s="1706" t="s">
        <v>7592</v>
      </c>
      <c r="F4371" s="1613">
        <v>144200000</v>
      </c>
      <c r="G4371" s="1613">
        <v>199515458793</v>
      </c>
    </row>
    <row r="4372" spans="1:7" ht="17.25" customHeight="1" x14ac:dyDescent="0.2">
      <c r="A4372" s="1611">
        <v>16</v>
      </c>
      <c r="B4372" s="1611" t="s">
        <v>7339</v>
      </c>
      <c r="C4372" s="1611" t="s">
        <v>4305</v>
      </c>
      <c r="D4372" s="1612">
        <v>0</v>
      </c>
      <c r="E4372" s="1612" t="s">
        <v>3296</v>
      </c>
      <c r="F4372" s="1613">
        <v>1678066800</v>
      </c>
      <c r="G4372" s="1613">
        <v>201193525593</v>
      </c>
    </row>
    <row r="4373" spans="1:7" ht="17.25" customHeight="1" x14ac:dyDescent="0.2">
      <c r="A4373" s="1611">
        <v>16</v>
      </c>
      <c r="B4373" s="1611" t="s">
        <v>7203</v>
      </c>
      <c r="C4373" s="1611" t="s">
        <v>6142</v>
      </c>
      <c r="D4373" s="1612">
        <v>0</v>
      </c>
      <c r="E4373" s="1706" t="s">
        <v>7592</v>
      </c>
      <c r="F4373" s="1613">
        <v>17803000</v>
      </c>
      <c r="G4373" s="1613">
        <v>201211328593</v>
      </c>
    </row>
    <row r="4374" spans="1:7" ht="17.25" customHeight="1" x14ac:dyDescent="0.2">
      <c r="A4374" s="1611">
        <v>16</v>
      </c>
      <c r="B4374" s="1611" t="s">
        <v>7176</v>
      </c>
      <c r="C4374" s="1611" t="s">
        <v>6143</v>
      </c>
      <c r="D4374" s="1612">
        <v>0</v>
      </c>
      <c r="E4374" s="1706" t="s">
        <v>7592</v>
      </c>
      <c r="F4374" s="1613">
        <v>37700000</v>
      </c>
      <c r="G4374" s="1613">
        <v>201249028593</v>
      </c>
    </row>
    <row r="4375" spans="1:7" ht="17.25" customHeight="1" x14ac:dyDescent="0.2">
      <c r="A4375" s="1611">
        <v>16</v>
      </c>
      <c r="B4375" s="1611" t="s">
        <v>7176</v>
      </c>
      <c r="C4375" s="1611" t="s">
        <v>6144</v>
      </c>
      <c r="D4375" s="1612">
        <v>0</v>
      </c>
      <c r="E4375" s="1706" t="s">
        <v>7592</v>
      </c>
      <c r="F4375" s="1613">
        <v>45454545</v>
      </c>
      <c r="G4375" s="1613">
        <v>201294483138</v>
      </c>
    </row>
    <row r="4376" spans="1:7" ht="17.25" customHeight="1" x14ac:dyDescent="0.2">
      <c r="A4376" s="1611">
        <v>16</v>
      </c>
      <c r="B4376" s="1611" t="s">
        <v>7247</v>
      </c>
      <c r="C4376" s="1611" t="s">
        <v>6145</v>
      </c>
      <c r="D4376" s="1612">
        <v>0</v>
      </c>
      <c r="E4376" s="1706" t="s">
        <v>7592</v>
      </c>
      <c r="F4376" s="1613">
        <v>44090909</v>
      </c>
      <c r="G4376" s="1613">
        <v>201338574047</v>
      </c>
    </row>
    <row r="4377" spans="1:7" ht="17.25" customHeight="1" x14ac:dyDescent="0.2">
      <c r="A4377" s="1611">
        <v>16</v>
      </c>
      <c r="B4377" s="1611" t="s">
        <v>7203</v>
      </c>
      <c r="C4377" s="1611" t="s">
        <v>3529</v>
      </c>
      <c r="D4377" s="1612">
        <v>0</v>
      </c>
      <c r="E4377" s="1706" t="s">
        <v>7592</v>
      </c>
      <c r="F4377" s="1613">
        <v>18373000</v>
      </c>
      <c r="G4377" s="1613">
        <v>201356947047</v>
      </c>
    </row>
    <row r="4378" spans="1:7" ht="17.25" customHeight="1" x14ac:dyDescent="0.2">
      <c r="A4378" s="1611">
        <v>16</v>
      </c>
      <c r="B4378" s="1611" t="s">
        <v>7203</v>
      </c>
      <c r="C4378" s="1611" t="s">
        <v>6146</v>
      </c>
      <c r="D4378" s="1612">
        <v>0</v>
      </c>
      <c r="E4378" s="1706" t="s">
        <v>7592</v>
      </c>
      <c r="F4378" s="1613">
        <v>37000000</v>
      </c>
      <c r="G4378" s="1613">
        <v>201393947047</v>
      </c>
    </row>
    <row r="4379" spans="1:7" ht="17.25" customHeight="1" x14ac:dyDescent="0.2">
      <c r="A4379" s="1611">
        <v>16</v>
      </c>
      <c r="B4379" s="1611" t="s">
        <v>7176</v>
      </c>
      <c r="C4379" s="1611" t="s">
        <v>5584</v>
      </c>
      <c r="D4379" s="1612">
        <v>0</v>
      </c>
      <c r="E4379" s="1706" t="s">
        <v>7592</v>
      </c>
      <c r="F4379" s="1613">
        <v>40200000</v>
      </c>
      <c r="G4379" s="1613">
        <v>201434147047</v>
      </c>
    </row>
    <row r="4380" spans="1:7" ht="17.25" customHeight="1" x14ac:dyDescent="0.2">
      <c r="A4380" s="1611">
        <v>16</v>
      </c>
      <c r="B4380" s="1611" t="s">
        <v>7282</v>
      </c>
      <c r="C4380" s="1611" t="s">
        <v>6147</v>
      </c>
      <c r="D4380" s="1612">
        <v>0</v>
      </c>
      <c r="E4380" s="1706" t="s">
        <v>7592</v>
      </c>
      <c r="F4380" s="1613">
        <v>160000000</v>
      </c>
      <c r="G4380" s="1613">
        <v>201594147047</v>
      </c>
    </row>
    <row r="4381" spans="1:7" ht="17.25" customHeight="1" x14ac:dyDescent="0.2">
      <c r="A4381" s="1611">
        <v>16</v>
      </c>
      <c r="B4381" s="1611" t="s">
        <v>7251</v>
      </c>
      <c r="C4381" s="1611" t="s">
        <v>3752</v>
      </c>
      <c r="D4381" s="1612">
        <v>0</v>
      </c>
      <c r="E4381" s="1706" t="s">
        <v>7592</v>
      </c>
      <c r="F4381" s="1613">
        <v>34545454</v>
      </c>
      <c r="G4381" s="1613">
        <v>201628692501</v>
      </c>
    </row>
    <row r="4382" spans="1:7" ht="17.25" customHeight="1" x14ac:dyDescent="0.2">
      <c r="A4382" s="1611">
        <v>16</v>
      </c>
      <c r="B4382" s="1611" t="s">
        <v>7203</v>
      </c>
      <c r="C4382" s="1611" t="s">
        <v>6148</v>
      </c>
      <c r="D4382" s="1612">
        <v>0</v>
      </c>
      <c r="E4382" s="1706" t="s">
        <v>7592</v>
      </c>
      <c r="F4382" s="1613">
        <v>36772727</v>
      </c>
      <c r="G4382" s="1613">
        <v>201665465228</v>
      </c>
    </row>
    <row r="4383" spans="1:7" ht="17.25" customHeight="1" x14ac:dyDescent="0.2">
      <c r="A4383" s="1611">
        <v>16</v>
      </c>
      <c r="B4383" s="1611" t="s">
        <v>7261</v>
      </c>
      <c r="C4383" s="1611" t="s">
        <v>6149</v>
      </c>
      <c r="D4383" s="1612">
        <v>0</v>
      </c>
      <c r="E4383" s="1706" t="s">
        <v>7592</v>
      </c>
      <c r="F4383" s="1613">
        <v>147300000</v>
      </c>
      <c r="G4383" s="1613">
        <v>201812765228</v>
      </c>
    </row>
    <row r="4384" spans="1:7" ht="17.25" customHeight="1" x14ac:dyDescent="0.2">
      <c r="A4384" s="1611">
        <v>16</v>
      </c>
      <c r="B4384" s="1611" t="s">
        <v>7273</v>
      </c>
      <c r="C4384" s="1611" t="s">
        <v>6150</v>
      </c>
      <c r="D4384" s="1612">
        <v>0</v>
      </c>
      <c r="E4384" s="1706" t="s">
        <v>7592</v>
      </c>
      <c r="F4384" s="1613">
        <v>162000000</v>
      </c>
      <c r="G4384" s="1613">
        <v>201974765228</v>
      </c>
    </row>
    <row r="4385" spans="1:7" ht="17.25" customHeight="1" x14ac:dyDescent="0.2">
      <c r="A4385" s="1611">
        <v>16</v>
      </c>
      <c r="B4385" s="1611" t="s">
        <v>7261</v>
      </c>
      <c r="C4385" s="1611" t="s">
        <v>6151</v>
      </c>
      <c r="D4385" s="1612">
        <v>0</v>
      </c>
      <c r="E4385" s="1706" t="s">
        <v>7592</v>
      </c>
      <c r="F4385" s="1613">
        <v>147300000</v>
      </c>
      <c r="G4385" s="1613">
        <v>202122065228</v>
      </c>
    </row>
    <row r="4386" spans="1:7" ht="17.25" customHeight="1" x14ac:dyDescent="0.2">
      <c r="A4386" s="1611">
        <v>16</v>
      </c>
      <c r="B4386" s="1611" t="s">
        <v>7156</v>
      </c>
      <c r="C4386" s="1611" t="s">
        <v>4978</v>
      </c>
      <c r="D4386" s="1612">
        <v>0</v>
      </c>
      <c r="E4386" s="1706" t="s">
        <v>7592</v>
      </c>
      <c r="F4386" s="1613">
        <v>14300000</v>
      </c>
      <c r="G4386" s="1613">
        <v>202136365228</v>
      </c>
    </row>
    <row r="4387" spans="1:7" ht="17.25" customHeight="1" x14ac:dyDescent="0.2">
      <c r="A4387" s="1611">
        <v>16</v>
      </c>
      <c r="B4387" s="1611" t="s">
        <v>7156</v>
      </c>
      <c r="C4387" s="1611" t="s">
        <v>6152</v>
      </c>
      <c r="D4387" s="1612">
        <v>0</v>
      </c>
      <c r="E4387" s="1706" t="s">
        <v>7592</v>
      </c>
      <c r="F4387" s="1613">
        <v>14663636</v>
      </c>
      <c r="G4387" s="1613">
        <v>202151028864</v>
      </c>
    </row>
    <row r="4388" spans="1:7" ht="17.25" customHeight="1" x14ac:dyDescent="0.2">
      <c r="A4388" s="1611">
        <v>16</v>
      </c>
      <c r="B4388" s="1611" t="s">
        <v>7156</v>
      </c>
      <c r="C4388" s="1611" t="s">
        <v>6153</v>
      </c>
      <c r="D4388" s="1612">
        <v>0</v>
      </c>
      <c r="E4388" s="1706" t="s">
        <v>7592</v>
      </c>
      <c r="F4388" s="1613">
        <v>15440000</v>
      </c>
      <c r="G4388" s="1613">
        <v>202166468864</v>
      </c>
    </row>
    <row r="4389" spans="1:7" ht="17.25" customHeight="1" x14ac:dyDescent="0.2">
      <c r="A4389" s="1611">
        <v>16</v>
      </c>
      <c r="B4389" s="1611" t="s">
        <v>7203</v>
      </c>
      <c r="C4389" s="1611" t="s">
        <v>6154</v>
      </c>
      <c r="D4389" s="1612">
        <v>0</v>
      </c>
      <c r="E4389" s="1706" t="s">
        <v>7592</v>
      </c>
      <c r="F4389" s="1613">
        <v>38500000</v>
      </c>
      <c r="G4389" s="1613">
        <v>202204968864</v>
      </c>
    </row>
    <row r="4390" spans="1:7" ht="17.25" customHeight="1" x14ac:dyDescent="0.2">
      <c r="A4390" s="1611">
        <v>16</v>
      </c>
      <c r="B4390" s="1611" t="s">
        <v>7340</v>
      </c>
      <c r="C4390" s="1611" t="s">
        <v>4305</v>
      </c>
      <c r="D4390" s="1612">
        <v>0</v>
      </c>
      <c r="E4390" s="1612" t="s">
        <v>3296</v>
      </c>
      <c r="F4390" s="1613">
        <v>605901</v>
      </c>
      <c r="G4390" s="1613">
        <v>202205574765</v>
      </c>
    </row>
    <row r="4391" spans="1:7" ht="17.25" customHeight="1" x14ac:dyDescent="0.2">
      <c r="A4391" s="1611">
        <v>16</v>
      </c>
      <c r="B4391" s="1611" t="s">
        <v>7170</v>
      </c>
      <c r="C4391" s="1611" t="s">
        <v>6155</v>
      </c>
      <c r="D4391" s="1612">
        <v>0</v>
      </c>
      <c r="E4391" s="1706" t="s">
        <v>7592</v>
      </c>
      <c r="F4391" s="1613">
        <v>175000000</v>
      </c>
      <c r="G4391" s="1613">
        <v>202380574765</v>
      </c>
    </row>
    <row r="4392" spans="1:7" ht="17.25" customHeight="1" x14ac:dyDescent="0.2">
      <c r="A4392" s="1611">
        <v>16</v>
      </c>
      <c r="B4392" s="1611" t="s">
        <v>7261</v>
      </c>
      <c r="C4392" s="1611" t="s">
        <v>6156</v>
      </c>
      <c r="D4392" s="1612">
        <v>0</v>
      </c>
      <c r="E4392" s="1706" t="s">
        <v>7592</v>
      </c>
      <c r="F4392" s="1613">
        <v>147272727</v>
      </c>
      <c r="G4392" s="1613">
        <v>202527847492</v>
      </c>
    </row>
    <row r="4393" spans="1:7" ht="17.25" customHeight="1" x14ac:dyDescent="0.2">
      <c r="A4393" s="1611">
        <v>16</v>
      </c>
      <c r="B4393" s="1611" t="s">
        <v>7176</v>
      </c>
      <c r="C4393" s="1611" t="s">
        <v>6157</v>
      </c>
      <c r="D4393" s="1612">
        <v>0</v>
      </c>
      <c r="E4393" s="1706" t="s">
        <v>7592</v>
      </c>
      <c r="F4393" s="1613">
        <v>39090909</v>
      </c>
      <c r="G4393" s="1613">
        <v>202566938401</v>
      </c>
    </row>
    <row r="4394" spans="1:7" ht="17.25" customHeight="1" x14ac:dyDescent="0.2">
      <c r="A4394" s="1611">
        <v>16</v>
      </c>
      <c r="B4394" s="1611" t="s">
        <v>7273</v>
      </c>
      <c r="C4394" s="1611" t="s">
        <v>6158</v>
      </c>
      <c r="D4394" s="1612">
        <v>0</v>
      </c>
      <c r="E4394" s="1706" t="s">
        <v>7592</v>
      </c>
      <c r="F4394" s="1613">
        <v>166500000</v>
      </c>
      <c r="G4394" s="1613">
        <v>202733438401</v>
      </c>
    </row>
    <row r="4395" spans="1:7" ht="17.25" customHeight="1" x14ac:dyDescent="0.2">
      <c r="A4395" s="1611">
        <v>16</v>
      </c>
      <c r="B4395" s="1611" t="s">
        <v>7176</v>
      </c>
      <c r="C4395" s="1611" t="s">
        <v>6159</v>
      </c>
      <c r="D4395" s="1612">
        <v>0</v>
      </c>
      <c r="E4395" s="1706" t="s">
        <v>7592</v>
      </c>
      <c r="F4395" s="1613">
        <v>44090909</v>
      </c>
      <c r="G4395" s="1613">
        <v>202777529310</v>
      </c>
    </row>
    <row r="4396" spans="1:7" ht="17.25" customHeight="1" x14ac:dyDescent="0.2">
      <c r="A4396" s="1611">
        <v>16</v>
      </c>
      <c r="B4396" s="1611" t="s">
        <v>7251</v>
      </c>
      <c r="C4396" s="1611" t="s">
        <v>6160</v>
      </c>
      <c r="D4396" s="1612">
        <v>0</v>
      </c>
      <c r="E4396" s="1706" t="s">
        <v>7592</v>
      </c>
      <c r="F4396" s="1613">
        <v>18373000</v>
      </c>
      <c r="G4396" s="1613">
        <v>202795902310</v>
      </c>
    </row>
    <row r="4397" spans="1:7" ht="17.25" customHeight="1" x14ac:dyDescent="0.2">
      <c r="A4397" s="1611">
        <v>16</v>
      </c>
      <c r="B4397" s="1611" t="s">
        <v>7251</v>
      </c>
      <c r="C4397" s="1611" t="s">
        <v>6161</v>
      </c>
      <c r="D4397" s="1612">
        <v>0</v>
      </c>
      <c r="E4397" s="1706" t="s">
        <v>7592</v>
      </c>
      <c r="F4397" s="1613">
        <v>18373000</v>
      </c>
      <c r="G4397" s="1613">
        <v>202814275310</v>
      </c>
    </row>
    <row r="4398" spans="1:7" ht="17.25" customHeight="1" x14ac:dyDescent="0.2">
      <c r="A4398" s="1611">
        <v>16</v>
      </c>
      <c r="B4398" s="1611" t="s">
        <v>7154</v>
      </c>
      <c r="C4398" s="1611" t="s">
        <v>6162</v>
      </c>
      <c r="D4398" s="1612">
        <v>0</v>
      </c>
      <c r="E4398" s="1706" t="s">
        <v>7592</v>
      </c>
      <c r="F4398" s="1613">
        <v>51000000</v>
      </c>
      <c r="G4398" s="1613">
        <v>202865275310</v>
      </c>
    </row>
    <row r="4399" spans="1:7" ht="17.25" customHeight="1" x14ac:dyDescent="0.2">
      <c r="A4399" s="1611">
        <v>16</v>
      </c>
      <c r="B4399" s="1611" t="s">
        <v>7203</v>
      </c>
      <c r="C4399" s="1611" t="s">
        <v>6163</v>
      </c>
      <c r="D4399" s="1612">
        <v>0</v>
      </c>
      <c r="E4399" s="1706" t="s">
        <v>7592</v>
      </c>
      <c r="F4399" s="1613">
        <v>37470000</v>
      </c>
      <c r="G4399" s="1613">
        <v>202902745310</v>
      </c>
    </row>
    <row r="4400" spans="1:7" ht="17.25" customHeight="1" x14ac:dyDescent="0.2">
      <c r="A4400" s="1611">
        <v>16</v>
      </c>
      <c r="B4400" s="1611" t="s">
        <v>7282</v>
      </c>
      <c r="C4400" s="1611" t="s">
        <v>6164</v>
      </c>
      <c r="D4400" s="1612">
        <v>0</v>
      </c>
      <c r="E4400" s="1706" t="s">
        <v>7592</v>
      </c>
      <c r="F4400" s="1613">
        <v>159250000</v>
      </c>
      <c r="G4400" s="1613">
        <v>203061995310</v>
      </c>
    </row>
    <row r="4401" spans="1:7" ht="17.25" customHeight="1" x14ac:dyDescent="0.2">
      <c r="A4401" s="1611">
        <v>16</v>
      </c>
      <c r="B4401" s="1611" t="s">
        <v>7170</v>
      </c>
      <c r="C4401" s="1611" t="s">
        <v>6165</v>
      </c>
      <c r="D4401" s="1612">
        <v>0</v>
      </c>
      <c r="E4401" s="1706" t="s">
        <v>7592</v>
      </c>
      <c r="F4401" s="1613">
        <v>175000000</v>
      </c>
      <c r="G4401" s="1613">
        <v>203236995310</v>
      </c>
    </row>
    <row r="4402" spans="1:7" ht="17.25" customHeight="1" x14ac:dyDescent="0.2">
      <c r="A4402" s="1611">
        <v>16</v>
      </c>
      <c r="B4402" s="1611" t="s">
        <v>7176</v>
      </c>
      <c r="C4402" s="1611" t="s">
        <v>6166</v>
      </c>
      <c r="D4402" s="1612">
        <v>0</v>
      </c>
      <c r="E4402" s="1706" t="s">
        <v>7592</v>
      </c>
      <c r="F4402" s="1613">
        <v>39000000</v>
      </c>
      <c r="G4402" s="1613">
        <v>203275995310</v>
      </c>
    </row>
    <row r="4403" spans="1:7" ht="17.25" customHeight="1" x14ac:dyDescent="0.2">
      <c r="A4403" s="1611">
        <v>16</v>
      </c>
      <c r="B4403" s="1611" t="s">
        <v>7203</v>
      </c>
      <c r="C4403" s="1611" t="s">
        <v>6167</v>
      </c>
      <c r="D4403" s="1612">
        <v>0</v>
      </c>
      <c r="E4403" s="1706" t="s">
        <v>7592</v>
      </c>
      <c r="F4403" s="1613">
        <v>37500000</v>
      </c>
      <c r="G4403" s="1613">
        <v>203313495310</v>
      </c>
    </row>
    <row r="4404" spans="1:7" ht="17.25" customHeight="1" x14ac:dyDescent="0.2">
      <c r="A4404" s="1611">
        <v>16</v>
      </c>
      <c r="B4404" s="1611" t="s">
        <v>7251</v>
      </c>
      <c r="C4404" s="1611" t="s">
        <v>5199</v>
      </c>
      <c r="D4404" s="1612">
        <v>0</v>
      </c>
      <c r="E4404" s="1706" t="s">
        <v>7592</v>
      </c>
      <c r="F4404" s="1613">
        <v>17573000</v>
      </c>
      <c r="G4404" s="1613">
        <v>203331068310</v>
      </c>
    </row>
    <row r="4405" spans="1:7" ht="17.25" customHeight="1" x14ac:dyDescent="0.2">
      <c r="A4405" s="1611">
        <v>16</v>
      </c>
      <c r="B4405" s="1611" t="s">
        <v>2954</v>
      </c>
      <c r="C4405" s="1611" t="s">
        <v>5336</v>
      </c>
      <c r="D4405" s="1612">
        <v>0</v>
      </c>
      <c r="E4405" s="1706" t="s">
        <v>7592</v>
      </c>
      <c r="F4405" s="1613">
        <v>14500000</v>
      </c>
      <c r="G4405" s="1613">
        <v>203345568310</v>
      </c>
    </row>
    <row r="4406" spans="1:7" ht="17.25" customHeight="1" x14ac:dyDescent="0.2">
      <c r="A4406" s="1611">
        <v>16</v>
      </c>
      <c r="B4406" s="1611" t="s">
        <v>7154</v>
      </c>
      <c r="C4406" s="1611" t="s">
        <v>6168</v>
      </c>
      <c r="D4406" s="1612">
        <v>0</v>
      </c>
      <c r="E4406" s="1706" t="s">
        <v>7592</v>
      </c>
      <c r="F4406" s="1613">
        <v>53636364</v>
      </c>
      <c r="G4406" s="1613">
        <v>203399204674</v>
      </c>
    </row>
    <row r="4407" spans="1:7" ht="17.25" customHeight="1" x14ac:dyDescent="0.2">
      <c r="A4407" s="1611">
        <v>16</v>
      </c>
      <c r="B4407" s="1611" t="s">
        <v>7203</v>
      </c>
      <c r="C4407" s="1611" t="s">
        <v>6169</v>
      </c>
      <c r="D4407" s="1612">
        <v>0</v>
      </c>
      <c r="E4407" s="1706" t="s">
        <v>7592</v>
      </c>
      <c r="F4407" s="1613">
        <v>37500000</v>
      </c>
      <c r="G4407" s="1613">
        <v>203436704674</v>
      </c>
    </row>
    <row r="4408" spans="1:7" ht="17.25" customHeight="1" x14ac:dyDescent="0.2">
      <c r="A4408" s="1611">
        <v>16</v>
      </c>
      <c r="B4408" s="1611" t="s">
        <v>7170</v>
      </c>
      <c r="C4408" s="1611" t="s">
        <v>3996</v>
      </c>
      <c r="D4408" s="1612">
        <v>0</v>
      </c>
      <c r="E4408" s="1706" t="s">
        <v>7592</v>
      </c>
      <c r="F4408" s="1613">
        <v>171000000</v>
      </c>
      <c r="G4408" s="1613">
        <v>203607704674</v>
      </c>
    </row>
    <row r="4409" spans="1:7" ht="17.25" customHeight="1" x14ac:dyDescent="0.2">
      <c r="A4409" s="1611">
        <v>16</v>
      </c>
      <c r="B4409" s="1611" t="s">
        <v>7154</v>
      </c>
      <c r="C4409" s="1611" t="s">
        <v>6170</v>
      </c>
      <c r="D4409" s="1612">
        <v>0</v>
      </c>
      <c r="E4409" s="1706" t="s">
        <v>7592</v>
      </c>
      <c r="F4409" s="1613">
        <v>50000000</v>
      </c>
      <c r="G4409" s="1613">
        <v>203657704674</v>
      </c>
    </row>
    <row r="4410" spans="1:7" ht="17.25" customHeight="1" x14ac:dyDescent="0.2">
      <c r="A4410" s="1611">
        <v>16</v>
      </c>
      <c r="B4410" s="1611" t="s">
        <v>7154</v>
      </c>
      <c r="C4410" s="1611" t="s">
        <v>6171</v>
      </c>
      <c r="D4410" s="1612">
        <v>0</v>
      </c>
      <c r="E4410" s="1706" t="s">
        <v>7592</v>
      </c>
      <c r="F4410" s="1613">
        <v>51363636</v>
      </c>
      <c r="G4410" s="1613">
        <v>203709068310</v>
      </c>
    </row>
    <row r="4411" spans="1:7" ht="17.25" customHeight="1" x14ac:dyDescent="0.2">
      <c r="A4411" s="1611">
        <v>16</v>
      </c>
      <c r="B4411" s="1611" t="s">
        <v>7203</v>
      </c>
      <c r="C4411" s="1611" t="s">
        <v>6172</v>
      </c>
      <c r="D4411" s="1612">
        <v>0</v>
      </c>
      <c r="E4411" s="1706" t="s">
        <v>7592</v>
      </c>
      <c r="F4411" s="1613">
        <v>38000000</v>
      </c>
      <c r="G4411" s="1613">
        <v>203747068310</v>
      </c>
    </row>
    <row r="4412" spans="1:7" ht="17.25" customHeight="1" x14ac:dyDescent="0.2">
      <c r="A4412" s="1611">
        <v>16</v>
      </c>
      <c r="B4412" s="1611" t="s">
        <v>7341</v>
      </c>
      <c r="C4412" s="1611" t="s">
        <v>4064</v>
      </c>
      <c r="D4412" s="1612">
        <v>0</v>
      </c>
      <c r="E4412" s="1612" t="s">
        <v>3295</v>
      </c>
      <c r="F4412" s="1613">
        <v>237591178</v>
      </c>
      <c r="G4412" s="1613">
        <v>203984659488</v>
      </c>
    </row>
    <row r="4413" spans="1:7" ht="17.25" customHeight="1" x14ac:dyDescent="0.2">
      <c r="A4413" s="1611">
        <v>16</v>
      </c>
      <c r="B4413" s="1611" t="s">
        <v>2954</v>
      </c>
      <c r="C4413" s="1611" t="s">
        <v>6173</v>
      </c>
      <c r="D4413" s="1612">
        <v>0</v>
      </c>
      <c r="E4413" s="1706" t="s">
        <v>7592</v>
      </c>
      <c r="F4413" s="1613">
        <v>14500000</v>
      </c>
      <c r="G4413" s="1613">
        <v>203999159488</v>
      </c>
    </row>
    <row r="4414" spans="1:7" ht="17.25" customHeight="1" x14ac:dyDescent="0.2">
      <c r="A4414" s="1611">
        <v>16</v>
      </c>
      <c r="B4414" s="1611" t="s">
        <v>7303</v>
      </c>
      <c r="C4414" s="1611" t="s">
        <v>5956</v>
      </c>
      <c r="D4414" s="1612">
        <v>0</v>
      </c>
      <c r="E4414" s="1706" t="s">
        <v>7592</v>
      </c>
      <c r="F4414" s="1613">
        <v>99013637</v>
      </c>
      <c r="G4414" s="1613">
        <v>204098173125</v>
      </c>
    </row>
    <row r="4415" spans="1:7" ht="17.25" customHeight="1" x14ac:dyDescent="0.2">
      <c r="A4415" s="1611">
        <v>16</v>
      </c>
      <c r="B4415" s="1611" t="s">
        <v>7303</v>
      </c>
      <c r="C4415" s="1611" t="s">
        <v>5959</v>
      </c>
      <c r="D4415" s="1612">
        <v>0</v>
      </c>
      <c r="E4415" s="1706" t="s">
        <v>7592</v>
      </c>
      <c r="F4415" s="1613">
        <v>99013637</v>
      </c>
      <c r="G4415" s="1613">
        <v>204197186762</v>
      </c>
    </row>
    <row r="4416" spans="1:7" ht="17.25" customHeight="1" x14ac:dyDescent="0.2">
      <c r="A4416" s="1611">
        <v>16</v>
      </c>
      <c r="B4416" s="1611" t="s">
        <v>7303</v>
      </c>
      <c r="C4416" s="1611" t="s">
        <v>5961</v>
      </c>
      <c r="D4416" s="1612">
        <v>0</v>
      </c>
      <c r="E4416" s="1706" t="s">
        <v>7592</v>
      </c>
      <c r="F4416" s="1613">
        <v>99013637</v>
      </c>
      <c r="G4416" s="1613">
        <v>204296200399</v>
      </c>
    </row>
    <row r="4417" spans="1:7" ht="17.25" customHeight="1" x14ac:dyDescent="0.2">
      <c r="A4417" s="1611">
        <v>16</v>
      </c>
      <c r="B4417" s="1611" t="s">
        <v>7251</v>
      </c>
      <c r="C4417" s="1611" t="s">
        <v>6160</v>
      </c>
      <c r="D4417" s="1612">
        <v>0</v>
      </c>
      <c r="E4417" s="1706" t="s">
        <v>7592</v>
      </c>
      <c r="F4417" s="1613">
        <v>18373000</v>
      </c>
      <c r="G4417" s="1613">
        <v>204314573399</v>
      </c>
    </row>
    <row r="4418" spans="1:7" ht="17.25" customHeight="1" x14ac:dyDescent="0.2">
      <c r="A4418" s="1611">
        <v>16</v>
      </c>
      <c r="B4418" s="1611" t="s">
        <v>7203</v>
      </c>
      <c r="C4418" s="1611" t="s">
        <v>6174</v>
      </c>
      <c r="D4418" s="1612">
        <v>0</v>
      </c>
      <c r="E4418" s="1706" t="s">
        <v>7592</v>
      </c>
      <c r="F4418" s="1613">
        <v>18373000</v>
      </c>
      <c r="G4418" s="1613">
        <v>204332946399</v>
      </c>
    </row>
    <row r="4419" spans="1:7" ht="17.25" customHeight="1" x14ac:dyDescent="0.2">
      <c r="A4419" s="1611">
        <v>16</v>
      </c>
      <c r="B4419" s="1611" t="s">
        <v>7186</v>
      </c>
      <c r="C4419" s="1611" t="s">
        <v>6175</v>
      </c>
      <c r="D4419" s="1612">
        <v>0</v>
      </c>
      <c r="E4419" s="1706" t="s">
        <v>7592</v>
      </c>
      <c r="F4419" s="1613">
        <v>54000000</v>
      </c>
      <c r="G4419" s="1613">
        <v>204386946399</v>
      </c>
    </row>
    <row r="4420" spans="1:7" ht="17.25" customHeight="1" x14ac:dyDescent="0.2">
      <c r="A4420" s="1611">
        <v>16</v>
      </c>
      <c r="B4420" s="1611" t="s">
        <v>7203</v>
      </c>
      <c r="C4420" s="1611" t="s">
        <v>4535</v>
      </c>
      <c r="D4420" s="1612">
        <v>0</v>
      </c>
      <c r="E4420" s="1706" t="s">
        <v>7592</v>
      </c>
      <c r="F4420" s="1613">
        <v>38788000</v>
      </c>
      <c r="G4420" s="1613">
        <v>204425734399</v>
      </c>
    </row>
    <row r="4421" spans="1:7" ht="17.25" customHeight="1" x14ac:dyDescent="0.2">
      <c r="A4421" s="1611">
        <v>16</v>
      </c>
      <c r="B4421" s="1611" t="s">
        <v>7261</v>
      </c>
      <c r="C4421" s="1611" t="s">
        <v>6176</v>
      </c>
      <c r="D4421" s="1612">
        <v>0</v>
      </c>
      <c r="E4421" s="1706" t="s">
        <v>7592</v>
      </c>
      <c r="F4421" s="1613">
        <v>148500000</v>
      </c>
      <c r="G4421" s="1613">
        <v>204574234399</v>
      </c>
    </row>
    <row r="4422" spans="1:7" ht="17.25" customHeight="1" x14ac:dyDescent="0.2">
      <c r="A4422" s="1611">
        <v>16</v>
      </c>
      <c r="B4422" s="1611" t="s">
        <v>7203</v>
      </c>
      <c r="C4422" s="1611" t="s">
        <v>3677</v>
      </c>
      <c r="D4422" s="1612">
        <v>0</v>
      </c>
      <c r="E4422" s="1706" t="s">
        <v>7592</v>
      </c>
      <c r="F4422" s="1613">
        <v>36500000</v>
      </c>
      <c r="G4422" s="1613">
        <v>204610734399</v>
      </c>
    </row>
    <row r="4423" spans="1:7" ht="17.25" customHeight="1" x14ac:dyDescent="0.2">
      <c r="A4423" s="1611">
        <v>16</v>
      </c>
      <c r="B4423" s="1611" t="s">
        <v>7325</v>
      </c>
      <c r="C4423" s="1611" t="s">
        <v>5210</v>
      </c>
      <c r="D4423" s="1612">
        <v>0</v>
      </c>
      <c r="E4423" s="1706" t="s">
        <v>7592</v>
      </c>
      <c r="F4423" s="1613">
        <v>41377273</v>
      </c>
      <c r="G4423" s="1613">
        <v>204652111672</v>
      </c>
    </row>
    <row r="4424" spans="1:7" ht="17.25" customHeight="1" x14ac:dyDescent="0.2">
      <c r="A4424" s="1611">
        <v>16</v>
      </c>
      <c r="B4424" s="1611" t="s">
        <v>7252</v>
      </c>
      <c r="C4424" s="1611" t="s">
        <v>6177</v>
      </c>
      <c r="D4424" s="1612">
        <v>0</v>
      </c>
      <c r="E4424" s="1706" t="s">
        <v>7592</v>
      </c>
      <c r="F4424" s="1613">
        <v>63000000</v>
      </c>
      <c r="G4424" s="1613">
        <v>204715111672</v>
      </c>
    </row>
    <row r="4425" spans="1:7" ht="17.25" customHeight="1" x14ac:dyDescent="0.2">
      <c r="A4425" s="1611">
        <v>16</v>
      </c>
      <c r="B4425" s="1611" t="s">
        <v>7156</v>
      </c>
      <c r="C4425" s="1611" t="s">
        <v>5817</v>
      </c>
      <c r="D4425" s="1612">
        <v>0</v>
      </c>
      <c r="E4425" s="1706" t="s">
        <v>7592</v>
      </c>
      <c r="F4425" s="1613">
        <v>13500000</v>
      </c>
      <c r="G4425" s="1613">
        <v>204728611672</v>
      </c>
    </row>
    <row r="4426" spans="1:7" ht="17.25" customHeight="1" x14ac:dyDescent="0.2">
      <c r="A4426" s="1611">
        <v>16</v>
      </c>
      <c r="B4426" s="1611" t="s">
        <v>7247</v>
      </c>
      <c r="C4426" s="1611" t="s">
        <v>3438</v>
      </c>
      <c r="D4426" s="1612">
        <v>0</v>
      </c>
      <c r="E4426" s="1706" t="s">
        <v>7592</v>
      </c>
      <c r="F4426" s="1613">
        <v>49230000</v>
      </c>
      <c r="G4426" s="1613">
        <v>204777841672</v>
      </c>
    </row>
    <row r="4427" spans="1:7" ht="17.25" customHeight="1" x14ac:dyDescent="0.2">
      <c r="A4427" s="1611">
        <v>16</v>
      </c>
      <c r="B4427" s="1611" t="s">
        <v>7176</v>
      </c>
      <c r="C4427" s="1611" t="s">
        <v>6178</v>
      </c>
      <c r="D4427" s="1612">
        <v>0</v>
      </c>
      <c r="E4427" s="1706" t="s">
        <v>7592</v>
      </c>
      <c r="F4427" s="1613">
        <v>40909091</v>
      </c>
      <c r="G4427" s="1613">
        <v>204818750763</v>
      </c>
    </row>
    <row r="4428" spans="1:7" ht="17.25" customHeight="1" x14ac:dyDescent="0.2">
      <c r="A4428" s="1611">
        <v>16</v>
      </c>
      <c r="B4428" s="1611" t="s">
        <v>7282</v>
      </c>
      <c r="C4428" s="1611" t="s">
        <v>6179</v>
      </c>
      <c r="D4428" s="1612">
        <v>0</v>
      </c>
      <c r="E4428" s="1706" t="s">
        <v>7592</v>
      </c>
      <c r="F4428" s="1613">
        <v>160909091</v>
      </c>
      <c r="G4428" s="1613">
        <v>204979659854</v>
      </c>
    </row>
    <row r="4429" spans="1:7" ht="17.25" customHeight="1" x14ac:dyDescent="0.2">
      <c r="A4429" s="1611">
        <v>16</v>
      </c>
      <c r="B4429" s="1611" t="s">
        <v>7154</v>
      </c>
      <c r="C4429" s="1611" t="s">
        <v>5092</v>
      </c>
      <c r="D4429" s="1612">
        <v>0</v>
      </c>
      <c r="E4429" s="1706" t="s">
        <v>7592</v>
      </c>
      <c r="F4429" s="1613">
        <v>54039091</v>
      </c>
      <c r="G4429" s="1613">
        <v>205033698945</v>
      </c>
    </row>
    <row r="4430" spans="1:7" ht="17.25" customHeight="1" x14ac:dyDescent="0.2">
      <c r="A4430" s="1611">
        <v>16</v>
      </c>
      <c r="B4430" s="1611" t="s">
        <v>7154</v>
      </c>
      <c r="C4430" s="1611" t="s">
        <v>5092</v>
      </c>
      <c r="D4430" s="1612">
        <v>0</v>
      </c>
      <c r="E4430" s="1706" t="s">
        <v>7592</v>
      </c>
      <c r="F4430" s="1613">
        <v>3154546</v>
      </c>
      <c r="G4430" s="1613">
        <v>205036853491</v>
      </c>
    </row>
    <row r="4431" spans="1:7" ht="17.25" customHeight="1" x14ac:dyDescent="0.2">
      <c r="A4431" s="1611">
        <v>16</v>
      </c>
      <c r="B4431" s="1611" t="s">
        <v>7251</v>
      </c>
      <c r="C4431" s="1611" t="s">
        <v>6180</v>
      </c>
      <c r="D4431" s="1612">
        <v>0</v>
      </c>
      <c r="E4431" s="1706" t="s">
        <v>7592</v>
      </c>
      <c r="F4431" s="1613">
        <v>36363636</v>
      </c>
      <c r="G4431" s="1613">
        <v>205073217127</v>
      </c>
    </row>
    <row r="4432" spans="1:7" ht="17.25" customHeight="1" x14ac:dyDescent="0.2">
      <c r="A4432" s="1611">
        <v>16</v>
      </c>
      <c r="B4432" s="1611" t="s">
        <v>7176</v>
      </c>
      <c r="C4432" s="1611" t="s">
        <v>6181</v>
      </c>
      <c r="D4432" s="1612">
        <v>0</v>
      </c>
      <c r="E4432" s="1706" t="s">
        <v>7592</v>
      </c>
      <c r="F4432" s="1613">
        <v>37500000</v>
      </c>
      <c r="G4432" s="1613">
        <v>205110717127</v>
      </c>
    </row>
    <row r="4433" spans="1:7" ht="17.25" customHeight="1" x14ac:dyDescent="0.2">
      <c r="A4433" s="1611">
        <v>16</v>
      </c>
      <c r="B4433" s="1611" t="s">
        <v>7261</v>
      </c>
      <c r="C4433" s="1611" t="s">
        <v>6182</v>
      </c>
      <c r="D4433" s="1612">
        <v>0</v>
      </c>
      <c r="E4433" s="1706" t="s">
        <v>7592</v>
      </c>
      <c r="F4433" s="1613">
        <v>151300000</v>
      </c>
      <c r="G4433" s="1613">
        <v>205262017127</v>
      </c>
    </row>
    <row r="4434" spans="1:7" ht="17.25" customHeight="1" x14ac:dyDescent="0.2">
      <c r="A4434" s="1611">
        <v>16</v>
      </c>
      <c r="B4434" s="1611" t="s">
        <v>7273</v>
      </c>
      <c r="C4434" s="1611" t="s">
        <v>6183</v>
      </c>
      <c r="D4434" s="1612">
        <v>0</v>
      </c>
      <c r="E4434" s="1706" t="s">
        <v>7592</v>
      </c>
      <c r="F4434" s="1613">
        <v>162000000</v>
      </c>
      <c r="G4434" s="1613">
        <v>205424017127</v>
      </c>
    </row>
    <row r="4435" spans="1:7" ht="17.25" customHeight="1" x14ac:dyDescent="0.2">
      <c r="A4435" s="1611">
        <v>16</v>
      </c>
      <c r="B4435" s="1611" t="s">
        <v>7273</v>
      </c>
      <c r="C4435" s="1611" t="s">
        <v>6184</v>
      </c>
      <c r="D4435" s="1612">
        <v>0</v>
      </c>
      <c r="E4435" s="1706" t="s">
        <v>7592</v>
      </c>
      <c r="F4435" s="1613">
        <v>51818182</v>
      </c>
      <c r="G4435" s="1613">
        <v>205475835309</v>
      </c>
    </row>
    <row r="4436" spans="1:7" ht="17.25" customHeight="1" x14ac:dyDescent="0.2">
      <c r="A4436" s="1611">
        <v>16</v>
      </c>
      <c r="B4436" s="1611" t="s">
        <v>7342</v>
      </c>
      <c r="C4436" s="1611" t="s">
        <v>6185</v>
      </c>
      <c r="D4436" s="1612">
        <v>0</v>
      </c>
      <c r="E4436" s="1612" t="s">
        <v>3299</v>
      </c>
      <c r="F4436" s="1613">
        <v>128790540</v>
      </c>
      <c r="G4436" s="1613">
        <v>205604625849</v>
      </c>
    </row>
    <row r="4437" spans="1:7" ht="17.25" customHeight="1" x14ac:dyDescent="0.2">
      <c r="A4437" s="1611">
        <v>16</v>
      </c>
      <c r="B4437" s="1611" t="s">
        <v>7186</v>
      </c>
      <c r="C4437" s="1611" t="s">
        <v>6186</v>
      </c>
      <c r="D4437" s="1612">
        <v>0</v>
      </c>
      <c r="E4437" s="1706" t="s">
        <v>7592</v>
      </c>
      <c r="F4437" s="1613">
        <v>50000000</v>
      </c>
      <c r="G4437" s="1613">
        <v>205654625849</v>
      </c>
    </row>
    <row r="4438" spans="1:7" ht="17.25" customHeight="1" x14ac:dyDescent="0.2">
      <c r="A4438" s="1611">
        <v>16</v>
      </c>
      <c r="B4438" s="1611" t="s">
        <v>7331</v>
      </c>
      <c r="C4438" s="1611" t="s">
        <v>6187</v>
      </c>
      <c r="D4438" s="1612">
        <v>0</v>
      </c>
      <c r="E4438" s="1706" t="s">
        <v>7592</v>
      </c>
      <c r="F4438" s="1613">
        <v>42900000</v>
      </c>
      <c r="G4438" s="1613">
        <v>205697525849</v>
      </c>
    </row>
    <row r="4439" spans="1:7" ht="17.25" customHeight="1" x14ac:dyDescent="0.2">
      <c r="A4439" s="1611">
        <v>16</v>
      </c>
      <c r="B4439" s="1611" t="s">
        <v>7203</v>
      </c>
      <c r="C4439" s="1611" t="s">
        <v>6188</v>
      </c>
      <c r="D4439" s="1612">
        <v>0</v>
      </c>
      <c r="E4439" s="1706" t="s">
        <v>7592</v>
      </c>
      <c r="F4439" s="1613">
        <v>37500000</v>
      </c>
      <c r="G4439" s="1613">
        <v>205735025849</v>
      </c>
    </row>
    <row r="4440" spans="1:7" ht="17.25" customHeight="1" x14ac:dyDescent="0.2">
      <c r="A4440" s="1611">
        <v>16</v>
      </c>
      <c r="B4440" s="1611" t="s">
        <v>7176</v>
      </c>
      <c r="C4440" s="1611" t="s">
        <v>6189</v>
      </c>
      <c r="D4440" s="1612">
        <v>0</v>
      </c>
      <c r="E4440" s="1706" t="s">
        <v>7592</v>
      </c>
      <c r="F4440" s="1613">
        <v>40000000</v>
      </c>
      <c r="G4440" s="1613">
        <v>205775025849</v>
      </c>
    </row>
    <row r="4441" spans="1:7" ht="17.25" customHeight="1" x14ac:dyDescent="0.2">
      <c r="A4441" s="1611">
        <v>16</v>
      </c>
      <c r="B4441" s="1611" t="s">
        <v>7203</v>
      </c>
      <c r="C4441" s="1611" t="s">
        <v>4800</v>
      </c>
      <c r="D4441" s="1612">
        <v>0</v>
      </c>
      <c r="E4441" s="1706" t="s">
        <v>7592</v>
      </c>
      <c r="F4441" s="1613">
        <v>18373000</v>
      </c>
      <c r="G4441" s="1613">
        <v>205793398849</v>
      </c>
    </row>
    <row r="4442" spans="1:7" ht="17.25" customHeight="1" x14ac:dyDescent="0.2">
      <c r="A4442" s="1611">
        <v>16</v>
      </c>
      <c r="B4442" s="1611" t="s">
        <v>7170</v>
      </c>
      <c r="C4442" s="1611" t="s">
        <v>5225</v>
      </c>
      <c r="D4442" s="1612">
        <v>0</v>
      </c>
      <c r="E4442" s="1706" t="s">
        <v>7592</v>
      </c>
      <c r="F4442" s="1613">
        <v>171950000</v>
      </c>
      <c r="G4442" s="1613">
        <v>205965348849</v>
      </c>
    </row>
    <row r="4443" spans="1:7" ht="17.25" customHeight="1" x14ac:dyDescent="0.2">
      <c r="A4443" s="1611">
        <v>16</v>
      </c>
      <c r="B4443" s="1611" t="s">
        <v>7251</v>
      </c>
      <c r="C4443" s="1611" t="s">
        <v>6127</v>
      </c>
      <c r="D4443" s="1612">
        <v>0</v>
      </c>
      <c r="E4443" s="1706" t="s">
        <v>7592</v>
      </c>
      <c r="F4443" s="1613">
        <v>35500000</v>
      </c>
      <c r="G4443" s="1613">
        <v>206000848849</v>
      </c>
    </row>
    <row r="4444" spans="1:7" ht="17.25" customHeight="1" x14ac:dyDescent="0.2">
      <c r="A4444" s="1611">
        <v>16</v>
      </c>
      <c r="B4444" s="1611" t="s">
        <v>7176</v>
      </c>
      <c r="C4444" s="1611" t="s">
        <v>6190</v>
      </c>
      <c r="D4444" s="1612">
        <v>0</v>
      </c>
      <c r="E4444" s="1706" t="s">
        <v>7592</v>
      </c>
      <c r="F4444" s="1613">
        <v>41000000</v>
      </c>
      <c r="G4444" s="1613">
        <v>206041848849</v>
      </c>
    </row>
    <row r="4445" spans="1:7" ht="17.25" customHeight="1" x14ac:dyDescent="0.2">
      <c r="A4445" s="1611">
        <v>16</v>
      </c>
      <c r="B4445" s="1611" t="s">
        <v>7343</v>
      </c>
      <c r="C4445" s="1611" t="s">
        <v>4477</v>
      </c>
      <c r="D4445" s="1612">
        <v>0</v>
      </c>
      <c r="E4445" s="1706" t="s">
        <v>7592</v>
      </c>
      <c r="F4445" s="1613">
        <v>30909090</v>
      </c>
      <c r="G4445" s="1613">
        <v>206072757939</v>
      </c>
    </row>
    <row r="4446" spans="1:7" ht="17.25" customHeight="1" x14ac:dyDescent="0.2">
      <c r="A4446" s="1611">
        <v>16</v>
      </c>
      <c r="B4446" s="1611" t="s">
        <v>7344</v>
      </c>
      <c r="C4446" s="1611" t="s">
        <v>6191</v>
      </c>
      <c r="D4446" s="1612">
        <v>0</v>
      </c>
      <c r="E4446" s="1706" t="s">
        <v>7592</v>
      </c>
      <c r="F4446" s="1613">
        <v>202000000</v>
      </c>
      <c r="G4446" s="1613">
        <v>206274757939</v>
      </c>
    </row>
    <row r="4447" spans="1:7" ht="17.25" customHeight="1" x14ac:dyDescent="0.2">
      <c r="A4447" s="1611">
        <v>16</v>
      </c>
      <c r="B4447" s="1611" t="s">
        <v>7156</v>
      </c>
      <c r="C4447" s="1611" t="s">
        <v>6192</v>
      </c>
      <c r="D4447" s="1612">
        <v>0</v>
      </c>
      <c r="E4447" s="1706" t="s">
        <v>7592</v>
      </c>
      <c r="F4447" s="1613">
        <v>13545455</v>
      </c>
      <c r="G4447" s="1613">
        <v>206288303394</v>
      </c>
    </row>
    <row r="4448" spans="1:7" ht="17.25" customHeight="1" x14ac:dyDescent="0.2">
      <c r="A4448" s="1611">
        <v>16</v>
      </c>
      <c r="B4448" s="1611" t="s">
        <v>7156</v>
      </c>
      <c r="C4448" s="1611" t="s">
        <v>6192</v>
      </c>
      <c r="D4448" s="1612">
        <v>0</v>
      </c>
      <c r="E4448" s="1706" t="s">
        <v>7592</v>
      </c>
      <c r="F4448" s="1613">
        <v>-13545455</v>
      </c>
      <c r="G4448" s="1613">
        <v>206274757939</v>
      </c>
    </row>
    <row r="4449" spans="1:7" ht="17.25" customHeight="1" x14ac:dyDescent="0.2">
      <c r="A4449" s="1611">
        <v>16</v>
      </c>
      <c r="B4449" s="1611" t="s">
        <v>2954</v>
      </c>
      <c r="C4449" s="1611" t="s">
        <v>6192</v>
      </c>
      <c r="D4449" s="1612">
        <v>0</v>
      </c>
      <c r="E4449" s="1706" t="s">
        <v>7592</v>
      </c>
      <c r="F4449" s="1613">
        <v>13545455</v>
      </c>
      <c r="G4449" s="1613">
        <v>206288303394</v>
      </c>
    </row>
    <row r="4450" spans="1:7" ht="17.25" customHeight="1" x14ac:dyDescent="0.2">
      <c r="A4450" s="1611">
        <v>17</v>
      </c>
      <c r="B4450" s="1611" t="s">
        <v>7261</v>
      </c>
      <c r="C4450" s="1611" t="s">
        <v>6193</v>
      </c>
      <c r="D4450" s="1612">
        <v>0</v>
      </c>
      <c r="E4450" s="1706" t="s">
        <v>7592</v>
      </c>
      <c r="F4450" s="1613">
        <v>144200000</v>
      </c>
      <c r="G4450" s="1613">
        <v>206432503394</v>
      </c>
    </row>
    <row r="4451" spans="1:7" ht="17.25" customHeight="1" x14ac:dyDescent="0.2">
      <c r="A4451" s="1611">
        <v>17</v>
      </c>
      <c r="B4451" s="1611" t="s">
        <v>7156</v>
      </c>
      <c r="C4451" s="1611" t="s">
        <v>6194</v>
      </c>
      <c r="D4451" s="1612">
        <v>0</v>
      </c>
      <c r="E4451" s="1706" t="s">
        <v>7592</v>
      </c>
      <c r="F4451" s="1613">
        <v>14545455</v>
      </c>
      <c r="G4451" s="1613">
        <v>206447048849</v>
      </c>
    </row>
    <row r="4452" spans="1:7" ht="17.25" customHeight="1" x14ac:dyDescent="0.2">
      <c r="A4452" s="1611">
        <v>17</v>
      </c>
      <c r="B4452" s="1611" t="s">
        <v>7261</v>
      </c>
      <c r="C4452" s="1611" t="s">
        <v>6195</v>
      </c>
      <c r="D4452" s="1612">
        <v>0</v>
      </c>
      <c r="E4452" s="1706" t="s">
        <v>7592</v>
      </c>
      <c r="F4452" s="1613">
        <v>147400000</v>
      </c>
      <c r="G4452" s="1613">
        <v>206594448849</v>
      </c>
    </row>
    <row r="4453" spans="1:7" ht="17.25" customHeight="1" x14ac:dyDescent="0.2">
      <c r="A4453" s="1611">
        <v>17</v>
      </c>
      <c r="B4453" s="1611" t="s">
        <v>7251</v>
      </c>
      <c r="C4453" s="1611" t="s">
        <v>4352</v>
      </c>
      <c r="D4453" s="1612">
        <v>0</v>
      </c>
      <c r="E4453" s="1706" t="s">
        <v>7592</v>
      </c>
      <c r="F4453" s="1613">
        <v>35000000</v>
      </c>
      <c r="G4453" s="1613">
        <v>206629448849</v>
      </c>
    </row>
    <row r="4454" spans="1:7" ht="17.25" customHeight="1" x14ac:dyDescent="0.2">
      <c r="A4454" s="1611">
        <v>17</v>
      </c>
      <c r="B4454" s="1611" t="s">
        <v>7203</v>
      </c>
      <c r="C4454" s="1611" t="s">
        <v>6196</v>
      </c>
      <c r="D4454" s="1612">
        <v>0</v>
      </c>
      <c r="E4454" s="1706" t="s">
        <v>7592</v>
      </c>
      <c r="F4454" s="1613">
        <v>38300000</v>
      </c>
      <c r="G4454" s="1613">
        <v>206667748849</v>
      </c>
    </row>
    <row r="4455" spans="1:7" ht="17.25" customHeight="1" x14ac:dyDescent="0.2">
      <c r="A4455" s="1611">
        <v>17</v>
      </c>
      <c r="B4455" s="1611" t="s">
        <v>7176</v>
      </c>
      <c r="C4455" s="1611" t="s">
        <v>6197</v>
      </c>
      <c r="D4455" s="1612">
        <v>0</v>
      </c>
      <c r="E4455" s="1706" t="s">
        <v>7592</v>
      </c>
      <c r="F4455" s="1613">
        <v>41000000</v>
      </c>
      <c r="G4455" s="1613">
        <v>206708748849</v>
      </c>
    </row>
    <row r="4456" spans="1:7" ht="17.25" customHeight="1" x14ac:dyDescent="0.2">
      <c r="A4456" s="1611">
        <v>17</v>
      </c>
      <c r="B4456" s="1611" t="s">
        <v>7176</v>
      </c>
      <c r="C4456" s="1611" t="s">
        <v>6198</v>
      </c>
      <c r="D4456" s="1612">
        <v>0</v>
      </c>
      <c r="E4456" s="1706" t="s">
        <v>7592</v>
      </c>
      <c r="F4456" s="1613">
        <v>38909090</v>
      </c>
      <c r="G4456" s="1613">
        <v>206747657939</v>
      </c>
    </row>
    <row r="4457" spans="1:7" ht="17.25" customHeight="1" x14ac:dyDescent="0.2">
      <c r="A4457" s="1611">
        <v>17</v>
      </c>
      <c r="B4457" s="1611" t="s">
        <v>7154</v>
      </c>
      <c r="C4457" s="1611" t="s">
        <v>6199</v>
      </c>
      <c r="D4457" s="1612">
        <v>0</v>
      </c>
      <c r="E4457" s="1706" t="s">
        <v>7592</v>
      </c>
      <c r="F4457" s="1613">
        <v>49000000</v>
      </c>
      <c r="G4457" s="1613">
        <v>206796657939</v>
      </c>
    </row>
    <row r="4458" spans="1:7" ht="17.25" customHeight="1" x14ac:dyDescent="0.2">
      <c r="A4458" s="1611">
        <v>17</v>
      </c>
      <c r="B4458" s="1611" t="s">
        <v>7154</v>
      </c>
      <c r="C4458" s="1611" t="s">
        <v>6200</v>
      </c>
      <c r="D4458" s="1612">
        <v>0</v>
      </c>
      <c r="E4458" s="1706" t="s">
        <v>7592</v>
      </c>
      <c r="F4458" s="1613">
        <v>49000000</v>
      </c>
      <c r="G4458" s="1613">
        <v>206845657939</v>
      </c>
    </row>
    <row r="4459" spans="1:7" ht="17.25" customHeight="1" x14ac:dyDescent="0.2">
      <c r="A4459" s="1611">
        <v>17</v>
      </c>
      <c r="B4459" s="1611" t="s">
        <v>7251</v>
      </c>
      <c r="C4459" s="1611" t="s">
        <v>6201</v>
      </c>
      <c r="D4459" s="1612">
        <v>0</v>
      </c>
      <c r="E4459" s="1706" t="s">
        <v>7592</v>
      </c>
      <c r="F4459" s="1613">
        <v>18373000</v>
      </c>
      <c r="G4459" s="1613">
        <v>206864030939</v>
      </c>
    </row>
    <row r="4460" spans="1:7" ht="17.25" customHeight="1" x14ac:dyDescent="0.2">
      <c r="A4460" s="1611">
        <v>17</v>
      </c>
      <c r="B4460" s="1611" t="s">
        <v>7273</v>
      </c>
      <c r="C4460" s="1611" t="s">
        <v>6202</v>
      </c>
      <c r="D4460" s="1612">
        <v>0</v>
      </c>
      <c r="E4460" s="1706" t="s">
        <v>7592</v>
      </c>
      <c r="F4460" s="1613">
        <v>165000000</v>
      </c>
      <c r="G4460" s="1613">
        <v>207029030939</v>
      </c>
    </row>
    <row r="4461" spans="1:7" ht="17.25" customHeight="1" x14ac:dyDescent="0.2">
      <c r="A4461" s="1611">
        <v>17</v>
      </c>
      <c r="B4461" s="1611" t="s">
        <v>7261</v>
      </c>
      <c r="C4461" s="1611" t="s">
        <v>6141</v>
      </c>
      <c r="D4461" s="1612">
        <v>0</v>
      </c>
      <c r="E4461" s="1706" t="s">
        <v>7592</v>
      </c>
      <c r="F4461" s="1613">
        <v>148200000</v>
      </c>
      <c r="G4461" s="1613">
        <v>207177230939</v>
      </c>
    </row>
    <row r="4462" spans="1:7" ht="17.25" customHeight="1" x14ac:dyDescent="0.2">
      <c r="A4462" s="1611">
        <v>17</v>
      </c>
      <c r="B4462" s="1611" t="s">
        <v>7203</v>
      </c>
      <c r="C4462" s="1611" t="s">
        <v>3919</v>
      </c>
      <c r="D4462" s="1612">
        <v>0</v>
      </c>
      <c r="E4462" s="1706" t="s">
        <v>7592</v>
      </c>
      <c r="F4462" s="1613">
        <v>37272727</v>
      </c>
      <c r="G4462" s="1613">
        <v>207214503666</v>
      </c>
    </row>
    <row r="4463" spans="1:7" ht="17.25" customHeight="1" x14ac:dyDescent="0.2">
      <c r="A4463" s="1611">
        <v>17</v>
      </c>
      <c r="B4463" s="1611" t="s">
        <v>7154</v>
      </c>
      <c r="C4463" s="1611" t="s">
        <v>6203</v>
      </c>
      <c r="D4463" s="1612">
        <v>0</v>
      </c>
      <c r="E4463" s="1706" t="s">
        <v>7592</v>
      </c>
      <c r="F4463" s="1613">
        <v>48700000</v>
      </c>
      <c r="G4463" s="1613">
        <v>207263203666</v>
      </c>
    </row>
    <row r="4464" spans="1:7" ht="17.25" customHeight="1" x14ac:dyDescent="0.2">
      <c r="A4464" s="1611">
        <v>17</v>
      </c>
      <c r="B4464" s="1611" t="s">
        <v>7176</v>
      </c>
      <c r="C4464" s="1611" t="s">
        <v>6204</v>
      </c>
      <c r="D4464" s="1612">
        <v>0</v>
      </c>
      <c r="E4464" s="1706" t="s">
        <v>7592</v>
      </c>
      <c r="F4464" s="1613">
        <v>42727273</v>
      </c>
      <c r="G4464" s="1613">
        <v>207305930939</v>
      </c>
    </row>
    <row r="4465" spans="1:7" ht="17.25" customHeight="1" x14ac:dyDescent="0.2">
      <c r="A4465" s="1611">
        <v>17</v>
      </c>
      <c r="B4465" s="1611" t="s">
        <v>7203</v>
      </c>
      <c r="C4465" s="1611" t="s">
        <v>5053</v>
      </c>
      <c r="D4465" s="1612">
        <v>0</v>
      </c>
      <c r="E4465" s="1706" t="s">
        <v>7592</v>
      </c>
      <c r="F4465" s="1613">
        <v>38000000</v>
      </c>
      <c r="G4465" s="1613">
        <v>207343930939</v>
      </c>
    </row>
    <row r="4466" spans="1:7" ht="17.25" customHeight="1" x14ac:dyDescent="0.2">
      <c r="A4466" s="1611">
        <v>17</v>
      </c>
      <c r="B4466" s="1611" t="s">
        <v>7203</v>
      </c>
      <c r="C4466" s="1611" t="s">
        <v>6205</v>
      </c>
      <c r="D4466" s="1612">
        <v>0</v>
      </c>
      <c r="E4466" s="1706" t="s">
        <v>7592</v>
      </c>
      <c r="F4466" s="1613">
        <v>37000000</v>
      </c>
      <c r="G4466" s="1613">
        <v>207380930939</v>
      </c>
    </row>
    <row r="4467" spans="1:7" ht="17.25" customHeight="1" x14ac:dyDescent="0.2">
      <c r="A4467" s="1611">
        <v>17</v>
      </c>
      <c r="B4467" s="1611" t="s">
        <v>7176</v>
      </c>
      <c r="C4467" s="1611" t="s">
        <v>5647</v>
      </c>
      <c r="D4467" s="1612">
        <v>0</v>
      </c>
      <c r="E4467" s="1706" t="s">
        <v>7592</v>
      </c>
      <c r="F4467" s="1613">
        <v>39090909</v>
      </c>
      <c r="G4467" s="1613">
        <v>207420021848</v>
      </c>
    </row>
    <row r="4468" spans="1:7" ht="17.25" customHeight="1" x14ac:dyDescent="0.2">
      <c r="A4468" s="1611">
        <v>17</v>
      </c>
      <c r="B4468" s="1611" t="s">
        <v>7203</v>
      </c>
      <c r="C4468" s="1611" t="s">
        <v>6163</v>
      </c>
      <c r="D4468" s="1612">
        <v>0</v>
      </c>
      <c r="E4468" s="1706" t="s">
        <v>7592</v>
      </c>
      <c r="F4468" s="1613">
        <v>37470000</v>
      </c>
      <c r="G4468" s="1613">
        <v>207457491848</v>
      </c>
    </row>
    <row r="4469" spans="1:7" ht="17.25" customHeight="1" x14ac:dyDescent="0.2">
      <c r="A4469" s="1611">
        <v>17</v>
      </c>
      <c r="B4469" s="1611" t="s">
        <v>7261</v>
      </c>
      <c r="C4469" s="1611" t="s">
        <v>6150</v>
      </c>
      <c r="D4469" s="1612">
        <v>0</v>
      </c>
      <c r="E4469" s="1706" t="s">
        <v>7592</v>
      </c>
      <c r="F4469" s="1613">
        <v>149000000</v>
      </c>
      <c r="G4469" s="1613">
        <v>207606491848</v>
      </c>
    </row>
    <row r="4470" spans="1:7" ht="17.25" customHeight="1" x14ac:dyDescent="0.2">
      <c r="A4470" s="1611">
        <v>17</v>
      </c>
      <c r="B4470" s="1611" t="s">
        <v>7282</v>
      </c>
      <c r="C4470" s="1611" t="s">
        <v>6150</v>
      </c>
      <c r="D4470" s="1612">
        <v>0</v>
      </c>
      <c r="E4470" s="1706" t="s">
        <v>7592</v>
      </c>
      <c r="F4470" s="1613">
        <v>159000000</v>
      </c>
      <c r="G4470" s="1613">
        <v>207765491848</v>
      </c>
    </row>
    <row r="4471" spans="1:7" ht="17.25" customHeight="1" x14ac:dyDescent="0.2">
      <c r="A4471" s="1611">
        <v>17</v>
      </c>
      <c r="B4471" s="1611" t="s">
        <v>7252</v>
      </c>
      <c r="C4471" s="1611" t="s">
        <v>6206</v>
      </c>
      <c r="D4471" s="1612">
        <v>0</v>
      </c>
      <c r="E4471" s="1706" t="s">
        <v>7592</v>
      </c>
      <c r="F4471" s="1613">
        <v>62200000</v>
      </c>
      <c r="G4471" s="1613">
        <v>207827691848</v>
      </c>
    </row>
    <row r="4472" spans="1:7" ht="17.25" customHeight="1" x14ac:dyDescent="0.2">
      <c r="A4472" s="1611">
        <v>17</v>
      </c>
      <c r="B4472" s="1611" t="s">
        <v>7203</v>
      </c>
      <c r="C4472" s="1611" t="s">
        <v>6207</v>
      </c>
      <c r="D4472" s="1612">
        <v>0</v>
      </c>
      <c r="E4472" s="1706" t="s">
        <v>7592</v>
      </c>
      <c r="F4472" s="1613">
        <v>37500000</v>
      </c>
      <c r="G4472" s="1613">
        <v>207865191848</v>
      </c>
    </row>
    <row r="4473" spans="1:7" ht="17.25" customHeight="1" x14ac:dyDescent="0.2">
      <c r="A4473" s="1611">
        <v>17</v>
      </c>
      <c r="B4473" s="1611" t="s">
        <v>7156</v>
      </c>
      <c r="C4473" s="1611" t="s">
        <v>4213</v>
      </c>
      <c r="D4473" s="1612">
        <v>0</v>
      </c>
      <c r="E4473" s="1706" t="s">
        <v>7592</v>
      </c>
      <c r="F4473" s="1613">
        <v>15000000</v>
      </c>
      <c r="G4473" s="1613">
        <v>207880191848</v>
      </c>
    </row>
    <row r="4474" spans="1:7" ht="17.25" customHeight="1" x14ac:dyDescent="0.2">
      <c r="A4474" s="1611">
        <v>17</v>
      </c>
      <c r="B4474" s="1611" t="s">
        <v>7203</v>
      </c>
      <c r="C4474" s="1611" t="s">
        <v>6118</v>
      </c>
      <c r="D4474" s="1612">
        <v>0</v>
      </c>
      <c r="E4474" s="1706" t="s">
        <v>7592</v>
      </c>
      <c r="F4474" s="1613">
        <v>18373000</v>
      </c>
      <c r="G4474" s="1613">
        <v>207898564848</v>
      </c>
    </row>
    <row r="4475" spans="1:7" ht="17.25" customHeight="1" x14ac:dyDescent="0.2">
      <c r="A4475" s="1611">
        <v>17</v>
      </c>
      <c r="B4475" s="1611" t="s">
        <v>7176</v>
      </c>
      <c r="C4475" s="1611" t="s">
        <v>6208</v>
      </c>
      <c r="D4475" s="1612">
        <v>0</v>
      </c>
      <c r="E4475" s="1706" t="s">
        <v>7592</v>
      </c>
      <c r="F4475" s="1613">
        <v>40500000</v>
      </c>
      <c r="G4475" s="1613">
        <v>207939064848</v>
      </c>
    </row>
    <row r="4476" spans="1:7" ht="17.25" customHeight="1" x14ac:dyDescent="0.2">
      <c r="A4476" s="1611">
        <v>17</v>
      </c>
      <c r="B4476" s="1611" t="s">
        <v>7156</v>
      </c>
      <c r="C4476" s="1611" t="s">
        <v>6209</v>
      </c>
      <c r="D4476" s="1612">
        <v>0</v>
      </c>
      <c r="E4476" s="1706" t="s">
        <v>7592</v>
      </c>
      <c r="F4476" s="1613">
        <v>14150000</v>
      </c>
      <c r="G4476" s="1613">
        <v>207953214848</v>
      </c>
    </row>
    <row r="4477" spans="1:7" ht="17.25" customHeight="1" x14ac:dyDescent="0.2">
      <c r="A4477" s="1611">
        <v>17</v>
      </c>
      <c r="B4477" s="1611" t="s">
        <v>7176</v>
      </c>
      <c r="C4477" s="1611" t="s">
        <v>6210</v>
      </c>
      <c r="D4477" s="1612">
        <v>0</v>
      </c>
      <c r="E4477" s="1706" t="s">
        <v>7592</v>
      </c>
      <c r="F4477" s="1613">
        <v>45500000</v>
      </c>
      <c r="G4477" s="1613">
        <v>207998714848</v>
      </c>
    </row>
    <row r="4478" spans="1:7" ht="17.25" customHeight="1" x14ac:dyDescent="0.2">
      <c r="A4478" s="1611">
        <v>17</v>
      </c>
      <c r="B4478" s="1611" t="s">
        <v>7176</v>
      </c>
      <c r="C4478" s="1611" t="s">
        <v>6211</v>
      </c>
      <c r="D4478" s="1612">
        <v>0</v>
      </c>
      <c r="E4478" s="1706" t="s">
        <v>7592</v>
      </c>
      <c r="F4478" s="1613">
        <v>39000000</v>
      </c>
      <c r="G4478" s="1613">
        <v>208037714848</v>
      </c>
    </row>
    <row r="4479" spans="1:7" ht="17.25" customHeight="1" x14ac:dyDescent="0.2">
      <c r="A4479" s="1611">
        <v>17</v>
      </c>
      <c r="B4479" s="1611" t="s">
        <v>7170</v>
      </c>
      <c r="C4479" s="1611" t="s">
        <v>3671</v>
      </c>
      <c r="D4479" s="1612">
        <v>0</v>
      </c>
      <c r="E4479" s="1706" t="s">
        <v>7592</v>
      </c>
      <c r="F4479" s="1613">
        <v>175000000</v>
      </c>
      <c r="G4479" s="1613">
        <v>208212714848</v>
      </c>
    </row>
    <row r="4480" spans="1:7" ht="17.25" customHeight="1" x14ac:dyDescent="0.2">
      <c r="A4480" s="1611">
        <v>17</v>
      </c>
      <c r="B4480" s="1611" t="s">
        <v>7203</v>
      </c>
      <c r="C4480" s="1611" t="s">
        <v>6212</v>
      </c>
      <c r="D4480" s="1612">
        <v>0</v>
      </c>
      <c r="E4480" s="1706" t="s">
        <v>7592</v>
      </c>
      <c r="F4480" s="1613">
        <v>36363636</v>
      </c>
      <c r="G4480" s="1613">
        <v>208249078484</v>
      </c>
    </row>
    <row r="4481" spans="1:7" ht="17.25" customHeight="1" x14ac:dyDescent="0.2">
      <c r="A4481" s="1611">
        <v>17</v>
      </c>
      <c r="B4481" s="1611" t="s">
        <v>7203</v>
      </c>
      <c r="C4481" s="1611" t="s">
        <v>6213</v>
      </c>
      <c r="D4481" s="1612">
        <v>0</v>
      </c>
      <c r="E4481" s="1706" t="s">
        <v>7592</v>
      </c>
      <c r="F4481" s="1613">
        <v>38500000</v>
      </c>
      <c r="G4481" s="1613">
        <v>208287578484</v>
      </c>
    </row>
    <row r="4482" spans="1:7" ht="17.25" customHeight="1" x14ac:dyDescent="0.2">
      <c r="A4482" s="1611">
        <v>17</v>
      </c>
      <c r="B4482" s="1611" t="s">
        <v>7203</v>
      </c>
      <c r="C4482" s="1611" t="s">
        <v>6214</v>
      </c>
      <c r="D4482" s="1612">
        <v>0</v>
      </c>
      <c r="E4482" s="1706" t="s">
        <v>7592</v>
      </c>
      <c r="F4482" s="1613">
        <v>38500000</v>
      </c>
      <c r="G4482" s="1613">
        <v>208326078484</v>
      </c>
    </row>
    <row r="4483" spans="1:7" ht="17.25" customHeight="1" x14ac:dyDescent="0.2">
      <c r="A4483" s="1611">
        <v>17</v>
      </c>
      <c r="B4483" s="1611" t="s">
        <v>7203</v>
      </c>
      <c r="C4483" s="1611" t="s">
        <v>6215</v>
      </c>
      <c r="D4483" s="1612">
        <v>0</v>
      </c>
      <c r="E4483" s="1706" t="s">
        <v>7592</v>
      </c>
      <c r="F4483" s="1613">
        <v>37000000</v>
      </c>
      <c r="G4483" s="1613">
        <v>208363078484</v>
      </c>
    </row>
    <row r="4484" spans="1:7" ht="17.25" customHeight="1" x14ac:dyDescent="0.2">
      <c r="A4484" s="1611">
        <v>17</v>
      </c>
      <c r="B4484" s="1611" t="s">
        <v>7203</v>
      </c>
      <c r="C4484" s="1611" t="s">
        <v>5720</v>
      </c>
      <c r="D4484" s="1612">
        <v>0</v>
      </c>
      <c r="E4484" s="1706" t="s">
        <v>7592</v>
      </c>
      <c r="F4484" s="1613">
        <v>36363636</v>
      </c>
      <c r="G4484" s="1613">
        <v>208399442120</v>
      </c>
    </row>
    <row r="4485" spans="1:7" ht="17.25" customHeight="1" x14ac:dyDescent="0.2">
      <c r="A4485" s="1611">
        <v>17</v>
      </c>
      <c r="B4485" s="1611" t="s">
        <v>7156</v>
      </c>
      <c r="C4485" s="1611" t="s">
        <v>6216</v>
      </c>
      <c r="D4485" s="1612">
        <v>0</v>
      </c>
      <c r="E4485" s="1706" t="s">
        <v>7592</v>
      </c>
      <c r="F4485" s="1613">
        <v>12400000</v>
      </c>
      <c r="G4485" s="1613">
        <v>208411842120</v>
      </c>
    </row>
    <row r="4486" spans="1:7" ht="17.25" customHeight="1" x14ac:dyDescent="0.2">
      <c r="A4486" s="1611">
        <v>17</v>
      </c>
      <c r="B4486" s="1611" t="s">
        <v>7176</v>
      </c>
      <c r="C4486" s="1611" t="s">
        <v>6217</v>
      </c>
      <c r="D4486" s="1612">
        <v>0</v>
      </c>
      <c r="E4486" s="1706" t="s">
        <v>7592</v>
      </c>
      <c r="F4486" s="1613">
        <v>40000000</v>
      </c>
      <c r="G4486" s="1613">
        <v>208451842120</v>
      </c>
    </row>
    <row r="4487" spans="1:7" ht="17.25" customHeight="1" x14ac:dyDescent="0.2">
      <c r="A4487" s="1611">
        <v>17</v>
      </c>
      <c r="B4487" s="1611" t="s">
        <v>7203</v>
      </c>
      <c r="C4487" s="1611" t="s">
        <v>3721</v>
      </c>
      <c r="D4487" s="1612">
        <v>0</v>
      </c>
      <c r="E4487" s="1706" t="s">
        <v>7592</v>
      </c>
      <c r="F4487" s="1613">
        <v>36000000</v>
      </c>
      <c r="G4487" s="1613">
        <v>208487842120</v>
      </c>
    </row>
    <row r="4488" spans="1:7" ht="17.25" customHeight="1" x14ac:dyDescent="0.2">
      <c r="A4488" s="1611">
        <v>17</v>
      </c>
      <c r="B4488" s="1611" t="s">
        <v>7203</v>
      </c>
      <c r="C4488" s="1611" t="s">
        <v>4422</v>
      </c>
      <c r="D4488" s="1612">
        <v>0</v>
      </c>
      <c r="E4488" s="1706" t="s">
        <v>7592</v>
      </c>
      <c r="F4488" s="1613">
        <v>18143000</v>
      </c>
      <c r="G4488" s="1613">
        <v>208505985120</v>
      </c>
    </row>
    <row r="4489" spans="1:7" ht="17.25" customHeight="1" x14ac:dyDescent="0.2">
      <c r="A4489" s="1611">
        <v>17</v>
      </c>
      <c r="B4489" s="1611" t="s">
        <v>7251</v>
      </c>
      <c r="C4489" s="1611" t="s">
        <v>6218</v>
      </c>
      <c r="D4489" s="1612">
        <v>0</v>
      </c>
      <c r="E4489" s="1706" t="s">
        <v>7592</v>
      </c>
      <c r="F4489" s="1613">
        <v>18373000</v>
      </c>
      <c r="G4489" s="1613">
        <v>208524358120</v>
      </c>
    </row>
    <row r="4490" spans="1:7" ht="17.25" customHeight="1" x14ac:dyDescent="0.2">
      <c r="A4490" s="1611">
        <v>17</v>
      </c>
      <c r="B4490" s="1611" t="s">
        <v>6219</v>
      </c>
      <c r="C4490" s="1611" t="s">
        <v>4111</v>
      </c>
      <c r="D4490" s="1612">
        <v>0</v>
      </c>
      <c r="E4490" s="1706" t="s">
        <v>7592</v>
      </c>
      <c r="F4490" s="1613">
        <v>2396700</v>
      </c>
      <c r="G4490" s="1613">
        <v>208526754820</v>
      </c>
    </row>
    <row r="4491" spans="1:7" ht="17.25" customHeight="1" x14ac:dyDescent="0.2">
      <c r="A4491" s="1611">
        <v>17</v>
      </c>
      <c r="B4491" s="1611" t="s">
        <v>7154</v>
      </c>
      <c r="C4491" s="1611" t="s">
        <v>5190</v>
      </c>
      <c r="D4491" s="1612">
        <v>0</v>
      </c>
      <c r="E4491" s="1706" t="s">
        <v>7592</v>
      </c>
      <c r="F4491" s="1613">
        <v>48181818</v>
      </c>
      <c r="G4491" s="1613">
        <v>208574936638</v>
      </c>
    </row>
    <row r="4492" spans="1:7" ht="17.25" customHeight="1" x14ac:dyDescent="0.2">
      <c r="A4492" s="1611">
        <v>17</v>
      </c>
      <c r="B4492" s="1611" t="s">
        <v>7154</v>
      </c>
      <c r="C4492" s="1611" t="s">
        <v>6220</v>
      </c>
      <c r="D4492" s="1612">
        <v>0</v>
      </c>
      <c r="E4492" s="1706" t="s">
        <v>7592</v>
      </c>
      <c r="F4492" s="1613">
        <v>51818182</v>
      </c>
      <c r="G4492" s="1613">
        <v>208626754820</v>
      </c>
    </row>
    <row r="4493" spans="1:7" ht="17.25" customHeight="1" x14ac:dyDescent="0.2">
      <c r="A4493" s="1611">
        <v>17</v>
      </c>
      <c r="B4493" s="1611" t="s">
        <v>7282</v>
      </c>
      <c r="C4493" s="1611" t="s">
        <v>6221</v>
      </c>
      <c r="D4493" s="1612">
        <v>0</v>
      </c>
      <c r="E4493" s="1706" t="s">
        <v>7592</v>
      </c>
      <c r="F4493" s="1613">
        <v>157000000</v>
      </c>
      <c r="G4493" s="1613">
        <v>208783754820</v>
      </c>
    </row>
    <row r="4494" spans="1:7" ht="17.25" customHeight="1" x14ac:dyDescent="0.2">
      <c r="A4494" s="1611">
        <v>17</v>
      </c>
      <c r="B4494" s="1611" t="s">
        <v>7170</v>
      </c>
      <c r="C4494" s="1611" t="s">
        <v>6222</v>
      </c>
      <c r="D4494" s="1612">
        <v>0</v>
      </c>
      <c r="E4494" s="1706" t="s">
        <v>7592</v>
      </c>
      <c r="F4494" s="1613">
        <v>175000000</v>
      </c>
      <c r="G4494" s="1613">
        <v>208958754820</v>
      </c>
    </row>
    <row r="4495" spans="1:7" ht="17.25" customHeight="1" x14ac:dyDescent="0.2">
      <c r="A4495" s="1611">
        <v>17</v>
      </c>
      <c r="B4495" s="1611" t="s">
        <v>7203</v>
      </c>
      <c r="C4495" s="1611" t="s">
        <v>6223</v>
      </c>
      <c r="D4495" s="1612">
        <v>0</v>
      </c>
      <c r="E4495" s="1706" t="s">
        <v>7592</v>
      </c>
      <c r="F4495" s="1613">
        <v>36363636</v>
      </c>
      <c r="G4495" s="1613">
        <v>208995118456</v>
      </c>
    </row>
    <row r="4496" spans="1:7" ht="17.25" customHeight="1" x14ac:dyDescent="0.2">
      <c r="A4496" s="1611">
        <v>17</v>
      </c>
      <c r="B4496" s="1611" t="s">
        <v>7345</v>
      </c>
      <c r="C4496" s="1611" t="s">
        <v>5701</v>
      </c>
      <c r="D4496" s="1612">
        <v>0</v>
      </c>
      <c r="E4496" s="1612" t="s">
        <v>3297</v>
      </c>
      <c r="F4496" s="1613">
        <v>38008432</v>
      </c>
      <c r="G4496" s="1613">
        <v>209033126888</v>
      </c>
    </row>
    <row r="4497" spans="1:7" ht="17.25" customHeight="1" x14ac:dyDescent="0.2">
      <c r="A4497" s="1611">
        <v>17</v>
      </c>
      <c r="B4497" s="1611" t="s">
        <v>7170</v>
      </c>
      <c r="C4497" s="1611" t="s">
        <v>6224</v>
      </c>
      <c r="D4497" s="1612">
        <v>0</v>
      </c>
      <c r="E4497" s="1706" t="s">
        <v>7592</v>
      </c>
      <c r="F4497" s="1613">
        <v>175000000</v>
      </c>
      <c r="G4497" s="1613">
        <v>209208126888</v>
      </c>
    </row>
    <row r="4498" spans="1:7" ht="17.25" customHeight="1" x14ac:dyDescent="0.2">
      <c r="A4498" s="1611">
        <v>17</v>
      </c>
      <c r="B4498" s="1611" t="s">
        <v>7170</v>
      </c>
      <c r="C4498" s="1611" t="s">
        <v>6225</v>
      </c>
      <c r="D4498" s="1612">
        <v>0</v>
      </c>
      <c r="E4498" s="1706" t="s">
        <v>7592</v>
      </c>
      <c r="F4498" s="1613">
        <v>175000000</v>
      </c>
      <c r="G4498" s="1613">
        <v>209383126888</v>
      </c>
    </row>
    <row r="4499" spans="1:7" ht="17.25" customHeight="1" x14ac:dyDescent="0.2">
      <c r="A4499" s="1611">
        <v>17</v>
      </c>
      <c r="B4499" s="1611" t="s">
        <v>7154</v>
      </c>
      <c r="C4499" s="1611" t="s">
        <v>6226</v>
      </c>
      <c r="D4499" s="1612">
        <v>0</v>
      </c>
      <c r="E4499" s="1706" t="s">
        <v>7592</v>
      </c>
      <c r="F4499" s="1613">
        <v>48200000</v>
      </c>
      <c r="G4499" s="1613">
        <v>209431326888</v>
      </c>
    </row>
    <row r="4500" spans="1:7" ht="17.25" customHeight="1" x14ac:dyDescent="0.2">
      <c r="A4500" s="1611">
        <v>17</v>
      </c>
      <c r="B4500" s="1611" t="s">
        <v>7203</v>
      </c>
      <c r="C4500" s="1611" t="s">
        <v>6227</v>
      </c>
      <c r="D4500" s="1612">
        <v>0</v>
      </c>
      <c r="E4500" s="1706" t="s">
        <v>7592</v>
      </c>
      <c r="F4500" s="1613">
        <v>38000000</v>
      </c>
      <c r="G4500" s="1613">
        <v>209469326888</v>
      </c>
    </row>
    <row r="4501" spans="1:7" ht="17.25" customHeight="1" x14ac:dyDescent="0.2">
      <c r="A4501" s="1611">
        <v>17</v>
      </c>
      <c r="B4501" s="1611" t="s">
        <v>7170</v>
      </c>
      <c r="C4501" s="1611" t="s">
        <v>6228</v>
      </c>
      <c r="D4501" s="1612">
        <v>0</v>
      </c>
      <c r="E4501" s="1706" t="s">
        <v>7592</v>
      </c>
      <c r="F4501" s="1613">
        <v>176500000</v>
      </c>
      <c r="G4501" s="1613">
        <v>209645826888</v>
      </c>
    </row>
    <row r="4502" spans="1:7" ht="17.25" customHeight="1" x14ac:dyDescent="0.2">
      <c r="A4502" s="1611">
        <v>17</v>
      </c>
      <c r="B4502" s="1611" t="s">
        <v>7154</v>
      </c>
      <c r="C4502" s="1611" t="s">
        <v>6229</v>
      </c>
      <c r="D4502" s="1612">
        <v>0</v>
      </c>
      <c r="E4502" s="1706" t="s">
        <v>7592</v>
      </c>
      <c r="F4502" s="1613">
        <v>52000000</v>
      </c>
      <c r="G4502" s="1613">
        <v>209697826888</v>
      </c>
    </row>
    <row r="4503" spans="1:7" ht="17.25" customHeight="1" x14ac:dyDescent="0.2">
      <c r="A4503" s="1611">
        <v>17</v>
      </c>
      <c r="B4503" s="1611" t="s">
        <v>7154</v>
      </c>
      <c r="C4503" s="1611" t="s">
        <v>6229</v>
      </c>
      <c r="D4503" s="1612">
        <v>0</v>
      </c>
      <c r="E4503" s="1706" t="s">
        <v>7592</v>
      </c>
      <c r="F4503" s="1613">
        <v>52000000</v>
      </c>
      <c r="G4503" s="1613">
        <v>209749826888</v>
      </c>
    </row>
    <row r="4504" spans="1:7" ht="17.25" customHeight="1" x14ac:dyDescent="0.2">
      <c r="A4504" s="1611">
        <v>17</v>
      </c>
      <c r="B4504" s="1611" t="s">
        <v>7282</v>
      </c>
      <c r="C4504" s="1611" t="s">
        <v>6230</v>
      </c>
      <c r="D4504" s="1612">
        <v>0</v>
      </c>
      <c r="E4504" s="1706" t="s">
        <v>7592</v>
      </c>
      <c r="F4504" s="1613">
        <v>158000000</v>
      </c>
      <c r="G4504" s="1613">
        <v>209907826888</v>
      </c>
    </row>
    <row r="4505" spans="1:7" ht="17.25" customHeight="1" x14ac:dyDescent="0.2">
      <c r="A4505" s="1611">
        <v>17</v>
      </c>
      <c r="B4505" s="1611" t="s">
        <v>7154</v>
      </c>
      <c r="C4505" s="1611" t="s">
        <v>6231</v>
      </c>
      <c r="D4505" s="1612">
        <v>0</v>
      </c>
      <c r="E4505" s="1706" t="s">
        <v>7592</v>
      </c>
      <c r="F4505" s="1613">
        <v>48181818</v>
      </c>
      <c r="G4505" s="1613">
        <v>209956008706</v>
      </c>
    </row>
    <row r="4506" spans="1:7" ht="17.25" customHeight="1" x14ac:dyDescent="0.2">
      <c r="A4506" s="1611">
        <v>17</v>
      </c>
      <c r="B4506" s="1611" t="s">
        <v>7170</v>
      </c>
      <c r="C4506" s="1611" t="s">
        <v>5187</v>
      </c>
      <c r="D4506" s="1612">
        <v>0</v>
      </c>
      <c r="E4506" s="1706" t="s">
        <v>7592</v>
      </c>
      <c r="F4506" s="1613">
        <v>176500000</v>
      </c>
      <c r="G4506" s="1613">
        <v>210132508706</v>
      </c>
    </row>
    <row r="4507" spans="1:7" ht="17.25" customHeight="1" x14ac:dyDescent="0.2">
      <c r="A4507" s="1611">
        <v>17</v>
      </c>
      <c r="B4507" s="1611" t="s">
        <v>7156</v>
      </c>
      <c r="C4507" s="1611" t="s">
        <v>3438</v>
      </c>
      <c r="D4507" s="1612">
        <v>0</v>
      </c>
      <c r="E4507" s="1706" t="s">
        <v>7592</v>
      </c>
      <c r="F4507" s="1613">
        <v>49914000</v>
      </c>
      <c r="G4507" s="1613">
        <v>210182422706</v>
      </c>
    </row>
    <row r="4508" spans="1:7" ht="17.25" customHeight="1" x14ac:dyDescent="0.2">
      <c r="A4508" s="1611">
        <v>17</v>
      </c>
      <c r="B4508" s="1611" t="s">
        <v>7156</v>
      </c>
      <c r="C4508" s="1611" t="s">
        <v>3438</v>
      </c>
      <c r="D4508" s="1612">
        <v>0</v>
      </c>
      <c r="E4508" s="1706" t="s">
        <v>7592</v>
      </c>
      <c r="F4508" s="1613">
        <v>49914000</v>
      </c>
      <c r="G4508" s="1613">
        <v>210232336706</v>
      </c>
    </row>
    <row r="4509" spans="1:7" ht="17.25" customHeight="1" x14ac:dyDescent="0.2">
      <c r="A4509" s="1611">
        <v>17</v>
      </c>
      <c r="B4509" s="1611" t="s">
        <v>7156</v>
      </c>
      <c r="C4509" s="1611" t="s">
        <v>3438</v>
      </c>
      <c r="D4509" s="1612">
        <v>0</v>
      </c>
      <c r="E4509" s="1706" t="s">
        <v>7592</v>
      </c>
      <c r="F4509" s="1613">
        <v>49914000</v>
      </c>
      <c r="G4509" s="1613">
        <v>210282250706</v>
      </c>
    </row>
    <row r="4510" spans="1:7" ht="17.25" customHeight="1" x14ac:dyDescent="0.2">
      <c r="A4510" s="1611">
        <v>17</v>
      </c>
      <c r="B4510" s="1611" t="s">
        <v>7203</v>
      </c>
      <c r="C4510" s="1611" t="s">
        <v>4925</v>
      </c>
      <c r="D4510" s="1612">
        <v>0</v>
      </c>
      <c r="E4510" s="1706" t="s">
        <v>7592</v>
      </c>
      <c r="F4510" s="1613">
        <v>17703000</v>
      </c>
      <c r="G4510" s="1613">
        <v>210299953706</v>
      </c>
    </row>
    <row r="4511" spans="1:7" ht="17.25" customHeight="1" x14ac:dyDescent="0.2">
      <c r="A4511" s="1611">
        <v>17</v>
      </c>
      <c r="B4511" s="1611" t="s">
        <v>7203</v>
      </c>
      <c r="C4511" s="1611" t="s">
        <v>4660</v>
      </c>
      <c r="D4511" s="1612">
        <v>0</v>
      </c>
      <c r="E4511" s="1706" t="s">
        <v>7592</v>
      </c>
      <c r="F4511" s="1613">
        <v>18373000</v>
      </c>
      <c r="G4511" s="1613">
        <v>210318326706</v>
      </c>
    </row>
    <row r="4512" spans="1:7" ht="17.25" customHeight="1" x14ac:dyDescent="0.2">
      <c r="A4512" s="1611">
        <v>17</v>
      </c>
      <c r="B4512" s="1611" t="s">
        <v>7170</v>
      </c>
      <c r="C4512" s="1611" t="s">
        <v>6232</v>
      </c>
      <c r="D4512" s="1612">
        <v>0</v>
      </c>
      <c r="E4512" s="1706" t="s">
        <v>7592</v>
      </c>
      <c r="F4512" s="1613">
        <v>171000000</v>
      </c>
      <c r="G4512" s="1613">
        <v>210489326706</v>
      </c>
    </row>
    <row r="4513" spans="1:7" ht="17.25" customHeight="1" x14ac:dyDescent="0.2">
      <c r="A4513" s="1611">
        <v>17</v>
      </c>
      <c r="B4513" s="1611" t="s">
        <v>7154</v>
      </c>
      <c r="C4513" s="1611" t="s">
        <v>6233</v>
      </c>
      <c r="D4513" s="1612">
        <v>0</v>
      </c>
      <c r="E4513" s="1706" t="s">
        <v>7592</v>
      </c>
      <c r="F4513" s="1613">
        <v>51818182</v>
      </c>
      <c r="G4513" s="1613">
        <v>210541144888</v>
      </c>
    </row>
    <row r="4514" spans="1:7" ht="17.25" customHeight="1" x14ac:dyDescent="0.2">
      <c r="A4514" s="1611">
        <v>17</v>
      </c>
      <c r="B4514" s="1611" t="s">
        <v>7154</v>
      </c>
      <c r="C4514" s="1611" t="s">
        <v>6234</v>
      </c>
      <c r="D4514" s="1612">
        <v>0</v>
      </c>
      <c r="E4514" s="1706" t="s">
        <v>7592</v>
      </c>
      <c r="F4514" s="1613">
        <v>51818182</v>
      </c>
      <c r="G4514" s="1613">
        <v>210592963070</v>
      </c>
    </row>
    <row r="4515" spans="1:7" ht="17.25" customHeight="1" x14ac:dyDescent="0.2">
      <c r="A4515" s="1611">
        <v>17</v>
      </c>
      <c r="B4515" s="1611" t="s">
        <v>7282</v>
      </c>
      <c r="C4515" s="1611" t="s">
        <v>6235</v>
      </c>
      <c r="D4515" s="1612">
        <v>0</v>
      </c>
      <c r="E4515" s="1706" t="s">
        <v>7592</v>
      </c>
      <c r="F4515" s="1613">
        <v>160500000</v>
      </c>
      <c r="G4515" s="1613">
        <v>210753463070</v>
      </c>
    </row>
    <row r="4516" spans="1:7" ht="17.25" customHeight="1" x14ac:dyDescent="0.2">
      <c r="A4516" s="1611">
        <v>17</v>
      </c>
      <c r="B4516" s="1611" t="s">
        <v>7203</v>
      </c>
      <c r="C4516" s="1611" t="s">
        <v>6236</v>
      </c>
      <c r="D4516" s="1612">
        <v>0</v>
      </c>
      <c r="E4516" s="1706" t="s">
        <v>7592</v>
      </c>
      <c r="F4516" s="1613">
        <v>35818182</v>
      </c>
      <c r="G4516" s="1613">
        <v>210789281252</v>
      </c>
    </row>
    <row r="4517" spans="1:7" ht="17.25" customHeight="1" x14ac:dyDescent="0.2">
      <c r="A4517" s="1611">
        <v>17</v>
      </c>
      <c r="B4517" s="1611" t="s">
        <v>7346</v>
      </c>
      <c r="C4517" s="1611" t="s">
        <v>5701</v>
      </c>
      <c r="D4517" s="1612">
        <v>0</v>
      </c>
      <c r="E4517" s="1612" t="s">
        <v>3297</v>
      </c>
      <c r="F4517" s="1613">
        <v>50640535</v>
      </c>
      <c r="G4517" s="1613">
        <v>210839921787</v>
      </c>
    </row>
    <row r="4518" spans="1:7" ht="17.25" customHeight="1" x14ac:dyDescent="0.2">
      <c r="A4518" s="1611">
        <v>17</v>
      </c>
      <c r="B4518" s="1611" t="s">
        <v>7302</v>
      </c>
      <c r="C4518" s="1611" t="s">
        <v>4925</v>
      </c>
      <c r="D4518" s="1612">
        <v>0</v>
      </c>
      <c r="E4518" s="1706" t="s">
        <v>7592</v>
      </c>
      <c r="F4518" s="1613">
        <v>670000</v>
      </c>
      <c r="G4518" s="1613">
        <v>210840591787</v>
      </c>
    </row>
    <row r="4519" spans="1:7" ht="17.25" customHeight="1" x14ac:dyDescent="0.2">
      <c r="A4519" s="1611">
        <v>17</v>
      </c>
      <c r="B4519" s="1611" t="s">
        <v>7261</v>
      </c>
      <c r="C4519" s="1611" t="s">
        <v>5676</v>
      </c>
      <c r="D4519" s="1612">
        <v>0</v>
      </c>
      <c r="E4519" s="1706" t="s">
        <v>7592</v>
      </c>
      <c r="F4519" s="1613">
        <v>147300000</v>
      </c>
      <c r="G4519" s="1613">
        <v>210987891787</v>
      </c>
    </row>
    <row r="4520" spans="1:7" ht="17.25" customHeight="1" x14ac:dyDescent="0.2">
      <c r="A4520" s="1611">
        <v>17</v>
      </c>
      <c r="B4520" s="1611" t="s">
        <v>7176</v>
      </c>
      <c r="C4520" s="1611" t="s">
        <v>4510</v>
      </c>
      <c r="D4520" s="1612">
        <v>0</v>
      </c>
      <c r="E4520" s="1706" t="s">
        <v>7592</v>
      </c>
      <c r="F4520" s="1613">
        <v>44200000</v>
      </c>
      <c r="G4520" s="1613">
        <v>211032091787</v>
      </c>
    </row>
    <row r="4521" spans="1:7" ht="17.25" customHeight="1" x14ac:dyDescent="0.2">
      <c r="A4521" s="1611">
        <v>17</v>
      </c>
      <c r="B4521" s="1611" t="s">
        <v>7261</v>
      </c>
      <c r="C4521" s="1611" t="s">
        <v>6237</v>
      </c>
      <c r="D4521" s="1612">
        <v>0</v>
      </c>
      <c r="E4521" s="1706" t="s">
        <v>7592</v>
      </c>
      <c r="F4521" s="1613">
        <v>148600000</v>
      </c>
      <c r="G4521" s="1613">
        <v>211180691787</v>
      </c>
    </row>
    <row r="4522" spans="1:7" ht="17.25" customHeight="1" x14ac:dyDescent="0.2">
      <c r="A4522" s="1611">
        <v>17</v>
      </c>
      <c r="B4522" s="1611" t="s">
        <v>7156</v>
      </c>
      <c r="C4522" s="1611" t="s">
        <v>4213</v>
      </c>
      <c r="D4522" s="1612">
        <v>0</v>
      </c>
      <c r="E4522" s="1706" t="s">
        <v>7592</v>
      </c>
      <c r="F4522" s="1613">
        <v>15000000</v>
      </c>
      <c r="G4522" s="1613">
        <v>211195691787</v>
      </c>
    </row>
    <row r="4523" spans="1:7" ht="17.25" customHeight="1" x14ac:dyDescent="0.2">
      <c r="A4523" s="1611">
        <v>17</v>
      </c>
      <c r="B4523" s="1611" t="s">
        <v>7330</v>
      </c>
      <c r="C4523" s="1611" t="s">
        <v>6238</v>
      </c>
      <c r="D4523" s="1612">
        <v>0</v>
      </c>
      <c r="E4523" s="1706" t="s">
        <v>7592</v>
      </c>
      <c r="F4523" s="1613">
        <v>39545455</v>
      </c>
      <c r="G4523" s="1613">
        <v>211235237242</v>
      </c>
    </row>
    <row r="4524" spans="1:7" ht="17.25" customHeight="1" x14ac:dyDescent="0.2">
      <c r="A4524" s="1611">
        <v>17</v>
      </c>
      <c r="B4524" s="1611" t="s">
        <v>7282</v>
      </c>
      <c r="C4524" s="1611" t="s">
        <v>4908</v>
      </c>
      <c r="D4524" s="1612">
        <v>0</v>
      </c>
      <c r="E4524" s="1706" t="s">
        <v>7592</v>
      </c>
      <c r="F4524" s="1613">
        <v>159000000</v>
      </c>
      <c r="G4524" s="1613">
        <v>211394237242</v>
      </c>
    </row>
    <row r="4525" spans="1:7" ht="17.25" customHeight="1" x14ac:dyDescent="0.2">
      <c r="A4525" s="1611">
        <v>17</v>
      </c>
      <c r="B4525" s="1611" t="s">
        <v>7176</v>
      </c>
      <c r="C4525" s="1611" t="s">
        <v>4148</v>
      </c>
      <c r="D4525" s="1612">
        <v>0</v>
      </c>
      <c r="E4525" s="1706" t="s">
        <v>7592</v>
      </c>
      <c r="F4525" s="1613">
        <v>39036364</v>
      </c>
      <c r="G4525" s="1613">
        <v>211433273606</v>
      </c>
    </row>
    <row r="4526" spans="1:7" ht="17.25" customHeight="1" x14ac:dyDescent="0.2">
      <c r="A4526" s="1611">
        <v>17</v>
      </c>
      <c r="B4526" s="1611" t="s">
        <v>7176</v>
      </c>
      <c r="C4526" s="1611" t="s">
        <v>6239</v>
      </c>
      <c r="D4526" s="1612">
        <v>0</v>
      </c>
      <c r="E4526" s="1706" t="s">
        <v>7592</v>
      </c>
      <c r="F4526" s="1613">
        <v>43636364</v>
      </c>
      <c r="G4526" s="1613">
        <v>211476909970</v>
      </c>
    </row>
    <row r="4527" spans="1:7" ht="17.25" customHeight="1" x14ac:dyDescent="0.2">
      <c r="A4527" s="1611">
        <v>17</v>
      </c>
      <c r="B4527" s="1611" t="s">
        <v>7176</v>
      </c>
      <c r="C4527" s="1611" t="s">
        <v>6240</v>
      </c>
      <c r="D4527" s="1612">
        <v>0</v>
      </c>
      <c r="E4527" s="1706" t="s">
        <v>7592</v>
      </c>
      <c r="F4527" s="1613">
        <v>41000000</v>
      </c>
      <c r="G4527" s="1613">
        <v>211517909970</v>
      </c>
    </row>
    <row r="4528" spans="1:7" ht="17.25" customHeight="1" x14ac:dyDescent="0.2">
      <c r="A4528" s="1611">
        <v>17</v>
      </c>
      <c r="B4528" s="1611" t="s">
        <v>7203</v>
      </c>
      <c r="C4528" s="1611" t="s">
        <v>6107</v>
      </c>
      <c r="D4528" s="1612">
        <v>0</v>
      </c>
      <c r="E4528" s="1706" t="s">
        <v>7592</v>
      </c>
      <c r="F4528" s="1613">
        <v>17573000</v>
      </c>
      <c r="G4528" s="1613">
        <v>211535482970</v>
      </c>
    </row>
    <row r="4529" spans="1:7" ht="17.25" customHeight="1" x14ac:dyDescent="0.2">
      <c r="A4529" s="1611">
        <v>17</v>
      </c>
      <c r="B4529" s="1611" t="s">
        <v>7156</v>
      </c>
      <c r="C4529" s="1611" t="s">
        <v>6241</v>
      </c>
      <c r="D4529" s="1612">
        <v>0</v>
      </c>
      <c r="E4529" s="1706" t="s">
        <v>7592</v>
      </c>
      <c r="F4529" s="1613">
        <v>17039091</v>
      </c>
      <c r="G4529" s="1613">
        <v>211552522061</v>
      </c>
    </row>
    <row r="4530" spans="1:7" ht="17.25" customHeight="1" x14ac:dyDescent="0.2">
      <c r="A4530" s="1611">
        <v>17</v>
      </c>
      <c r="B4530" s="1611" t="s">
        <v>7203</v>
      </c>
      <c r="C4530" s="1611" t="s">
        <v>6242</v>
      </c>
      <c r="D4530" s="1612">
        <v>0</v>
      </c>
      <c r="E4530" s="1706" t="s">
        <v>7592</v>
      </c>
      <c r="F4530" s="1613">
        <v>18500000</v>
      </c>
      <c r="G4530" s="1613">
        <v>211571022061</v>
      </c>
    </row>
    <row r="4531" spans="1:7" ht="17.25" customHeight="1" x14ac:dyDescent="0.2">
      <c r="A4531" s="1611">
        <v>17</v>
      </c>
      <c r="B4531" s="1611" t="s">
        <v>7203</v>
      </c>
      <c r="C4531" s="1611" t="s">
        <v>6242</v>
      </c>
      <c r="D4531" s="1612">
        <v>0</v>
      </c>
      <c r="E4531" s="1706" t="s">
        <v>7592</v>
      </c>
      <c r="F4531" s="1613">
        <v>18500000</v>
      </c>
      <c r="G4531" s="1613">
        <v>211589522061</v>
      </c>
    </row>
    <row r="4532" spans="1:7" ht="17.25" customHeight="1" x14ac:dyDescent="0.2">
      <c r="A4532" s="1611">
        <v>17</v>
      </c>
      <c r="B4532" s="1611" t="s">
        <v>7176</v>
      </c>
      <c r="C4532" s="1611" t="s">
        <v>6243</v>
      </c>
      <c r="D4532" s="1612">
        <v>0</v>
      </c>
      <c r="E4532" s="1706" t="s">
        <v>7592</v>
      </c>
      <c r="F4532" s="1613">
        <v>39272727</v>
      </c>
      <c r="G4532" s="1613">
        <v>211628794788</v>
      </c>
    </row>
    <row r="4533" spans="1:7" ht="17.25" customHeight="1" x14ac:dyDescent="0.2">
      <c r="A4533" s="1611">
        <v>17</v>
      </c>
      <c r="B4533" s="1611" t="s">
        <v>7176</v>
      </c>
      <c r="C4533" s="1611" t="s">
        <v>6244</v>
      </c>
      <c r="D4533" s="1612">
        <v>0</v>
      </c>
      <c r="E4533" s="1706" t="s">
        <v>7592</v>
      </c>
      <c r="F4533" s="1613">
        <v>38800000</v>
      </c>
      <c r="G4533" s="1613">
        <v>211667594788</v>
      </c>
    </row>
    <row r="4534" spans="1:7" ht="17.25" customHeight="1" x14ac:dyDescent="0.2">
      <c r="A4534" s="1611">
        <v>17</v>
      </c>
      <c r="B4534" s="1611" t="s">
        <v>7154</v>
      </c>
      <c r="C4534" s="1611" t="s">
        <v>5515</v>
      </c>
      <c r="D4534" s="1612">
        <v>0</v>
      </c>
      <c r="E4534" s="1706" t="s">
        <v>7592</v>
      </c>
      <c r="F4534" s="1613">
        <v>50909090</v>
      </c>
      <c r="G4534" s="1613">
        <v>211718503878</v>
      </c>
    </row>
    <row r="4535" spans="1:7" ht="17.25" customHeight="1" x14ac:dyDescent="0.2">
      <c r="A4535" s="1611">
        <v>17</v>
      </c>
      <c r="B4535" s="1611" t="s">
        <v>7176</v>
      </c>
      <c r="C4535" s="1611" t="s">
        <v>6245</v>
      </c>
      <c r="D4535" s="1612">
        <v>0</v>
      </c>
      <c r="E4535" s="1706" t="s">
        <v>7592</v>
      </c>
      <c r="F4535" s="1613">
        <v>43636364</v>
      </c>
      <c r="G4535" s="1613">
        <v>211762140242</v>
      </c>
    </row>
    <row r="4536" spans="1:7" ht="17.25" customHeight="1" x14ac:dyDescent="0.2">
      <c r="A4536" s="1611">
        <v>17</v>
      </c>
      <c r="B4536" s="1611" t="s">
        <v>7261</v>
      </c>
      <c r="C4536" s="1611" t="s">
        <v>4843</v>
      </c>
      <c r="D4536" s="1612">
        <v>0</v>
      </c>
      <c r="E4536" s="1706" t="s">
        <v>7592</v>
      </c>
      <c r="F4536" s="1613">
        <v>143000000</v>
      </c>
      <c r="G4536" s="1613">
        <v>211905140242</v>
      </c>
    </row>
    <row r="4537" spans="1:7" ht="17.25" customHeight="1" x14ac:dyDescent="0.2">
      <c r="A4537" s="1611">
        <v>17</v>
      </c>
      <c r="B4537" s="1611" t="s">
        <v>7282</v>
      </c>
      <c r="C4537" s="1611" t="s">
        <v>6246</v>
      </c>
      <c r="D4537" s="1612">
        <v>0</v>
      </c>
      <c r="E4537" s="1706" t="s">
        <v>7592</v>
      </c>
      <c r="F4537" s="1613">
        <v>157000000</v>
      </c>
      <c r="G4537" s="1613">
        <v>212062140242</v>
      </c>
    </row>
    <row r="4538" spans="1:7" ht="17.25" customHeight="1" x14ac:dyDescent="0.2">
      <c r="A4538" s="1611">
        <v>17</v>
      </c>
      <c r="B4538" s="1611" t="s">
        <v>7170</v>
      </c>
      <c r="C4538" s="1611" t="s">
        <v>6247</v>
      </c>
      <c r="D4538" s="1612">
        <v>0</v>
      </c>
      <c r="E4538" s="1706" t="s">
        <v>7592</v>
      </c>
      <c r="F4538" s="1613">
        <v>171000000</v>
      </c>
      <c r="G4538" s="1613">
        <v>212233140242</v>
      </c>
    </row>
    <row r="4539" spans="1:7" ht="17.25" customHeight="1" x14ac:dyDescent="0.2">
      <c r="A4539" s="1611">
        <v>17</v>
      </c>
      <c r="B4539" s="1611" t="s">
        <v>7203</v>
      </c>
      <c r="C4539" s="1611" t="s">
        <v>6248</v>
      </c>
      <c r="D4539" s="1612">
        <v>0</v>
      </c>
      <c r="E4539" s="1706" t="s">
        <v>7592</v>
      </c>
      <c r="F4539" s="1613">
        <v>36363636</v>
      </c>
      <c r="G4539" s="1613">
        <v>212269503878</v>
      </c>
    </row>
    <row r="4540" spans="1:7" ht="17.25" customHeight="1" x14ac:dyDescent="0.2">
      <c r="A4540" s="1611">
        <v>17</v>
      </c>
      <c r="B4540" s="1611" t="s">
        <v>7186</v>
      </c>
      <c r="C4540" s="1611" t="s">
        <v>6249</v>
      </c>
      <c r="D4540" s="1612">
        <v>0</v>
      </c>
      <c r="E4540" s="1706" t="s">
        <v>7592</v>
      </c>
      <c r="F4540" s="1613">
        <v>52727272</v>
      </c>
      <c r="G4540" s="1613">
        <v>212322231150</v>
      </c>
    </row>
    <row r="4541" spans="1:7" ht="17.25" customHeight="1" x14ac:dyDescent="0.2">
      <c r="A4541" s="1611">
        <v>17</v>
      </c>
      <c r="B4541" s="1611" t="s">
        <v>7261</v>
      </c>
      <c r="C4541" s="1611" t="s">
        <v>5324</v>
      </c>
      <c r="D4541" s="1612">
        <v>0</v>
      </c>
      <c r="E4541" s="1706" t="s">
        <v>7592</v>
      </c>
      <c r="F4541" s="1613">
        <v>145454545</v>
      </c>
      <c r="G4541" s="1613">
        <v>212467685695</v>
      </c>
    </row>
    <row r="4542" spans="1:7" ht="17.25" customHeight="1" x14ac:dyDescent="0.2">
      <c r="A4542" s="1611">
        <v>17</v>
      </c>
      <c r="B4542" s="1611" t="s">
        <v>7176</v>
      </c>
      <c r="C4542" s="1611" t="s">
        <v>6250</v>
      </c>
      <c r="D4542" s="1612">
        <v>0</v>
      </c>
      <c r="E4542" s="1706" t="s">
        <v>7592</v>
      </c>
      <c r="F4542" s="1613">
        <v>42000000</v>
      </c>
      <c r="G4542" s="1613">
        <v>212509685695</v>
      </c>
    </row>
    <row r="4543" spans="1:7" ht="17.25" customHeight="1" x14ac:dyDescent="0.2">
      <c r="A4543" s="1611">
        <v>17</v>
      </c>
      <c r="B4543" s="1611" t="s">
        <v>7203</v>
      </c>
      <c r="C4543" s="1611" t="s">
        <v>4215</v>
      </c>
      <c r="D4543" s="1612">
        <v>0</v>
      </c>
      <c r="E4543" s="1706" t="s">
        <v>7592</v>
      </c>
      <c r="F4543" s="1613">
        <v>36500000</v>
      </c>
      <c r="G4543" s="1613">
        <v>212546185695</v>
      </c>
    </row>
    <row r="4544" spans="1:7" ht="17.25" customHeight="1" x14ac:dyDescent="0.2">
      <c r="A4544" s="1611">
        <v>17</v>
      </c>
      <c r="B4544" s="1611" t="s">
        <v>7203</v>
      </c>
      <c r="C4544" s="1611" t="s">
        <v>6251</v>
      </c>
      <c r="D4544" s="1612">
        <v>0</v>
      </c>
      <c r="E4544" s="1706" t="s">
        <v>7592</v>
      </c>
      <c r="F4544" s="1613">
        <v>37272727</v>
      </c>
      <c r="G4544" s="1613">
        <v>212583458422</v>
      </c>
    </row>
    <row r="4545" spans="1:7" ht="17.25" customHeight="1" x14ac:dyDescent="0.2">
      <c r="A4545" s="1611">
        <v>17</v>
      </c>
      <c r="B4545" s="1611" t="s">
        <v>7251</v>
      </c>
      <c r="C4545" s="1611" t="s">
        <v>6252</v>
      </c>
      <c r="D4545" s="1612">
        <v>0</v>
      </c>
      <c r="E4545" s="1706" t="s">
        <v>7592</v>
      </c>
      <c r="F4545" s="1613">
        <v>35454545</v>
      </c>
      <c r="G4545" s="1613">
        <v>212618912967</v>
      </c>
    </row>
    <row r="4546" spans="1:7" ht="17.25" customHeight="1" x14ac:dyDescent="0.2">
      <c r="A4546" s="1611">
        <v>17</v>
      </c>
      <c r="B4546" s="1611" t="s">
        <v>7251</v>
      </c>
      <c r="C4546" s="1611" t="s">
        <v>6253</v>
      </c>
      <c r="D4546" s="1612">
        <v>0</v>
      </c>
      <c r="E4546" s="1706" t="s">
        <v>7592</v>
      </c>
      <c r="F4546" s="1613">
        <v>36500000</v>
      </c>
      <c r="G4546" s="1613">
        <v>212655412967</v>
      </c>
    </row>
    <row r="4547" spans="1:7" ht="17.25" customHeight="1" x14ac:dyDescent="0.2">
      <c r="A4547" s="1611">
        <v>17</v>
      </c>
      <c r="B4547" s="1611" t="s">
        <v>7176</v>
      </c>
      <c r="C4547" s="1611" t="s">
        <v>5720</v>
      </c>
      <c r="D4547" s="1612">
        <v>0</v>
      </c>
      <c r="E4547" s="1706" t="s">
        <v>7592</v>
      </c>
      <c r="F4547" s="1613">
        <v>38636363</v>
      </c>
      <c r="G4547" s="1613">
        <v>212694049330</v>
      </c>
    </row>
    <row r="4548" spans="1:7" ht="17.25" customHeight="1" x14ac:dyDescent="0.2">
      <c r="A4548" s="1611">
        <v>17</v>
      </c>
      <c r="B4548" s="1611" t="s">
        <v>7176</v>
      </c>
      <c r="C4548" s="1611" t="s">
        <v>5207</v>
      </c>
      <c r="D4548" s="1612">
        <v>0</v>
      </c>
      <c r="E4548" s="1706" t="s">
        <v>7592</v>
      </c>
      <c r="F4548" s="1613">
        <v>39700000</v>
      </c>
      <c r="G4548" s="1613">
        <v>212733749330</v>
      </c>
    </row>
    <row r="4549" spans="1:7" ht="17.25" customHeight="1" x14ac:dyDescent="0.2">
      <c r="A4549" s="1611">
        <v>17</v>
      </c>
      <c r="B4549" s="1611" t="s">
        <v>7273</v>
      </c>
      <c r="C4549" s="1611" t="s">
        <v>4971</v>
      </c>
      <c r="D4549" s="1612">
        <v>0</v>
      </c>
      <c r="E4549" s="1706" t="s">
        <v>7592</v>
      </c>
      <c r="F4549" s="1613">
        <v>175000000</v>
      </c>
      <c r="G4549" s="1613">
        <v>212908749330</v>
      </c>
    </row>
    <row r="4550" spans="1:7" ht="17.25" customHeight="1" x14ac:dyDescent="0.2">
      <c r="A4550" s="1611">
        <v>17</v>
      </c>
      <c r="B4550" s="1611" t="s">
        <v>7203</v>
      </c>
      <c r="C4550" s="1611" t="s">
        <v>6254</v>
      </c>
      <c r="D4550" s="1612">
        <v>0</v>
      </c>
      <c r="E4550" s="1706" t="s">
        <v>7592</v>
      </c>
      <c r="F4550" s="1613">
        <v>38181818</v>
      </c>
      <c r="G4550" s="1613">
        <v>212946931148</v>
      </c>
    </row>
    <row r="4551" spans="1:7" ht="17.25" customHeight="1" x14ac:dyDescent="0.2">
      <c r="A4551" s="1611">
        <v>17</v>
      </c>
      <c r="B4551" s="1611" t="s">
        <v>7154</v>
      </c>
      <c r="C4551" s="1611" t="s">
        <v>5772</v>
      </c>
      <c r="D4551" s="1612">
        <v>0</v>
      </c>
      <c r="E4551" s="1706" t="s">
        <v>7592</v>
      </c>
      <c r="F4551" s="1613">
        <v>52000000</v>
      </c>
      <c r="G4551" s="1613">
        <v>212998931148</v>
      </c>
    </row>
    <row r="4552" spans="1:7" ht="17.25" customHeight="1" x14ac:dyDescent="0.2">
      <c r="A4552" s="1611">
        <v>17</v>
      </c>
      <c r="B4552" s="1611" t="s">
        <v>7154</v>
      </c>
      <c r="C4552" s="1611" t="s">
        <v>6255</v>
      </c>
      <c r="D4552" s="1612">
        <v>0</v>
      </c>
      <c r="E4552" s="1706" t="s">
        <v>7592</v>
      </c>
      <c r="F4552" s="1613">
        <v>51500000</v>
      </c>
      <c r="G4552" s="1613">
        <v>213050431148</v>
      </c>
    </row>
    <row r="4553" spans="1:7" ht="17.25" customHeight="1" x14ac:dyDescent="0.2">
      <c r="A4553" s="1611">
        <v>17</v>
      </c>
      <c r="B4553" s="1611" t="s">
        <v>7203</v>
      </c>
      <c r="C4553" s="1611" t="s">
        <v>6256</v>
      </c>
      <c r="D4553" s="1612">
        <v>0</v>
      </c>
      <c r="E4553" s="1706" t="s">
        <v>7592</v>
      </c>
      <c r="F4553" s="1613">
        <v>36800000</v>
      </c>
      <c r="G4553" s="1613">
        <v>213087231148</v>
      </c>
    </row>
    <row r="4554" spans="1:7" ht="17.25" customHeight="1" x14ac:dyDescent="0.2">
      <c r="A4554" s="1611">
        <v>17</v>
      </c>
      <c r="B4554" s="1611" t="s">
        <v>7154</v>
      </c>
      <c r="C4554" s="1611" t="s">
        <v>6257</v>
      </c>
      <c r="D4554" s="1612">
        <v>0</v>
      </c>
      <c r="E4554" s="1706" t="s">
        <v>7592</v>
      </c>
      <c r="F4554" s="1613">
        <v>51818182</v>
      </c>
      <c r="G4554" s="1613">
        <v>213139049330</v>
      </c>
    </row>
    <row r="4555" spans="1:7" ht="17.25" customHeight="1" x14ac:dyDescent="0.2">
      <c r="A4555" s="1611">
        <v>17</v>
      </c>
      <c r="B4555" s="1611" t="s">
        <v>7251</v>
      </c>
      <c r="C4555" s="1611" t="s">
        <v>6258</v>
      </c>
      <c r="D4555" s="1612">
        <v>0</v>
      </c>
      <c r="E4555" s="1706" t="s">
        <v>7592</v>
      </c>
      <c r="F4555" s="1613">
        <v>35454545</v>
      </c>
      <c r="G4555" s="1613">
        <v>213174503875</v>
      </c>
    </row>
    <row r="4556" spans="1:7" ht="17.25" customHeight="1" x14ac:dyDescent="0.2">
      <c r="A4556" s="1611">
        <v>17</v>
      </c>
      <c r="B4556" s="1611" t="s">
        <v>7251</v>
      </c>
      <c r="C4556" s="1611" t="s">
        <v>6259</v>
      </c>
      <c r="D4556" s="1612">
        <v>0</v>
      </c>
      <c r="E4556" s="1706" t="s">
        <v>7592</v>
      </c>
      <c r="F4556" s="1613">
        <v>35454545</v>
      </c>
      <c r="G4556" s="1613">
        <v>213209958420</v>
      </c>
    </row>
    <row r="4557" spans="1:7" ht="17.25" customHeight="1" x14ac:dyDescent="0.2">
      <c r="A4557" s="1611">
        <v>17</v>
      </c>
      <c r="B4557" s="1611" t="s">
        <v>7251</v>
      </c>
      <c r="C4557" s="1611" t="s">
        <v>6260</v>
      </c>
      <c r="D4557" s="1612">
        <v>0</v>
      </c>
      <c r="E4557" s="1706" t="s">
        <v>7592</v>
      </c>
      <c r="F4557" s="1613">
        <v>37272727</v>
      </c>
      <c r="G4557" s="1613">
        <v>213247231147</v>
      </c>
    </row>
    <row r="4558" spans="1:7" ht="17.25" customHeight="1" x14ac:dyDescent="0.2">
      <c r="A4558" s="1611">
        <v>17</v>
      </c>
      <c r="B4558" s="1611" t="s">
        <v>7203</v>
      </c>
      <c r="C4558" s="1611" t="s">
        <v>6260</v>
      </c>
      <c r="D4558" s="1612">
        <v>0</v>
      </c>
      <c r="E4558" s="1706" t="s">
        <v>7592</v>
      </c>
      <c r="F4558" s="1613">
        <v>39090909</v>
      </c>
      <c r="G4558" s="1613">
        <v>213286322056</v>
      </c>
    </row>
    <row r="4559" spans="1:7" ht="17.25" customHeight="1" x14ac:dyDescent="0.2">
      <c r="A4559" s="1611">
        <v>17</v>
      </c>
      <c r="B4559" s="1611" t="s">
        <v>7251</v>
      </c>
      <c r="C4559" s="1611" t="s">
        <v>3661</v>
      </c>
      <c r="D4559" s="1612">
        <v>0</v>
      </c>
      <c r="E4559" s="1706" t="s">
        <v>7592</v>
      </c>
      <c r="F4559" s="1613">
        <v>36363636</v>
      </c>
      <c r="G4559" s="1613">
        <v>213322685692</v>
      </c>
    </row>
    <row r="4560" spans="1:7" ht="17.25" customHeight="1" x14ac:dyDescent="0.2">
      <c r="A4560" s="1611">
        <v>17</v>
      </c>
      <c r="B4560" s="1611" t="s">
        <v>7154</v>
      </c>
      <c r="C4560" s="1611" t="s">
        <v>6261</v>
      </c>
      <c r="D4560" s="1612">
        <v>0</v>
      </c>
      <c r="E4560" s="1706" t="s">
        <v>7592</v>
      </c>
      <c r="F4560" s="1613">
        <v>51818189</v>
      </c>
      <c r="G4560" s="1613">
        <v>213374503881</v>
      </c>
    </row>
    <row r="4561" spans="1:7" ht="17.25" customHeight="1" x14ac:dyDescent="0.2">
      <c r="A4561" s="1611">
        <v>17</v>
      </c>
      <c r="B4561" s="1611" t="s">
        <v>7203</v>
      </c>
      <c r="C4561" s="1611" t="s">
        <v>6262</v>
      </c>
      <c r="D4561" s="1612">
        <v>0</v>
      </c>
      <c r="E4561" s="1706" t="s">
        <v>7592</v>
      </c>
      <c r="F4561" s="1613">
        <v>20610000</v>
      </c>
      <c r="G4561" s="1613">
        <v>213395113881</v>
      </c>
    </row>
    <row r="4562" spans="1:7" ht="17.25" customHeight="1" x14ac:dyDescent="0.2">
      <c r="A4562" s="1611">
        <v>17</v>
      </c>
      <c r="B4562" s="1611" t="s">
        <v>7251</v>
      </c>
      <c r="C4562" s="1611" t="s">
        <v>6263</v>
      </c>
      <c r="D4562" s="1612">
        <v>0</v>
      </c>
      <c r="E4562" s="1706" t="s">
        <v>7592</v>
      </c>
      <c r="F4562" s="1613">
        <v>18373000</v>
      </c>
      <c r="G4562" s="1613">
        <v>213413486881</v>
      </c>
    </row>
    <row r="4563" spans="1:7" ht="17.25" customHeight="1" x14ac:dyDescent="0.2">
      <c r="A4563" s="1611">
        <v>17</v>
      </c>
      <c r="B4563" s="1611" t="s">
        <v>7251</v>
      </c>
      <c r="C4563" s="1611" t="s">
        <v>6260</v>
      </c>
      <c r="D4563" s="1612">
        <v>0</v>
      </c>
      <c r="E4563" s="1706" t="s">
        <v>7592</v>
      </c>
      <c r="F4563" s="1613">
        <v>-37272727</v>
      </c>
      <c r="G4563" s="1613">
        <v>213376214154</v>
      </c>
    </row>
    <row r="4564" spans="1:7" ht="17.25" customHeight="1" x14ac:dyDescent="0.2">
      <c r="A4564" s="1611">
        <v>17</v>
      </c>
      <c r="B4564" s="1611" t="s">
        <v>7251</v>
      </c>
      <c r="C4564" s="1611" t="s">
        <v>6260</v>
      </c>
      <c r="D4564" s="1612">
        <v>0</v>
      </c>
      <c r="E4564" s="1706" t="s">
        <v>7592</v>
      </c>
      <c r="F4564" s="1613">
        <v>37272727</v>
      </c>
      <c r="G4564" s="1613">
        <v>213413486881</v>
      </c>
    </row>
    <row r="4565" spans="1:7" ht="17.25" customHeight="1" x14ac:dyDescent="0.2">
      <c r="A4565" s="1611">
        <v>17</v>
      </c>
      <c r="B4565" s="1611" t="s">
        <v>7154</v>
      </c>
      <c r="C4565" s="1611" t="s">
        <v>6264</v>
      </c>
      <c r="D4565" s="1612">
        <v>0</v>
      </c>
      <c r="E4565" s="1706" t="s">
        <v>7592</v>
      </c>
      <c r="F4565" s="1613">
        <v>51000000</v>
      </c>
      <c r="G4565" s="1613">
        <v>213464486881</v>
      </c>
    </row>
    <row r="4566" spans="1:7" ht="17.25" customHeight="1" x14ac:dyDescent="0.2">
      <c r="A4566" s="1611">
        <v>17</v>
      </c>
      <c r="B4566" s="1611" t="s">
        <v>7170</v>
      </c>
      <c r="C4566" s="1611" t="s">
        <v>6265</v>
      </c>
      <c r="D4566" s="1612">
        <v>0</v>
      </c>
      <c r="E4566" s="1706" t="s">
        <v>7592</v>
      </c>
      <c r="F4566" s="1613">
        <v>171000000</v>
      </c>
      <c r="G4566" s="1613">
        <v>213635486881</v>
      </c>
    </row>
    <row r="4567" spans="1:7" ht="17.25" customHeight="1" x14ac:dyDescent="0.2">
      <c r="A4567" s="1611">
        <v>17</v>
      </c>
      <c r="B4567" s="1611" t="s">
        <v>7186</v>
      </c>
      <c r="C4567" s="1611" t="s">
        <v>6266</v>
      </c>
      <c r="D4567" s="1612">
        <v>0</v>
      </c>
      <c r="E4567" s="1706" t="s">
        <v>7592</v>
      </c>
      <c r="F4567" s="1613">
        <v>55000000</v>
      </c>
      <c r="G4567" s="1613">
        <v>213690486881</v>
      </c>
    </row>
    <row r="4568" spans="1:7" ht="17.25" customHeight="1" x14ac:dyDescent="0.2">
      <c r="A4568" s="1611">
        <v>17</v>
      </c>
      <c r="B4568" s="1611" t="s">
        <v>7282</v>
      </c>
      <c r="C4568" s="1611" t="s">
        <v>6267</v>
      </c>
      <c r="D4568" s="1612">
        <v>0</v>
      </c>
      <c r="E4568" s="1706" t="s">
        <v>7592</v>
      </c>
      <c r="F4568" s="1613">
        <v>157000000</v>
      </c>
      <c r="G4568" s="1613">
        <v>213847486881</v>
      </c>
    </row>
    <row r="4569" spans="1:7" ht="17.25" customHeight="1" x14ac:dyDescent="0.2">
      <c r="A4569" s="1611">
        <v>17</v>
      </c>
      <c r="B4569" s="1611" t="s">
        <v>7170</v>
      </c>
      <c r="C4569" s="1611" t="s">
        <v>6268</v>
      </c>
      <c r="D4569" s="1612">
        <v>0</v>
      </c>
      <c r="E4569" s="1706" t="s">
        <v>7592</v>
      </c>
      <c r="F4569" s="1613">
        <v>175000000</v>
      </c>
      <c r="G4569" s="1613">
        <v>214022486881</v>
      </c>
    </row>
    <row r="4570" spans="1:7" ht="17.25" customHeight="1" x14ac:dyDescent="0.2">
      <c r="A4570" s="1611">
        <v>17</v>
      </c>
      <c r="B4570" s="1611" t="s">
        <v>7347</v>
      </c>
      <c r="C4570" s="1611" t="s">
        <v>5701</v>
      </c>
      <c r="D4570" s="1612">
        <v>0</v>
      </c>
      <c r="E4570" s="1612" t="s">
        <v>3297</v>
      </c>
      <c r="F4570" s="1613">
        <v>358948</v>
      </c>
      <c r="G4570" s="1613">
        <v>214022845829</v>
      </c>
    </row>
    <row r="4571" spans="1:7" ht="17.25" customHeight="1" x14ac:dyDescent="0.2">
      <c r="A4571" s="1611">
        <v>17</v>
      </c>
      <c r="B4571" s="1611" t="s">
        <v>7154</v>
      </c>
      <c r="C4571" s="1611" t="s">
        <v>5439</v>
      </c>
      <c r="D4571" s="1612">
        <v>0</v>
      </c>
      <c r="E4571" s="1706" t="s">
        <v>7592</v>
      </c>
      <c r="F4571" s="1613">
        <v>52500000</v>
      </c>
      <c r="G4571" s="1613">
        <v>214075345829</v>
      </c>
    </row>
    <row r="4572" spans="1:7" ht="17.25" customHeight="1" x14ac:dyDescent="0.2">
      <c r="A4572" s="1611">
        <v>17</v>
      </c>
      <c r="B4572" s="1611" t="s">
        <v>7176</v>
      </c>
      <c r="C4572" s="1611" t="s">
        <v>6269</v>
      </c>
      <c r="D4572" s="1612">
        <v>0</v>
      </c>
      <c r="E4572" s="1706" t="s">
        <v>7592</v>
      </c>
      <c r="F4572" s="1613">
        <v>41300000</v>
      </c>
      <c r="G4572" s="1613">
        <v>214116645829</v>
      </c>
    </row>
    <row r="4573" spans="1:7" ht="17.25" customHeight="1" x14ac:dyDescent="0.2">
      <c r="A4573" s="1611">
        <v>17</v>
      </c>
      <c r="B4573" s="1611" t="s">
        <v>7331</v>
      </c>
      <c r="C4573" s="1611" t="s">
        <v>6270</v>
      </c>
      <c r="D4573" s="1612">
        <v>0</v>
      </c>
      <c r="E4573" s="1706" t="s">
        <v>7592</v>
      </c>
      <c r="F4573" s="1613">
        <v>40909091</v>
      </c>
      <c r="G4573" s="1613">
        <v>214157554920</v>
      </c>
    </row>
    <row r="4574" spans="1:7" ht="17.25" customHeight="1" x14ac:dyDescent="0.2">
      <c r="A4574" s="1611">
        <v>17</v>
      </c>
      <c r="B4574" s="1611" t="s">
        <v>7176</v>
      </c>
      <c r="C4574" s="1611" t="s">
        <v>6271</v>
      </c>
      <c r="D4574" s="1612">
        <v>0</v>
      </c>
      <c r="E4574" s="1706" t="s">
        <v>7592</v>
      </c>
      <c r="F4574" s="1613">
        <v>41500000</v>
      </c>
      <c r="G4574" s="1613">
        <v>214199054920</v>
      </c>
    </row>
    <row r="4575" spans="1:7" ht="17.25" customHeight="1" x14ac:dyDescent="0.2">
      <c r="A4575" s="1611">
        <v>17</v>
      </c>
      <c r="B4575" s="1611" t="s">
        <v>7203</v>
      </c>
      <c r="C4575" s="1611" t="s">
        <v>6272</v>
      </c>
      <c r="D4575" s="1612">
        <v>0</v>
      </c>
      <c r="E4575" s="1706" t="s">
        <v>7592</v>
      </c>
      <c r="F4575" s="1613">
        <v>38636364</v>
      </c>
      <c r="G4575" s="1613">
        <v>214237691284</v>
      </c>
    </row>
    <row r="4576" spans="1:7" ht="17.25" customHeight="1" x14ac:dyDescent="0.2">
      <c r="A4576" s="1611">
        <v>17</v>
      </c>
      <c r="B4576" s="1611" t="s">
        <v>7186</v>
      </c>
      <c r="C4576" s="1611" t="s">
        <v>6273</v>
      </c>
      <c r="D4576" s="1612">
        <v>0</v>
      </c>
      <c r="E4576" s="1706" t="s">
        <v>7592</v>
      </c>
      <c r="F4576" s="1613">
        <v>54000000</v>
      </c>
      <c r="G4576" s="1613">
        <v>214291691284</v>
      </c>
    </row>
    <row r="4577" spans="1:7" ht="17.25" customHeight="1" x14ac:dyDescent="0.2">
      <c r="A4577" s="1611">
        <v>17</v>
      </c>
      <c r="B4577" s="1611" t="s">
        <v>7170</v>
      </c>
      <c r="C4577" s="1611" t="s">
        <v>6274</v>
      </c>
      <c r="D4577" s="1612">
        <v>0</v>
      </c>
      <c r="E4577" s="1706" t="s">
        <v>7592</v>
      </c>
      <c r="F4577" s="1613">
        <v>175000000</v>
      </c>
      <c r="G4577" s="1613">
        <v>214466691284</v>
      </c>
    </row>
    <row r="4578" spans="1:7" ht="17.25" customHeight="1" x14ac:dyDescent="0.2">
      <c r="A4578" s="1611">
        <v>17</v>
      </c>
      <c r="B4578" s="1611" t="s">
        <v>7348</v>
      </c>
      <c r="C4578" s="1611" t="s">
        <v>4256</v>
      </c>
      <c r="D4578" s="1612">
        <v>0</v>
      </c>
      <c r="E4578" s="1706" t="s">
        <v>7559</v>
      </c>
      <c r="F4578" s="1613">
        <v>1774812</v>
      </c>
      <c r="G4578" s="1613">
        <v>214468466096</v>
      </c>
    </row>
    <row r="4579" spans="1:7" ht="17.25" customHeight="1" x14ac:dyDescent="0.2">
      <c r="A4579" s="1611">
        <v>17</v>
      </c>
      <c r="B4579" s="1611" t="s">
        <v>7349</v>
      </c>
      <c r="C4579" s="1611" t="s">
        <v>4254</v>
      </c>
      <c r="D4579" s="1612">
        <v>0</v>
      </c>
      <c r="E4579" s="1706" t="s">
        <v>7581</v>
      </c>
      <c r="F4579" s="1613">
        <v>131973200</v>
      </c>
      <c r="G4579" s="1613">
        <v>214600439296</v>
      </c>
    </row>
    <row r="4580" spans="1:7" ht="17.25" customHeight="1" x14ac:dyDescent="0.2">
      <c r="A4580" s="1611">
        <v>17</v>
      </c>
      <c r="B4580" s="1611" t="s">
        <v>3937</v>
      </c>
      <c r="C4580" s="1611" t="s">
        <v>6141</v>
      </c>
      <c r="D4580" s="1612">
        <v>0</v>
      </c>
      <c r="E4580" s="1706" t="s">
        <v>7592</v>
      </c>
      <c r="F4580" s="1613">
        <v>163000000</v>
      </c>
      <c r="G4580" s="1613">
        <v>214763439296</v>
      </c>
    </row>
    <row r="4581" spans="1:7" ht="17.25" customHeight="1" x14ac:dyDescent="0.2">
      <c r="A4581" s="1611">
        <v>17</v>
      </c>
      <c r="B4581" s="1611" t="s">
        <v>7203</v>
      </c>
      <c r="C4581" s="1611" t="s">
        <v>6275</v>
      </c>
      <c r="D4581" s="1612">
        <v>0</v>
      </c>
      <c r="E4581" s="1706" t="s">
        <v>7592</v>
      </c>
      <c r="F4581" s="1613">
        <v>37050000</v>
      </c>
      <c r="G4581" s="1613">
        <v>214800489296</v>
      </c>
    </row>
    <row r="4582" spans="1:7" ht="17.25" customHeight="1" x14ac:dyDescent="0.2">
      <c r="A4582" s="1611">
        <v>17</v>
      </c>
      <c r="B4582" s="1611" t="s">
        <v>7176</v>
      </c>
      <c r="C4582" s="1611" t="s">
        <v>6276</v>
      </c>
      <c r="D4582" s="1612">
        <v>0</v>
      </c>
      <c r="E4582" s="1706" t="s">
        <v>7592</v>
      </c>
      <c r="F4582" s="1613">
        <v>40800000</v>
      </c>
      <c r="G4582" s="1613">
        <v>214841289296</v>
      </c>
    </row>
    <row r="4583" spans="1:7" ht="17.25" customHeight="1" x14ac:dyDescent="0.2">
      <c r="A4583" s="1611">
        <v>17</v>
      </c>
      <c r="B4583" s="1611" t="s">
        <v>7203</v>
      </c>
      <c r="C4583" s="1611" t="s">
        <v>3712</v>
      </c>
      <c r="D4583" s="1612">
        <v>0</v>
      </c>
      <c r="E4583" s="1706" t="s">
        <v>7592</v>
      </c>
      <c r="F4583" s="1613">
        <v>39000000</v>
      </c>
      <c r="G4583" s="1613">
        <v>214880289296</v>
      </c>
    </row>
    <row r="4584" spans="1:7" ht="17.25" customHeight="1" x14ac:dyDescent="0.2">
      <c r="A4584" s="1611">
        <v>17</v>
      </c>
      <c r="B4584" s="1611" t="s">
        <v>7170</v>
      </c>
      <c r="C4584" s="1611" t="s">
        <v>6277</v>
      </c>
      <c r="D4584" s="1612">
        <v>0</v>
      </c>
      <c r="E4584" s="1706" t="s">
        <v>7592</v>
      </c>
      <c r="F4584" s="1613">
        <v>156500000</v>
      </c>
      <c r="G4584" s="1613">
        <v>215036789296</v>
      </c>
    </row>
    <row r="4585" spans="1:7" ht="17.25" customHeight="1" x14ac:dyDescent="0.2">
      <c r="A4585" s="1611">
        <v>17</v>
      </c>
      <c r="B4585" s="1611" t="s">
        <v>7156</v>
      </c>
      <c r="C4585" s="1611" t="s">
        <v>5227</v>
      </c>
      <c r="D4585" s="1612">
        <v>0</v>
      </c>
      <c r="E4585" s="1706" t="s">
        <v>7592</v>
      </c>
      <c r="F4585" s="1613">
        <v>14500000</v>
      </c>
      <c r="G4585" s="1613">
        <v>215051289296</v>
      </c>
    </row>
    <row r="4586" spans="1:7" ht="17.25" customHeight="1" x14ac:dyDescent="0.2">
      <c r="A4586" s="1611">
        <v>17</v>
      </c>
      <c r="B4586" s="1611" t="s">
        <v>7343</v>
      </c>
      <c r="C4586" s="1611" t="s">
        <v>6278</v>
      </c>
      <c r="D4586" s="1612">
        <v>0</v>
      </c>
      <c r="E4586" s="1706" t="s">
        <v>7592</v>
      </c>
      <c r="F4586" s="1613">
        <v>32000000</v>
      </c>
      <c r="G4586" s="1613">
        <v>215083289296</v>
      </c>
    </row>
    <row r="4587" spans="1:7" ht="17.25" customHeight="1" x14ac:dyDescent="0.2">
      <c r="A4587" s="1611">
        <v>17</v>
      </c>
      <c r="B4587" s="1611" t="s">
        <v>7203</v>
      </c>
      <c r="C4587" s="1611" t="s">
        <v>6279</v>
      </c>
      <c r="D4587" s="1612">
        <v>0</v>
      </c>
      <c r="E4587" s="1706" t="s">
        <v>7592</v>
      </c>
      <c r="F4587" s="1613">
        <v>38000000</v>
      </c>
      <c r="G4587" s="1613">
        <v>215121289296</v>
      </c>
    </row>
    <row r="4588" spans="1:7" ht="17.25" customHeight="1" x14ac:dyDescent="0.2">
      <c r="A4588" s="1611">
        <v>17</v>
      </c>
      <c r="B4588" s="1611" t="s">
        <v>7176</v>
      </c>
      <c r="C4588" s="1611" t="s">
        <v>3541</v>
      </c>
      <c r="D4588" s="1612">
        <v>0</v>
      </c>
      <c r="E4588" s="1706" t="s">
        <v>7592</v>
      </c>
      <c r="F4588" s="1613">
        <v>38181818</v>
      </c>
      <c r="G4588" s="1613">
        <v>215159471114</v>
      </c>
    </row>
    <row r="4589" spans="1:7" ht="17.25" customHeight="1" x14ac:dyDescent="0.2">
      <c r="A4589" s="1611">
        <v>17</v>
      </c>
      <c r="B4589" s="1611" t="s">
        <v>7203</v>
      </c>
      <c r="C4589" s="1611" t="s">
        <v>3919</v>
      </c>
      <c r="D4589" s="1612">
        <v>0</v>
      </c>
      <c r="E4589" s="1706" t="s">
        <v>7592</v>
      </c>
      <c r="F4589" s="1613">
        <v>37272727</v>
      </c>
      <c r="G4589" s="1613">
        <v>215196743841</v>
      </c>
    </row>
    <row r="4590" spans="1:7" ht="17.25" customHeight="1" x14ac:dyDescent="0.2">
      <c r="A4590" s="1611">
        <v>17</v>
      </c>
      <c r="B4590" s="1611" t="s">
        <v>7298</v>
      </c>
      <c r="C4590" s="1611" t="s">
        <v>6280</v>
      </c>
      <c r="D4590" s="1612">
        <v>0</v>
      </c>
      <c r="E4590" s="1706" t="s">
        <v>7592</v>
      </c>
      <c r="F4590" s="1613">
        <v>148200000</v>
      </c>
      <c r="G4590" s="1613">
        <v>215344943841</v>
      </c>
    </row>
    <row r="4591" spans="1:7" ht="17.25" customHeight="1" x14ac:dyDescent="0.2">
      <c r="A4591" s="1611">
        <v>17</v>
      </c>
      <c r="B4591" s="1611" t="s">
        <v>7176</v>
      </c>
      <c r="C4591" s="1611" t="s">
        <v>6281</v>
      </c>
      <c r="D4591" s="1612">
        <v>0</v>
      </c>
      <c r="E4591" s="1706" t="s">
        <v>7592</v>
      </c>
      <c r="F4591" s="1613">
        <v>40500000</v>
      </c>
      <c r="G4591" s="1613">
        <v>215385443841</v>
      </c>
    </row>
    <row r="4592" spans="1:7" ht="17.25" customHeight="1" x14ac:dyDescent="0.2">
      <c r="A4592" s="1611">
        <v>17</v>
      </c>
      <c r="B4592" s="1611" t="s">
        <v>7176</v>
      </c>
      <c r="C4592" s="1611" t="s">
        <v>6282</v>
      </c>
      <c r="D4592" s="1612">
        <v>0</v>
      </c>
      <c r="E4592" s="1706" t="s">
        <v>7592</v>
      </c>
      <c r="F4592" s="1613">
        <v>39545455</v>
      </c>
      <c r="G4592" s="1613">
        <v>215424989296</v>
      </c>
    </row>
    <row r="4593" spans="1:7" ht="17.25" customHeight="1" x14ac:dyDescent="0.2">
      <c r="A4593" s="1611">
        <v>17</v>
      </c>
      <c r="B4593" s="1611" t="s">
        <v>7176</v>
      </c>
      <c r="C4593" s="1611" t="s">
        <v>6283</v>
      </c>
      <c r="D4593" s="1612">
        <v>0</v>
      </c>
      <c r="E4593" s="1706" t="s">
        <v>7592</v>
      </c>
      <c r="F4593" s="1613">
        <v>43500000</v>
      </c>
      <c r="G4593" s="1613">
        <v>215468489296</v>
      </c>
    </row>
    <row r="4594" spans="1:7" ht="17.25" customHeight="1" x14ac:dyDescent="0.2">
      <c r="A4594" s="1611">
        <v>17</v>
      </c>
      <c r="B4594" s="1611" t="s">
        <v>7154</v>
      </c>
      <c r="C4594" s="1611" t="s">
        <v>6284</v>
      </c>
      <c r="D4594" s="1612">
        <v>0</v>
      </c>
      <c r="E4594" s="1706" t="s">
        <v>7592</v>
      </c>
      <c r="F4594" s="1613">
        <v>51500000</v>
      </c>
      <c r="G4594" s="1613">
        <v>215519989296</v>
      </c>
    </row>
    <row r="4595" spans="1:7" ht="17.25" customHeight="1" x14ac:dyDescent="0.2">
      <c r="A4595" s="1611">
        <v>17</v>
      </c>
      <c r="B4595" s="1611" t="s">
        <v>7350</v>
      </c>
      <c r="C4595" s="1611" t="s">
        <v>6285</v>
      </c>
      <c r="D4595" s="1612">
        <v>0</v>
      </c>
      <c r="E4595" s="1612" t="s">
        <v>2025</v>
      </c>
      <c r="F4595" s="1613">
        <v>610400</v>
      </c>
      <c r="G4595" s="1613">
        <v>215520599696</v>
      </c>
    </row>
    <row r="4596" spans="1:7" ht="17.25" customHeight="1" x14ac:dyDescent="0.2">
      <c r="A4596" s="1611">
        <v>17</v>
      </c>
      <c r="B4596" s="1611" t="s">
        <v>7156</v>
      </c>
      <c r="C4596" s="1611" t="s">
        <v>5078</v>
      </c>
      <c r="D4596" s="1612">
        <v>0</v>
      </c>
      <c r="E4596" s="1706" t="s">
        <v>7592</v>
      </c>
      <c r="F4596" s="1613">
        <v>16500000</v>
      </c>
      <c r="G4596" s="1613">
        <v>215537099696</v>
      </c>
    </row>
    <row r="4597" spans="1:7" ht="17.25" customHeight="1" x14ac:dyDescent="0.2">
      <c r="A4597" s="1611">
        <v>17</v>
      </c>
      <c r="B4597" s="1611" t="s">
        <v>7351</v>
      </c>
      <c r="C4597" s="1611" t="s">
        <v>6286</v>
      </c>
      <c r="D4597" s="1612">
        <v>0</v>
      </c>
      <c r="E4597" s="1706" t="s">
        <v>7592</v>
      </c>
      <c r="F4597" s="1613">
        <v>14909091</v>
      </c>
      <c r="G4597" s="1613">
        <v>215552008787</v>
      </c>
    </row>
    <row r="4598" spans="1:7" ht="17.25" customHeight="1" x14ac:dyDescent="0.2">
      <c r="A4598" s="1611">
        <v>17</v>
      </c>
      <c r="B4598" s="1611" t="s">
        <v>7154</v>
      </c>
      <c r="C4598" s="1611" t="s">
        <v>6287</v>
      </c>
      <c r="D4598" s="1612">
        <v>0</v>
      </c>
      <c r="E4598" s="1706" t="s">
        <v>7592</v>
      </c>
      <c r="F4598" s="1613">
        <v>51363636</v>
      </c>
      <c r="G4598" s="1613">
        <v>215603372423</v>
      </c>
    </row>
    <row r="4599" spans="1:7" ht="17.25" customHeight="1" x14ac:dyDescent="0.2">
      <c r="A4599" s="1611">
        <v>17</v>
      </c>
      <c r="B4599" s="1611" t="s">
        <v>7154</v>
      </c>
      <c r="C4599" s="1611" t="s">
        <v>6287</v>
      </c>
      <c r="D4599" s="1612">
        <v>0</v>
      </c>
      <c r="E4599" s="1706" t="s">
        <v>7592</v>
      </c>
      <c r="F4599" s="1613">
        <v>-51363636</v>
      </c>
      <c r="G4599" s="1613">
        <v>215552008787</v>
      </c>
    </row>
    <row r="4600" spans="1:7" ht="17.25" customHeight="1" x14ac:dyDescent="0.2">
      <c r="A4600" s="1611">
        <v>17</v>
      </c>
      <c r="B4600" s="1611" t="s">
        <v>7154</v>
      </c>
      <c r="C4600" s="1611" t="s">
        <v>6287</v>
      </c>
      <c r="D4600" s="1612">
        <v>0</v>
      </c>
      <c r="E4600" s="1706" t="s">
        <v>7592</v>
      </c>
      <c r="F4600" s="1613">
        <v>51363636</v>
      </c>
      <c r="G4600" s="1613">
        <v>215603372423</v>
      </c>
    </row>
    <row r="4601" spans="1:7" ht="17.25" customHeight="1" x14ac:dyDescent="0.2">
      <c r="A4601" s="1611">
        <v>17</v>
      </c>
      <c r="B4601" s="1611" t="s">
        <v>7203</v>
      </c>
      <c r="C4601" s="1611" t="s">
        <v>6288</v>
      </c>
      <c r="D4601" s="1612">
        <v>0</v>
      </c>
      <c r="E4601" s="1706" t="s">
        <v>7592</v>
      </c>
      <c r="F4601" s="1613">
        <v>38000000</v>
      </c>
      <c r="G4601" s="1613">
        <v>215641372423</v>
      </c>
    </row>
    <row r="4602" spans="1:7" ht="17.25" customHeight="1" x14ac:dyDescent="0.2">
      <c r="A4602" s="1611">
        <v>17</v>
      </c>
      <c r="B4602" s="1611" t="s">
        <v>7203</v>
      </c>
      <c r="C4602" s="1611" t="s">
        <v>4342</v>
      </c>
      <c r="D4602" s="1612">
        <v>0</v>
      </c>
      <c r="E4602" s="1706" t="s">
        <v>7592</v>
      </c>
      <c r="F4602" s="1613">
        <v>38000000</v>
      </c>
      <c r="G4602" s="1613">
        <v>215679372423</v>
      </c>
    </row>
    <row r="4603" spans="1:7" ht="17.25" customHeight="1" x14ac:dyDescent="0.2">
      <c r="A4603" s="1611">
        <v>17</v>
      </c>
      <c r="B4603" s="1611" t="s">
        <v>7352</v>
      </c>
      <c r="C4603" s="1611" t="s">
        <v>6289</v>
      </c>
      <c r="D4603" s="1612">
        <v>0</v>
      </c>
      <c r="E4603" s="1612" t="s">
        <v>3299</v>
      </c>
      <c r="F4603" s="1613">
        <v>124579177</v>
      </c>
      <c r="G4603" s="1613">
        <v>215803951600</v>
      </c>
    </row>
    <row r="4604" spans="1:7" ht="17.25" customHeight="1" x14ac:dyDescent="0.2">
      <c r="A4604" s="1611">
        <v>17</v>
      </c>
      <c r="B4604" s="1611" t="s">
        <v>7261</v>
      </c>
      <c r="C4604" s="1611" t="s">
        <v>6237</v>
      </c>
      <c r="D4604" s="1612">
        <v>0</v>
      </c>
      <c r="E4604" s="1706" t="s">
        <v>7592</v>
      </c>
      <c r="F4604" s="1613">
        <v>148600000</v>
      </c>
      <c r="G4604" s="1613">
        <v>215952551600</v>
      </c>
    </row>
    <row r="4605" spans="1:7" ht="17.25" customHeight="1" x14ac:dyDescent="0.2">
      <c r="A4605" s="1611">
        <v>17</v>
      </c>
      <c r="B4605" s="1611" t="s">
        <v>7176</v>
      </c>
      <c r="C4605" s="1611" t="s">
        <v>6290</v>
      </c>
      <c r="D4605" s="1612">
        <v>0</v>
      </c>
      <c r="E4605" s="1706" t="s">
        <v>7592</v>
      </c>
      <c r="F4605" s="1613">
        <v>39900000</v>
      </c>
      <c r="G4605" s="1613">
        <v>215992451600</v>
      </c>
    </row>
    <row r="4606" spans="1:7" ht="17.25" customHeight="1" x14ac:dyDescent="0.2">
      <c r="A4606" s="1611">
        <v>17</v>
      </c>
      <c r="B4606" s="1611" t="s">
        <v>7261</v>
      </c>
      <c r="C4606" s="1611" t="s">
        <v>6197</v>
      </c>
      <c r="D4606" s="1612">
        <v>0</v>
      </c>
      <c r="E4606" s="1706" t="s">
        <v>7592</v>
      </c>
      <c r="F4606" s="1613">
        <v>147300000</v>
      </c>
      <c r="G4606" s="1613">
        <v>216139751600</v>
      </c>
    </row>
    <row r="4607" spans="1:7" ht="17.25" customHeight="1" x14ac:dyDescent="0.2">
      <c r="A4607" s="1611">
        <v>17</v>
      </c>
      <c r="B4607" s="1611" t="s">
        <v>7170</v>
      </c>
      <c r="C4607" s="1611" t="s">
        <v>6291</v>
      </c>
      <c r="D4607" s="1612">
        <v>0</v>
      </c>
      <c r="E4607" s="1706" t="s">
        <v>7558</v>
      </c>
      <c r="F4607" s="1613">
        <v>113287950</v>
      </c>
      <c r="G4607" s="1613">
        <v>216253039550</v>
      </c>
    </row>
    <row r="4608" spans="1:7" ht="17.25" customHeight="1" x14ac:dyDescent="0.2">
      <c r="A4608" s="1611">
        <v>17</v>
      </c>
      <c r="B4608" s="1611" t="s">
        <v>3937</v>
      </c>
      <c r="C4608" s="1611" t="s">
        <v>6292</v>
      </c>
      <c r="D4608" s="1612">
        <v>0</v>
      </c>
      <c r="E4608" s="1706" t="s">
        <v>7592</v>
      </c>
      <c r="F4608" s="1613">
        <v>18373000</v>
      </c>
      <c r="G4608" s="1613">
        <v>216271412550</v>
      </c>
    </row>
    <row r="4609" spans="1:7" ht="17.25" customHeight="1" x14ac:dyDescent="0.2">
      <c r="A4609" s="1611">
        <v>17</v>
      </c>
      <c r="B4609" s="1611" t="s">
        <v>3937</v>
      </c>
      <c r="C4609" s="1611" t="s">
        <v>6242</v>
      </c>
      <c r="D4609" s="1612">
        <v>0</v>
      </c>
      <c r="E4609" s="1706" t="s">
        <v>7592</v>
      </c>
      <c r="F4609" s="1613">
        <v>18500000</v>
      </c>
      <c r="G4609" s="1613">
        <v>216289912550</v>
      </c>
    </row>
    <row r="4610" spans="1:7" ht="17.25" customHeight="1" x14ac:dyDescent="0.2">
      <c r="A4610" s="1611">
        <v>17</v>
      </c>
      <c r="B4610" s="1611" t="s">
        <v>3937</v>
      </c>
      <c r="C4610" s="1611" t="s">
        <v>6242</v>
      </c>
      <c r="D4610" s="1612">
        <v>0</v>
      </c>
      <c r="E4610" s="1706" t="s">
        <v>7592</v>
      </c>
      <c r="F4610" s="1613">
        <v>18500000</v>
      </c>
      <c r="G4610" s="1613">
        <v>216308412550</v>
      </c>
    </row>
    <row r="4611" spans="1:7" ht="17.25" customHeight="1" x14ac:dyDescent="0.2">
      <c r="A4611" s="1611">
        <v>17</v>
      </c>
      <c r="B4611" s="1611" t="s">
        <v>3937</v>
      </c>
      <c r="C4611" s="1611" t="s">
        <v>5661</v>
      </c>
      <c r="D4611" s="1612">
        <v>0</v>
      </c>
      <c r="E4611" s="1706" t="s">
        <v>7592</v>
      </c>
      <c r="F4611" s="1613">
        <v>32250000</v>
      </c>
      <c r="G4611" s="1613">
        <v>216340662550</v>
      </c>
    </row>
    <row r="4612" spans="1:7" ht="17.25" customHeight="1" x14ac:dyDescent="0.2">
      <c r="A4612" s="1611">
        <v>17</v>
      </c>
      <c r="B4612" s="1611" t="s">
        <v>3937</v>
      </c>
      <c r="C4612" s="1611" t="s">
        <v>4163</v>
      </c>
      <c r="D4612" s="1612">
        <v>0</v>
      </c>
      <c r="E4612" s="1706" t="s">
        <v>7592</v>
      </c>
      <c r="F4612" s="1613">
        <v>32150000</v>
      </c>
      <c r="G4612" s="1613">
        <v>216372812550</v>
      </c>
    </row>
    <row r="4613" spans="1:7" ht="17.25" customHeight="1" x14ac:dyDescent="0.2">
      <c r="A4613" s="1611">
        <v>17</v>
      </c>
      <c r="B4613" s="1611" t="s">
        <v>3937</v>
      </c>
      <c r="C4613" s="1611" t="s">
        <v>6293</v>
      </c>
      <c r="D4613" s="1612">
        <v>0</v>
      </c>
      <c r="E4613" s="1706" t="s">
        <v>7592</v>
      </c>
      <c r="F4613" s="1613">
        <v>33000000</v>
      </c>
      <c r="G4613" s="1613">
        <v>216405812550</v>
      </c>
    </row>
    <row r="4614" spans="1:7" ht="17.25" customHeight="1" x14ac:dyDescent="0.2">
      <c r="A4614" s="1611">
        <v>17</v>
      </c>
      <c r="B4614" s="1611" t="s">
        <v>3937</v>
      </c>
      <c r="C4614" s="1611" t="s">
        <v>6294</v>
      </c>
      <c r="D4614" s="1612">
        <v>0</v>
      </c>
      <c r="E4614" s="1706" t="s">
        <v>7592</v>
      </c>
      <c r="F4614" s="1613">
        <v>50150000</v>
      </c>
      <c r="G4614" s="1613">
        <v>216455962550</v>
      </c>
    </row>
    <row r="4615" spans="1:7" ht="17.25" customHeight="1" x14ac:dyDescent="0.2">
      <c r="A4615" s="1611">
        <v>17</v>
      </c>
      <c r="B4615" s="1611" t="s">
        <v>3937</v>
      </c>
      <c r="C4615" s="1611" t="s">
        <v>6295</v>
      </c>
      <c r="D4615" s="1612">
        <v>0</v>
      </c>
      <c r="E4615" s="1706" t="s">
        <v>7592</v>
      </c>
      <c r="F4615" s="1613">
        <v>49545455</v>
      </c>
      <c r="G4615" s="1613">
        <v>216505508005</v>
      </c>
    </row>
    <row r="4616" spans="1:7" ht="17.25" customHeight="1" x14ac:dyDescent="0.2">
      <c r="A4616" s="1611">
        <v>17</v>
      </c>
      <c r="B4616" s="1611" t="s">
        <v>3937</v>
      </c>
      <c r="C4616" s="1611" t="s">
        <v>6296</v>
      </c>
      <c r="D4616" s="1612">
        <v>0</v>
      </c>
      <c r="E4616" s="1706" t="s">
        <v>7592</v>
      </c>
      <c r="F4616" s="1613">
        <v>54000000</v>
      </c>
      <c r="G4616" s="1613">
        <v>216559508005</v>
      </c>
    </row>
    <row r="4617" spans="1:7" ht="17.25" customHeight="1" x14ac:dyDescent="0.2">
      <c r="A4617" s="1611">
        <v>17</v>
      </c>
      <c r="B4617" s="1611" t="s">
        <v>3937</v>
      </c>
      <c r="C4617" s="1611" t="s">
        <v>6235</v>
      </c>
      <c r="D4617" s="1612">
        <v>0</v>
      </c>
      <c r="E4617" s="1706" t="s">
        <v>7592</v>
      </c>
      <c r="F4617" s="1613">
        <v>160500000</v>
      </c>
      <c r="G4617" s="1613">
        <v>216720008005</v>
      </c>
    </row>
    <row r="4618" spans="1:7" ht="17.25" customHeight="1" x14ac:dyDescent="0.2">
      <c r="A4618" s="1611">
        <v>17</v>
      </c>
      <c r="B4618" s="1611" t="s">
        <v>7156</v>
      </c>
      <c r="C4618" s="1611" t="s">
        <v>6297</v>
      </c>
      <c r="D4618" s="1612">
        <v>0</v>
      </c>
      <c r="E4618" s="1706" t="s">
        <v>7592</v>
      </c>
      <c r="F4618" s="1613">
        <v>13166364</v>
      </c>
      <c r="G4618" s="1613">
        <v>216733174369</v>
      </c>
    </row>
    <row r="4619" spans="1:7" ht="17.25" customHeight="1" x14ac:dyDescent="0.2">
      <c r="A4619" s="1611">
        <v>17</v>
      </c>
      <c r="B4619" s="1611" t="s">
        <v>7156</v>
      </c>
      <c r="C4619" s="1611" t="s">
        <v>6298</v>
      </c>
      <c r="D4619" s="1612">
        <v>0</v>
      </c>
      <c r="E4619" s="1706" t="s">
        <v>7592</v>
      </c>
      <c r="F4619" s="1613">
        <v>14200000</v>
      </c>
      <c r="G4619" s="1613">
        <v>216747374369</v>
      </c>
    </row>
    <row r="4620" spans="1:7" ht="17.25" customHeight="1" x14ac:dyDescent="0.2">
      <c r="A4620" s="1611">
        <v>17</v>
      </c>
      <c r="B4620" s="1611" t="s">
        <v>7343</v>
      </c>
      <c r="C4620" s="1611" t="s">
        <v>6299</v>
      </c>
      <c r="D4620" s="1612">
        <v>0</v>
      </c>
      <c r="E4620" s="1706" t="s">
        <v>7592</v>
      </c>
      <c r="F4620" s="1613">
        <v>32000000</v>
      </c>
      <c r="G4620" s="1613">
        <v>216779374369</v>
      </c>
    </row>
    <row r="4621" spans="1:7" ht="17.25" customHeight="1" x14ac:dyDescent="0.2">
      <c r="A4621" s="1611">
        <v>17</v>
      </c>
      <c r="B4621" s="1611" t="s">
        <v>7273</v>
      </c>
      <c r="C4621" s="1611" t="s">
        <v>6300</v>
      </c>
      <c r="D4621" s="1612">
        <v>0</v>
      </c>
      <c r="E4621" s="1706" t="s">
        <v>7592</v>
      </c>
      <c r="F4621" s="1613">
        <v>166500000</v>
      </c>
      <c r="G4621" s="1613">
        <v>216945874369</v>
      </c>
    </row>
    <row r="4622" spans="1:7" ht="17.25" customHeight="1" x14ac:dyDescent="0.2">
      <c r="A4622" s="1611">
        <v>17</v>
      </c>
      <c r="B4622" s="1611" t="s">
        <v>7203</v>
      </c>
      <c r="C4622" s="1611" t="s">
        <v>3607</v>
      </c>
      <c r="D4622" s="1612">
        <v>0</v>
      </c>
      <c r="E4622" s="1706" t="s">
        <v>7592</v>
      </c>
      <c r="F4622" s="1613">
        <v>18373000</v>
      </c>
      <c r="G4622" s="1613">
        <v>216964247369</v>
      </c>
    </row>
    <row r="4623" spans="1:7" ht="17.25" customHeight="1" x14ac:dyDescent="0.2">
      <c r="A4623" s="1611">
        <v>17</v>
      </c>
      <c r="B4623" s="1611" t="s">
        <v>7176</v>
      </c>
      <c r="C4623" s="1611" t="s">
        <v>6301</v>
      </c>
      <c r="D4623" s="1612">
        <v>0</v>
      </c>
      <c r="E4623" s="1706" t="s">
        <v>7592</v>
      </c>
      <c r="F4623" s="1613">
        <v>41000000</v>
      </c>
      <c r="G4623" s="1613">
        <v>217005247369</v>
      </c>
    </row>
    <row r="4624" spans="1:7" ht="17.25" customHeight="1" x14ac:dyDescent="0.2">
      <c r="A4624" s="1611">
        <v>17</v>
      </c>
      <c r="B4624" s="1611" t="s">
        <v>7251</v>
      </c>
      <c r="C4624" s="1611" t="s">
        <v>6302</v>
      </c>
      <c r="D4624" s="1612">
        <v>0</v>
      </c>
      <c r="E4624" s="1706" t="s">
        <v>7592</v>
      </c>
      <c r="F4624" s="1613">
        <v>36500000</v>
      </c>
      <c r="G4624" s="1613">
        <v>217041747369</v>
      </c>
    </row>
    <row r="4625" spans="1:7" ht="17.25" customHeight="1" x14ac:dyDescent="0.2">
      <c r="A4625" s="1611">
        <v>17</v>
      </c>
      <c r="B4625" s="1611" t="s">
        <v>7176</v>
      </c>
      <c r="C4625" s="1611" t="s">
        <v>5469</v>
      </c>
      <c r="D4625" s="1612">
        <v>0</v>
      </c>
      <c r="E4625" s="1706" t="s">
        <v>7592</v>
      </c>
      <c r="F4625" s="1613">
        <v>41000000</v>
      </c>
      <c r="G4625" s="1613">
        <v>217082747369</v>
      </c>
    </row>
    <row r="4626" spans="1:7" ht="17.25" customHeight="1" x14ac:dyDescent="0.2">
      <c r="A4626" s="1611">
        <v>17</v>
      </c>
      <c r="B4626" s="1611" t="s">
        <v>7273</v>
      </c>
      <c r="C4626" s="1611" t="s">
        <v>4843</v>
      </c>
      <c r="D4626" s="1612">
        <v>0</v>
      </c>
      <c r="E4626" s="1706" t="s">
        <v>7592</v>
      </c>
      <c r="F4626" s="1613">
        <v>162000000</v>
      </c>
      <c r="G4626" s="1613">
        <v>217244747369</v>
      </c>
    </row>
    <row r="4627" spans="1:7" ht="17.25" customHeight="1" x14ac:dyDescent="0.2">
      <c r="A4627" s="1611">
        <v>17</v>
      </c>
      <c r="B4627" s="1611" t="s">
        <v>7176</v>
      </c>
      <c r="C4627" s="1611" t="s">
        <v>6303</v>
      </c>
      <c r="D4627" s="1612">
        <v>0</v>
      </c>
      <c r="E4627" s="1706" t="s">
        <v>7592</v>
      </c>
      <c r="F4627" s="1613">
        <v>41500000</v>
      </c>
      <c r="G4627" s="1613">
        <v>217286247369</v>
      </c>
    </row>
    <row r="4628" spans="1:7" ht="17.25" customHeight="1" x14ac:dyDescent="0.2">
      <c r="A4628" s="1611">
        <v>17</v>
      </c>
      <c r="B4628" s="1611" t="s">
        <v>7282</v>
      </c>
      <c r="C4628" s="1611" t="s">
        <v>5162</v>
      </c>
      <c r="D4628" s="1612">
        <v>0</v>
      </c>
      <c r="E4628" s="1706" t="s">
        <v>7592</v>
      </c>
      <c r="F4628" s="1613">
        <v>150000000</v>
      </c>
      <c r="G4628" s="1613">
        <v>217436247369</v>
      </c>
    </row>
    <row r="4629" spans="1:7" ht="17.25" customHeight="1" x14ac:dyDescent="0.2">
      <c r="A4629" s="1611">
        <v>17</v>
      </c>
      <c r="B4629" s="1611" t="s">
        <v>7156</v>
      </c>
      <c r="C4629" s="1611" t="s">
        <v>6304</v>
      </c>
      <c r="D4629" s="1612">
        <v>0</v>
      </c>
      <c r="E4629" s="1706" t="s">
        <v>7592</v>
      </c>
      <c r="F4629" s="1613">
        <v>13600000</v>
      </c>
      <c r="G4629" s="1613">
        <v>217449847369</v>
      </c>
    </row>
    <row r="4630" spans="1:7" ht="17.25" customHeight="1" x14ac:dyDescent="0.2">
      <c r="A4630" s="1611">
        <v>17</v>
      </c>
      <c r="B4630" s="1611" t="s">
        <v>7331</v>
      </c>
      <c r="C4630" s="1611" t="s">
        <v>5626</v>
      </c>
      <c r="D4630" s="1612">
        <v>0</v>
      </c>
      <c r="E4630" s="1706" t="s">
        <v>7592</v>
      </c>
      <c r="F4630" s="1613">
        <v>45454545</v>
      </c>
      <c r="G4630" s="1613">
        <v>217495301914</v>
      </c>
    </row>
    <row r="4631" spans="1:7" ht="17.25" customHeight="1" x14ac:dyDescent="0.2">
      <c r="A4631" s="1611">
        <v>17</v>
      </c>
      <c r="B4631" s="1611" t="s">
        <v>7176</v>
      </c>
      <c r="C4631" s="1611" t="s">
        <v>6305</v>
      </c>
      <c r="D4631" s="1612">
        <v>0</v>
      </c>
      <c r="E4631" s="1706" t="s">
        <v>7592</v>
      </c>
      <c r="F4631" s="1613">
        <v>42800000</v>
      </c>
      <c r="G4631" s="1613">
        <v>217538101914</v>
      </c>
    </row>
    <row r="4632" spans="1:7" ht="17.25" customHeight="1" x14ac:dyDescent="0.2">
      <c r="A4632" s="1611">
        <v>17</v>
      </c>
      <c r="B4632" s="1611" t="s">
        <v>7176</v>
      </c>
      <c r="C4632" s="1611" t="s">
        <v>6306</v>
      </c>
      <c r="D4632" s="1612">
        <v>0</v>
      </c>
      <c r="E4632" s="1706" t="s">
        <v>7592</v>
      </c>
      <c r="F4632" s="1613">
        <v>43500000</v>
      </c>
      <c r="G4632" s="1613">
        <v>217581601914</v>
      </c>
    </row>
    <row r="4633" spans="1:7" ht="17.25" customHeight="1" x14ac:dyDescent="0.2">
      <c r="A4633" s="1611">
        <v>17</v>
      </c>
      <c r="B4633" s="1611" t="s">
        <v>7282</v>
      </c>
      <c r="C4633" s="1611" t="s">
        <v>6307</v>
      </c>
      <c r="D4633" s="1612">
        <v>0</v>
      </c>
      <c r="E4633" s="1706" t="s">
        <v>7592</v>
      </c>
      <c r="F4633" s="1613">
        <v>156500000</v>
      </c>
      <c r="G4633" s="1613">
        <v>217738101914</v>
      </c>
    </row>
    <row r="4634" spans="1:7" ht="17.25" customHeight="1" x14ac:dyDescent="0.2">
      <c r="A4634" s="1611">
        <v>17</v>
      </c>
      <c r="B4634" s="1611" t="s">
        <v>7156</v>
      </c>
      <c r="C4634" s="1611" t="s">
        <v>6308</v>
      </c>
      <c r="D4634" s="1612">
        <v>0</v>
      </c>
      <c r="E4634" s="1706" t="s">
        <v>7592</v>
      </c>
      <c r="F4634" s="1613">
        <v>14090909</v>
      </c>
      <c r="G4634" s="1613">
        <v>217752192823</v>
      </c>
    </row>
    <row r="4635" spans="1:7" ht="17.25" customHeight="1" x14ac:dyDescent="0.2">
      <c r="A4635" s="1611">
        <v>17</v>
      </c>
      <c r="B4635" s="1611" t="s">
        <v>7154</v>
      </c>
      <c r="C4635" s="1611" t="s">
        <v>6309</v>
      </c>
      <c r="D4635" s="1612">
        <v>0</v>
      </c>
      <c r="E4635" s="1706" t="s">
        <v>7592</v>
      </c>
      <c r="F4635" s="1613">
        <v>50909090</v>
      </c>
      <c r="G4635" s="1613">
        <v>217803101913</v>
      </c>
    </row>
    <row r="4636" spans="1:7" ht="17.25" customHeight="1" x14ac:dyDescent="0.2">
      <c r="A4636" s="1611">
        <v>17</v>
      </c>
      <c r="B4636" s="1611" t="s">
        <v>7176</v>
      </c>
      <c r="C4636" s="1611" t="s">
        <v>6310</v>
      </c>
      <c r="D4636" s="1612">
        <v>0</v>
      </c>
      <c r="E4636" s="1706" t="s">
        <v>7592</v>
      </c>
      <c r="F4636" s="1613">
        <v>38000000</v>
      </c>
      <c r="G4636" s="1613">
        <v>217841101913</v>
      </c>
    </row>
    <row r="4637" spans="1:7" ht="17.25" customHeight="1" x14ac:dyDescent="0.2">
      <c r="A4637" s="1611">
        <v>17</v>
      </c>
      <c r="B4637" s="1611" t="s">
        <v>7154</v>
      </c>
      <c r="C4637" s="1611" t="s">
        <v>6311</v>
      </c>
      <c r="D4637" s="1612">
        <v>0</v>
      </c>
      <c r="E4637" s="1706" t="s">
        <v>7592</v>
      </c>
      <c r="F4637" s="1613">
        <v>51800000</v>
      </c>
      <c r="G4637" s="1613">
        <v>217892901913</v>
      </c>
    </row>
    <row r="4638" spans="1:7" ht="17.25" customHeight="1" x14ac:dyDescent="0.2">
      <c r="A4638" s="1611">
        <v>17</v>
      </c>
      <c r="B4638" s="1611" t="s">
        <v>7252</v>
      </c>
      <c r="C4638" s="1611" t="s">
        <v>6312</v>
      </c>
      <c r="D4638" s="1612">
        <v>0</v>
      </c>
      <c r="E4638" s="1706" t="s">
        <v>7592</v>
      </c>
      <c r="F4638" s="1613">
        <v>61000000</v>
      </c>
      <c r="G4638" s="1613">
        <v>217953901913</v>
      </c>
    </row>
    <row r="4639" spans="1:7" ht="17.25" customHeight="1" x14ac:dyDescent="0.2">
      <c r="A4639" s="1611">
        <v>17</v>
      </c>
      <c r="B4639" s="1611" t="s">
        <v>7203</v>
      </c>
      <c r="C4639" s="1611" t="s">
        <v>6313</v>
      </c>
      <c r="D4639" s="1612">
        <v>0</v>
      </c>
      <c r="E4639" s="1706" t="s">
        <v>7592</v>
      </c>
      <c r="F4639" s="1613">
        <v>37727273</v>
      </c>
      <c r="G4639" s="1613">
        <v>217991629186</v>
      </c>
    </row>
    <row r="4640" spans="1:7" ht="17.25" customHeight="1" x14ac:dyDescent="0.2">
      <c r="A4640" s="1611">
        <v>17</v>
      </c>
      <c r="B4640" s="1611" t="s">
        <v>7252</v>
      </c>
      <c r="C4640" s="1611" t="s">
        <v>6312</v>
      </c>
      <c r="D4640" s="1612">
        <v>0</v>
      </c>
      <c r="E4640" s="1706" t="s">
        <v>7592</v>
      </c>
      <c r="F4640" s="1613">
        <v>-61000000</v>
      </c>
      <c r="G4640" s="1613">
        <v>217930629186</v>
      </c>
    </row>
    <row r="4641" spans="1:7" ht="17.25" customHeight="1" x14ac:dyDescent="0.2">
      <c r="A4641" s="1611">
        <v>17</v>
      </c>
      <c r="B4641" s="1611" t="s">
        <v>7170</v>
      </c>
      <c r="C4641" s="1611" t="s">
        <v>4064</v>
      </c>
      <c r="D4641" s="1612">
        <v>0</v>
      </c>
      <c r="E4641" s="1612" t="s">
        <v>3295</v>
      </c>
      <c r="F4641" s="1613">
        <v>119843868</v>
      </c>
      <c r="G4641" s="1614"/>
    </row>
    <row r="4642" spans="1:7" ht="17.25" customHeight="1" x14ac:dyDescent="0.2">
      <c r="A4642" s="1611">
        <v>17</v>
      </c>
      <c r="B4642" s="1611" t="s">
        <v>7273</v>
      </c>
      <c r="C4642" s="1611" t="s">
        <v>4064</v>
      </c>
      <c r="D4642" s="1612">
        <v>0</v>
      </c>
      <c r="E4642" s="1612" t="s">
        <v>3295</v>
      </c>
      <c r="F4642" s="1613">
        <v>113334314</v>
      </c>
      <c r="G4642" s="1613">
        <v>218163807368</v>
      </c>
    </row>
    <row r="4643" spans="1:7" ht="17.25" customHeight="1" x14ac:dyDescent="0.2">
      <c r="A4643" s="1611">
        <v>17</v>
      </c>
      <c r="B4643" s="1611" t="s">
        <v>7176</v>
      </c>
      <c r="C4643" s="1611" t="s">
        <v>6314</v>
      </c>
      <c r="D4643" s="1612">
        <v>0</v>
      </c>
      <c r="E4643" s="1706" t="s">
        <v>7592</v>
      </c>
      <c r="F4643" s="1613">
        <v>43636364</v>
      </c>
      <c r="G4643" s="1613">
        <v>218207443732</v>
      </c>
    </row>
    <row r="4644" spans="1:7" ht="17.25" customHeight="1" x14ac:dyDescent="0.2">
      <c r="A4644" s="1611">
        <v>17</v>
      </c>
      <c r="B4644" s="1611" t="s">
        <v>7203</v>
      </c>
      <c r="C4644" s="1611" t="s">
        <v>6315</v>
      </c>
      <c r="D4644" s="1612">
        <v>0</v>
      </c>
      <c r="E4644" s="1706" t="s">
        <v>7592</v>
      </c>
      <c r="F4644" s="1613">
        <v>38000000</v>
      </c>
      <c r="G4644" s="1613">
        <v>218245443732</v>
      </c>
    </row>
    <row r="4645" spans="1:7" ht="17.25" customHeight="1" x14ac:dyDescent="0.2">
      <c r="A4645" s="1611">
        <v>17</v>
      </c>
      <c r="B4645" s="1611" t="s">
        <v>7203</v>
      </c>
      <c r="C4645" s="1611" t="s">
        <v>6316</v>
      </c>
      <c r="D4645" s="1612">
        <v>0</v>
      </c>
      <c r="E4645" s="1706" t="s">
        <v>7592</v>
      </c>
      <c r="F4645" s="1613">
        <v>38000000</v>
      </c>
      <c r="G4645" s="1613">
        <v>218283443732</v>
      </c>
    </row>
    <row r="4646" spans="1:7" ht="17.25" customHeight="1" x14ac:dyDescent="0.2">
      <c r="A4646" s="1611">
        <v>17</v>
      </c>
      <c r="B4646" s="1611" t="s">
        <v>7176</v>
      </c>
      <c r="C4646" s="1611" t="s">
        <v>6317</v>
      </c>
      <c r="D4646" s="1612">
        <v>0</v>
      </c>
      <c r="E4646" s="1706" t="s">
        <v>7592</v>
      </c>
      <c r="F4646" s="1613">
        <v>43636364</v>
      </c>
      <c r="G4646" s="1613">
        <v>218327080096</v>
      </c>
    </row>
    <row r="4647" spans="1:7" ht="17.25" customHeight="1" x14ac:dyDescent="0.2">
      <c r="A4647" s="1611">
        <v>17</v>
      </c>
      <c r="B4647" s="1611" t="s">
        <v>7186</v>
      </c>
      <c r="C4647" s="1611" t="s">
        <v>6318</v>
      </c>
      <c r="D4647" s="1612">
        <v>0</v>
      </c>
      <c r="E4647" s="1706" t="s">
        <v>7592</v>
      </c>
      <c r="F4647" s="1613">
        <v>54000000</v>
      </c>
      <c r="G4647" s="1613">
        <v>218381080096</v>
      </c>
    </row>
    <row r="4648" spans="1:7" ht="17.25" customHeight="1" x14ac:dyDescent="0.2">
      <c r="A4648" s="1611">
        <v>17</v>
      </c>
      <c r="B4648" s="1611" t="s">
        <v>7154</v>
      </c>
      <c r="C4648" s="1611" t="s">
        <v>6319</v>
      </c>
      <c r="D4648" s="1612">
        <v>0</v>
      </c>
      <c r="E4648" s="1706" t="s">
        <v>7592</v>
      </c>
      <c r="F4648" s="1613">
        <v>51363636</v>
      </c>
      <c r="G4648" s="1613">
        <v>218432443732</v>
      </c>
    </row>
    <row r="4649" spans="1:7" ht="17.25" customHeight="1" x14ac:dyDescent="0.2">
      <c r="A4649" s="1611">
        <v>17</v>
      </c>
      <c r="B4649" s="1611" t="s">
        <v>7203</v>
      </c>
      <c r="C4649" s="1611" t="s">
        <v>6320</v>
      </c>
      <c r="D4649" s="1612">
        <v>0</v>
      </c>
      <c r="E4649" s="1706" t="s">
        <v>7592</v>
      </c>
      <c r="F4649" s="1613">
        <v>18503000</v>
      </c>
      <c r="G4649" s="1613">
        <v>218450946732</v>
      </c>
    </row>
    <row r="4650" spans="1:7" ht="17.25" customHeight="1" x14ac:dyDescent="0.2">
      <c r="A4650" s="1611">
        <v>17</v>
      </c>
      <c r="B4650" s="1611" t="s">
        <v>7156</v>
      </c>
      <c r="C4650" s="1611" t="s">
        <v>3438</v>
      </c>
      <c r="D4650" s="1612">
        <v>0</v>
      </c>
      <c r="E4650" s="1706" t="s">
        <v>7592</v>
      </c>
      <c r="F4650" s="1613">
        <v>16116000</v>
      </c>
      <c r="G4650" s="1613">
        <v>218467062732</v>
      </c>
    </row>
    <row r="4651" spans="1:7" ht="17.25" customHeight="1" x14ac:dyDescent="0.2">
      <c r="A4651" s="1611">
        <v>17</v>
      </c>
      <c r="B4651" s="1611" t="s">
        <v>6321</v>
      </c>
      <c r="C4651" s="1611" t="s">
        <v>6322</v>
      </c>
      <c r="D4651" s="1612">
        <v>0</v>
      </c>
      <c r="E4651" s="1706" t="s">
        <v>7592</v>
      </c>
      <c r="F4651" s="1613">
        <v>37150000</v>
      </c>
      <c r="G4651" s="1613">
        <v>218504212732</v>
      </c>
    </row>
    <row r="4652" spans="1:7" ht="17.25" customHeight="1" x14ac:dyDescent="0.2">
      <c r="A4652" s="1611">
        <v>17</v>
      </c>
      <c r="B4652" s="1611" t="s">
        <v>7154</v>
      </c>
      <c r="C4652" s="1611" t="s">
        <v>4587</v>
      </c>
      <c r="D4652" s="1612">
        <v>0</v>
      </c>
      <c r="E4652" s="1706" t="s">
        <v>7592</v>
      </c>
      <c r="F4652" s="1613">
        <v>52000000</v>
      </c>
      <c r="G4652" s="1613">
        <v>218556212732</v>
      </c>
    </row>
    <row r="4653" spans="1:7" ht="17.25" customHeight="1" x14ac:dyDescent="0.2">
      <c r="A4653" s="1611">
        <v>17</v>
      </c>
      <c r="B4653" s="1611" t="s">
        <v>7282</v>
      </c>
      <c r="C4653" s="1611" t="s">
        <v>6323</v>
      </c>
      <c r="D4653" s="1612">
        <v>0</v>
      </c>
      <c r="E4653" s="1706" t="s">
        <v>7592</v>
      </c>
      <c r="F4653" s="1613">
        <v>155500000</v>
      </c>
      <c r="G4653" s="1613">
        <v>218711712732</v>
      </c>
    </row>
    <row r="4654" spans="1:7" ht="17.25" customHeight="1" x14ac:dyDescent="0.2">
      <c r="A4654" s="1611">
        <v>17</v>
      </c>
      <c r="B4654" s="1611" t="s">
        <v>7176</v>
      </c>
      <c r="C4654" s="1611" t="s">
        <v>6324</v>
      </c>
      <c r="D4654" s="1612">
        <v>0</v>
      </c>
      <c r="E4654" s="1706" t="s">
        <v>7592</v>
      </c>
      <c r="F4654" s="1613">
        <v>44350000</v>
      </c>
      <c r="G4654" s="1613">
        <v>218756062732</v>
      </c>
    </row>
    <row r="4655" spans="1:7" ht="17.25" customHeight="1" x14ac:dyDescent="0.2">
      <c r="A4655" s="1611">
        <v>17</v>
      </c>
      <c r="B4655" s="1611" t="s">
        <v>7176</v>
      </c>
      <c r="C4655" s="1611" t="s">
        <v>6325</v>
      </c>
      <c r="D4655" s="1612">
        <v>0</v>
      </c>
      <c r="E4655" s="1706" t="s">
        <v>7592</v>
      </c>
      <c r="F4655" s="1613">
        <v>41600000</v>
      </c>
      <c r="G4655" s="1613">
        <v>218797662732</v>
      </c>
    </row>
    <row r="4656" spans="1:7" ht="17.25" customHeight="1" x14ac:dyDescent="0.2">
      <c r="A4656" s="1611">
        <v>17</v>
      </c>
      <c r="B4656" s="1611" t="s">
        <v>7154</v>
      </c>
      <c r="C4656" s="1611" t="s">
        <v>6326</v>
      </c>
      <c r="D4656" s="1612">
        <v>0</v>
      </c>
      <c r="E4656" s="1706" t="s">
        <v>7592</v>
      </c>
      <c r="F4656" s="1613">
        <v>50000000</v>
      </c>
      <c r="G4656" s="1613">
        <v>218847662732</v>
      </c>
    </row>
    <row r="4657" spans="1:7" ht="17.25" customHeight="1" x14ac:dyDescent="0.2">
      <c r="A4657" s="1611">
        <v>17</v>
      </c>
      <c r="B4657" s="1611" t="s">
        <v>7154</v>
      </c>
      <c r="C4657" s="1611" t="s">
        <v>6327</v>
      </c>
      <c r="D4657" s="1612">
        <v>0</v>
      </c>
      <c r="E4657" s="1706" t="s">
        <v>7592</v>
      </c>
      <c r="F4657" s="1613">
        <v>51818181</v>
      </c>
      <c r="G4657" s="1613">
        <v>218899480913</v>
      </c>
    </row>
    <row r="4658" spans="1:7" ht="17.25" customHeight="1" x14ac:dyDescent="0.2">
      <c r="A4658" s="1611">
        <v>17</v>
      </c>
      <c r="B4658" s="1611" t="s">
        <v>7282</v>
      </c>
      <c r="C4658" s="1611" t="s">
        <v>6328</v>
      </c>
      <c r="D4658" s="1612">
        <v>0</v>
      </c>
      <c r="E4658" s="1706" t="s">
        <v>7592</v>
      </c>
      <c r="F4658" s="1613">
        <v>159000000</v>
      </c>
      <c r="G4658" s="1613">
        <v>219058480913</v>
      </c>
    </row>
    <row r="4659" spans="1:7" ht="17.25" customHeight="1" x14ac:dyDescent="0.2">
      <c r="A4659" s="1611">
        <v>17</v>
      </c>
      <c r="B4659" s="1611" t="s">
        <v>7282</v>
      </c>
      <c r="C4659" s="1611" t="s">
        <v>6328</v>
      </c>
      <c r="D4659" s="1612">
        <v>0</v>
      </c>
      <c r="E4659" s="1706" t="s">
        <v>7592</v>
      </c>
      <c r="F4659" s="1613">
        <v>155500000</v>
      </c>
      <c r="G4659" s="1613">
        <v>219213980913</v>
      </c>
    </row>
    <row r="4660" spans="1:7" ht="17.25" customHeight="1" x14ac:dyDescent="0.2">
      <c r="A4660" s="1611">
        <v>17</v>
      </c>
      <c r="B4660" s="1611" t="s">
        <v>7153</v>
      </c>
      <c r="C4660" s="1611" t="s">
        <v>6075</v>
      </c>
      <c r="D4660" s="1612">
        <v>0</v>
      </c>
      <c r="E4660" s="1706" t="s">
        <v>7592</v>
      </c>
      <c r="F4660" s="1613">
        <v>113500000</v>
      </c>
      <c r="G4660" s="1613">
        <v>219327480913</v>
      </c>
    </row>
    <row r="4661" spans="1:7" ht="17.25" customHeight="1" x14ac:dyDescent="0.2">
      <c r="A4661" s="1611">
        <v>17</v>
      </c>
      <c r="B4661" s="1611" t="s">
        <v>7343</v>
      </c>
      <c r="C4661" s="1611" t="s">
        <v>3753</v>
      </c>
      <c r="D4661" s="1612">
        <v>0</v>
      </c>
      <c r="E4661" s="1706" t="s">
        <v>7592</v>
      </c>
      <c r="F4661" s="1613">
        <v>20760909</v>
      </c>
      <c r="G4661" s="1613">
        <v>219348241822</v>
      </c>
    </row>
    <row r="4662" spans="1:7" ht="17.25" customHeight="1" x14ac:dyDescent="0.2">
      <c r="A4662" s="1611">
        <v>17</v>
      </c>
      <c r="B4662" s="1611" t="s">
        <v>7353</v>
      </c>
      <c r="C4662" s="1611" t="s">
        <v>6329</v>
      </c>
      <c r="D4662" s="1612">
        <v>0</v>
      </c>
      <c r="E4662" s="1612" t="s">
        <v>7563</v>
      </c>
      <c r="F4662" s="1613">
        <v>2281800</v>
      </c>
      <c r="G4662" s="1613">
        <v>219350523622</v>
      </c>
    </row>
    <row r="4663" spans="1:7" ht="17.25" customHeight="1" x14ac:dyDescent="0.2">
      <c r="A4663" s="1611">
        <v>17</v>
      </c>
      <c r="B4663" s="1611" t="s">
        <v>7343</v>
      </c>
      <c r="C4663" s="1611" t="s">
        <v>3753</v>
      </c>
      <c r="D4663" s="1612">
        <v>0</v>
      </c>
      <c r="E4663" s="1706" t="s">
        <v>7592</v>
      </c>
      <c r="F4663" s="1613">
        <v>-20760909</v>
      </c>
      <c r="G4663" s="1613">
        <v>219329762713</v>
      </c>
    </row>
    <row r="4664" spans="1:7" ht="17.25" customHeight="1" x14ac:dyDescent="0.2">
      <c r="A4664" s="1611">
        <v>17</v>
      </c>
      <c r="B4664" s="1611" t="s">
        <v>7354</v>
      </c>
      <c r="C4664" s="1611" t="s">
        <v>3753</v>
      </c>
      <c r="D4664" s="1612">
        <v>0</v>
      </c>
      <c r="E4664" s="1706" t="s">
        <v>7592</v>
      </c>
      <c r="F4664" s="1613">
        <v>20760909</v>
      </c>
      <c r="G4664" s="1613">
        <v>219350523622</v>
      </c>
    </row>
    <row r="4665" spans="1:7" ht="17.25" customHeight="1" x14ac:dyDescent="0.2">
      <c r="A4665" s="1611">
        <v>17</v>
      </c>
      <c r="B4665" s="1611" t="s">
        <v>7156</v>
      </c>
      <c r="C4665" s="1611" t="s">
        <v>6330</v>
      </c>
      <c r="D4665" s="1612">
        <v>0</v>
      </c>
      <c r="E4665" s="1706" t="s">
        <v>7592</v>
      </c>
      <c r="F4665" s="1613">
        <v>13500000</v>
      </c>
      <c r="G4665" s="1613">
        <v>219364023622</v>
      </c>
    </row>
    <row r="4666" spans="1:7" ht="17.25" customHeight="1" x14ac:dyDescent="0.2">
      <c r="A4666" s="1611">
        <v>17</v>
      </c>
      <c r="B4666" s="1611" t="s">
        <v>7154</v>
      </c>
      <c r="C4666" s="1611" t="s">
        <v>6331</v>
      </c>
      <c r="D4666" s="1612">
        <v>0</v>
      </c>
      <c r="E4666" s="1706" t="s">
        <v>7592</v>
      </c>
      <c r="F4666" s="1613">
        <v>51363636</v>
      </c>
      <c r="G4666" s="1613">
        <v>219415387258</v>
      </c>
    </row>
    <row r="4667" spans="1:7" ht="17.25" customHeight="1" x14ac:dyDescent="0.2">
      <c r="A4667" s="1611">
        <v>17</v>
      </c>
      <c r="B4667" s="1611" t="s">
        <v>7176</v>
      </c>
      <c r="C4667" s="1611" t="s">
        <v>6332</v>
      </c>
      <c r="D4667" s="1612">
        <v>0</v>
      </c>
      <c r="E4667" s="1706" t="s">
        <v>7592</v>
      </c>
      <c r="F4667" s="1613">
        <v>38181818</v>
      </c>
      <c r="G4667" s="1613">
        <v>219453569076</v>
      </c>
    </row>
    <row r="4668" spans="1:7" ht="17.25" customHeight="1" x14ac:dyDescent="0.2">
      <c r="A4668" s="1611">
        <v>17</v>
      </c>
      <c r="B4668" s="1611" t="s">
        <v>7154</v>
      </c>
      <c r="C4668" s="1611" t="s">
        <v>6333</v>
      </c>
      <c r="D4668" s="1612">
        <v>0</v>
      </c>
      <c r="E4668" s="1706" t="s">
        <v>7592</v>
      </c>
      <c r="F4668" s="1613">
        <v>50000000</v>
      </c>
      <c r="G4668" s="1613">
        <v>219503569076</v>
      </c>
    </row>
    <row r="4669" spans="1:7" ht="17.25" customHeight="1" x14ac:dyDescent="0.2">
      <c r="A4669" s="1611">
        <v>17</v>
      </c>
      <c r="B4669" s="1611" t="s">
        <v>7154</v>
      </c>
      <c r="C4669" s="1611" t="s">
        <v>6334</v>
      </c>
      <c r="D4669" s="1612">
        <v>0</v>
      </c>
      <c r="E4669" s="1706" t="s">
        <v>7592</v>
      </c>
      <c r="F4669" s="1613">
        <v>51818182</v>
      </c>
      <c r="G4669" s="1613">
        <v>219555387258</v>
      </c>
    </row>
    <row r="4670" spans="1:7" ht="17.25" customHeight="1" x14ac:dyDescent="0.2">
      <c r="A4670" s="1611">
        <v>17</v>
      </c>
      <c r="B4670" s="1611" t="s">
        <v>7170</v>
      </c>
      <c r="C4670" s="1611" t="s">
        <v>6335</v>
      </c>
      <c r="D4670" s="1612">
        <v>0</v>
      </c>
      <c r="E4670" s="1706" t="s">
        <v>7592</v>
      </c>
      <c r="F4670" s="1613">
        <v>175000000</v>
      </c>
      <c r="G4670" s="1613">
        <v>219730387258</v>
      </c>
    </row>
    <row r="4671" spans="1:7" ht="17.25" customHeight="1" x14ac:dyDescent="0.2">
      <c r="A4671" s="1611">
        <v>17</v>
      </c>
      <c r="B4671" s="1611" t="s">
        <v>7203</v>
      </c>
      <c r="C4671" s="1611" t="s">
        <v>6336</v>
      </c>
      <c r="D4671" s="1612">
        <v>0</v>
      </c>
      <c r="E4671" s="1706" t="s">
        <v>7592</v>
      </c>
      <c r="F4671" s="1613">
        <v>36800000</v>
      </c>
      <c r="G4671" s="1613">
        <v>219767187258</v>
      </c>
    </row>
    <row r="4672" spans="1:7" ht="17.25" customHeight="1" x14ac:dyDescent="0.2">
      <c r="A4672" s="1611">
        <v>17</v>
      </c>
      <c r="B4672" s="1611" t="s">
        <v>7252</v>
      </c>
      <c r="C4672" s="1611" t="s">
        <v>6337</v>
      </c>
      <c r="D4672" s="1612">
        <v>0</v>
      </c>
      <c r="E4672" s="1706" t="s">
        <v>7592</v>
      </c>
      <c r="F4672" s="1613">
        <v>61000000</v>
      </c>
      <c r="G4672" s="1613">
        <v>219828187258</v>
      </c>
    </row>
    <row r="4673" spans="1:7" ht="17.25" customHeight="1" x14ac:dyDescent="0.2">
      <c r="A4673" s="1611">
        <v>17</v>
      </c>
      <c r="B4673" s="1611" t="s">
        <v>7156</v>
      </c>
      <c r="C4673" s="1611" t="s">
        <v>6338</v>
      </c>
      <c r="D4673" s="1612">
        <v>0</v>
      </c>
      <c r="E4673" s="1706" t="s">
        <v>7592</v>
      </c>
      <c r="F4673" s="1613">
        <v>14500000</v>
      </c>
      <c r="G4673" s="1613">
        <v>219842687258</v>
      </c>
    </row>
    <row r="4674" spans="1:7" ht="17.25" customHeight="1" x14ac:dyDescent="0.2">
      <c r="A4674" s="1611">
        <v>17</v>
      </c>
      <c r="B4674" s="1611" t="s">
        <v>7154</v>
      </c>
      <c r="C4674" s="1611" t="s">
        <v>6339</v>
      </c>
      <c r="D4674" s="1612">
        <v>0</v>
      </c>
      <c r="E4674" s="1706" t="s">
        <v>7592</v>
      </c>
      <c r="F4674" s="1613">
        <v>52000000</v>
      </c>
      <c r="G4674" s="1613">
        <v>219894687258</v>
      </c>
    </row>
    <row r="4675" spans="1:7" ht="17.25" customHeight="1" x14ac:dyDescent="0.2">
      <c r="A4675" s="1611">
        <v>17</v>
      </c>
      <c r="B4675" s="1611" t="s">
        <v>7170</v>
      </c>
      <c r="C4675" s="1611" t="s">
        <v>6340</v>
      </c>
      <c r="D4675" s="1612">
        <v>0</v>
      </c>
      <c r="E4675" s="1706" t="s">
        <v>7592</v>
      </c>
      <c r="F4675" s="1613">
        <v>175000000</v>
      </c>
      <c r="G4675" s="1613">
        <v>220069687258</v>
      </c>
    </row>
    <row r="4676" spans="1:7" ht="17.25" customHeight="1" x14ac:dyDescent="0.2">
      <c r="A4676" s="1611">
        <v>17</v>
      </c>
      <c r="B4676" s="1611" t="s">
        <v>7343</v>
      </c>
      <c r="C4676" s="1611" t="s">
        <v>6341</v>
      </c>
      <c r="D4676" s="1612">
        <v>0</v>
      </c>
      <c r="E4676" s="1706" t="s">
        <v>7592</v>
      </c>
      <c r="F4676" s="1613">
        <v>30454545</v>
      </c>
      <c r="G4676" s="1613">
        <v>220100141803</v>
      </c>
    </row>
    <row r="4677" spans="1:7" ht="17.25" customHeight="1" x14ac:dyDescent="0.2">
      <c r="A4677" s="1611">
        <v>17</v>
      </c>
      <c r="B4677" s="1611" t="s">
        <v>7343</v>
      </c>
      <c r="C4677" s="1611" t="s">
        <v>6342</v>
      </c>
      <c r="D4677" s="1612">
        <v>0</v>
      </c>
      <c r="E4677" s="1706" t="s">
        <v>7592</v>
      </c>
      <c r="F4677" s="1613">
        <v>30909091</v>
      </c>
      <c r="G4677" s="1613">
        <v>220131050894</v>
      </c>
    </row>
    <row r="4678" spans="1:7" ht="17.25" customHeight="1" x14ac:dyDescent="0.2">
      <c r="A4678" s="1611">
        <v>17</v>
      </c>
      <c r="B4678" s="1611" t="s">
        <v>7203</v>
      </c>
      <c r="C4678" s="1611" t="s">
        <v>4619</v>
      </c>
      <c r="D4678" s="1612">
        <v>0</v>
      </c>
      <c r="E4678" s="1706" t="s">
        <v>7592</v>
      </c>
      <c r="F4678" s="1613">
        <v>35909090</v>
      </c>
      <c r="G4678" s="1613">
        <v>220166959984</v>
      </c>
    </row>
    <row r="4679" spans="1:7" ht="17.25" customHeight="1" x14ac:dyDescent="0.2">
      <c r="A4679" s="1611">
        <v>17</v>
      </c>
      <c r="B4679" s="1611" t="s">
        <v>7343</v>
      </c>
      <c r="C4679" s="1611" t="s">
        <v>4538</v>
      </c>
      <c r="D4679" s="1612">
        <v>0</v>
      </c>
      <c r="E4679" s="1706" t="s">
        <v>7592</v>
      </c>
      <c r="F4679" s="1613">
        <v>32000000</v>
      </c>
      <c r="G4679" s="1613">
        <v>220198959984</v>
      </c>
    </row>
    <row r="4680" spans="1:7" ht="17.25" customHeight="1" x14ac:dyDescent="0.2">
      <c r="A4680" s="1611">
        <v>17</v>
      </c>
      <c r="B4680" s="1611" t="s">
        <v>7343</v>
      </c>
      <c r="C4680" s="1611" t="s">
        <v>6343</v>
      </c>
      <c r="D4680" s="1612">
        <v>0</v>
      </c>
      <c r="E4680" s="1706" t="s">
        <v>7592</v>
      </c>
      <c r="F4680" s="1613">
        <v>30909091</v>
      </c>
      <c r="G4680" s="1613">
        <v>220229869075</v>
      </c>
    </row>
    <row r="4681" spans="1:7" ht="17.25" customHeight="1" x14ac:dyDescent="0.2">
      <c r="A4681" s="1611">
        <v>17</v>
      </c>
      <c r="B4681" s="1611" t="s">
        <v>7176</v>
      </c>
      <c r="C4681" s="1611" t="s">
        <v>6344</v>
      </c>
      <c r="D4681" s="1612">
        <v>0</v>
      </c>
      <c r="E4681" s="1706" t="s">
        <v>7592</v>
      </c>
      <c r="F4681" s="1613">
        <v>39000000</v>
      </c>
      <c r="G4681" s="1613">
        <v>220268869075</v>
      </c>
    </row>
    <row r="4682" spans="1:7" ht="17.25" customHeight="1" x14ac:dyDescent="0.2">
      <c r="A4682" s="1611">
        <v>17</v>
      </c>
      <c r="B4682" s="1611" t="s">
        <v>7282</v>
      </c>
      <c r="C4682" s="1611" t="s">
        <v>6345</v>
      </c>
      <c r="D4682" s="1612">
        <v>0</v>
      </c>
      <c r="E4682" s="1706" t="s">
        <v>7592</v>
      </c>
      <c r="F4682" s="1613">
        <v>157000000</v>
      </c>
      <c r="G4682" s="1613">
        <v>220425869075</v>
      </c>
    </row>
    <row r="4683" spans="1:7" ht="17.25" customHeight="1" x14ac:dyDescent="0.2">
      <c r="A4683" s="1611">
        <v>17</v>
      </c>
      <c r="B4683" s="1611" t="s">
        <v>7203</v>
      </c>
      <c r="C4683" s="1611" t="s">
        <v>6346</v>
      </c>
      <c r="D4683" s="1612">
        <v>0</v>
      </c>
      <c r="E4683" s="1706" t="s">
        <v>7592</v>
      </c>
      <c r="F4683" s="1613">
        <v>18500000</v>
      </c>
      <c r="G4683" s="1613">
        <v>220444369075</v>
      </c>
    </row>
    <row r="4684" spans="1:7" ht="17.25" customHeight="1" x14ac:dyDescent="0.2">
      <c r="A4684" s="1611">
        <v>17</v>
      </c>
      <c r="B4684" s="1611" t="s">
        <v>7154</v>
      </c>
      <c r="C4684" s="1611" t="s">
        <v>6347</v>
      </c>
      <c r="D4684" s="1612">
        <v>0</v>
      </c>
      <c r="E4684" s="1706" t="s">
        <v>7592</v>
      </c>
      <c r="F4684" s="1613">
        <v>52000000</v>
      </c>
      <c r="G4684" s="1613">
        <v>220496369075</v>
      </c>
    </row>
    <row r="4685" spans="1:7" ht="17.25" customHeight="1" x14ac:dyDescent="0.2">
      <c r="A4685" s="1611">
        <v>17</v>
      </c>
      <c r="B4685" s="1611" t="s">
        <v>7170</v>
      </c>
      <c r="C4685" s="1611" t="s">
        <v>6348</v>
      </c>
      <c r="D4685" s="1612">
        <v>0</v>
      </c>
      <c r="E4685" s="1706" t="s">
        <v>7592</v>
      </c>
      <c r="F4685" s="1613">
        <v>173000000</v>
      </c>
      <c r="G4685" s="1613">
        <v>220669369075</v>
      </c>
    </row>
    <row r="4686" spans="1:7" ht="17.25" customHeight="1" x14ac:dyDescent="0.2">
      <c r="A4686" s="1611">
        <v>17</v>
      </c>
      <c r="B4686" s="1611" t="s">
        <v>2032</v>
      </c>
      <c r="C4686" s="1611" t="s">
        <v>5139</v>
      </c>
      <c r="D4686" s="1612" t="s">
        <v>7555</v>
      </c>
      <c r="E4686" s="1706" t="s">
        <v>7592</v>
      </c>
      <c r="F4686" s="1613">
        <v>36000000</v>
      </c>
      <c r="G4686" s="1613">
        <v>220705369075</v>
      </c>
    </row>
    <row r="4687" spans="1:7" ht="17.25" customHeight="1" x14ac:dyDescent="0.2">
      <c r="A4687" s="1611">
        <v>17</v>
      </c>
      <c r="B4687" s="1611" t="s">
        <v>7154</v>
      </c>
      <c r="C4687" s="1611" t="s">
        <v>5475</v>
      </c>
      <c r="D4687" s="1612">
        <v>0</v>
      </c>
      <c r="E4687" s="1612" t="s">
        <v>3299</v>
      </c>
      <c r="F4687" s="1613">
        <v>31116736</v>
      </c>
      <c r="G4687" s="1613">
        <v>220736485811</v>
      </c>
    </row>
    <row r="4688" spans="1:7" ht="17.25" customHeight="1" x14ac:dyDescent="0.2">
      <c r="A4688" s="1611">
        <v>17</v>
      </c>
      <c r="B4688" s="1611" t="s">
        <v>7343</v>
      </c>
      <c r="C4688" s="1611" t="s">
        <v>6349</v>
      </c>
      <c r="D4688" s="1612">
        <v>0</v>
      </c>
      <c r="E4688" s="1706" t="s">
        <v>7592</v>
      </c>
      <c r="F4688" s="1613">
        <v>31000000</v>
      </c>
      <c r="G4688" s="1613">
        <v>220767485811</v>
      </c>
    </row>
    <row r="4689" spans="1:7" ht="17.25" customHeight="1" x14ac:dyDescent="0.2">
      <c r="A4689" s="1611">
        <v>17</v>
      </c>
      <c r="B4689" s="1611" t="s">
        <v>7186</v>
      </c>
      <c r="C4689" s="1611" t="s">
        <v>6350</v>
      </c>
      <c r="D4689" s="1612">
        <v>0</v>
      </c>
      <c r="E4689" s="1706" t="s">
        <v>7592</v>
      </c>
      <c r="F4689" s="1613">
        <v>53363636</v>
      </c>
      <c r="G4689" s="1613">
        <v>220820849447</v>
      </c>
    </row>
    <row r="4690" spans="1:7" ht="17.25" customHeight="1" x14ac:dyDescent="0.2">
      <c r="A4690" s="1611">
        <v>17</v>
      </c>
      <c r="B4690" s="1611" t="s">
        <v>7343</v>
      </c>
      <c r="C4690" s="1611" t="s">
        <v>6351</v>
      </c>
      <c r="D4690" s="1612">
        <v>0</v>
      </c>
      <c r="E4690" s="1706" t="s">
        <v>7592</v>
      </c>
      <c r="F4690" s="1613">
        <v>32000000</v>
      </c>
      <c r="G4690" s="1613">
        <v>220852849447</v>
      </c>
    </row>
    <row r="4691" spans="1:7" ht="17.25" customHeight="1" x14ac:dyDescent="0.2">
      <c r="A4691" s="1611">
        <v>17</v>
      </c>
      <c r="B4691" s="1611" t="s">
        <v>7282</v>
      </c>
      <c r="C4691" s="1611" t="s">
        <v>6352</v>
      </c>
      <c r="D4691" s="1612">
        <v>0</v>
      </c>
      <c r="E4691" s="1706" t="s">
        <v>7592</v>
      </c>
      <c r="F4691" s="1613">
        <v>159000000</v>
      </c>
      <c r="G4691" s="1613">
        <v>221011849447</v>
      </c>
    </row>
    <row r="4692" spans="1:7" ht="17.25" customHeight="1" x14ac:dyDescent="0.2">
      <c r="A4692" s="1611">
        <v>17</v>
      </c>
      <c r="B4692" s="1611" t="s">
        <v>7273</v>
      </c>
      <c r="C4692" s="1611" t="s">
        <v>6300</v>
      </c>
      <c r="D4692" s="1612">
        <v>0</v>
      </c>
      <c r="E4692" s="1706" t="s">
        <v>7592</v>
      </c>
      <c r="F4692" s="1613">
        <v>166500000</v>
      </c>
      <c r="G4692" s="1613">
        <v>221178349447</v>
      </c>
    </row>
    <row r="4693" spans="1:7" ht="17.25" customHeight="1" x14ac:dyDescent="0.2">
      <c r="A4693" s="1611">
        <v>17</v>
      </c>
      <c r="B4693" s="1611" t="s">
        <v>7252</v>
      </c>
      <c r="C4693" s="1611" t="s">
        <v>6353</v>
      </c>
      <c r="D4693" s="1612">
        <v>0</v>
      </c>
      <c r="E4693" s="1706" t="s">
        <v>7592</v>
      </c>
      <c r="F4693" s="1613">
        <v>60800000</v>
      </c>
      <c r="G4693" s="1613">
        <v>221239149447</v>
      </c>
    </row>
    <row r="4694" spans="1:7" ht="17.25" customHeight="1" x14ac:dyDescent="0.2">
      <c r="A4694" s="1611">
        <v>17</v>
      </c>
      <c r="B4694" s="1611" t="s">
        <v>7343</v>
      </c>
      <c r="C4694" s="1611" t="s">
        <v>6354</v>
      </c>
      <c r="D4694" s="1612">
        <v>0</v>
      </c>
      <c r="E4694" s="1706" t="s">
        <v>7592</v>
      </c>
      <c r="F4694" s="1613">
        <v>30454545</v>
      </c>
      <c r="G4694" s="1613">
        <v>221269603992</v>
      </c>
    </row>
    <row r="4695" spans="1:7" ht="17.25" customHeight="1" x14ac:dyDescent="0.2">
      <c r="A4695" s="1611">
        <v>17</v>
      </c>
      <c r="B4695" s="1611" t="s">
        <v>7343</v>
      </c>
      <c r="C4695" s="1611" t="s">
        <v>6342</v>
      </c>
      <c r="D4695" s="1612">
        <v>0</v>
      </c>
      <c r="E4695" s="1706" t="s">
        <v>7592</v>
      </c>
      <c r="F4695" s="1613">
        <v>30909091</v>
      </c>
      <c r="G4695" s="1613">
        <v>221300513083</v>
      </c>
    </row>
    <row r="4696" spans="1:7" ht="17.25" customHeight="1" x14ac:dyDescent="0.2">
      <c r="A4696" s="1611">
        <v>17</v>
      </c>
      <c r="B4696" s="1611" t="s">
        <v>7154</v>
      </c>
      <c r="C4696" s="1611" t="s">
        <v>6355</v>
      </c>
      <c r="D4696" s="1612">
        <v>0</v>
      </c>
      <c r="E4696" s="1706" t="s">
        <v>7592</v>
      </c>
      <c r="F4696" s="1613">
        <v>47800000</v>
      </c>
      <c r="G4696" s="1613">
        <v>221348313083</v>
      </c>
    </row>
    <row r="4697" spans="1:7" ht="17.25" customHeight="1" x14ac:dyDescent="0.2">
      <c r="A4697" s="1611">
        <v>17</v>
      </c>
      <c r="B4697" s="1611" t="s">
        <v>7170</v>
      </c>
      <c r="C4697" s="1611" t="s">
        <v>5162</v>
      </c>
      <c r="D4697" s="1612">
        <v>0</v>
      </c>
      <c r="E4697" s="1706" t="s">
        <v>7592</v>
      </c>
      <c r="F4697" s="1613">
        <v>170000000</v>
      </c>
      <c r="G4697" s="1613">
        <v>221518313083</v>
      </c>
    </row>
    <row r="4698" spans="1:7" ht="17.25" customHeight="1" x14ac:dyDescent="0.2">
      <c r="A4698" s="1611">
        <v>17</v>
      </c>
      <c r="B4698" s="1611" t="s">
        <v>2060</v>
      </c>
      <c r="C4698" s="1611" t="s">
        <v>6356</v>
      </c>
      <c r="D4698" s="1612" t="s">
        <v>2023</v>
      </c>
      <c r="E4698" s="1706" t="s">
        <v>7592</v>
      </c>
      <c r="F4698" s="1613">
        <v>165000000</v>
      </c>
      <c r="G4698" s="1613">
        <v>221683313083</v>
      </c>
    </row>
    <row r="4699" spans="1:7" ht="17.25" customHeight="1" x14ac:dyDescent="0.2">
      <c r="A4699" s="1611">
        <v>17</v>
      </c>
      <c r="B4699" s="1611" t="s">
        <v>2062</v>
      </c>
      <c r="C4699" s="1611" t="s">
        <v>6357</v>
      </c>
      <c r="D4699" s="1612" t="s">
        <v>2023</v>
      </c>
      <c r="E4699" s="1706" t="s">
        <v>7592</v>
      </c>
      <c r="F4699" s="1613">
        <v>176500000</v>
      </c>
      <c r="G4699" s="1613">
        <v>221859813083</v>
      </c>
    </row>
    <row r="4700" spans="1:7" ht="17.25" customHeight="1" x14ac:dyDescent="0.2">
      <c r="A4700" s="1611">
        <v>17</v>
      </c>
      <c r="B4700" s="1611" t="s">
        <v>2836</v>
      </c>
      <c r="C4700" s="1611" t="s">
        <v>4375</v>
      </c>
      <c r="D4700" s="1612" t="s">
        <v>7555</v>
      </c>
      <c r="E4700" s="1706" t="s">
        <v>7592</v>
      </c>
      <c r="F4700" s="1613">
        <v>30909091</v>
      </c>
      <c r="G4700" s="1613">
        <v>221890722174</v>
      </c>
    </row>
    <row r="4701" spans="1:7" ht="17.25" customHeight="1" x14ac:dyDescent="0.2">
      <c r="A4701" s="1611">
        <v>17</v>
      </c>
      <c r="B4701" s="1611" t="s">
        <v>2037</v>
      </c>
      <c r="C4701" s="1611" t="s">
        <v>6358</v>
      </c>
      <c r="D4701" s="1612" t="s">
        <v>7555</v>
      </c>
      <c r="E4701" s="1706" t="s">
        <v>7592</v>
      </c>
      <c r="F4701" s="1613">
        <v>38000000</v>
      </c>
      <c r="G4701" s="1613">
        <v>221928722174</v>
      </c>
    </row>
    <row r="4702" spans="1:7" ht="17.25" customHeight="1" x14ac:dyDescent="0.2">
      <c r="A4702" s="1611">
        <v>17</v>
      </c>
      <c r="B4702" s="1611" t="s">
        <v>2037</v>
      </c>
      <c r="C4702" s="1611" t="s">
        <v>6359</v>
      </c>
      <c r="D4702" s="1612" t="s">
        <v>7555</v>
      </c>
      <c r="E4702" s="1706" t="s">
        <v>7592</v>
      </c>
      <c r="F4702" s="1613">
        <v>38181818</v>
      </c>
      <c r="G4702" s="1613">
        <v>221966903992</v>
      </c>
    </row>
    <row r="4703" spans="1:7" ht="17.25" customHeight="1" x14ac:dyDescent="0.2">
      <c r="A4703" s="1611">
        <v>17</v>
      </c>
      <c r="B4703" s="1611" t="s">
        <v>2044</v>
      </c>
      <c r="C4703" s="1611" t="s">
        <v>4073</v>
      </c>
      <c r="D4703" s="1612" t="s">
        <v>7555</v>
      </c>
      <c r="E4703" s="1706" t="s">
        <v>7592</v>
      </c>
      <c r="F4703" s="1613">
        <v>38181818</v>
      </c>
      <c r="G4703" s="1613">
        <v>222005085810</v>
      </c>
    </row>
    <row r="4704" spans="1:7" ht="17.25" customHeight="1" x14ac:dyDescent="0.2">
      <c r="A4704" s="1611">
        <v>17</v>
      </c>
      <c r="B4704" s="1611" t="s">
        <v>7355</v>
      </c>
      <c r="C4704" s="1611" t="s">
        <v>6360</v>
      </c>
      <c r="D4704" s="1612">
        <v>0</v>
      </c>
      <c r="E4704" s="1612" t="s">
        <v>7564</v>
      </c>
      <c r="F4704" s="1613">
        <v>6242940</v>
      </c>
      <c r="G4704" s="1613">
        <v>222011328750</v>
      </c>
    </row>
    <row r="4705" spans="1:7" ht="17.25" customHeight="1" x14ac:dyDescent="0.2">
      <c r="A4705" s="1611">
        <v>17</v>
      </c>
      <c r="B4705" s="1611" t="s">
        <v>2032</v>
      </c>
      <c r="C4705" s="1611" t="s">
        <v>3851</v>
      </c>
      <c r="D4705" s="1612" t="s">
        <v>7555</v>
      </c>
      <c r="E4705" s="1706" t="s">
        <v>7592</v>
      </c>
      <c r="F4705" s="1613">
        <v>86400000</v>
      </c>
      <c r="G4705" s="1613">
        <v>222097728750</v>
      </c>
    </row>
    <row r="4706" spans="1:7" ht="17.25" customHeight="1" x14ac:dyDescent="0.2">
      <c r="A4706" s="1611">
        <v>17</v>
      </c>
      <c r="B4706" s="1611" t="s">
        <v>2028</v>
      </c>
      <c r="C4706" s="1611" t="s">
        <v>6361</v>
      </c>
      <c r="D4706" s="1612" t="s">
        <v>2024</v>
      </c>
      <c r="E4706" s="1706" t="s">
        <v>7592</v>
      </c>
      <c r="F4706" s="1613">
        <v>14200000</v>
      </c>
      <c r="G4706" s="1613">
        <v>222111928750</v>
      </c>
    </row>
    <row r="4707" spans="1:7" ht="17.25" customHeight="1" x14ac:dyDescent="0.2">
      <c r="A4707" s="1611">
        <v>17</v>
      </c>
      <c r="B4707" s="1611" t="s">
        <v>2028</v>
      </c>
      <c r="C4707" s="1611" t="s">
        <v>6361</v>
      </c>
      <c r="D4707" s="1612" t="s">
        <v>2024</v>
      </c>
      <c r="E4707" s="1706" t="s">
        <v>7592</v>
      </c>
      <c r="F4707" s="1613">
        <v>14200000</v>
      </c>
      <c r="G4707" s="1613">
        <v>222126128750</v>
      </c>
    </row>
    <row r="4708" spans="1:7" ht="17.25" customHeight="1" x14ac:dyDescent="0.2">
      <c r="A4708" s="1611">
        <v>17</v>
      </c>
      <c r="B4708" s="1611" t="s">
        <v>2037</v>
      </c>
      <c r="C4708" s="1611" t="s">
        <v>6362</v>
      </c>
      <c r="D4708" s="1612" t="s">
        <v>7555</v>
      </c>
      <c r="E4708" s="1706" t="s">
        <v>7592</v>
      </c>
      <c r="F4708" s="1613">
        <v>37000000</v>
      </c>
      <c r="G4708" s="1613">
        <v>222163128750</v>
      </c>
    </row>
    <row r="4709" spans="1:7" ht="17.25" customHeight="1" x14ac:dyDescent="0.2">
      <c r="A4709" s="1611">
        <v>17</v>
      </c>
      <c r="B4709" s="1611" t="s">
        <v>2032</v>
      </c>
      <c r="C4709" s="1611" t="s">
        <v>4396</v>
      </c>
      <c r="D4709" s="1612" t="s">
        <v>7555</v>
      </c>
      <c r="E4709" s="1706" t="s">
        <v>7592</v>
      </c>
      <c r="F4709" s="1613">
        <v>35909091</v>
      </c>
      <c r="G4709" s="1613">
        <v>222199037841</v>
      </c>
    </row>
    <row r="4710" spans="1:7" ht="17.25" customHeight="1" x14ac:dyDescent="0.2">
      <c r="A4710" s="1611">
        <v>17</v>
      </c>
      <c r="B4710" s="1611" t="s">
        <v>2028</v>
      </c>
      <c r="C4710" s="1611" t="s">
        <v>6363</v>
      </c>
      <c r="D4710" s="1612" t="s">
        <v>2024</v>
      </c>
      <c r="E4710" s="1706" t="s">
        <v>7592</v>
      </c>
      <c r="F4710" s="1613">
        <v>14750000</v>
      </c>
      <c r="G4710" s="1613">
        <v>222213787841</v>
      </c>
    </row>
    <row r="4711" spans="1:7" ht="17.25" customHeight="1" x14ac:dyDescent="0.2">
      <c r="A4711" s="1611">
        <v>17</v>
      </c>
      <c r="B4711" s="1611" t="s">
        <v>2037</v>
      </c>
      <c r="C4711" s="1611" t="s">
        <v>6364</v>
      </c>
      <c r="D4711" s="1612" t="s">
        <v>7555</v>
      </c>
      <c r="E4711" s="1706" t="s">
        <v>7592</v>
      </c>
      <c r="F4711" s="1613">
        <v>38500000</v>
      </c>
      <c r="G4711" s="1613">
        <v>222252287841</v>
      </c>
    </row>
    <row r="4712" spans="1:7" ht="17.25" customHeight="1" x14ac:dyDescent="0.2">
      <c r="A4712" s="1611">
        <v>17</v>
      </c>
      <c r="B4712" s="1611" t="s">
        <v>2028</v>
      </c>
      <c r="C4712" s="1611" t="s">
        <v>6112</v>
      </c>
      <c r="D4712" s="1612" t="s">
        <v>2024</v>
      </c>
      <c r="E4712" s="1706" t="s">
        <v>7592</v>
      </c>
      <c r="F4712" s="1613">
        <v>14400000</v>
      </c>
      <c r="G4712" s="1613">
        <v>222266687841</v>
      </c>
    </row>
    <row r="4713" spans="1:7" ht="17.25" customHeight="1" x14ac:dyDescent="0.2">
      <c r="A4713" s="1611">
        <v>17</v>
      </c>
      <c r="B4713" s="1611" t="s">
        <v>2041</v>
      </c>
      <c r="C4713" s="1611" t="s">
        <v>6365</v>
      </c>
      <c r="D4713" s="1612" t="s">
        <v>7555</v>
      </c>
      <c r="E4713" s="1706" t="s">
        <v>7592</v>
      </c>
      <c r="F4713" s="1613">
        <v>52000000</v>
      </c>
      <c r="G4713" s="1613">
        <v>222318687841</v>
      </c>
    </row>
    <row r="4714" spans="1:7" ht="17.25" customHeight="1" x14ac:dyDescent="0.2">
      <c r="A4714" s="1611">
        <v>17</v>
      </c>
      <c r="B4714" s="1611" t="s">
        <v>2055</v>
      </c>
      <c r="C4714" s="1611" t="s">
        <v>6366</v>
      </c>
      <c r="D4714" s="1612" t="s">
        <v>7555</v>
      </c>
      <c r="E4714" s="1706" t="s">
        <v>7592</v>
      </c>
      <c r="F4714" s="1613">
        <v>62000000</v>
      </c>
      <c r="G4714" s="1613">
        <v>222380687841</v>
      </c>
    </row>
    <row r="4715" spans="1:7" ht="17.25" customHeight="1" x14ac:dyDescent="0.2">
      <c r="A4715" s="1611">
        <v>17</v>
      </c>
      <c r="B4715" s="1611" t="s">
        <v>2028</v>
      </c>
      <c r="C4715" s="1611" t="s">
        <v>4074</v>
      </c>
      <c r="D4715" s="1612" t="s">
        <v>2024</v>
      </c>
      <c r="E4715" s="1706" t="s">
        <v>7592</v>
      </c>
      <c r="F4715" s="1613">
        <v>13800000</v>
      </c>
      <c r="G4715" s="1613">
        <v>222394487841</v>
      </c>
    </row>
    <row r="4716" spans="1:7" ht="17.25" customHeight="1" x14ac:dyDescent="0.2">
      <c r="A4716" s="1611">
        <v>17</v>
      </c>
      <c r="B4716" s="1611" t="s">
        <v>2061</v>
      </c>
      <c r="C4716" s="1611" t="s">
        <v>6367</v>
      </c>
      <c r="D4716" s="1612" t="s">
        <v>2023</v>
      </c>
      <c r="E4716" s="1706" t="s">
        <v>7592</v>
      </c>
      <c r="F4716" s="1613">
        <v>147272727</v>
      </c>
      <c r="G4716" s="1613">
        <v>222541760568</v>
      </c>
    </row>
    <row r="4717" spans="1:7" ht="17.25" customHeight="1" x14ac:dyDescent="0.2">
      <c r="A4717" s="1611">
        <v>17</v>
      </c>
      <c r="B4717" s="1611" t="s">
        <v>2062</v>
      </c>
      <c r="C4717" s="1611" t="s">
        <v>6368</v>
      </c>
      <c r="D4717" s="1612" t="s">
        <v>2023</v>
      </c>
      <c r="E4717" s="1706" t="s">
        <v>7592</v>
      </c>
      <c r="F4717" s="1613">
        <v>175000000</v>
      </c>
      <c r="G4717" s="1613">
        <v>222716760568</v>
      </c>
    </row>
    <row r="4718" spans="1:7" ht="17.25" customHeight="1" x14ac:dyDescent="0.2">
      <c r="A4718" s="1611">
        <v>17</v>
      </c>
      <c r="B4718" s="1611" t="s">
        <v>2037</v>
      </c>
      <c r="C4718" s="1611" t="s">
        <v>6369</v>
      </c>
      <c r="D4718" s="1612" t="s">
        <v>7555</v>
      </c>
      <c r="E4718" s="1706" t="s">
        <v>7592</v>
      </c>
      <c r="F4718" s="1613">
        <v>39090909</v>
      </c>
      <c r="G4718" s="1613">
        <v>222755851477</v>
      </c>
    </row>
    <row r="4719" spans="1:7" ht="17.25" customHeight="1" x14ac:dyDescent="0.2">
      <c r="A4719" s="1611">
        <v>17</v>
      </c>
      <c r="B4719" s="1611" t="s">
        <v>2062</v>
      </c>
      <c r="C4719" s="1611" t="s">
        <v>6368</v>
      </c>
      <c r="D4719" s="1612" t="s">
        <v>2023</v>
      </c>
      <c r="E4719" s="1706" t="s">
        <v>7592</v>
      </c>
      <c r="F4719" s="1613">
        <v>-175000000</v>
      </c>
      <c r="G4719" s="1613">
        <v>222580851477</v>
      </c>
    </row>
    <row r="4720" spans="1:7" ht="17.25" customHeight="1" x14ac:dyDescent="0.2">
      <c r="A4720" s="1611">
        <v>17</v>
      </c>
      <c r="B4720" s="1611" t="s">
        <v>2028</v>
      </c>
      <c r="C4720" s="1611" t="s">
        <v>6370</v>
      </c>
      <c r="D4720" s="1612" t="s">
        <v>2024</v>
      </c>
      <c r="E4720" s="1706" t="s">
        <v>7592</v>
      </c>
      <c r="F4720" s="1613">
        <v>16363636</v>
      </c>
      <c r="G4720" s="1613">
        <v>222597215113</v>
      </c>
    </row>
    <row r="4721" spans="1:7" ht="17.25" customHeight="1" x14ac:dyDescent="0.2">
      <c r="A4721" s="1611">
        <v>17</v>
      </c>
      <c r="B4721" s="1611" t="s">
        <v>2062</v>
      </c>
      <c r="C4721" s="1611" t="s">
        <v>6371</v>
      </c>
      <c r="D4721" s="1612" t="s">
        <v>2023</v>
      </c>
      <c r="E4721" s="1706" t="s">
        <v>7592</v>
      </c>
      <c r="F4721" s="1613">
        <v>175000000</v>
      </c>
      <c r="G4721" s="1613">
        <v>222772215113</v>
      </c>
    </row>
    <row r="4722" spans="1:7" ht="17.25" customHeight="1" x14ac:dyDescent="0.2">
      <c r="A4722" s="1611">
        <v>17</v>
      </c>
      <c r="B4722" s="1611" t="s">
        <v>2061</v>
      </c>
      <c r="C4722" s="1611" t="s">
        <v>6372</v>
      </c>
      <c r="D4722" s="1612" t="s">
        <v>2023</v>
      </c>
      <c r="E4722" s="1706" t="s">
        <v>7592</v>
      </c>
      <c r="F4722" s="1613">
        <v>148600000</v>
      </c>
      <c r="G4722" s="1613">
        <v>222920815113</v>
      </c>
    </row>
    <row r="4723" spans="1:7" ht="17.25" customHeight="1" x14ac:dyDescent="0.2">
      <c r="A4723" s="1611">
        <v>17</v>
      </c>
      <c r="B4723" s="1611" t="s">
        <v>2044</v>
      </c>
      <c r="C4723" s="1611" t="s">
        <v>3464</v>
      </c>
      <c r="D4723" s="1612" t="s">
        <v>7555</v>
      </c>
      <c r="E4723" s="1706" t="s">
        <v>7592</v>
      </c>
      <c r="F4723" s="1613">
        <v>40000000</v>
      </c>
      <c r="G4723" s="1613">
        <v>222960815113</v>
      </c>
    </row>
    <row r="4724" spans="1:7" ht="17.25" customHeight="1" x14ac:dyDescent="0.2">
      <c r="A4724" s="1611">
        <v>17</v>
      </c>
      <c r="B4724" s="1611" t="s">
        <v>2836</v>
      </c>
      <c r="C4724" s="1611" t="s">
        <v>3464</v>
      </c>
      <c r="D4724" s="1612" t="s">
        <v>7555</v>
      </c>
      <c r="E4724" s="1706" t="s">
        <v>7592</v>
      </c>
      <c r="F4724" s="1613">
        <v>32727273</v>
      </c>
      <c r="G4724" s="1613">
        <v>222993542386</v>
      </c>
    </row>
    <row r="4725" spans="1:7" ht="17.25" customHeight="1" x14ac:dyDescent="0.2">
      <c r="A4725" s="1611">
        <v>17</v>
      </c>
      <c r="B4725" s="1611" t="s">
        <v>2836</v>
      </c>
      <c r="C4725" s="1611" t="s">
        <v>3464</v>
      </c>
      <c r="D4725" s="1612" t="s">
        <v>7555</v>
      </c>
      <c r="E4725" s="1706" t="s">
        <v>7592</v>
      </c>
      <c r="F4725" s="1613">
        <v>32727273</v>
      </c>
      <c r="G4725" s="1613">
        <v>223026269659</v>
      </c>
    </row>
    <row r="4726" spans="1:7" ht="17.25" customHeight="1" x14ac:dyDescent="0.2">
      <c r="A4726" s="1611">
        <v>17</v>
      </c>
      <c r="B4726" s="1611" t="s">
        <v>2836</v>
      </c>
      <c r="C4726" s="1611" t="s">
        <v>4538</v>
      </c>
      <c r="D4726" s="1612" t="s">
        <v>7555</v>
      </c>
      <c r="E4726" s="1706" t="s">
        <v>7592</v>
      </c>
      <c r="F4726" s="1613">
        <v>30500000</v>
      </c>
      <c r="G4726" s="1613">
        <v>223056769659</v>
      </c>
    </row>
    <row r="4727" spans="1:7" ht="17.25" customHeight="1" x14ac:dyDescent="0.2">
      <c r="A4727" s="1611">
        <v>17</v>
      </c>
      <c r="B4727" s="1611" t="s">
        <v>2836</v>
      </c>
      <c r="C4727" s="1611" t="s">
        <v>6373</v>
      </c>
      <c r="D4727" s="1612" t="s">
        <v>7555</v>
      </c>
      <c r="E4727" s="1706" t="s">
        <v>7592</v>
      </c>
      <c r="F4727" s="1613">
        <v>30400000</v>
      </c>
      <c r="G4727" s="1613">
        <v>223087169659</v>
      </c>
    </row>
    <row r="4728" spans="1:7" ht="17.25" customHeight="1" x14ac:dyDescent="0.2">
      <c r="A4728" s="1611">
        <v>17</v>
      </c>
      <c r="B4728" s="1611" t="s">
        <v>2836</v>
      </c>
      <c r="C4728" s="1611" t="s">
        <v>6374</v>
      </c>
      <c r="D4728" s="1612" t="s">
        <v>7555</v>
      </c>
      <c r="E4728" s="1706" t="s">
        <v>7592</v>
      </c>
      <c r="F4728" s="1613">
        <v>30909091</v>
      </c>
      <c r="G4728" s="1613">
        <v>223118078750</v>
      </c>
    </row>
    <row r="4729" spans="1:7" ht="17.25" customHeight="1" x14ac:dyDescent="0.2">
      <c r="A4729" s="1611">
        <v>17</v>
      </c>
      <c r="B4729" s="1611" t="s">
        <v>2032</v>
      </c>
      <c r="C4729" s="1611" t="s">
        <v>4323</v>
      </c>
      <c r="D4729" s="1612" t="s">
        <v>7555</v>
      </c>
      <c r="E4729" s="1706" t="s">
        <v>7592</v>
      </c>
      <c r="F4729" s="1613">
        <v>36818182</v>
      </c>
      <c r="G4729" s="1613">
        <v>223154896932</v>
      </c>
    </row>
    <row r="4730" spans="1:7" ht="17.25" customHeight="1" x14ac:dyDescent="0.2">
      <c r="A4730" s="1611">
        <v>17</v>
      </c>
      <c r="B4730" s="1611" t="s">
        <v>2028</v>
      </c>
      <c r="C4730" s="1611" t="s">
        <v>6375</v>
      </c>
      <c r="D4730" s="1612" t="s">
        <v>2024</v>
      </c>
      <c r="E4730" s="1706" t="s">
        <v>7592</v>
      </c>
      <c r="F4730" s="1613">
        <v>14300000</v>
      </c>
      <c r="G4730" s="1613">
        <v>223169196932</v>
      </c>
    </row>
    <row r="4731" spans="1:7" ht="17.25" customHeight="1" x14ac:dyDescent="0.2">
      <c r="A4731" s="1611">
        <v>17</v>
      </c>
      <c r="B4731" s="1611" t="s">
        <v>2062</v>
      </c>
      <c r="C4731" s="1611" t="s">
        <v>3668</v>
      </c>
      <c r="D4731" s="1612" t="s">
        <v>2023</v>
      </c>
      <c r="E4731" s="1706" t="s">
        <v>7592</v>
      </c>
      <c r="F4731" s="1613">
        <v>175000000</v>
      </c>
      <c r="G4731" s="1613">
        <v>223344196932</v>
      </c>
    </row>
    <row r="4732" spans="1:7" ht="17.25" customHeight="1" x14ac:dyDescent="0.2">
      <c r="A4732" s="1611">
        <v>17</v>
      </c>
      <c r="B4732" s="1611" t="s">
        <v>2028</v>
      </c>
      <c r="C4732" s="1611" t="s">
        <v>6376</v>
      </c>
      <c r="D4732" s="1612" t="s">
        <v>2024</v>
      </c>
      <c r="E4732" s="1706" t="s">
        <v>7592</v>
      </c>
      <c r="F4732" s="1613">
        <v>13600000</v>
      </c>
      <c r="G4732" s="1613">
        <v>223357796932</v>
      </c>
    </row>
    <row r="4733" spans="1:7" ht="17.25" customHeight="1" x14ac:dyDescent="0.2">
      <c r="A4733" s="1611">
        <v>17</v>
      </c>
      <c r="B4733" s="1611" t="s">
        <v>2060</v>
      </c>
      <c r="C4733" s="1611" t="s">
        <v>4971</v>
      </c>
      <c r="D4733" s="1612" t="s">
        <v>2023</v>
      </c>
      <c r="E4733" s="1706" t="s">
        <v>7592</v>
      </c>
      <c r="F4733" s="1613">
        <v>165000000</v>
      </c>
      <c r="G4733" s="1613">
        <v>223522796932</v>
      </c>
    </row>
    <row r="4734" spans="1:7" ht="17.25" customHeight="1" x14ac:dyDescent="0.2">
      <c r="A4734" s="1611">
        <v>17</v>
      </c>
      <c r="B4734" s="1611" t="s">
        <v>2043</v>
      </c>
      <c r="C4734" s="1611" t="s">
        <v>6377</v>
      </c>
      <c r="D4734" s="1612" t="s">
        <v>7555</v>
      </c>
      <c r="E4734" s="1706" t="s">
        <v>7592</v>
      </c>
      <c r="F4734" s="1613">
        <v>54545454</v>
      </c>
      <c r="G4734" s="1613">
        <v>223577342386</v>
      </c>
    </row>
    <row r="4735" spans="1:7" ht="17.25" customHeight="1" x14ac:dyDescent="0.2">
      <c r="A4735" s="1611">
        <v>17</v>
      </c>
      <c r="B4735" s="1611" t="s">
        <v>2836</v>
      </c>
      <c r="C4735" s="1611" t="s">
        <v>3692</v>
      </c>
      <c r="D4735" s="1612" t="s">
        <v>7555</v>
      </c>
      <c r="E4735" s="1706" t="s">
        <v>7592</v>
      </c>
      <c r="F4735" s="1613">
        <v>33900000</v>
      </c>
      <c r="G4735" s="1613">
        <v>223611242386</v>
      </c>
    </row>
    <row r="4736" spans="1:7" ht="17.25" customHeight="1" x14ac:dyDescent="0.2">
      <c r="A4736" s="1611">
        <v>17</v>
      </c>
      <c r="B4736" s="1611" t="s">
        <v>2836</v>
      </c>
      <c r="C4736" s="1611" t="s">
        <v>3692</v>
      </c>
      <c r="D4736" s="1612" t="s">
        <v>7555</v>
      </c>
      <c r="E4736" s="1706" t="s">
        <v>7592</v>
      </c>
      <c r="F4736" s="1613">
        <v>33900000</v>
      </c>
      <c r="G4736" s="1613">
        <v>223645142386</v>
      </c>
    </row>
    <row r="4737" spans="1:7" ht="17.25" customHeight="1" x14ac:dyDescent="0.2">
      <c r="A4737" s="1611">
        <v>17</v>
      </c>
      <c r="B4737" s="1611" t="s">
        <v>2032</v>
      </c>
      <c r="C4737" s="1611" t="s">
        <v>3851</v>
      </c>
      <c r="D4737" s="1612" t="s">
        <v>7555</v>
      </c>
      <c r="E4737" s="1706" t="s">
        <v>7592</v>
      </c>
      <c r="F4737" s="1613">
        <v>129600000</v>
      </c>
      <c r="G4737" s="1613">
        <v>223774742386</v>
      </c>
    </row>
    <row r="4738" spans="1:7" ht="17.25" customHeight="1" x14ac:dyDescent="0.2">
      <c r="A4738" s="1611">
        <v>17</v>
      </c>
      <c r="B4738" s="1611" t="s">
        <v>2037</v>
      </c>
      <c r="C4738" s="1611" t="s">
        <v>4668</v>
      </c>
      <c r="D4738" s="1612" t="s">
        <v>7555</v>
      </c>
      <c r="E4738" s="1706" t="s">
        <v>7592</v>
      </c>
      <c r="F4738" s="1613">
        <v>18373000</v>
      </c>
      <c r="G4738" s="1613">
        <v>223793115386</v>
      </c>
    </row>
    <row r="4739" spans="1:7" ht="17.25" customHeight="1" x14ac:dyDescent="0.2">
      <c r="A4739" s="1611">
        <v>17</v>
      </c>
      <c r="B4739" s="1611" t="s">
        <v>2037</v>
      </c>
      <c r="C4739" s="1611" t="s">
        <v>4668</v>
      </c>
      <c r="D4739" s="1612" t="s">
        <v>7555</v>
      </c>
      <c r="E4739" s="1706" t="s">
        <v>7592</v>
      </c>
      <c r="F4739" s="1613">
        <v>18373000</v>
      </c>
      <c r="G4739" s="1613">
        <v>223811488386</v>
      </c>
    </row>
    <row r="4740" spans="1:7" ht="17.25" customHeight="1" x14ac:dyDescent="0.2">
      <c r="A4740" s="1611">
        <v>17</v>
      </c>
      <c r="B4740" s="1611" t="s">
        <v>2037</v>
      </c>
      <c r="C4740" s="1611" t="s">
        <v>5879</v>
      </c>
      <c r="D4740" s="1612" t="s">
        <v>7555</v>
      </c>
      <c r="E4740" s="1706" t="s">
        <v>7592</v>
      </c>
      <c r="F4740" s="1613">
        <v>18373000</v>
      </c>
      <c r="G4740" s="1613">
        <v>223829861386</v>
      </c>
    </row>
    <row r="4741" spans="1:7" ht="17.25" customHeight="1" x14ac:dyDescent="0.2">
      <c r="A4741" s="1611">
        <v>17</v>
      </c>
      <c r="B4741" s="1611" t="s">
        <v>2836</v>
      </c>
      <c r="C4741" s="1611" t="s">
        <v>6378</v>
      </c>
      <c r="D4741" s="1612" t="s">
        <v>7555</v>
      </c>
      <c r="E4741" s="1706" t="s">
        <v>7592</v>
      </c>
      <c r="F4741" s="1613">
        <v>31000000</v>
      </c>
      <c r="G4741" s="1613">
        <v>223860861386</v>
      </c>
    </row>
    <row r="4742" spans="1:7" ht="17.25" customHeight="1" x14ac:dyDescent="0.2">
      <c r="A4742" s="1611">
        <v>17</v>
      </c>
      <c r="B4742" s="1611" t="s">
        <v>2836</v>
      </c>
      <c r="C4742" s="1611" t="s">
        <v>6379</v>
      </c>
      <c r="D4742" s="1612" t="s">
        <v>7555</v>
      </c>
      <c r="E4742" s="1706" t="s">
        <v>7592</v>
      </c>
      <c r="F4742" s="1613">
        <v>32000000</v>
      </c>
      <c r="G4742" s="1613">
        <v>223892861386</v>
      </c>
    </row>
    <row r="4743" spans="1:7" ht="17.25" customHeight="1" x14ac:dyDescent="0.2">
      <c r="A4743" s="1611">
        <v>17</v>
      </c>
      <c r="B4743" s="1611" t="s">
        <v>2836</v>
      </c>
      <c r="C4743" s="1611" t="s">
        <v>3466</v>
      </c>
      <c r="D4743" s="1612" t="s">
        <v>7555</v>
      </c>
      <c r="E4743" s="1706" t="s">
        <v>7592</v>
      </c>
      <c r="F4743" s="1613">
        <v>31000000</v>
      </c>
      <c r="G4743" s="1613">
        <v>223923861386</v>
      </c>
    </row>
    <row r="4744" spans="1:7" ht="17.25" customHeight="1" x14ac:dyDescent="0.2">
      <c r="A4744" s="1611">
        <v>17</v>
      </c>
      <c r="B4744" s="1611" t="s">
        <v>2037</v>
      </c>
      <c r="C4744" s="1611" t="s">
        <v>6380</v>
      </c>
      <c r="D4744" s="1612" t="s">
        <v>7555</v>
      </c>
      <c r="E4744" s="1706" t="s">
        <v>7592</v>
      </c>
      <c r="F4744" s="1613">
        <v>37000000</v>
      </c>
      <c r="G4744" s="1613">
        <v>223960861386</v>
      </c>
    </row>
    <row r="4745" spans="1:7" ht="17.25" customHeight="1" x14ac:dyDescent="0.2">
      <c r="A4745" s="1611">
        <v>17</v>
      </c>
      <c r="B4745" s="1611" t="s">
        <v>2037</v>
      </c>
      <c r="C4745" s="1611" t="s">
        <v>6381</v>
      </c>
      <c r="D4745" s="1612" t="s">
        <v>7555</v>
      </c>
      <c r="E4745" s="1706" t="s">
        <v>7592</v>
      </c>
      <c r="F4745" s="1613">
        <v>18373000</v>
      </c>
      <c r="G4745" s="1613">
        <v>223979234386</v>
      </c>
    </row>
    <row r="4746" spans="1:7" ht="17.25" customHeight="1" x14ac:dyDescent="0.2">
      <c r="A4746" s="1611">
        <v>17</v>
      </c>
      <c r="B4746" s="1611" t="s">
        <v>2039</v>
      </c>
      <c r="C4746" s="1611" t="s">
        <v>6382</v>
      </c>
      <c r="D4746" s="1612" t="s">
        <v>7555</v>
      </c>
      <c r="E4746" s="1706" t="s">
        <v>7592</v>
      </c>
      <c r="F4746" s="1613">
        <v>41500000</v>
      </c>
      <c r="G4746" s="1613">
        <v>224020734386</v>
      </c>
    </row>
    <row r="4747" spans="1:7" ht="17.25" customHeight="1" x14ac:dyDescent="0.2">
      <c r="A4747" s="1611">
        <v>17</v>
      </c>
      <c r="B4747" s="1611" t="s">
        <v>2054</v>
      </c>
      <c r="C4747" s="1611" t="s">
        <v>4498</v>
      </c>
      <c r="D4747" s="1612" t="s">
        <v>2024</v>
      </c>
      <c r="E4747" s="1706" t="s">
        <v>7592</v>
      </c>
      <c r="F4747" s="1613">
        <v>13230000</v>
      </c>
      <c r="G4747" s="1613">
        <v>224033964386</v>
      </c>
    </row>
    <row r="4748" spans="1:7" ht="17.25" customHeight="1" x14ac:dyDescent="0.2">
      <c r="A4748" s="1611">
        <v>17</v>
      </c>
      <c r="B4748" s="1611" t="s">
        <v>2062</v>
      </c>
      <c r="C4748" s="1611" t="s">
        <v>6383</v>
      </c>
      <c r="D4748" s="1612" t="s">
        <v>2023</v>
      </c>
      <c r="E4748" s="1706" t="s">
        <v>7592</v>
      </c>
      <c r="F4748" s="1613">
        <v>175000000</v>
      </c>
      <c r="G4748" s="1613">
        <v>224208964386</v>
      </c>
    </row>
    <row r="4749" spans="1:7" ht="17.25" customHeight="1" x14ac:dyDescent="0.2">
      <c r="A4749" s="1611">
        <v>17</v>
      </c>
      <c r="B4749" s="1611" t="s">
        <v>2062</v>
      </c>
      <c r="C4749" s="1611" t="s">
        <v>6384</v>
      </c>
      <c r="D4749" s="1612" t="s">
        <v>2023</v>
      </c>
      <c r="E4749" s="1706" t="s">
        <v>7592</v>
      </c>
      <c r="F4749" s="1613">
        <v>172500000</v>
      </c>
      <c r="G4749" s="1613">
        <v>224381464386</v>
      </c>
    </row>
    <row r="4750" spans="1:7" ht="17.25" customHeight="1" x14ac:dyDescent="0.2">
      <c r="A4750" s="1611">
        <v>17</v>
      </c>
      <c r="B4750" s="1611" t="s">
        <v>2037</v>
      </c>
      <c r="C4750" s="1611" t="s">
        <v>6385</v>
      </c>
      <c r="D4750" s="1612" t="s">
        <v>7555</v>
      </c>
      <c r="E4750" s="1706" t="s">
        <v>7592</v>
      </c>
      <c r="F4750" s="1613">
        <v>35000000</v>
      </c>
      <c r="G4750" s="1613">
        <v>224416464386</v>
      </c>
    </row>
    <row r="4751" spans="1:7" ht="17.25" customHeight="1" x14ac:dyDescent="0.2">
      <c r="A4751" s="1611">
        <v>17</v>
      </c>
      <c r="B4751" s="1611" t="s">
        <v>2041</v>
      </c>
      <c r="C4751" s="1611" t="s">
        <v>5645</v>
      </c>
      <c r="D4751" s="1612" t="s">
        <v>7555</v>
      </c>
      <c r="E4751" s="1706" t="s">
        <v>7592</v>
      </c>
      <c r="F4751" s="1613">
        <v>48300000</v>
      </c>
      <c r="G4751" s="1613">
        <v>224464764386</v>
      </c>
    </row>
    <row r="4752" spans="1:7" ht="17.25" customHeight="1" x14ac:dyDescent="0.2">
      <c r="A4752" s="1611">
        <v>17</v>
      </c>
      <c r="B4752" s="1611" t="s">
        <v>2838</v>
      </c>
      <c r="C4752" s="1611" t="s">
        <v>6386</v>
      </c>
      <c r="D4752" s="1612" t="s">
        <v>2024</v>
      </c>
      <c r="E4752" s="1706" t="s">
        <v>7592</v>
      </c>
      <c r="F4752" s="1613">
        <v>24500000</v>
      </c>
      <c r="G4752" s="1613">
        <v>224489264386</v>
      </c>
    </row>
    <row r="4753" spans="1:7" ht="17.25" customHeight="1" x14ac:dyDescent="0.2">
      <c r="A4753" s="1611">
        <v>17</v>
      </c>
      <c r="B4753" s="1611" t="s">
        <v>2062</v>
      </c>
      <c r="C4753" s="1611" t="s">
        <v>6075</v>
      </c>
      <c r="D4753" s="1612" t="s">
        <v>2023</v>
      </c>
      <c r="E4753" s="1706" t="s">
        <v>7592</v>
      </c>
      <c r="F4753" s="1613">
        <v>175000000</v>
      </c>
      <c r="G4753" s="1613">
        <v>224664264386</v>
      </c>
    </row>
    <row r="4754" spans="1:7" ht="17.25" customHeight="1" x14ac:dyDescent="0.2">
      <c r="A4754" s="1611">
        <v>17</v>
      </c>
      <c r="B4754" s="1611" t="s">
        <v>2041</v>
      </c>
      <c r="C4754" s="1611" t="s">
        <v>6387</v>
      </c>
      <c r="D4754" s="1612" t="s">
        <v>7555</v>
      </c>
      <c r="E4754" s="1706" t="s">
        <v>7592</v>
      </c>
      <c r="F4754" s="1613">
        <v>52000000</v>
      </c>
      <c r="G4754" s="1613">
        <v>224716264386</v>
      </c>
    </row>
    <row r="4755" spans="1:7" ht="17.25" customHeight="1" x14ac:dyDescent="0.2">
      <c r="A4755" s="1611">
        <v>17</v>
      </c>
      <c r="B4755" s="1611" t="s">
        <v>2048</v>
      </c>
      <c r="C4755" s="1611" t="s">
        <v>6388</v>
      </c>
      <c r="D4755" s="1612" t="s">
        <v>7555</v>
      </c>
      <c r="E4755" s="1706" t="s">
        <v>7592</v>
      </c>
      <c r="F4755" s="1613">
        <v>46370000</v>
      </c>
      <c r="G4755" s="1613">
        <v>224762634386</v>
      </c>
    </row>
    <row r="4756" spans="1:7" ht="17.25" customHeight="1" x14ac:dyDescent="0.2">
      <c r="A4756" s="1611">
        <v>17</v>
      </c>
      <c r="B4756" s="1611" t="s">
        <v>2836</v>
      </c>
      <c r="C4756" s="1611" t="s">
        <v>6389</v>
      </c>
      <c r="D4756" s="1612" t="s">
        <v>7555</v>
      </c>
      <c r="E4756" s="1706" t="s">
        <v>7592</v>
      </c>
      <c r="F4756" s="1613">
        <v>30454546</v>
      </c>
      <c r="G4756" s="1613">
        <v>224793088932</v>
      </c>
    </row>
    <row r="4757" spans="1:7" ht="17.25" customHeight="1" x14ac:dyDescent="0.2">
      <c r="A4757" s="1611">
        <v>17</v>
      </c>
      <c r="B4757" s="1611" t="s">
        <v>2028</v>
      </c>
      <c r="C4757" s="1611" t="s">
        <v>6390</v>
      </c>
      <c r="D4757" s="1612" t="s">
        <v>2024</v>
      </c>
      <c r="E4757" s="1706" t="s">
        <v>7592</v>
      </c>
      <c r="F4757" s="1613">
        <v>14000000</v>
      </c>
      <c r="G4757" s="1613">
        <v>224807088932</v>
      </c>
    </row>
    <row r="4758" spans="1:7" ht="17.25" customHeight="1" x14ac:dyDescent="0.2">
      <c r="A4758" s="1611">
        <v>17</v>
      </c>
      <c r="B4758" s="1611" t="s">
        <v>2035</v>
      </c>
      <c r="C4758" s="1611" t="s">
        <v>6391</v>
      </c>
      <c r="D4758" s="1612" t="s">
        <v>7555</v>
      </c>
      <c r="E4758" s="1706" t="s">
        <v>7592</v>
      </c>
      <c r="F4758" s="1613">
        <v>49090909</v>
      </c>
      <c r="G4758" s="1613">
        <v>224856179841</v>
      </c>
    </row>
    <row r="4759" spans="1:7" ht="17.25" customHeight="1" x14ac:dyDescent="0.2">
      <c r="A4759" s="1611">
        <v>17</v>
      </c>
      <c r="B4759" s="1611" t="s">
        <v>2037</v>
      </c>
      <c r="C4759" s="1611" t="s">
        <v>6392</v>
      </c>
      <c r="D4759" s="1612" t="s">
        <v>7555</v>
      </c>
      <c r="E4759" s="1706" t="s">
        <v>7592</v>
      </c>
      <c r="F4759" s="1613">
        <v>37272727</v>
      </c>
      <c r="G4759" s="1613">
        <v>224893452568</v>
      </c>
    </row>
    <row r="4760" spans="1:7" ht="17.25" customHeight="1" x14ac:dyDescent="0.2">
      <c r="A4760" s="1611">
        <v>17</v>
      </c>
      <c r="B4760" s="1611" t="s">
        <v>2035</v>
      </c>
      <c r="C4760" s="1611" t="s">
        <v>4137</v>
      </c>
      <c r="D4760" s="1612" t="s">
        <v>7555</v>
      </c>
      <c r="E4760" s="1706" t="s">
        <v>7592</v>
      </c>
      <c r="F4760" s="1613">
        <v>47800000</v>
      </c>
      <c r="G4760" s="1613">
        <v>224941252568</v>
      </c>
    </row>
    <row r="4761" spans="1:7" ht="17.25" customHeight="1" x14ac:dyDescent="0.2">
      <c r="A4761" s="1611">
        <v>17</v>
      </c>
      <c r="B4761" s="1611" t="s">
        <v>2048</v>
      </c>
      <c r="C4761" s="1611" t="s">
        <v>6393</v>
      </c>
      <c r="D4761" s="1612" t="s">
        <v>7555</v>
      </c>
      <c r="E4761" s="1706" t="s">
        <v>7592</v>
      </c>
      <c r="F4761" s="1613">
        <v>44818182</v>
      </c>
      <c r="G4761" s="1613">
        <v>224986070750</v>
      </c>
    </row>
    <row r="4762" spans="1:7" ht="17.25" customHeight="1" x14ac:dyDescent="0.2">
      <c r="A4762" s="1611">
        <v>17</v>
      </c>
      <c r="B4762" s="1611" t="s">
        <v>2062</v>
      </c>
      <c r="C4762" s="1611" t="s">
        <v>6394</v>
      </c>
      <c r="D4762" s="1612" t="s">
        <v>2023</v>
      </c>
      <c r="E4762" s="1706" t="s">
        <v>7592</v>
      </c>
      <c r="F4762" s="1613">
        <v>175000000</v>
      </c>
      <c r="G4762" s="1613">
        <v>225161070750</v>
      </c>
    </row>
    <row r="4763" spans="1:7" ht="17.25" customHeight="1" x14ac:dyDescent="0.2">
      <c r="A4763" s="1611">
        <v>17</v>
      </c>
      <c r="B4763" s="1611" t="s">
        <v>2032</v>
      </c>
      <c r="C4763" s="1611" t="s">
        <v>6395</v>
      </c>
      <c r="D4763" s="1612" t="s">
        <v>7555</v>
      </c>
      <c r="E4763" s="1706" t="s">
        <v>7592</v>
      </c>
      <c r="F4763" s="1613">
        <v>35909091</v>
      </c>
      <c r="G4763" s="1613">
        <v>225196979841</v>
      </c>
    </row>
    <row r="4764" spans="1:7" ht="17.25" customHeight="1" x14ac:dyDescent="0.2">
      <c r="A4764" s="1611">
        <v>17</v>
      </c>
      <c r="B4764" s="1611" t="s">
        <v>2063</v>
      </c>
      <c r="C4764" s="1611" t="s">
        <v>6396</v>
      </c>
      <c r="D4764" s="1612" t="s">
        <v>2023</v>
      </c>
      <c r="E4764" s="1706" t="s">
        <v>7592</v>
      </c>
      <c r="F4764" s="1613">
        <v>159000000</v>
      </c>
      <c r="G4764" s="1613">
        <v>225355979841</v>
      </c>
    </row>
    <row r="4765" spans="1:7" ht="17.25" customHeight="1" x14ac:dyDescent="0.2">
      <c r="A4765" s="1611">
        <v>17</v>
      </c>
      <c r="B4765" s="1611" t="s">
        <v>7203</v>
      </c>
      <c r="C4765" s="1611" t="s">
        <v>6397</v>
      </c>
      <c r="D4765" s="1612">
        <v>0</v>
      </c>
      <c r="E4765" s="1612" t="s">
        <v>7565</v>
      </c>
      <c r="F4765" s="1613">
        <v>17084140</v>
      </c>
      <c r="G4765" s="1613">
        <v>225373063981</v>
      </c>
    </row>
    <row r="4766" spans="1:7" ht="17.25" customHeight="1" x14ac:dyDescent="0.2">
      <c r="A4766" s="1611">
        <v>17</v>
      </c>
      <c r="B4766" s="1611" t="s">
        <v>7154</v>
      </c>
      <c r="C4766" s="1611" t="s">
        <v>6289</v>
      </c>
      <c r="D4766" s="1612">
        <v>0</v>
      </c>
      <c r="E4766" s="1612" t="s">
        <v>3299</v>
      </c>
      <c r="F4766" s="1613">
        <v>46378349</v>
      </c>
      <c r="G4766" s="1614"/>
    </row>
    <row r="4767" spans="1:7" ht="17.25" customHeight="1" x14ac:dyDescent="0.2">
      <c r="A4767" s="1611">
        <v>17</v>
      </c>
      <c r="B4767" s="1611" t="s">
        <v>7186</v>
      </c>
      <c r="C4767" s="1611" t="s">
        <v>6289</v>
      </c>
      <c r="D4767" s="1612">
        <v>0</v>
      </c>
      <c r="E4767" s="1612" t="s">
        <v>3299</v>
      </c>
      <c r="F4767" s="1613">
        <v>50278285</v>
      </c>
      <c r="G4767" s="1613">
        <v>225469720615</v>
      </c>
    </row>
    <row r="4768" spans="1:7" ht="17.25" customHeight="1" x14ac:dyDescent="0.2">
      <c r="A4768" s="1611">
        <v>17</v>
      </c>
      <c r="B4768" s="1611" t="s">
        <v>2063</v>
      </c>
      <c r="C4768" s="1611" t="s">
        <v>5694</v>
      </c>
      <c r="D4768" s="1612" t="s">
        <v>2023</v>
      </c>
      <c r="E4768" s="1706" t="s">
        <v>7592</v>
      </c>
      <c r="F4768" s="1613">
        <v>155000000</v>
      </c>
      <c r="G4768" s="1613">
        <v>225624720615</v>
      </c>
    </row>
    <row r="4769" spans="1:7" ht="17.25" customHeight="1" x14ac:dyDescent="0.2">
      <c r="A4769" s="1611">
        <v>17</v>
      </c>
      <c r="B4769" s="1611" t="s">
        <v>2060</v>
      </c>
      <c r="C4769" s="1611" t="s">
        <v>6398</v>
      </c>
      <c r="D4769" s="1612" t="s">
        <v>2023</v>
      </c>
      <c r="E4769" s="1706" t="s">
        <v>7592</v>
      </c>
      <c r="F4769" s="1613">
        <v>166500000</v>
      </c>
      <c r="G4769" s="1613">
        <v>225791220615</v>
      </c>
    </row>
    <row r="4770" spans="1:7" ht="17.25" customHeight="1" x14ac:dyDescent="0.2">
      <c r="A4770" s="1611">
        <v>17</v>
      </c>
      <c r="B4770" s="1611" t="s">
        <v>2041</v>
      </c>
      <c r="C4770" s="1611" t="s">
        <v>6399</v>
      </c>
      <c r="D4770" s="1612" t="s">
        <v>7555</v>
      </c>
      <c r="E4770" s="1706" t="s">
        <v>7592</v>
      </c>
      <c r="F4770" s="1613">
        <v>52000000</v>
      </c>
      <c r="G4770" s="1613">
        <v>225843220615</v>
      </c>
    </row>
    <row r="4771" spans="1:7" ht="17.25" customHeight="1" x14ac:dyDescent="0.2">
      <c r="A4771" s="1611">
        <v>17</v>
      </c>
      <c r="B4771" s="1611" t="s">
        <v>2041</v>
      </c>
      <c r="C4771" s="1611" t="s">
        <v>6400</v>
      </c>
      <c r="D4771" s="1612" t="s">
        <v>7555</v>
      </c>
      <c r="E4771" s="1706" t="s">
        <v>7592</v>
      </c>
      <c r="F4771" s="1613">
        <v>52000000</v>
      </c>
      <c r="G4771" s="1613">
        <v>225895220615</v>
      </c>
    </row>
    <row r="4772" spans="1:7" ht="17.25" customHeight="1" x14ac:dyDescent="0.2">
      <c r="A4772" s="1611">
        <v>17</v>
      </c>
      <c r="B4772" s="1611" t="s">
        <v>2041</v>
      </c>
      <c r="C4772" s="1611" t="s">
        <v>6401</v>
      </c>
      <c r="D4772" s="1612" t="s">
        <v>7555</v>
      </c>
      <c r="E4772" s="1706" t="s">
        <v>7592</v>
      </c>
      <c r="F4772" s="1613">
        <v>52000000</v>
      </c>
      <c r="G4772" s="1613">
        <v>225947220615</v>
      </c>
    </row>
    <row r="4773" spans="1:7" ht="17.25" customHeight="1" x14ac:dyDescent="0.2">
      <c r="A4773" s="1611">
        <v>17</v>
      </c>
      <c r="B4773" s="1611" t="s">
        <v>2061</v>
      </c>
      <c r="C4773" s="1611" t="s">
        <v>6402</v>
      </c>
      <c r="D4773" s="1612" t="s">
        <v>2023</v>
      </c>
      <c r="E4773" s="1706" t="s">
        <v>7592</v>
      </c>
      <c r="F4773" s="1613">
        <v>147300000</v>
      </c>
      <c r="G4773" s="1613">
        <v>226094520615</v>
      </c>
    </row>
    <row r="4774" spans="1:7" ht="17.25" customHeight="1" x14ac:dyDescent="0.2">
      <c r="A4774" s="1611">
        <v>17</v>
      </c>
      <c r="B4774" s="1611" t="s">
        <v>2041</v>
      </c>
      <c r="C4774" s="1611" t="s">
        <v>3971</v>
      </c>
      <c r="D4774" s="1612" t="s">
        <v>7555</v>
      </c>
      <c r="E4774" s="1706" t="s">
        <v>7592</v>
      </c>
      <c r="F4774" s="1613">
        <v>51000000</v>
      </c>
      <c r="G4774" s="1613">
        <v>226145520615</v>
      </c>
    </row>
    <row r="4775" spans="1:7" ht="17.25" customHeight="1" x14ac:dyDescent="0.2">
      <c r="A4775" s="1611">
        <v>17</v>
      </c>
      <c r="B4775" s="1611" t="s">
        <v>2063</v>
      </c>
      <c r="C4775" s="1611" t="s">
        <v>6403</v>
      </c>
      <c r="D4775" s="1612" t="s">
        <v>2023</v>
      </c>
      <c r="E4775" s="1706" t="s">
        <v>7592</v>
      </c>
      <c r="F4775" s="1613">
        <v>159000000</v>
      </c>
      <c r="G4775" s="1613">
        <v>226304520615</v>
      </c>
    </row>
    <row r="4776" spans="1:7" ht="17.25" customHeight="1" x14ac:dyDescent="0.2">
      <c r="A4776" s="1611">
        <v>17</v>
      </c>
      <c r="B4776" s="1611" t="s">
        <v>2039</v>
      </c>
      <c r="C4776" s="1611" t="s">
        <v>5944</v>
      </c>
      <c r="D4776" s="1612" t="s">
        <v>7555</v>
      </c>
      <c r="E4776" s="1706" t="s">
        <v>7592</v>
      </c>
      <c r="F4776" s="1613">
        <v>38800000</v>
      </c>
      <c r="G4776" s="1613">
        <v>226343320615</v>
      </c>
    </row>
    <row r="4777" spans="1:7" ht="17.25" customHeight="1" x14ac:dyDescent="0.2">
      <c r="A4777" s="1611">
        <v>17</v>
      </c>
      <c r="B4777" s="1611" t="s">
        <v>2039</v>
      </c>
      <c r="C4777" s="1611" t="s">
        <v>6404</v>
      </c>
      <c r="D4777" s="1612" t="s">
        <v>7555</v>
      </c>
      <c r="E4777" s="1706" t="s">
        <v>7592</v>
      </c>
      <c r="F4777" s="1613">
        <v>39500000</v>
      </c>
      <c r="G4777" s="1613">
        <v>226382820615</v>
      </c>
    </row>
    <row r="4778" spans="1:7" ht="17.25" customHeight="1" x14ac:dyDescent="0.2">
      <c r="A4778" s="1611">
        <v>17</v>
      </c>
      <c r="B4778" s="1611" t="s">
        <v>2039</v>
      </c>
      <c r="C4778" s="1611" t="s">
        <v>6405</v>
      </c>
      <c r="D4778" s="1612" t="s">
        <v>7555</v>
      </c>
      <c r="E4778" s="1706" t="s">
        <v>7592</v>
      </c>
      <c r="F4778" s="1613">
        <v>21170000</v>
      </c>
      <c r="G4778" s="1613">
        <v>226403990615</v>
      </c>
    </row>
    <row r="4779" spans="1:7" ht="17.25" customHeight="1" x14ac:dyDescent="0.2">
      <c r="A4779" s="1611">
        <v>17</v>
      </c>
      <c r="B4779" s="1611" t="s">
        <v>2041</v>
      </c>
      <c r="C4779" s="1611" t="s">
        <v>5464</v>
      </c>
      <c r="D4779" s="1612" t="s">
        <v>7555</v>
      </c>
      <c r="E4779" s="1706" t="s">
        <v>7592</v>
      </c>
      <c r="F4779" s="1613">
        <v>51818182</v>
      </c>
      <c r="G4779" s="1613">
        <v>226455808797</v>
      </c>
    </row>
    <row r="4780" spans="1:7" ht="17.25" customHeight="1" x14ac:dyDescent="0.2">
      <c r="A4780" s="1611">
        <v>17</v>
      </c>
      <c r="B4780" s="1611" t="s">
        <v>2039</v>
      </c>
      <c r="C4780" s="1611" t="s">
        <v>6406</v>
      </c>
      <c r="D4780" s="1612" t="s">
        <v>7555</v>
      </c>
      <c r="E4780" s="1706" t="s">
        <v>7592</v>
      </c>
      <c r="F4780" s="1613">
        <v>41818182</v>
      </c>
      <c r="G4780" s="1613">
        <v>226497626979</v>
      </c>
    </row>
    <row r="4781" spans="1:7" ht="17.25" customHeight="1" x14ac:dyDescent="0.2">
      <c r="A4781" s="1611">
        <v>17</v>
      </c>
      <c r="B4781" s="1611" t="s">
        <v>2039</v>
      </c>
      <c r="C4781" s="1611" t="s">
        <v>6406</v>
      </c>
      <c r="D4781" s="1612" t="s">
        <v>7555</v>
      </c>
      <c r="E4781" s="1706" t="s">
        <v>7592</v>
      </c>
      <c r="F4781" s="1613">
        <v>41818182</v>
      </c>
      <c r="G4781" s="1613">
        <v>226539445161</v>
      </c>
    </row>
    <row r="4782" spans="1:7" ht="17.25" customHeight="1" x14ac:dyDescent="0.2">
      <c r="A4782" s="1611">
        <v>17</v>
      </c>
      <c r="B4782" s="1611" t="s">
        <v>2037</v>
      </c>
      <c r="C4782" s="1611" t="s">
        <v>3943</v>
      </c>
      <c r="D4782" s="1612" t="s">
        <v>7555</v>
      </c>
      <c r="E4782" s="1706" t="s">
        <v>7592</v>
      </c>
      <c r="F4782" s="1613">
        <v>38500000</v>
      </c>
      <c r="G4782" s="1613">
        <v>226577945161</v>
      </c>
    </row>
    <row r="4783" spans="1:7" ht="17.25" customHeight="1" x14ac:dyDescent="0.2">
      <c r="A4783" s="1611">
        <v>17</v>
      </c>
      <c r="B4783" s="1611" t="s">
        <v>2039</v>
      </c>
      <c r="C4783" s="1611" t="s">
        <v>6407</v>
      </c>
      <c r="D4783" s="1612" t="s">
        <v>7555</v>
      </c>
      <c r="E4783" s="1706" t="s">
        <v>7592</v>
      </c>
      <c r="F4783" s="1613">
        <v>43636364</v>
      </c>
      <c r="G4783" s="1613">
        <v>226621581525</v>
      </c>
    </row>
    <row r="4784" spans="1:7" ht="17.25" customHeight="1" x14ac:dyDescent="0.2">
      <c r="A4784" s="1611">
        <v>17</v>
      </c>
      <c r="B4784" s="1611" t="s">
        <v>2037</v>
      </c>
      <c r="C4784" s="1611" t="s">
        <v>6106</v>
      </c>
      <c r="D4784" s="1612" t="s">
        <v>7555</v>
      </c>
      <c r="E4784" s="1706" t="s">
        <v>7592</v>
      </c>
      <c r="F4784" s="1613">
        <v>38636363</v>
      </c>
      <c r="G4784" s="1613">
        <v>226660217888</v>
      </c>
    </row>
    <row r="4785" spans="1:7" ht="17.25" customHeight="1" x14ac:dyDescent="0.2">
      <c r="A4785" s="1611">
        <v>17</v>
      </c>
      <c r="B4785" s="1611" t="s">
        <v>2043</v>
      </c>
      <c r="C4785" s="1611" t="s">
        <v>6408</v>
      </c>
      <c r="D4785" s="1612" t="s">
        <v>7555</v>
      </c>
      <c r="E4785" s="1706" t="s">
        <v>7592</v>
      </c>
      <c r="F4785" s="1613">
        <v>56000000</v>
      </c>
      <c r="G4785" s="1613">
        <v>226716217888</v>
      </c>
    </row>
    <row r="4786" spans="1:7" ht="17.25" customHeight="1" x14ac:dyDescent="0.2">
      <c r="A4786" s="1611">
        <v>17</v>
      </c>
      <c r="B4786" s="1611" t="s">
        <v>2039</v>
      </c>
      <c r="C4786" s="1611" t="s">
        <v>5580</v>
      </c>
      <c r="D4786" s="1612" t="s">
        <v>7555</v>
      </c>
      <c r="E4786" s="1706" t="s">
        <v>7592</v>
      </c>
      <c r="F4786" s="1613">
        <v>43181818</v>
      </c>
      <c r="G4786" s="1613">
        <v>226759399706</v>
      </c>
    </row>
    <row r="4787" spans="1:7" ht="17.25" customHeight="1" x14ac:dyDescent="0.2">
      <c r="A4787" s="1611">
        <v>17</v>
      </c>
      <c r="B4787" s="1611" t="s">
        <v>2039</v>
      </c>
      <c r="C4787" s="1611" t="s">
        <v>4613</v>
      </c>
      <c r="D4787" s="1612" t="s">
        <v>7555</v>
      </c>
      <c r="E4787" s="1706" t="s">
        <v>7592</v>
      </c>
      <c r="F4787" s="1613">
        <v>43272727</v>
      </c>
      <c r="G4787" s="1613">
        <v>226802672433</v>
      </c>
    </row>
    <row r="4788" spans="1:7" ht="17.25" customHeight="1" x14ac:dyDescent="0.2">
      <c r="A4788" s="1611">
        <v>17</v>
      </c>
      <c r="B4788" s="1611" t="s">
        <v>2039</v>
      </c>
      <c r="C4788" s="1611" t="s">
        <v>6409</v>
      </c>
      <c r="D4788" s="1612" t="s">
        <v>7555</v>
      </c>
      <c r="E4788" s="1706" t="s">
        <v>7592</v>
      </c>
      <c r="F4788" s="1613">
        <v>39090909</v>
      </c>
      <c r="G4788" s="1613">
        <v>226841763342</v>
      </c>
    </row>
    <row r="4789" spans="1:7" ht="17.25" customHeight="1" x14ac:dyDescent="0.2">
      <c r="A4789" s="1611">
        <v>17</v>
      </c>
      <c r="B4789" s="1611" t="s">
        <v>2062</v>
      </c>
      <c r="C4789" s="1611" t="s">
        <v>6410</v>
      </c>
      <c r="D4789" s="1612" t="s">
        <v>2023</v>
      </c>
      <c r="E4789" s="1706" t="s">
        <v>7592</v>
      </c>
      <c r="F4789" s="1613">
        <v>175500000</v>
      </c>
      <c r="G4789" s="1613">
        <v>227017263342</v>
      </c>
    </row>
    <row r="4790" spans="1:7" ht="17.25" customHeight="1" x14ac:dyDescent="0.2">
      <c r="A4790" s="1611">
        <v>17</v>
      </c>
      <c r="B4790" s="1611" t="s">
        <v>2039</v>
      </c>
      <c r="C4790" s="1611" t="s">
        <v>6411</v>
      </c>
      <c r="D4790" s="1612" t="s">
        <v>7555</v>
      </c>
      <c r="E4790" s="1706" t="s">
        <v>7592</v>
      </c>
      <c r="F4790" s="1613">
        <v>38500000</v>
      </c>
      <c r="G4790" s="1613">
        <v>227055763342</v>
      </c>
    </row>
    <row r="4791" spans="1:7" ht="17.25" customHeight="1" x14ac:dyDescent="0.2">
      <c r="A4791" s="1611">
        <v>17</v>
      </c>
      <c r="B4791" s="1611" t="s">
        <v>2039</v>
      </c>
      <c r="C4791" s="1611" t="s">
        <v>4777</v>
      </c>
      <c r="D4791" s="1612" t="s">
        <v>7555</v>
      </c>
      <c r="E4791" s="1706" t="s">
        <v>7592</v>
      </c>
      <c r="F4791" s="1613">
        <v>41200000</v>
      </c>
      <c r="G4791" s="1613">
        <v>227096963342</v>
      </c>
    </row>
    <row r="4792" spans="1:7" ht="17.25" customHeight="1" x14ac:dyDescent="0.2">
      <c r="A4792" s="1611">
        <v>17</v>
      </c>
      <c r="B4792" s="1611" t="s">
        <v>2062</v>
      </c>
      <c r="C4792" s="1611" t="s">
        <v>6410</v>
      </c>
      <c r="D4792" s="1612" t="s">
        <v>2023</v>
      </c>
      <c r="E4792" s="1706" t="s">
        <v>7592</v>
      </c>
      <c r="F4792" s="1613">
        <v>-175500000</v>
      </c>
      <c r="G4792" s="1613">
        <v>226921463342</v>
      </c>
    </row>
    <row r="4793" spans="1:7" ht="17.25" customHeight="1" x14ac:dyDescent="0.2">
      <c r="A4793" s="1611">
        <v>17</v>
      </c>
      <c r="B4793" s="1611" t="s">
        <v>2062</v>
      </c>
      <c r="C4793" s="1611" t="s">
        <v>6303</v>
      </c>
      <c r="D4793" s="1612" t="s">
        <v>2023</v>
      </c>
      <c r="E4793" s="1706" t="s">
        <v>7592</v>
      </c>
      <c r="F4793" s="1613">
        <v>175500000</v>
      </c>
      <c r="G4793" s="1613">
        <v>227096963342</v>
      </c>
    </row>
    <row r="4794" spans="1:7" ht="17.25" customHeight="1" x14ac:dyDescent="0.2">
      <c r="A4794" s="1611">
        <v>17</v>
      </c>
      <c r="B4794" s="1611" t="s">
        <v>2039</v>
      </c>
      <c r="C4794" s="1611" t="s">
        <v>6412</v>
      </c>
      <c r="D4794" s="1612" t="s">
        <v>7555</v>
      </c>
      <c r="E4794" s="1706" t="s">
        <v>7592</v>
      </c>
      <c r="F4794" s="1613">
        <v>37500000</v>
      </c>
      <c r="G4794" s="1613">
        <v>227134463342</v>
      </c>
    </row>
    <row r="4795" spans="1:7" ht="17.25" customHeight="1" x14ac:dyDescent="0.2">
      <c r="A4795" s="1611">
        <v>17</v>
      </c>
      <c r="B4795" s="1611" t="s">
        <v>2039</v>
      </c>
      <c r="C4795" s="1611" t="s">
        <v>3438</v>
      </c>
      <c r="D4795" s="1612" t="s">
        <v>7555</v>
      </c>
      <c r="E4795" s="1706" t="s">
        <v>7592</v>
      </c>
      <c r="F4795" s="1613">
        <v>42000000</v>
      </c>
      <c r="G4795" s="1613">
        <v>227176463342</v>
      </c>
    </row>
    <row r="4796" spans="1:7" ht="17.25" customHeight="1" x14ac:dyDescent="0.2">
      <c r="A4796" s="1611">
        <v>17</v>
      </c>
      <c r="B4796" s="1611" t="s">
        <v>2028</v>
      </c>
      <c r="C4796" s="1611" t="s">
        <v>6413</v>
      </c>
      <c r="D4796" s="1612" t="s">
        <v>2024</v>
      </c>
      <c r="E4796" s="1706" t="s">
        <v>7592</v>
      </c>
      <c r="F4796" s="1613">
        <v>14818182</v>
      </c>
      <c r="G4796" s="1613">
        <v>227191281524</v>
      </c>
    </row>
    <row r="4797" spans="1:7" ht="17.25" customHeight="1" x14ac:dyDescent="0.2">
      <c r="A4797" s="1611">
        <v>17</v>
      </c>
      <c r="B4797" s="1611" t="s">
        <v>2039</v>
      </c>
      <c r="C4797" s="1611" t="s">
        <v>6414</v>
      </c>
      <c r="D4797" s="1612" t="s">
        <v>7555</v>
      </c>
      <c r="E4797" s="1706" t="s">
        <v>7592</v>
      </c>
      <c r="F4797" s="1613">
        <v>40800000</v>
      </c>
      <c r="G4797" s="1613">
        <v>227232081524</v>
      </c>
    </row>
    <row r="4798" spans="1:7" ht="17.25" customHeight="1" x14ac:dyDescent="0.2">
      <c r="A4798" s="1611">
        <v>17</v>
      </c>
      <c r="B4798" s="1611" t="s">
        <v>2039</v>
      </c>
      <c r="C4798" s="1611" t="s">
        <v>6415</v>
      </c>
      <c r="D4798" s="1612" t="s">
        <v>7555</v>
      </c>
      <c r="E4798" s="1706" t="s">
        <v>7592</v>
      </c>
      <c r="F4798" s="1613">
        <v>40909091</v>
      </c>
      <c r="G4798" s="1613">
        <v>227272990615</v>
      </c>
    </row>
    <row r="4799" spans="1:7" ht="17.25" customHeight="1" x14ac:dyDescent="0.2">
      <c r="A4799" s="1611">
        <v>17</v>
      </c>
      <c r="B4799" s="1611" t="s">
        <v>2028</v>
      </c>
      <c r="C4799" s="1611" t="s">
        <v>6416</v>
      </c>
      <c r="D4799" s="1612" t="s">
        <v>2024</v>
      </c>
      <c r="E4799" s="1706" t="s">
        <v>7592</v>
      </c>
      <c r="F4799" s="1613">
        <v>15200000</v>
      </c>
      <c r="G4799" s="1613">
        <v>227288190615</v>
      </c>
    </row>
    <row r="4800" spans="1:7" ht="17.25" customHeight="1" x14ac:dyDescent="0.2">
      <c r="A4800" s="1611">
        <v>17</v>
      </c>
      <c r="B4800" s="1611" t="s">
        <v>2060</v>
      </c>
      <c r="C4800" s="1611" t="s">
        <v>6417</v>
      </c>
      <c r="D4800" s="1612" t="s">
        <v>2023</v>
      </c>
      <c r="E4800" s="1706" t="s">
        <v>7592</v>
      </c>
      <c r="F4800" s="1613">
        <v>165000000</v>
      </c>
      <c r="G4800" s="1613">
        <v>227453190615</v>
      </c>
    </row>
    <row r="4801" spans="1:7" ht="17.25" customHeight="1" x14ac:dyDescent="0.2">
      <c r="A4801" s="1611">
        <v>17</v>
      </c>
      <c r="B4801" s="1611" t="s">
        <v>2039</v>
      </c>
      <c r="C4801" s="1611" t="s">
        <v>6418</v>
      </c>
      <c r="D4801" s="1612" t="s">
        <v>7555</v>
      </c>
      <c r="E4801" s="1706" t="s">
        <v>7592</v>
      </c>
      <c r="F4801" s="1613">
        <v>40689363</v>
      </c>
      <c r="G4801" s="1613">
        <v>227493879978</v>
      </c>
    </row>
    <row r="4802" spans="1:7" ht="17.25" customHeight="1" x14ac:dyDescent="0.2">
      <c r="A4802" s="1611">
        <v>17</v>
      </c>
      <c r="B4802" s="1611" t="s">
        <v>2041</v>
      </c>
      <c r="C4802" s="1611" t="s">
        <v>6419</v>
      </c>
      <c r="D4802" s="1612" t="s">
        <v>7555</v>
      </c>
      <c r="E4802" s="1706" t="s">
        <v>7592</v>
      </c>
      <c r="F4802" s="1613">
        <v>50000000</v>
      </c>
      <c r="G4802" s="1613">
        <v>227543879978</v>
      </c>
    </row>
    <row r="4803" spans="1:7" ht="17.25" customHeight="1" x14ac:dyDescent="0.2">
      <c r="A4803" s="1611">
        <v>17</v>
      </c>
      <c r="B4803" s="1611" t="s">
        <v>2028</v>
      </c>
      <c r="C4803" s="1611" t="s">
        <v>6420</v>
      </c>
      <c r="D4803" s="1612" t="s">
        <v>2024</v>
      </c>
      <c r="E4803" s="1706" t="s">
        <v>7592</v>
      </c>
      <c r="F4803" s="1613">
        <v>14000000</v>
      </c>
      <c r="G4803" s="1613">
        <v>227557879978</v>
      </c>
    </row>
    <row r="4804" spans="1:7" ht="17.25" customHeight="1" x14ac:dyDescent="0.2">
      <c r="A4804" s="1611">
        <v>17</v>
      </c>
      <c r="B4804" s="1611" t="s">
        <v>2041</v>
      </c>
      <c r="C4804" s="1611" t="s">
        <v>6421</v>
      </c>
      <c r="D4804" s="1612" t="s">
        <v>7555</v>
      </c>
      <c r="E4804" s="1706" t="s">
        <v>7592</v>
      </c>
      <c r="F4804" s="1613">
        <v>52000000</v>
      </c>
      <c r="G4804" s="1613">
        <v>227609879978</v>
      </c>
    </row>
    <row r="4805" spans="1:7" ht="17.25" customHeight="1" x14ac:dyDescent="0.2">
      <c r="A4805" s="1611">
        <v>17</v>
      </c>
      <c r="B4805" s="1611" t="s">
        <v>2063</v>
      </c>
      <c r="C4805" s="1611" t="s">
        <v>6422</v>
      </c>
      <c r="D4805" s="1612" t="s">
        <v>2023</v>
      </c>
      <c r="E4805" s="1706" t="s">
        <v>7592</v>
      </c>
      <c r="F4805" s="1613">
        <v>155000000</v>
      </c>
      <c r="G4805" s="1613">
        <v>227764879978</v>
      </c>
    </row>
    <row r="4806" spans="1:7" ht="17.25" customHeight="1" x14ac:dyDescent="0.2">
      <c r="A4806" s="1611">
        <v>17</v>
      </c>
      <c r="B4806" s="1611" t="s">
        <v>2836</v>
      </c>
      <c r="C4806" s="1611" t="s">
        <v>4319</v>
      </c>
      <c r="D4806" s="1612" t="s">
        <v>7555</v>
      </c>
      <c r="E4806" s="1706" t="s">
        <v>7592</v>
      </c>
      <c r="F4806" s="1613">
        <v>31000000</v>
      </c>
      <c r="G4806" s="1613">
        <v>227795879978</v>
      </c>
    </row>
    <row r="4807" spans="1:7" ht="17.25" customHeight="1" x14ac:dyDescent="0.2">
      <c r="A4807" s="1611">
        <v>17</v>
      </c>
      <c r="B4807" s="1611" t="s">
        <v>2836</v>
      </c>
      <c r="C4807" s="1611" t="s">
        <v>6423</v>
      </c>
      <c r="D4807" s="1612" t="s">
        <v>7555</v>
      </c>
      <c r="E4807" s="1706" t="s">
        <v>7592</v>
      </c>
      <c r="F4807" s="1613">
        <v>31000000</v>
      </c>
      <c r="G4807" s="1613">
        <v>227826879978</v>
      </c>
    </row>
    <row r="4808" spans="1:7" ht="17.25" customHeight="1" x14ac:dyDescent="0.2">
      <c r="A4808" s="1611">
        <v>17</v>
      </c>
      <c r="B4808" s="1611" t="s">
        <v>2032</v>
      </c>
      <c r="C4808" s="1611" t="s">
        <v>6424</v>
      </c>
      <c r="D4808" s="1612" t="s">
        <v>7555</v>
      </c>
      <c r="E4808" s="1706" t="s">
        <v>7592</v>
      </c>
      <c r="F4808" s="1613">
        <v>18500000</v>
      </c>
      <c r="G4808" s="1613">
        <v>227845379978</v>
      </c>
    </row>
    <row r="4809" spans="1:7" ht="17.25" customHeight="1" x14ac:dyDescent="0.2">
      <c r="A4809" s="1611">
        <v>17</v>
      </c>
      <c r="B4809" s="1611" t="s">
        <v>2041</v>
      </c>
      <c r="C4809" s="1611" t="s">
        <v>6425</v>
      </c>
      <c r="D4809" s="1612" t="s">
        <v>7555</v>
      </c>
      <c r="E4809" s="1706" t="s">
        <v>7592</v>
      </c>
      <c r="F4809" s="1613">
        <v>52000000</v>
      </c>
      <c r="G4809" s="1613">
        <v>227897379978</v>
      </c>
    </row>
    <row r="4810" spans="1:7" ht="17.25" customHeight="1" x14ac:dyDescent="0.2">
      <c r="A4810" s="1611">
        <v>17</v>
      </c>
      <c r="B4810" s="1611" t="s">
        <v>2032</v>
      </c>
      <c r="C4810" s="1611" t="s">
        <v>6292</v>
      </c>
      <c r="D4810" s="1612" t="s">
        <v>7555</v>
      </c>
      <c r="E4810" s="1706" t="s">
        <v>7592</v>
      </c>
      <c r="F4810" s="1613">
        <v>18373000</v>
      </c>
      <c r="G4810" s="1613">
        <v>227915752978</v>
      </c>
    </row>
    <row r="4811" spans="1:7" ht="17.25" customHeight="1" x14ac:dyDescent="0.2">
      <c r="A4811" s="1611">
        <v>17</v>
      </c>
      <c r="B4811" s="1611" t="s">
        <v>2836</v>
      </c>
      <c r="C4811" s="1611" t="s">
        <v>4385</v>
      </c>
      <c r="D4811" s="1612" t="s">
        <v>7555</v>
      </c>
      <c r="E4811" s="1706" t="s">
        <v>7592</v>
      </c>
      <c r="F4811" s="1613">
        <v>32727273</v>
      </c>
      <c r="G4811" s="1613">
        <v>227948480251</v>
      </c>
    </row>
    <row r="4812" spans="1:7" ht="17.25" customHeight="1" x14ac:dyDescent="0.2">
      <c r="A4812" s="1611">
        <v>17</v>
      </c>
      <c r="B4812" s="1611" t="s">
        <v>2041</v>
      </c>
      <c r="C4812" s="1611" t="s">
        <v>6426</v>
      </c>
      <c r="D4812" s="1612" t="s">
        <v>7555</v>
      </c>
      <c r="E4812" s="1706" t="s">
        <v>7592</v>
      </c>
      <c r="F4812" s="1613">
        <v>49363636</v>
      </c>
      <c r="G4812" s="1613">
        <v>227997843887</v>
      </c>
    </row>
    <row r="4813" spans="1:7" ht="17.25" customHeight="1" x14ac:dyDescent="0.2">
      <c r="A4813" s="1611">
        <v>17</v>
      </c>
      <c r="B4813" s="1611" t="s">
        <v>2037</v>
      </c>
      <c r="C4813" s="1611" t="s">
        <v>6427</v>
      </c>
      <c r="D4813" s="1612" t="s">
        <v>7555</v>
      </c>
      <c r="E4813" s="1706" t="s">
        <v>7592</v>
      </c>
      <c r="F4813" s="1613">
        <v>38000000</v>
      </c>
      <c r="G4813" s="1613">
        <v>228035843887</v>
      </c>
    </row>
    <row r="4814" spans="1:7" ht="17.25" customHeight="1" x14ac:dyDescent="0.2">
      <c r="A4814" s="1611">
        <v>17</v>
      </c>
      <c r="B4814" s="1611" t="s">
        <v>2043</v>
      </c>
      <c r="C4814" s="1611" t="s">
        <v>6428</v>
      </c>
      <c r="D4814" s="1612" t="s">
        <v>7555</v>
      </c>
      <c r="E4814" s="1706" t="s">
        <v>7592</v>
      </c>
      <c r="F4814" s="1613">
        <v>56000000</v>
      </c>
      <c r="G4814" s="1613">
        <v>228091843887</v>
      </c>
    </row>
    <row r="4815" spans="1:7" ht="17.25" customHeight="1" x14ac:dyDescent="0.2">
      <c r="A4815" s="1611">
        <v>17</v>
      </c>
      <c r="B4815" s="1611" t="s">
        <v>2037</v>
      </c>
      <c r="C4815" s="1611" t="s">
        <v>4432</v>
      </c>
      <c r="D4815" s="1612" t="s">
        <v>7555</v>
      </c>
      <c r="E4815" s="1706" t="s">
        <v>7592</v>
      </c>
      <c r="F4815" s="1613">
        <v>36500000</v>
      </c>
      <c r="G4815" s="1613">
        <v>228128343887</v>
      </c>
    </row>
    <row r="4816" spans="1:7" ht="17.25" customHeight="1" x14ac:dyDescent="0.2">
      <c r="A4816" s="1611">
        <v>17</v>
      </c>
      <c r="B4816" s="1611" t="s">
        <v>2836</v>
      </c>
      <c r="C4816" s="1611" t="s">
        <v>6429</v>
      </c>
      <c r="D4816" s="1612" t="s">
        <v>7555</v>
      </c>
      <c r="E4816" s="1706" t="s">
        <v>7592</v>
      </c>
      <c r="F4816" s="1613">
        <v>31000000</v>
      </c>
      <c r="G4816" s="1613">
        <v>228159343887</v>
      </c>
    </row>
    <row r="4817" spans="1:7" ht="17.25" customHeight="1" x14ac:dyDescent="0.2">
      <c r="A4817" s="1611">
        <v>17</v>
      </c>
      <c r="B4817" s="1611" t="s">
        <v>2063</v>
      </c>
      <c r="C4817" s="1611" t="s">
        <v>6430</v>
      </c>
      <c r="D4817" s="1612" t="s">
        <v>2023</v>
      </c>
      <c r="E4817" s="1706" t="s">
        <v>7592</v>
      </c>
      <c r="F4817" s="1613">
        <v>151000000</v>
      </c>
      <c r="G4817" s="1613">
        <v>228310343887</v>
      </c>
    </row>
    <row r="4818" spans="1:7" ht="17.25" customHeight="1" x14ac:dyDescent="0.2">
      <c r="A4818" s="1611">
        <v>17</v>
      </c>
      <c r="B4818" s="1611" t="s">
        <v>2037</v>
      </c>
      <c r="C4818" s="1611" t="s">
        <v>4635</v>
      </c>
      <c r="D4818" s="1612" t="s">
        <v>7555</v>
      </c>
      <c r="E4818" s="1706" t="s">
        <v>7592</v>
      </c>
      <c r="F4818" s="1613">
        <v>38500000</v>
      </c>
      <c r="G4818" s="1613">
        <v>228348843887</v>
      </c>
    </row>
    <row r="4819" spans="1:7" ht="17.25" customHeight="1" x14ac:dyDescent="0.2">
      <c r="A4819" s="1611">
        <v>17</v>
      </c>
      <c r="B4819" s="1611" t="s">
        <v>2063</v>
      </c>
      <c r="C4819" s="1611" t="s">
        <v>6431</v>
      </c>
      <c r="D4819" s="1612" t="s">
        <v>2023</v>
      </c>
      <c r="E4819" s="1706" t="s">
        <v>7592</v>
      </c>
      <c r="F4819" s="1613">
        <v>154000000</v>
      </c>
      <c r="G4819" s="1613">
        <v>228502843887</v>
      </c>
    </row>
    <row r="4820" spans="1:7" ht="17.25" customHeight="1" x14ac:dyDescent="0.2">
      <c r="A4820" s="1611">
        <v>17</v>
      </c>
      <c r="B4820" s="1611" t="s">
        <v>2041</v>
      </c>
      <c r="C4820" s="1611" t="s">
        <v>6432</v>
      </c>
      <c r="D4820" s="1612" t="s">
        <v>7555</v>
      </c>
      <c r="E4820" s="1706" t="s">
        <v>7592</v>
      </c>
      <c r="F4820" s="1613">
        <v>50700000</v>
      </c>
      <c r="G4820" s="1613">
        <v>228553543887</v>
      </c>
    </row>
    <row r="4821" spans="1:7" ht="17.25" customHeight="1" x14ac:dyDescent="0.2">
      <c r="A4821" s="1611">
        <v>17</v>
      </c>
      <c r="B4821" s="1611" t="s">
        <v>2840</v>
      </c>
      <c r="C4821" s="1611" t="s">
        <v>6433</v>
      </c>
      <c r="D4821" s="1612" t="s">
        <v>2023</v>
      </c>
      <c r="E4821" s="1706" t="s">
        <v>7592</v>
      </c>
      <c r="F4821" s="1613">
        <v>205000000</v>
      </c>
      <c r="G4821" s="1613">
        <v>228758543887</v>
      </c>
    </row>
    <row r="4822" spans="1:7" ht="17.25" customHeight="1" x14ac:dyDescent="0.2">
      <c r="A4822" s="1611">
        <v>17</v>
      </c>
      <c r="B4822" s="1611" t="s">
        <v>2062</v>
      </c>
      <c r="C4822" s="1611" t="s">
        <v>6434</v>
      </c>
      <c r="D4822" s="1612" t="s">
        <v>2023</v>
      </c>
      <c r="E4822" s="1706" t="s">
        <v>7592</v>
      </c>
      <c r="F4822" s="1613">
        <v>176500000</v>
      </c>
      <c r="G4822" s="1613">
        <v>228935043887</v>
      </c>
    </row>
    <row r="4823" spans="1:7" ht="17.25" customHeight="1" x14ac:dyDescent="0.2">
      <c r="A4823" s="1611">
        <v>17</v>
      </c>
      <c r="B4823" s="1611" t="s">
        <v>2028</v>
      </c>
      <c r="C4823" s="1611" t="s">
        <v>5250</v>
      </c>
      <c r="D4823" s="1612" t="s">
        <v>2024</v>
      </c>
      <c r="E4823" s="1706" t="s">
        <v>7592</v>
      </c>
      <c r="F4823" s="1613">
        <v>14100000</v>
      </c>
      <c r="G4823" s="1613">
        <v>228949143887</v>
      </c>
    </row>
    <row r="4824" spans="1:7" ht="17.25" customHeight="1" x14ac:dyDescent="0.2">
      <c r="A4824" s="1611">
        <v>17</v>
      </c>
      <c r="B4824" s="1611" t="s">
        <v>2028</v>
      </c>
      <c r="C4824" s="1611" t="s">
        <v>5250</v>
      </c>
      <c r="D4824" s="1612" t="s">
        <v>2024</v>
      </c>
      <c r="E4824" s="1706" t="s">
        <v>7592</v>
      </c>
      <c r="F4824" s="1613">
        <v>14100000</v>
      </c>
      <c r="G4824" s="1613">
        <v>228963243887</v>
      </c>
    </row>
    <row r="4825" spans="1:7" ht="17.25" customHeight="1" x14ac:dyDescent="0.2">
      <c r="A4825" s="1611">
        <v>17</v>
      </c>
      <c r="B4825" s="1611" t="s">
        <v>2028</v>
      </c>
      <c r="C4825" s="1611" t="s">
        <v>5250</v>
      </c>
      <c r="D4825" s="1612" t="s">
        <v>2024</v>
      </c>
      <c r="E4825" s="1706" t="s">
        <v>7592</v>
      </c>
      <c r="F4825" s="1613">
        <v>14100000</v>
      </c>
      <c r="G4825" s="1613">
        <v>228977343887</v>
      </c>
    </row>
    <row r="4826" spans="1:7" ht="17.25" customHeight="1" x14ac:dyDescent="0.2">
      <c r="A4826" s="1611">
        <v>17</v>
      </c>
      <c r="B4826" s="1611" t="s">
        <v>2028</v>
      </c>
      <c r="C4826" s="1611" t="s">
        <v>5250</v>
      </c>
      <c r="D4826" s="1612" t="s">
        <v>2024</v>
      </c>
      <c r="E4826" s="1706" t="s">
        <v>7592</v>
      </c>
      <c r="F4826" s="1613">
        <v>14100000</v>
      </c>
      <c r="G4826" s="1613">
        <v>228991443887</v>
      </c>
    </row>
    <row r="4827" spans="1:7" ht="17.25" customHeight="1" x14ac:dyDescent="0.2">
      <c r="A4827" s="1611">
        <v>17</v>
      </c>
      <c r="B4827" s="1611" t="s">
        <v>2062</v>
      </c>
      <c r="C4827" s="1611" t="s">
        <v>6435</v>
      </c>
      <c r="D4827" s="1612" t="s">
        <v>2023</v>
      </c>
      <c r="E4827" s="1706" t="s">
        <v>7592</v>
      </c>
      <c r="F4827" s="1613">
        <v>175000000</v>
      </c>
      <c r="G4827" s="1613">
        <v>229166443887</v>
      </c>
    </row>
    <row r="4828" spans="1:7" ht="17.25" customHeight="1" x14ac:dyDescent="0.2">
      <c r="A4828" s="1611">
        <v>17</v>
      </c>
      <c r="B4828" s="1611" t="s">
        <v>2041</v>
      </c>
      <c r="C4828" s="1611" t="s">
        <v>6436</v>
      </c>
      <c r="D4828" s="1612" t="s">
        <v>7555</v>
      </c>
      <c r="E4828" s="1706" t="s">
        <v>7592</v>
      </c>
      <c r="F4828" s="1613">
        <v>50500000</v>
      </c>
      <c r="G4828" s="1613">
        <v>229216943887</v>
      </c>
    </row>
    <row r="4829" spans="1:7" ht="17.25" customHeight="1" x14ac:dyDescent="0.2">
      <c r="A4829" s="1611">
        <v>17</v>
      </c>
      <c r="B4829" s="1611" t="s">
        <v>2060</v>
      </c>
      <c r="C4829" s="1611" t="s">
        <v>6437</v>
      </c>
      <c r="D4829" s="1612" t="s">
        <v>2023</v>
      </c>
      <c r="E4829" s="1706" t="s">
        <v>7592</v>
      </c>
      <c r="F4829" s="1613">
        <v>165000000</v>
      </c>
      <c r="G4829" s="1613">
        <v>229381943887</v>
      </c>
    </row>
    <row r="4830" spans="1:7" ht="17.25" customHeight="1" x14ac:dyDescent="0.2">
      <c r="A4830" s="1611">
        <v>17</v>
      </c>
      <c r="B4830" s="1611" t="s">
        <v>2039</v>
      </c>
      <c r="C4830" s="1611" t="s">
        <v>6438</v>
      </c>
      <c r="D4830" s="1612" t="s">
        <v>7555</v>
      </c>
      <c r="E4830" s="1706" t="s">
        <v>7592</v>
      </c>
      <c r="F4830" s="1613">
        <v>45454545</v>
      </c>
      <c r="G4830" s="1613">
        <v>229427398432</v>
      </c>
    </row>
    <row r="4831" spans="1:7" ht="17.25" customHeight="1" x14ac:dyDescent="0.2">
      <c r="A4831" s="1611">
        <v>17</v>
      </c>
      <c r="B4831" s="1611" t="s">
        <v>2037</v>
      </c>
      <c r="C4831" s="1611" t="s">
        <v>6439</v>
      </c>
      <c r="D4831" s="1612" t="s">
        <v>7555</v>
      </c>
      <c r="E4831" s="1706" t="s">
        <v>7592</v>
      </c>
      <c r="F4831" s="1613">
        <v>36636363</v>
      </c>
      <c r="G4831" s="1613">
        <v>229464034795</v>
      </c>
    </row>
    <row r="4832" spans="1:7" ht="17.25" customHeight="1" x14ac:dyDescent="0.2">
      <c r="A4832" s="1611">
        <v>17</v>
      </c>
      <c r="B4832" s="1611" t="s">
        <v>2060</v>
      </c>
      <c r="C4832" s="1611" t="s">
        <v>6440</v>
      </c>
      <c r="D4832" s="1612" t="s">
        <v>2023</v>
      </c>
      <c r="E4832" s="1706" t="s">
        <v>7592</v>
      </c>
      <c r="F4832" s="1613">
        <v>166500000</v>
      </c>
      <c r="G4832" s="1613">
        <v>229630534795</v>
      </c>
    </row>
    <row r="4833" spans="1:7" ht="17.25" customHeight="1" x14ac:dyDescent="0.2">
      <c r="A4833" s="1611">
        <v>17</v>
      </c>
      <c r="B4833" s="1611" t="s">
        <v>7356</v>
      </c>
      <c r="C4833" s="1611" t="s">
        <v>6441</v>
      </c>
      <c r="D4833" s="1612">
        <v>0</v>
      </c>
      <c r="E4833" s="1706" t="s">
        <v>7582</v>
      </c>
      <c r="F4833" s="1613">
        <v>1277935</v>
      </c>
      <c r="G4833" s="1613">
        <v>229631812730</v>
      </c>
    </row>
    <row r="4834" spans="1:7" ht="17.25" customHeight="1" x14ac:dyDescent="0.2">
      <c r="A4834" s="1611">
        <v>17</v>
      </c>
      <c r="B4834" s="1611" t="s">
        <v>2041</v>
      </c>
      <c r="C4834" s="1611" t="s">
        <v>6442</v>
      </c>
      <c r="D4834" s="1612" t="s">
        <v>7555</v>
      </c>
      <c r="E4834" s="1706" t="s">
        <v>7592</v>
      </c>
      <c r="F4834" s="1613">
        <v>50000000</v>
      </c>
      <c r="G4834" s="1613">
        <v>229681812730</v>
      </c>
    </row>
    <row r="4835" spans="1:7" ht="17.25" customHeight="1" x14ac:dyDescent="0.2">
      <c r="A4835" s="1611">
        <v>17</v>
      </c>
      <c r="B4835" s="1611" t="s">
        <v>2062</v>
      </c>
      <c r="C4835" s="1611" t="s">
        <v>6443</v>
      </c>
      <c r="D4835" s="1612" t="s">
        <v>2023</v>
      </c>
      <c r="E4835" s="1706" t="s">
        <v>7592</v>
      </c>
      <c r="F4835" s="1613">
        <v>176500000</v>
      </c>
      <c r="G4835" s="1613">
        <v>229858312730</v>
      </c>
    </row>
    <row r="4836" spans="1:7" ht="17.25" customHeight="1" x14ac:dyDescent="0.2">
      <c r="A4836" s="1611">
        <v>17</v>
      </c>
      <c r="B4836" s="1611" t="s">
        <v>2028</v>
      </c>
      <c r="C4836" s="1611" t="s">
        <v>6444</v>
      </c>
      <c r="D4836" s="1612" t="s">
        <v>2024</v>
      </c>
      <c r="E4836" s="1706" t="s">
        <v>7592</v>
      </c>
      <c r="F4836" s="1613">
        <v>13900000</v>
      </c>
      <c r="G4836" s="1613">
        <v>229872212730</v>
      </c>
    </row>
    <row r="4837" spans="1:7" ht="17.25" customHeight="1" x14ac:dyDescent="0.2">
      <c r="A4837" s="1611">
        <v>17</v>
      </c>
      <c r="B4837" s="1611" t="s">
        <v>2028</v>
      </c>
      <c r="C4837" s="1611" t="s">
        <v>6445</v>
      </c>
      <c r="D4837" s="1612" t="s">
        <v>2024</v>
      </c>
      <c r="E4837" s="1706" t="s">
        <v>7592</v>
      </c>
      <c r="F4837" s="1613">
        <v>15500000</v>
      </c>
      <c r="G4837" s="1613">
        <v>229887712730</v>
      </c>
    </row>
    <row r="4838" spans="1:7" ht="17.25" customHeight="1" x14ac:dyDescent="0.2">
      <c r="A4838" s="1611">
        <v>17</v>
      </c>
      <c r="B4838" s="1611" t="s">
        <v>2037</v>
      </c>
      <c r="C4838" s="1611" t="s">
        <v>4126</v>
      </c>
      <c r="D4838" s="1612" t="s">
        <v>7555</v>
      </c>
      <c r="E4838" s="1706" t="s">
        <v>7592</v>
      </c>
      <c r="F4838" s="1613">
        <v>37909090</v>
      </c>
      <c r="G4838" s="1613">
        <v>229925621820</v>
      </c>
    </row>
    <row r="4839" spans="1:7" ht="17.25" customHeight="1" x14ac:dyDescent="0.2">
      <c r="A4839" s="1611">
        <v>17</v>
      </c>
      <c r="B4839" s="1611" t="s">
        <v>2028</v>
      </c>
      <c r="C4839" s="1611" t="s">
        <v>6446</v>
      </c>
      <c r="D4839" s="1612" t="s">
        <v>2024</v>
      </c>
      <c r="E4839" s="1706" t="s">
        <v>7592</v>
      </c>
      <c r="F4839" s="1613">
        <v>13800000</v>
      </c>
      <c r="G4839" s="1613">
        <v>229939421820</v>
      </c>
    </row>
    <row r="4840" spans="1:7" ht="17.25" customHeight="1" x14ac:dyDescent="0.2">
      <c r="A4840" s="1611">
        <v>17</v>
      </c>
      <c r="B4840" s="1611" t="s">
        <v>2039</v>
      </c>
      <c r="C4840" s="1611" t="s">
        <v>6447</v>
      </c>
      <c r="D4840" s="1612" t="s">
        <v>7555</v>
      </c>
      <c r="E4840" s="1706" t="s">
        <v>7592</v>
      </c>
      <c r="F4840" s="1613">
        <v>39000000</v>
      </c>
      <c r="G4840" s="1613">
        <v>229978421820</v>
      </c>
    </row>
    <row r="4841" spans="1:7" ht="17.25" customHeight="1" x14ac:dyDescent="0.2">
      <c r="A4841" s="1611">
        <v>17</v>
      </c>
      <c r="B4841" s="1611" t="s">
        <v>2028</v>
      </c>
      <c r="C4841" s="1611" t="s">
        <v>4436</v>
      </c>
      <c r="D4841" s="1612" t="s">
        <v>2024</v>
      </c>
      <c r="E4841" s="1706" t="s">
        <v>7592</v>
      </c>
      <c r="F4841" s="1613">
        <v>16500000</v>
      </c>
      <c r="G4841" s="1613">
        <v>229994921820</v>
      </c>
    </row>
    <row r="4842" spans="1:7" ht="17.25" customHeight="1" x14ac:dyDescent="0.2">
      <c r="A4842" s="1611">
        <v>17</v>
      </c>
      <c r="B4842" s="1611" t="s">
        <v>2063</v>
      </c>
      <c r="C4842" s="1611" t="s">
        <v>6448</v>
      </c>
      <c r="D4842" s="1612" t="s">
        <v>2023</v>
      </c>
      <c r="E4842" s="1706" t="s">
        <v>7592</v>
      </c>
      <c r="F4842" s="1613">
        <v>157000000</v>
      </c>
      <c r="G4842" s="1613">
        <v>230151921820</v>
      </c>
    </row>
    <row r="4843" spans="1:7" ht="17.25" customHeight="1" x14ac:dyDescent="0.2">
      <c r="A4843" s="1611">
        <v>17</v>
      </c>
      <c r="B4843" s="1611" t="s">
        <v>2041</v>
      </c>
      <c r="C4843" s="1611" t="s">
        <v>6449</v>
      </c>
      <c r="D4843" s="1612" t="s">
        <v>7555</v>
      </c>
      <c r="E4843" s="1706" t="s">
        <v>7592</v>
      </c>
      <c r="F4843" s="1613">
        <v>52000000</v>
      </c>
      <c r="G4843" s="1613">
        <v>230203921820</v>
      </c>
    </row>
    <row r="4844" spans="1:7" ht="17.25" customHeight="1" x14ac:dyDescent="0.2">
      <c r="A4844" s="1611">
        <v>17</v>
      </c>
      <c r="B4844" s="1611" t="s">
        <v>2041</v>
      </c>
      <c r="C4844" s="1611" t="s">
        <v>6450</v>
      </c>
      <c r="D4844" s="1612" t="s">
        <v>7555</v>
      </c>
      <c r="E4844" s="1706" t="s">
        <v>7592</v>
      </c>
      <c r="F4844" s="1613">
        <v>51363636</v>
      </c>
      <c r="G4844" s="1613">
        <v>230255285456</v>
      </c>
    </row>
    <row r="4845" spans="1:7" ht="17.25" customHeight="1" x14ac:dyDescent="0.2">
      <c r="A4845" s="1611">
        <v>17</v>
      </c>
      <c r="B4845" s="1611" t="s">
        <v>7357</v>
      </c>
      <c r="C4845" s="1611" t="s">
        <v>4102</v>
      </c>
      <c r="D4845" s="1612">
        <v>0</v>
      </c>
      <c r="E4845" s="1706" t="s">
        <v>7592</v>
      </c>
      <c r="F4845" s="1613">
        <v>92272727</v>
      </c>
      <c r="G4845" s="1613">
        <v>230347558183</v>
      </c>
    </row>
    <row r="4846" spans="1:7" ht="17.25" customHeight="1" x14ac:dyDescent="0.2">
      <c r="A4846" s="1611">
        <v>17</v>
      </c>
      <c r="B4846" s="1611" t="s">
        <v>2034</v>
      </c>
      <c r="C4846" s="1611" t="s">
        <v>4102</v>
      </c>
      <c r="D4846" s="1612" t="s">
        <v>7555</v>
      </c>
      <c r="E4846" s="1706" t="s">
        <v>7592</v>
      </c>
      <c r="F4846" s="1613">
        <v>45400000</v>
      </c>
      <c r="G4846" s="1613">
        <v>230392958183</v>
      </c>
    </row>
    <row r="4847" spans="1:7" ht="17.25" customHeight="1" x14ac:dyDescent="0.2">
      <c r="A4847" s="1611">
        <v>17</v>
      </c>
      <c r="B4847" s="1611" t="s">
        <v>2060</v>
      </c>
      <c r="C4847" s="1611" t="s">
        <v>6451</v>
      </c>
      <c r="D4847" s="1612" t="s">
        <v>2023</v>
      </c>
      <c r="E4847" s="1706" t="s">
        <v>7592</v>
      </c>
      <c r="F4847" s="1613">
        <v>164800000</v>
      </c>
      <c r="G4847" s="1613">
        <v>230557758183</v>
      </c>
    </row>
    <row r="4848" spans="1:7" ht="17.25" customHeight="1" x14ac:dyDescent="0.2">
      <c r="A4848" s="1611">
        <v>17</v>
      </c>
      <c r="B4848" s="1611" t="s">
        <v>2037</v>
      </c>
      <c r="C4848" s="1611" t="s">
        <v>6452</v>
      </c>
      <c r="D4848" s="1612" t="s">
        <v>7555</v>
      </c>
      <c r="E4848" s="1706" t="s">
        <v>7592</v>
      </c>
      <c r="F4848" s="1613">
        <v>37272727</v>
      </c>
      <c r="G4848" s="1613">
        <v>230595030910</v>
      </c>
    </row>
    <row r="4849" spans="1:7" ht="17.25" customHeight="1" x14ac:dyDescent="0.2">
      <c r="A4849" s="1611">
        <v>17</v>
      </c>
      <c r="B4849" s="1611" t="s">
        <v>2043</v>
      </c>
      <c r="C4849" s="1611" t="s">
        <v>6453</v>
      </c>
      <c r="D4849" s="1612" t="s">
        <v>7555</v>
      </c>
      <c r="E4849" s="1706" t="s">
        <v>7592</v>
      </c>
      <c r="F4849" s="1613">
        <v>56000000</v>
      </c>
      <c r="G4849" s="1613">
        <v>230651030910</v>
      </c>
    </row>
    <row r="4850" spans="1:7" ht="17.25" customHeight="1" x14ac:dyDescent="0.2">
      <c r="A4850" s="1611">
        <v>17</v>
      </c>
      <c r="B4850" s="1611" t="s">
        <v>2043</v>
      </c>
      <c r="C4850" s="1611" t="s">
        <v>6454</v>
      </c>
      <c r="D4850" s="1612" t="s">
        <v>7555</v>
      </c>
      <c r="E4850" s="1706" t="s">
        <v>7592</v>
      </c>
      <c r="F4850" s="1613">
        <v>53400000</v>
      </c>
      <c r="G4850" s="1613">
        <v>230704430910</v>
      </c>
    </row>
    <row r="4851" spans="1:7" ht="17.25" customHeight="1" x14ac:dyDescent="0.2">
      <c r="A4851" s="1611">
        <v>17</v>
      </c>
      <c r="B4851" s="1611" t="s">
        <v>7358</v>
      </c>
      <c r="C4851" s="1611" t="s">
        <v>6455</v>
      </c>
      <c r="D4851" s="1612">
        <v>0</v>
      </c>
      <c r="E4851" s="1706" t="s">
        <v>7592</v>
      </c>
      <c r="F4851" s="1613">
        <v>38181818</v>
      </c>
      <c r="G4851" s="1613">
        <v>230742612728</v>
      </c>
    </row>
    <row r="4852" spans="1:7" ht="17.25" customHeight="1" x14ac:dyDescent="0.2">
      <c r="A4852" s="1611">
        <v>17</v>
      </c>
      <c r="B4852" s="1611" t="s">
        <v>7358</v>
      </c>
      <c r="C4852" s="1611" t="s">
        <v>6455</v>
      </c>
      <c r="D4852" s="1612">
        <v>0</v>
      </c>
      <c r="E4852" s="1706" t="s">
        <v>7592</v>
      </c>
      <c r="F4852" s="1613">
        <v>38181818</v>
      </c>
      <c r="G4852" s="1613">
        <v>230780794546</v>
      </c>
    </row>
    <row r="4853" spans="1:7" ht="17.25" customHeight="1" x14ac:dyDescent="0.2">
      <c r="A4853" s="1611">
        <v>17</v>
      </c>
      <c r="B4853" s="1611" t="s">
        <v>2037</v>
      </c>
      <c r="C4853" s="1611" t="s">
        <v>6456</v>
      </c>
      <c r="D4853" s="1612" t="s">
        <v>7555</v>
      </c>
      <c r="E4853" s="1706" t="s">
        <v>7592</v>
      </c>
      <c r="F4853" s="1613">
        <v>38500000</v>
      </c>
      <c r="G4853" s="1613">
        <v>230819294546</v>
      </c>
    </row>
    <row r="4854" spans="1:7" ht="17.25" customHeight="1" x14ac:dyDescent="0.2">
      <c r="A4854" s="1611">
        <v>17</v>
      </c>
      <c r="B4854" s="1611" t="s">
        <v>2037</v>
      </c>
      <c r="C4854" s="1611" t="s">
        <v>6456</v>
      </c>
      <c r="D4854" s="1612" t="s">
        <v>7555</v>
      </c>
      <c r="E4854" s="1706" t="s">
        <v>7592</v>
      </c>
      <c r="F4854" s="1613">
        <v>38500000</v>
      </c>
      <c r="G4854" s="1613">
        <v>230857794546</v>
      </c>
    </row>
    <row r="4855" spans="1:7" ht="17.25" customHeight="1" x14ac:dyDescent="0.2">
      <c r="A4855" s="1611">
        <v>17</v>
      </c>
      <c r="B4855" s="1611" t="s">
        <v>2032</v>
      </c>
      <c r="C4855" s="1611" t="s">
        <v>6457</v>
      </c>
      <c r="D4855" s="1612" t="s">
        <v>7555</v>
      </c>
      <c r="E4855" s="1706" t="s">
        <v>7592</v>
      </c>
      <c r="F4855" s="1613">
        <v>18373000</v>
      </c>
      <c r="G4855" s="1613">
        <v>230876167546</v>
      </c>
    </row>
    <row r="4856" spans="1:7" ht="17.25" customHeight="1" x14ac:dyDescent="0.2">
      <c r="A4856" s="1611">
        <v>17</v>
      </c>
      <c r="B4856" s="1611" t="s">
        <v>2840</v>
      </c>
      <c r="C4856" s="1611" t="s">
        <v>6458</v>
      </c>
      <c r="D4856" s="1612" t="s">
        <v>2023</v>
      </c>
      <c r="E4856" s="1706" t="s">
        <v>7592</v>
      </c>
      <c r="F4856" s="1613">
        <v>205000000</v>
      </c>
      <c r="G4856" s="1613">
        <v>231081167546</v>
      </c>
    </row>
    <row r="4857" spans="1:7" ht="17.25" customHeight="1" x14ac:dyDescent="0.2">
      <c r="A4857" s="1611">
        <v>17</v>
      </c>
      <c r="B4857" s="1611" t="s">
        <v>2032</v>
      </c>
      <c r="C4857" s="1611" t="s">
        <v>4530</v>
      </c>
      <c r="D4857" s="1612" t="s">
        <v>7555</v>
      </c>
      <c r="E4857" s="1706" t="s">
        <v>7592</v>
      </c>
      <c r="F4857" s="1613">
        <v>18400000</v>
      </c>
      <c r="G4857" s="1613">
        <v>231099567546</v>
      </c>
    </row>
    <row r="4858" spans="1:7" ht="17.25" customHeight="1" x14ac:dyDescent="0.2">
      <c r="A4858" s="1611">
        <v>17</v>
      </c>
      <c r="B4858" s="1611" t="s">
        <v>2043</v>
      </c>
      <c r="C4858" s="1611" t="s">
        <v>4044</v>
      </c>
      <c r="D4858" s="1612" t="s">
        <v>7555</v>
      </c>
      <c r="E4858" s="1706" t="s">
        <v>7592</v>
      </c>
      <c r="F4858" s="1613">
        <v>53000000</v>
      </c>
      <c r="G4858" s="1613">
        <v>231152567546</v>
      </c>
    </row>
    <row r="4859" spans="1:7" ht="17.25" customHeight="1" x14ac:dyDescent="0.2">
      <c r="A4859" s="1611">
        <v>17</v>
      </c>
      <c r="B4859" s="1611" t="s">
        <v>2063</v>
      </c>
      <c r="C4859" s="1611" t="s">
        <v>6459</v>
      </c>
      <c r="D4859" s="1612" t="s">
        <v>2023</v>
      </c>
      <c r="E4859" s="1706" t="s">
        <v>7592</v>
      </c>
      <c r="F4859" s="1613">
        <v>159000000</v>
      </c>
      <c r="G4859" s="1613">
        <v>231311567546</v>
      </c>
    </row>
    <row r="4860" spans="1:7" ht="17.25" customHeight="1" x14ac:dyDescent="0.2">
      <c r="A4860" s="1611">
        <v>17</v>
      </c>
      <c r="B4860" s="1611" t="s">
        <v>2041</v>
      </c>
      <c r="C4860" s="1611" t="s">
        <v>6460</v>
      </c>
      <c r="D4860" s="1612" t="s">
        <v>7555</v>
      </c>
      <c r="E4860" s="1706" t="s">
        <v>7592</v>
      </c>
      <c r="F4860" s="1613">
        <v>52000000</v>
      </c>
      <c r="G4860" s="1613">
        <v>231363567546</v>
      </c>
    </row>
    <row r="4861" spans="1:7" ht="17.25" customHeight="1" x14ac:dyDescent="0.2">
      <c r="A4861" s="1611">
        <v>17</v>
      </c>
      <c r="B4861" s="1611" t="s">
        <v>2041</v>
      </c>
      <c r="C4861" s="1611" t="s">
        <v>6461</v>
      </c>
      <c r="D4861" s="1612" t="s">
        <v>7555</v>
      </c>
      <c r="E4861" s="1706" t="s">
        <v>7592</v>
      </c>
      <c r="F4861" s="1613">
        <v>52000000</v>
      </c>
      <c r="G4861" s="1613">
        <v>231415567546</v>
      </c>
    </row>
    <row r="4862" spans="1:7" ht="17.25" customHeight="1" x14ac:dyDescent="0.2">
      <c r="A4862" s="1611">
        <v>17</v>
      </c>
      <c r="B4862" s="1611" t="s">
        <v>2037</v>
      </c>
      <c r="C4862" s="1611" t="s">
        <v>6462</v>
      </c>
      <c r="D4862" s="1612" t="s">
        <v>7555</v>
      </c>
      <c r="E4862" s="1706" t="s">
        <v>7592</v>
      </c>
      <c r="F4862" s="1613">
        <v>3636363</v>
      </c>
      <c r="G4862" s="1613">
        <v>231419203909</v>
      </c>
    </row>
    <row r="4863" spans="1:7" ht="17.25" customHeight="1" x14ac:dyDescent="0.2">
      <c r="A4863" s="1611">
        <v>17</v>
      </c>
      <c r="B4863" s="1611" t="s">
        <v>2063</v>
      </c>
      <c r="C4863" s="1611" t="s">
        <v>6459</v>
      </c>
      <c r="D4863" s="1612" t="s">
        <v>2023</v>
      </c>
      <c r="E4863" s="1706" t="s">
        <v>7592</v>
      </c>
      <c r="F4863" s="1613">
        <v>-159000000</v>
      </c>
      <c r="G4863" s="1613">
        <v>231260203909</v>
      </c>
    </row>
    <row r="4864" spans="1:7" ht="17.25" customHeight="1" x14ac:dyDescent="0.2">
      <c r="A4864" s="1611">
        <v>17</v>
      </c>
      <c r="B4864" s="1611" t="s">
        <v>2063</v>
      </c>
      <c r="C4864" s="1611" t="s">
        <v>6463</v>
      </c>
      <c r="D4864" s="1612" t="s">
        <v>2023</v>
      </c>
      <c r="E4864" s="1706" t="s">
        <v>7592</v>
      </c>
      <c r="F4864" s="1613">
        <v>159000000</v>
      </c>
      <c r="G4864" s="1613">
        <v>231419203909</v>
      </c>
    </row>
    <row r="4865" spans="1:7" ht="17.25" customHeight="1" x14ac:dyDescent="0.2">
      <c r="A4865" s="1611">
        <v>17</v>
      </c>
      <c r="B4865" s="1611" t="s">
        <v>2838</v>
      </c>
      <c r="C4865" s="1611" t="s">
        <v>6386</v>
      </c>
      <c r="D4865" s="1612" t="s">
        <v>2024</v>
      </c>
      <c r="E4865" s="1706" t="s">
        <v>7592</v>
      </c>
      <c r="F4865" s="1613">
        <v>24500000</v>
      </c>
      <c r="G4865" s="1613">
        <v>231443703909</v>
      </c>
    </row>
    <row r="4866" spans="1:7" ht="17.25" customHeight="1" x14ac:dyDescent="0.2">
      <c r="A4866" s="1611">
        <v>17</v>
      </c>
      <c r="B4866" s="1611" t="s">
        <v>2838</v>
      </c>
      <c r="C4866" s="1611" t="s">
        <v>6386</v>
      </c>
      <c r="D4866" s="1612" t="s">
        <v>2024</v>
      </c>
      <c r="E4866" s="1706" t="s">
        <v>7592</v>
      </c>
      <c r="F4866" s="1613">
        <v>24500000</v>
      </c>
      <c r="G4866" s="1613">
        <v>231468203909</v>
      </c>
    </row>
    <row r="4867" spans="1:7" ht="17.25" customHeight="1" x14ac:dyDescent="0.2">
      <c r="A4867" s="1611">
        <v>17</v>
      </c>
      <c r="B4867" s="1611" t="s">
        <v>2043</v>
      </c>
      <c r="C4867" s="1611" t="s">
        <v>6464</v>
      </c>
      <c r="D4867" s="1612" t="s">
        <v>7555</v>
      </c>
      <c r="E4867" s="1706" t="s">
        <v>7592</v>
      </c>
      <c r="F4867" s="1613">
        <v>54000000</v>
      </c>
      <c r="G4867" s="1613">
        <v>231522203909</v>
      </c>
    </row>
    <row r="4868" spans="1:7" ht="17.25" customHeight="1" x14ac:dyDescent="0.2">
      <c r="A4868" s="1611">
        <v>17</v>
      </c>
      <c r="B4868" s="1611" t="s">
        <v>2041</v>
      </c>
      <c r="C4868" s="1611" t="s">
        <v>6465</v>
      </c>
      <c r="D4868" s="1612" t="s">
        <v>7555</v>
      </c>
      <c r="E4868" s="1706" t="s">
        <v>7592</v>
      </c>
      <c r="F4868" s="1613">
        <v>50000000</v>
      </c>
      <c r="G4868" s="1613">
        <v>231572203909</v>
      </c>
    </row>
    <row r="4869" spans="1:7" ht="17.25" customHeight="1" x14ac:dyDescent="0.2">
      <c r="A4869" s="1611">
        <v>17</v>
      </c>
      <c r="B4869" s="1611" t="s">
        <v>2043</v>
      </c>
      <c r="C4869" s="1611" t="s">
        <v>6466</v>
      </c>
      <c r="D4869" s="1612" t="s">
        <v>7555</v>
      </c>
      <c r="E4869" s="1706" t="s">
        <v>7592</v>
      </c>
      <c r="F4869" s="1613">
        <v>56000000</v>
      </c>
      <c r="G4869" s="1613">
        <v>231628203909</v>
      </c>
    </row>
    <row r="4870" spans="1:7" ht="17.25" customHeight="1" x14ac:dyDescent="0.2">
      <c r="A4870" s="1611">
        <v>17</v>
      </c>
      <c r="B4870" s="1611" t="s">
        <v>2063</v>
      </c>
      <c r="C4870" s="1611" t="s">
        <v>6467</v>
      </c>
      <c r="D4870" s="1612" t="s">
        <v>2023</v>
      </c>
      <c r="E4870" s="1706" t="s">
        <v>7592</v>
      </c>
      <c r="F4870" s="1613">
        <v>161818182</v>
      </c>
      <c r="G4870" s="1613">
        <v>231790022091</v>
      </c>
    </row>
    <row r="4871" spans="1:7" ht="17.25" customHeight="1" x14ac:dyDescent="0.2">
      <c r="A4871" s="1611">
        <v>17</v>
      </c>
      <c r="B4871" s="1611" t="s">
        <v>2062</v>
      </c>
      <c r="C4871" s="1611" t="s">
        <v>6075</v>
      </c>
      <c r="D4871" s="1612" t="s">
        <v>2023</v>
      </c>
      <c r="E4871" s="1706" t="s">
        <v>7592</v>
      </c>
      <c r="F4871" s="1613">
        <v>171500000</v>
      </c>
      <c r="G4871" s="1613">
        <v>231961522091</v>
      </c>
    </row>
    <row r="4872" spans="1:7" ht="17.25" customHeight="1" x14ac:dyDescent="0.2">
      <c r="A4872" s="1611">
        <v>17</v>
      </c>
      <c r="B4872" s="1611" t="s">
        <v>2063</v>
      </c>
      <c r="C4872" s="1611" t="s">
        <v>6468</v>
      </c>
      <c r="D4872" s="1612" t="s">
        <v>2023</v>
      </c>
      <c r="E4872" s="1706" t="s">
        <v>7592</v>
      </c>
      <c r="F4872" s="1613">
        <v>163250000</v>
      </c>
      <c r="G4872" s="1613">
        <v>232124772091</v>
      </c>
    </row>
    <row r="4873" spans="1:7" ht="17.25" customHeight="1" x14ac:dyDescent="0.2">
      <c r="A4873" s="1611">
        <v>17</v>
      </c>
      <c r="B4873" s="1611" t="s">
        <v>2060</v>
      </c>
      <c r="C4873" s="1611" t="s">
        <v>6469</v>
      </c>
      <c r="D4873" s="1612" t="s">
        <v>2023</v>
      </c>
      <c r="E4873" s="1706" t="s">
        <v>7592</v>
      </c>
      <c r="F4873" s="1613">
        <v>163000000</v>
      </c>
      <c r="G4873" s="1613">
        <v>232287772091</v>
      </c>
    </row>
    <row r="4874" spans="1:7" ht="17.25" customHeight="1" x14ac:dyDescent="0.2">
      <c r="A4874" s="1611">
        <v>17</v>
      </c>
      <c r="B4874" s="1611" t="s">
        <v>2032</v>
      </c>
      <c r="C4874" s="1611" t="s">
        <v>5587</v>
      </c>
      <c r="D4874" s="1612" t="s">
        <v>7555</v>
      </c>
      <c r="E4874" s="1706" t="s">
        <v>7592</v>
      </c>
      <c r="F4874" s="1613">
        <v>35909091</v>
      </c>
      <c r="G4874" s="1613">
        <v>232323681182</v>
      </c>
    </row>
    <row r="4875" spans="1:7" ht="17.25" customHeight="1" x14ac:dyDescent="0.2">
      <c r="A4875" s="1611">
        <v>17</v>
      </c>
      <c r="B4875" s="1611" t="s">
        <v>2039</v>
      </c>
      <c r="C4875" s="1611" t="s">
        <v>6470</v>
      </c>
      <c r="D4875" s="1612" t="s">
        <v>7555</v>
      </c>
      <c r="E4875" s="1706" t="s">
        <v>7592</v>
      </c>
      <c r="F4875" s="1613">
        <v>39500000</v>
      </c>
      <c r="G4875" s="1613">
        <v>232363181182</v>
      </c>
    </row>
    <row r="4876" spans="1:7" ht="17.25" customHeight="1" x14ac:dyDescent="0.2">
      <c r="A4876" s="1611">
        <v>17</v>
      </c>
      <c r="B4876" s="1611" t="s">
        <v>2039</v>
      </c>
      <c r="C4876" s="1611" t="s">
        <v>6471</v>
      </c>
      <c r="D4876" s="1612" t="s">
        <v>7555</v>
      </c>
      <c r="E4876" s="1706" t="s">
        <v>7592</v>
      </c>
      <c r="F4876" s="1613">
        <v>41550000</v>
      </c>
      <c r="G4876" s="1613">
        <v>232404731182</v>
      </c>
    </row>
    <row r="4877" spans="1:7" ht="17.25" customHeight="1" x14ac:dyDescent="0.2">
      <c r="A4877" s="1611">
        <v>17</v>
      </c>
      <c r="B4877" s="1611" t="s">
        <v>2039</v>
      </c>
      <c r="C4877" s="1611" t="s">
        <v>5425</v>
      </c>
      <c r="D4877" s="1612" t="s">
        <v>7555</v>
      </c>
      <c r="E4877" s="1706" t="s">
        <v>7592</v>
      </c>
      <c r="F4877" s="1613">
        <v>44500000</v>
      </c>
      <c r="G4877" s="1613">
        <v>232449231182</v>
      </c>
    </row>
    <row r="4878" spans="1:7" ht="17.25" customHeight="1" x14ac:dyDescent="0.2">
      <c r="A4878" s="1611">
        <v>17</v>
      </c>
      <c r="B4878" s="1611" t="s">
        <v>2039</v>
      </c>
      <c r="C4878" s="1611" t="s">
        <v>6472</v>
      </c>
      <c r="D4878" s="1612" t="s">
        <v>7555</v>
      </c>
      <c r="E4878" s="1706" t="s">
        <v>7592</v>
      </c>
      <c r="F4878" s="1613">
        <v>39000000</v>
      </c>
      <c r="G4878" s="1613">
        <v>232488231182</v>
      </c>
    </row>
    <row r="4879" spans="1:7" ht="17.25" customHeight="1" x14ac:dyDescent="0.2">
      <c r="A4879" s="1611">
        <v>17</v>
      </c>
      <c r="B4879" s="1611" t="s">
        <v>2836</v>
      </c>
      <c r="C4879" s="1611" t="s">
        <v>5249</v>
      </c>
      <c r="D4879" s="1612" t="s">
        <v>7555</v>
      </c>
      <c r="E4879" s="1706" t="s">
        <v>7592</v>
      </c>
      <c r="F4879" s="1613">
        <v>31000000</v>
      </c>
      <c r="G4879" s="1613">
        <v>232519231182</v>
      </c>
    </row>
    <row r="4880" spans="1:7" ht="17.25" customHeight="1" x14ac:dyDescent="0.2">
      <c r="A4880" s="1611">
        <v>17</v>
      </c>
      <c r="B4880" s="1611" t="s">
        <v>2037</v>
      </c>
      <c r="C4880" s="1611" t="s">
        <v>6473</v>
      </c>
      <c r="D4880" s="1612" t="s">
        <v>7555</v>
      </c>
      <c r="E4880" s="1706" t="s">
        <v>7592</v>
      </c>
      <c r="F4880" s="1613">
        <v>37272727</v>
      </c>
      <c r="G4880" s="1613">
        <v>232556503909</v>
      </c>
    </row>
    <row r="4881" spans="1:7" ht="17.25" customHeight="1" x14ac:dyDescent="0.2">
      <c r="A4881" s="1611">
        <v>17</v>
      </c>
      <c r="B4881" s="1611" t="s">
        <v>2037</v>
      </c>
      <c r="C4881" s="1611" t="s">
        <v>6474</v>
      </c>
      <c r="D4881" s="1612" t="s">
        <v>7555</v>
      </c>
      <c r="E4881" s="1706" t="s">
        <v>7592</v>
      </c>
      <c r="F4881" s="1613">
        <v>37272727</v>
      </c>
      <c r="G4881" s="1613">
        <v>232593776636</v>
      </c>
    </row>
    <row r="4882" spans="1:7" ht="17.25" customHeight="1" x14ac:dyDescent="0.2">
      <c r="A4882" s="1611">
        <v>17</v>
      </c>
      <c r="B4882" s="1611" t="s">
        <v>2063</v>
      </c>
      <c r="C4882" s="1611" t="s">
        <v>6475</v>
      </c>
      <c r="D4882" s="1612" t="s">
        <v>2023</v>
      </c>
      <c r="E4882" s="1706" t="s">
        <v>7592</v>
      </c>
      <c r="F4882" s="1613">
        <v>155000000</v>
      </c>
      <c r="G4882" s="1613">
        <v>232748776636</v>
      </c>
    </row>
    <row r="4883" spans="1:7" ht="17.25" customHeight="1" x14ac:dyDescent="0.2">
      <c r="A4883" s="1611">
        <v>17</v>
      </c>
      <c r="B4883" s="1611" t="s">
        <v>2037</v>
      </c>
      <c r="C4883" s="1611" t="s">
        <v>6128</v>
      </c>
      <c r="D4883" s="1612" t="s">
        <v>7555</v>
      </c>
      <c r="E4883" s="1706" t="s">
        <v>7592</v>
      </c>
      <c r="F4883" s="1613">
        <v>38181818</v>
      </c>
      <c r="G4883" s="1613">
        <v>232786958454</v>
      </c>
    </row>
    <row r="4884" spans="1:7" ht="17.25" customHeight="1" x14ac:dyDescent="0.2">
      <c r="A4884" s="1611">
        <v>17</v>
      </c>
      <c r="B4884" s="1611" t="s">
        <v>2032</v>
      </c>
      <c r="C4884" s="1611" t="s">
        <v>6476</v>
      </c>
      <c r="D4884" s="1612" t="s">
        <v>7555</v>
      </c>
      <c r="E4884" s="1706" t="s">
        <v>7592</v>
      </c>
      <c r="F4884" s="1613">
        <v>35800000</v>
      </c>
      <c r="G4884" s="1613">
        <v>232822758454</v>
      </c>
    </row>
    <row r="4885" spans="1:7" ht="17.25" customHeight="1" x14ac:dyDescent="0.2">
      <c r="A4885" s="1611">
        <v>17</v>
      </c>
      <c r="B4885" s="1611" t="s">
        <v>2043</v>
      </c>
      <c r="C4885" s="1611" t="s">
        <v>6477</v>
      </c>
      <c r="D4885" s="1612" t="s">
        <v>7555</v>
      </c>
      <c r="E4885" s="1706" t="s">
        <v>7592</v>
      </c>
      <c r="F4885" s="1613">
        <v>56000000</v>
      </c>
      <c r="G4885" s="1613">
        <v>232878758454</v>
      </c>
    </row>
    <row r="4886" spans="1:7" ht="17.25" customHeight="1" x14ac:dyDescent="0.2">
      <c r="A4886" s="1611">
        <v>17</v>
      </c>
      <c r="B4886" s="1611" t="s">
        <v>2062</v>
      </c>
      <c r="C4886" s="1611" t="s">
        <v>6478</v>
      </c>
      <c r="D4886" s="1612" t="s">
        <v>2023</v>
      </c>
      <c r="E4886" s="1706" t="s">
        <v>7592</v>
      </c>
      <c r="F4886" s="1613">
        <v>175000000</v>
      </c>
      <c r="G4886" s="1613">
        <v>233053758454</v>
      </c>
    </row>
    <row r="4887" spans="1:7" ht="17.25" customHeight="1" x14ac:dyDescent="0.2">
      <c r="A4887" s="1611">
        <v>17</v>
      </c>
      <c r="B4887" s="1611" t="s">
        <v>7359</v>
      </c>
      <c r="C4887" s="1611" t="s">
        <v>4064</v>
      </c>
      <c r="D4887" s="1612">
        <v>0</v>
      </c>
      <c r="E4887" s="1612" t="s">
        <v>3295</v>
      </c>
      <c r="F4887" s="1613">
        <v>824976</v>
      </c>
      <c r="G4887" s="1613">
        <v>233054583430</v>
      </c>
    </row>
    <row r="4888" spans="1:7" ht="17.25" customHeight="1" x14ac:dyDescent="0.2">
      <c r="A4888" s="1611">
        <v>17</v>
      </c>
      <c r="B4888" s="1611" t="s">
        <v>2032</v>
      </c>
      <c r="C4888" s="1611" t="s">
        <v>4332</v>
      </c>
      <c r="D4888" s="1612" t="s">
        <v>7555</v>
      </c>
      <c r="E4888" s="1706" t="s">
        <v>7592</v>
      </c>
      <c r="F4888" s="1613">
        <v>18373000</v>
      </c>
      <c r="G4888" s="1613">
        <v>233072956430</v>
      </c>
    </row>
    <row r="4889" spans="1:7" ht="17.25" customHeight="1" x14ac:dyDescent="0.2">
      <c r="A4889" s="1611">
        <v>17</v>
      </c>
      <c r="B4889" s="1611" t="s">
        <v>2842</v>
      </c>
      <c r="C4889" s="1611" t="s">
        <v>6479</v>
      </c>
      <c r="D4889" s="1612" t="s">
        <v>7555</v>
      </c>
      <c r="E4889" s="1706" t="s">
        <v>7592</v>
      </c>
      <c r="F4889" s="1613">
        <v>43636364</v>
      </c>
      <c r="G4889" s="1613">
        <v>233116592794</v>
      </c>
    </row>
    <row r="4890" spans="1:7" ht="17.25" customHeight="1" x14ac:dyDescent="0.2">
      <c r="A4890" s="1611">
        <v>17</v>
      </c>
      <c r="B4890" s="1611" t="s">
        <v>2048</v>
      </c>
      <c r="C4890" s="1611" t="s">
        <v>5808</v>
      </c>
      <c r="D4890" s="1612" t="s">
        <v>7555</v>
      </c>
      <c r="E4890" s="1706" t="s">
        <v>7592</v>
      </c>
      <c r="F4890" s="1613">
        <v>39550000</v>
      </c>
      <c r="G4890" s="1613">
        <v>233156142794</v>
      </c>
    </row>
    <row r="4891" spans="1:7" ht="17.25" customHeight="1" x14ac:dyDescent="0.2">
      <c r="A4891" s="1611">
        <v>17</v>
      </c>
      <c r="B4891" s="1611" t="s">
        <v>2039</v>
      </c>
      <c r="C4891" s="1611" t="s">
        <v>6480</v>
      </c>
      <c r="D4891" s="1612" t="s">
        <v>7555</v>
      </c>
      <c r="E4891" s="1706" t="s">
        <v>7592</v>
      </c>
      <c r="F4891" s="1613">
        <v>45454545</v>
      </c>
      <c r="G4891" s="1613">
        <v>233201597339</v>
      </c>
    </row>
    <row r="4892" spans="1:7" ht="17.25" customHeight="1" x14ac:dyDescent="0.2">
      <c r="A4892" s="1611">
        <v>17</v>
      </c>
      <c r="B4892" s="1611" t="s">
        <v>2039</v>
      </c>
      <c r="C4892" s="1611" t="s">
        <v>6481</v>
      </c>
      <c r="D4892" s="1612" t="s">
        <v>7555</v>
      </c>
      <c r="E4892" s="1706" t="s">
        <v>7592</v>
      </c>
      <c r="F4892" s="1613">
        <v>42000000</v>
      </c>
      <c r="G4892" s="1613">
        <v>233243597339</v>
      </c>
    </row>
    <row r="4893" spans="1:7" ht="17.25" customHeight="1" x14ac:dyDescent="0.2">
      <c r="A4893" s="1611">
        <v>17</v>
      </c>
      <c r="B4893" s="1611" t="s">
        <v>2039</v>
      </c>
      <c r="C4893" s="1611" t="s">
        <v>6482</v>
      </c>
      <c r="D4893" s="1612" t="s">
        <v>7555</v>
      </c>
      <c r="E4893" s="1706" t="s">
        <v>7592</v>
      </c>
      <c r="F4893" s="1613">
        <v>40000000</v>
      </c>
      <c r="G4893" s="1613">
        <v>233283597339</v>
      </c>
    </row>
    <row r="4894" spans="1:7" ht="17.25" customHeight="1" x14ac:dyDescent="0.2">
      <c r="A4894" s="1611">
        <v>17</v>
      </c>
      <c r="B4894" s="1611" t="s">
        <v>2062</v>
      </c>
      <c r="C4894" s="1611" t="s">
        <v>6483</v>
      </c>
      <c r="D4894" s="1612" t="s">
        <v>2023</v>
      </c>
      <c r="E4894" s="1706" t="s">
        <v>7592</v>
      </c>
      <c r="F4894" s="1613">
        <v>176500000</v>
      </c>
      <c r="G4894" s="1613">
        <v>233460097339</v>
      </c>
    </row>
    <row r="4895" spans="1:7" ht="17.25" customHeight="1" x14ac:dyDescent="0.2">
      <c r="A4895" s="1611">
        <v>17</v>
      </c>
      <c r="B4895" s="1611" t="s">
        <v>2842</v>
      </c>
      <c r="C4895" s="1611" t="s">
        <v>6484</v>
      </c>
      <c r="D4895" s="1612" t="s">
        <v>7555</v>
      </c>
      <c r="E4895" s="1706" t="s">
        <v>7592</v>
      </c>
      <c r="F4895" s="1613">
        <v>43000000</v>
      </c>
      <c r="G4895" s="1613">
        <v>233503097339</v>
      </c>
    </row>
    <row r="4896" spans="1:7" ht="17.25" customHeight="1" x14ac:dyDescent="0.2">
      <c r="A4896" s="1611">
        <v>17</v>
      </c>
      <c r="B4896" s="1611" t="s">
        <v>2054</v>
      </c>
      <c r="C4896" s="1611" t="s">
        <v>4213</v>
      </c>
      <c r="D4896" s="1612" t="s">
        <v>2024</v>
      </c>
      <c r="E4896" s="1706" t="s">
        <v>7592</v>
      </c>
      <c r="F4896" s="1613">
        <v>14700000</v>
      </c>
      <c r="G4896" s="1613">
        <v>233517797339</v>
      </c>
    </row>
    <row r="4897" spans="1:7" ht="17.25" customHeight="1" x14ac:dyDescent="0.2">
      <c r="A4897" s="1611">
        <v>17</v>
      </c>
      <c r="B4897" s="1611" t="s">
        <v>2054</v>
      </c>
      <c r="C4897" s="1611" t="s">
        <v>4213</v>
      </c>
      <c r="D4897" s="1612" t="s">
        <v>2024</v>
      </c>
      <c r="E4897" s="1706" t="s">
        <v>7592</v>
      </c>
      <c r="F4897" s="1613">
        <v>14700000</v>
      </c>
      <c r="G4897" s="1613">
        <v>233532497339</v>
      </c>
    </row>
    <row r="4898" spans="1:7" ht="17.25" customHeight="1" x14ac:dyDescent="0.2">
      <c r="A4898" s="1611">
        <v>17</v>
      </c>
      <c r="B4898" s="1611" t="s">
        <v>2039</v>
      </c>
      <c r="C4898" s="1611" t="s">
        <v>6485</v>
      </c>
      <c r="D4898" s="1612" t="s">
        <v>7555</v>
      </c>
      <c r="E4898" s="1706" t="s">
        <v>7592</v>
      </c>
      <c r="F4898" s="1613">
        <v>39000000</v>
      </c>
      <c r="G4898" s="1613">
        <v>233571497339</v>
      </c>
    </row>
    <row r="4899" spans="1:7" ht="17.25" customHeight="1" x14ac:dyDescent="0.2">
      <c r="A4899" s="1611">
        <v>17</v>
      </c>
      <c r="B4899" s="1611" t="s">
        <v>2041</v>
      </c>
      <c r="C4899" s="1611" t="s">
        <v>6486</v>
      </c>
      <c r="D4899" s="1612" t="s">
        <v>7555</v>
      </c>
      <c r="E4899" s="1706" t="s">
        <v>7592</v>
      </c>
      <c r="F4899" s="1613">
        <v>49090909</v>
      </c>
      <c r="G4899" s="1613">
        <v>233620588248</v>
      </c>
    </row>
    <row r="4900" spans="1:7" ht="17.25" customHeight="1" x14ac:dyDescent="0.2">
      <c r="A4900" s="1611">
        <v>17</v>
      </c>
      <c r="B4900" s="1611" t="s">
        <v>2041</v>
      </c>
      <c r="C4900" s="1611" t="s">
        <v>6487</v>
      </c>
      <c r="D4900" s="1612" t="s">
        <v>7555</v>
      </c>
      <c r="E4900" s="1706" t="s">
        <v>7592</v>
      </c>
      <c r="F4900" s="1613">
        <v>52000000</v>
      </c>
      <c r="G4900" s="1613">
        <v>233672588248</v>
      </c>
    </row>
    <row r="4901" spans="1:7" ht="17.25" customHeight="1" x14ac:dyDescent="0.2">
      <c r="A4901" s="1611">
        <v>17</v>
      </c>
      <c r="B4901" s="1611" t="s">
        <v>2062</v>
      </c>
      <c r="C4901" s="1611" t="s">
        <v>6488</v>
      </c>
      <c r="D4901" s="1612" t="s">
        <v>2023</v>
      </c>
      <c r="E4901" s="1706" t="s">
        <v>7592</v>
      </c>
      <c r="F4901" s="1613">
        <v>176500000</v>
      </c>
      <c r="G4901" s="1613">
        <v>233849088248</v>
      </c>
    </row>
    <row r="4902" spans="1:7" ht="17.25" customHeight="1" x14ac:dyDescent="0.2">
      <c r="A4902" s="1611">
        <v>17</v>
      </c>
      <c r="B4902" s="1611" t="s">
        <v>2028</v>
      </c>
      <c r="C4902" s="1611" t="s">
        <v>6138</v>
      </c>
      <c r="D4902" s="1612" t="s">
        <v>2024</v>
      </c>
      <c r="E4902" s="1706" t="s">
        <v>7592</v>
      </c>
      <c r="F4902" s="1613">
        <v>16909091</v>
      </c>
      <c r="G4902" s="1613">
        <v>233865997339</v>
      </c>
    </row>
    <row r="4903" spans="1:7" ht="17.25" customHeight="1" x14ac:dyDescent="0.2">
      <c r="A4903" s="1611">
        <v>17</v>
      </c>
      <c r="B4903" s="1611" t="s">
        <v>2028</v>
      </c>
      <c r="C4903" s="1611" t="s">
        <v>6138</v>
      </c>
      <c r="D4903" s="1612" t="s">
        <v>2024</v>
      </c>
      <c r="E4903" s="1706" t="s">
        <v>7592</v>
      </c>
      <c r="F4903" s="1613">
        <v>16909091</v>
      </c>
      <c r="G4903" s="1613">
        <v>233882906430</v>
      </c>
    </row>
    <row r="4904" spans="1:7" ht="17.25" customHeight="1" x14ac:dyDescent="0.2">
      <c r="A4904" s="1611">
        <v>17</v>
      </c>
      <c r="B4904" s="1611" t="s">
        <v>2037</v>
      </c>
      <c r="C4904" s="1611" t="s">
        <v>6489</v>
      </c>
      <c r="D4904" s="1612" t="s">
        <v>7555</v>
      </c>
      <c r="E4904" s="1706" t="s">
        <v>7592</v>
      </c>
      <c r="F4904" s="1613">
        <v>38000000</v>
      </c>
      <c r="G4904" s="1613">
        <v>233920906430</v>
      </c>
    </row>
    <row r="4905" spans="1:7" ht="17.25" customHeight="1" x14ac:dyDescent="0.2">
      <c r="A4905" s="1611">
        <v>17</v>
      </c>
      <c r="B4905" s="1611" t="s">
        <v>2061</v>
      </c>
      <c r="C4905" s="1611" t="s">
        <v>6490</v>
      </c>
      <c r="D4905" s="1612" t="s">
        <v>2023</v>
      </c>
      <c r="E4905" s="1706" t="s">
        <v>7592</v>
      </c>
      <c r="F4905" s="1613">
        <v>149000000</v>
      </c>
      <c r="G4905" s="1613">
        <v>234069906430</v>
      </c>
    </row>
    <row r="4906" spans="1:7" ht="17.25" customHeight="1" x14ac:dyDescent="0.2">
      <c r="A4906" s="1611">
        <v>17</v>
      </c>
      <c r="B4906" s="1611" t="s">
        <v>2037</v>
      </c>
      <c r="C4906" s="1611" t="s">
        <v>5720</v>
      </c>
      <c r="D4906" s="1612" t="s">
        <v>7555</v>
      </c>
      <c r="E4906" s="1706" t="s">
        <v>7592</v>
      </c>
      <c r="F4906" s="1613">
        <v>36363636</v>
      </c>
      <c r="G4906" s="1613">
        <v>234106270066</v>
      </c>
    </row>
    <row r="4907" spans="1:7" ht="17.25" customHeight="1" x14ac:dyDescent="0.2">
      <c r="A4907" s="1611">
        <v>17</v>
      </c>
      <c r="B4907" s="1611" t="s">
        <v>2037</v>
      </c>
      <c r="C4907" s="1611" t="s">
        <v>5720</v>
      </c>
      <c r="D4907" s="1612" t="s">
        <v>7555</v>
      </c>
      <c r="E4907" s="1706" t="s">
        <v>7592</v>
      </c>
      <c r="F4907" s="1613">
        <v>36363636</v>
      </c>
      <c r="G4907" s="1613">
        <v>234142633702</v>
      </c>
    </row>
    <row r="4908" spans="1:7" ht="17.25" customHeight="1" x14ac:dyDescent="0.2">
      <c r="A4908" s="1611">
        <v>17</v>
      </c>
      <c r="B4908" s="1611" t="s">
        <v>2840</v>
      </c>
      <c r="C4908" s="1611" t="s">
        <v>6491</v>
      </c>
      <c r="D4908" s="1612" t="s">
        <v>2023</v>
      </c>
      <c r="E4908" s="1706" t="s">
        <v>7592</v>
      </c>
      <c r="F4908" s="1613">
        <v>203000000</v>
      </c>
      <c r="G4908" s="1613">
        <v>234345633702</v>
      </c>
    </row>
    <row r="4909" spans="1:7" ht="17.25" customHeight="1" x14ac:dyDescent="0.2">
      <c r="A4909" s="1611">
        <v>17</v>
      </c>
      <c r="B4909" s="1611" t="s">
        <v>2041</v>
      </c>
      <c r="C4909" s="1611" t="s">
        <v>6492</v>
      </c>
      <c r="D4909" s="1612" t="s">
        <v>7555</v>
      </c>
      <c r="E4909" s="1706" t="s">
        <v>7592</v>
      </c>
      <c r="F4909" s="1613">
        <v>52000000</v>
      </c>
      <c r="G4909" s="1613">
        <v>234397633702</v>
      </c>
    </row>
    <row r="4910" spans="1:7" ht="17.25" customHeight="1" x14ac:dyDescent="0.2">
      <c r="A4910" s="1611">
        <v>17</v>
      </c>
      <c r="B4910" s="1611" t="s">
        <v>7155</v>
      </c>
      <c r="C4910" s="1611" t="s">
        <v>5475</v>
      </c>
      <c r="D4910" s="1612">
        <v>0</v>
      </c>
      <c r="E4910" s="1612" t="s">
        <v>3299</v>
      </c>
      <c r="F4910" s="1613">
        <v>41467124</v>
      </c>
      <c r="G4910" s="1613">
        <v>234439100826</v>
      </c>
    </row>
    <row r="4911" spans="1:7" ht="17.25" customHeight="1" x14ac:dyDescent="0.2">
      <c r="A4911" s="1611">
        <v>17</v>
      </c>
      <c r="B4911" s="1611" t="s">
        <v>2028</v>
      </c>
      <c r="C4911" s="1611" t="s">
        <v>6493</v>
      </c>
      <c r="D4911" s="1612" t="s">
        <v>2024</v>
      </c>
      <c r="E4911" s="1706" t="s">
        <v>7592</v>
      </c>
      <c r="F4911" s="1613">
        <v>14500000</v>
      </c>
      <c r="G4911" s="1613">
        <v>234453600826</v>
      </c>
    </row>
    <row r="4912" spans="1:7" ht="17.25" customHeight="1" x14ac:dyDescent="0.2">
      <c r="A4912" s="1611">
        <v>17</v>
      </c>
      <c r="B4912" s="1611" t="s">
        <v>2028</v>
      </c>
      <c r="C4912" s="1611" t="s">
        <v>6494</v>
      </c>
      <c r="D4912" s="1612" t="s">
        <v>2024</v>
      </c>
      <c r="E4912" s="1706" t="s">
        <v>7592</v>
      </c>
      <c r="F4912" s="1613">
        <v>16300000</v>
      </c>
      <c r="G4912" s="1613">
        <v>234469900826</v>
      </c>
    </row>
    <row r="4913" spans="1:7" ht="17.25" customHeight="1" x14ac:dyDescent="0.2">
      <c r="A4913" s="1611">
        <v>17</v>
      </c>
      <c r="B4913" s="1611" t="s">
        <v>2041</v>
      </c>
      <c r="C4913" s="1611" t="s">
        <v>6495</v>
      </c>
      <c r="D4913" s="1612" t="s">
        <v>7555</v>
      </c>
      <c r="E4913" s="1706" t="s">
        <v>7592</v>
      </c>
      <c r="F4913" s="1613">
        <v>51818182</v>
      </c>
      <c r="G4913" s="1613">
        <v>234521719008</v>
      </c>
    </row>
    <row r="4914" spans="1:7" ht="17.25" customHeight="1" x14ac:dyDescent="0.2">
      <c r="A4914" s="1611">
        <v>17</v>
      </c>
      <c r="B4914" s="1611" t="s">
        <v>2037</v>
      </c>
      <c r="C4914" s="1611" t="s">
        <v>5103</v>
      </c>
      <c r="D4914" s="1612" t="s">
        <v>7555</v>
      </c>
      <c r="E4914" s="1706" t="s">
        <v>7592</v>
      </c>
      <c r="F4914" s="1613">
        <v>37000000</v>
      </c>
      <c r="G4914" s="1613">
        <v>234558719008</v>
      </c>
    </row>
    <row r="4915" spans="1:7" ht="17.25" customHeight="1" x14ac:dyDescent="0.2">
      <c r="A4915" s="1611">
        <v>17</v>
      </c>
      <c r="B4915" s="1611" t="s">
        <v>2840</v>
      </c>
      <c r="C4915" s="1611" t="s">
        <v>6496</v>
      </c>
      <c r="D4915" s="1612" t="s">
        <v>2023</v>
      </c>
      <c r="E4915" s="1706" t="s">
        <v>7592</v>
      </c>
      <c r="F4915" s="1613">
        <v>200000000</v>
      </c>
      <c r="G4915" s="1613">
        <v>234758719008</v>
      </c>
    </row>
    <row r="4916" spans="1:7" ht="17.25" customHeight="1" x14ac:dyDescent="0.2">
      <c r="A4916" s="1611">
        <v>17</v>
      </c>
      <c r="B4916" s="1611" t="s">
        <v>2037</v>
      </c>
      <c r="C4916" s="1611" t="s">
        <v>6497</v>
      </c>
      <c r="D4916" s="1612" t="s">
        <v>7555</v>
      </c>
      <c r="E4916" s="1706" t="s">
        <v>7592</v>
      </c>
      <c r="F4916" s="1613">
        <v>18373000</v>
      </c>
      <c r="G4916" s="1613">
        <v>234777092008</v>
      </c>
    </row>
    <row r="4917" spans="1:7" ht="17.25" customHeight="1" x14ac:dyDescent="0.2">
      <c r="A4917" s="1611">
        <v>17</v>
      </c>
      <c r="B4917" s="1611" t="s">
        <v>2032</v>
      </c>
      <c r="C4917" s="1611" t="s">
        <v>6498</v>
      </c>
      <c r="D4917" s="1612" t="s">
        <v>7555</v>
      </c>
      <c r="E4917" s="1706" t="s">
        <v>7592</v>
      </c>
      <c r="F4917" s="1613">
        <v>18373000</v>
      </c>
      <c r="G4917" s="1613">
        <v>234795465008</v>
      </c>
    </row>
    <row r="4918" spans="1:7" ht="17.25" customHeight="1" x14ac:dyDescent="0.2">
      <c r="A4918" s="1611">
        <v>17</v>
      </c>
      <c r="B4918" s="1611" t="s">
        <v>2042</v>
      </c>
      <c r="C4918" s="1611" t="s">
        <v>6499</v>
      </c>
      <c r="D4918" s="1612" t="s">
        <v>2024</v>
      </c>
      <c r="E4918" s="1706" t="s">
        <v>7592</v>
      </c>
      <c r="F4918" s="1613">
        <v>41390909</v>
      </c>
      <c r="G4918" s="1613">
        <v>234836855917</v>
      </c>
    </row>
    <row r="4919" spans="1:7" ht="17.25" customHeight="1" x14ac:dyDescent="0.2">
      <c r="A4919" s="1611">
        <v>17</v>
      </c>
      <c r="B4919" s="1611" t="s">
        <v>2041</v>
      </c>
      <c r="C4919" s="1611" t="s">
        <v>6500</v>
      </c>
      <c r="D4919" s="1612" t="s">
        <v>7555</v>
      </c>
      <c r="E4919" s="1706" t="s">
        <v>7592</v>
      </c>
      <c r="F4919" s="1613">
        <v>52000000</v>
      </c>
      <c r="G4919" s="1613">
        <v>234888855917</v>
      </c>
    </row>
    <row r="4920" spans="1:7" ht="17.25" customHeight="1" x14ac:dyDescent="0.2">
      <c r="A4920" s="1611">
        <v>17</v>
      </c>
      <c r="B4920" s="1611" t="s">
        <v>2043</v>
      </c>
      <c r="C4920" s="1611" t="s">
        <v>6501</v>
      </c>
      <c r="D4920" s="1612" t="s">
        <v>7555</v>
      </c>
      <c r="E4920" s="1706" t="s">
        <v>7592</v>
      </c>
      <c r="F4920" s="1613">
        <v>56000000</v>
      </c>
      <c r="G4920" s="1613">
        <v>234944855917</v>
      </c>
    </row>
    <row r="4921" spans="1:7" ht="17.25" customHeight="1" x14ac:dyDescent="0.2">
      <c r="A4921" s="1611">
        <v>17</v>
      </c>
      <c r="B4921" s="1611" t="s">
        <v>2028</v>
      </c>
      <c r="C4921" s="1611" t="s">
        <v>6130</v>
      </c>
      <c r="D4921" s="1612" t="s">
        <v>2024</v>
      </c>
      <c r="E4921" s="1706" t="s">
        <v>7592</v>
      </c>
      <c r="F4921" s="1613">
        <v>14500000</v>
      </c>
      <c r="G4921" s="1613">
        <v>234959355917</v>
      </c>
    </row>
    <row r="4922" spans="1:7" ht="17.25" customHeight="1" x14ac:dyDescent="0.2">
      <c r="A4922" s="1611">
        <v>17</v>
      </c>
      <c r="B4922" s="1611" t="s">
        <v>2037</v>
      </c>
      <c r="C4922" s="1611" t="s">
        <v>6502</v>
      </c>
      <c r="D4922" s="1612" t="s">
        <v>7555</v>
      </c>
      <c r="E4922" s="1706" t="s">
        <v>7592</v>
      </c>
      <c r="F4922" s="1613">
        <v>37272727</v>
      </c>
      <c r="G4922" s="1613">
        <v>234996628644</v>
      </c>
    </row>
    <row r="4923" spans="1:7" ht="17.25" customHeight="1" x14ac:dyDescent="0.2">
      <c r="A4923" s="1611">
        <v>17</v>
      </c>
      <c r="B4923" s="1611" t="s">
        <v>2028</v>
      </c>
      <c r="C4923" s="1611" t="s">
        <v>6503</v>
      </c>
      <c r="D4923" s="1612" t="s">
        <v>2024</v>
      </c>
      <c r="E4923" s="1706" t="s">
        <v>7592</v>
      </c>
      <c r="F4923" s="1613">
        <v>16900000</v>
      </c>
      <c r="G4923" s="1613">
        <v>235013528644</v>
      </c>
    </row>
    <row r="4924" spans="1:7" ht="17.25" customHeight="1" x14ac:dyDescent="0.2">
      <c r="A4924" s="1611">
        <v>17</v>
      </c>
      <c r="B4924" s="1611" t="s">
        <v>2063</v>
      </c>
      <c r="C4924" s="1611" t="s">
        <v>4990</v>
      </c>
      <c r="D4924" s="1612" t="s">
        <v>2023</v>
      </c>
      <c r="E4924" s="1706" t="s">
        <v>7592</v>
      </c>
      <c r="F4924" s="1613">
        <v>155000000</v>
      </c>
      <c r="G4924" s="1613">
        <v>235168528644</v>
      </c>
    </row>
    <row r="4925" spans="1:7" ht="17.25" customHeight="1" x14ac:dyDescent="0.2">
      <c r="A4925" s="1611">
        <v>17</v>
      </c>
      <c r="B4925" s="1611" t="s">
        <v>2034</v>
      </c>
      <c r="C4925" s="1611" t="s">
        <v>6504</v>
      </c>
      <c r="D4925" s="1612" t="s">
        <v>7555</v>
      </c>
      <c r="E4925" s="1706" t="s">
        <v>7592</v>
      </c>
      <c r="F4925" s="1613">
        <v>40000000</v>
      </c>
      <c r="G4925" s="1613">
        <v>235208528644</v>
      </c>
    </row>
    <row r="4926" spans="1:7" ht="17.25" customHeight="1" x14ac:dyDescent="0.2">
      <c r="A4926" s="1611">
        <v>17</v>
      </c>
      <c r="B4926" s="1611" t="s">
        <v>2037</v>
      </c>
      <c r="C4926" s="1611" t="s">
        <v>6505</v>
      </c>
      <c r="D4926" s="1612" t="s">
        <v>7555</v>
      </c>
      <c r="E4926" s="1706" t="s">
        <v>7592</v>
      </c>
      <c r="F4926" s="1613">
        <v>38000000</v>
      </c>
      <c r="G4926" s="1613">
        <v>235246528644</v>
      </c>
    </row>
    <row r="4927" spans="1:7" ht="17.25" customHeight="1" x14ac:dyDescent="0.2">
      <c r="A4927" s="1611">
        <v>17</v>
      </c>
      <c r="B4927" s="1611" t="s">
        <v>2041</v>
      </c>
      <c r="C4927" s="1611" t="s">
        <v>6506</v>
      </c>
      <c r="D4927" s="1612" t="s">
        <v>7555</v>
      </c>
      <c r="E4927" s="1706" t="s">
        <v>7592</v>
      </c>
      <c r="F4927" s="1613">
        <v>52727273</v>
      </c>
      <c r="G4927" s="1613">
        <v>235299255917</v>
      </c>
    </row>
    <row r="4928" spans="1:7" ht="17.25" customHeight="1" x14ac:dyDescent="0.2">
      <c r="A4928" s="1611">
        <v>17</v>
      </c>
      <c r="B4928" s="1611" t="s">
        <v>2044</v>
      </c>
      <c r="C4928" s="1611" t="s">
        <v>4295</v>
      </c>
      <c r="D4928" s="1612" t="s">
        <v>7555</v>
      </c>
      <c r="E4928" s="1706" t="s">
        <v>7592</v>
      </c>
      <c r="F4928" s="1613">
        <v>38636364</v>
      </c>
      <c r="G4928" s="1613">
        <v>235337892281</v>
      </c>
    </row>
    <row r="4929" spans="1:7" ht="17.25" customHeight="1" x14ac:dyDescent="0.2">
      <c r="A4929" s="1611">
        <v>17</v>
      </c>
      <c r="B4929" s="1611" t="s">
        <v>2063</v>
      </c>
      <c r="C4929" s="1611" t="s">
        <v>6507</v>
      </c>
      <c r="D4929" s="1612" t="s">
        <v>2023</v>
      </c>
      <c r="E4929" s="1706" t="s">
        <v>7592</v>
      </c>
      <c r="F4929" s="1613">
        <v>156600000</v>
      </c>
      <c r="G4929" s="1613">
        <v>235494492281</v>
      </c>
    </row>
    <row r="4930" spans="1:7" ht="17.25" customHeight="1" x14ac:dyDescent="0.2">
      <c r="A4930" s="1611">
        <v>17</v>
      </c>
      <c r="B4930" s="1611" t="s">
        <v>2061</v>
      </c>
      <c r="C4930" s="1611" t="s">
        <v>6508</v>
      </c>
      <c r="D4930" s="1612" t="s">
        <v>2023</v>
      </c>
      <c r="E4930" s="1706" t="s">
        <v>7592</v>
      </c>
      <c r="F4930" s="1613">
        <v>149200000</v>
      </c>
      <c r="G4930" s="1613">
        <v>235643692281</v>
      </c>
    </row>
    <row r="4931" spans="1:7" ht="17.25" customHeight="1" x14ac:dyDescent="0.2">
      <c r="A4931" s="1611">
        <v>17</v>
      </c>
      <c r="B4931" s="1611" t="s">
        <v>2037</v>
      </c>
      <c r="C4931" s="1611" t="s">
        <v>5252</v>
      </c>
      <c r="D4931" s="1612" t="s">
        <v>7555</v>
      </c>
      <c r="E4931" s="1706" t="s">
        <v>7592</v>
      </c>
      <c r="F4931" s="1613">
        <v>40454545</v>
      </c>
      <c r="G4931" s="1613">
        <v>235684146826</v>
      </c>
    </row>
    <row r="4932" spans="1:7" ht="17.25" customHeight="1" x14ac:dyDescent="0.2">
      <c r="A4932" s="1611">
        <v>17</v>
      </c>
      <c r="B4932" s="1611" t="s">
        <v>2028</v>
      </c>
      <c r="C4932" s="1611" t="s">
        <v>6509</v>
      </c>
      <c r="D4932" s="1612" t="s">
        <v>2024</v>
      </c>
      <c r="E4932" s="1706" t="s">
        <v>7592</v>
      </c>
      <c r="F4932" s="1613">
        <v>14818182</v>
      </c>
      <c r="G4932" s="1613">
        <v>235698965008</v>
      </c>
    </row>
    <row r="4933" spans="1:7" ht="17.25" customHeight="1" x14ac:dyDescent="0.2">
      <c r="A4933" s="1611">
        <v>17</v>
      </c>
      <c r="B4933" s="1611" t="s">
        <v>2039</v>
      </c>
      <c r="C4933" s="1611" t="s">
        <v>6510</v>
      </c>
      <c r="D4933" s="1612" t="s">
        <v>7555</v>
      </c>
      <c r="E4933" s="1706" t="s">
        <v>7592</v>
      </c>
      <c r="F4933" s="1613">
        <v>44150000</v>
      </c>
      <c r="G4933" s="1613">
        <v>235743115008</v>
      </c>
    </row>
    <row r="4934" spans="1:7" ht="17.25" customHeight="1" x14ac:dyDescent="0.2">
      <c r="A4934" s="1611">
        <v>17</v>
      </c>
      <c r="B4934" s="1611" t="s">
        <v>2037</v>
      </c>
      <c r="C4934" s="1611" t="s">
        <v>4497</v>
      </c>
      <c r="D4934" s="1612" t="s">
        <v>7555</v>
      </c>
      <c r="E4934" s="1706" t="s">
        <v>7592</v>
      </c>
      <c r="F4934" s="1613">
        <v>35000000</v>
      </c>
      <c r="G4934" s="1613">
        <v>235778115008</v>
      </c>
    </row>
    <row r="4935" spans="1:7" ht="17.25" customHeight="1" x14ac:dyDescent="0.2">
      <c r="A4935" s="1611">
        <v>17</v>
      </c>
      <c r="B4935" s="1611" t="s">
        <v>2836</v>
      </c>
      <c r="C4935" s="1611" t="s">
        <v>4497</v>
      </c>
      <c r="D4935" s="1612" t="s">
        <v>7555</v>
      </c>
      <c r="E4935" s="1706" t="s">
        <v>7592</v>
      </c>
      <c r="F4935" s="1613">
        <v>30000000</v>
      </c>
      <c r="G4935" s="1613">
        <v>235808115008</v>
      </c>
    </row>
    <row r="4936" spans="1:7" ht="17.25" customHeight="1" x14ac:dyDescent="0.2">
      <c r="A4936" s="1611">
        <v>17</v>
      </c>
      <c r="B4936" s="1611" t="s">
        <v>2061</v>
      </c>
      <c r="C4936" s="1611" t="s">
        <v>6511</v>
      </c>
      <c r="D4936" s="1612" t="s">
        <v>2023</v>
      </c>
      <c r="E4936" s="1706" t="s">
        <v>7592</v>
      </c>
      <c r="F4936" s="1613">
        <v>146500000</v>
      </c>
      <c r="G4936" s="1613">
        <v>235954615008</v>
      </c>
    </row>
    <row r="4937" spans="1:7" ht="17.25" customHeight="1" x14ac:dyDescent="0.2">
      <c r="A4937" s="1611">
        <v>17</v>
      </c>
      <c r="B4937" s="1611" t="s">
        <v>2062</v>
      </c>
      <c r="C4937" s="1611" t="s">
        <v>6512</v>
      </c>
      <c r="D4937" s="1612" t="s">
        <v>2023</v>
      </c>
      <c r="E4937" s="1706" t="s">
        <v>7592</v>
      </c>
      <c r="F4937" s="1613">
        <v>175000000</v>
      </c>
      <c r="G4937" s="1613">
        <v>236129615008</v>
      </c>
    </row>
    <row r="4938" spans="1:7" ht="17.25" customHeight="1" x14ac:dyDescent="0.2">
      <c r="A4938" s="1611">
        <v>17</v>
      </c>
      <c r="B4938" s="1611" t="s">
        <v>2062</v>
      </c>
      <c r="C4938" s="1611" t="s">
        <v>6513</v>
      </c>
      <c r="D4938" s="1612" t="s">
        <v>2023</v>
      </c>
      <c r="E4938" s="1706" t="s">
        <v>7592</v>
      </c>
      <c r="F4938" s="1613">
        <v>175000000</v>
      </c>
      <c r="G4938" s="1613">
        <v>236304615008</v>
      </c>
    </row>
    <row r="4939" spans="1:7" ht="17.25" customHeight="1" x14ac:dyDescent="0.2">
      <c r="A4939" s="1611">
        <v>17</v>
      </c>
      <c r="B4939" s="1611" t="s">
        <v>2061</v>
      </c>
      <c r="C4939" s="1611" t="s">
        <v>6514</v>
      </c>
      <c r="D4939" s="1612" t="s">
        <v>2023</v>
      </c>
      <c r="E4939" s="1706" t="s">
        <v>7592</v>
      </c>
      <c r="F4939" s="1613">
        <v>149200000</v>
      </c>
      <c r="G4939" s="1613">
        <v>236453815008</v>
      </c>
    </row>
    <row r="4940" spans="1:7" ht="17.25" customHeight="1" x14ac:dyDescent="0.2">
      <c r="A4940" s="1611">
        <v>17</v>
      </c>
      <c r="B4940" s="1611" t="s">
        <v>2062</v>
      </c>
      <c r="C4940" s="1611" t="s">
        <v>6513</v>
      </c>
      <c r="D4940" s="1612" t="s">
        <v>2023</v>
      </c>
      <c r="E4940" s="1706" t="s">
        <v>7592</v>
      </c>
      <c r="F4940" s="1613">
        <v>-175000000</v>
      </c>
      <c r="G4940" s="1613">
        <v>236278815008</v>
      </c>
    </row>
    <row r="4941" spans="1:7" ht="17.25" customHeight="1" x14ac:dyDescent="0.2">
      <c r="A4941" s="1611">
        <v>17</v>
      </c>
      <c r="B4941" s="1611" t="s">
        <v>2062</v>
      </c>
      <c r="C4941" s="1611" t="s">
        <v>6513</v>
      </c>
      <c r="D4941" s="1612" t="s">
        <v>2023</v>
      </c>
      <c r="E4941" s="1706" t="s">
        <v>7592</v>
      </c>
      <c r="F4941" s="1613">
        <v>175000000</v>
      </c>
      <c r="G4941" s="1613">
        <v>236453815008</v>
      </c>
    </row>
    <row r="4942" spans="1:7" ht="17.25" customHeight="1" x14ac:dyDescent="0.2">
      <c r="A4942" s="1611">
        <v>17</v>
      </c>
      <c r="B4942" s="1611" t="s">
        <v>2037</v>
      </c>
      <c r="C4942" s="1611" t="s">
        <v>6515</v>
      </c>
      <c r="D4942" s="1612" t="s">
        <v>7555</v>
      </c>
      <c r="E4942" s="1706" t="s">
        <v>7592</v>
      </c>
      <c r="F4942" s="1613">
        <v>36545454</v>
      </c>
      <c r="G4942" s="1613">
        <v>236490360462</v>
      </c>
    </row>
    <row r="4943" spans="1:7" ht="17.25" customHeight="1" x14ac:dyDescent="0.2">
      <c r="A4943" s="1611">
        <v>17</v>
      </c>
      <c r="B4943" s="1611" t="s">
        <v>2037</v>
      </c>
      <c r="C4943" s="1611" t="s">
        <v>3491</v>
      </c>
      <c r="D4943" s="1612" t="s">
        <v>7555</v>
      </c>
      <c r="E4943" s="1706" t="s">
        <v>7592</v>
      </c>
      <c r="F4943" s="1613">
        <v>38500000</v>
      </c>
      <c r="G4943" s="1613">
        <v>236528860462</v>
      </c>
    </row>
    <row r="4944" spans="1:7" ht="17.25" customHeight="1" x14ac:dyDescent="0.2">
      <c r="A4944" s="1611">
        <v>17</v>
      </c>
      <c r="B4944" s="1611" t="s">
        <v>2037</v>
      </c>
      <c r="C4944" s="1611" t="s">
        <v>6516</v>
      </c>
      <c r="D4944" s="1612" t="s">
        <v>7555</v>
      </c>
      <c r="E4944" s="1706" t="s">
        <v>7592</v>
      </c>
      <c r="F4944" s="1613">
        <v>37000000</v>
      </c>
      <c r="G4944" s="1613">
        <v>236565860462</v>
      </c>
    </row>
    <row r="4945" spans="1:7" ht="17.25" customHeight="1" x14ac:dyDescent="0.2">
      <c r="A4945" s="1611">
        <v>17</v>
      </c>
      <c r="B4945" s="1611" t="s">
        <v>2041</v>
      </c>
      <c r="C4945" s="1611" t="s">
        <v>6103</v>
      </c>
      <c r="D4945" s="1612" t="s">
        <v>7555</v>
      </c>
      <c r="E4945" s="1706" t="s">
        <v>7592</v>
      </c>
      <c r="F4945" s="1613">
        <v>51000000</v>
      </c>
      <c r="G4945" s="1613">
        <v>236616860462</v>
      </c>
    </row>
    <row r="4946" spans="1:7" ht="17.25" customHeight="1" x14ac:dyDescent="0.2">
      <c r="A4946" s="1611">
        <v>17</v>
      </c>
      <c r="B4946" s="1611" t="s">
        <v>2028</v>
      </c>
      <c r="C4946" s="1611" t="s">
        <v>6517</v>
      </c>
      <c r="D4946" s="1612" t="s">
        <v>2024</v>
      </c>
      <c r="E4946" s="1706" t="s">
        <v>7592</v>
      </c>
      <c r="F4946" s="1613">
        <v>13936364</v>
      </c>
      <c r="G4946" s="1613">
        <v>236630796826</v>
      </c>
    </row>
    <row r="4947" spans="1:7" ht="17.25" customHeight="1" x14ac:dyDescent="0.2">
      <c r="A4947" s="1611">
        <v>17</v>
      </c>
      <c r="B4947" s="1611" t="s">
        <v>2032</v>
      </c>
      <c r="C4947" s="1611" t="s">
        <v>4628</v>
      </c>
      <c r="D4947" s="1612" t="s">
        <v>7555</v>
      </c>
      <c r="E4947" s="1706" t="s">
        <v>7592</v>
      </c>
      <c r="F4947" s="1613">
        <v>36363636</v>
      </c>
      <c r="G4947" s="1613">
        <v>236667160462</v>
      </c>
    </row>
    <row r="4948" spans="1:7" ht="17.25" customHeight="1" x14ac:dyDescent="0.2">
      <c r="A4948" s="1611">
        <v>17</v>
      </c>
      <c r="B4948" s="1611" t="s">
        <v>2037</v>
      </c>
      <c r="C4948" s="1611" t="s">
        <v>6518</v>
      </c>
      <c r="D4948" s="1612" t="s">
        <v>7555</v>
      </c>
      <c r="E4948" s="1706" t="s">
        <v>7592</v>
      </c>
      <c r="F4948" s="1613">
        <v>37500000</v>
      </c>
      <c r="G4948" s="1613">
        <v>236704660462</v>
      </c>
    </row>
    <row r="4949" spans="1:7" ht="17.25" customHeight="1" x14ac:dyDescent="0.2">
      <c r="A4949" s="1611">
        <v>17</v>
      </c>
      <c r="B4949" s="1611" t="s">
        <v>2836</v>
      </c>
      <c r="C4949" s="1611" t="s">
        <v>6519</v>
      </c>
      <c r="D4949" s="1612" t="s">
        <v>7555</v>
      </c>
      <c r="E4949" s="1706" t="s">
        <v>7592</v>
      </c>
      <c r="F4949" s="1613">
        <v>31000000</v>
      </c>
      <c r="G4949" s="1613">
        <v>236735660462</v>
      </c>
    </row>
    <row r="4950" spans="1:7" ht="17.25" customHeight="1" x14ac:dyDescent="0.2">
      <c r="A4950" s="1611">
        <v>17</v>
      </c>
      <c r="B4950" s="1611" t="s">
        <v>2037</v>
      </c>
      <c r="C4950" s="1611" t="s">
        <v>6520</v>
      </c>
      <c r="D4950" s="1612" t="s">
        <v>7555</v>
      </c>
      <c r="E4950" s="1706" t="s">
        <v>7592</v>
      </c>
      <c r="F4950" s="1613">
        <v>38636363</v>
      </c>
      <c r="G4950" s="1613">
        <v>236774296825</v>
      </c>
    </row>
    <row r="4951" spans="1:7" ht="17.25" customHeight="1" x14ac:dyDescent="0.2">
      <c r="A4951" s="1611">
        <v>17</v>
      </c>
      <c r="B4951" s="1611" t="s">
        <v>2836</v>
      </c>
      <c r="C4951" s="1611" t="s">
        <v>6521</v>
      </c>
      <c r="D4951" s="1612" t="s">
        <v>7555</v>
      </c>
      <c r="E4951" s="1706" t="s">
        <v>7592</v>
      </c>
      <c r="F4951" s="1613">
        <v>30000000</v>
      </c>
      <c r="G4951" s="1613">
        <v>236804296825</v>
      </c>
    </row>
    <row r="4952" spans="1:7" ht="17.25" customHeight="1" x14ac:dyDescent="0.2">
      <c r="A4952" s="1611">
        <v>17</v>
      </c>
      <c r="B4952" s="1611" t="s">
        <v>2060</v>
      </c>
      <c r="C4952" s="1611" t="s">
        <v>3959</v>
      </c>
      <c r="D4952" s="1612" t="s">
        <v>2023</v>
      </c>
      <c r="E4952" s="1706" t="s">
        <v>7592</v>
      </c>
      <c r="F4952" s="1613">
        <v>164000000</v>
      </c>
      <c r="G4952" s="1613">
        <v>236968296825</v>
      </c>
    </row>
    <row r="4953" spans="1:7" ht="17.25" customHeight="1" x14ac:dyDescent="0.2">
      <c r="A4953" s="1611">
        <v>17</v>
      </c>
      <c r="B4953" s="1611" t="s">
        <v>2037</v>
      </c>
      <c r="C4953" s="1611" t="s">
        <v>6522</v>
      </c>
      <c r="D4953" s="1612" t="s">
        <v>7555</v>
      </c>
      <c r="E4953" s="1706" t="s">
        <v>7592</v>
      </c>
      <c r="F4953" s="1613">
        <v>50000000</v>
      </c>
      <c r="G4953" s="1613">
        <v>237018296825</v>
      </c>
    </row>
    <row r="4954" spans="1:7" ht="17.25" customHeight="1" x14ac:dyDescent="0.2">
      <c r="A4954" s="1611">
        <v>17</v>
      </c>
      <c r="B4954" s="1611" t="s">
        <v>2028</v>
      </c>
      <c r="C4954" s="1611" t="s">
        <v>5222</v>
      </c>
      <c r="D4954" s="1612" t="s">
        <v>2024</v>
      </c>
      <c r="E4954" s="1706" t="s">
        <v>7592</v>
      </c>
      <c r="F4954" s="1613">
        <v>15454545</v>
      </c>
      <c r="G4954" s="1613">
        <v>237033751370</v>
      </c>
    </row>
    <row r="4955" spans="1:7" ht="17.25" customHeight="1" x14ac:dyDescent="0.2">
      <c r="A4955" s="1611">
        <v>17</v>
      </c>
      <c r="B4955" s="1611" t="s">
        <v>2028</v>
      </c>
      <c r="C4955" s="1611" t="s">
        <v>3938</v>
      </c>
      <c r="D4955" s="1612" t="s">
        <v>2024</v>
      </c>
      <c r="E4955" s="1706" t="s">
        <v>7592</v>
      </c>
      <c r="F4955" s="1613">
        <v>14500000</v>
      </c>
      <c r="G4955" s="1613">
        <v>237048251370</v>
      </c>
    </row>
    <row r="4956" spans="1:7" ht="17.25" customHeight="1" x14ac:dyDescent="0.2">
      <c r="A4956" s="1611">
        <v>17</v>
      </c>
      <c r="B4956" s="1611" t="s">
        <v>2037</v>
      </c>
      <c r="C4956" s="1611" t="s">
        <v>6523</v>
      </c>
      <c r="D4956" s="1612" t="s">
        <v>7555</v>
      </c>
      <c r="E4956" s="1706" t="s">
        <v>7592</v>
      </c>
      <c r="F4956" s="1613">
        <v>18500000</v>
      </c>
      <c r="G4956" s="1613">
        <v>237066751370</v>
      </c>
    </row>
    <row r="4957" spans="1:7" ht="17.25" customHeight="1" x14ac:dyDescent="0.2">
      <c r="A4957" s="1611">
        <v>17</v>
      </c>
      <c r="B4957" s="1611" t="s">
        <v>2032</v>
      </c>
      <c r="C4957" s="1611" t="s">
        <v>3594</v>
      </c>
      <c r="D4957" s="1612" t="s">
        <v>7555</v>
      </c>
      <c r="E4957" s="1706" t="s">
        <v>7592</v>
      </c>
      <c r="F4957" s="1613">
        <v>18373000</v>
      </c>
      <c r="G4957" s="1613">
        <v>237085124370</v>
      </c>
    </row>
    <row r="4958" spans="1:7" ht="17.25" customHeight="1" x14ac:dyDescent="0.2">
      <c r="A4958" s="1611">
        <v>17</v>
      </c>
      <c r="B4958" s="1611" t="s">
        <v>2039</v>
      </c>
      <c r="C4958" s="1611" t="s">
        <v>6524</v>
      </c>
      <c r="D4958" s="1612" t="s">
        <v>7555</v>
      </c>
      <c r="E4958" s="1706" t="s">
        <v>7592</v>
      </c>
      <c r="F4958" s="1613">
        <v>41000000</v>
      </c>
      <c r="G4958" s="1613">
        <v>237126124370</v>
      </c>
    </row>
    <row r="4959" spans="1:7" ht="17.25" customHeight="1" x14ac:dyDescent="0.2">
      <c r="A4959" s="1611">
        <v>17</v>
      </c>
      <c r="B4959" s="1611" t="s">
        <v>2039</v>
      </c>
      <c r="C4959" s="1611" t="s">
        <v>6525</v>
      </c>
      <c r="D4959" s="1612" t="s">
        <v>7555</v>
      </c>
      <c r="E4959" s="1706" t="s">
        <v>7592</v>
      </c>
      <c r="F4959" s="1613">
        <v>42000000</v>
      </c>
      <c r="G4959" s="1613">
        <v>237168124370</v>
      </c>
    </row>
    <row r="4960" spans="1:7" ht="17.25" customHeight="1" x14ac:dyDescent="0.2">
      <c r="A4960" s="1611">
        <v>17</v>
      </c>
      <c r="B4960" s="1611" t="s">
        <v>2041</v>
      </c>
      <c r="C4960" s="1611" t="s">
        <v>6526</v>
      </c>
      <c r="D4960" s="1612" t="s">
        <v>7555</v>
      </c>
      <c r="E4960" s="1706" t="s">
        <v>7592</v>
      </c>
      <c r="F4960" s="1613">
        <v>52000000</v>
      </c>
      <c r="G4960" s="1613">
        <v>237220124370</v>
      </c>
    </row>
    <row r="4961" spans="1:7" ht="17.25" customHeight="1" x14ac:dyDescent="0.2">
      <c r="A4961" s="1611">
        <v>17</v>
      </c>
      <c r="B4961" s="1611" t="s">
        <v>2028</v>
      </c>
      <c r="C4961" s="1611" t="s">
        <v>3438</v>
      </c>
      <c r="D4961" s="1612" t="s">
        <v>2024</v>
      </c>
      <c r="E4961" s="1706" t="s">
        <v>7592</v>
      </c>
      <c r="F4961" s="1613">
        <v>50054000</v>
      </c>
      <c r="G4961" s="1613">
        <v>237270178370</v>
      </c>
    </row>
    <row r="4962" spans="1:7" ht="17.25" customHeight="1" x14ac:dyDescent="0.2">
      <c r="A4962" s="1611">
        <v>17</v>
      </c>
      <c r="B4962" s="1611" t="s">
        <v>2028</v>
      </c>
      <c r="C4962" s="1611" t="s">
        <v>3438</v>
      </c>
      <c r="D4962" s="1612" t="s">
        <v>2024</v>
      </c>
      <c r="E4962" s="1706" t="s">
        <v>7592</v>
      </c>
      <c r="F4962" s="1613">
        <v>50054000</v>
      </c>
      <c r="G4962" s="1613">
        <v>237320232370</v>
      </c>
    </row>
    <row r="4963" spans="1:7" ht="17.25" customHeight="1" x14ac:dyDescent="0.2">
      <c r="A4963" s="1611">
        <v>17</v>
      </c>
      <c r="B4963" s="1611" t="s">
        <v>7360</v>
      </c>
      <c r="C4963" s="1611" t="s">
        <v>3438</v>
      </c>
      <c r="D4963" s="1612">
        <v>0</v>
      </c>
      <c r="E4963" s="1706" t="s">
        <v>7592</v>
      </c>
      <c r="F4963" s="1613">
        <v>33420000</v>
      </c>
      <c r="G4963" s="1613">
        <v>237353652370</v>
      </c>
    </row>
    <row r="4964" spans="1:7" ht="17.25" customHeight="1" x14ac:dyDescent="0.2">
      <c r="A4964" s="1611">
        <v>17</v>
      </c>
      <c r="B4964" s="1611" t="s">
        <v>2037</v>
      </c>
      <c r="C4964" s="1611" t="s">
        <v>4164</v>
      </c>
      <c r="D4964" s="1612" t="s">
        <v>7555</v>
      </c>
      <c r="E4964" s="1706" t="s">
        <v>7592</v>
      </c>
      <c r="F4964" s="1613">
        <v>38181818</v>
      </c>
      <c r="G4964" s="1613">
        <v>237391834188</v>
      </c>
    </row>
    <row r="4965" spans="1:7" ht="17.25" customHeight="1" x14ac:dyDescent="0.2">
      <c r="A4965" s="1611">
        <v>17</v>
      </c>
      <c r="B4965" s="1611" t="s">
        <v>2037</v>
      </c>
      <c r="C4965" s="1611" t="s">
        <v>5652</v>
      </c>
      <c r="D4965" s="1612" t="s">
        <v>7555</v>
      </c>
      <c r="E4965" s="1706" t="s">
        <v>7592</v>
      </c>
      <c r="F4965" s="1613">
        <v>38636364</v>
      </c>
      <c r="G4965" s="1613">
        <v>237430470552</v>
      </c>
    </row>
    <row r="4966" spans="1:7" ht="17.25" customHeight="1" x14ac:dyDescent="0.2">
      <c r="A4966" s="1611">
        <v>17</v>
      </c>
      <c r="B4966" s="1611" t="s">
        <v>2037</v>
      </c>
      <c r="C4966" s="1611" t="s">
        <v>4000</v>
      </c>
      <c r="D4966" s="1612" t="s">
        <v>7555</v>
      </c>
      <c r="E4966" s="1706" t="s">
        <v>7592</v>
      </c>
      <c r="F4966" s="1613">
        <v>36500000</v>
      </c>
      <c r="G4966" s="1613">
        <v>237466970552</v>
      </c>
    </row>
    <row r="4967" spans="1:7" ht="17.25" customHeight="1" x14ac:dyDescent="0.2">
      <c r="A4967" s="1611">
        <v>17</v>
      </c>
      <c r="B4967" s="1611" t="s">
        <v>2062</v>
      </c>
      <c r="C4967" s="1611" t="s">
        <v>6527</v>
      </c>
      <c r="D4967" s="1612" t="s">
        <v>2023</v>
      </c>
      <c r="E4967" s="1706" t="s">
        <v>7592</v>
      </c>
      <c r="F4967" s="1613">
        <v>176500000</v>
      </c>
      <c r="G4967" s="1613">
        <v>237643470552</v>
      </c>
    </row>
    <row r="4968" spans="1:7" ht="17.25" customHeight="1" x14ac:dyDescent="0.2">
      <c r="A4968" s="1611">
        <v>17</v>
      </c>
      <c r="B4968" s="1611" t="s">
        <v>2028</v>
      </c>
      <c r="C4968" s="1611" t="s">
        <v>6528</v>
      </c>
      <c r="D4968" s="1612" t="s">
        <v>2024</v>
      </c>
      <c r="E4968" s="1706" t="s">
        <v>7592</v>
      </c>
      <c r="F4968" s="1613">
        <v>13500000</v>
      </c>
      <c r="G4968" s="1613">
        <v>237656970552</v>
      </c>
    </row>
    <row r="4969" spans="1:7" ht="17.25" customHeight="1" x14ac:dyDescent="0.2">
      <c r="A4969" s="1611">
        <v>17</v>
      </c>
      <c r="B4969" s="1611" t="s">
        <v>2028</v>
      </c>
      <c r="C4969" s="1611" t="s">
        <v>6529</v>
      </c>
      <c r="D4969" s="1612" t="s">
        <v>2024</v>
      </c>
      <c r="E4969" s="1706" t="s">
        <v>7592</v>
      </c>
      <c r="F4969" s="1613">
        <v>14300000</v>
      </c>
      <c r="G4969" s="1613">
        <v>237671270552</v>
      </c>
    </row>
    <row r="4970" spans="1:7" ht="17.25" customHeight="1" x14ac:dyDescent="0.2">
      <c r="A4970" s="1611">
        <v>17</v>
      </c>
      <c r="B4970" s="1611" t="s">
        <v>2062</v>
      </c>
      <c r="C4970" s="1611" t="s">
        <v>6530</v>
      </c>
      <c r="D4970" s="1612" t="s">
        <v>2023</v>
      </c>
      <c r="E4970" s="1706" t="s">
        <v>7592</v>
      </c>
      <c r="F4970" s="1613">
        <v>172200000</v>
      </c>
      <c r="G4970" s="1613">
        <v>237843470552</v>
      </c>
    </row>
    <row r="4971" spans="1:7" ht="17.25" customHeight="1" x14ac:dyDescent="0.2">
      <c r="A4971" s="1611">
        <v>17</v>
      </c>
      <c r="B4971" s="1611" t="s">
        <v>2060</v>
      </c>
      <c r="C4971" s="1611" t="s">
        <v>6531</v>
      </c>
      <c r="D4971" s="1612" t="s">
        <v>2023</v>
      </c>
      <c r="E4971" s="1706" t="s">
        <v>7592</v>
      </c>
      <c r="F4971" s="1613">
        <v>163636363</v>
      </c>
      <c r="G4971" s="1613">
        <v>238007106915</v>
      </c>
    </row>
    <row r="4972" spans="1:7" ht="17.25" customHeight="1" x14ac:dyDescent="0.2">
      <c r="A4972" s="1611">
        <v>17</v>
      </c>
      <c r="B4972" s="1611" t="s">
        <v>2055</v>
      </c>
      <c r="C4972" s="1611" t="s">
        <v>6532</v>
      </c>
      <c r="D4972" s="1612" t="s">
        <v>7555</v>
      </c>
      <c r="E4972" s="1706" t="s">
        <v>7592</v>
      </c>
      <c r="F4972" s="1613">
        <v>60581818</v>
      </c>
      <c r="G4972" s="1613">
        <v>238067688733</v>
      </c>
    </row>
    <row r="4973" spans="1:7" ht="17.25" customHeight="1" x14ac:dyDescent="0.2">
      <c r="A4973" s="1611">
        <v>17</v>
      </c>
      <c r="B4973" s="1611" t="s">
        <v>2041</v>
      </c>
      <c r="C4973" s="1611" t="s">
        <v>6533</v>
      </c>
      <c r="D4973" s="1612" t="s">
        <v>7555</v>
      </c>
      <c r="E4973" s="1706" t="s">
        <v>7592</v>
      </c>
      <c r="F4973" s="1613">
        <v>49545454</v>
      </c>
      <c r="G4973" s="1613">
        <v>238117234187</v>
      </c>
    </row>
    <row r="4974" spans="1:7" ht="17.25" customHeight="1" x14ac:dyDescent="0.2">
      <c r="A4974" s="1611">
        <v>17</v>
      </c>
      <c r="B4974" s="1611" t="s">
        <v>2039</v>
      </c>
      <c r="C4974" s="1611" t="s">
        <v>6534</v>
      </c>
      <c r="D4974" s="1612" t="s">
        <v>7555</v>
      </c>
      <c r="E4974" s="1706" t="s">
        <v>7592</v>
      </c>
      <c r="F4974" s="1613">
        <v>41818182</v>
      </c>
      <c r="G4974" s="1613">
        <v>238159052369</v>
      </c>
    </row>
    <row r="4975" spans="1:7" ht="17.25" customHeight="1" x14ac:dyDescent="0.2">
      <c r="A4975" s="1611">
        <v>17</v>
      </c>
      <c r="B4975" s="1611" t="s">
        <v>2062</v>
      </c>
      <c r="C4975" s="1611" t="s">
        <v>6535</v>
      </c>
      <c r="D4975" s="1612" t="s">
        <v>2023</v>
      </c>
      <c r="E4975" s="1706" t="s">
        <v>7592</v>
      </c>
      <c r="F4975" s="1613">
        <v>175000000</v>
      </c>
      <c r="G4975" s="1613">
        <v>238334052369</v>
      </c>
    </row>
    <row r="4976" spans="1:7" ht="17.25" customHeight="1" x14ac:dyDescent="0.2">
      <c r="A4976" s="1611">
        <v>17</v>
      </c>
      <c r="B4976" s="1611" t="s">
        <v>2836</v>
      </c>
      <c r="C4976" s="1611" t="s">
        <v>6536</v>
      </c>
      <c r="D4976" s="1612" t="s">
        <v>7555</v>
      </c>
      <c r="E4976" s="1706" t="s">
        <v>7592</v>
      </c>
      <c r="F4976" s="1613">
        <v>32000000</v>
      </c>
      <c r="G4976" s="1613">
        <v>238366052369</v>
      </c>
    </row>
    <row r="4977" spans="1:7" ht="17.25" customHeight="1" x14ac:dyDescent="0.2">
      <c r="A4977" s="1611">
        <v>17</v>
      </c>
      <c r="B4977" s="1611" t="s">
        <v>2060</v>
      </c>
      <c r="C4977" s="1611" t="s">
        <v>6537</v>
      </c>
      <c r="D4977" s="1612" t="s">
        <v>2023</v>
      </c>
      <c r="E4977" s="1706" t="s">
        <v>7592</v>
      </c>
      <c r="F4977" s="1613">
        <v>164000000</v>
      </c>
      <c r="G4977" s="1613">
        <v>238530052369</v>
      </c>
    </row>
    <row r="4978" spans="1:7" ht="17.25" customHeight="1" x14ac:dyDescent="0.2">
      <c r="A4978" s="1611">
        <v>17</v>
      </c>
      <c r="B4978" s="1611" t="s">
        <v>2062</v>
      </c>
      <c r="C4978" s="1611" t="s">
        <v>6538</v>
      </c>
      <c r="D4978" s="1612" t="s">
        <v>2023</v>
      </c>
      <c r="E4978" s="1706" t="s">
        <v>7592</v>
      </c>
      <c r="F4978" s="1613">
        <v>175000000</v>
      </c>
      <c r="G4978" s="1613">
        <v>238705052369</v>
      </c>
    </row>
    <row r="4979" spans="1:7" ht="17.25" customHeight="1" x14ac:dyDescent="0.2">
      <c r="A4979" s="1611">
        <v>17</v>
      </c>
      <c r="B4979" s="1611" t="s">
        <v>2035</v>
      </c>
      <c r="C4979" s="1611" t="s">
        <v>6539</v>
      </c>
      <c r="D4979" s="1612" t="s">
        <v>7555</v>
      </c>
      <c r="E4979" s="1706" t="s">
        <v>7592</v>
      </c>
      <c r="F4979" s="1613">
        <v>49252273</v>
      </c>
      <c r="G4979" s="1613">
        <v>238754304642</v>
      </c>
    </row>
    <row r="4980" spans="1:7" ht="17.25" customHeight="1" x14ac:dyDescent="0.2">
      <c r="A4980" s="1611">
        <v>17</v>
      </c>
      <c r="B4980" s="1611" t="s">
        <v>2842</v>
      </c>
      <c r="C4980" s="1611" t="s">
        <v>6540</v>
      </c>
      <c r="D4980" s="1612" t="s">
        <v>7555</v>
      </c>
      <c r="E4980" s="1706" t="s">
        <v>7592</v>
      </c>
      <c r="F4980" s="1613">
        <v>43000000</v>
      </c>
      <c r="G4980" s="1613">
        <v>238797304642</v>
      </c>
    </row>
    <row r="4981" spans="1:7" ht="17.25" customHeight="1" x14ac:dyDescent="0.2">
      <c r="A4981" s="1611">
        <v>17</v>
      </c>
      <c r="B4981" s="1611" t="s">
        <v>2842</v>
      </c>
      <c r="C4981" s="1611" t="s">
        <v>6541</v>
      </c>
      <c r="D4981" s="1612" t="s">
        <v>7555</v>
      </c>
      <c r="E4981" s="1706" t="s">
        <v>7592</v>
      </c>
      <c r="F4981" s="1613">
        <v>47090000</v>
      </c>
      <c r="G4981" s="1613">
        <v>238844394642</v>
      </c>
    </row>
    <row r="4982" spans="1:7" ht="17.25" customHeight="1" x14ac:dyDescent="0.2">
      <c r="A4982" s="1611">
        <v>17</v>
      </c>
      <c r="B4982" s="1611" t="s">
        <v>2028</v>
      </c>
      <c r="C4982" s="1611" t="s">
        <v>6542</v>
      </c>
      <c r="D4982" s="1612" t="s">
        <v>2024</v>
      </c>
      <c r="E4982" s="1706" t="s">
        <v>7592</v>
      </c>
      <c r="F4982" s="1613">
        <v>16850000</v>
      </c>
      <c r="G4982" s="1613">
        <v>238861244642</v>
      </c>
    </row>
    <row r="4983" spans="1:7" ht="17.25" customHeight="1" x14ac:dyDescent="0.2">
      <c r="A4983" s="1611">
        <v>17</v>
      </c>
      <c r="B4983" s="1611" t="s">
        <v>2037</v>
      </c>
      <c r="C4983" s="1611" t="s">
        <v>6238</v>
      </c>
      <c r="D4983" s="1612" t="s">
        <v>7555</v>
      </c>
      <c r="E4983" s="1706" t="s">
        <v>7592</v>
      </c>
      <c r="F4983" s="1613">
        <v>38181818</v>
      </c>
      <c r="G4983" s="1613">
        <v>238899426460</v>
      </c>
    </row>
    <row r="4984" spans="1:7" ht="17.25" customHeight="1" x14ac:dyDescent="0.2">
      <c r="A4984" s="1611">
        <v>17</v>
      </c>
      <c r="B4984" s="1611" t="s">
        <v>2063</v>
      </c>
      <c r="C4984" s="1611" t="s">
        <v>6543</v>
      </c>
      <c r="D4984" s="1612" t="s">
        <v>2023</v>
      </c>
      <c r="E4984" s="1706" t="s">
        <v>7592</v>
      </c>
      <c r="F4984" s="1613">
        <v>160500000</v>
      </c>
      <c r="G4984" s="1613">
        <v>239059926460</v>
      </c>
    </row>
    <row r="4985" spans="1:7" ht="17.25" customHeight="1" x14ac:dyDescent="0.2">
      <c r="A4985" s="1611">
        <v>17</v>
      </c>
      <c r="B4985" s="1611" t="s">
        <v>2037</v>
      </c>
      <c r="C4985" s="1611" t="s">
        <v>6544</v>
      </c>
      <c r="D4985" s="1612" t="s">
        <v>7555</v>
      </c>
      <c r="E4985" s="1706" t="s">
        <v>7592</v>
      </c>
      <c r="F4985" s="1613">
        <v>37090909</v>
      </c>
      <c r="G4985" s="1613">
        <v>239097017369</v>
      </c>
    </row>
    <row r="4986" spans="1:7" ht="17.25" customHeight="1" x14ac:dyDescent="0.2">
      <c r="A4986" s="1611">
        <v>17</v>
      </c>
      <c r="B4986" s="1611" t="s">
        <v>2032</v>
      </c>
      <c r="C4986" s="1611" t="s">
        <v>6545</v>
      </c>
      <c r="D4986" s="1612" t="s">
        <v>7555</v>
      </c>
      <c r="E4986" s="1706" t="s">
        <v>7592</v>
      </c>
      <c r="F4986" s="1613">
        <v>18373000</v>
      </c>
      <c r="G4986" s="1613">
        <v>239115390369</v>
      </c>
    </row>
    <row r="4987" spans="1:7" ht="17.25" customHeight="1" x14ac:dyDescent="0.2">
      <c r="A4987" s="1611">
        <v>17</v>
      </c>
      <c r="B4987" s="1611" t="s">
        <v>2037</v>
      </c>
      <c r="C4987" s="1611" t="s">
        <v>6546</v>
      </c>
      <c r="D4987" s="1612" t="s">
        <v>7555</v>
      </c>
      <c r="E4987" s="1706" t="s">
        <v>7592</v>
      </c>
      <c r="F4987" s="1613">
        <v>37850000</v>
      </c>
      <c r="G4987" s="1613">
        <v>239153240369</v>
      </c>
    </row>
    <row r="4988" spans="1:7" ht="17.25" customHeight="1" x14ac:dyDescent="0.2">
      <c r="A4988" s="1611">
        <v>17</v>
      </c>
      <c r="B4988" s="1611" t="s">
        <v>2063</v>
      </c>
      <c r="C4988" s="1611" t="s">
        <v>6547</v>
      </c>
      <c r="D4988" s="1612" t="s">
        <v>2023</v>
      </c>
      <c r="E4988" s="1706" t="s">
        <v>7592</v>
      </c>
      <c r="F4988" s="1613">
        <v>160500000</v>
      </c>
      <c r="G4988" s="1613">
        <v>239313740369</v>
      </c>
    </row>
    <row r="4989" spans="1:7" ht="17.25" customHeight="1" x14ac:dyDescent="0.2">
      <c r="A4989" s="1611">
        <v>17</v>
      </c>
      <c r="B4989" s="1611" t="s">
        <v>2037</v>
      </c>
      <c r="C4989" s="1611" t="s">
        <v>4316</v>
      </c>
      <c r="D4989" s="1612" t="s">
        <v>7555</v>
      </c>
      <c r="E4989" s="1706" t="s">
        <v>7592</v>
      </c>
      <c r="F4989" s="1613">
        <v>18500000</v>
      </c>
      <c r="G4989" s="1613">
        <v>239332240369</v>
      </c>
    </row>
    <row r="4990" spans="1:7" ht="17.25" customHeight="1" x14ac:dyDescent="0.2">
      <c r="A4990" s="1611">
        <v>17</v>
      </c>
      <c r="B4990" s="1611" t="s">
        <v>2062</v>
      </c>
      <c r="C4990" s="1611" t="s">
        <v>6548</v>
      </c>
      <c r="D4990" s="1612" t="s">
        <v>2023</v>
      </c>
      <c r="E4990" s="1706" t="s">
        <v>7592</v>
      </c>
      <c r="F4990" s="1613">
        <v>175000000</v>
      </c>
      <c r="G4990" s="1613">
        <v>239507240369</v>
      </c>
    </row>
    <row r="4991" spans="1:7" ht="17.25" customHeight="1" x14ac:dyDescent="0.2">
      <c r="A4991" s="1611">
        <v>17</v>
      </c>
      <c r="B4991" s="1611" t="s">
        <v>7361</v>
      </c>
      <c r="C4991" s="1611" t="s">
        <v>6549</v>
      </c>
      <c r="D4991" s="1612">
        <v>0</v>
      </c>
      <c r="E4991" s="1612" t="s">
        <v>3296</v>
      </c>
      <c r="F4991" s="1613">
        <v>571862000</v>
      </c>
      <c r="G4991" s="1613">
        <v>240079102369</v>
      </c>
    </row>
    <row r="4992" spans="1:7" ht="17.25" customHeight="1" x14ac:dyDescent="0.2">
      <c r="A4992" s="1611">
        <v>17</v>
      </c>
      <c r="B4992" s="1611" t="s">
        <v>2041</v>
      </c>
      <c r="C4992" s="1611" t="s">
        <v>6550</v>
      </c>
      <c r="D4992" s="1612" t="s">
        <v>7555</v>
      </c>
      <c r="E4992" s="1706" t="s">
        <v>7592</v>
      </c>
      <c r="F4992" s="1613">
        <v>48500000</v>
      </c>
      <c r="G4992" s="1613">
        <v>240127602369</v>
      </c>
    </row>
    <row r="4993" spans="1:7" ht="17.25" customHeight="1" x14ac:dyDescent="0.2">
      <c r="A4993" s="1611">
        <v>17</v>
      </c>
      <c r="B4993" s="1611" t="s">
        <v>2823</v>
      </c>
      <c r="C4993" s="1611" t="s">
        <v>3515</v>
      </c>
      <c r="D4993" s="1612" t="s">
        <v>2024</v>
      </c>
      <c r="E4993" s="1706" t="s">
        <v>7592</v>
      </c>
      <c r="F4993" s="1613">
        <v>21000000</v>
      </c>
      <c r="G4993" s="1613">
        <v>240148602369</v>
      </c>
    </row>
    <row r="4994" spans="1:7" ht="17.25" customHeight="1" x14ac:dyDescent="0.2">
      <c r="A4994" s="1611">
        <v>17</v>
      </c>
      <c r="B4994" s="1611" t="s">
        <v>2037</v>
      </c>
      <c r="C4994" s="1611" t="s">
        <v>4342</v>
      </c>
      <c r="D4994" s="1612" t="s">
        <v>7555</v>
      </c>
      <c r="E4994" s="1706" t="s">
        <v>7592</v>
      </c>
      <c r="F4994" s="1613">
        <v>38500000</v>
      </c>
      <c r="G4994" s="1613">
        <v>240187102369</v>
      </c>
    </row>
    <row r="4995" spans="1:7" ht="17.25" customHeight="1" x14ac:dyDescent="0.2">
      <c r="A4995" s="1611">
        <v>17</v>
      </c>
      <c r="B4995" s="1611" t="s">
        <v>2826</v>
      </c>
      <c r="C4995" s="1611" t="s">
        <v>6551</v>
      </c>
      <c r="D4995" s="1612">
        <v>0</v>
      </c>
      <c r="E4995" s="1706" t="s">
        <v>7592</v>
      </c>
      <c r="F4995" s="1613">
        <v>13954545</v>
      </c>
      <c r="G4995" s="1613">
        <v>240201056914</v>
      </c>
    </row>
    <row r="4996" spans="1:7" ht="17.25" customHeight="1" x14ac:dyDescent="0.2">
      <c r="A4996" s="1611">
        <v>17</v>
      </c>
      <c r="B4996" s="1611" t="s">
        <v>2061</v>
      </c>
      <c r="C4996" s="1611" t="s">
        <v>6372</v>
      </c>
      <c r="D4996" s="1612" t="s">
        <v>2023</v>
      </c>
      <c r="E4996" s="1706" t="s">
        <v>7592</v>
      </c>
      <c r="F4996" s="1613">
        <v>148600000</v>
      </c>
      <c r="G4996" s="1613">
        <v>240349656914</v>
      </c>
    </row>
    <row r="4997" spans="1:7" ht="17.25" customHeight="1" x14ac:dyDescent="0.2">
      <c r="A4997" s="1611">
        <v>17</v>
      </c>
      <c r="B4997" s="1611" t="s">
        <v>2037</v>
      </c>
      <c r="C4997" s="1611" t="s">
        <v>6552</v>
      </c>
      <c r="D4997" s="1612" t="s">
        <v>7555</v>
      </c>
      <c r="E4997" s="1706" t="s">
        <v>7592</v>
      </c>
      <c r="F4997" s="1613">
        <v>37600000</v>
      </c>
      <c r="G4997" s="1613">
        <v>240387256914</v>
      </c>
    </row>
    <row r="4998" spans="1:7" ht="17.25" customHeight="1" x14ac:dyDescent="0.2">
      <c r="A4998" s="1611">
        <v>17</v>
      </c>
      <c r="B4998" s="1611" t="s">
        <v>2039</v>
      </c>
      <c r="C4998" s="1611" t="s">
        <v>3945</v>
      </c>
      <c r="D4998" s="1612" t="s">
        <v>7555</v>
      </c>
      <c r="E4998" s="1706" t="s">
        <v>7592</v>
      </c>
      <c r="F4998" s="1613">
        <v>40909091</v>
      </c>
      <c r="G4998" s="1613">
        <v>240428166005</v>
      </c>
    </row>
    <row r="4999" spans="1:7" ht="17.25" customHeight="1" x14ac:dyDescent="0.2">
      <c r="A4999" s="1611">
        <v>17</v>
      </c>
      <c r="B4999" s="1611" t="s">
        <v>2836</v>
      </c>
      <c r="C4999" s="1611" t="s">
        <v>6553</v>
      </c>
      <c r="D4999" s="1612" t="s">
        <v>7555</v>
      </c>
      <c r="E4999" s="1706" t="s">
        <v>7592</v>
      </c>
      <c r="F4999" s="1613">
        <v>31000000</v>
      </c>
      <c r="G4999" s="1613">
        <v>240459166005</v>
      </c>
    </row>
    <row r="5000" spans="1:7" ht="17.25" customHeight="1" x14ac:dyDescent="0.2">
      <c r="A5000" s="1611">
        <v>17</v>
      </c>
      <c r="B5000" s="1611" t="s">
        <v>2044</v>
      </c>
      <c r="C5000" s="1611" t="s">
        <v>6485</v>
      </c>
      <c r="D5000" s="1612" t="s">
        <v>7555</v>
      </c>
      <c r="E5000" s="1706" t="s">
        <v>7592</v>
      </c>
      <c r="F5000" s="1613">
        <v>39545455</v>
      </c>
      <c r="G5000" s="1613">
        <v>240498711460</v>
      </c>
    </row>
    <row r="5001" spans="1:7" ht="17.25" customHeight="1" x14ac:dyDescent="0.2">
      <c r="A5001" s="1611">
        <v>17</v>
      </c>
      <c r="B5001" s="1611" t="s">
        <v>2054</v>
      </c>
      <c r="C5001" s="1611" t="s">
        <v>6554</v>
      </c>
      <c r="D5001" s="1612" t="s">
        <v>2024</v>
      </c>
      <c r="E5001" s="1706" t="s">
        <v>7592</v>
      </c>
      <c r="F5001" s="1613">
        <v>14720000</v>
      </c>
      <c r="G5001" s="1613">
        <v>240513431460</v>
      </c>
    </row>
    <row r="5002" spans="1:7" ht="17.25" customHeight="1" x14ac:dyDescent="0.2">
      <c r="A5002" s="1611">
        <v>17</v>
      </c>
      <c r="B5002" s="1611" t="s">
        <v>2032</v>
      </c>
      <c r="C5002" s="1611" t="s">
        <v>6555</v>
      </c>
      <c r="D5002" s="1612" t="s">
        <v>7555</v>
      </c>
      <c r="E5002" s="1706" t="s">
        <v>7592</v>
      </c>
      <c r="F5002" s="1613">
        <v>18373000</v>
      </c>
      <c r="G5002" s="1613">
        <v>240531804460</v>
      </c>
    </row>
    <row r="5003" spans="1:7" ht="17.25" customHeight="1" x14ac:dyDescent="0.2">
      <c r="A5003" s="1611">
        <v>17</v>
      </c>
      <c r="B5003" s="1611" t="s">
        <v>2063</v>
      </c>
      <c r="C5003" s="1611" t="s">
        <v>5371</v>
      </c>
      <c r="D5003" s="1612" t="s">
        <v>2023</v>
      </c>
      <c r="E5003" s="1706" t="s">
        <v>7592</v>
      </c>
      <c r="F5003" s="1613">
        <v>159000000</v>
      </c>
      <c r="G5003" s="1613">
        <v>240690804460</v>
      </c>
    </row>
    <row r="5004" spans="1:7" ht="17.25" customHeight="1" x14ac:dyDescent="0.2">
      <c r="A5004" s="1611">
        <v>17</v>
      </c>
      <c r="B5004" s="1611" t="s">
        <v>2054</v>
      </c>
      <c r="C5004" s="1611" t="s">
        <v>6556</v>
      </c>
      <c r="D5004" s="1612" t="s">
        <v>2024</v>
      </c>
      <c r="E5004" s="1706" t="s">
        <v>7592</v>
      </c>
      <c r="F5004" s="1613">
        <v>13500000</v>
      </c>
      <c r="G5004" s="1613">
        <v>240704304460</v>
      </c>
    </row>
    <row r="5005" spans="1:7" ht="17.25" customHeight="1" x14ac:dyDescent="0.2">
      <c r="A5005" s="1611">
        <v>17</v>
      </c>
      <c r="B5005" s="1611" t="s">
        <v>2028</v>
      </c>
      <c r="C5005" s="1611" t="s">
        <v>6557</v>
      </c>
      <c r="D5005" s="1612" t="s">
        <v>2024</v>
      </c>
      <c r="E5005" s="1706" t="s">
        <v>7592</v>
      </c>
      <c r="F5005" s="1613">
        <v>14545454</v>
      </c>
      <c r="G5005" s="1613">
        <v>240718849914</v>
      </c>
    </row>
    <row r="5006" spans="1:7" ht="17.25" customHeight="1" x14ac:dyDescent="0.2">
      <c r="A5006" s="1611">
        <v>17</v>
      </c>
      <c r="B5006" s="1611" t="s">
        <v>2041</v>
      </c>
      <c r="C5006" s="1611" t="s">
        <v>6558</v>
      </c>
      <c r="D5006" s="1612" t="s">
        <v>7555</v>
      </c>
      <c r="E5006" s="1706" t="s">
        <v>7592</v>
      </c>
      <c r="F5006" s="1613">
        <v>50000000</v>
      </c>
      <c r="G5006" s="1613">
        <v>240768849914</v>
      </c>
    </row>
    <row r="5007" spans="1:7" ht="17.25" customHeight="1" x14ac:dyDescent="0.2">
      <c r="A5007" s="1611">
        <v>17</v>
      </c>
      <c r="B5007" s="1611" t="s">
        <v>2836</v>
      </c>
      <c r="C5007" s="1611" t="s">
        <v>6559</v>
      </c>
      <c r="D5007" s="1612" t="s">
        <v>7555</v>
      </c>
      <c r="E5007" s="1706" t="s">
        <v>7592</v>
      </c>
      <c r="F5007" s="1613">
        <v>32727273</v>
      </c>
      <c r="G5007" s="1613">
        <v>240801577187</v>
      </c>
    </row>
    <row r="5008" spans="1:7" ht="17.25" customHeight="1" x14ac:dyDescent="0.2">
      <c r="A5008" s="1611">
        <v>17</v>
      </c>
      <c r="B5008" s="1611" t="s">
        <v>2048</v>
      </c>
      <c r="C5008" s="1611" t="s">
        <v>6560</v>
      </c>
      <c r="D5008" s="1612" t="s">
        <v>7555</v>
      </c>
      <c r="E5008" s="1706" t="s">
        <v>7592</v>
      </c>
      <c r="F5008" s="1613">
        <v>40454545</v>
      </c>
      <c r="G5008" s="1613">
        <v>240842031732</v>
      </c>
    </row>
    <row r="5009" spans="1:7" ht="17.25" customHeight="1" x14ac:dyDescent="0.2">
      <c r="A5009" s="1611">
        <v>17</v>
      </c>
      <c r="B5009" s="1611" t="s">
        <v>7203</v>
      </c>
      <c r="C5009" s="1611" t="s">
        <v>6561</v>
      </c>
      <c r="D5009" s="1612">
        <v>0</v>
      </c>
      <c r="E5009" s="1612" t="s">
        <v>7566</v>
      </c>
      <c r="F5009" s="1613">
        <v>37184400</v>
      </c>
      <c r="G5009" s="1613">
        <v>240879216132</v>
      </c>
    </row>
    <row r="5010" spans="1:7" ht="17.25" customHeight="1" x14ac:dyDescent="0.2">
      <c r="A5010" s="1611">
        <v>17</v>
      </c>
      <c r="B5010" s="1611" t="s">
        <v>2062</v>
      </c>
      <c r="C5010" s="1611" t="s">
        <v>6562</v>
      </c>
      <c r="D5010" s="1612" t="s">
        <v>2023</v>
      </c>
      <c r="E5010" s="1706" t="s">
        <v>7592</v>
      </c>
      <c r="F5010" s="1613">
        <v>175000000</v>
      </c>
      <c r="G5010" s="1613">
        <v>241054216132</v>
      </c>
    </row>
    <row r="5011" spans="1:7" ht="17.25" customHeight="1" x14ac:dyDescent="0.2">
      <c r="A5011" s="1611">
        <v>17</v>
      </c>
      <c r="B5011" s="1611" t="s">
        <v>2037</v>
      </c>
      <c r="C5011" s="1611" t="s">
        <v>6563</v>
      </c>
      <c r="D5011" s="1612" t="s">
        <v>7555</v>
      </c>
      <c r="E5011" s="1706" t="s">
        <v>7592</v>
      </c>
      <c r="F5011" s="1613">
        <v>18500000</v>
      </c>
      <c r="G5011" s="1613">
        <v>241072716132</v>
      </c>
    </row>
    <row r="5012" spans="1:7" ht="17.25" customHeight="1" x14ac:dyDescent="0.2">
      <c r="A5012" s="1611">
        <v>17</v>
      </c>
      <c r="B5012" s="1611" t="s">
        <v>2037</v>
      </c>
      <c r="C5012" s="1611" t="s">
        <v>5652</v>
      </c>
      <c r="D5012" s="1612" t="s">
        <v>7555</v>
      </c>
      <c r="E5012" s="1706" t="s">
        <v>7592</v>
      </c>
      <c r="F5012" s="1613">
        <v>38636364</v>
      </c>
      <c r="G5012" s="1613">
        <v>241111352496</v>
      </c>
    </row>
    <row r="5013" spans="1:7" ht="17.25" customHeight="1" x14ac:dyDescent="0.2">
      <c r="A5013" s="1611">
        <v>17</v>
      </c>
      <c r="B5013" s="1611" t="s">
        <v>2037</v>
      </c>
      <c r="C5013" s="1611" t="s">
        <v>6564</v>
      </c>
      <c r="D5013" s="1612" t="s">
        <v>7555</v>
      </c>
      <c r="E5013" s="1706" t="s">
        <v>7592</v>
      </c>
      <c r="F5013" s="1613">
        <v>36400000</v>
      </c>
      <c r="G5013" s="1613">
        <v>241147752496</v>
      </c>
    </row>
    <row r="5014" spans="1:7" ht="17.25" customHeight="1" x14ac:dyDescent="0.2">
      <c r="A5014" s="1611">
        <v>17</v>
      </c>
      <c r="B5014" s="1611" t="s">
        <v>2037</v>
      </c>
      <c r="C5014" s="1611" t="s">
        <v>4263</v>
      </c>
      <c r="D5014" s="1612" t="s">
        <v>7555</v>
      </c>
      <c r="E5014" s="1706" t="s">
        <v>7592</v>
      </c>
      <c r="F5014" s="1613">
        <v>35000000</v>
      </c>
      <c r="G5014" s="1613">
        <v>241182752496</v>
      </c>
    </row>
    <row r="5015" spans="1:7" ht="17.25" customHeight="1" x14ac:dyDescent="0.2">
      <c r="A5015" s="1611">
        <v>17</v>
      </c>
      <c r="B5015" s="1611" t="s">
        <v>2037</v>
      </c>
      <c r="C5015" s="1611" t="s">
        <v>6565</v>
      </c>
      <c r="D5015" s="1612" t="s">
        <v>7555</v>
      </c>
      <c r="E5015" s="1706" t="s">
        <v>7592</v>
      </c>
      <c r="F5015" s="1613">
        <v>35500000</v>
      </c>
      <c r="G5015" s="1613">
        <v>241218252496</v>
      </c>
    </row>
    <row r="5016" spans="1:7" ht="17.25" customHeight="1" x14ac:dyDescent="0.2">
      <c r="A5016" s="1611">
        <v>17</v>
      </c>
      <c r="B5016" s="1611" t="s">
        <v>2037</v>
      </c>
      <c r="C5016" s="1611" t="s">
        <v>6566</v>
      </c>
      <c r="D5016" s="1612" t="s">
        <v>7555</v>
      </c>
      <c r="E5016" s="1706" t="s">
        <v>7592</v>
      </c>
      <c r="F5016" s="1613">
        <v>35500000</v>
      </c>
      <c r="G5016" s="1613">
        <v>241253752496</v>
      </c>
    </row>
    <row r="5017" spans="1:7" ht="17.25" customHeight="1" x14ac:dyDescent="0.2">
      <c r="A5017" s="1611">
        <v>17</v>
      </c>
      <c r="B5017" s="1611" t="s">
        <v>2039</v>
      </c>
      <c r="C5017" s="1611" t="s">
        <v>6567</v>
      </c>
      <c r="D5017" s="1612" t="s">
        <v>7555</v>
      </c>
      <c r="E5017" s="1706" t="s">
        <v>7592</v>
      </c>
      <c r="F5017" s="1613">
        <v>42327273</v>
      </c>
      <c r="G5017" s="1613">
        <v>241296079769</v>
      </c>
    </row>
    <row r="5018" spans="1:7" ht="17.25" customHeight="1" x14ac:dyDescent="0.2">
      <c r="A5018" s="1611">
        <v>17</v>
      </c>
      <c r="B5018" s="1611" t="s">
        <v>2054</v>
      </c>
      <c r="C5018" s="1611" t="s">
        <v>6568</v>
      </c>
      <c r="D5018" s="1612" t="s">
        <v>2024</v>
      </c>
      <c r="E5018" s="1706" t="s">
        <v>7592</v>
      </c>
      <c r="F5018" s="1613">
        <v>14200000</v>
      </c>
      <c r="G5018" s="1613">
        <v>241310279769</v>
      </c>
    </row>
    <row r="5019" spans="1:7" ht="17.25" customHeight="1" x14ac:dyDescent="0.2">
      <c r="A5019" s="1611">
        <v>17</v>
      </c>
      <c r="B5019" s="1611" t="s">
        <v>2037</v>
      </c>
      <c r="C5019" s="1611" t="s">
        <v>6569</v>
      </c>
      <c r="D5019" s="1612" t="s">
        <v>7555</v>
      </c>
      <c r="E5019" s="1706" t="s">
        <v>7592</v>
      </c>
      <c r="F5019" s="1613">
        <v>3818181</v>
      </c>
      <c r="G5019" s="1613">
        <v>241314097950</v>
      </c>
    </row>
    <row r="5020" spans="1:7" ht="17.25" customHeight="1" x14ac:dyDescent="0.2">
      <c r="A5020" s="1611">
        <v>17</v>
      </c>
      <c r="B5020" s="1611" t="s">
        <v>2037</v>
      </c>
      <c r="C5020" s="1611" t="s">
        <v>6570</v>
      </c>
      <c r="D5020" s="1612" t="s">
        <v>7555</v>
      </c>
      <c r="E5020" s="1706" t="s">
        <v>7592</v>
      </c>
      <c r="F5020" s="1613">
        <v>37000000</v>
      </c>
      <c r="G5020" s="1613">
        <v>241351097950</v>
      </c>
    </row>
    <row r="5021" spans="1:7" ht="17.25" customHeight="1" x14ac:dyDescent="0.2">
      <c r="A5021" s="1611">
        <v>17</v>
      </c>
      <c r="B5021" s="1611" t="s">
        <v>2037</v>
      </c>
      <c r="C5021" s="1611" t="s">
        <v>6571</v>
      </c>
      <c r="D5021" s="1612" t="s">
        <v>7555</v>
      </c>
      <c r="E5021" s="1706" t="s">
        <v>7592</v>
      </c>
      <c r="F5021" s="1613">
        <v>37727273</v>
      </c>
      <c r="G5021" s="1613">
        <v>241388825223</v>
      </c>
    </row>
    <row r="5022" spans="1:7" ht="17.25" customHeight="1" x14ac:dyDescent="0.2">
      <c r="A5022" s="1611">
        <v>17</v>
      </c>
      <c r="B5022" s="1611" t="s">
        <v>2039</v>
      </c>
      <c r="C5022" s="1611" t="s">
        <v>6572</v>
      </c>
      <c r="D5022" s="1612" t="s">
        <v>7555</v>
      </c>
      <c r="E5022" s="1706" t="s">
        <v>7592</v>
      </c>
      <c r="F5022" s="1613">
        <v>41200000</v>
      </c>
      <c r="G5022" s="1613">
        <v>241430025223</v>
      </c>
    </row>
    <row r="5023" spans="1:7" ht="17.25" customHeight="1" x14ac:dyDescent="0.2">
      <c r="A5023" s="1611">
        <v>17</v>
      </c>
      <c r="B5023" s="1611" t="s">
        <v>2039</v>
      </c>
      <c r="C5023" s="1611" t="s">
        <v>6573</v>
      </c>
      <c r="D5023" s="1612" t="s">
        <v>7555</v>
      </c>
      <c r="E5023" s="1706" t="s">
        <v>7592</v>
      </c>
      <c r="F5023" s="1613">
        <v>41454545</v>
      </c>
      <c r="G5023" s="1613">
        <v>241471479768</v>
      </c>
    </row>
    <row r="5024" spans="1:7" ht="17.25" customHeight="1" x14ac:dyDescent="0.2">
      <c r="A5024" s="1611">
        <v>17</v>
      </c>
      <c r="B5024" s="1611" t="s">
        <v>2032</v>
      </c>
      <c r="C5024" s="1611" t="s">
        <v>3720</v>
      </c>
      <c r="D5024" s="1612" t="s">
        <v>7555</v>
      </c>
      <c r="E5024" s="1706" t="s">
        <v>7592</v>
      </c>
      <c r="F5024" s="1613">
        <v>18500000</v>
      </c>
      <c r="G5024" s="1613">
        <v>241489979768</v>
      </c>
    </row>
    <row r="5025" spans="1:7" ht="17.25" customHeight="1" x14ac:dyDescent="0.2">
      <c r="A5025" s="1611">
        <v>17</v>
      </c>
      <c r="B5025" s="1611" t="s">
        <v>2032</v>
      </c>
      <c r="C5025" s="1611" t="s">
        <v>3720</v>
      </c>
      <c r="D5025" s="1612" t="s">
        <v>7555</v>
      </c>
      <c r="E5025" s="1706" t="s">
        <v>7592</v>
      </c>
      <c r="F5025" s="1613">
        <v>18500000</v>
      </c>
      <c r="G5025" s="1613">
        <v>241508479768</v>
      </c>
    </row>
    <row r="5026" spans="1:7" ht="17.25" customHeight="1" x14ac:dyDescent="0.2">
      <c r="A5026" s="1611">
        <v>17</v>
      </c>
      <c r="B5026" s="1611" t="s">
        <v>2028</v>
      </c>
      <c r="C5026" s="1611" t="s">
        <v>4213</v>
      </c>
      <c r="D5026" s="1612" t="s">
        <v>2024</v>
      </c>
      <c r="E5026" s="1706" t="s">
        <v>7592</v>
      </c>
      <c r="F5026" s="1613">
        <v>14500000</v>
      </c>
      <c r="G5026" s="1613">
        <v>241522979768</v>
      </c>
    </row>
    <row r="5027" spans="1:7" ht="17.25" customHeight="1" x14ac:dyDescent="0.2">
      <c r="A5027" s="1611">
        <v>17</v>
      </c>
      <c r="B5027" s="1611" t="s">
        <v>2028</v>
      </c>
      <c r="C5027" s="1611" t="s">
        <v>4213</v>
      </c>
      <c r="D5027" s="1612" t="s">
        <v>2024</v>
      </c>
      <c r="E5027" s="1706" t="s">
        <v>7592</v>
      </c>
      <c r="F5027" s="1613">
        <v>14500000</v>
      </c>
      <c r="G5027" s="1613">
        <v>241537479768</v>
      </c>
    </row>
    <row r="5028" spans="1:7" ht="17.25" customHeight="1" x14ac:dyDescent="0.2">
      <c r="A5028" s="1611">
        <v>17</v>
      </c>
      <c r="B5028" s="1611" t="s">
        <v>2063</v>
      </c>
      <c r="C5028" s="1611" t="s">
        <v>6574</v>
      </c>
      <c r="D5028" s="1612" t="s">
        <v>2023</v>
      </c>
      <c r="E5028" s="1706" t="s">
        <v>7592</v>
      </c>
      <c r="F5028" s="1613">
        <v>154000000</v>
      </c>
      <c r="G5028" s="1613">
        <v>241691479768</v>
      </c>
    </row>
    <row r="5029" spans="1:7" ht="17.25" customHeight="1" x14ac:dyDescent="0.2">
      <c r="A5029" s="1611">
        <v>17</v>
      </c>
      <c r="B5029" s="1611" t="s">
        <v>2037</v>
      </c>
      <c r="C5029" s="1611" t="s">
        <v>6575</v>
      </c>
      <c r="D5029" s="1612" t="s">
        <v>7555</v>
      </c>
      <c r="E5029" s="1706" t="s">
        <v>7592</v>
      </c>
      <c r="F5029" s="1613">
        <v>38500000</v>
      </c>
      <c r="G5029" s="1613">
        <v>241729979768</v>
      </c>
    </row>
    <row r="5030" spans="1:7" ht="17.25" customHeight="1" x14ac:dyDescent="0.2">
      <c r="A5030" s="1611">
        <v>17</v>
      </c>
      <c r="B5030" s="1611" t="s">
        <v>2054</v>
      </c>
      <c r="C5030" s="1611" t="s">
        <v>6576</v>
      </c>
      <c r="D5030" s="1612" t="s">
        <v>2024</v>
      </c>
      <c r="E5030" s="1706" t="s">
        <v>7592</v>
      </c>
      <c r="F5030" s="1613">
        <v>15181818</v>
      </c>
      <c r="G5030" s="1613">
        <v>241745161586</v>
      </c>
    </row>
    <row r="5031" spans="1:7" ht="17.25" customHeight="1" x14ac:dyDescent="0.2">
      <c r="A5031" s="1611">
        <v>17</v>
      </c>
      <c r="B5031" s="1611" t="s">
        <v>2037</v>
      </c>
      <c r="C5031" s="1611" t="s">
        <v>6577</v>
      </c>
      <c r="D5031" s="1612" t="s">
        <v>7555</v>
      </c>
      <c r="E5031" s="1706" t="s">
        <v>7592</v>
      </c>
      <c r="F5031" s="1613">
        <v>36363636</v>
      </c>
      <c r="G5031" s="1613">
        <v>241781525222</v>
      </c>
    </row>
    <row r="5032" spans="1:7" ht="17.25" customHeight="1" x14ac:dyDescent="0.2">
      <c r="A5032" s="1611">
        <v>17</v>
      </c>
      <c r="B5032" s="1611" t="s">
        <v>2041</v>
      </c>
      <c r="C5032" s="1611" t="s">
        <v>6578</v>
      </c>
      <c r="D5032" s="1612" t="s">
        <v>7555</v>
      </c>
      <c r="E5032" s="1706" t="s">
        <v>7592</v>
      </c>
      <c r="F5032" s="1613">
        <v>51818181</v>
      </c>
      <c r="G5032" s="1613">
        <v>241833343403</v>
      </c>
    </row>
    <row r="5033" spans="1:7" ht="17.25" customHeight="1" x14ac:dyDescent="0.2">
      <c r="A5033" s="1611">
        <v>17</v>
      </c>
      <c r="B5033" s="1611" t="s">
        <v>2041</v>
      </c>
      <c r="C5033" s="1611" t="s">
        <v>6579</v>
      </c>
      <c r="D5033" s="1612" t="s">
        <v>7555</v>
      </c>
      <c r="E5033" s="1706" t="s">
        <v>7592</v>
      </c>
      <c r="F5033" s="1613">
        <v>51000000</v>
      </c>
      <c r="G5033" s="1613">
        <v>241884343403</v>
      </c>
    </row>
    <row r="5034" spans="1:7" ht="17.25" customHeight="1" x14ac:dyDescent="0.2">
      <c r="A5034" s="1611">
        <v>17</v>
      </c>
      <c r="B5034" s="1611" t="s">
        <v>2836</v>
      </c>
      <c r="C5034" s="1611" t="s">
        <v>3831</v>
      </c>
      <c r="D5034" s="1612" t="s">
        <v>7555</v>
      </c>
      <c r="E5034" s="1706" t="s">
        <v>7592</v>
      </c>
      <c r="F5034" s="1613">
        <v>32727273</v>
      </c>
      <c r="G5034" s="1613">
        <v>241917070676</v>
      </c>
    </row>
    <row r="5035" spans="1:7" ht="17.25" customHeight="1" x14ac:dyDescent="0.2">
      <c r="A5035" s="1611">
        <v>17</v>
      </c>
      <c r="B5035" s="1611" t="s">
        <v>2028</v>
      </c>
      <c r="C5035" s="1611" t="s">
        <v>4747</v>
      </c>
      <c r="D5035" s="1612" t="s">
        <v>2024</v>
      </c>
      <c r="E5035" s="1706" t="s">
        <v>7592</v>
      </c>
      <c r="F5035" s="1613">
        <v>14090909</v>
      </c>
      <c r="G5035" s="1613">
        <v>241931161585</v>
      </c>
    </row>
    <row r="5036" spans="1:7" ht="17.25" customHeight="1" x14ac:dyDescent="0.2">
      <c r="A5036" s="1611">
        <v>17</v>
      </c>
      <c r="B5036" s="1611" t="s">
        <v>2054</v>
      </c>
      <c r="C5036" s="1611" t="s">
        <v>5111</v>
      </c>
      <c r="D5036" s="1612" t="s">
        <v>2024</v>
      </c>
      <c r="E5036" s="1706" t="s">
        <v>7592</v>
      </c>
      <c r="F5036" s="1613">
        <v>14000000</v>
      </c>
      <c r="G5036" s="1613">
        <v>241945161585</v>
      </c>
    </row>
    <row r="5037" spans="1:7" ht="17.25" customHeight="1" x14ac:dyDescent="0.2">
      <c r="A5037" s="1611">
        <v>17</v>
      </c>
      <c r="B5037" s="1611" t="s">
        <v>2037</v>
      </c>
      <c r="C5037" s="1611" t="s">
        <v>6580</v>
      </c>
      <c r="D5037" s="1612" t="s">
        <v>7555</v>
      </c>
      <c r="E5037" s="1706" t="s">
        <v>7592</v>
      </c>
      <c r="F5037" s="1613">
        <v>38000000</v>
      </c>
      <c r="G5037" s="1613">
        <v>241983161585</v>
      </c>
    </row>
    <row r="5038" spans="1:7" ht="17.25" customHeight="1" x14ac:dyDescent="0.2">
      <c r="A5038" s="1611">
        <v>17</v>
      </c>
      <c r="B5038" s="1611" t="s">
        <v>2037</v>
      </c>
      <c r="C5038" s="1611" t="s">
        <v>5037</v>
      </c>
      <c r="D5038" s="1612" t="s">
        <v>7555</v>
      </c>
      <c r="E5038" s="1706" t="s">
        <v>7592</v>
      </c>
      <c r="F5038" s="1613">
        <v>38181818</v>
      </c>
      <c r="G5038" s="1613">
        <v>242021343403</v>
      </c>
    </row>
    <row r="5039" spans="1:7" ht="17.25" customHeight="1" x14ac:dyDescent="0.2">
      <c r="A5039" s="1611">
        <v>17</v>
      </c>
      <c r="B5039" s="1611" t="s">
        <v>2037</v>
      </c>
      <c r="C5039" s="1611" t="s">
        <v>4088</v>
      </c>
      <c r="D5039" s="1612" t="s">
        <v>7555</v>
      </c>
      <c r="E5039" s="1706" t="s">
        <v>7592</v>
      </c>
      <c r="F5039" s="1613">
        <v>38000000</v>
      </c>
      <c r="G5039" s="1613">
        <v>242059343403</v>
      </c>
    </row>
    <row r="5040" spans="1:7" ht="17.25" customHeight="1" x14ac:dyDescent="0.2">
      <c r="A5040" s="1611">
        <v>17</v>
      </c>
      <c r="B5040" s="1611" t="s">
        <v>2041</v>
      </c>
      <c r="C5040" s="1611" t="s">
        <v>6581</v>
      </c>
      <c r="D5040" s="1612" t="s">
        <v>7555</v>
      </c>
      <c r="E5040" s="1706" t="s">
        <v>7592</v>
      </c>
      <c r="F5040" s="1613">
        <v>51818182</v>
      </c>
      <c r="G5040" s="1613">
        <v>242111161585</v>
      </c>
    </row>
    <row r="5041" spans="1:7" ht="17.25" customHeight="1" x14ac:dyDescent="0.2">
      <c r="A5041" s="1611">
        <v>17</v>
      </c>
      <c r="B5041" s="1611" t="s">
        <v>7170</v>
      </c>
      <c r="C5041" s="1611" t="s">
        <v>4064</v>
      </c>
      <c r="D5041" s="1612">
        <v>0</v>
      </c>
      <c r="E5041" s="1612" t="s">
        <v>3295</v>
      </c>
      <c r="F5041" s="1613">
        <v>118312061</v>
      </c>
      <c r="G5041" s="1614"/>
    </row>
    <row r="5042" spans="1:7" ht="17.25" customHeight="1" x14ac:dyDescent="0.2">
      <c r="A5042" s="1611">
        <v>17</v>
      </c>
      <c r="B5042" s="1611" t="s">
        <v>7261</v>
      </c>
      <c r="C5042" s="1611" t="s">
        <v>4064</v>
      </c>
      <c r="D5042" s="1612">
        <v>0</v>
      </c>
      <c r="E5042" s="1612" t="s">
        <v>3295</v>
      </c>
      <c r="F5042" s="1613">
        <v>91602200</v>
      </c>
      <c r="G5042" s="1613">
        <v>242321075846</v>
      </c>
    </row>
    <row r="5043" spans="1:7" ht="17.25" customHeight="1" x14ac:dyDescent="0.2">
      <c r="A5043" s="1611">
        <v>17</v>
      </c>
      <c r="B5043" s="1611" t="s">
        <v>7154</v>
      </c>
      <c r="C5043" s="1611" t="s">
        <v>6105</v>
      </c>
      <c r="D5043" s="1612">
        <v>0</v>
      </c>
      <c r="E5043" s="1706" t="s">
        <v>7558</v>
      </c>
      <c r="F5043" s="1613">
        <v>57704918</v>
      </c>
      <c r="G5043" s="1613">
        <v>242378780764</v>
      </c>
    </row>
    <row r="5044" spans="1:7" ht="17.25" customHeight="1" x14ac:dyDescent="0.2">
      <c r="A5044" s="1611">
        <v>17</v>
      </c>
      <c r="B5044" s="1611" t="s">
        <v>2032</v>
      </c>
      <c r="C5044" s="1611" t="s">
        <v>6582</v>
      </c>
      <c r="D5044" s="1612" t="s">
        <v>7555</v>
      </c>
      <c r="E5044" s="1706" t="s">
        <v>7592</v>
      </c>
      <c r="F5044" s="1613">
        <v>35909091</v>
      </c>
      <c r="G5044" s="1613">
        <v>242414689855</v>
      </c>
    </row>
    <row r="5045" spans="1:7" ht="17.25" customHeight="1" x14ac:dyDescent="0.2">
      <c r="A5045" s="1611">
        <v>17</v>
      </c>
      <c r="B5045" s="1611" t="s">
        <v>2037</v>
      </c>
      <c r="C5045" s="1611" t="s">
        <v>6569</v>
      </c>
      <c r="D5045" s="1612" t="s">
        <v>7555</v>
      </c>
      <c r="E5045" s="1706" t="s">
        <v>7592</v>
      </c>
      <c r="F5045" s="1613">
        <v>34181818</v>
      </c>
      <c r="G5045" s="1613">
        <v>242448871673</v>
      </c>
    </row>
    <row r="5046" spans="1:7" ht="17.25" customHeight="1" x14ac:dyDescent="0.2">
      <c r="A5046" s="1611">
        <v>17</v>
      </c>
      <c r="B5046" s="1611" t="s">
        <v>2037</v>
      </c>
      <c r="C5046" s="1611" t="s">
        <v>6462</v>
      </c>
      <c r="D5046" s="1612" t="s">
        <v>7555</v>
      </c>
      <c r="E5046" s="1706" t="s">
        <v>7592</v>
      </c>
      <c r="F5046" s="1613">
        <v>34863636</v>
      </c>
      <c r="G5046" s="1613">
        <v>242483735309</v>
      </c>
    </row>
    <row r="5047" spans="1:7" ht="17.25" customHeight="1" x14ac:dyDescent="0.2">
      <c r="A5047" s="1611">
        <v>17</v>
      </c>
      <c r="B5047" s="1611" t="s">
        <v>2037</v>
      </c>
      <c r="C5047" s="1611" t="s">
        <v>6583</v>
      </c>
      <c r="D5047" s="1612" t="s">
        <v>7555</v>
      </c>
      <c r="E5047" s="1706" t="s">
        <v>7592</v>
      </c>
      <c r="F5047" s="1613">
        <v>38000000</v>
      </c>
      <c r="G5047" s="1613">
        <v>242521735309</v>
      </c>
    </row>
    <row r="5048" spans="1:7" ht="17.25" customHeight="1" x14ac:dyDescent="0.2">
      <c r="A5048" s="1611">
        <v>17</v>
      </c>
      <c r="B5048" s="1611" t="s">
        <v>2039</v>
      </c>
      <c r="C5048" s="1611" t="s">
        <v>4809</v>
      </c>
      <c r="D5048" s="1612" t="s">
        <v>7555</v>
      </c>
      <c r="E5048" s="1706" t="s">
        <v>7592</v>
      </c>
      <c r="F5048" s="1613">
        <v>39818181</v>
      </c>
      <c r="G5048" s="1613">
        <v>242561553490</v>
      </c>
    </row>
    <row r="5049" spans="1:7" ht="17.25" customHeight="1" x14ac:dyDescent="0.2">
      <c r="A5049" s="1611">
        <v>17</v>
      </c>
      <c r="B5049" s="1611" t="s">
        <v>2043</v>
      </c>
      <c r="C5049" s="1611" t="s">
        <v>6021</v>
      </c>
      <c r="D5049" s="1612" t="s">
        <v>7555</v>
      </c>
      <c r="E5049" s="1706" t="s">
        <v>7592</v>
      </c>
      <c r="F5049" s="1613">
        <v>51700000</v>
      </c>
      <c r="G5049" s="1613">
        <v>242613253490</v>
      </c>
    </row>
    <row r="5050" spans="1:7" ht="17.25" customHeight="1" x14ac:dyDescent="0.2">
      <c r="A5050" s="1611">
        <v>17</v>
      </c>
      <c r="B5050" s="1611" t="s">
        <v>2062</v>
      </c>
      <c r="C5050" s="1611" t="s">
        <v>6584</v>
      </c>
      <c r="D5050" s="1612" t="s">
        <v>2023</v>
      </c>
      <c r="E5050" s="1706" t="s">
        <v>7592</v>
      </c>
      <c r="F5050" s="1613">
        <v>172000000</v>
      </c>
      <c r="G5050" s="1613">
        <v>242785253490</v>
      </c>
    </row>
    <row r="5051" spans="1:7" ht="17.25" customHeight="1" x14ac:dyDescent="0.2">
      <c r="A5051" s="1611">
        <v>17</v>
      </c>
      <c r="B5051" s="1611" t="s">
        <v>2028</v>
      </c>
      <c r="C5051" s="1611" t="s">
        <v>6585</v>
      </c>
      <c r="D5051" s="1612" t="s">
        <v>2024</v>
      </c>
      <c r="E5051" s="1706" t="s">
        <v>7592</v>
      </c>
      <c r="F5051" s="1613">
        <v>32708182</v>
      </c>
      <c r="G5051" s="1613">
        <v>242817961672</v>
      </c>
    </row>
    <row r="5052" spans="1:7" ht="17.25" customHeight="1" x14ac:dyDescent="0.2">
      <c r="A5052" s="1611">
        <v>17</v>
      </c>
      <c r="B5052" s="1611" t="s">
        <v>2039</v>
      </c>
      <c r="C5052" s="1611" t="s">
        <v>6586</v>
      </c>
      <c r="D5052" s="1612" t="s">
        <v>7555</v>
      </c>
      <c r="E5052" s="1706" t="s">
        <v>7592</v>
      </c>
      <c r="F5052" s="1613">
        <v>45454545</v>
      </c>
      <c r="G5052" s="1613">
        <v>242863416217</v>
      </c>
    </row>
    <row r="5053" spans="1:7" ht="17.25" customHeight="1" x14ac:dyDescent="0.2">
      <c r="A5053" s="1611">
        <v>17</v>
      </c>
      <c r="B5053" s="1611" t="s">
        <v>2041</v>
      </c>
      <c r="C5053" s="1611" t="s">
        <v>6587</v>
      </c>
      <c r="D5053" s="1612" t="s">
        <v>7555</v>
      </c>
      <c r="E5053" s="1706" t="s">
        <v>7592</v>
      </c>
      <c r="F5053" s="1613">
        <v>50800000</v>
      </c>
      <c r="G5053" s="1613">
        <v>242914216217</v>
      </c>
    </row>
    <row r="5054" spans="1:7" ht="17.25" customHeight="1" x14ac:dyDescent="0.2">
      <c r="A5054" s="1611">
        <v>17</v>
      </c>
      <c r="B5054" s="1611" t="s">
        <v>2028</v>
      </c>
      <c r="C5054" s="1611" t="s">
        <v>6585</v>
      </c>
      <c r="D5054" s="1612" t="s">
        <v>2024</v>
      </c>
      <c r="E5054" s="1706" t="s">
        <v>7592</v>
      </c>
      <c r="F5054" s="1613">
        <v>-32708182</v>
      </c>
      <c r="G5054" s="1613">
        <v>242881508035</v>
      </c>
    </row>
    <row r="5055" spans="1:7" ht="17.25" customHeight="1" x14ac:dyDescent="0.2">
      <c r="A5055" s="1611">
        <v>17</v>
      </c>
      <c r="B5055" s="1611" t="s">
        <v>2028</v>
      </c>
      <c r="C5055" s="1611" t="s">
        <v>6585</v>
      </c>
      <c r="D5055" s="1612" t="s">
        <v>2024</v>
      </c>
      <c r="E5055" s="1706" t="s">
        <v>7592</v>
      </c>
      <c r="F5055" s="1613">
        <v>17600000</v>
      </c>
      <c r="G5055" s="1613">
        <v>242899108035</v>
      </c>
    </row>
    <row r="5056" spans="1:7" ht="17.25" customHeight="1" x14ac:dyDescent="0.2">
      <c r="A5056" s="1611">
        <v>17</v>
      </c>
      <c r="B5056" s="1611" t="s">
        <v>2028</v>
      </c>
      <c r="C5056" s="1611" t="s">
        <v>6588</v>
      </c>
      <c r="D5056" s="1612" t="s">
        <v>2024</v>
      </c>
      <c r="E5056" s="1706" t="s">
        <v>7592</v>
      </c>
      <c r="F5056" s="1613">
        <v>14250000</v>
      </c>
      <c r="G5056" s="1613">
        <v>242913358035</v>
      </c>
    </row>
    <row r="5057" spans="1:7" ht="17.25" customHeight="1" x14ac:dyDescent="0.2">
      <c r="A5057" s="1611">
        <v>17</v>
      </c>
      <c r="B5057" s="1611" t="s">
        <v>2836</v>
      </c>
      <c r="C5057" s="1611" t="s">
        <v>6589</v>
      </c>
      <c r="D5057" s="1612" t="s">
        <v>7555</v>
      </c>
      <c r="E5057" s="1706" t="s">
        <v>7592</v>
      </c>
      <c r="F5057" s="1613">
        <v>31000000</v>
      </c>
      <c r="G5057" s="1613">
        <v>242944358035</v>
      </c>
    </row>
    <row r="5058" spans="1:7" ht="17.25" customHeight="1" x14ac:dyDescent="0.2">
      <c r="A5058" s="1611">
        <v>17</v>
      </c>
      <c r="B5058" s="1611" t="s">
        <v>2041</v>
      </c>
      <c r="C5058" s="1611" t="s">
        <v>6590</v>
      </c>
      <c r="D5058" s="1612" t="s">
        <v>7555</v>
      </c>
      <c r="E5058" s="1706" t="s">
        <v>7592</v>
      </c>
      <c r="F5058" s="1613">
        <v>51140909</v>
      </c>
      <c r="G5058" s="1613">
        <v>242995498944</v>
      </c>
    </row>
    <row r="5059" spans="1:7" ht="17.25" customHeight="1" x14ac:dyDescent="0.2">
      <c r="A5059" s="1611">
        <v>17</v>
      </c>
      <c r="B5059" s="1611" t="s">
        <v>2063</v>
      </c>
      <c r="C5059" s="1611" t="s">
        <v>6591</v>
      </c>
      <c r="D5059" s="1612" t="s">
        <v>2023</v>
      </c>
      <c r="E5059" s="1706" t="s">
        <v>7592</v>
      </c>
      <c r="F5059" s="1613">
        <v>156600000</v>
      </c>
      <c r="G5059" s="1613">
        <v>243152098944</v>
      </c>
    </row>
    <row r="5060" spans="1:7" ht="17.25" customHeight="1" x14ac:dyDescent="0.2">
      <c r="A5060" s="1611">
        <v>17</v>
      </c>
      <c r="B5060" s="1611" t="s">
        <v>2840</v>
      </c>
      <c r="C5060" s="1611" t="s">
        <v>5482</v>
      </c>
      <c r="D5060" s="1612" t="s">
        <v>2023</v>
      </c>
      <c r="E5060" s="1706" t="s">
        <v>7592</v>
      </c>
      <c r="F5060" s="1613">
        <v>205000000</v>
      </c>
      <c r="G5060" s="1613">
        <v>243357098944</v>
      </c>
    </row>
    <row r="5061" spans="1:7" ht="17.25" customHeight="1" x14ac:dyDescent="0.2">
      <c r="A5061" s="1611">
        <v>17</v>
      </c>
      <c r="B5061" s="1611" t="s">
        <v>2836</v>
      </c>
      <c r="C5061" s="1611" t="s">
        <v>4321</v>
      </c>
      <c r="D5061" s="1612" t="s">
        <v>7555</v>
      </c>
      <c r="E5061" s="1706" t="s">
        <v>7592</v>
      </c>
      <c r="F5061" s="1613">
        <v>33000000</v>
      </c>
      <c r="G5061" s="1613">
        <v>243390098944</v>
      </c>
    </row>
    <row r="5062" spans="1:7" ht="17.25" customHeight="1" x14ac:dyDescent="0.2">
      <c r="A5062" s="1611">
        <v>17</v>
      </c>
      <c r="B5062" s="1611" t="s">
        <v>2836</v>
      </c>
      <c r="C5062" s="1611" t="s">
        <v>6592</v>
      </c>
      <c r="D5062" s="1612" t="s">
        <v>7555</v>
      </c>
      <c r="E5062" s="1706" t="s">
        <v>7592</v>
      </c>
      <c r="F5062" s="1613">
        <v>33227273</v>
      </c>
      <c r="G5062" s="1613">
        <v>243423326217</v>
      </c>
    </row>
    <row r="5063" spans="1:7" ht="17.25" customHeight="1" x14ac:dyDescent="0.2">
      <c r="A5063" s="1611">
        <v>17</v>
      </c>
      <c r="B5063" s="1611" t="s">
        <v>2043</v>
      </c>
      <c r="C5063" s="1611" t="s">
        <v>6593</v>
      </c>
      <c r="D5063" s="1612" t="s">
        <v>7555</v>
      </c>
      <c r="E5063" s="1706" t="s">
        <v>7592</v>
      </c>
      <c r="F5063" s="1613">
        <v>53000000</v>
      </c>
      <c r="G5063" s="1613">
        <v>243476326217</v>
      </c>
    </row>
    <row r="5064" spans="1:7" ht="17.25" customHeight="1" x14ac:dyDescent="0.2">
      <c r="A5064" s="1611">
        <v>17</v>
      </c>
      <c r="B5064" s="1611" t="s">
        <v>2028</v>
      </c>
      <c r="C5064" s="1611" t="s">
        <v>4313</v>
      </c>
      <c r="D5064" s="1612" t="s">
        <v>2024</v>
      </c>
      <c r="E5064" s="1706" t="s">
        <v>7592</v>
      </c>
      <c r="F5064" s="1613">
        <v>14700000</v>
      </c>
      <c r="G5064" s="1613">
        <v>243491026217</v>
      </c>
    </row>
    <row r="5065" spans="1:7" ht="17.25" customHeight="1" x14ac:dyDescent="0.2">
      <c r="A5065" s="1611">
        <v>17</v>
      </c>
      <c r="B5065" s="1611" t="s">
        <v>2062</v>
      </c>
      <c r="C5065" s="1611" t="s">
        <v>6594</v>
      </c>
      <c r="D5065" s="1612" t="s">
        <v>2023</v>
      </c>
      <c r="E5065" s="1706" t="s">
        <v>7592</v>
      </c>
      <c r="F5065" s="1613">
        <v>166363636</v>
      </c>
      <c r="G5065" s="1613">
        <v>243657389853</v>
      </c>
    </row>
    <row r="5066" spans="1:7" ht="17.25" customHeight="1" x14ac:dyDescent="0.2">
      <c r="A5066" s="1611">
        <v>17</v>
      </c>
      <c r="B5066" s="1611" t="s">
        <v>2062</v>
      </c>
      <c r="C5066" s="1611" t="s">
        <v>6594</v>
      </c>
      <c r="D5066" s="1612" t="s">
        <v>2023</v>
      </c>
      <c r="E5066" s="1706" t="s">
        <v>7592</v>
      </c>
      <c r="F5066" s="1613">
        <v>166363636</v>
      </c>
      <c r="G5066" s="1613">
        <v>243823753489</v>
      </c>
    </row>
    <row r="5067" spans="1:7" ht="17.25" customHeight="1" x14ac:dyDescent="0.2">
      <c r="A5067" s="1611">
        <v>17</v>
      </c>
      <c r="B5067" s="1611" t="s">
        <v>7342</v>
      </c>
      <c r="C5067" s="1611" t="s">
        <v>6289</v>
      </c>
      <c r="D5067" s="1612">
        <v>0</v>
      </c>
      <c r="E5067" s="1612" t="s">
        <v>3299</v>
      </c>
      <c r="F5067" s="1613">
        <v>130446004</v>
      </c>
      <c r="G5067" s="1613">
        <v>243954199493</v>
      </c>
    </row>
    <row r="5068" spans="1:7" ht="17.25" customHeight="1" x14ac:dyDescent="0.2">
      <c r="A5068" s="1611">
        <v>17</v>
      </c>
      <c r="B5068" s="1611" t="s">
        <v>2032</v>
      </c>
      <c r="C5068" s="1611" t="s">
        <v>6595</v>
      </c>
      <c r="D5068" s="1612" t="s">
        <v>7555</v>
      </c>
      <c r="E5068" s="1706" t="s">
        <v>7592</v>
      </c>
      <c r="F5068" s="1613">
        <v>18400000</v>
      </c>
      <c r="G5068" s="1613">
        <v>243972599493</v>
      </c>
    </row>
    <row r="5069" spans="1:7" ht="17.25" customHeight="1" x14ac:dyDescent="0.2">
      <c r="A5069" s="1611">
        <v>17</v>
      </c>
      <c r="B5069" s="1611" t="s">
        <v>2039</v>
      </c>
      <c r="C5069" s="1611" t="s">
        <v>6596</v>
      </c>
      <c r="D5069" s="1612" t="s">
        <v>7555</v>
      </c>
      <c r="E5069" s="1706" t="s">
        <v>7592</v>
      </c>
      <c r="F5069" s="1613">
        <v>40454545</v>
      </c>
      <c r="G5069" s="1613">
        <v>244013054038</v>
      </c>
    </row>
    <row r="5070" spans="1:7" ht="17.25" customHeight="1" x14ac:dyDescent="0.2">
      <c r="A5070" s="1611">
        <v>17</v>
      </c>
      <c r="B5070" s="1611" t="s">
        <v>2836</v>
      </c>
      <c r="C5070" s="1611" t="s">
        <v>6597</v>
      </c>
      <c r="D5070" s="1612" t="s">
        <v>7555</v>
      </c>
      <c r="E5070" s="1706" t="s">
        <v>7592</v>
      </c>
      <c r="F5070" s="1613">
        <v>31000000</v>
      </c>
      <c r="G5070" s="1613">
        <v>244044054038</v>
      </c>
    </row>
    <row r="5071" spans="1:7" ht="17.25" customHeight="1" x14ac:dyDescent="0.2">
      <c r="A5071" s="1611">
        <v>17</v>
      </c>
      <c r="B5071" s="1611" t="s">
        <v>2037</v>
      </c>
      <c r="C5071" s="1611" t="s">
        <v>6598</v>
      </c>
      <c r="D5071" s="1612" t="s">
        <v>7555</v>
      </c>
      <c r="E5071" s="1706" t="s">
        <v>7592</v>
      </c>
      <c r="F5071" s="1613">
        <v>35454546</v>
      </c>
      <c r="G5071" s="1613">
        <v>244079508584</v>
      </c>
    </row>
    <row r="5072" spans="1:7" ht="17.25" customHeight="1" x14ac:dyDescent="0.2">
      <c r="A5072" s="1611">
        <v>17</v>
      </c>
      <c r="B5072" s="1611" t="s">
        <v>2037</v>
      </c>
      <c r="C5072" s="1611" t="s">
        <v>6599</v>
      </c>
      <c r="D5072" s="1612" t="s">
        <v>7555</v>
      </c>
      <c r="E5072" s="1706" t="s">
        <v>7592</v>
      </c>
      <c r="F5072" s="1613">
        <v>37500000</v>
      </c>
      <c r="G5072" s="1613">
        <v>244117008584</v>
      </c>
    </row>
    <row r="5073" spans="1:7" ht="17.25" customHeight="1" x14ac:dyDescent="0.2">
      <c r="A5073" s="1611">
        <v>17</v>
      </c>
      <c r="B5073" s="1611" t="s">
        <v>2039</v>
      </c>
      <c r="C5073" s="1611" t="s">
        <v>6600</v>
      </c>
      <c r="D5073" s="1612" t="s">
        <v>7555</v>
      </c>
      <c r="E5073" s="1706" t="s">
        <v>7592</v>
      </c>
      <c r="F5073" s="1613">
        <v>41181818</v>
      </c>
      <c r="G5073" s="1613">
        <v>244158190402</v>
      </c>
    </row>
    <row r="5074" spans="1:7" ht="17.25" customHeight="1" x14ac:dyDescent="0.2">
      <c r="A5074" s="1611">
        <v>17</v>
      </c>
      <c r="B5074" s="1611" t="s">
        <v>2039</v>
      </c>
      <c r="C5074" s="1611" t="s">
        <v>6601</v>
      </c>
      <c r="D5074" s="1612" t="s">
        <v>7555</v>
      </c>
      <c r="E5074" s="1706" t="s">
        <v>7592</v>
      </c>
      <c r="F5074" s="1613">
        <v>38600000</v>
      </c>
      <c r="G5074" s="1613">
        <v>244196790402</v>
      </c>
    </row>
    <row r="5075" spans="1:7" ht="17.25" customHeight="1" x14ac:dyDescent="0.2">
      <c r="A5075" s="1611">
        <v>17</v>
      </c>
      <c r="B5075" s="1611" t="s">
        <v>2037</v>
      </c>
      <c r="C5075" s="1611" t="s">
        <v>5398</v>
      </c>
      <c r="D5075" s="1612" t="s">
        <v>7555</v>
      </c>
      <c r="E5075" s="1706" t="s">
        <v>7592</v>
      </c>
      <c r="F5075" s="1613">
        <v>37272727</v>
      </c>
      <c r="G5075" s="1613">
        <v>244234063129</v>
      </c>
    </row>
    <row r="5076" spans="1:7" ht="17.25" customHeight="1" x14ac:dyDescent="0.2">
      <c r="A5076" s="1611">
        <v>17</v>
      </c>
      <c r="B5076" s="1611" t="s">
        <v>2037</v>
      </c>
      <c r="C5076" s="1611" t="s">
        <v>5016</v>
      </c>
      <c r="D5076" s="1612" t="s">
        <v>7555</v>
      </c>
      <c r="E5076" s="1706" t="s">
        <v>7592</v>
      </c>
      <c r="F5076" s="1613">
        <v>38000000</v>
      </c>
      <c r="G5076" s="1613">
        <v>244272063129</v>
      </c>
    </row>
    <row r="5077" spans="1:7" ht="17.25" customHeight="1" x14ac:dyDescent="0.2">
      <c r="A5077" s="1611">
        <v>17</v>
      </c>
      <c r="B5077" s="1611" t="s">
        <v>2037</v>
      </c>
      <c r="C5077" s="1611" t="s">
        <v>6583</v>
      </c>
      <c r="D5077" s="1612" t="s">
        <v>7555</v>
      </c>
      <c r="E5077" s="1706" t="s">
        <v>7592</v>
      </c>
      <c r="F5077" s="1613">
        <v>18373000</v>
      </c>
      <c r="G5077" s="1613">
        <v>244290436129</v>
      </c>
    </row>
    <row r="5078" spans="1:7" ht="17.25" customHeight="1" x14ac:dyDescent="0.2">
      <c r="A5078" s="1611">
        <v>17</v>
      </c>
      <c r="B5078" s="1611" t="s">
        <v>2037</v>
      </c>
      <c r="C5078" s="1611" t="s">
        <v>6602</v>
      </c>
      <c r="D5078" s="1612" t="s">
        <v>7555</v>
      </c>
      <c r="E5078" s="1706" t="s">
        <v>7592</v>
      </c>
      <c r="F5078" s="1613">
        <v>18373000</v>
      </c>
      <c r="G5078" s="1613">
        <v>244308809129</v>
      </c>
    </row>
    <row r="5079" spans="1:7" ht="17.25" customHeight="1" x14ac:dyDescent="0.2">
      <c r="A5079" s="1611">
        <v>17</v>
      </c>
      <c r="B5079" s="1611" t="s">
        <v>2041</v>
      </c>
      <c r="C5079" s="1611" t="s">
        <v>6603</v>
      </c>
      <c r="D5079" s="1612" t="s">
        <v>7555</v>
      </c>
      <c r="E5079" s="1706" t="s">
        <v>7592</v>
      </c>
      <c r="F5079" s="1613">
        <v>51818181</v>
      </c>
      <c r="G5079" s="1613">
        <v>244360627310</v>
      </c>
    </row>
    <row r="5080" spans="1:7" ht="17.25" customHeight="1" x14ac:dyDescent="0.2">
      <c r="A5080" s="1611">
        <v>17</v>
      </c>
      <c r="B5080" s="1611" t="s">
        <v>2063</v>
      </c>
      <c r="C5080" s="1611" t="s">
        <v>6604</v>
      </c>
      <c r="D5080" s="1612" t="s">
        <v>2023</v>
      </c>
      <c r="E5080" s="1706" t="s">
        <v>7592</v>
      </c>
      <c r="F5080" s="1613">
        <v>155600000</v>
      </c>
      <c r="G5080" s="1613">
        <v>244516227310</v>
      </c>
    </row>
    <row r="5081" spans="1:7" ht="17.25" customHeight="1" x14ac:dyDescent="0.2">
      <c r="A5081" s="1611">
        <v>17</v>
      </c>
      <c r="B5081" s="1611" t="s">
        <v>2032</v>
      </c>
      <c r="C5081" s="1611" t="s">
        <v>6605</v>
      </c>
      <c r="D5081" s="1612" t="s">
        <v>7555</v>
      </c>
      <c r="E5081" s="1706" t="s">
        <v>7592</v>
      </c>
      <c r="F5081" s="1613">
        <v>18373000</v>
      </c>
      <c r="G5081" s="1613">
        <v>244534600310</v>
      </c>
    </row>
    <row r="5082" spans="1:7" ht="17.25" customHeight="1" x14ac:dyDescent="0.2">
      <c r="A5082" s="1611">
        <v>17</v>
      </c>
      <c r="B5082" s="1611" t="s">
        <v>2032</v>
      </c>
      <c r="C5082" s="1611" t="s">
        <v>5431</v>
      </c>
      <c r="D5082" s="1612" t="s">
        <v>7555</v>
      </c>
      <c r="E5082" s="1706" t="s">
        <v>7592</v>
      </c>
      <c r="F5082" s="1613">
        <v>18373000</v>
      </c>
      <c r="G5082" s="1613">
        <v>244552973310</v>
      </c>
    </row>
    <row r="5083" spans="1:7" ht="17.25" customHeight="1" x14ac:dyDescent="0.2">
      <c r="A5083" s="1611">
        <v>17</v>
      </c>
      <c r="B5083" s="1611" t="s">
        <v>2041</v>
      </c>
      <c r="C5083" s="1611" t="s">
        <v>6606</v>
      </c>
      <c r="D5083" s="1612" t="s">
        <v>7555</v>
      </c>
      <c r="E5083" s="1706" t="s">
        <v>7592</v>
      </c>
      <c r="F5083" s="1613">
        <v>52000000</v>
      </c>
      <c r="G5083" s="1613">
        <v>244604973310</v>
      </c>
    </row>
    <row r="5084" spans="1:7" ht="17.25" customHeight="1" x14ac:dyDescent="0.2">
      <c r="A5084" s="1611">
        <v>17</v>
      </c>
      <c r="B5084" s="1611" t="s">
        <v>2039</v>
      </c>
      <c r="C5084" s="1611" t="s">
        <v>4777</v>
      </c>
      <c r="D5084" s="1612" t="s">
        <v>7555</v>
      </c>
      <c r="E5084" s="1706" t="s">
        <v>7592</v>
      </c>
      <c r="F5084" s="1613">
        <v>39500000</v>
      </c>
      <c r="G5084" s="1613">
        <v>244644473310</v>
      </c>
    </row>
    <row r="5085" spans="1:7" ht="17.25" customHeight="1" x14ac:dyDescent="0.2">
      <c r="A5085" s="1611">
        <v>17</v>
      </c>
      <c r="B5085" s="1611" t="s">
        <v>2061</v>
      </c>
      <c r="C5085" s="1611" t="s">
        <v>6607</v>
      </c>
      <c r="D5085" s="1612" t="s">
        <v>2023</v>
      </c>
      <c r="E5085" s="1706" t="s">
        <v>7592</v>
      </c>
      <c r="F5085" s="1613">
        <v>149200000</v>
      </c>
      <c r="G5085" s="1613">
        <v>244793673310</v>
      </c>
    </row>
    <row r="5086" spans="1:7" ht="17.25" customHeight="1" x14ac:dyDescent="0.2">
      <c r="A5086" s="1611">
        <v>17</v>
      </c>
      <c r="B5086" s="1611" t="s">
        <v>2062</v>
      </c>
      <c r="C5086" s="1611" t="s">
        <v>6608</v>
      </c>
      <c r="D5086" s="1612" t="s">
        <v>2023</v>
      </c>
      <c r="E5086" s="1706" t="s">
        <v>7592</v>
      </c>
      <c r="F5086" s="1613">
        <v>172600000</v>
      </c>
      <c r="G5086" s="1613">
        <v>244966273310</v>
      </c>
    </row>
    <row r="5087" spans="1:7" ht="17.25" customHeight="1" x14ac:dyDescent="0.2">
      <c r="A5087" s="1611">
        <v>17</v>
      </c>
      <c r="B5087" s="1611" t="s">
        <v>2062</v>
      </c>
      <c r="C5087" s="1611" t="s">
        <v>6609</v>
      </c>
      <c r="D5087" s="1612" t="s">
        <v>2023</v>
      </c>
      <c r="E5087" s="1706" t="s">
        <v>7592</v>
      </c>
      <c r="F5087" s="1613">
        <v>175000000</v>
      </c>
      <c r="G5087" s="1613">
        <v>245141273310</v>
      </c>
    </row>
    <row r="5088" spans="1:7" ht="17.25" customHeight="1" x14ac:dyDescent="0.2">
      <c r="A5088" s="1611">
        <v>17</v>
      </c>
      <c r="B5088" s="1611" t="s">
        <v>7362</v>
      </c>
      <c r="C5088" s="1611" t="s">
        <v>3438</v>
      </c>
      <c r="D5088" s="1612">
        <v>0</v>
      </c>
      <c r="E5088" s="1706" t="s">
        <v>7592</v>
      </c>
      <c r="F5088" s="1613">
        <v>33015000</v>
      </c>
      <c r="G5088" s="1613">
        <v>245174288310</v>
      </c>
    </row>
    <row r="5089" spans="1:7" ht="17.25" customHeight="1" x14ac:dyDescent="0.2">
      <c r="A5089" s="1611">
        <v>17</v>
      </c>
      <c r="B5089" s="1611" t="s">
        <v>2054</v>
      </c>
      <c r="C5089" s="1611" t="s">
        <v>6610</v>
      </c>
      <c r="D5089" s="1612" t="s">
        <v>2024</v>
      </c>
      <c r="E5089" s="1706" t="s">
        <v>7592</v>
      </c>
      <c r="F5089" s="1613">
        <v>13454545</v>
      </c>
      <c r="G5089" s="1613">
        <v>245187742855</v>
      </c>
    </row>
    <row r="5090" spans="1:7" ht="17.25" customHeight="1" x14ac:dyDescent="0.2">
      <c r="A5090" s="1611">
        <v>17</v>
      </c>
      <c r="B5090" s="1611" t="s">
        <v>2054</v>
      </c>
      <c r="C5090" s="1611" t="s">
        <v>6444</v>
      </c>
      <c r="D5090" s="1612" t="s">
        <v>2024</v>
      </c>
      <c r="E5090" s="1706" t="s">
        <v>7592</v>
      </c>
      <c r="F5090" s="1613">
        <v>14100000</v>
      </c>
      <c r="G5090" s="1613">
        <v>245201842855</v>
      </c>
    </row>
    <row r="5091" spans="1:7" ht="17.25" customHeight="1" x14ac:dyDescent="0.2">
      <c r="A5091" s="1611">
        <v>17</v>
      </c>
      <c r="B5091" s="1611" t="s">
        <v>2039</v>
      </c>
      <c r="C5091" s="1611" t="s">
        <v>6611</v>
      </c>
      <c r="D5091" s="1612" t="s">
        <v>7555</v>
      </c>
      <c r="E5091" s="1706" t="s">
        <v>7592</v>
      </c>
      <c r="F5091" s="1613">
        <v>42000000</v>
      </c>
      <c r="G5091" s="1613">
        <v>245243842855</v>
      </c>
    </row>
    <row r="5092" spans="1:7" ht="17.25" customHeight="1" x14ac:dyDescent="0.2">
      <c r="A5092" s="1611">
        <v>17</v>
      </c>
      <c r="B5092" s="1611" t="s">
        <v>2043</v>
      </c>
      <c r="C5092" s="1611" t="s">
        <v>4843</v>
      </c>
      <c r="D5092" s="1612" t="s">
        <v>7555</v>
      </c>
      <c r="E5092" s="1706" t="s">
        <v>7592</v>
      </c>
      <c r="F5092" s="1613">
        <v>54200000</v>
      </c>
      <c r="G5092" s="1613">
        <v>245298042855</v>
      </c>
    </row>
    <row r="5093" spans="1:7" ht="17.25" customHeight="1" x14ac:dyDescent="0.2">
      <c r="A5093" s="1611">
        <v>17</v>
      </c>
      <c r="B5093" s="1611" t="s">
        <v>2054</v>
      </c>
      <c r="C5093" s="1611" t="s">
        <v>6612</v>
      </c>
      <c r="D5093" s="1612" t="s">
        <v>2024</v>
      </c>
      <c r="E5093" s="1706" t="s">
        <v>7592</v>
      </c>
      <c r="F5093" s="1613">
        <v>14000000</v>
      </c>
      <c r="G5093" s="1613">
        <v>245312042855</v>
      </c>
    </row>
    <row r="5094" spans="1:7" ht="17.25" customHeight="1" x14ac:dyDescent="0.2">
      <c r="A5094" s="1611">
        <v>17</v>
      </c>
      <c r="B5094" s="1611" t="s">
        <v>2039</v>
      </c>
      <c r="C5094" s="1611" t="s">
        <v>6613</v>
      </c>
      <c r="D5094" s="1612" t="s">
        <v>7555</v>
      </c>
      <c r="E5094" s="1706" t="s">
        <v>7592</v>
      </c>
      <c r="F5094" s="1613">
        <v>39545454</v>
      </c>
      <c r="G5094" s="1613">
        <v>245351588309</v>
      </c>
    </row>
    <row r="5095" spans="1:7" ht="17.25" customHeight="1" x14ac:dyDescent="0.2">
      <c r="A5095" s="1611">
        <v>17</v>
      </c>
      <c r="B5095" s="1611" t="s">
        <v>2041</v>
      </c>
      <c r="C5095" s="1611" t="s">
        <v>6614</v>
      </c>
      <c r="D5095" s="1612" t="s">
        <v>7555</v>
      </c>
      <c r="E5095" s="1706" t="s">
        <v>7592</v>
      </c>
      <c r="F5095" s="1613">
        <v>51818182</v>
      </c>
      <c r="G5095" s="1613">
        <v>245403406491</v>
      </c>
    </row>
    <row r="5096" spans="1:7" ht="17.25" customHeight="1" x14ac:dyDescent="0.2">
      <c r="A5096" s="1611">
        <v>17</v>
      </c>
      <c r="B5096" s="1611" t="s">
        <v>2037</v>
      </c>
      <c r="C5096" s="1611" t="s">
        <v>6615</v>
      </c>
      <c r="D5096" s="1612" t="s">
        <v>7555</v>
      </c>
      <c r="E5096" s="1706" t="s">
        <v>7592</v>
      </c>
      <c r="F5096" s="1613">
        <v>36670000</v>
      </c>
      <c r="G5096" s="1613">
        <v>245440076491</v>
      </c>
    </row>
    <row r="5097" spans="1:7" ht="17.25" customHeight="1" x14ac:dyDescent="0.2">
      <c r="A5097" s="1611">
        <v>17</v>
      </c>
      <c r="B5097" s="1611" t="s">
        <v>2051</v>
      </c>
      <c r="C5097" s="1611" t="s">
        <v>4859</v>
      </c>
      <c r="D5097" s="1612" t="s">
        <v>2023</v>
      </c>
      <c r="E5097" s="1706" t="s">
        <v>7592</v>
      </c>
      <c r="F5097" s="1613">
        <v>832000000</v>
      </c>
      <c r="G5097" s="1613">
        <v>246272076491</v>
      </c>
    </row>
    <row r="5098" spans="1:7" ht="17.25" customHeight="1" x14ac:dyDescent="0.2">
      <c r="A5098" s="1611">
        <v>17</v>
      </c>
      <c r="B5098" s="1611" t="s">
        <v>2836</v>
      </c>
      <c r="C5098" s="1611" t="s">
        <v>6616</v>
      </c>
      <c r="D5098" s="1612" t="s">
        <v>7555</v>
      </c>
      <c r="E5098" s="1706" t="s">
        <v>7592</v>
      </c>
      <c r="F5098" s="1613">
        <v>31363636</v>
      </c>
      <c r="G5098" s="1613">
        <v>246303440127</v>
      </c>
    </row>
    <row r="5099" spans="1:7" ht="17.25" customHeight="1" x14ac:dyDescent="0.2">
      <c r="A5099" s="1611">
        <v>17</v>
      </c>
      <c r="B5099" s="1611" t="s">
        <v>2039</v>
      </c>
      <c r="C5099" s="1611" t="s">
        <v>6617</v>
      </c>
      <c r="D5099" s="1612" t="s">
        <v>7555</v>
      </c>
      <c r="E5099" s="1706" t="s">
        <v>7592</v>
      </c>
      <c r="F5099" s="1613">
        <v>40454545</v>
      </c>
      <c r="G5099" s="1613">
        <v>246343894672</v>
      </c>
    </row>
    <row r="5100" spans="1:7" ht="17.25" customHeight="1" x14ac:dyDescent="0.2">
      <c r="A5100" s="1611">
        <v>17</v>
      </c>
      <c r="B5100" s="1611" t="s">
        <v>2037</v>
      </c>
      <c r="C5100" s="1611" t="s">
        <v>4604</v>
      </c>
      <c r="D5100" s="1612" t="s">
        <v>7555</v>
      </c>
      <c r="E5100" s="1706" t="s">
        <v>7592</v>
      </c>
      <c r="F5100" s="1613">
        <v>38181818</v>
      </c>
      <c r="G5100" s="1613">
        <v>246382076490</v>
      </c>
    </row>
    <row r="5101" spans="1:7" ht="17.25" customHeight="1" x14ac:dyDescent="0.2">
      <c r="A5101" s="1611">
        <v>17</v>
      </c>
      <c r="B5101" s="1611" t="s">
        <v>2836</v>
      </c>
      <c r="C5101" s="1611" t="s">
        <v>6618</v>
      </c>
      <c r="D5101" s="1612" t="s">
        <v>7555</v>
      </c>
      <c r="E5101" s="1706" t="s">
        <v>7592</v>
      </c>
      <c r="F5101" s="1613">
        <v>31000000</v>
      </c>
      <c r="G5101" s="1613">
        <v>246413076490</v>
      </c>
    </row>
    <row r="5102" spans="1:7" ht="17.25" customHeight="1" x14ac:dyDescent="0.2">
      <c r="A5102" s="1611">
        <v>17</v>
      </c>
      <c r="B5102" s="1611" t="s">
        <v>2836</v>
      </c>
      <c r="C5102" s="1611" t="s">
        <v>3750</v>
      </c>
      <c r="D5102" s="1612" t="s">
        <v>7555</v>
      </c>
      <c r="E5102" s="1706" t="s">
        <v>7592</v>
      </c>
      <c r="F5102" s="1613">
        <v>31000000</v>
      </c>
      <c r="G5102" s="1613">
        <v>246444076490</v>
      </c>
    </row>
    <row r="5103" spans="1:7" ht="17.25" customHeight="1" x14ac:dyDescent="0.2">
      <c r="A5103" s="1611">
        <v>17</v>
      </c>
      <c r="B5103" s="1611" t="s">
        <v>2032</v>
      </c>
      <c r="C5103" s="1611" t="s">
        <v>6619</v>
      </c>
      <c r="D5103" s="1612" t="s">
        <v>7555</v>
      </c>
      <c r="E5103" s="1706" t="s">
        <v>7592</v>
      </c>
      <c r="F5103" s="1613">
        <v>20503000</v>
      </c>
      <c r="G5103" s="1613">
        <v>246464579490</v>
      </c>
    </row>
    <row r="5104" spans="1:7" ht="17.25" customHeight="1" x14ac:dyDescent="0.2">
      <c r="A5104" s="1611">
        <v>17</v>
      </c>
      <c r="B5104" s="1611" t="s">
        <v>2032</v>
      </c>
      <c r="C5104" s="1611" t="s">
        <v>6619</v>
      </c>
      <c r="D5104" s="1612" t="s">
        <v>7555</v>
      </c>
      <c r="E5104" s="1706" t="s">
        <v>7592</v>
      </c>
      <c r="F5104" s="1613">
        <v>20503000</v>
      </c>
      <c r="G5104" s="1613">
        <v>246485082490</v>
      </c>
    </row>
    <row r="5105" spans="1:7" ht="17.25" customHeight="1" x14ac:dyDescent="0.2">
      <c r="A5105" s="1611">
        <v>17</v>
      </c>
      <c r="B5105" s="1611" t="s">
        <v>2062</v>
      </c>
      <c r="C5105" s="1611" t="s">
        <v>6620</v>
      </c>
      <c r="D5105" s="1612" t="s">
        <v>2023</v>
      </c>
      <c r="E5105" s="1706" t="s">
        <v>7592</v>
      </c>
      <c r="F5105" s="1613">
        <v>176500000</v>
      </c>
      <c r="G5105" s="1613">
        <v>246661582490</v>
      </c>
    </row>
    <row r="5106" spans="1:7" ht="17.25" customHeight="1" x14ac:dyDescent="0.2">
      <c r="A5106" s="1611">
        <v>17</v>
      </c>
      <c r="B5106" s="1611" t="s">
        <v>2039</v>
      </c>
      <c r="C5106" s="1611" t="s">
        <v>6621</v>
      </c>
      <c r="D5106" s="1612" t="s">
        <v>7555</v>
      </c>
      <c r="E5106" s="1706" t="s">
        <v>7592</v>
      </c>
      <c r="F5106" s="1613">
        <v>40500000</v>
      </c>
      <c r="G5106" s="1613">
        <v>246702082490</v>
      </c>
    </row>
    <row r="5107" spans="1:7" ht="17.25" customHeight="1" x14ac:dyDescent="0.2">
      <c r="A5107" s="1611">
        <v>17</v>
      </c>
      <c r="B5107" s="1611" t="s">
        <v>2041</v>
      </c>
      <c r="C5107" s="1611" t="s">
        <v>6622</v>
      </c>
      <c r="D5107" s="1612" t="s">
        <v>7555</v>
      </c>
      <c r="E5107" s="1706" t="s">
        <v>7592</v>
      </c>
      <c r="F5107" s="1613">
        <v>51000000</v>
      </c>
      <c r="G5107" s="1613">
        <v>246753082490</v>
      </c>
    </row>
    <row r="5108" spans="1:7" ht="17.25" customHeight="1" x14ac:dyDescent="0.2">
      <c r="A5108" s="1611">
        <v>17</v>
      </c>
      <c r="B5108" s="1611" t="s">
        <v>2043</v>
      </c>
      <c r="C5108" s="1611" t="s">
        <v>6623</v>
      </c>
      <c r="D5108" s="1612" t="s">
        <v>7555</v>
      </c>
      <c r="E5108" s="1706" t="s">
        <v>7592</v>
      </c>
      <c r="F5108" s="1613">
        <v>53000000</v>
      </c>
      <c r="G5108" s="1613">
        <v>246806082490</v>
      </c>
    </row>
    <row r="5109" spans="1:7" ht="17.25" customHeight="1" x14ac:dyDescent="0.2">
      <c r="A5109" s="1611">
        <v>17</v>
      </c>
      <c r="B5109" s="1611" t="s">
        <v>7379</v>
      </c>
      <c r="C5109" s="1611" t="s">
        <v>6624</v>
      </c>
      <c r="D5109" s="1612">
        <v>0</v>
      </c>
      <c r="E5109" s="1706" t="s">
        <v>7592</v>
      </c>
      <c r="F5109" s="1613">
        <v>17558880</v>
      </c>
      <c r="G5109" s="1613">
        <v>246823641370</v>
      </c>
    </row>
    <row r="5110" spans="1:7" ht="17.25" customHeight="1" x14ac:dyDescent="0.2">
      <c r="A5110" s="1611">
        <v>17</v>
      </c>
      <c r="B5110" s="1611" t="s">
        <v>2836</v>
      </c>
      <c r="C5110" s="1611" t="s">
        <v>3848</v>
      </c>
      <c r="D5110" s="1612" t="s">
        <v>7555</v>
      </c>
      <c r="E5110" s="1706" t="s">
        <v>7592</v>
      </c>
      <c r="F5110" s="1613">
        <v>32000000</v>
      </c>
      <c r="G5110" s="1613">
        <v>246855641370</v>
      </c>
    </row>
    <row r="5111" spans="1:7" ht="17.25" customHeight="1" x14ac:dyDescent="0.2">
      <c r="A5111" s="1611">
        <v>17</v>
      </c>
      <c r="B5111" s="1611" t="s">
        <v>2037</v>
      </c>
      <c r="C5111" s="1611" t="s">
        <v>6625</v>
      </c>
      <c r="D5111" s="1612" t="s">
        <v>7555</v>
      </c>
      <c r="E5111" s="1706" t="s">
        <v>7592</v>
      </c>
      <c r="F5111" s="1613">
        <v>38181818</v>
      </c>
      <c r="G5111" s="1613">
        <v>246893823188</v>
      </c>
    </row>
    <row r="5112" spans="1:7" ht="17.25" customHeight="1" x14ac:dyDescent="0.2">
      <c r="A5112" s="1611">
        <v>17</v>
      </c>
      <c r="B5112" s="1611" t="s">
        <v>2037</v>
      </c>
      <c r="C5112" s="1611" t="s">
        <v>6314</v>
      </c>
      <c r="D5112" s="1612" t="s">
        <v>7555</v>
      </c>
      <c r="E5112" s="1706" t="s">
        <v>7592</v>
      </c>
      <c r="F5112" s="1613">
        <v>36363636</v>
      </c>
      <c r="G5112" s="1613">
        <v>246930186824</v>
      </c>
    </row>
    <row r="5113" spans="1:7" ht="17.25" customHeight="1" x14ac:dyDescent="0.2">
      <c r="A5113" s="1611">
        <v>17</v>
      </c>
      <c r="B5113" s="1611" t="s">
        <v>2032</v>
      </c>
      <c r="C5113" s="1611" t="s">
        <v>3851</v>
      </c>
      <c r="D5113" s="1612" t="s">
        <v>7555</v>
      </c>
      <c r="E5113" s="1706" t="s">
        <v>7592</v>
      </c>
      <c r="F5113" s="1613">
        <v>36000000</v>
      </c>
      <c r="G5113" s="1613">
        <v>246966186824</v>
      </c>
    </row>
    <row r="5114" spans="1:7" ht="17.25" customHeight="1" x14ac:dyDescent="0.2">
      <c r="A5114" s="1611">
        <v>17</v>
      </c>
      <c r="B5114" s="1611" t="s">
        <v>2041</v>
      </c>
      <c r="C5114" s="1611" t="s">
        <v>6626</v>
      </c>
      <c r="D5114" s="1612" t="s">
        <v>7555</v>
      </c>
      <c r="E5114" s="1706" t="s">
        <v>7592</v>
      </c>
      <c r="F5114" s="1613">
        <v>52000000</v>
      </c>
      <c r="G5114" s="1613">
        <v>247018186824</v>
      </c>
    </row>
    <row r="5115" spans="1:7" ht="17.25" customHeight="1" x14ac:dyDescent="0.2">
      <c r="A5115" s="1611">
        <v>17</v>
      </c>
      <c r="B5115" s="1611" t="s">
        <v>2037</v>
      </c>
      <c r="C5115" s="1611" t="s">
        <v>6627</v>
      </c>
      <c r="D5115" s="1612" t="s">
        <v>7555</v>
      </c>
      <c r="E5115" s="1706" t="s">
        <v>7592</v>
      </c>
      <c r="F5115" s="1613">
        <v>35000000</v>
      </c>
      <c r="G5115" s="1613">
        <v>247053186824</v>
      </c>
    </row>
    <row r="5116" spans="1:7" ht="17.25" customHeight="1" x14ac:dyDescent="0.2">
      <c r="A5116" s="1611">
        <v>17</v>
      </c>
      <c r="B5116" s="1611" t="s">
        <v>2039</v>
      </c>
      <c r="C5116" s="1611" t="s">
        <v>6628</v>
      </c>
      <c r="D5116" s="1612" t="s">
        <v>7555</v>
      </c>
      <c r="E5116" s="1706" t="s">
        <v>7592</v>
      </c>
      <c r="F5116" s="1613">
        <v>42000000</v>
      </c>
      <c r="G5116" s="1613">
        <v>247095186824</v>
      </c>
    </row>
    <row r="5117" spans="1:7" ht="17.25" customHeight="1" x14ac:dyDescent="0.2">
      <c r="A5117" s="1611">
        <v>17</v>
      </c>
      <c r="B5117" s="1611" t="s">
        <v>2037</v>
      </c>
      <c r="C5117" s="1611" t="s">
        <v>6629</v>
      </c>
      <c r="D5117" s="1612" t="s">
        <v>7555</v>
      </c>
      <c r="E5117" s="1706" t="s">
        <v>7592</v>
      </c>
      <c r="F5117" s="1613">
        <v>37000000</v>
      </c>
      <c r="G5117" s="1613">
        <v>247132186824</v>
      </c>
    </row>
    <row r="5118" spans="1:7" ht="17.25" customHeight="1" x14ac:dyDescent="0.2">
      <c r="A5118" s="1611">
        <v>17</v>
      </c>
      <c r="B5118" s="1611" t="s">
        <v>2039</v>
      </c>
      <c r="C5118" s="1611" t="s">
        <v>5137</v>
      </c>
      <c r="D5118" s="1612" t="s">
        <v>7555</v>
      </c>
      <c r="E5118" s="1706" t="s">
        <v>7592</v>
      </c>
      <c r="F5118" s="1613">
        <v>41000000</v>
      </c>
      <c r="G5118" s="1613">
        <v>247173186824</v>
      </c>
    </row>
    <row r="5119" spans="1:7" ht="17.25" customHeight="1" x14ac:dyDescent="0.2">
      <c r="A5119" s="1611">
        <v>17</v>
      </c>
      <c r="B5119" s="1611" t="s">
        <v>2039</v>
      </c>
      <c r="C5119" s="1611" t="s">
        <v>6260</v>
      </c>
      <c r="D5119" s="1612" t="s">
        <v>7555</v>
      </c>
      <c r="E5119" s="1706" t="s">
        <v>7592</v>
      </c>
      <c r="F5119" s="1613">
        <v>40000000</v>
      </c>
      <c r="G5119" s="1613">
        <v>247213186824</v>
      </c>
    </row>
    <row r="5120" spans="1:7" ht="17.25" customHeight="1" x14ac:dyDescent="0.2">
      <c r="A5120" s="1611">
        <v>17</v>
      </c>
      <c r="B5120" s="1611" t="s">
        <v>2039</v>
      </c>
      <c r="C5120" s="1611" t="s">
        <v>6630</v>
      </c>
      <c r="D5120" s="1612" t="s">
        <v>7555</v>
      </c>
      <c r="E5120" s="1706" t="s">
        <v>7592</v>
      </c>
      <c r="F5120" s="1613">
        <v>41000000</v>
      </c>
      <c r="G5120" s="1613">
        <v>247254186824</v>
      </c>
    </row>
    <row r="5121" spans="1:7" ht="17.25" customHeight="1" x14ac:dyDescent="0.2">
      <c r="A5121" s="1611">
        <v>17</v>
      </c>
      <c r="B5121" s="1611" t="s">
        <v>2041</v>
      </c>
      <c r="C5121" s="1611" t="s">
        <v>6631</v>
      </c>
      <c r="D5121" s="1612" t="s">
        <v>7555</v>
      </c>
      <c r="E5121" s="1706" t="s">
        <v>7592</v>
      </c>
      <c r="F5121" s="1613">
        <v>52727272</v>
      </c>
      <c r="G5121" s="1613">
        <v>247306914096</v>
      </c>
    </row>
    <row r="5122" spans="1:7" ht="17.25" customHeight="1" x14ac:dyDescent="0.2">
      <c r="A5122" s="1611">
        <v>17</v>
      </c>
      <c r="B5122" s="1611" t="s">
        <v>2037</v>
      </c>
      <c r="C5122" s="1611" t="s">
        <v>4900</v>
      </c>
      <c r="D5122" s="1612" t="s">
        <v>7555</v>
      </c>
      <c r="E5122" s="1706" t="s">
        <v>7592</v>
      </c>
      <c r="F5122" s="1613">
        <v>38636364</v>
      </c>
      <c r="G5122" s="1613">
        <v>247345550460</v>
      </c>
    </row>
    <row r="5123" spans="1:7" ht="17.25" customHeight="1" x14ac:dyDescent="0.2">
      <c r="A5123" s="1611">
        <v>17</v>
      </c>
      <c r="B5123" s="1611" t="s">
        <v>2037</v>
      </c>
      <c r="C5123" s="1611" t="s">
        <v>4900</v>
      </c>
      <c r="D5123" s="1612" t="s">
        <v>7555</v>
      </c>
      <c r="E5123" s="1706" t="s">
        <v>7592</v>
      </c>
      <c r="F5123" s="1613">
        <v>38636364</v>
      </c>
      <c r="G5123" s="1613">
        <v>247384186824</v>
      </c>
    </row>
    <row r="5124" spans="1:7" ht="17.25" customHeight="1" x14ac:dyDescent="0.2">
      <c r="A5124" s="1611">
        <v>17</v>
      </c>
      <c r="B5124" s="1611" t="s">
        <v>2043</v>
      </c>
      <c r="C5124" s="1611" t="s">
        <v>6466</v>
      </c>
      <c r="D5124" s="1612" t="s">
        <v>7555</v>
      </c>
      <c r="E5124" s="1706" t="s">
        <v>7592</v>
      </c>
      <c r="F5124" s="1613">
        <v>53250000</v>
      </c>
      <c r="G5124" s="1613">
        <v>247437436824</v>
      </c>
    </row>
    <row r="5125" spans="1:7" ht="17.25" customHeight="1" x14ac:dyDescent="0.2">
      <c r="A5125" s="1611">
        <v>17</v>
      </c>
      <c r="B5125" s="1611" t="s">
        <v>2032</v>
      </c>
      <c r="C5125" s="1611" t="s">
        <v>6632</v>
      </c>
      <c r="D5125" s="1612" t="s">
        <v>7555</v>
      </c>
      <c r="E5125" s="1706" t="s">
        <v>7592</v>
      </c>
      <c r="F5125" s="1613">
        <v>35500000</v>
      </c>
      <c r="G5125" s="1613">
        <v>247472936824</v>
      </c>
    </row>
    <row r="5126" spans="1:7" ht="17.25" customHeight="1" x14ac:dyDescent="0.2">
      <c r="A5126" s="1611">
        <v>17</v>
      </c>
      <c r="B5126" s="1611" t="s">
        <v>2037</v>
      </c>
      <c r="C5126" s="1611" t="s">
        <v>4465</v>
      </c>
      <c r="D5126" s="1612" t="s">
        <v>7555</v>
      </c>
      <c r="E5126" s="1706" t="s">
        <v>7592</v>
      </c>
      <c r="F5126" s="1613">
        <v>36800000</v>
      </c>
      <c r="G5126" s="1613">
        <v>247509736824</v>
      </c>
    </row>
    <row r="5127" spans="1:7" ht="17.25" customHeight="1" x14ac:dyDescent="0.2">
      <c r="A5127" s="1611">
        <v>17</v>
      </c>
      <c r="B5127" s="1611" t="s">
        <v>2054</v>
      </c>
      <c r="C5127" s="1611" t="s">
        <v>6633</v>
      </c>
      <c r="D5127" s="1612" t="s">
        <v>2024</v>
      </c>
      <c r="E5127" s="1706" t="s">
        <v>7592</v>
      </c>
      <c r="F5127" s="1613">
        <v>14100000</v>
      </c>
      <c r="G5127" s="1613">
        <v>247523836824</v>
      </c>
    </row>
    <row r="5128" spans="1:7" ht="17.25" customHeight="1" x14ac:dyDescent="0.2">
      <c r="A5128" s="1611">
        <v>17</v>
      </c>
      <c r="B5128" s="1611" t="s">
        <v>2028</v>
      </c>
      <c r="C5128" s="1611" t="s">
        <v>4455</v>
      </c>
      <c r="D5128" s="1612" t="s">
        <v>2024</v>
      </c>
      <c r="E5128" s="1706" t="s">
        <v>7592</v>
      </c>
      <c r="F5128" s="1613">
        <v>14954546</v>
      </c>
      <c r="G5128" s="1613">
        <v>247538791370</v>
      </c>
    </row>
    <row r="5129" spans="1:7" ht="17.25" customHeight="1" x14ac:dyDescent="0.2">
      <c r="A5129" s="1611">
        <v>17</v>
      </c>
      <c r="B5129" s="1611" t="s">
        <v>2054</v>
      </c>
      <c r="C5129" s="1611" t="s">
        <v>6138</v>
      </c>
      <c r="D5129" s="1612" t="s">
        <v>2024</v>
      </c>
      <c r="E5129" s="1706" t="s">
        <v>7592</v>
      </c>
      <c r="F5129" s="1613">
        <v>15920909</v>
      </c>
      <c r="G5129" s="1613">
        <v>247554712279</v>
      </c>
    </row>
    <row r="5130" spans="1:7" ht="17.25" customHeight="1" x14ac:dyDescent="0.2">
      <c r="A5130" s="1611">
        <v>17</v>
      </c>
      <c r="B5130" s="1611" t="s">
        <v>2028</v>
      </c>
      <c r="C5130" s="1611" t="s">
        <v>6634</v>
      </c>
      <c r="D5130" s="1612" t="s">
        <v>2024</v>
      </c>
      <c r="E5130" s="1706" t="s">
        <v>7592</v>
      </c>
      <c r="F5130" s="1613">
        <v>15000000</v>
      </c>
      <c r="G5130" s="1613">
        <v>247569712279</v>
      </c>
    </row>
    <row r="5131" spans="1:7" ht="17.25" customHeight="1" x14ac:dyDescent="0.2">
      <c r="A5131" s="1611">
        <v>17</v>
      </c>
      <c r="B5131" s="1611" t="s">
        <v>2042</v>
      </c>
      <c r="C5131" s="1611" t="s">
        <v>6635</v>
      </c>
      <c r="D5131" s="1612" t="s">
        <v>2024</v>
      </c>
      <c r="E5131" s="1706" t="s">
        <v>7592</v>
      </c>
      <c r="F5131" s="1613">
        <v>78000000</v>
      </c>
      <c r="G5131" s="1613">
        <v>247647712279</v>
      </c>
    </row>
    <row r="5132" spans="1:7" ht="17.25" customHeight="1" x14ac:dyDescent="0.2">
      <c r="A5132" s="1611">
        <v>17</v>
      </c>
      <c r="B5132" s="1611" t="s">
        <v>2028</v>
      </c>
      <c r="C5132" s="1611" t="s">
        <v>6636</v>
      </c>
      <c r="D5132" s="1612" t="s">
        <v>2024</v>
      </c>
      <c r="E5132" s="1706" t="s">
        <v>7592</v>
      </c>
      <c r="F5132" s="1613">
        <v>14200000</v>
      </c>
      <c r="G5132" s="1613">
        <v>247661912279</v>
      </c>
    </row>
    <row r="5133" spans="1:7" ht="17.25" customHeight="1" x14ac:dyDescent="0.2">
      <c r="A5133" s="1611">
        <v>17</v>
      </c>
      <c r="B5133" s="1611" t="s">
        <v>2028</v>
      </c>
      <c r="C5133" s="1611" t="s">
        <v>6637</v>
      </c>
      <c r="D5133" s="1612" t="s">
        <v>2024</v>
      </c>
      <c r="E5133" s="1706" t="s">
        <v>7592</v>
      </c>
      <c r="F5133" s="1613">
        <v>14300000</v>
      </c>
      <c r="G5133" s="1613">
        <v>247676212279</v>
      </c>
    </row>
    <row r="5134" spans="1:7" ht="17.25" customHeight="1" x14ac:dyDescent="0.2">
      <c r="A5134" s="1611">
        <v>17</v>
      </c>
      <c r="B5134" s="1611" t="s">
        <v>2032</v>
      </c>
      <c r="C5134" s="1611" t="s">
        <v>6595</v>
      </c>
      <c r="D5134" s="1612" t="s">
        <v>7555</v>
      </c>
      <c r="E5134" s="1706" t="s">
        <v>7592</v>
      </c>
      <c r="F5134" s="1613">
        <v>18400000</v>
      </c>
      <c r="G5134" s="1613">
        <v>247694612279</v>
      </c>
    </row>
    <row r="5135" spans="1:7" ht="17.25" customHeight="1" x14ac:dyDescent="0.2">
      <c r="A5135" s="1611">
        <v>17</v>
      </c>
      <c r="B5135" s="1611" t="s">
        <v>2037</v>
      </c>
      <c r="C5135" s="1611" t="s">
        <v>6638</v>
      </c>
      <c r="D5135" s="1612" t="s">
        <v>7555</v>
      </c>
      <c r="E5135" s="1706" t="s">
        <v>7592</v>
      </c>
      <c r="F5135" s="1613">
        <v>18373000</v>
      </c>
      <c r="G5135" s="1613">
        <v>247712985279</v>
      </c>
    </row>
    <row r="5136" spans="1:7" ht="17.25" customHeight="1" x14ac:dyDescent="0.2">
      <c r="A5136" s="1611">
        <v>17</v>
      </c>
      <c r="B5136" s="1611" t="s">
        <v>2028</v>
      </c>
      <c r="C5136" s="1611" t="s">
        <v>6639</v>
      </c>
      <c r="D5136" s="1612" t="s">
        <v>2024</v>
      </c>
      <c r="E5136" s="1706" t="s">
        <v>7592</v>
      </c>
      <c r="F5136" s="1613">
        <v>13700000</v>
      </c>
      <c r="G5136" s="1613">
        <v>247726685279</v>
      </c>
    </row>
    <row r="5137" spans="1:7" ht="17.25" customHeight="1" x14ac:dyDescent="0.2">
      <c r="A5137" s="1611">
        <v>17</v>
      </c>
      <c r="B5137" s="1611" t="s">
        <v>2037</v>
      </c>
      <c r="C5137" s="1611" t="s">
        <v>6640</v>
      </c>
      <c r="D5137" s="1612" t="s">
        <v>7555</v>
      </c>
      <c r="E5137" s="1706" t="s">
        <v>7592</v>
      </c>
      <c r="F5137" s="1613">
        <v>37000000</v>
      </c>
      <c r="G5137" s="1613">
        <v>247763685279</v>
      </c>
    </row>
    <row r="5138" spans="1:7" ht="17.25" customHeight="1" x14ac:dyDescent="0.2">
      <c r="A5138" s="1611">
        <v>17</v>
      </c>
      <c r="B5138" s="1611" t="s">
        <v>2037</v>
      </c>
      <c r="C5138" s="1611" t="s">
        <v>6641</v>
      </c>
      <c r="D5138" s="1612" t="s">
        <v>7555</v>
      </c>
      <c r="E5138" s="1706" t="s">
        <v>7592</v>
      </c>
      <c r="F5138" s="1613">
        <v>35500000</v>
      </c>
      <c r="G5138" s="1613">
        <v>247799185279</v>
      </c>
    </row>
    <row r="5139" spans="1:7" ht="17.25" customHeight="1" x14ac:dyDescent="0.2">
      <c r="A5139" s="1611">
        <v>17</v>
      </c>
      <c r="B5139" s="1611" t="s">
        <v>2039</v>
      </c>
      <c r="C5139" s="1611" t="s">
        <v>6642</v>
      </c>
      <c r="D5139" s="1612" t="s">
        <v>7555</v>
      </c>
      <c r="E5139" s="1706" t="s">
        <v>7592</v>
      </c>
      <c r="F5139" s="1613">
        <v>40909091</v>
      </c>
      <c r="G5139" s="1613">
        <v>247840094370</v>
      </c>
    </row>
    <row r="5140" spans="1:7" ht="17.25" customHeight="1" x14ac:dyDescent="0.2">
      <c r="A5140" s="1611">
        <v>17</v>
      </c>
      <c r="B5140" s="1611" t="s">
        <v>2039</v>
      </c>
      <c r="C5140" s="1611" t="s">
        <v>6643</v>
      </c>
      <c r="D5140" s="1612" t="s">
        <v>7555</v>
      </c>
      <c r="E5140" s="1706" t="s">
        <v>7592</v>
      </c>
      <c r="F5140" s="1613">
        <v>43173000</v>
      </c>
      <c r="G5140" s="1613">
        <v>247883267370</v>
      </c>
    </row>
    <row r="5141" spans="1:7" ht="17.25" customHeight="1" x14ac:dyDescent="0.2">
      <c r="A5141" s="1611">
        <v>17</v>
      </c>
      <c r="B5141" s="1611" t="s">
        <v>2041</v>
      </c>
      <c r="C5141" s="1611" t="s">
        <v>6644</v>
      </c>
      <c r="D5141" s="1612" t="s">
        <v>7555</v>
      </c>
      <c r="E5141" s="1706" t="s">
        <v>7592</v>
      </c>
      <c r="F5141" s="1613">
        <v>52000000</v>
      </c>
      <c r="G5141" s="1613">
        <v>247935267370</v>
      </c>
    </row>
    <row r="5142" spans="1:7" ht="17.25" customHeight="1" x14ac:dyDescent="0.2">
      <c r="A5142" s="1611">
        <v>17</v>
      </c>
      <c r="B5142" s="1611" t="s">
        <v>2039</v>
      </c>
      <c r="C5142" s="1611" t="s">
        <v>4048</v>
      </c>
      <c r="D5142" s="1612" t="s">
        <v>7555</v>
      </c>
      <c r="E5142" s="1706" t="s">
        <v>7592</v>
      </c>
      <c r="F5142" s="1613">
        <v>40454545</v>
      </c>
      <c r="G5142" s="1613">
        <v>247975721915</v>
      </c>
    </row>
    <row r="5143" spans="1:7" ht="17.25" customHeight="1" x14ac:dyDescent="0.2">
      <c r="A5143" s="1611">
        <v>17</v>
      </c>
      <c r="B5143" s="1611" t="s">
        <v>2054</v>
      </c>
      <c r="C5143" s="1611" t="s">
        <v>6645</v>
      </c>
      <c r="D5143" s="1612" t="s">
        <v>2024</v>
      </c>
      <c r="E5143" s="1706" t="s">
        <v>7592</v>
      </c>
      <c r="F5143" s="1613">
        <v>13700000</v>
      </c>
      <c r="G5143" s="1613">
        <v>247989421915</v>
      </c>
    </row>
    <row r="5144" spans="1:7" ht="17.25" customHeight="1" x14ac:dyDescent="0.2">
      <c r="A5144" s="1611">
        <v>17</v>
      </c>
      <c r="B5144" s="1611" t="s">
        <v>2039</v>
      </c>
      <c r="C5144" s="1611" t="s">
        <v>6646</v>
      </c>
      <c r="D5144" s="1612" t="s">
        <v>7555</v>
      </c>
      <c r="E5144" s="1706" t="s">
        <v>7592</v>
      </c>
      <c r="F5144" s="1613">
        <v>42500000</v>
      </c>
      <c r="G5144" s="1613">
        <v>248031921915</v>
      </c>
    </row>
    <row r="5145" spans="1:7" ht="17.25" customHeight="1" x14ac:dyDescent="0.2">
      <c r="A5145" s="1611">
        <v>17</v>
      </c>
      <c r="B5145" s="1611" t="s">
        <v>2037</v>
      </c>
      <c r="C5145" s="1611" t="s">
        <v>6647</v>
      </c>
      <c r="D5145" s="1612" t="s">
        <v>7555</v>
      </c>
      <c r="E5145" s="1706" t="s">
        <v>7592</v>
      </c>
      <c r="F5145" s="1613">
        <v>38000000</v>
      </c>
      <c r="G5145" s="1613">
        <v>248069921915</v>
      </c>
    </row>
    <row r="5146" spans="1:7" ht="17.25" customHeight="1" x14ac:dyDescent="0.2">
      <c r="A5146" s="1611">
        <v>17</v>
      </c>
      <c r="B5146" s="1611" t="s">
        <v>2836</v>
      </c>
      <c r="C5146" s="1611" t="s">
        <v>5133</v>
      </c>
      <c r="D5146" s="1612" t="s">
        <v>7555</v>
      </c>
      <c r="E5146" s="1706" t="s">
        <v>7592</v>
      </c>
      <c r="F5146" s="1613">
        <v>31000000</v>
      </c>
      <c r="G5146" s="1613">
        <v>248100921915</v>
      </c>
    </row>
    <row r="5147" spans="1:7" ht="17.25" customHeight="1" x14ac:dyDescent="0.2">
      <c r="A5147" s="1611">
        <v>17</v>
      </c>
      <c r="B5147" s="1611" t="s">
        <v>2836</v>
      </c>
      <c r="C5147" s="1611" t="s">
        <v>4511</v>
      </c>
      <c r="D5147" s="1612" t="s">
        <v>7555</v>
      </c>
      <c r="E5147" s="1706" t="s">
        <v>7592</v>
      </c>
      <c r="F5147" s="1613">
        <v>31800000</v>
      </c>
      <c r="G5147" s="1613">
        <v>248132721915</v>
      </c>
    </row>
    <row r="5148" spans="1:7" ht="17.25" customHeight="1" x14ac:dyDescent="0.2">
      <c r="A5148" s="1611">
        <v>17</v>
      </c>
      <c r="B5148" s="1611" t="s">
        <v>2836</v>
      </c>
      <c r="C5148" s="1611" t="s">
        <v>4511</v>
      </c>
      <c r="D5148" s="1612" t="s">
        <v>7555</v>
      </c>
      <c r="E5148" s="1706" t="s">
        <v>7592</v>
      </c>
      <c r="F5148" s="1613">
        <v>31800000</v>
      </c>
      <c r="G5148" s="1613">
        <v>248164521915</v>
      </c>
    </row>
    <row r="5149" spans="1:7" ht="17.25" customHeight="1" x14ac:dyDescent="0.2">
      <c r="A5149" s="1611">
        <v>17</v>
      </c>
      <c r="B5149" s="1611" t="s">
        <v>2037</v>
      </c>
      <c r="C5149" s="1611" t="s">
        <v>6648</v>
      </c>
      <c r="D5149" s="1612" t="s">
        <v>7555</v>
      </c>
      <c r="E5149" s="1706" t="s">
        <v>7592</v>
      </c>
      <c r="F5149" s="1613">
        <v>36500000</v>
      </c>
      <c r="G5149" s="1613">
        <v>248201021915</v>
      </c>
    </row>
    <row r="5150" spans="1:7" ht="17.25" customHeight="1" x14ac:dyDescent="0.2">
      <c r="A5150" s="1611">
        <v>17</v>
      </c>
      <c r="B5150" s="1611" t="s">
        <v>2037</v>
      </c>
      <c r="C5150" s="1611" t="s">
        <v>6649</v>
      </c>
      <c r="D5150" s="1612" t="s">
        <v>7555</v>
      </c>
      <c r="E5150" s="1706" t="s">
        <v>7592</v>
      </c>
      <c r="F5150" s="1613">
        <v>38181818</v>
      </c>
      <c r="G5150" s="1613">
        <v>248239203733</v>
      </c>
    </row>
    <row r="5151" spans="1:7" ht="17.25" customHeight="1" x14ac:dyDescent="0.2">
      <c r="A5151" s="1611">
        <v>17</v>
      </c>
      <c r="B5151" s="1611" t="s">
        <v>2039</v>
      </c>
      <c r="C5151" s="1611" t="s">
        <v>6650</v>
      </c>
      <c r="D5151" s="1612" t="s">
        <v>7555</v>
      </c>
      <c r="E5151" s="1706" t="s">
        <v>7592</v>
      </c>
      <c r="F5151" s="1613">
        <v>41363636</v>
      </c>
      <c r="G5151" s="1613">
        <v>248280567369</v>
      </c>
    </row>
    <row r="5152" spans="1:7" ht="17.25" customHeight="1" x14ac:dyDescent="0.2">
      <c r="A5152" s="1611">
        <v>17</v>
      </c>
      <c r="B5152" s="1611" t="s">
        <v>2041</v>
      </c>
      <c r="C5152" s="1611" t="s">
        <v>6651</v>
      </c>
      <c r="D5152" s="1612" t="s">
        <v>7555</v>
      </c>
      <c r="E5152" s="1706" t="s">
        <v>7592</v>
      </c>
      <c r="F5152" s="1613">
        <v>52727273</v>
      </c>
      <c r="G5152" s="1613">
        <v>248333294642</v>
      </c>
    </row>
    <row r="5153" spans="1:7" ht="17.25" customHeight="1" x14ac:dyDescent="0.2">
      <c r="A5153" s="1611">
        <v>17</v>
      </c>
      <c r="B5153" s="1611" t="s">
        <v>7363</v>
      </c>
      <c r="C5153" s="1611" t="s">
        <v>6652</v>
      </c>
      <c r="D5153" s="1612">
        <v>0</v>
      </c>
      <c r="E5153" s="1706" t="s">
        <v>7592</v>
      </c>
      <c r="F5153" s="1613">
        <v>34142000</v>
      </c>
      <c r="G5153" s="1613">
        <v>248367436642</v>
      </c>
    </row>
    <row r="5154" spans="1:7" ht="17.25" customHeight="1" x14ac:dyDescent="0.2">
      <c r="A5154" s="1611">
        <v>17</v>
      </c>
      <c r="B5154" s="1611" t="s">
        <v>2028</v>
      </c>
      <c r="C5154" s="1611" t="s">
        <v>6652</v>
      </c>
      <c r="D5154" s="1612" t="s">
        <v>2024</v>
      </c>
      <c r="E5154" s="1706" t="s">
        <v>7592</v>
      </c>
      <c r="F5154" s="1613">
        <v>43010000</v>
      </c>
      <c r="G5154" s="1613">
        <v>248410446642</v>
      </c>
    </row>
    <row r="5155" spans="1:7" ht="17.25" customHeight="1" x14ac:dyDescent="0.2">
      <c r="A5155" s="1611">
        <v>17</v>
      </c>
      <c r="B5155" s="1611" t="s">
        <v>2846</v>
      </c>
      <c r="C5155" s="1611" t="s">
        <v>6653</v>
      </c>
      <c r="D5155" s="1612" t="s">
        <v>2024</v>
      </c>
      <c r="E5155" s="1706" t="s">
        <v>7592</v>
      </c>
      <c r="F5155" s="1613">
        <v>36900000</v>
      </c>
      <c r="G5155" s="1613">
        <v>248447346642</v>
      </c>
    </row>
    <row r="5156" spans="1:7" ht="17.25" customHeight="1" x14ac:dyDescent="0.2">
      <c r="A5156" s="1611">
        <v>17</v>
      </c>
      <c r="B5156" s="1611" t="s">
        <v>2063</v>
      </c>
      <c r="C5156" s="1611" t="s">
        <v>6654</v>
      </c>
      <c r="D5156" s="1612" t="s">
        <v>2023</v>
      </c>
      <c r="E5156" s="1706" t="s">
        <v>7592</v>
      </c>
      <c r="F5156" s="1613">
        <v>155600000</v>
      </c>
      <c r="G5156" s="1613">
        <v>248602946642</v>
      </c>
    </row>
    <row r="5157" spans="1:7" ht="17.25" customHeight="1" x14ac:dyDescent="0.2">
      <c r="A5157" s="1611">
        <v>17</v>
      </c>
      <c r="B5157" s="1611" t="s">
        <v>2032</v>
      </c>
      <c r="C5157" s="1611" t="s">
        <v>4552</v>
      </c>
      <c r="D5157" s="1612" t="s">
        <v>7555</v>
      </c>
      <c r="E5157" s="1706" t="s">
        <v>7592</v>
      </c>
      <c r="F5157" s="1613">
        <v>18500000</v>
      </c>
      <c r="G5157" s="1613">
        <v>248621446642</v>
      </c>
    </row>
    <row r="5158" spans="1:7" ht="17.25" customHeight="1" x14ac:dyDescent="0.2">
      <c r="A5158" s="1611">
        <v>17</v>
      </c>
      <c r="B5158" s="1611" t="s">
        <v>2037</v>
      </c>
      <c r="C5158" s="1611" t="s">
        <v>6569</v>
      </c>
      <c r="D5158" s="1612" t="s">
        <v>7555</v>
      </c>
      <c r="E5158" s="1706" t="s">
        <v>7592</v>
      </c>
      <c r="F5158" s="1613">
        <v>18573000</v>
      </c>
      <c r="G5158" s="1613">
        <v>248640019642</v>
      </c>
    </row>
    <row r="5159" spans="1:7" ht="17.25" customHeight="1" x14ac:dyDescent="0.2">
      <c r="A5159" s="1611">
        <v>17</v>
      </c>
      <c r="B5159" s="1611" t="s">
        <v>2836</v>
      </c>
      <c r="C5159" s="1611" t="s">
        <v>4509</v>
      </c>
      <c r="D5159" s="1612" t="s">
        <v>7555</v>
      </c>
      <c r="E5159" s="1706" t="s">
        <v>7592</v>
      </c>
      <c r="F5159" s="1613">
        <v>32000000</v>
      </c>
      <c r="G5159" s="1613">
        <v>248672019642</v>
      </c>
    </row>
    <row r="5160" spans="1:7" ht="17.25" customHeight="1" x14ac:dyDescent="0.2">
      <c r="A5160" s="1611">
        <v>17</v>
      </c>
      <c r="B5160" s="1611" t="s">
        <v>2836</v>
      </c>
      <c r="C5160" s="1611" t="s">
        <v>6655</v>
      </c>
      <c r="D5160" s="1612" t="s">
        <v>7555</v>
      </c>
      <c r="E5160" s="1706" t="s">
        <v>7592</v>
      </c>
      <c r="F5160" s="1613">
        <v>32000000</v>
      </c>
      <c r="G5160" s="1613">
        <v>248704019642</v>
      </c>
    </row>
    <row r="5161" spans="1:7" ht="17.25" customHeight="1" x14ac:dyDescent="0.2">
      <c r="A5161" s="1611">
        <v>17</v>
      </c>
      <c r="B5161" s="1611" t="s">
        <v>2037</v>
      </c>
      <c r="C5161" s="1611" t="s">
        <v>6655</v>
      </c>
      <c r="D5161" s="1612" t="s">
        <v>7555</v>
      </c>
      <c r="E5161" s="1706" t="s">
        <v>7592</v>
      </c>
      <c r="F5161" s="1613">
        <v>37500000</v>
      </c>
      <c r="G5161" s="1613">
        <v>248741519642</v>
      </c>
    </row>
    <row r="5162" spans="1:7" ht="17.25" customHeight="1" x14ac:dyDescent="0.2">
      <c r="A5162" s="1611">
        <v>17</v>
      </c>
      <c r="B5162" s="1611" t="s">
        <v>2037</v>
      </c>
      <c r="C5162" s="1611" t="s">
        <v>6656</v>
      </c>
      <c r="D5162" s="1612" t="s">
        <v>7555</v>
      </c>
      <c r="E5162" s="1706" t="s">
        <v>7592</v>
      </c>
      <c r="F5162" s="1613">
        <v>35670000</v>
      </c>
      <c r="G5162" s="1613">
        <v>248777189642</v>
      </c>
    </row>
    <row r="5163" spans="1:7" ht="17.25" customHeight="1" x14ac:dyDescent="0.2">
      <c r="A5163" s="1611">
        <v>17</v>
      </c>
      <c r="B5163" s="1611" t="s">
        <v>2067</v>
      </c>
      <c r="C5163" s="1611" t="s">
        <v>6657</v>
      </c>
      <c r="D5163" s="1612" t="s">
        <v>2024</v>
      </c>
      <c r="E5163" s="1706" t="s">
        <v>7592</v>
      </c>
      <c r="F5163" s="1613">
        <v>51343182</v>
      </c>
      <c r="G5163" s="1613">
        <v>248828532824</v>
      </c>
    </row>
    <row r="5164" spans="1:7" ht="17.25" customHeight="1" x14ac:dyDescent="0.2">
      <c r="A5164" s="1611">
        <v>17</v>
      </c>
      <c r="B5164" s="1611" t="s">
        <v>2820</v>
      </c>
      <c r="C5164" s="1611" t="s">
        <v>6658</v>
      </c>
      <c r="D5164" s="1612" t="s">
        <v>2024</v>
      </c>
      <c r="E5164" s="1706" t="s">
        <v>7592</v>
      </c>
      <c r="F5164" s="1613">
        <v>51615455</v>
      </c>
      <c r="G5164" s="1613">
        <v>248880148279</v>
      </c>
    </row>
    <row r="5165" spans="1:7" ht="17.25" customHeight="1" x14ac:dyDescent="0.2">
      <c r="A5165" s="1611">
        <v>17</v>
      </c>
      <c r="B5165" s="1611" t="s">
        <v>2037</v>
      </c>
      <c r="C5165" s="1611" t="s">
        <v>6455</v>
      </c>
      <c r="D5165" s="1612" t="s">
        <v>7555</v>
      </c>
      <c r="E5165" s="1706" t="s">
        <v>7592</v>
      </c>
      <c r="F5165" s="1613">
        <v>37200000</v>
      </c>
      <c r="G5165" s="1613">
        <v>248917348279</v>
      </c>
    </row>
    <row r="5166" spans="1:7" ht="17.25" customHeight="1" x14ac:dyDescent="0.2">
      <c r="A5166" s="1611">
        <v>17</v>
      </c>
      <c r="B5166" s="1611" t="s">
        <v>2060</v>
      </c>
      <c r="C5166" s="1611" t="s">
        <v>6659</v>
      </c>
      <c r="D5166" s="1612" t="s">
        <v>2023</v>
      </c>
      <c r="E5166" s="1706" t="s">
        <v>7592</v>
      </c>
      <c r="F5166" s="1613">
        <v>164000000</v>
      </c>
      <c r="G5166" s="1613">
        <v>249081348279</v>
      </c>
    </row>
    <row r="5167" spans="1:7" ht="17.25" customHeight="1" x14ac:dyDescent="0.2">
      <c r="A5167" s="1611">
        <v>17</v>
      </c>
      <c r="B5167" s="1611" t="s">
        <v>2062</v>
      </c>
      <c r="C5167" s="1611" t="s">
        <v>6660</v>
      </c>
      <c r="D5167" s="1612" t="s">
        <v>2023</v>
      </c>
      <c r="E5167" s="1706" t="s">
        <v>7592</v>
      </c>
      <c r="F5167" s="1613">
        <v>172000000</v>
      </c>
      <c r="G5167" s="1613">
        <v>249253348279</v>
      </c>
    </row>
    <row r="5168" spans="1:7" ht="17.25" customHeight="1" x14ac:dyDescent="0.2">
      <c r="A5168" s="1611">
        <v>17</v>
      </c>
      <c r="B5168" s="1611" t="s">
        <v>2840</v>
      </c>
      <c r="C5168" s="1611" t="s">
        <v>6661</v>
      </c>
      <c r="D5168" s="1612" t="s">
        <v>2023</v>
      </c>
      <c r="E5168" s="1706" t="s">
        <v>7592</v>
      </c>
      <c r="F5168" s="1613">
        <v>210000000</v>
      </c>
      <c r="G5168" s="1613">
        <v>249463348279</v>
      </c>
    </row>
    <row r="5169" spans="1:7" ht="17.25" customHeight="1" x14ac:dyDescent="0.2">
      <c r="A5169" s="1611">
        <v>17</v>
      </c>
      <c r="B5169" s="1611" t="s">
        <v>2836</v>
      </c>
      <c r="C5169" s="1611" t="s">
        <v>4479</v>
      </c>
      <c r="D5169" s="1612" t="s">
        <v>7555</v>
      </c>
      <c r="E5169" s="1706" t="s">
        <v>7592</v>
      </c>
      <c r="F5169" s="1613">
        <v>31000000</v>
      </c>
      <c r="G5169" s="1613">
        <v>249494348279</v>
      </c>
    </row>
    <row r="5170" spans="1:7" ht="17.25" customHeight="1" x14ac:dyDescent="0.2">
      <c r="A5170" s="1611">
        <v>17</v>
      </c>
      <c r="B5170" s="1611" t="s">
        <v>7213</v>
      </c>
      <c r="C5170" s="1611" t="s">
        <v>3715</v>
      </c>
      <c r="D5170" s="1612">
        <v>0</v>
      </c>
      <c r="E5170" s="1612" t="s">
        <v>2025</v>
      </c>
      <c r="F5170" s="1613">
        <v>27562428</v>
      </c>
      <c r="G5170" s="1613">
        <v>249521910707</v>
      </c>
    </row>
    <row r="5171" spans="1:7" ht="17.25" customHeight="1" x14ac:dyDescent="0.2">
      <c r="A5171" s="1611">
        <v>17</v>
      </c>
      <c r="B5171" s="1611" t="s">
        <v>2037</v>
      </c>
      <c r="C5171" s="1611" t="s">
        <v>6662</v>
      </c>
      <c r="D5171" s="1612" t="s">
        <v>7555</v>
      </c>
      <c r="E5171" s="1706" t="s">
        <v>7592</v>
      </c>
      <c r="F5171" s="1613">
        <v>36500000</v>
      </c>
      <c r="G5171" s="1613">
        <v>249558410707</v>
      </c>
    </row>
    <row r="5172" spans="1:7" ht="17.25" customHeight="1" x14ac:dyDescent="0.2">
      <c r="A5172" s="1611">
        <v>17</v>
      </c>
      <c r="B5172" s="1611" t="s">
        <v>2039</v>
      </c>
      <c r="C5172" s="1611" t="s">
        <v>3953</v>
      </c>
      <c r="D5172" s="1612" t="s">
        <v>7555</v>
      </c>
      <c r="E5172" s="1706" t="s">
        <v>7592</v>
      </c>
      <c r="F5172" s="1613">
        <v>41600000</v>
      </c>
      <c r="G5172" s="1613">
        <v>249600010707</v>
      </c>
    </row>
    <row r="5173" spans="1:7" ht="17.25" customHeight="1" x14ac:dyDescent="0.2">
      <c r="A5173" s="1611">
        <v>17</v>
      </c>
      <c r="B5173" s="1611" t="s">
        <v>2037</v>
      </c>
      <c r="C5173" s="1611" t="s">
        <v>6663</v>
      </c>
      <c r="D5173" s="1612" t="s">
        <v>7555</v>
      </c>
      <c r="E5173" s="1706" t="s">
        <v>7592</v>
      </c>
      <c r="F5173" s="1613">
        <v>37000000</v>
      </c>
      <c r="G5173" s="1613">
        <v>249637010707</v>
      </c>
    </row>
    <row r="5174" spans="1:7" ht="17.25" customHeight="1" x14ac:dyDescent="0.2">
      <c r="A5174" s="1611">
        <v>17</v>
      </c>
      <c r="B5174" s="1611" t="s">
        <v>2037</v>
      </c>
      <c r="C5174" s="1611" t="s">
        <v>6664</v>
      </c>
      <c r="D5174" s="1612" t="s">
        <v>7555</v>
      </c>
      <c r="E5174" s="1706" t="s">
        <v>7592</v>
      </c>
      <c r="F5174" s="1613">
        <v>36500000</v>
      </c>
      <c r="G5174" s="1613">
        <v>249673510707</v>
      </c>
    </row>
    <row r="5175" spans="1:7" ht="17.25" customHeight="1" x14ac:dyDescent="0.2">
      <c r="A5175" s="1611">
        <v>17</v>
      </c>
      <c r="B5175" s="1611" t="s">
        <v>2037</v>
      </c>
      <c r="C5175" s="1611" t="s">
        <v>6665</v>
      </c>
      <c r="D5175" s="1612" t="s">
        <v>7555</v>
      </c>
      <c r="E5175" s="1706" t="s">
        <v>7592</v>
      </c>
      <c r="F5175" s="1613">
        <v>36500000</v>
      </c>
      <c r="G5175" s="1613">
        <v>249710010707</v>
      </c>
    </row>
    <row r="5176" spans="1:7" ht="17.25" customHeight="1" x14ac:dyDescent="0.2">
      <c r="A5176" s="1611">
        <v>17</v>
      </c>
      <c r="B5176" s="1611" t="s">
        <v>2039</v>
      </c>
      <c r="C5176" s="1611" t="s">
        <v>4491</v>
      </c>
      <c r="D5176" s="1612" t="s">
        <v>7555</v>
      </c>
      <c r="E5176" s="1706" t="s">
        <v>7592</v>
      </c>
      <c r="F5176" s="1613">
        <v>43593637</v>
      </c>
      <c r="G5176" s="1613">
        <v>249753604344</v>
      </c>
    </row>
    <row r="5177" spans="1:7" ht="17.25" customHeight="1" x14ac:dyDescent="0.2">
      <c r="A5177" s="1611">
        <v>17</v>
      </c>
      <c r="B5177" s="1611" t="s">
        <v>2039</v>
      </c>
      <c r="C5177" s="1611" t="s">
        <v>6666</v>
      </c>
      <c r="D5177" s="1612" t="s">
        <v>7555</v>
      </c>
      <c r="E5177" s="1706" t="s">
        <v>7592</v>
      </c>
      <c r="F5177" s="1613">
        <v>40000000</v>
      </c>
      <c r="G5177" s="1613">
        <v>249793604344</v>
      </c>
    </row>
    <row r="5178" spans="1:7" ht="17.25" customHeight="1" x14ac:dyDescent="0.2">
      <c r="A5178" s="1611">
        <v>17</v>
      </c>
      <c r="B5178" s="1611" t="s">
        <v>2836</v>
      </c>
      <c r="C5178" s="1611" t="s">
        <v>6667</v>
      </c>
      <c r="D5178" s="1612" t="s">
        <v>7555</v>
      </c>
      <c r="E5178" s="1706" t="s">
        <v>7592</v>
      </c>
      <c r="F5178" s="1613">
        <v>32000000</v>
      </c>
      <c r="G5178" s="1613">
        <v>249825604344</v>
      </c>
    </row>
    <row r="5179" spans="1:7" ht="17.25" customHeight="1" x14ac:dyDescent="0.2">
      <c r="A5179" s="1611">
        <v>17</v>
      </c>
      <c r="B5179" s="1611" t="s">
        <v>2055</v>
      </c>
      <c r="C5179" s="1611" t="s">
        <v>6668</v>
      </c>
      <c r="D5179" s="1612" t="s">
        <v>7555</v>
      </c>
      <c r="E5179" s="1706" t="s">
        <v>7592</v>
      </c>
      <c r="F5179" s="1613">
        <v>60200000</v>
      </c>
      <c r="G5179" s="1613">
        <v>249885804344</v>
      </c>
    </row>
    <row r="5180" spans="1:7" ht="17.25" customHeight="1" x14ac:dyDescent="0.2">
      <c r="A5180" s="1611">
        <v>17</v>
      </c>
      <c r="B5180" s="1611" t="s">
        <v>2039</v>
      </c>
      <c r="C5180" s="1611" t="s">
        <v>6669</v>
      </c>
      <c r="D5180" s="1612" t="s">
        <v>7555</v>
      </c>
      <c r="E5180" s="1706" t="s">
        <v>7592</v>
      </c>
      <c r="F5180" s="1613">
        <v>41000000</v>
      </c>
      <c r="G5180" s="1613">
        <v>249926804344</v>
      </c>
    </row>
    <row r="5181" spans="1:7" ht="17.25" customHeight="1" x14ac:dyDescent="0.2">
      <c r="A5181" s="1611">
        <v>17</v>
      </c>
      <c r="B5181" s="1611" t="s">
        <v>2037</v>
      </c>
      <c r="C5181" s="1611" t="s">
        <v>6670</v>
      </c>
      <c r="D5181" s="1612" t="s">
        <v>7555</v>
      </c>
      <c r="E5181" s="1706" t="s">
        <v>7592</v>
      </c>
      <c r="F5181" s="1613">
        <v>37000000</v>
      </c>
      <c r="G5181" s="1613">
        <v>249963804344</v>
      </c>
    </row>
    <row r="5182" spans="1:7" ht="17.25" customHeight="1" x14ac:dyDescent="0.2">
      <c r="A5182" s="1611">
        <v>17</v>
      </c>
      <c r="B5182" s="1611" t="s">
        <v>2836</v>
      </c>
      <c r="C5182" s="1611" t="s">
        <v>6671</v>
      </c>
      <c r="D5182" s="1612" t="s">
        <v>7555</v>
      </c>
      <c r="E5182" s="1706" t="s">
        <v>7592</v>
      </c>
      <c r="F5182" s="1613">
        <v>31000000</v>
      </c>
      <c r="G5182" s="1613">
        <v>249994804344</v>
      </c>
    </row>
    <row r="5183" spans="1:7" ht="17.25" customHeight="1" x14ac:dyDescent="0.2">
      <c r="A5183" s="1611">
        <v>17</v>
      </c>
      <c r="B5183" s="1611" t="s">
        <v>2850</v>
      </c>
      <c r="C5183" s="1611" t="s">
        <v>6672</v>
      </c>
      <c r="D5183" s="1612">
        <v>0</v>
      </c>
      <c r="E5183" s="1706" t="s">
        <v>7592</v>
      </c>
      <c r="F5183" s="1613">
        <v>500000</v>
      </c>
      <c r="G5183" s="1613">
        <v>249995304344</v>
      </c>
    </row>
    <row r="5184" spans="1:7" ht="17.25" customHeight="1" x14ac:dyDescent="0.2">
      <c r="A5184" s="1611">
        <v>17</v>
      </c>
      <c r="B5184" s="1611" t="s">
        <v>2067</v>
      </c>
      <c r="C5184" s="1611" t="s">
        <v>5278</v>
      </c>
      <c r="D5184" s="1612" t="s">
        <v>2024</v>
      </c>
      <c r="E5184" s="1706" t="s">
        <v>7592</v>
      </c>
      <c r="F5184" s="1613">
        <v>70957728</v>
      </c>
      <c r="G5184" s="1613">
        <v>250066262072</v>
      </c>
    </row>
    <row r="5185" spans="1:7" ht="17.25" customHeight="1" x14ac:dyDescent="0.2">
      <c r="A5185" s="1611">
        <v>17</v>
      </c>
      <c r="B5185" s="1611" t="s">
        <v>2049</v>
      </c>
      <c r="C5185" s="1611" t="s">
        <v>6672</v>
      </c>
      <c r="D5185" s="1612" t="s">
        <v>2023</v>
      </c>
      <c r="E5185" s="1706" t="s">
        <v>7592</v>
      </c>
      <c r="F5185" s="1613">
        <v>100422728</v>
      </c>
      <c r="G5185" s="1613">
        <v>250166684800</v>
      </c>
    </row>
    <row r="5186" spans="1:7" ht="17.25" customHeight="1" x14ac:dyDescent="0.2">
      <c r="A5186" s="1611">
        <v>17</v>
      </c>
      <c r="B5186" s="1611" t="s">
        <v>7155</v>
      </c>
      <c r="C5186" s="1611" t="s">
        <v>6105</v>
      </c>
      <c r="D5186" s="1612">
        <v>0</v>
      </c>
      <c r="E5186" s="1706" t="s">
        <v>7558</v>
      </c>
      <c r="F5186" s="1613">
        <v>32865175</v>
      </c>
      <c r="G5186" s="1613">
        <v>250199549975</v>
      </c>
    </row>
    <row r="5187" spans="1:7" ht="17.25" customHeight="1" x14ac:dyDescent="0.2">
      <c r="A5187" s="1611">
        <v>17</v>
      </c>
      <c r="B5187" s="1611" t="s">
        <v>2067</v>
      </c>
      <c r="C5187" s="1611" t="s">
        <v>5278</v>
      </c>
      <c r="D5187" s="1612" t="s">
        <v>2024</v>
      </c>
      <c r="E5187" s="1706" t="s">
        <v>7592</v>
      </c>
      <c r="F5187" s="1613">
        <v>-70957728</v>
      </c>
      <c r="G5187" s="1613">
        <v>250128592247</v>
      </c>
    </row>
    <row r="5188" spans="1:7" ht="17.25" customHeight="1" x14ac:dyDescent="0.2">
      <c r="A5188" s="1611">
        <v>17</v>
      </c>
      <c r="B5188" s="1611" t="s">
        <v>2067</v>
      </c>
      <c r="C5188" s="1611" t="s">
        <v>5278</v>
      </c>
      <c r="D5188" s="1612" t="s">
        <v>2024</v>
      </c>
      <c r="E5188" s="1706" t="s">
        <v>7592</v>
      </c>
      <c r="F5188" s="1613">
        <v>70854545</v>
      </c>
      <c r="G5188" s="1613">
        <v>250199446792</v>
      </c>
    </row>
    <row r="5189" spans="1:7" ht="17.25" customHeight="1" x14ac:dyDescent="0.2">
      <c r="A5189" s="1611">
        <v>17</v>
      </c>
      <c r="B5189" s="1611" t="s">
        <v>2034</v>
      </c>
      <c r="C5189" s="1611" t="s">
        <v>6673</v>
      </c>
      <c r="D5189" s="1612" t="s">
        <v>7555</v>
      </c>
      <c r="E5189" s="1706" t="s">
        <v>7592</v>
      </c>
      <c r="F5189" s="1613">
        <v>45190910</v>
      </c>
      <c r="G5189" s="1613">
        <v>250244637702</v>
      </c>
    </row>
    <row r="5190" spans="1:7" ht="17.25" customHeight="1" x14ac:dyDescent="0.2">
      <c r="A5190" s="1611">
        <v>17</v>
      </c>
      <c r="B5190" s="1611" t="s">
        <v>2034</v>
      </c>
      <c r="C5190" s="1611" t="s">
        <v>5832</v>
      </c>
      <c r="D5190" s="1612" t="s">
        <v>7555</v>
      </c>
      <c r="E5190" s="1706" t="s">
        <v>7592</v>
      </c>
      <c r="F5190" s="1613">
        <v>43570910</v>
      </c>
      <c r="G5190" s="1613">
        <v>250288208612</v>
      </c>
    </row>
    <row r="5191" spans="1:7" ht="17.25" customHeight="1" x14ac:dyDescent="0.2">
      <c r="A5191" s="1611">
        <v>17</v>
      </c>
      <c r="B5191" s="1611" t="s">
        <v>2034</v>
      </c>
      <c r="C5191" s="1611" t="s">
        <v>5832</v>
      </c>
      <c r="D5191" s="1612" t="s">
        <v>7555</v>
      </c>
      <c r="E5191" s="1706" t="s">
        <v>7592</v>
      </c>
      <c r="F5191" s="1613">
        <v>44200000</v>
      </c>
      <c r="G5191" s="1613">
        <v>250332408612</v>
      </c>
    </row>
    <row r="5192" spans="1:7" ht="17.25" customHeight="1" x14ac:dyDescent="0.2">
      <c r="A5192" s="1611">
        <v>17</v>
      </c>
      <c r="B5192" s="1611" t="s">
        <v>3937</v>
      </c>
      <c r="C5192" s="1611" t="s">
        <v>6674</v>
      </c>
      <c r="D5192" s="1612">
        <v>0</v>
      </c>
      <c r="E5192" s="1706" t="s">
        <v>7592</v>
      </c>
      <c r="F5192" s="1613">
        <v>95441819</v>
      </c>
      <c r="G5192" s="1613">
        <v>250427850431</v>
      </c>
    </row>
    <row r="5193" spans="1:7" ht="17.25" customHeight="1" x14ac:dyDescent="0.2">
      <c r="A5193" s="1611">
        <v>17</v>
      </c>
      <c r="B5193" s="1611" t="s">
        <v>2032</v>
      </c>
      <c r="C5193" s="1611" t="s">
        <v>6675</v>
      </c>
      <c r="D5193" s="1612" t="s">
        <v>7555</v>
      </c>
      <c r="E5193" s="1706" t="s">
        <v>7592</v>
      </c>
      <c r="F5193" s="1613">
        <v>18373000</v>
      </c>
      <c r="G5193" s="1613">
        <v>250446223431</v>
      </c>
    </row>
    <row r="5194" spans="1:7" ht="17.25" customHeight="1" x14ac:dyDescent="0.2">
      <c r="A5194" s="1611">
        <v>17</v>
      </c>
      <c r="B5194" s="1611" t="s">
        <v>2039</v>
      </c>
      <c r="C5194" s="1611" t="s">
        <v>4938</v>
      </c>
      <c r="D5194" s="1612" t="s">
        <v>7555</v>
      </c>
      <c r="E5194" s="1706" t="s">
        <v>7592</v>
      </c>
      <c r="F5194" s="1613">
        <v>40400000</v>
      </c>
      <c r="G5194" s="1613">
        <v>250486623431</v>
      </c>
    </row>
    <row r="5195" spans="1:7" ht="17.25" customHeight="1" x14ac:dyDescent="0.2">
      <c r="A5195" s="1611">
        <v>17</v>
      </c>
      <c r="B5195" s="1611" t="s">
        <v>2037</v>
      </c>
      <c r="C5195" s="1611" t="s">
        <v>6676</v>
      </c>
      <c r="D5195" s="1612" t="s">
        <v>7555</v>
      </c>
      <c r="E5195" s="1706" t="s">
        <v>7592</v>
      </c>
      <c r="F5195" s="1613">
        <v>39618182</v>
      </c>
      <c r="G5195" s="1613">
        <v>250526241613</v>
      </c>
    </row>
    <row r="5196" spans="1:7" ht="17.25" customHeight="1" x14ac:dyDescent="0.2">
      <c r="A5196" s="1611">
        <v>17</v>
      </c>
      <c r="B5196" s="1611" t="s">
        <v>2037</v>
      </c>
      <c r="C5196" s="1611" t="s">
        <v>6677</v>
      </c>
      <c r="D5196" s="1612" t="s">
        <v>7555</v>
      </c>
      <c r="E5196" s="1706" t="s">
        <v>7592</v>
      </c>
      <c r="F5196" s="1613">
        <v>37000000</v>
      </c>
      <c r="G5196" s="1613">
        <v>250563241613</v>
      </c>
    </row>
    <row r="5197" spans="1:7" ht="17.25" customHeight="1" x14ac:dyDescent="0.2">
      <c r="A5197" s="1611">
        <v>17</v>
      </c>
      <c r="B5197" s="1611" t="s">
        <v>2037</v>
      </c>
      <c r="C5197" s="1611" t="s">
        <v>4960</v>
      </c>
      <c r="D5197" s="1612" t="s">
        <v>7555</v>
      </c>
      <c r="E5197" s="1706" t="s">
        <v>7592</v>
      </c>
      <c r="F5197" s="1613">
        <v>37700000</v>
      </c>
      <c r="G5197" s="1613">
        <v>250600941613</v>
      </c>
    </row>
    <row r="5198" spans="1:7" ht="17.25" customHeight="1" x14ac:dyDescent="0.2">
      <c r="A5198" s="1611">
        <v>17</v>
      </c>
      <c r="B5198" s="1611" t="s">
        <v>2039</v>
      </c>
      <c r="C5198" s="1611" t="s">
        <v>4297</v>
      </c>
      <c r="D5198" s="1612" t="s">
        <v>7555</v>
      </c>
      <c r="E5198" s="1706" t="s">
        <v>7592</v>
      </c>
      <c r="F5198" s="1613">
        <v>42300000</v>
      </c>
      <c r="G5198" s="1613">
        <v>250643241613</v>
      </c>
    </row>
    <row r="5199" spans="1:7" ht="17.25" customHeight="1" x14ac:dyDescent="0.2">
      <c r="A5199" s="1611">
        <v>17</v>
      </c>
      <c r="B5199" s="1611" t="s">
        <v>2055</v>
      </c>
      <c r="C5199" s="1611" t="s">
        <v>6678</v>
      </c>
      <c r="D5199" s="1612" t="s">
        <v>7555</v>
      </c>
      <c r="E5199" s="1706" t="s">
        <v>7592</v>
      </c>
      <c r="F5199" s="1613">
        <v>61363636</v>
      </c>
      <c r="G5199" s="1613">
        <v>250704605249</v>
      </c>
    </row>
    <row r="5200" spans="1:7" ht="17.25" customHeight="1" x14ac:dyDescent="0.2">
      <c r="A5200" s="1611">
        <v>17</v>
      </c>
      <c r="B5200" s="1611" t="s">
        <v>2045</v>
      </c>
      <c r="C5200" s="1611" t="s">
        <v>6679</v>
      </c>
      <c r="D5200" s="1612" t="s">
        <v>7555</v>
      </c>
      <c r="E5200" s="1706" t="s">
        <v>7592</v>
      </c>
      <c r="F5200" s="1613">
        <v>96811819</v>
      </c>
      <c r="G5200" s="1613">
        <v>250801417068</v>
      </c>
    </row>
    <row r="5201" spans="1:7" ht="17.25" customHeight="1" x14ac:dyDescent="0.2">
      <c r="A5201" s="1611">
        <v>17</v>
      </c>
      <c r="B5201" s="1611" t="s">
        <v>2034</v>
      </c>
      <c r="C5201" s="1611" t="s">
        <v>6680</v>
      </c>
      <c r="D5201" s="1612" t="s">
        <v>7555</v>
      </c>
      <c r="E5201" s="1706" t="s">
        <v>7592</v>
      </c>
      <c r="F5201" s="1613">
        <v>47845455</v>
      </c>
      <c r="G5201" s="1613">
        <v>250849262523</v>
      </c>
    </row>
    <row r="5202" spans="1:7" ht="17.25" customHeight="1" x14ac:dyDescent="0.2">
      <c r="A5202" s="1611">
        <v>17</v>
      </c>
      <c r="B5202" s="1611" t="s">
        <v>7364</v>
      </c>
      <c r="C5202" s="1611" t="s">
        <v>6549</v>
      </c>
      <c r="D5202" s="1612">
        <v>0</v>
      </c>
      <c r="E5202" s="1612" t="s">
        <v>3296</v>
      </c>
      <c r="F5202" s="1613">
        <v>1750056000</v>
      </c>
      <c r="G5202" s="1613">
        <v>252599318523</v>
      </c>
    </row>
    <row r="5203" spans="1:7" ht="17.25" customHeight="1" x14ac:dyDescent="0.2">
      <c r="A5203" s="1611">
        <v>17</v>
      </c>
      <c r="B5203" s="1611" t="s">
        <v>2034</v>
      </c>
      <c r="C5203" s="1611" t="s">
        <v>6681</v>
      </c>
      <c r="D5203" s="1612" t="s">
        <v>7555</v>
      </c>
      <c r="E5203" s="1706" t="s">
        <v>7592</v>
      </c>
      <c r="F5203" s="1613">
        <v>46268183</v>
      </c>
      <c r="G5203" s="1613">
        <v>252645586706</v>
      </c>
    </row>
    <row r="5204" spans="1:7" ht="17.25" customHeight="1" x14ac:dyDescent="0.2">
      <c r="A5204" s="1611">
        <v>17</v>
      </c>
      <c r="B5204" s="1611" t="s">
        <v>2037</v>
      </c>
      <c r="C5204" s="1611" t="s">
        <v>6682</v>
      </c>
      <c r="D5204" s="1612" t="s">
        <v>7555</v>
      </c>
      <c r="E5204" s="1706" t="s">
        <v>7592</v>
      </c>
      <c r="F5204" s="1613">
        <v>38636364</v>
      </c>
      <c r="G5204" s="1613">
        <v>252684223070</v>
      </c>
    </row>
    <row r="5205" spans="1:7" ht="17.25" customHeight="1" x14ac:dyDescent="0.2">
      <c r="A5205" s="1611">
        <v>17</v>
      </c>
      <c r="B5205" s="1611" t="s">
        <v>2037</v>
      </c>
      <c r="C5205" s="1611" t="s">
        <v>6683</v>
      </c>
      <c r="D5205" s="1612" t="s">
        <v>7555</v>
      </c>
      <c r="E5205" s="1706" t="s">
        <v>7592</v>
      </c>
      <c r="F5205" s="1613">
        <v>37000000</v>
      </c>
      <c r="G5205" s="1613">
        <v>252721223070</v>
      </c>
    </row>
    <row r="5206" spans="1:7" ht="17.25" customHeight="1" x14ac:dyDescent="0.2">
      <c r="A5206" s="1611">
        <v>17</v>
      </c>
      <c r="B5206" s="1611" t="s">
        <v>2041</v>
      </c>
      <c r="C5206" s="1611" t="s">
        <v>6684</v>
      </c>
      <c r="D5206" s="1612" t="s">
        <v>7555</v>
      </c>
      <c r="E5206" s="1706" t="s">
        <v>7592</v>
      </c>
      <c r="F5206" s="1613">
        <v>51818182</v>
      </c>
      <c r="G5206" s="1613">
        <v>252773041252</v>
      </c>
    </row>
    <row r="5207" spans="1:7" ht="17.25" customHeight="1" x14ac:dyDescent="0.2">
      <c r="A5207" s="1611">
        <v>17</v>
      </c>
      <c r="B5207" s="1611" t="s">
        <v>2836</v>
      </c>
      <c r="C5207" s="1611" t="s">
        <v>6685</v>
      </c>
      <c r="D5207" s="1612" t="s">
        <v>7555</v>
      </c>
      <c r="E5207" s="1706" t="s">
        <v>7592</v>
      </c>
      <c r="F5207" s="1613">
        <v>32000000</v>
      </c>
      <c r="G5207" s="1613">
        <v>252805041252</v>
      </c>
    </row>
    <row r="5208" spans="1:7" ht="17.25" customHeight="1" x14ac:dyDescent="0.2">
      <c r="A5208" s="1611">
        <v>17</v>
      </c>
      <c r="B5208" s="1611" t="s">
        <v>2041</v>
      </c>
      <c r="C5208" s="1611" t="s">
        <v>6686</v>
      </c>
      <c r="D5208" s="1612" t="s">
        <v>7555</v>
      </c>
      <c r="E5208" s="1706" t="s">
        <v>7592</v>
      </c>
      <c r="F5208" s="1613">
        <v>52000000</v>
      </c>
      <c r="G5208" s="1613">
        <v>252857041252</v>
      </c>
    </row>
    <row r="5209" spans="1:7" ht="17.25" customHeight="1" x14ac:dyDescent="0.2">
      <c r="A5209" s="1611">
        <v>17</v>
      </c>
      <c r="B5209" s="1611" t="s">
        <v>2836</v>
      </c>
      <c r="C5209" s="1611" t="s">
        <v>6687</v>
      </c>
      <c r="D5209" s="1612" t="s">
        <v>7555</v>
      </c>
      <c r="E5209" s="1706" t="s">
        <v>7592</v>
      </c>
      <c r="F5209" s="1613">
        <v>32000000</v>
      </c>
      <c r="G5209" s="1613">
        <v>252889041252</v>
      </c>
    </row>
    <row r="5210" spans="1:7" ht="17.25" customHeight="1" x14ac:dyDescent="0.2">
      <c r="A5210" s="1611">
        <v>17</v>
      </c>
      <c r="B5210" s="1611" t="s">
        <v>2039</v>
      </c>
      <c r="C5210" s="1611" t="s">
        <v>6688</v>
      </c>
      <c r="D5210" s="1612" t="s">
        <v>7555</v>
      </c>
      <c r="E5210" s="1706" t="s">
        <v>7592</v>
      </c>
      <c r="F5210" s="1613">
        <v>44513637</v>
      </c>
      <c r="G5210" s="1613">
        <v>252933554889</v>
      </c>
    </row>
    <row r="5211" spans="1:7" ht="17.25" customHeight="1" x14ac:dyDescent="0.2">
      <c r="A5211" s="1611">
        <v>17</v>
      </c>
      <c r="B5211" s="1611" t="s">
        <v>2028</v>
      </c>
      <c r="C5211" s="1611" t="s">
        <v>6689</v>
      </c>
      <c r="D5211" s="1612" t="s">
        <v>2024</v>
      </c>
      <c r="E5211" s="1706" t="s">
        <v>7592</v>
      </c>
      <c r="F5211" s="1613">
        <v>29170910</v>
      </c>
      <c r="G5211" s="1613">
        <v>252962725799</v>
      </c>
    </row>
    <row r="5212" spans="1:7" ht="17.25" customHeight="1" x14ac:dyDescent="0.2">
      <c r="A5212" s="1611">
        <v>17</v>
      </c>
      <c r="B5212" s="1611" t="s">
        <v>2039</v>
      </c>
      <c r="C5212" s="1611" t="s">
        <v>6690</v>
      </c>
      <c r="D5212" s="1612" t="s">
        <v>7555</v>
      </c>
      <c r="E5212" s="1706" t="s">
        <v>7592</v>
      </c>
      <c r="F5212" s="1613">
        <v>41545455</v>
      </c>
      <c r="G5212" s="1613">
        <v>253004271254</v>
      </c>
    </row>
    <row r="5213" spans="1:7" ht="17.25" customHeight="1" x14ac:dyDescent="0.2">
      <c r="A5213" s="1611">
        <v>17</v>
      </c>
      <c r="B5213" s="1611" t="s">
        <v>2055</v>
      </c>
      <c r="C5213" s="1611" t="s">
        <v>6691</v>
      </c>
      <c r="D5213" s="1612" t="s">
        <v>7555</v>
      </c>
      <c r="E5213" s="1706" t="s">
        <v>7592</v>
      </c>
      <c r="F5213" s="1613">
        <v>60669000</v>
      </c>
      <c r="G5213" s="1613">
        <v>253064940254</v>
      </c>
    </row>
    <row r="5214" spans="1:7" ht="17.25" customHeight="1" x14ac:dyDescent="0.2">
      <c r="A5214" s="1611">
        <v>17</v>
      </c>
      <c r="B5214" s="1611" t="s">
        <v>2055</v>
      </c>
      <c r="C5214" s="1611" t="s">
        <v>6692</v>
      </c>
      <c r="D5214" s="1612" t="s">
        <v>7555</v>
      </c>
      <c r="E5214" s="1706" t="s">
        <v>7592</v>
      </c>
      <c r="F5214" s="1613">
        <v>62800000</v>
      </c>
      <c r="G5214" s="1613">
        <v>253127740254</v>
      </c>
    </row>
    <row r="5215" spans="1:7" ht="17.25" customHeight="1" x14ac:dyDescent="0.2">
      <c r="A5215" s="1611">
        <v>17</v>
      </c>
      <c r="B5215" s="1611" t="s">
        <v>2037</v>
      </c>
      <c r="C5215" s="1611" t="s">
        <v>6693</v>
      </c>
      <c r="D5215" s="1612" t="s">
        <v>7555</v>
      </c>
      <c r="E5215" s="1706" t="s">
        <v>7592</v>
      </c>
      <c r="F5215" s="1613">
        <v>37000000</v>
      </c>
      <c r="G5215" s="1613">
        <v>253164740254</v>
      </c>
    </row>
    <row r="5216" spans="1:7" ht="17.25" customHeight="1" x14ac:dyDescent="0.2">
      <c r="A5216" s="1611">
        <v>17</v>
      </c>
      <c r="B5216" s="1611" t="s">
        <v>2034</v>
      </c>
      <c r="C5216" s="1611" t="s">
        <v>6694</v>
      </c>
      <c r="D5216" s="1612" t="s">
        <v>7555</v>
      </c>
      <c r="E5216" s="1706" t="s">
        <v>7592</v>
      </c>
      <c r="F5216" s="1613">
        <v>41000000</v>
      </c>
      <c r="G5216" s="1613">
        <v>253205740254</v>
      </c>
    </row>
    <row r="5217" spans="1:7" ht="17.25" customHeight="1" x14ac:dyDescent="0.2">
      <c r="A5217" s="1611">
        <v>17</v>
      </c>
      <c r="B5217" s="1611" t="s">
        <v>2034</v>
      </c>
      <c r="C5217" s="1611" t="s">
        <v>6695</v>
      </c>
      <c r="D5217" s="1612" t="s">
        <v>7555</v>
      </c>
      <c r="E5217" s="1706" t="s">
        <v>7592</v>
      </c>
      <c r="F5217" s="1613">
        <v>45543637</v>
      </c>
      <c r="G5217" s="1613">
        <v>253251283891</v>
      </c>
    </row>
    <row r="5218" spans="1:7" ht="17.25" customHeight="1" x14ac:dyDescent="0.2">
      <c r="A5218" s="1611">
        <v>17</v>
      </c>
      <c r="B5218" s="1611" t="s">
        <v>2039</v>
      </c>
      <c r="C5218" s="1611" t="s">
        <v>6696</v>
      </c>
      <c r="D5218" s="1612" t="s">
        <v>7555</v>
      </c>
      <c r="E5218" s="1706" t="s">
        <v>7592</v>
      </c>
      <c r="F5218" s="1613">
        <v>43181818</v>
      </c>
      <c r="G5218" s="1613">
        <v>253294465709</v>
      </c>
    </row>
    <row r="5219" spans="1:7" ht="17.25" customHeight="1" x14ac:dyDescent="0.2">
      <c r="A5219" s="1611">
        <v>17</v>
      </c>
      <c r="B5219" s="1611" t="s">
        <v>2032</v>
      </c>
      <c r="C5219" s="1611" t="s">
        <v>6619</v>
      </c>
      <c r="D5219" s="1612" t="s">
        <v>7555</v>
      </c>
      <c r="E5219" s="1706" t="s">
        <v>7592</v>
      </c>
      <c r="F5219" s="1613">
        <v>18803000</v>
      </c>
      <c r="G5219" s="1613">
        <v>253313268709</v>
      </c>
    </row>
    <row r="5220" spans="1:7" ht="17.25" customHeight="1" x14ac:dyDescent="0.2">
      <c r="A5220" s="1611">
        <v>17</v>
      </c>
      <c r="B5220" s="1611" t="s">
        <v>2032</v>
      </c>
      <c r="C5220" s="1611" t="s">
        <v>6619</v>
      </c>
      <c r="D5220" s="1612" t="s">
        <v>7555</v>
      </c>
      <c r="E5220" s="1706" t="s">
        <v>7592</v>
      </c>
      <c r="F5220" s="1613">
        <v>18803000</v>
      </c>
      <c r="G5220" s="1613">
        <v>253332071709</v>
      </c>
    </row>
    <row r="5221" spans="1:7" ht="17.25" customHeight="1" x14ac:dyDescent="0.2">
      <c r="A5221" s="1611">
        <v>17</v>
      </c>
      <c r="B5221" s="1611" t="s">
        <v>2836</v>
      </c>
      <c r="C5221" s="1611" t="s">
        <v>3874</v>
      </c>
      <c r="D5221" s="1612" t="s">
        <v>7555</v>
      </c>
      <c r="E5221" s="1706" t="s">
        <v>7592</v>
      </c>
      <c r="F5221" s="1613">
        <v>32727273</v>
      </c>
      <c r="G5221" s="1613">
        <v>253364798982</v>
      </c>
    </row>
    <row r="5222" spans="1:7" ht="17.25" customHeight="1" x14ac:dyDescent="0.2">
      <c r="A5222" s="1611">
        <v>17</v>
      </c>
      <c r="B5222" s="1611" t="s">
        <v>2836</v>
      </c>
      <c r="C5222" s="1611" t="s">
        <v>6697</v>
      </c>
      <c r="D5222" s="1612" t="s">
        <v>7555</v>
      </c>
      <c r="E5222" s="1706" t="s">
        <v>7592</v>
      </c>
      <c r="F5222" s="1613">
        <v>31000000</v>
      </c>
      <c r="G5222" s="1613">
        <v>253395798982</v>
      </c>
    </row>
    <row r="5223" spans="1:7" ht="17.25" customHeight="1" x14ac:dyDescent="0.2">
      <c r="A5223" s="1611">
        <v>17</v>
      </c>
      <c r="B5223" s="1611" t="s">
        <v>2039</v>
      </c>
      <c r="C5223" s="1611" t="s">
        <v>6698</v>
      </c>
      <c r="D5223" s="1612" t="s">
        <v>7555</v>
      </c>
      <c r="E5223" s="1706" t="s">
        <v>7592</v>
      </c>
      <c r="F5223" s="1613">
        <v>42100000</v>
      </c>
      <c r="G5223" s="1613">
        <v>253437898982</v>
      </c>
    </row>
    <row r="5224" spans="1:7" ht="17.25" customHeight="1" x14ac:dyDescent="0.2">
      <c r="A5224" s="1611">
        <v>17</v>
      </c>
      <c r="B5224" s="1611" t="s">
        <v>2032</v>
      </c>
      <c r="C5224" s="1611" t="s">
        <v>5139</v>
      </c>
      <c r="D5224" s="1612" t="s">
        <v>7555</v>
      </c>
      <c r="E5224" s="1706" t="s">
        <v>7592</v>
      </c>
      <c r="F5224" s="1613">
        <v>35300000</v>
      </c>
      <c r="G5224" s="1613">
        <v>253473198982</v>
      </c>
    </row>
    <row r="5225" spans="1:7" ht="17.25" customHeight="1" x14ac:dyDescent="0.2">
      <c r="A5225" s="1611">
        <v>17</v>
      </c>
      <c r="B5225" s="1611" t="s">
        <v>2032</v>
      </c>
      <c r="C5225" s="1611" t="s">
        <v>6619</v>
      </c>
      <c r="D5225" s="1612" t="s">
        <v>7555</v>
      </c>
      <c r="E5225" s="1706" t="s">
        <v>7592</v>
      </c>
      <c r="F5225" s="1613">
        <v>18803000</v>
      </c>
      <c r="G5225" s="1613">
        <v>253492001982</v>
      </c>
    </row>
    <row r="5226" spans="1:7" ht="17.25" customHeight="1" x14ac:dyDescent="0.2">
      <c r="A5226" s="1611">
        <v>17</v>
      </c>
      <c r="B5226" s="1611" t="s">
        <v>2032</v>
      </c>
      <c r="C5226" s="1611" t="s">
        <v>6619</v>
      </c>
      <c r="D5226" s="1612" t="s">
        <v>7555</v>
      </c>
      <c r="E5226" s="1706" t="s">
        <v>7592</v>
      </c>
      <c r="F5226" s="1613">
        <v>18803000</v>
      </c>
      <c r="G5226" s="1613">
        <v>253510804982</v>
      </c>
    </row>
    <row r="5227" spans="1:7" ht="17.25" customHeight="1" x14ac:dyDescent="0.2">
      <c r="A5227" s="1611">
        <v>17</v>
      </c>
      <c r="B5227" s="1611" t="s">
        <v>2039</v>
      </c>
      <c r="C5227" s="1611" t="s">
        <v>3436</v>
      </c>
      <c r="D5227" s="1612" t="s">
        <v>7555</v>
      </c>
      <c r="E5227" s="1706" t="s">
        <v>7592</v>
      </c>
      <c r="F5227" s="1613">
        <v>44909091</v>
      </c>
      <c r="G5227" s="1613">
        <v>253555714073</v>
      </c>
    </row>
    <row r="5228" spans="1:7" ht="17.25" customHeight="1" x14ac:dyDescent="0.2">
      <c r="A5228" s="1611">
        <v>17</v>
      </c>
      <c r="B5228" s="1611" t="s">
        <v>2039</v>
      </c>
      <c r="C5228" s="1611" t="s">
        <v>6472</v>
      </c>
      <c r="D5228" s="1612" t="s">
        <v>7555</v>
      </c>
      <c r="E5228" s="1706" t="s">
        <v>7592</v>
      </c>
      <c r="F5228" s="1613">
        <v>39000000</v>
      </c>
      <c r="G5228" s="1613">
        <v>253594714073</v>
      </c>
    </row>
    <row r="5229" spans="1:7" ht="17.25" customHeight="1" x14ac:dyDescent="0.2">
      <c r="A5229" s="1611">
        <v>17</v>
      </c>
      <c r="B5229" s="1611" t="s">
        <v>2039</v>
      </c>
      <c r="C5229" s="1611" t="s">
        <v>4601</v>
      </c>
      <c r="D5229" s="1612" t="s">
        <v>7555</v>
      </c>
      <c r="E5229" s="1706" t="s">
        <v>7592</v>
      </c>
      <c r="F5229" s="1613">
        <v>40000000</v>
      </c>
      <c r="G5229" s="1613">
        <v>253634714073</v>
      </c>
    </row>
    <row r="5230" spans="1:7" ht="17.25" customHeight="1" x14ac:dyDescent="0.2">
      <c r="A5230" s="1611">
        <v>17</v>
      </c>
      <c r="B5230" s="1611" t="s">
        <v>2037</v>
      </c>
      <c r="C5230" s="1611" t="s">
        <v>6699</v>
      </c>
      <c r="D5230" s="1612" t="s">
        <v>7555</v>
      </c>
      <c r="E5230" s="1706" t="s">
        <v>7592</v>
      </c>
      <c r="F5230" s="1613">
        <v>37000000</v>
      </c>
      <c r="G5230" s="1613">
        <v>253671714073</v>
      </c>
    </row>
    <row r="5231" spans="1:7" ht="17.25" customHeight="1" x14ac:dyDescent="0.2">
      <c r="A5231" s="1611">
        <v>17</v>
      </c>
      <c r="B5231" s="1611" t="s">
        <v>2836</v>
      </c>
      <c r="C5231" s="1611" t="s">
        <v>6700</v>
      </c>
      <c r="D5231" s="1612" t="s">
        <v>7555</v>
      </c>
      <c r="E5231" s="1706" t="s">
        <v>7592</v>
      </c>
      <c r="F5231" s="1613">
        <v>31000000</v>
      </c>
      <c r="G5231" s="1613">
        <v>253702714073</v>
      </c>
    </row>
    <row r="5232" spans="1:7" ht="17.25" customHeight="1" x14ac:dyDescent="0.2">
      <c r="A5232" s="1611">
        <v>17</v>
      </c>
      <c r="B5232" s="1611" t="s">
        <v>2836</v>
      </c>
      <c r="C5232" s="1611" t="s">
        <v>4602</v>
      </c>
      <c r="D5232" s="1612" t="s">
        <v>7555</v>
      </c>
      <c r="E5232" s="1706" t="s">
        <v>7592</v>
      </c>
      <c r="F5232" s="1613">
        <v>32000000</v>
      </c>
      <c r="G5232" s="1613">
        <v>253734714073</v>
      </c>
    </row>
    <row r="5233" spans="1:7" ht="17.25" customHeight="1" x14ac:dyDescent="0.2">
      <c r="A5233" s="1611">
        <v>17</v>
      </c>
      <c r="B5233" s="1611" t="s">
        <v>2836</v>
      </c>
      <c r="C5233" s="1611" t="s">
        <v>6592</v>
      </c>
      <c r="D5233" s="1612" t="s">
        <v>7555</v>
      </c>
      <c r="E5233" s="1706" t="s">
        <v>7592</v>
      </c>
      <c r="F5233" s="1613">
        <v>33227273</v>
      </c>
      <c r="G5233" s="1613">
        <v>253767941346</v>
      </c>
    </row>
    <row r="5234" spans="1:7" ht="17.25" customHeight="1" x14ac:dyDescent="0.2">
      <c r="A5234" s="1611">
        <v>17</v>
      </c>
      <c r="B5234" s="1611" t="s">
        <v>2062</v>
      </c>
      <c r="C5234" s="1611" t="s">
        <v>6701</v>
      </c>
      <c r="D5234" s="1612" t="s">
        <v>2023</v>
      </c>
      <c r="E5234" s="1706" t="s">
        <v>7592</v>
      </c>
      <c r="F5234" s="1613">
        <v>175000000</v>
      </c>
      <c r="G5234" s="1613">
        <v>253942941346</v>
      </c>
    </row>
    <row r="5235" spans="1:7" ht="17.25" customHeight="1" x14ac:dyDescent="0.2">
      <c r="A5235" s="1611">
        <v>17</v>
      </c>
      <c r="B5235" s="1611" t="s">
        <v>2063</v>
      </c>
      <c r="C5235" s="1611" t="s">
        <v>6702</v>
      </c>
      <c r="D5235" s="1612" t="s">
        <v>2023</v>
      </c>
      <c r="E5235" s="1706" t="s">
        <v>7592</v>
      </c>
      <c r="F5235" s="1613">
        <v>155000000</v>
      </c>
      <c r="G5235" s="1613">
        <v>254097941346</v>
      </c>
    </row>
    <row r="5236" spans="1:7" ht="17.25" customHeight="1" x14ac:dyDescent="0.2">
      <c r="A5236" s="1611">
        <v>17</v>
      </c>
      <c r="B5236" s="1611" t="s">
        <v>2032</v>
      </c>
      <c r="C5236" s="1611" t="s">
        <v>6619</v>
      </c>
      <c r="D5236" s="1612" t="s">
        <v>7555</v>
      </c>
      <c r="E5236" s="1706" t="s">
        <v>7592</v>
      </c>
      <c r="F5236" s="1613">
        <v>-18803000</v>
      </c>
      <c r="G5236" s="1613">
        <v>254079138346</v>
      </c>
    </row>
    <row r="5237" spans="1:7" ht="17.25" customHeight="1" x14ac:dyDescent="0.2">
      <c r="A5237" s="1611">
        <v>17</v>
      </c>
      <c r="B5237" s="1611" t="s">
        <v>2032</v>
      </c>
      <c r="C5237" s="1611" t="s">
        <v>6619</v>
      </c>
      <c r="D5237" s="1612" t="s">
        <v>7555</v>
      </c>
      <c r="E5237" s="1706" t="s">
        <v>7592</v>
      </c>
      <c r="F5237" s="1613">
        <v>-18803000</v>
      </c>
      <c r="G5237" s="1613">
        <v>254060335346</v>
      </c>
    </row>
    <row r="5238" spans="1:7" ht="17.25" customHeight="1" x14ac:dyDescent="0.2">
      <c r="A5238" s="1611">
        <v>17</v>
      </c>
      <c r="B5238" s="1611" t="s">
        <v>2037</v>
      </c>
      <c r="C5238" s="1611" t="s">
        <v>6703</v>
      </c>
      <c r="D5238" s="1612" t="s">
        <v>7555</v>
      </c>
      <c r="E5238" s="1706" t="s">
        <v>7592</v>
      </c>
      <c r="F5238" s="1613">
        <v>18373000</v>
      </c>
      <c r="G5238" s="1613">
        <v>254078708346</v>
      </c>
    </row>
    <row r="5239" spans="1:7" ht="17.25" customHeight="1" x14ac:dyDescent="0.2">
      <c r="A5239" s="1611">
        <v>17</v>
      </c>
      <c r="B5239" s="1611" t="s">
        <v>2032</v>
      </c>
      <c r="C5239" s="1611" t="s">
        <v>6704</v>
      </c>
      <c r="D5239" s="1612" t="s">
        <v>7555</v>
      </c>
      <c r="E5239" s="1706" t="s">
        <v>7592</v>
      </c>
      <c r="F5239" s="1613">
        <v>18373000</v>
      </c>
      <c r="G5239" s="1613">
        <v>254097081346</v>
      </c>
    </row>
    <row r="5240" spans="1:7" ht="17.25" customHeight="1" x14ac:dyDescent="0.2">
      <c r="A5240" s="1611">
        <v>17</v>
      </c>
      <c r="B5240" s="1611" t="s">
        <v>2028</v>
      </c>
      <c r="C5240" s="1611" t="s">
        <v>6705</v>
      </c>
      <c r="D5240" s="1612" t="s">
        <v>2024</v>
      </c>
      <c r="E5240" s="1706" t="s">
        <v>7592</v>
      </c>
      <c r="F5240" s="1613">
        <v>14363635</v>
      </c>
      <c r="G5240" s="1613">
        <v>254111444981</v>
      </c>
    </row>
    <row r="5241" spans="1:7" ht="17.25" customHeight="1" x14ac:dyDescent="0.2">
      <c r="A5241" s="1611">
        <v>17</v>
      </c>
      <c r="B5241" s="1611" t="s">
        <v>2836</v>
      </c>
      <c r="C5241" s="1611" t="s">
        <v>6706</v>
      </c>
      <c r="D5241" s="1612" t="s">
        <v>7555</v>
      </c>
      <c r="E5241" s="1706" t="s">
        <v>7592</v>
      </c>
      <c r="F5241" s="1613">
        <v>32000000</v>
      </c>
      <c r="G5241" s="1613">
        <v>254143444981</v>
      </c>
    </row>
    <row r="5242" spans="1:7" ht="17.25" customHeight="1" x14ac:dyDescent="0.2">
      <c r="A5242" s="1611">
        <v>17</v>
      </c>
      <c r="B5242" s="1611" t="s">
        <v>2041</v>
      </c>
      <c r="C5242" s="1611" t="s">
        <v>6707</v>
      </c>
      <c r="D5242" s="1612" t="s">
        <v>7555</v>
      </c>
      <c r="E5242" s="1706" t="s">
        <v>7592</v>
      </c>
      <c r="F5242" s="1613">
        <v>53000000</v>
      </c>
      <c r="G5242" s="1613">
        <v>254196444981</v>
      </c>
    </row>
    <row r="5243" spans="1:7" ht="17.25" customHeight="1" x14ac:dyDescent="0.2">
      <c r="A5243" s="1611">
        <v>17</v>
      </c>
      <c r="B5243" s="1611" t="s">
        <v>2037</v>
      </c>
      <c r="C5243" s="1611" t="s">
        <v>6708</v>
      </c>
      <c r="D5243" s="1612" t="s">
        <v>7555</v>
      </c>
      <c r="E5243" s="1706" t="s">
        <v>7592</v>
      </c>
      <c r="F5243" s="1613">
        <v>37000000</v>
      </c>
      <c r="G5243" s="1613">
        <v>254233444981</v>
      </c>
    </row>
    <row r="5244" spans="1:7" ht="17.25" customHeight="1" x14ac:dyDescent="0.2">
      <c r="A5244" s="1611">
        <v>17</v>
      </c>
      <c r="B5244" s="1611" t="s">
        <v>2840</v>
      </c>
      <c r="C5244" s="1611" t="s">
        <v>6709</v>
      </c>
      <c r="D5244" s="1612" t="s">
        <v>2023</v>
      </c>
      <c r="E5244" s="1706" t="s">
        <v>7592</v>
      </c>
      <c r="F5244" s="1613">
        <v>205000000</v>
      </c>
      <c r="G5244" s="1613">
        <v>254438444981</v>
      </c>
    </row>
    <row r="5245" spans="1:7" ht="17.25" customHeight="1" x14ac:dyDescent="0.2">
      <c r="A5245" s="1611">
        <v>17</v>
      </c>
      <c r="B5245" s="1611" t="s">
        <v>2039</v>
      </c>
      <c r="C5245" s="1611" t="s">
        <v>6710</v>
      </c>
      <c r="D5245" s="1612" t="s">
        <v>7555</v>
      </c>
      <c r="E5245" s="1706" t="s">
        <v>7592</v>
      </c>
      <c r="F5245" s="1613">
        <v>40000000</v>
      </c>
      <c r="G5245" s="1613">
        <v>254478444981</v>
      </c>
    </row>
    <row r="5246" spans="1:7" ht="17.25" customHeight="1" x14ac:dyDescent="0.2">
      <c r="A5246" s="1611">
        <v>17</v>
      </c>
      <c r="B5246" s="1611" t="s">
        <v>2037</v>
      </c>
      <c r="C5246" s="1611" t="s">
        <v>6711</v>
      </c>
      <c r="D5246" s="1612" t="s">
        <v>7555</v>
      </c>
      <c r="E5246" s="1706" t="s">
        <v>7592</v>
      </c>
      <c r="F5246" s="1613">
        <v>36500000</v>
      </c>
      <c r="G5246" s="1613">
        <v>254514944981</v>
      </c>
    </row>
    <row r="5247" spans="1:7" ht="17.25" customHeight="1" x14ac:dyDescent="0.2">
      <c r="A5247" s="1611">
        <v>17</v>
      </c>
      <c r="B5247" s="1611" t="s">
        <v>2836</v>
      </c>
      <c r="C5247" s="1611" t="s">
        <v>6694</v>
      </c>
      <c r="D5247" s="1612" t="s">
        <v>7555</v>
      </c>
      <c r="E5247" s="1706" t="s">
        <v>7592</v>
      </c>
      <c r="F5247" s="1613">
        <v>30000000</v>
      </c>
      <c r="G5247" s="1613">
        <v>254544944981</v>
      </c>
    </row>
    <row r="5248" spans="1:7" ht="17.25" customHeight="1" x14ac:dyDescent="0.2">
      <c r="A5248" s="1611">
        <v>17</v>
      </c>
      <c r="B5248" s="1611" t="s">
        <v>2836</v>
      </c>
      <c r="C5248" s="1611" t="s">
        <v>6712</v>
      </c>
      <c r="D5248" s="1612" t="s">
        <v>7555</v>
      </c>
      <c r="E5248" s="1706" t="s">
        <v>7592</v>
      </c>
      <c r="F5248" s="1613">
        <v>32000000</v>
      </c>
      <c r="G5248" s="1613">
        <v>254576944981</v>
      </c>
    </row>
    <row r="5249" spans="1:7" ht="17.25" customHeight="1" x14ac:dyDescent="0.2">
      <c r="A5249" s="1611">
        <v>17</v>
      </c>
      <c r="B5249" s="1611" t="s">
        <v>2032</v>
      </c>
      <c r="C5249" s="1611" t="s">
        <v>4647</v>
      </c>
      <c r="D5249" s="1612" t="s">
        <v>7555</v>
      </c>
      <c r="E5249" s="1706" t="s">
        <v>7592</v>
      </c>
      <c r="F5249" s="1613">
        <v>18373000</v>
      </c>
      <c r="G5249" s="1613">
        <v>254595317981</v>
      </c>
    </row>
    <row r="5250" spans="1:7" ht="17.25" customHeight="1" x14ac:dyDescent="0.2">
      <c r="A5250" s="1611">
        <v>17</v>
      </c>
      <c r="B5250" s="1611" t="s">
        <v>2028</v>
      </c>
      <c r="C5250" s="1611" t="s">
        <v>6713</v>
      </c>
      <c r="D5250" s="1612" t="s">
        <v>2024</v>
      </c>
      <c r="E5250" s="1706" t="s">
        <v>7592</v>
      </c>
      <c r="F5250" s="1613">
        <v>14030000</v>
      </c>
      <c r="G5250" s="1613">
        <v>254609347981</v>
      </c>
    </row>
    <row r="5251" spans="1:7" ht="17.25" customHeight="1" x14ac:dyDescent="0.2">
      <c r="A5251" s="1611">
        <v>17</v>
      </c>
      <c r="B5251" s="1611" t="s">
        <v>2830</v>
      </c>
      <c r="C5251" s="1611" t="s">
        <v>3903</v>
      </c>
      <c r="D5251" s="1612">
        <v>0</v>
      </c>
      <c r="E5251" s="1706" t="s">
        <v>7592</v>
      </c>
      <c r="F5251" s="1613">
        <v>1181818</v>
      </c>
      <c r="G5251" s="1613">
        <v>254610529799</v>
      </c>
    </row>
    <row r="5252" spans="1:7" ht="17.25" customHeight="1" x14ac:dyDescent="0.2">
      <c r="A5252" s="1611">
        <v>17</v>
      </c>
      <c r="B5252" s="1611" t="s">
        <v>2063</v>
      </c>
      <c r="C5252" s="1611" t="s">
        <v>6714</v>
      </c>
      <c r="D5252" s="1612" t="s">
        <v>2023</v>
      </c>
      <c r="E5252" s="1706" t="s">
        <v>7592</v>
      </c>
      <c r="F5252" s="1613">
        <v>160909091</v>
      </c>
      <c r="G5252" s="1613">
        <v>254771438890</v>
      </c>
    </row>
    <row r="5253" spans="1:7" ht="17.25" customHeight="1" x14ac:dyDescent="0.2">
      <c r="A5253" s="1611">
        <v>17</v>
      </c>
      <c r="B5253" s="1611" t="s">
        <v>2037</v>
      </c>
      <c r="C5253" s="1611" t="s">
        <v>6715</v>
      </c>
      <c r="D5253" s="1612" t="s">
        <v>7555</v>
      </c>
      <c r="E5253" s="1706" t="s">
        <v>7592</v>
      </c>
      <c r="F5253" s="1613">
        <v>38000000</v>
      </c>
      <c r="G5253" s="1613">
        <v>254809438890</v>
      </c>
    </row>
    <row r="5254" spans="1:7" ht="17.25" customHeight="1" x14ac:dyDescent="0.2">
      <c r="A5254" s="1611">
        <v>17</v>
      </c>
      <c r="B5254" s="1611" t="s">
        <v>2037</v>
      </c>
      <c r="C5254" s="1611" t="s">
        <v>6716</v>
      </c>
      <c r="D5254" s="1612" t="s">
        <v>7555</v>
      </c>
      <c r="E5254" s="1706" t="s">
        <v>7592</v>
      </c>
      <c r="F5254" s="1613">
        <v>35000000</v>
      </c>
      <c r="G5254" s="1613">
        <v>254844438890</v>
      </c>
    </row>
    <row r="5255" spans="1:7" ht="17.25" customHeight="1" x14ac:dyDescent="0.2">
      <c r="A5255" s="1611">
        <v>17</v>
      </c>
      <c r="B5255" s="1611" t="s">
        <v>2836</v>
      </c>
      <c r="C5255" s="1611" t="s">
        <v>4363</v>
      </c>
      <c r="D5255" s="1612" t="s">
        <v>7555</v>
      </c>
      <c r="E5255" s="1706" t="s">
        <v>7592</v>
      </c>
      <c r="F5255" s="1613">
        <v>32000000</v>
      </c>
      <c r="G5255" s="1613">
        <v>254876438890</v>
      </c>
    </row>
    <row r="5256" spans="1:7" ht="17.25" customHeight="1" x14ac:dyDescent="0.2">
      <c r="A5256" s="1611">
        <v>17</v>
      </c>
      <c r="B5256" s="1611" t="s">
        <v>2039</v>
      </c>
      <c r="C5256" s="1611" t="s">
        <v>6439</v>
      </c>
      <c r="D5256" s="1612" t="s">
        <v>7555</v>
      </c>
      <c r="E5256" s="1706" t="s">
        <v>7592</v>
      </c>
      <c r="F5256" s="1613">
        <v>39500000</v>
      </c>
      <c r="G5256" s="1613">
        <v>254915938890</v>
      </c>
    </row>
    <row r="5257" spans="1:7" ht="17.25" customHeight="1" x14ac:dyDescent="0.2">
      <c r="A5257" s="1611">
        <v>17</v>
      </c>
      <c r="B5257" s="1611" t="s">
        <v>2032</v>
      </c>
      <c r="C5257" s="1611" t="s">
        <v>4342</v>
      </c>
      <c r="D5257" s="1612" t="s">
        <v>7555</v>
      </c>
      <c r="E5257" s="1706" t="s">
        <v>7592</v>
      </c>
      <c r="F5257" s="1613">
        <v>18373000</v>
      </c>
      <c r="G5257" s="1613">
        <v>254934311890</v>
      </c>
    </row>
    <row r="5258" spans="1:7" ht="17.25" customHeight="1" x14ac:dyDescent="0.2">
      <c r="A5258" s="1611">
        <v>17</v>
      </c>
      <c r="B5258" s="1611" t="s">
        <v>2028</v>
      </c>
      <c r="C5258" s="1611" t="s">
        <v>6717</v>
      </c>
      <c r="D5258" s="1612" t="s">
        <v>2024</v>
      </c>
      <c r="E5258" s="1706" t="s">
        <v>7592</v>
      </c>
      <c r="F5258" s="1613">
        <v>1054545</v>
      </c>
      <c r="G5258" s="1613">
        <v>254935366435</v>
      </c>
    </row>
    <row r="5259" spans="1:7" ht="17.25" customHeight="1" x14ac:dyDescent="0.2">
      <c r="A5259" s="1611">
        <v>17</v>
      </c>
      <c r="B5259" s="1611" t="s">
        <v>7154</v>
      </c>
      <c r="C5259" s="1611" t="s">
        <v>6561</v>
      </c>
      <c r="D5259" s="1612">
        <v>0</v>
      </c>
      <c r="E5259" s="1612" t="s">
        <v>7566</v>
      </c>
      <c r="F5259" s="1613">
        <v>45529274</v>
      </c>
      <c r="G5259" s="1613">
        <v>254980895709</v>
      </c>
    </row>
    <row r="5260" spans="1:7" ht="17.25" customHeight="1" x14ac:dyDescent="0.2">
      <c r="A5260" s="1611">
        <v>17</v>
      </c>
      <c r="B5260" s="1611" t="s">
        <v>2063</v>
      </c>
      <c r="C5260" s="1611" t="s">
        <v>6718</v>
      </c>
      <c r="D5260" s="1612" t="s">
        <v>2023</v>
      </c>
      <c r="E5260" s="1706" t="s">
        <v>7592</v>
      </c>
      <c r="F5260" s="1613">
        <v>157000000</v>
      </c>
      <c r="G5260" s="1613">
        <v>255137895709</v>
      </c>
    </row>
    <row r="5261" spans="1:7" ht="17.25" customHeight="1" x14ac:dyDescent="0.2">
      <c r="A5261" s="1611">
        <v>17</v>
      </c>
      <c r="B5261" s="1611" t="s">
        <v>2840</v>
      </c>
      <c r="C5261" s="1611" t="s">
        <v>6719</v>
      </c>
      <c r="D5261" s="1612" t="s">
        <v>2023</v>
      </c>
      <c r="E5261" s="1706" t="s">
        <v>7592</v>
      </c>
      <c r="F5261" s="1613">
        <v>205000000</v>
      </c>
      <c r="G5261" s="1613">
        <v>255342895709</v>
      </c>
    </row>
    <row r="5262" spans="1:7" ht="17.25" customHeight="1" x14ac:dyDescent="0.2">
      <c r="A5262" s="1611">
        <v>17</v>
      </c>
      <c r="B5262" s="1611" t="s">
        <v>2037</v>
      </c>
      <c r="C5262" s="1611" t="s">
        <v>6720</v>
      </c>
      <c r="D5262" s="1612" t="s">
        <v>7555</v>
      </c>
      <c r="E5262" s="1706" t="s">
        <v>7592</v>
      </c>
      <c r="F5262" s="1613">
        <v>38300000</v>
      </c>
      <c r="G5262" s="1613">
        <v>255381195709</v>
      </c>
    </row>
    <row r="5263" spans="1:7" ht="17.25" customHeight="1" x14ac:dyDescent="0.2">
      <c r="A5263" s="1611">
        <v>17</v>
      </c>
      <c r="B5263" s="1611" t="s">
        <v>2037</v>
      </c>
      <c r="C5263" s="1611" t="s">
        <v>6721</v>
      </c>
      <c r="D5263" s="1612" t="s">
        <v>7555</v>
      </c>
      <c r="E5263" s="1706" t="s">
        <v>7592</v>
      </c>
      <c r="F5263" s="1613">
        <v>38181818</v>
      </c>
      <c r="G5263" s="1613">
        <v>255419377527</v>
      </c>
    </row>
    <row r="5264" spans="1:7" ht="17.25" customHeight="1" x14ac:dyDescent="0.2">
      <c r="A5264" s="1611">
        <v>17</v>
      </c>
      <c r="B5264" s="1611" t="s">
        <v>2039</v>
      </c>
      <c r="C5264" s="1611" t="s">
        <v>6722</v>
      </c>
      <c r="D5264" s="1612" t="s">
        <v>7555</v>
      </c>
      <c r="E5264" s="1706" t="s">
        <v>7592</v>
      </c>
      <c r="F5264" s="1613">
        <v>40000000</v>
      </c>
      <c r="G5264" s="1613">
        <v>255459377527</v>
      </c>
    </row>
    <row r="5265" spans="1:7" ht="17.25" customHeight="1" x14ac:dyDescent="0.2">
      <c r="A5265" s="1611">
        <v>17</v>
      </c>
      <c r="B5265" s="1611" t="s">
        <v>2039</v>
      </c>
      <c r="C5265" s="1611" t="s">
        <v>6723</v>
      </c>
      <c r="D5265" s="1612" t="s">
        <v>7555</v>
      </c>
      <c r="E5265" s="1706" t="s">
        <v>7592</v>
      </c>
      <c r="F5265" s="1613">
        <v>39500000</v>
      </c>
      <c r="G5265" s="1613">
        <v>255498877527</v>
      </c>
    </row>
    <row r="5266" spans="1:7" ht="17.25" customHeight="1" x14ac:dyDescent="0.2">
      <c r="A5266" s="1611">
        <v>17</v>
      </c>
      <c r="B5266" s="1611" t="s">
        <v>2054</v>
      </c>
      <c r="C5266" s="1611" t="s">
        <v>6724</v>
      </c>
      <c r="D5266" s="1612" t="s">
        <v>2024</v>
      </c>
      <c r="E5266" s="1706" t="s">
        <v>7592</v>
      </c>
      <c r="F5266" s="1613">
        <v>13200000</v>
      </c>
      <c r="G5266" s="1613">
        <v>255512077527</v>
      </c>
    </row>
    <row r="5267" spans="1:7" ht="17.25" customHeight="1" x14ac:dyDescent="0.2">
      <c r="A5267" s="1611">
        <v>17</v>
      </c>
      <c r="B5267" s="1611" t="s">
        <v>2039</v>
      </c>
      <c r="C5267" s="1611" t="s">
        <v>3903</v>
      </c>
      <c r="D5267" s="1612" t="s">
        <v>7555</v>
      </c>
      <c r="E5267" s="1706" t="s">
        <v>7592</v>
      </c>
      <c r="F5267" s="1613">
        <v>41500000</v>
      </c>
      <c r="G5267" s="1613">
        <v>255553577527</v>
      </c>
    </row>
    <row r="5268" spans="1:7" ht="17.25" customHeight="1" x14ac:dyDescent="0.2">
      <c r="A5268" s="1611">
        <v>17</v>
      </c>
      <c r="B5268" s="1611" t="s">
        <v>7154</v>
      </c>
      <c r="C5268" s="1611" t="s">
        <v>5475</v>
      </c>
      <c r="D5268" s="1612">
        <v>0</v>
      </c>
      <c r="E5268" s="1612" t="s">
        <v>3299</v>
      </c>
      <c r="F5268" s="1613">
        <v>32553669</v>
      </c>
      <c r="G5268" s="1613">
        <v>255586131196</v>
      </c>
    </row>
    <row r="5269" spans="1:7" ht="17.25" customHeight="1" x14ac:dyDescent="0.2">
      <c r="A5269" s="1611">
        <v>17</v>
      </c>
      <c r="B5269" s="1611" t="s">
        <v>2037</v>
      </c>
      <c r="C5269" s="1611" t="s">
        <v>6569</v>
      </c>
      <c r="D5269" s="1612" t="s">
        <v>7555</v>
      </c>
      <c r="E5269" s="1706" t="s">
        <v>7592</v>
      </c>
      <c r="F5269" s="1613">
        <v>18573000</v>
      </c>
      <c r="G5269" s="1613">
        <v>255604704196</v>
      </c>
    </row>
    <row r="5270" spans="1:7" ht="17.25" customHeight="1" x14ac:dyDescent="0.2">
      <c r="A5270" s="1611">
        <v>17</v>
      </c>
      <c r="B5270" s="1611" t="s">
        <v>2028</v>
      </c>
      <c r="C5270" s="1611" t="s">
        <v>6725</v>
      </c>
      <c r="D5270" s="1612" t="s">
        <v>2024</v>
      </c>
      <c r="E5270" s="1706" t="s">
        <v>7592</v>
      </c>
      <c r="F5270" s="1613">
        <v>14500000</v>
      </c>
      <c r="G5270" s="1613">
        <v>255619204196</v>
      </c>
    </row>
    <row r="5271" spans="1:7" ht="17.25" customHeight="1" x14ac:dyDescent="0.2">
      <c r="A5271" s="1611">
        <v>17</v>
      </c>
      <c r="B5271" s="1611" t="s">
        <v>2039</v>
      </c>
      <c r="C5271" s="1611" t="s">
        <v>6726</v>
      </c>
      <c r="D5271" s="1612" t="s">
        <v>7555</v>
      </c>
      <c r="E5271" s="1706" t="s">
        <v>7592</v>
      </c>
      <c r="F5271" s="1613">
        <v>42300000</v>
      </c>
      <c r="G5271" s="1613">
        <v>255661504196</v>
      </c>
    </row>
    <row r="5272" spans="1:7" ht="17.25" customHeight="1" x14ac:dyDescent="0.2">
      <c r="A5272" s="1611">
        <v>17</v>
      </c>
      <c r="B5272" s="1611" t="s">
        <v>2041</v>
      </c>
      <c r="C5272" s="1611" t="s">
        <v>6727</v>
      </c>
      <c r="D5272" s="1612" t="s">
        <v>7555</v>
      </c>
      <c r="E5272" s="1706" t="s">
        <v>7592</v>
      </c>
      <c r="F5272" s="1613">
        <v>50000000</v>
      </c>
      <c r="G5272" s="1613">
        <v>255711504196</v>
      </c>
    </row>
    <row r="5273" spans="1:7" ht="17.25" customHeight="1" x14ac:dyDescent="0.2">
      <c r="A5273" s="1611">
        <v>17</v>
      </c>
      <c r="B5273" s="1611" t="s">
        <v>2875</v>
      </c>
      <c r="C5273" s="1611" t="s">
        <v>4111</v>
      </c>
      <c r="D5273" s="1612">
        <v>0</v>
      </c>
      <c r="E5273" s="1706" t="s">
        <v>7592</v>
      </c>
      <c r="F5273" s="1613">
        <v>88507727</v>
      </c>
      <c r="G5273" s="1613">
        <v>255800011923</v>
      </c>
    </row>
    <row r="5274" spans="1:7" ht="17.25" customHeight="1" x14ac:dyDescent="0.2">
      <c r="A5274" s="1611">
        <v>17</v>
      </c>
      <c r="B5274" s="1611" t="s">
        <v>2062</v>
      </c>
      <c r="C5274" s="1611" t="s">
        <v>6728</v>
      </c>
      <c r="D5274" s="1612" t="s">
        <v>2023</v>
      </c>
      <c r="E5274" s="1706" t="s">
        <v>7592</v>
      </c>
      <c r="F5274" s="1613">
        <v>175000000</v>
      </c>
      <c r="G5274" s="1613">
        <v>255975011923</v>
      </c>
    </row>
    <row r="5275" spans="1:7" ht="17.25" customHeight="1" x14ac:dyDescent="0.2">
      <c r="A5275" s="1611">
        <v>17</v>
      </c>
      <c r="B5275" s="1611" t="s">
        <v>2028</v>
      </c>
      <c r="C5275" s="1611" t="s">
        <v>6729</v>
      </c>
      <c r="D5275" s="1612" t="s">
        <v>2024</v>
      </c>
      <c r="E5275" s="1706" t="s">
        <v>7592</v>
      </c>
      <c r="F5275" s="1613">
        <v>14472727</v>
      </c>
      <c r="G5275" s="1613">
        <v>255989484650</v>
      </c>
    </row>
    <row r="5276" spans="1:7" ht="17.25" customHeight="1" x14ac:dyDescent="0.2">
      <c r="A5276" s="1611">
        <v>17</v>
      </c>
      <c r="B5276" s="1611" t="s">
        <v>2037</v>
      </c>
      <c r="C5276" s="1611" t="s">
        <v>5252</v>
      </c>
      <c r="D5276" s="1612" t="s">
        <v>7555</v>
      </c>
      <c r="E5276" s="1706" t="s">
        <v>7592</v>
      </c>
      <c r="F5276" s="1613">
        <v>152000000</v>
      </c>
      <c r="G5276" s="1613">
        <v>256141484650</v>
      </c>
    </row>
    <row r="5277" spans="1:7" ht="17.25" customHeight="1" x14ac:dyDescent="0.2">
      <c r="A5277" s="1611">
        <v>17</v>
      </c>
      <c r="B5277" s="1611" t="s">
        <v>2037</v>
      </c>
      <c r="C5277" s="1611" t="s">
        <v>5252</v>
      </c>
      <c r="D5277" s="1612" t="s">
        <v>7555</v>
      </c>
      <c r="E5277" s="1706" t="s">
        <v>7592</v>
      </c>
      <c r="F5277" s="1613">
        <v>-152000000</v>
      </c>
      <c r="G5277" s="1613">
        <v>255989484650</v>
      </c>
    </row>
    <row r="5278" spans="1:7" ht="17.25" customHeight="1" x14ac:dyDescent="0.2">
      <c r="A5278" s="1611">
        <v>17</v>
      </c>
      <c r="B5278" s="1611" t="s">
        <v>2037</v>
      </c>
      <c r="C5278" s="1611" t="s">
        <v>5252</v>
      </c>
      <c r="D5278" s="1612" t="s">
        <v>7555</v>
      </c>
      <c r="E5278" s="1706" t="s">
        <v>7592</v>
      </c>
      <c r="F5278" s="1613">
        <v>38000000</v>
      </c>
      <c r="G5278" s="1613">
        <v>256027484650</v>
      </c>
    </row>
    <row r="5279" spans="1:7" ht="17.25" customHeight="1" x14ac:dyDescent="0.2">
      <c r="A5279" s="1611">
        <v>17</v>
      </c>
      <c r="B5279" s="1611" t="s">
        <v>2037</v>
      </c>
      <c r="C5279" s="1611" t="s">
        <v>5252</v>
      </c>
      <c r="D5279" s="1612" t="s">
        <v>7555</v>
      </c>
      <c r="E5279" s="1706" t="s">
        <v>7592</v>
      </c>
      <c r="F5279" s="1613">
        <v>38000000</v>
      </c>
      <c r="G5279" s="1613">
        <v>256065484650</v>
      </c>
    </row>
    <row r="5280" spans="1:7" ht="17.25" customHeight="1" x14ac:dyDescent="0.2">
      <c r="A5280" s="1611">
        <v>17</v>
      </c>
      <c r="B5280" s="1611" t="s">
        <v>2037</v>
      </c>
      <c r="C5280" s="1611" t="s">
        <v>5252</v>
      </c>
      <c r="D5280" s="1612" t="s">
        <v>7555</v>
      </c>
      <c r="E5280" s="1706" t="s">
        <v>7592</v>
      </c>
      <c r="F5280" s="1613">
        <v>38000000</v>
      </c>
      <c r="G5280" s="1613">
        <v>256103484650</v>
      </c>
    </row>
    <row r="5281" spans="1:7" ht="17.25" customHeight="1" x14ac:dyDescent="0.2">
      <c r="A5281" s="1611">
        <v>17</v>
      </c>
      <c r="B5281" s="1611" t="s">
        <v>2037</v>
      </c>
      <c r="C5281" s="1611" t="s">
        <v>5252</v>
      </c>
      <c r="D5281" s="1612" t="s">
        <v>7555</v>
      </c>
      <c r="E5281" s="1706" t="s">
        <v>7592</v>
      </c>
      <c r="F5281" s="1613">
        <v>38000000</v>
      </c>
      <c r="G5281" s="1613">
        <v>256141484650</v>
      </c>
    </row>
    <row r="5282" spans="1:7" ht="17.25" customHeight="1" x14ac:dyDescent="0.2">
      <c r="A5282" s="1611">
        <v>17</v>
      </c>
      <c r="B5282" s="1611" t="s">
        <v>2054</v>
      </c>
      <c r="C5282" s="1611" t="s">
        <v>4213</v>
      </c>
      <c r="D5282" s="1612" t="s">
        <v>2024</v>
      </c>
      <c r="E5282" s="1706" t="s">
        <v>7592</v>
      </c>
      <c r="F5282" s="1613">
        <v>14700000</v>
      </c>
      <c r="G5282" s="1613">
        <v>256156184650</v>
      </c>
    </row>
    <row r="5283" spans="1:7" ht="17.25" customHeight="1" x14ac:dyDescent="0.2">
      <c r="A5283" s="1611">
        <v>17</v>
      </c>
      <c r="B5283" s="1611" t="s">
        <v>2037</v>
      </c>
      <c r="C5283" s="1611" t="s">
        <v>6730</v>
      </c>
      <c r="D5283" s="1612" t="s">
        <v>7555</v>
      </c>
      <c r="E5283" s="1706" t="s">
        <v>7592</v>
      </c>
      <c r="F5283" s="1613">
        <v>36500000</v>
      </c>
      <c r="G5283" s="1613">
        <v>256192684650</v>
      </c>
    </row>
    <row r="5284" spans="1:7" ht="17.25" customHeight="1" x14ac:dyDescent="0.2">
      <c r="A5284" s="1611">
        <v>17</v>
      </c>
      <c r="B5284" s="1611" t="s">
        <v>2037</v>
      </c>
      <c r="C5284" s="1611" t="s">
        <v>4100</v>
      </c>
      <c r="D5284" s="1612" t="s">
        <v>7555</v>
      </c>
      <c r="E5284" s="1706" t="s">
        <v>7592</v>
      </c>
      <c r="F5284" s="1613">
        <v>38000000</v>
      </c>
      <c r="G5284" s="1613">
        <v>256230684650</v>
      </c>
    </row>
    <row r="5285" spans="1:7" ht="17.25" customHeight="1" x14ac:dyDescent="0.2">
      <c r="A5285" s="1611">
        <v>17</v>
      </c>
      <c r="B5285" s="1611" t="s">
        <v>2041</v>
      </c>
      <c r="C5285" s="1611" t="s">
        <v>6731</v>
      </c>
      <c r="D5285" s="1612" t="s">
        <v>7555</v>
      </c>
      <c r="E5285" s="1706" t="s">
        <v>7592</v>
      </c>
      <c r="F5285" s="1613">
        <v>51818181</v>
      </c>
      <c r="G5285" s="1613">
        <v>256282502831</v>
      </c>
    </row>
    <row r="5286" spans="1:7" ht="17.25" customHeight="1" x14ac:dyDescent="0.2">
      <c r="A5286" s="1611">
        <v>17</v>
      </c>
      <c r="B5286" s="1611" t="s">
        <v>2037</v>
      </c>
      <c r="C5286" s="1611" t="s">
        <v>6732</v>
      </c>
      <c r="D5286" s="1612" t="s">
        <v>7555</v>
      </c>
      <c r="E5286" s="1706" t="s">
        <v>7592</v>
      </c>
      <c r="F5286" s="1613">
        <v>35800000</v>
      </c>
      <c r="G5286" s="1613">
        <v>256318302831</v>
      </c>
    </row>
    <row r="5287" spans="1:7" ht="17.25" customHeight="1" x14ac:dyDescent="0.2">
      <c r="A5287" s="1611">
        <v>17</v>
      </c>
      <c r="B5287" s="1611" t="s">
        <v>2836</v>
      </c>
      <c r="C5287" s="1611" t="s">
        <v>6733</v>
      </c>
      <c r="D5287" s="1612" t="s">
        <v>7555</v>
      </c>
      <c r="E5287" s="1706" t="s">
        <v>7592</v>
      </c>
      <c r="F5287" s="1613">
        <v>32000000</v>
      </c>
      <c r="G5287" s="1613">
        <v>256350302831</v>
      </c>
    </row>
    <row r="5288" spans="1:7" ht="17.25" customHeight="1" x14ac:dyDescent="0.2">
      <c r="A5288" s="1611">
        <v>17</v>
      </c>
      <c r="B5288" s="1611" t="s">
        <v>7153</v>
      </c>
      <c r="C5288" s="1611" t="s">
        <v>6289</v>
      </c>
      <c r="D5288" s="1612">
        <v>0</v>
      </c>
      <c r="E5288" s="1612" t="s">
        <v>3299</v>
      </c>
      <c r="F5288" s="1613">
        <v>94021040</v>
      </c>
      <c r="G5288" s="1613">
        <v>256444323871</v>
      </c>
    </row>
    <row r="5289" spans="1:7" ht="17.25" customHeight="1" x14ac:dyDescent="0.2">
      <c r="A5289" s="1611">
        <v>17</v>
      </c>
      <c r="B5289" s="1611" t="s">
        <v>2037</v>
      </c>
      <c r="C5289" s="1611" t="s">
        <v>6734</v>
      </c>
      <c r="D5289" s="1612" t="s">
        <v>7555</v>
      </c>
      <c r="E5289" s="1706" t="s">
        <v>7592</v>
      </c>
      <c r="F5289" s="1613">
        <v>37000000</v>
      </c>
      <c r="G5289" s="1613">
        <v>256481323871</v>
      </c>
    </row>
    <row r="5290" spans="1:7" ht="17.25" customHeight="1" x14ac:dyDescent="0.2">
      <c r="A5290" s="1611">
        <v>17</v>
      </c>
      <c r="B5290" s="1611" t="s">
        <v>2037</v>
      </c>
      <c r="C5290" s="1611" t="s">
        <v>6735</v>
      </c>
      <c r="D5290" s="1612" t="s">
        <v>7555</v>
      </c>
      <c r="E5290" s="1706" t="s">
        <v>7592</v>
      </c>
      <c r="F5290" s="1613">
        <v>35570000</v>
      </c>
      <c r="G5290" s="1613">
        <v>256516893871</v>
      </c>
    </row>
    <row r="5291" spans="1:7" ht="17.25" customHeight="1" x14ac:dyDescent="0.2">
      <c r="A5291" s="1611">
        <v>17</v>
      </c>
      <c r="B5291" s="1611" t="s">
        <v>2037</v>
      </c>
      <c r="C5291" s="1611" t="s">
        <v>3816</v>
      </c>
      <c r="D5291" s="1612" t="s">
        <v>7555</v>
      </c>
      <c r="E5291" s="1706" t="s">
        <v>7592</v>
      </c>
      <c r="F5291" s="1613">
        <v>35000000</v>
      </c>
      <c r="G5291" s="1613">
        <v>256551893871</v>
      </c>
    </row>
    <row r="5292" spans="1:7" ht="17.25" customHeight="1" x14ac:dyDescent="0.2">
      <c r="A5292" s="1611">
        <v>17</v>
      </c>
      <c r="B5292" s="1611" t="s">
        <v>2034</v>
      </c>
      <c r="C5292" s="1611" t="s">
        <v>3725</v>
      </c>
      <c r="D5292" s="1612" t="s">
        <v>7555</v>
      </c>
      <c r="E5292" s="1706" t="s">
        <v>7592</v>
      </c>
      <c r="F5292" s="1613">
        <v>44918182</v>
      </c>
      <c r="G5292" s="1613">
        <v>256596812053</v>
      </c>
    </row>
    <row r="5293" spans="1:7" ht="17.25" customHeight="1" x14ac:dyDescent="0.2">
      <c r="A5293" s="1611">
        <v>17</v>
      </c>
      <c r="B5293" s="1611" t="s">
        <v>7365</v>
      </c>
      <c r="C5293" s="1611" t="s">
        <v>4385</v>
      </c>
      <c r="D5293" s="1612">
        <v>0</v>
      </c>
      <c r="E5293" s="1706" t="s">
        <v>7592</v>
      </c>
      <c r="F5293" s="1613">
        <v>19173000</v>
      </c>
      <c r="G5293" s="1613">
        <v>256615985053</v>
      </c>
    </row>
    <row r="5294" spans="1:7" ht="17.25" customHeight="1" x14ac:dyDescent="0.2">
      <c r="A5294" s="1611">
        <v>17</v>
      </c>
      <c r="B5294" s="1611" t="s">
        <v>2039</v>
      </c>
      <c r="C5294" s="1611" t="s">
        <v>6736</v>
      </c>
      <c r="D5294" s="1612" t="s">
        <v>7555</v>
      </c>
      <c r="E5294" s="1706" t="s">
        <v>7592</v>
      </c>
      <c r="F5294" s="1613">
        <v>39648182</v>
      </c>
      <c r="G5294" s="1613">
        <v>256655633235</v>
      </c>
    </row>
    <row r="5295" spans="1:7" ht="17.25" customHeight="1" x14ac:dyDescent="0.2">
      <c r="A5295" s="1611">
        <v>17</v>
      </c>
      <c r="B5295" s="1611" t="s">
        <v>2039</v>
      </c>
      <c r="C5295" s="1611" t="s">
        <v>6737</v>
      </c>
      <c r="D5295" s="1612" t="s">
        <v>7555</v>
      </c>
      <c r="E5295" s="1706" t="s">
        <v>7592</v>
      </c>
      <c r="F5295" s="1613">
        <v>41993637</v>
      </c>
      <c r="G5295" s="1613">
        <v>256697626872</v>
      </c>
    </row>
    <row r="5296" spans="1:7" ht="17.25" customHeight="1" x14ac:dyDescent="0.2">
      <c r="A5296" s="1611">
        <v>17</v>
      </c>
      <c r="B5296" s="1611" t="s">
        <v>2037</v>
      </c>
      <c r="C5296" s="1611" t="s">
        <v>6738</v>
      </c>
      <c r="D5296" s="1612" t="s">
        <v>7555</v>
      </c>
      <c r="E5296" s="1706" t="s">
        <v>7592</v>
      </c>
      <c r="F5296" s="1613">
        <v>38000000</v>
      </c>
      <c r="G5296" s="1613">
        <v>256735626872</v>
      </c>
    </row>
    <row r="5297" spans="1:7" ht="17.25" customHeight="1" x14ac:dyDescent="0.2">
      <c r="A5297" s="1611">
        <v>17</v>
      </c>
      <c r="B5297" s="1611" t="s">
        <v>2039</v>
      </c>
      <c r="C5297" s="1611" t="s">
        <v>6739</v>
      </c>
      <c r="D5297" s="1612" t="s">
        <v>7555</v>
      </c>
      <c r="E5297" s="1706" t="s">
        <v>7592</v>
      </c>
      <c r="F5297" s="1613">
        <v>38300000</v>
      </c>
      <c r="G5297" s="1613">
        <v>256773926872</v>
      </c>
    </row>
    <row r="5298" spans="1:7" ht="17.25" customHeight="1" x14ac:dyDescent="0.2">
      <c r="A5298" s="1611">
        <v>17</v>
      </c>
      <c r="B5298" s="1611" t="s">
        <v>2836</v>
      </c>
      <c r="C5298" s="1611" t="s">
        <v>5556</v>
      </c>
      <c r="D5298" s="1612" t="s">
        <v>7555</v>
      </c>
      <c r="E5298" s="1706" t="s">
        <v>7592</v>
      </c>
      <c r="F5298" s="1613">
        <v>31500000</v>
      </c>
      <c r="G5298" s="1613">
        <v>256805426872</v>
      </c>
    </row>
    <row r="5299" spans="1:7" ht="17.25" customHeight="1" x14ac:dyDescent="0.2">
      <c r="A5299" s="1611">
        <v>17</v>
      </c>
      <c r="B5299" s="1611" t="s">
        <v>2836</v>
      </c>
      <c r="C5299" s="1611" t="s">
        <v>4058</v>
      </c>
      <c r="D5299" s="1612" t="s">
        <v>7555</v>
      </c>
      <c r="E5299" s="1706" t="s">
        <v>7592</v>
      </c>
      <c r="F5299" s="1613">
        <v>31500000</v>
      </c>
      <c r="G5299" s="1613">
        <v>256836926872</v>
      </c>
    </row>
    <row r="5300" spans="1:7" ht="17.25" customHeight="1" x14ac:dyDescent="0.2">
      <c r="A5300" s="1611">
        <v>17</v>
      </c>
      <c r="B5300" s="1611" t="s">
        <v>2037</v>
      </c>
      <c r="C5300" s="1611" t="s">
        <v>6740</v>
      </c>
      <c r="D5300" s="1612" t="s">
        <v>7555</v>
      </c>
      <c r="E5300" s="1706" t="s">
        <v>7592</v>
      </c>
      <c r="F5300" s="1613">
        <v>39090909</v>
      </c>
      <c r="G5300" s="1613">
        <v>256876017781</v>
      </c>
    </row>
    <row r="5301" spans="1:7" ht="17.25" customHeight="1" x14ac:dyDescent="0.2">
      <c r="A5301" s="1611">
        <v>17</v>
      </c>
      <c r="B5301" s="1611" t="s">
        <v>2037</v>
      </c>
      <c r="C5301" s="1611" t="s">
        <v>6741</v>
      </c>
      <c r="D5301" s="1612" t="s">
        <v>7555</v>
      </c>
      <c r="E5301" s="1706" t="s">
        <v>7592</v>
      </c>
      <c r="F5301" s="1613">
        <v>37000000</v>
      </c>
      <c r="G5301" s="1613">
        <v>256913017781</v>
      </c>
    </row>
    <row r="5302" spans="1:7" ht="17.25" customHeight="1" x14ac:dyDescent="0.2">
      <c r="A5302" s="1611">
        <v>17</v>
      </c>
      <c r="B5302" s="1611" t="s">
        <v>2037</v>
      </c>
      <c r="C5302" s="1611" t="s">
        <v>6742</v>
      </c>
      <c r="D5302" s="1612" t="s">
        <v>7555</v>
      </c>
      <c r="E5302" s="1706" t="s">
        <v>7592</v>
      </c>
      <c r="F5302" s="1613">
        <v>37000000</v>
      </c>
      <c r="G5302" s="1613">
        <v>256950017781</v>
      </c>
    </row>
    <row r="5303" spans="1:7" ht="17.25" customHeight="1" x14ac:dyDescent="0.2">
      <c r="A5303" s="1611">
        <v>17</v>
      </c>
      <c r="B5303" s="1611" t="s">
        <v>2836</v>
      </c>
      <c r="C5303" s="1611" t="s">
        <v>6743</v>
      </c>
      <c r="D5303" s="1612" t="s">
        <v>7555</v>
      </c>
      <c r="E5303" s="1706" t="s">
        <v>7592</v>
      </c>
      <c r="F5303" s="1613">
        <v>31000000</v>
      </c>
      <c r="G5303" s="1613">
        <v>256981017781</v>
      </c>
    </row>
    <row r="5304" spans="1:7" ht="17.25" customHeight="1" x14ac:dyDescent="0.2">
      <c r="A5304" s="1611">
        <v>17</v>
      </c>
      <c r="B5304" s="1611" t="s">
        <v>2836</v>
      </c>
      <c r="C5304" s="1611" t="s">
        <v>6743</v>
      </c>
      <c r="D5304" s="1612" t="s">
        <v>7555</v>
      </c>
      <c r="E5304" s="1706" t="s">
        <v>7592</v>
      </c>
      <c r="F5304" s="1613">
        <v>31000000</v>
      </c>
      <c r="G5304" s="1613">
        <v>257012017781</v>
      </c>
    </row>
    <row r="5305" spans="1:7" ht="17.25" customHeight="1" x14ac:dyDescent="0.2">
      <c r="A5305" s="1611">
        <v>17</v>
      </c>
      <c r="B5305" s="1611" t="s">
        <v>2037</v>
      </c>
      <c r="C5305" s="1611" t="s">
        <v>6743</v>
      </c>
      <c r="D5305" s="1612" t="s">
        <v>7555</v>
      </c>
      <c r="E5305" s="1706" t="s">
        <v>7592</v>
      </c>
      <c r="F5305" s="1613">
        <v>18373000</v>
      </c>
      <c r="G5305" s="1613">
        <v>257030390781</v>
      </c>
    </row>
    <row r="5306" spans="1:7" ht="17.25" customHeight="1" x14ac:dyDescent="0.2">
      <c r="A5306" s="1611">
        <v>17</v>
      </c>
      <c r="B5306" s="1611" t="s">
        <v>2032</v>
      </c>
      <c r="C5306" s="1611" t="s">
        <v>6744</v>
      </c>
      <c r="D5306" s="1612" t="s">
        <v>7555</v>
      </c>
      <c r="E5306" s="1706" t="s">
        <v>7592</v>
      </c>
      <c r="F5306" s="1613">
        <v>18373000</v>
      </c>
      <c r="G5306" s="1613">
        <v>257048763781</v>
      </c>
    </row>
    <row r="5307" spans="1:7" ht="17.25" customHeight="1" x14ac:dyDescent="0.2">
      <c r="A5307" s="1611">
        <v>17</v>
      </c>
      <c r="B5307" s="1611" t="s">
        <v>2032</v>
      </c>
      <c r="C5307" s="1611" t="s">
        <v>4290</v>
      </c>
      <c r="D5307" s="1612" t="s">
        <v>7555</v>
      </c>
      <c r="E5307" s="1706" t="s">
        <v>7592</v>
      </c>
      <c r="F5307" s="1613">
        <v>35454545</v>
      </c>
      <c r="G5307" s="1613">
        <v>257084218326</v>
      </c>
    </row>
    <row r="5308" spans="1:7" ht="17.25" customHeight="1" x14ac:dyDescent="0.2">
      <c r="A5308" s="1611">
        <v>17</v>
      </c>
      <c r="B5308" s="1611" t="s">
        <v>2037</v>
      </c>
      <c r="C5308" s="1611" t="s">
        <v>4628</v>
      </c>
      <c r="D5308" s="1612" t="s">
        <v>7555</v>
      </c>
      <c r="E5308" s="1706" t="s">
        <v>7592</v>
      </c>
      <c r="F5308" s="1613">
        <v>18373000</v>
      </c>
      <c r="G5308" s="1613">
        <v>257102591326</v>
      </c>
    </row>
    <row r="5309" spans="1:7" ht="17.25" customHeight="1" x14ac:dyDescent="0.2">
      <c r="A5309" s="1611">
        <v>17</v>
      </c>
      <c r="B5309" s="1611" t="s">
        <v>2039</v>
      </c>
      <c r="C5309" s="1611" t="s">
        <v>6569</v>
      </c>
      <c r="D5309" s="1612" t="s">
        <v>7555</v>
      </c>
      <c r="E5309" s="1706" t="s">
        <v>7592</v>
      </c>
      <c r="F5309" s="1613">
        <v>19773000</v>
      </c>
      <c r="G5309" s="1613">
        <v>257122364326</v>
      </c>
    </row>
    <row r="5310" spans="1:7" ht="17.25" customHeight="1" x14ac:dyDescent="0.2">
      <c r="A5310" s="1611">
        <v>17</v>
      </c>
      <c r="B5310" s="1611" t="s">
        <v>2037</v>
      </c>
      <c r="C5310" s="1611" t="s">
        <v>6745</v>
      </c>
      <c r="D5310" s="1612" t="s">
        <v>7555</v>
      </c>
      <c r="E5310" s="1706" t="s">
        <v>7592</v>
      </c>
      <c r="F5310" s="1613">
        <v>36000000</v>
      </c>
      <c r="G5310" s="1613">
        <v>257158364326</v>
      </c>
    </row>
    <row r="5311" spans="1:7" ht="17.25" customHeight="1" x14ac:dyDescent="0.2">
      <c r="A5311" s="1611">
        <v>17</v>
      </c>
      <c r="B5311" s="1611" t="s">
        <v>2037</v>
      </c>
      <c r="C5311" s="1611" t="s">
        <v>6746</v>
      </c>
      <c r="D5311" s="1612" t="s">
        <v>7555</v>
      </c>
      <c r="E5311" s="1706" t="s">
        <v>7592</v>
      </c>
      <c r="F5311" s="1613">
        <v>37000000</v>
      </c>
      <c r="G5311" s="1613">
        <v>257195364326</v>
      </c>
    </row>
    <row r="5312" spans="1:7" ht="17.25" customHeight="1" x14ac:dyDescent="0.2">
      <c r="A5312" s="1611">
        <v>17</v>
      </c>
      <c r="B5312" s="1611" t="s">
        <v>2037</v>
      </c>
      <c r="C5312" s="1611" t="s">
        <v>6747</v>
      </c>
      <c r="D5312" s="1612" t="s">
        <v>7555</v>
      </c>
      <c r="E5312" s="1706" t="s">
        <v>7592</v>
      </c>
      <c r="F5312" s="1613">
        <v>37909090</v>
      </c>
      <c r="G5312" s="1613">
        <v>257233273416</v>
      </c>
    </row>
    <row r="5313" spans="1:7" ht="17.25" customHeight="1" x14ac:dyDescent="0.2">
      <c r="A5313" s="1611">
        <v>17</v>
      </c>
      <c r="B5313" s="1611" t="s">
        <v>2037</v>
      </c>
      <c r="C5313" s="1611" t="s">
        <v>6747</v>
      </c>
      <c r="D5313" s="1612" t="s">
        <v>7555</v>
      </c>
      <c r="E5313" s="1706" t="s">
        <v>7592</v>
      </c>
      <c r="F5313" s="1613">
        <v>37909090</v>
      </c>
      <c r="G5313" s="1613">
        <v>257271182506</v>
      </c>
    </row>
    <row r="5314" spans="1:7" ht="17.25" customHeight="1" x14ac:dyDescent="0.2">
      <c r="A5314" s="1611">
        <v>17</v>
      </c>
      <c r="B5314" s="1611" t="s">
        <v>2836</v>
      </c>
      <c r="C5314" s="1611" t="s">
        <v>6748</v>
      </c>
      <c r="D5314" s="1612" t="s">
        <v>7555</v>
      </c>
      <c r="E5314" s="1706" t="s">
        <v>7592</v>
      </c>
      <c r="F5314" s="1613">
        <v>30713000</v>
      </c>
      <c r="G5314" s="1613">
        <v>257301895506</v>
      </c>
    </row>
    <row r="5315" spans="1:7" ht="17.25" customHeight="1" x14ac:dyDescent="0.2">
      <c r="A5315" s="1611">
        <v>17</v>
      </c>
      <c r="B5315" s="1611" t="s">
        <v>2039</v>
      </c>
      <c r="C5315" s="1611" t="s">
        <v>6749</v>
      </c>
      <c r="D5315" s="1612" t="s">
        <v>7555</v>
      </c>
      <c r="E5315" s="1706" t="s">
        <v>7592</v>
      </c>
      <c r="F5315" s="1613">
        <v>43920000</v>
      </c>
      <c r="G5315" s="1613">
        <v>257345815506</v>
      </c>
    </row>
    <row r="5316" spans="1:7" ht="17.25" customHeight="1" x14ac:dyDescent="0.2">
      <c r="A5316" s="1611">
        <v>17</v>
      </c>
      <c r="B5316" s="1611" t="s">
        <v>2039</v>
      </c>
      <c r="C5316" s="1611" t="s">
        <v>6750</v>
      </c>
      <c r="D5316" s="1612" t="s">
        <v>7555</v>
      </c>
      <c r="E5316" s="1706" t="s">
        <v>7592</v>
      </c>
      <c r="F5316" s="1613">
        <v>39500000</v>
      </c>
      <c r="G5316" s="1613">
        <v>257385315506</v>
      </c>
    </row>
    <row r="5317" spans="1:7" ht="17.25" customHeight="1" x14ac:dyDescent="0.2">
      <c r="A5317" s="1611">
        <v>17</v>
      </c>
      <c r="B5317" s="1611" t="s">
        <v>7366</v>
      </c>
      <c r="C5317" s="1611" t="s">
        <v>5278</v>
      </c>
      <c r="D5317" s="1612">
        <v>0</v>
      </c>
      <c r="E5317" s="1706" t="s">
        <v>7592</v>
      </c>
      <c r="F5317" s="1613">
        <v>1681818</v>
      </c>
      <c r="G5317" s="1613">
        <v>257386997324</v>
      </c>
    </row>
    <row r="5318" spans="1:7" ht="17.25" customHeight="1" x14ac:dyDescent="0.2">
      <c r="A5318" s="1611">
        <v>17</v>
      </c>
      <c r="B5318" s="1611" t="s">
        <v>2067</v>
      </c>
      <c r="C5318" s="1611" t="s">
        <v>5278</v>
      </c>
      <c r="D5318" s="1612" t="s">
        <v>2024</v>
      </c>
      <c r="E5318" s="1706" t="s">
        <v>7592</v>
      </c>
      <c r="F5318" s="1613">
        <v>30513637</v>
      </c>
      <c r="G5318" s="1613">
        <v>257417510961</v>
      </c>
    </row>
    <row r="5319" spans="1:7" ht="17.25" customHeight="1" x14ac:dyDescent="0.2">
      <c r="A5319" s="1611">
        <v>17</v>
      </c>
      <c r="B5319" s="1611" t="s">
        <v>2035</v>
      </c>
      <c r="C5319" s="1611" t="s">
        <v>5250</v>
      </c>
      <c r="D5319" s="1612" t="s">
        <v>7555</v>
      </c>
      <c r="E5319" s="1706" t="s">
        <v>7592</v>
      </c>
      <c r="F5319" s="1613">
        <v>47700000</v>
      </c>
      <c r="G5319" s="1613">
        <v>257465210961</v>
      </c>
    </row>
    <row r="5320" spans="1:7" ht="17.25" customHeight="1" x14ac:dyDescent="0.2">
      <c r="A5320" s="1611">
        <v>17</v>
      </c>
      <c r="B5320" s="1611" t="s">
        <v>2035</v>
      </c>
      <c r="C5320" s="1611" t="s">
        <v>5250</v>
      </c>
      <c r="D5320" s="1612" t="s">
        <v>7555</v>
      </c>
      <c r="E5320" s="1706" t="s">
        <v>7592</v>
      </c>
      <c r="F5320" s="1613">
        <v>47700000</v>
      </c>
      <c r="G5320" s="1613">
        <v>257512910961</v>
      </c>
    </row>
    <row r="5321" spans="1:7" ht="17.25" customHeight="1" x14ac:dyDescent="0.2">
      <c r="A5321" s="1611">
        <v>17</v>
      </c>
      <c r="B5321" s="1611" t="s">
        <v>2035</v>
      </c>
      <c r="C5321" s="1611" t="s">
        <v>5250</v>
      </c>
      <c r="D5321" s="1612" t="s">
        <v>7555</v>
      </c>
      <c r="E5321" s="1706" t="s">
        <v>7592</v>
      </c>
      <c r="F5321" s="1613">
        <v>47700000</v>
      </c>
      <c r="G5321" s="1613">
        <v>257560610961</v>
      </c>
    </row>
    <row r="5322" spans="1:7" ht="17.25" customHeight="1" x14ac:dyDescent="0.2">
      <c r="A5322" s="1611">
        <v>17</v>
      </c>
      <c r="B5322" s="1611" t="s">
        <v>2035</v>
      </c>
      <c r="C5322" s="1611" t="s">
        <v>5250</v>
      </c>
      <c r="D5322" s="1612" t="s">
        <v>7555</v>
      </c>
      <c r="E5322" s="1706" t="s">
        <v>7592</v>
      </c>
      <c r="F5322" s="1613">
        <v>47700000</v>
      </c>
      <c r="G5322" s="1613">
        <v>257608310961</v>
      </c>
    </row>
    <row r="5323" spans="1:7" ht="17.25" customHeight="1" x14ac:dyDescent="0.2">
      <c r="A5323" s="1611">
        <v>17</v>
      </c>
      <c r="B5323" s="1611" t="s">
        <v>2035</v>
      </c>
      <c r="C5323" s="1611" t="s">
        <v>5250</v>
      </c>
      <c r="D5323" s="1612" t="s">
        <v>7555</v>
      </c>
      <c r="E5323" s="1706" t="s">
        <v>7592</v>
      </c>
      <c r="F5323" s="1613">
        <v>47700000</v>
      </c>
      <c r="G5323" s="1613">
        <v>257656010961</v>
      </c>
    </row>
    <row r="5324" spans="1:7" ht="17.25" customHeight="1" x14ac:dyDescent="0.2">
      <c r="A5324" s="1611">
        <v>17</v>
      </c>
      <c r="B5324" s="1611" t="s">
        <v>2035</v>
      </c>
      <c r="C5324" s="1611" t="s">
        <v>5250</v>
      </c>
      <c r="D5324" s="1612" t="s">
        <v>7555</v>
      </c>
      <c r="E5324" s="1706" t="s">
        <v>7592</v>
      </c>
      <c r="F5324" s="1613">
        <v>47700000</v>
      </c>
      <c r="G5324" s="1613">
        <v>257703710961</v>
      </c>
    </row>
    <row r="5325" spans="1:7" ht="17.25" customHeight="1" x14ac:dyDescent="0.2">
      <c r="A5325" s="1611">
        <v>17</v>
      </c>
      <c r="B5325" s="1611" t="s">
        <v>2035</v>
      </c>
      <c r="C5325" s="1611" t="s">
        <v>5250</v>
      </c>
      <c r="D5325" s="1612" t="s">
        <v>7555</v>
      </c>
      <c r="E5325" s="1706" t="s">
        <v>7592</v>
      </c>
      <c r="F5325" s="1613">
        <v>47700000</v>
      </c>
      <c r="G5325" s="1613">
        <v>257751410961</v>
      </c>
    </row>
    <row r="5326" spans="1:7" ht="17.25" customHeight="1" x14ac:dyDescent="0.2">
      <c r="A5326" s="1611">
        <v>17</v>
      </c>
      <c r="B5326" s="1611" t="s">
        <v>2035</v>
      </c>
      <c r="C5326" s="1611" t="s">
        <v>5250</v>
      </c>
      <c r="D5326" s="1612" t="s">
        <v>7555</v>
      </c>
      <c r="E5326" s="1706" t="s">
        <v>7592</v>
      </c>
      <c r="F5326" s="1613">
        <v>47700000</v>
      </c>
      <c r="G5326" s="1613">
        <v>257799110961</v>
      </c>
    </row>
    <row r="5327" spans="1:7" ht="17.25" customHeight="1" x14ac:dyDescent="0.2">
      <c r="A5327" s="1611">
        <v>17</v>
      </c>
      <c r="B5327" s="1611" t="s">
        <v>2035</v>
      </c>
      <c r="C5327" s="1611" t="s">
        <v>5250</v>
      </c>
      <c r="D5327" s="1612" t="s">
        <v>7555</v>
      </c>
      <c r="E5327" s="1706" t="s">
        <v>7592</v>
      </c>
      <c r="F5327" s="1613">
        <v>47700000</v>
      </c>
      <c r="G5327" s="1613">
        <v>257846810961</v>
      </c>
    </row>
    <row r="5328" spans="1:7" ht="17.25" customHeight="1" x14ac:dyDescent="0.2">
      <c r="A5328" s="1611">
        <v>17</v>
      </c>
      <c r="B5328" s="1611" t="s">
        <v>2035</v>
      </c>
      <c r="C5328" s="1611" t="s">
        <v>5250</v>
      </c>
      <c r="D5328" s="1612" t="s">
        <v>7555</v>
      </c>
      <c r="E5328" s="1706" t="s">
        <v>7592</v>
      </c>
      <c r="F5328" s="1613">
        <v>47700000</v>
      </c>
      <c r="G5328" s="1613">
        <v>257894510961</v>
      </c>
    </row>
    <row r="5329" spans="1:7" ht="17.25" customHeight="1" x14ac:dyDescent="0.2">
      <c r="A5329" s="1611">
        <v>17</v>
      </c>
      <c r="B5329" s="1611" t="s">
        <v>2068</v>
      </c>
      <c r="C5329" s="1611" t="s">
        <v>5250</v>
      </c>
      <c r="D5329" s="1612" t="s">
        <v>2024</v>
      </c>
      <c r="E5329" s="1706" t="s">
        <v>7592</v>
      </c>
      <c r="F5329" s="1613">
        <v>85837700</v>
      </c>
      <c r="G5329" s="1613">
        <v>257980348661</v>
      </c>
    </row>
    <row r="5330" spans="1:7" ht="17.25" customHeight="1" x14ac:dyDescent="0.2">
      <c r="A5330" s="1611">
        <v>17</v>
      </c>
      <c r="B5330" s="1611" t="s">
        <v>2068</v>
      </c>
      <c r="C5330" s="1611" t="s">
        <v>5250</v>
      </c>
      <c r="D5330" s="1612" t="s">
        <v>2024</v>
      </c>
      <c r="E5330" s="1706" t="s">
        <v>7592</v>
      </c>
      <c r="F5330" s="1613">
        <v>85837700</v>
      </c>
      <c r="G5330" s="1613">
        <v>258066186361</v>
      </c>
    </row>
    <row r="5331" spans="1:7" ht="17.25" customHeight="1" x14ac:dyDescent="0.2">
      <c r="A5331" s="1611">
        <v>17</v>
      </c>
      <c r="B5331" s="1611" t="s">
        <v>7367</v>
      </c>
      <c r="C5331" s="1611" t="s">
        <v>5250</v>
      </c>
      <c r="D5331" s="1612">
        <v>0</v>
      </c>
      <c r="E5331" s="1706" t="s">
        <v>7592</v>
      </c>
      <c r="F5331" s="1613">
        <v>85837700</v>
      </c>
      <c r="G5331" s="1613">
        <v>258152024061</v>
      </c>
    </row>
    <row r="5332" spans="1:7" ht="17.25" customHeight="1" x14ac:dyDescent="0.2">
      <c r="A5332" s="1611">
        <v>17</v>
      </c>
      <c r="B5332" s="1611" t="s">
        <v>2068</v>
      </c>
      <c r="C5332" s="1611" t="s">
        <v>5250</v>
      </c>
      <c r="D5332" s="1612" t="s">
        <v>2024</v>
      </c>
      <c r="E5332" s="1706" t="s">
        <v>7592</v>
      </c>
      <c r="F5332" s="1613">
        <v>85837700</v>
      </c>
      <c r="G5332" s="1613">
        <v>258237861761</v>
      </c>
    </row>
    <row r="5333" spans="1:7" ht="17.25" customHeight="1" x14ac:dyDescent="0.2">
      <c r="A5333" s="1611">
        <v>17</v>
      </c>
      <c r="B5333" s="1611" t="s">
        <v>2068</v>
      </c>
      <c r="C5333" s="1611" t="s">
        <v>5250</v>
      </c>
      <c r="D5333" s="1612" t="s">
        <v>2024</v>
      </c>
      <c r="E5333" s="1706" t="s">
        <v>7592</v>
      </c>
      <c r="F5333" s="1613">
        <v>85837700</v>
      </c>
      <c r="G5333" s="1613">
        <v>258323699461</v>
      </c>
    </row>
    <row r="5334" spans="1:7" ht="17.25" customHeight="1" x14ac:dyDescent="0.2">
      <c r="A5334" s="1611">
        <v>17</v>
      </c>
      <c r="B5334" s="1611" t="s">
        <v>2068</v>
      </c>
      <c r="C5334" s="1611" t="s">
        <v>5250</v>
      </c>
      <c r="D5334" s="1612" t="s">
        <v>2024</v>
      </c>
      <c r="E5334" s="1706" t="s">
        <v>7592</v>
      </c>
      <c r="F5334" s="1613">
        <v>85837700</v>
      </c>
      <c r="G5334" s="1613">
        <v>258409537161</v>
      </c>
    </row>
    <row r="5335" spans="1:7" ht="17.25" customHeight="1" x14ac:dyDescent="0.2">
      <c r="A5335" s="1611">
        <v>17</v>
      </c>
      <c r="B5335" s="1611" t="s">
        <v>2068</v>
      </c>
      <c r="C5335" s="1611" t="s">
        <v>5250</v>
      </c>
      <c r="D5335" s="1612" t="s">
        <v>2024</v>
      </c>
      <c r="E5335" s="1706" t="s">
        <v>7592</v>
      </c>
      <c r="F5335" s="1613">
        <v>85837700</v>
      </c>
      <c r="G5335" s="1613">
        <v>258495374861</v>
      </c>
    </row>
    <row r="5336" spans="1:7" ht="17.25" customHeight="1" x14ac:dyDescent="0.2">
      <c r="A5336" s="1611">
        <v>17</v>
      </c>
      <c r="B5336" s="1611" t="s">
        <v>2068</v>
      </c>
      <c r="C5336" s="1611" t="s">
        <v>5250</v>
      </c>
      <c r="D5336" s="1612" t="s">
        <v>2024</v>
      </c>
      <c r="E5336" s="1706" t="s">
        <v>7592</v>
      </c>
      <c r="F5336" s="1613">
        <v>85837700</v>
      </c>
      <c r="G5336" s="1613">
        <v>258581212561</v>
      </c>
    </row>
    <row r="5337" spans="1:7" ht="17.25" customHeight="1" x14ac:dyDescent="0.2">
      <c r="A5337" s="1611">
        <v>17</v>
      </c>
      <c r="B5337" s="1611" t="s">
        <v>2037</v>
      </c>
      <c r="C5337" s="1611" t="s">
        <v>4730</v>
      </c>
      <c r="D5337" s="1612" t="s">
        <v>7555</v>
      </c>
      <c r="E5337" s="1706" t="s">
        <v>7592</v>
      </c>
      <c r="F5337" s="1613">
        <v>37909090</v>
      </c>
      <c r="G5337" s="1613">
        <v>258619121651</v>
      </c>
    </row>
    <row r="5338" spans="1:7" ht="17.25" customHeight="1" x14ac:dyDescent="0.2">
      <c r="A5338" s="1611">
        <v>17</v>
      </c>
      <c r="B5338" s="1611" t="s">
        <v>2037</v>
      </c>
      <c r="C5338" s="1611" t="s">
        <v>4730</v>
      </c>
      <c r="D5338" s="1612" t="s">
        <v>7555</v>
      </c>
      <c r="E5338" s="1706" t="s">
        <v>7592</v>
      </c>
      <c r="F5338" s="1613">
        <v>37909090</v>
      </c>
      <c r="G5338" s="1613">
        <v>258657030741</v>
      </c>
    </row>
    <row r="5339" spans="1:7" ht="17.25" customHeight="1" x14ac:dyDescent="0.2">
      <c r="A5339" s="1611">
        <v>17</v>
      </c>
      <c r="B5339" s="1611" t="s">
        <v>2037</v>
      </c>
      <c r="C5339" s="1611" t="s">
        <v>6751</v>
      </c>
      <c r="D5339" s="1612" t="s">
        <v>7555</v>
      </c>
      <c r="E5339" s="1706" t="s">
        <v>7592</v>
      </c>
      <c r="F5339" s="1613">
        <v>39000000</v>
      </c>
      <c r="G5339" s="1613">
        <v>258696030741</v>
      </c>
    </row>
    <row r="5340" spans="1:7" ht="17.25" customHeight="1" x14ac:dyDescent="0.2">
      <c r="A5340" s="1611">
        <v>17</v>
      </c>
      <c r="B5340" s="1611" t="s">
        <v>2041</v>
      </c>
      <c r="C5340" s="1611" t="s">
        <v>6752</v>
      </c>
      <c r="D5340" s="1612" t="s">
        <v>7555</v>
      </c>
      <c r="E5340" s="1706" t="s">
        <v>7592</v>
      </c>
      <c r="F5340" s="1613">
        <v>49090909</v>
      </c>
      <c r="G5340" s="1613">
        <v>258745121650</v>
      </c>
    </row>
    <row r="5341" spans="1:7" ht="17.25" customHeight="1" x14ac:dyDescent="0.2">
      <c r="A5341" s="1611">
        <v>17</v>
      </c>
      <c r="B5341" s="1611" t="s">
        <v>2041</v>
      </c>
      <c r="C5341" s="1611" t="s">
        <v>6753</v>
      </c>
      <c r="D5341" s="1612" t="s">
        <v>7555</v>
      </c>
      <c r="E5341" s="1706" t="s">
        <v>7592</v>
      </c>
      <c r="F5341" s="1613">
        <v>49454545</v>
      </c>
      <c r="G5341" s="1613">
        <v>258794576195</v>
      </c>
    </row>
    <row r="5342" spans="1:7" ht="17.25" customHeight="1" x14ac:dyDescent="0.2">
      <c r="A5342" s="1611">
        <v>17</v>
      </c>
      <c r="B5342" s="1611" t="s">
        <v>2063</v>
      </c>
      <c r="C5342" s="1611" t="s">
        <v>6754</v>
      </c>
      <c r="D5342" s="1612" t="s">
        <v>2023</v>
      </c>
      <c r="E5342" s="1706" t="s">
        <v>7592</v>
      </c>
      <c r="F5342" s="1613">
        <v>157272727</v>
      </c>
      <c r="G5342" s="1613">
        <v>258951848922</v>
      </c>
    </row>
    <row r="5343" spans="1:7" ht="17.25" customHeight="1" x14ac:dyDescent="0.2">
      <c r="A5343" s="1611">
        <v>17</v>
      </c>
      <c r="B5343" s="1611" t="s">
        <v>2037</v>
      </c>
      <c r="C5343" s="1611" t="s">
        <v>5286</v>
      </c>
      <c r="D5343" s="1612" t="s">
        <v>7555</v>
      </c>
      <c r="E5343" s="1706" t="s">
        <v>7592</v>
      </c>
      <c r="F5343" s="1613">
        <v>38181818</v>
      </c>
      <c r="G5343" s="1613">
        <v>258990030740</v>
      </c>
    </row>
    <row r="5344" spans="1:7" ht="17.25" customHeight="1" x14ac:dyDescent="0.2">
      <c r="A5344" s="1611">
        <v>17</v>
      </c>
      <c r="B5344" s="1611" t="s">
        <v>2836</v>
      </c>
      <c r="C5344" s="1611" t="s">
        <v>6755</v>
      </c>
      <c r="D5344" s="1612" t="s">
        <v>7555</v>
      </c>
      <c r="E5344" s="1706" t="s">
        <v>7592</v>
      </c>
      <c r="F5344" s="1613">
        <v>31363636</v>
      </c>
      <c r="G5344" s="1613">
        <v>259021394376</v>
      </c>
    </row>
    <row r="5345" spans="1:7" ht="17.25" customHeight="1" x14ac:dyDescent="0.2">
      <c r="A5345" s="1611">
        <v>17</v>
      </c>
      <c r="B5345" s="1611" t="s">
        <v>2028</v>
      </c>
      <c r="C5345" s="1611" t="s">
        <v>6717</v>
      </c>
      <c r="D5345" s="1612" t="s">
        <v>2024</v>
      </c>
      <c r="E5345" s="1706" t="s">
        <v>7592</v>
      </c>
      <c r="F5345" s="1613">
        <v>14545454</v>
      </c>
      <c r="G5345" s="1613">
        <v>259035939830</v>
      </c>
    </row>
    <row r="5346" spans="1:7" ht="17.25" customHeight="1" x14ac:dyDescent="0.2">
      <c r="A5346" s="1611">
        <v>17</v>
      </c>
      <c r="B5346" s="1611" t="s">
        <v>2037</v>
      </c>
      <c r="C5346" s="1611" t="s">
        <v>3987</v>
      </c>
      <c r="D5346" s="1612" t="s">
        <v>7555</v>
      </c>
      <c r="E5346" s="1706" t="s">
        <v>7592</v>
      </c>
      <c r="F5346" s="1613">
        <v>18373000</v>
      </c>
      <c r="G5346" s="1613">
        <v>259054312830</v>
      </c>
    </row>
    <row r="5347" spans="1:7" ht="17.25" customHeight="1" x14ac:dyDescent="0.2">
      <c r="A5347" s="1611">
        <v>17</v>
      </c>
      <c r="B5347" s="1611" t="s">
        <v>2037</v>
      </c>
      <c r="C5347" s="1611" t="s">
        <v>3987</v>
      </c>
      <c r="D5347" s="1612" t="s">
        <v>7555</v>
      </c>
      <c r="E5347" s="1706" t="s">
        <v>7592</v>
      </c>
      <c r="F5347" s="1613">
        <v>18373000</v>
      </c>
      <c r="G5347" s="1613">
        <v>259072685830</v>
      </c>
    </row>
    <row r="5348" spans="1:7" ht="17.25" customHeight="1" x14ac:dyDescent="0.2">
      <c r="A5348" s="1611">
        <v>17</v>
      </c>
      <c r="B5348" s="1611" t="s">
        <v>2039</v>
      </c>
      <c r="C5348" s="1611" t="s">
        <v>6756</v>
      </c>
      <c r="D5348" s="1612" t="s">
        <v>7555</v>
      </c>
      <c r="E5348" s="1706" t="s">
        <v>7592</v>
      </c>
      <c r="F5348" s="1613">
        <v>19873000</v>
      </c>
      <c r="G5348" s="1613">
        <v>259092558830</v>
      </c>
    </row>
    <row r="5349" spans="1:7" ht="17.25" customHeight="1" x14ac:dyDescent="0.2">
      <c r="A5349" s="1611">
        <v>17</v>
      </c>
      <c r="B5349" s="1611" t="s">
        <v>2041</v>
      </c>
      <c r="C5349" s="1611" t="s">
        <v>6757</v>
      </c>
      <c r="D5349" s="1612" t="s">
        <v>7555</v>
      </c>
      <c r="E5349" s="1706" t="s">
        <v>7592</v>
      </c>
      <c r="F5349" s="1613">
        <v>52500000</v>
      </c>
      <c r="G5349" s="1613">
        <v>259145058830</v>
      </c>
    </row>
    <row r="5350" spans="1:7" ht="17.25" customHeight="1" x14ac:dyDescent="0.2">
      <c r="A5350" s="1611">
        <v>17</v>
      </c>
      <c r="B5350" s="1611" t="s">
        <v>2836</v>
      </c>
      <c r="C5350" s="1611" t="s">
        <v>3733</v>
      </c>
      <c r="D5350" s="1612" t="s">
        <v>7555</v>
      </c>
      <c r="E5350" s="1706" t="s">
        <v>7592</v>
      </c>
      <c r="F5350" s="1613">
        <v>32418182</v>
      </c>
      <c r="G5350" s="1613">
        <v>259177477012</v>
      </c>
    </row>
    <row r="5351" spans="1:7" ht="17.25" customHeight="1" x14ac:dyDescent="0.2">
      <c r="A5351" s="1611">
        <v>17</v>
      </c>
      <c r="B5351" s="1611" t="s">
        <v>2039</v>
      </c>
      <c r="C5351" s="1611" t="s">
        <v>6758</v>
      </c>
      <c r="D5351" s="1612" t="s">
        <v>7555</v>
      </c>
      <c r="E5351" s="1706" t="s">
        <v>7592</v>
      </c>
      <c r="F5351" s="1613">
        <v>40909091</v>
      </c>
      <c r="G5351" s="1613">
        <v>259218386103</v>
      </c>
    </row>
    <row r="5352" spans="1:7" ht="17.25" customHeight="1" x14ac:dyDescent="0.2">
      <c r="A5352" s="1611">
        <v>17</v>
      </c>
      <c r="B5352" s="1611" t="s">
        <v>2037</v>
      </c>
      <c r="C5352" s="1611" t="s">
        <v>4102</v>
      </c>
      <c r="D5352" s="1612" t="s">
        <v>7555</v>
      </c>
      <c r="E5352" s="1706" t="s">
        <v>7592</v>
      </c>
      <c r="F5352" s="1613">
        <v>36500000</v>
      </c>
      <c r="G5352" s="1613">
        <v>259254886103</v>
      </c>
    </row>
    <row r="5353" spans="1:7" ht="17.25" customHeight="1" x14ac:dyDescent="0.2">
      <c r="A5353" s="1611">
        <v>17</v>
      </c>
      <c r="B5353" s="1611" t="s">
        <v>2037</v>
      </c>
      <c r="C5353" s="1611" t="s">
        <v>6759</v>
      </c>
      <c r="D5353" s="1612" t="s">
        <v>7555</v>
      </c>
      <c r="E5353" s="1706" t="s">
        <v>7592</v>
      </c>
      <c r="F5353" s="1613">
        <v>38200000</v>
      </c>
      <c r="G5353" s="1613">
        <v>259293086103</v>
      </c>
    </row>
    <row r="5354" spans="1:7" ht="17.25" customHeight="1" x14ac:dyDescent="0.2">
      <c r="A5354" s="1611">
        <v>17</v>
      </c>
      <c r="B5354" s="1611" t="s">
        <v>2037</v>
      </c>
      <c r="C5354" s="1611" t="s">
        <v>6760</v>
      </c>
      <c r="D5354" s="1612" t="s">
        <v>7555</v>
      </c>
      <c r="E5354" s="1706" t="s">
        <v>7592</v>
      </c>
      <c r="F5354" s="1613">
        <v>35900000</v>
      </c>
      <c r="G5354" s="1613">
        <v>259328986103</v>
      </c>
    </row>
    <row r="5355" spans="1:7" ht="17.25" customHeight="1" x14ac:dyDescent="0.2">
      <c r="A5355" s="1611">
        <v>17</v>
      </c>
      <c r="B5355" s="1611" t="s">
        <v>2039</v>
      </c>
      <c r="C5355" s="1611" t="s">
        <v>6761</v>
      </c>
      <c r="D5355" s="1612" t="s">
        <v>7555</v>
      </c>
      <c r="E5355" s="1706" t="s">
        <v>7592</v>
      </c>
      <c r="F5355" s="1613">
        <v>42727273</v>
      </c>
      <c r="G5355" s="1613">
        <v>259371713376</v>
      </c>
    </row>
    <row r="5356" spans="1:7" ht="17.25" customHeight="1" x14ac:dyDescent="0.2">
      <c r="A5356" s="1611">
        <v>17</v>
      </c>
      <c r="B5356" s="1611" t="s">
        <v>2037</v>
      </c>
      <c r="C5356" s="1611" t="s">
        <v>6762</v>
      </c>
      <c r="D5356" s="1612" t="s">
        <v>7555</v>
      </c>
      <c r="E5356" s="1706" t="s">
        <v>7592</v>
      </c>
      <c r="F5356" s="1613">
        <v>38000000</v>
      </c>
      <c r="G5356" s="1613">
        <v>259409713376</v>
      </c>
    </row>
    <row r="5357" spans="1:7" ht="17.25" customHeight="1" x14ac:dyDescent="0.2">
      <c r="A5357" s="1611">
        <v>17</v>
      </c>
      <c r="B5357" s="1611" t="s">
        <v>2037</v>
      </c>
      <c r="C5357" s="1611" t="s">
        <v>6763</v>
      </c>
      <c r="D5357" s="1612" t="s">
        <v>7555</v>
      </c>
      <c r="E5357" s="1706" t="s">
        <v>7592</v>
      </c>
      <c r="F5357" s="1613">
        <v>34900000</v>
      </c>
      <c r="G5357" s="1613">
        <v>259444613376</v>
      </c>
    </row>
    <row r="5358" spans="1:7" ht="17.25" customHeight="1" x14ac:dyDescent="0.2">
      <c r="A5358" s="1611">
        <v>17</v>
      </c>
      <c r="B5358" s="1611" t="s">
        <v>2037</v>
      </c>
      <c r="C5358" s="1611" t="s">
        <v>3753</v>
      </c>
      <c r="D5358" s="1612" t="s">
        <v>7555</v>
      </c>
      <c r="E5358" s="1706" t="s">
        <v>7592</v>
      </c>
      <c r="F5358" s="1613">
        <v>38623000</v>
      </c>
      <c r="G5358" s="1613">
        <v>259483236376</v>
      </c>
    </row>
    <row r="5359" spans="1:7" ht="17.25" customHeight="1" x14ac:dyDescent="0.2">
      <c r="A5359" s="1611">
        <v>17</v>
      </c>
      <c r="B5359" s="1611" t="s">
        <v>2037</v>
      </c>
      <c r="C5359" s="1611" t="s">
        <v>3824</v>
      </c>
      <c r="D5359" s="1612" t="s">
        <v>7555</v>
      </c>
      <c r="E5359" s="1706" t="s">
        <v>7592</v>
      </c>
      <c r="F5359" s="1613">
        <v>36500000</v>
      </c>
      <c r="G5359" s="1613">
        <v>259519736376</v>
      </c>
    </row>
    <row r="5360" spans="1:7" ht="17.25" customHeight="1" x14ac:dyDescent="0.2">
      <c r="A5360" s="1611">
        <v>17</v>
      </c>
      <c r="B5360" s="1611" t="s">
        <v>2836</v>
      </c>
      <c r="C5360" s="1611" t="s">
        <v>3976</v>
      </c>
      <c r="D5360" s="1612" t="s">
        <v>7555</v>
      </c>
      <c r="E5360" s="1706" t="s">
        <v>7592</v>
      </c>
      <c r="F5360" s="1613">
        <v>31000000</v>
      </c>
      <c r="G5360" s="1613">
        <v>259550736376</v>
      </c>
    </row>
    <row r="5361" spans="1:7" ht="17.25" customHeight="1" x14ac:dyDescent="0.2">
      <c r="A5361" s="1611">
        <v>17</v>
      </c>
      <c r="B5361" s="1611" t="s">
        <v>2836</v>
      </c>
      <c r="C5361" s="1611" t="s">
        <v>4058</v>
      </c>
      <c r="D5361" s="1612" t="s">
        <v>7555</v>
      </c>
      <c r="E5361" s="1706" t="s">
        <v>7592</v>
      </c>
      <c r="F5361" s="1613">
        <v>31500000</v>
      </c>
      <c r="G5361" s="1613">
        <v>259582236376</v>
      </c>
    </row>
    <row r="5362" spans="1:7" ht="17.25" customHeight="1" x14ac:dyDescent="0.2">
      <c r="A5362" s="1611">
        <v>17</v>
      </c>
      <c r="B5362" s="1611" t="s">
        <v>2880</v>
      </c>
      <c r="C5362" s="1611" t="s">
        <v>4111</v>
      </c>
      <c r="D5362" s="1612">
        <v>0</v>
      </c>
      <c r="E5362" s="1706" t="s">
        <v>7592</v>
      </c>
      <c r="F5362" s="1613">
        <v>298837818</v>
      </c>
      <c r="G5362" s="1613">
        <v>259881074194</v>
      </c>
    </row>
    <row r="5363" spans="1:7" ht="17.25" customHeight="1" x14ac:dyDescent="0.2">
      <c r="A5363" s="1611">
        <v>17</v>
      </c>
      <c r="B5363" s="1611" t="s">
        <v>2836</v>
      </c>
      <c r="C5363" s="1611" t="s">
        <v>5250</v>
      </c>
      <c r="D5363" s="1612" t="s">
        <v>7555</v>
      </c>
      <c r="E5363" s="1706" t="s">
        <v>7592</v>
      </c>
      <c r="F5363" s="1613">
        <v>29980000</v>
      </c>
      <c r="G5363" s="1613">
        <v>259911054194</v>
      </c>
    </row>
    <row r="5364" spans="1:7" ht="17.25" customHeight="1" x14ac:dyDescent="0.2">
      <c r="A5364" s="1611">
        <v>17</v>
      </c>
      <c r="B5364" s="1611" t="s">
        <v>2067</v>
      </c>
      <c r="C5364" s="1611" t="s">
        <v>5123</v>
      </c>
      <c r="D5364" s="1612" t="s">
        <v>2024</v>
      </c>
      <c r="E5364" s="1706" t="s">
        <v>7592</v>
      </c>
      <c r="F5364" s="1613">
        <v>102436364</v>
      </c>
      <c r="G5364" s="1613">
        <v>260013490558</v>
      </c>
    </row>
    <row r="5365" spans="1:7" ht="17.25" customHeight="1" x14ac:dyDescent="0.2">
      <c r="A5365" s="1611">
        <v>17</v>
      </c>
      <c r="B5365" s="1611" t="s">
        <v>2037</v>
      </c>
      <c r="C5365" s="1611" t="s">
        <v>3943</v>
      </c>
      <c r="D5365" s="1612" t="s">
        <v>7555</v>
      </c>
      <c r="E5365" s="1706" t="s">
        <v>7592</v>
      </c>
      <c r="F5365" s="1613">
        <v>38500000</v>
      </c>
      <c r="G5365" s="1613">
        <v>260051990558</v>
      </c>
    </row>
    <row r="5366" spans="1:7" ht="17.25" customHeight="1" x14ac:dyDescent="0.2">
      <c r="A5366" s="1611">
        <v>17</v>
      </c>
      <c r="B5366" s="1611" t="s">
        <v>2039</v>
      </c>
      <c r="C5366" s="1611" t="s">
        <v>6764</v>
      </c>
      <c r="D5366" s="1612" t="s">
        <v>7555</v>
      </c>
      <c r="E5366" s="1706" t="s">
        <v>7592</v>
      </c>
      <c r="F5366" s="1613">
        <v>40500000</v>
      </c>
      <c r="G5366" s="1613">
        <v>260092490558</v>
      </c>
    </row>
    <row r="5367" spans="1:7" ht="17.25" customHeight="1" x14ac:dyDescent="0.2">
      <c r="A5367" s="1611">
        <v>17</v>
      </c>
      <c r="B5367" s="1611" t="s">
        <v>2037</v>
      </c>
      <c r="C5367" s="1611" t="s">
        <v>4411</v>
      </c>
      <c r="D5367" s="1612" t="s">
        <v>7555</v>
      </c>
      <c r="E5367" s="1706" t="s">
        <v>7592</v>
      </c>
      <c r="F5367" s="1613">
        <v>38000000</v>
      </c>
      <c r="G5367" s="1613">
        <v>260130490558</v>
      </c>
    </row>
    <row r="5368" spans="1:7" ht="17.25" customHeight="1" x14ac:dyDescent="0.2">
      <c r="A5368" s="1611">
        <v>17</v>
      </c>
      <c r="B5368" s="1611" t="s">
        <v>2037</v>
      </c>
      <c r="C5368" s="1611" t="s">
        <v>6765</v>
      </c>
      <c r="D5368" s="1612" t="s">
        <v>7555</v>
      </c>
      <c r="E5368" s="1706" t="s">
        <v>7592</v>
      </c>
      <c r="F5368" s="1613">
        <v>37000000</v>
      </c>
      <c r="G5368" s="1613">
        <v>260167490558</v>
      </c>
    </row>
    <row r="5369" spans="1:7" ht="17.25" customHeight="1" x14ac:dyDescent="0.2">
      <c r="A5369" s="1611">
        <v>17</v>
      </c>
      <c r="B5369" s="1611" t="s">
        <v>2039</v>
      </c>
      <c r="C5369" s="1611" t="s">
        <v>5466</v>
      </c>
      <c r="D5369" s="1612" t="s">
        <v>7555</v>
      </c>
      <c r="E5369" s="1706" t="s">
        <v>7592</v>
      </c>
      <c r="F5369" s="1613">
        <v>39300000</v>
      </c>
      <c r="G5369" s="1613">
        <v>260206790558</v>
      </c>
    </row>
    <row r="5370" spans="1:7" ht="17.25" customHeight="1" x14ac:dyDescent="0.2">
      <c r="A5370" s="1611">
        <v>17</v>
      </c>
      <c r="B5370" s="1611" t="s">
        <v>2039</v>
      </c>
      <c r="C5370" s="1611" t="s">
        <v>6766</v>
      </c>
      <c r="D5370" s="1612" t="s">
        <v>7555</v>
      </c>
      <c r="E5370" s="1706" t="s">
        <v>7592</v>
      </c>
      <c r="F5370" s="1613">
        <v>40909091</v>
      </c>
      <c r="G5370" s="1613">
        <v>260247699649</v>
      </c>
    </row>
    <row r="5371" spans="1:7" ht="17.25" customHeight="1" x14ac:dyDescent="0.2">
      <c r="A5371" s="1611">
        <v>17</v>
      </c>
      <c r="B5371" s="1611" t="s">
        <v>2039</v>
      </c>
      <c r="C5371" s="1611" t="s">
        <v>6767</v>
      </c>
      <c r="D5371" s="1612" t="s">
        <v>7555</v>
      </c>
      <c r="E5371" s="1706" t="s">
        <v>7592</v>
      </c>
      <c r="F5371" s="1613">
        <v>40818181</v>
      </c>
      <c r="G5371" s="1613">
        <v>260288517830</v>
      </c>
    </row>
    <row r="5372" spans="1:7" ht="17.25" customHeight="1" x14ac:dyDescent="0.2">
      <c r="A5372" s="1611">
        <v>17</v>
      </c>
      <c r="B5372" s="1611" t="s">
        <v>2041</v>
      </c>
      <c r="C5372" s="1611" t="s">
        <v>6768</v>
      </c>
      <c r="D5372" s="1612" t="s">
        <v>7555</v>
      </c>
      <c r="E5372" s="1706" t="s">
        <v>7592</v>
      </c>
      <c r="F5372" s="1613">
        <v>50900000</v>
      </c>
      <c r="G5372" s="1613">
        <v>260339417830</v>
      </c>
    </row>
    <row r="5373" spans="1:7" ht="17.25" customHeight="1" x14ac:dyDescent="0.2">
      <c r="A5373" s="1611">
        <v>17</v>
      </c>
      <c r="B5373" s="1611" t="s">
        <v>2037</v>
      </c>
      <c r="C5373" s="1611" t="s">
        <v>6769</v>
      </c>
      <c r="D5373" s="1612" t="s">
        <v>7555</v>
      </c>
      <c r="E5373" s="1706" t="s">
        <v>7592</v>
      </c>
      <c r="F5373" s="1613">
        <v>36363636</v>
      </c>
      <c r="G5373" s="1613">
        <v>260375781466</v>
      </c>
    </row>
    <row r="5374" spans="1:7" ht="17.25" customHeight="1" x14ac:dyDescent="0.2">
      <c r="A5374" s="1611">
        <v>17</v>
      </c>
      <c r="B5374" s="1611" t="s">
        <v>2034</v>
      </c>
      <c r="C5374" s="1611" t="s">
        <v>3826</v>
      </c>
      <c r="D5374" s="1612" t="s">
        <v>7555</v>
      </c>
      <c r="E5374" s="1706" t="s">
        <v>7592</v>
      </c>
      <c r="F5374" s="1613">
        <v>45370910</v>
      </c>
      <c r="G5374" s="1613">
        <v>260421152376</v>
      </c>
    </row>
    <row r="5375" spans="1:7" ht="17.25" customHeight="1" x14ac:dyDescent="0.2">
      <c r="A5375" s="1611">
        <v>17</v>
      </c>
      <c r="B5375" s="1611" t="s">
        <v>2045</v>
      </c>
      <c r="C5375" s="1611" t="s">
        <v>6679</v>
      </c>
      <c r="D5375" s="1612" t="s">
        <v>7555</v>
      </c>
      <c r="E5375" s="1706" t="s">
        <v>7592</v>
      </c>
      <c r="F5375" s="1613">
        <v>96811819</v>
      </c>
      <c r="G5375" s="1613">
        <v>260517964195</v>
      </c>
    </row>
    <row r="5376" spans="1:7" ht="17.25" customHeight="1" x14ac:dyDescent="0.2">
      <c r="A5376" s="1611">
        <v>17</v>
      </c>
      <c r="B5376" s="1611" t="s">
        <v>2039</v>
      </c>
      <c r="C5376" s="1611" t="s">
        <v>6770</v>
      </c>
      <c r="D5376" s="1612" t="s">
        <v>7555</v>
      </c>
      <c r="E5376" s="1706" t="s">
        <v>7592</v>
      </c>
      <c r="F5376" s="1613">
        <v>39090909</v>
      </c>
      <c r="G5376" s="1613">
        <v>260557055104</v>
      </c>
    </row>
    <row r="5377" spans="1:7" ht="17.25" customHeight="1" x14ac:dyDescent="0.2">
      <c r="A5377" s="1611">
        <v>17</v>
      </c>
      <c r="B5377" s="1611" t="s">
        <v>2039</v>
      </c>
      <c r="C5377" s="1611" t="s">
        <v>6771</v>
      </c>
      <c r="D5377" s="1612" t="s">
        <v>7555</v>
      </c>
      <c r="E5377" s="1706" t="s">
        <v>7592</v>
      </c>
      <c r="F5377" s="1613">
        <v>40909091</v>
      </c>
      <c r="G5377" s="1613">
        <v>260597964195</v>
      </c>
    </row>
    <row r="5378" spans="1:7" ht="17.25" customHeight="1" x14ac:dyDescent="0.2">
      <c r="A5378" s="1611">
        <v>17</v>
      </c>
      <c r="B5378" s="1611" t="s">
        <v>2037</v>
      </c>
      <c r="C5378" s="1611" t="s">
        <v>5052</v>
      </c>
      <c r="D5378" s="1612" t="s">
        <v>7555</v>
      </c>
      <c r="E5378" s="1706" t="s">
        <v>7592</v>
      </c>
      <c r="F5378" s="1613">
        <v>37272727</v>
      </c>
      <c r="G5378" s="1613">
        <v>260635236922</v>
      </c>
    </row>
    <row r="5379" spans="1:7" ht="17.25" customHeight="1" x14ac:dyDescent="0.2">
      <c r="A5379" s="1611">
        <v>17</v>
      </c>
      <c r="B5379" s="1611" t="s">
        <v>2041</v>
      </c>
      <c r="C5379" s="1611" t="s">
        <v>6772</v>
      </c>
      <c r="D5379" s="1612" t="s">
        <v>7555</v>
      </c>
      <c r="E5379" s="1706" t="s">
        <v>7592</v>
      </c>
      <c r="F5379" s="1613">
        <v>52000000</v>
      </c>
      <c r="G5379" s="1613">
        <v>260687236922</v>
      </c>
    </row>
    <row r="5380" spans="1:7" ht="17.25" customHeight="1" x14ac:dyDescent="0.2">
      <c r="A5380" s="1611">
        <v>17</v>
      </c>
      <c r="B5380" s="1611" t="s">
        <v>2028</v>
      </c>
      <c r="C5380" s="1611" t="s">
        <v>3824</v>
      </c>
      <c r="D5380" s="1612" t="s">
        <v>2024</v>
      </c>
      <c r="E5380" s="1706" t="s">
        <v>7592</v>
      </c>
      <c r="F5380" s="1613">
        <v>14545455</v>
      </c>
      <c r="G5380" s="1613">
        <v>260701782377</v>
      </c>
    </row>
    <row r="5381" spans="1:7" ht="17.25" customHeight="1" x14ac:dyDescent="0.2">
      <c r="A5381" s="1611">
        <v>17</v>
      </c>
      <c r="B5381" s="1611" t="s">
        <v>2028</v>
      </c>
      <c r="C5381" s="1611" t="s">
        <v>4640</v>
      </c>
      <c r="D5381" s="1612" t="s">
        <v>2024</v>
      </c>
      <c r="E5381" s="1706" t="s">
        <v>7592</v>
      </c>
      <c r="F5381" s="1613">
        <v>14310000</v>
      </c>
      <c r="G5381" s="1613">
        <v>260716092377</v>
      </c>
    </row>
    <row r="5382" spans="1:7" ht="17.25" customHeight="1" x14ac:dyDescent="0.2">
      <c r="A5382" s="1611">
        <v>17</v>
      </c>
      <c r="B5382" s="1611" t="s">
        <v>2836</v>
      </c>
      <c r="C5382" s="1611" t="s">
        <v>6773</v>
      </c>
      <c r="D5382" s="1612" t="s">
        <v>7555</v>
      </c>
      <c r="E5382" s="1706" t="s">
        <v>7592</v>
      </c>
      <c r="F5382" s="1613">
        <v>31700000</v>
      </c>
      <c r="G5382" s="1613">
        <v>260747792377</v>
      </c>
    </row>
    <row r="5383" spans="1:7" ht="17.25" customHeight="1" x14ac:dyDescent="0.2">
      <c r="A5383" s="1611">
        <v>17</v>
      </c>
      <c r="B5383" s="1611" t="s">
        <v>2037</v>
      </c>
      <c r="C5383" s="1611" t="s">
        <v>6774</v>
      </c>
      <c r="D5383" s="1612" t="s">
        <v>7555</v>
      </c>
      <c r="E5383" s="1706" t="s">
        <v>7592</v>
      </c>
      <c r="F5383" s="1613">
        <v>36800000</v>
      </c>
      <c r="G5383" s="1613">
        <v>260784592377</v>
      </c>
    </row>
    <row r="5384" spans="1:7" ht="17.25" customHeight="1" x14ac:dyDescent="0.2">
      <c r="A5384" s="1611">
        <v>17</v>
      </c>
      <c r="B5384" s="1611" t="s">
        <v>2041</v>
      </c>
      <c r="C5384" s="1611" t="s">
        <v>6775</v>
      </c>
      <c r="D5384" s="1612" t="s">
        <v>7555</v>
      </c>
      <c r="E5384" s="1706" t="s">
        <v>7592</v>
      </c>
      <c r="F5384" s="1613">
        <v>51818182</v>
      </c>
      <c r="G5384" s="1613">
        <v>260836410559</v>
      </c>
    </row>
    <row r="5385" spans="1:7" ht="17.25" customHeight="1" x14ac:dyDescent="0.2">
      <c r="A5385" s="1611">
        <v>17</v>
      </c>
      <c r="B5385" s="1611" t="s">
        <v>2032</v>
      </c>
      <c r="C5385" s="1611" t="s">
        <v>4037</v>
      </c>
      <c r="D5385" s="1612" t="s">
        <v>7555</v>
      </c>
      <c r="E5385" s="1706" t="s">
        <v>7592</v>
      </c>
      <c r="F5385" s="1613">
        <v>18373000</v>
      </c>
      <c r="G5385" s="1613">
        <v>260854783559</v>
      </c>
    </row>
    <row r="5386" spans="1:7" ht="17.25" customHeight="1" x14ac:dyDescent="0.2">
      <c r="A5386" s="1611">
        <v>17</v>
      </c>
      <c r="B5386" s="1611" t="s">
        <v>2041</v>
      </c>
      <c r="C5386" s="1611" t="s">
        <v>6776</v>
      </c>
      <c r="D5386" s="1612" t="s">
        <v>7555</v>
      </c>
      <c r="E5386" s="1706" t="s">
        <v>7592</v>
      </c>
      <c r="F5386" s="1613">
        <v>49000000</v>
      </c>
      <c r="G5386" s="1613">
        <v>260903783559</v>
      </c>
    </row>
    <row r="5387" spans="1:7" ht="17.25" customHeight="1" x14ac:dyDescent="0.2">
      <c r="A5387" s="1611">
        <v>17</v>
      </c>
      <c r="B5387" s="1611" t="s">
        <v>2067</v>
      </c>
      <c r="C5387" s="1611" t="s">
        <v>6657</v>
      </c>
      <c r="D5387" s="1612" t="s">
        <v>2024</v>
      </c>
      <c r="E5387" s="1706" t="s">
        <v>7592</v>
      </c>
      <c r="F5387" s="1613">
        <v>51343183</v>
      </c>
      <c r="G5387" s="1613">
        <v>260955126742</v>
      </c>
    </row>
    <row r="5388" spans="1:7" ht="17.25" customHeight="1" x14ac:dyDescent="0.2">
      <c r="A5388" s="1611">
        <v>17</v>
      </c>
      <c r="B5388" s="1611" t="s">
        <v>2054</v>
      </c>
      <c r="C5388" s="1611" t="s">
        <v>4498</v>
      </c>
      <c r="D5388" s="1612" t="s">
        <v>2024</v>
      </c>
      <c r="E5388" s="1706" t="s">
        <v>7592</v>
      </c>
      <c r="F5388" s="1613">
        <v>12800000</v>
      </c>
      <c r="G5388" s="1613">
        <v>260967926742</v>
      </c>
    </row>
    <row r="5389" spans="1:7" ht="17.25" customHeight="1" x14ac:dyDescent="0.2">
      <c r="A5389" s="1611">
        <v>17</v>
      </c>
      <c r="B5389" s="1611" t="s">
        <v>2054</v>
      </c>
      <c r="C5389" s="1611" t="s">
        <v>6777</v>
      </c>
      <c r="D5389" s="1612" t="s">
        <v>2024</v>
      </c>
      <c r="E5389" s="1706" t="s">
        <v>7592</v>
      </c>
      <c r="F5389" s="1613">
        <v>13500000</v>
      </c>
      <c r="G5389" s="1613">
        <v>260981426742</v>
      </c>
    </row>
    <row r="5390" spans="1:7" ht="17.25" customHeight="1" x14ac:dyDescent="0.2">
      <c r="A5390" s="1611">
        <v>17</v>
      </c>
      <c r="B5390" s="1611" t="s">
        <v>2028</v>
      </c>
      <c r="C5390" s="1611" t="s">
        <v>6778</v>
      </c>
      <c r="D5390" s="1612" t="s">
        <v>2024</v>
      </c>
      <c r="E5390" s="1706" t="s">
        <v>7592</v>
      </c>
      <c r="F5390" s="1613">
        <v>14802727</v>
      </c>
      <c r="G5390" s="1613">
        <v>260996229469</v>
      </c>
    </row>
    <row r="5391" spans="1:7" ht="17.25" customHeight="1" x14ac:dyDescent="0.2">
      <c r="A5391" s="1611">
        <v>17</v>
      </c>
      <c r="B5391" s="1611" t="s">
        <v>2037</v>
      </c>
      <c r="C5391" s="1611" t="s">
        <v>5252</v>
      </c>
      <c r="D5391" s="1612" t="s">
        <v>7555</v>
      </c>
      <c r="E5391" s="1706" t="s">
        <v>7592</v>
      </c>
      <c r="F5391" s="1613">
        <v>38000000</v>
      </c>
      <c r="G5391" s="1613">
        <v>261034229469</v>
      </c>
    </row>
    <row r="5392" spans="1:7" ht="17.25" customHeight="1" x14ac:dyDescent="0.2">
      <c r="A5392" s="1611">
        <v>17</v>
      </c>
      <c r="B5392" s="1611" t="s">
        <v>2037</v>
      </c>
      <c r="C5392" s="1611" t="s">
        <v>5252</v>
      </c>
      <c r="D5392" s="1612" t="s">
        <v>7555</v>
      </c>
      <c r="E5392" s="1706" t="s">
        <v>7592</v>
      </c>
      <c r="F5392" s="1613">
        <v>38000000</v>
      </c>
      <c r="G5392" s="1613">
        <v>261072229469</v>
      </c>
    </row>
    <row r="5393" spans="1:7" ht="17.25" customHeight="1" x14ac:dyDescent="0.2">
      <c r="A5393" s="1611">
        <v>17</v>
      </c>
      <c r="B5393" s="1611" t="s">
        <v>2037</v>
      </c>
      <c r="C5393" s="1611" t="s">
        <v>5252</v>
      </c>
      <c r="D5393" s="1612" t="s">
        <v>7555</v>
      </c>
      <c r="E5393" s="1706" t="s">
        <v>7592</v>
      </c>
      <c r="F5393" s="1613">
        <v>38000000</v>
      </c>
      <c r="G5393" s="1613">
        <v>261110229469</v>
      </c>
    </row>
    <row r="5394" spans="1:7" ht="17.25" customHeight="1" x14ac:dyDescent="0.2">
      <c r="A5394" s="1611">
        <v>17</v>
      </c>
      <c r="B5394" s="1611" t="s">
        <v>2037</v>
      </c>
      <c r="C5394" s="1611" t="s">
        <v>5252</v>
      </c>
      <c r="D5394" s="1612" t="s">
        <v>7555</v>
      </c>
      <c r="E5394" s="1706" t="s">
        <v>7592</v>
      </c>
      <c r="F5394" s="1613">
        <v>38000000</v>
      </c>
      <c r="G5394" s="1613">
        <v>261148229469</v>
      </c>
    </row>
    <row r="5395" spans="1:7" ht="17.25" customHeight="1" x14ac:dyDescent="0.2">
      <c r="A5395" s="1611">
        <v>17</v>
      </c>
      <c r="B5395" s="1611" t="s">
        <v>2037</v>
      </c>
      <c r="C5395" s="1611" t="s">
        <v>5252</v>
      </c>
      <c r="D5395" s="1612" t="s">
        <v>7555</v>
      </c>
      <c r="E5395" s="1706" t="s">
        <v>7592</v>
      </c>
      <c r="F5395" s="1613">
        <v>38000000</v>
      </c>
      <c r="G5395" s="1613">
        <v>261186229469</v>
      </c>
    </row>
    <row r="5396" spans="1:7" ht="17.25" customHeight="1" x14ac:dyDescent="0.2">
      <c r="A5396" s="1611">
        <v>17</v>
      </c>
      <c r="B5396" s="1611" t="s">
        <v>2037</v>
      </c>
      <c r="C5396" s="1611" t="s">
        <v>5252</v>
      </c>
      <c r="D5396" s="1612" t="s">
        <v>7555</v>
      </c>
      <c r="E5396" s="1706" t="s">
        <v>7592</v>
      </c>
      <c r="F5396" s="1613">
        <v>38000000</v>
      </c>
      <c r="G5396" s="1613">
        <v>261224229469</v>
      </c>
    </row>
    <row r="5397" spans="1:7" ht="17.25" customHeight="1" x14ac:dyDescent="0.2">
      <c r="A5397" s="1611">
        <v>17</v>
      </c>
      <c r="B5397" s="1611" t="s">
        <v>2055</v>
      </c>
      <c r="C5397" s="1611" t="s">
        <v>6779</v>
      </c>
      <c r="D5397" s="1612" t="s">
        <v>7555</v>
      </c>
      <c r="E5397" s="1706" t="s">
        <v>7592</v>
      </c>
      <c r="F5397" s="1613">
        <v>56818182</v>
      </c>
      <c r="G5397" s="1613">
        <v>261281047651</v>
      </c>
    </row>
    <row r="5398" spans="1:7" ht="17.25" customHeight="1" x14ac:dyDescent="0.2">
      <c r="A5398" s="1611">
        <v>17</v>
      </c>
      <c r="B5398" s="1611" t="s">
        <v>7365</v>
      </c>
      <c r="C5398" s="1611" t="s">
        <v>6780</v>
      </c>
      <c r="D5398" s="1612">
        <v>0</v>
      </c>
      <c r="E5398" s="1706" t="s">
        <v>7592</v>
      </c>
      <c r="F5398" s="1613">
        <v>19755000</v>
      </c>
      <c r="G5398" s="1613">
        <v>261300802651</v>
      </c>
    </row>
    <row r="5399" spans="1:7" ht="17.25" customHeight="1" x14ac:dyDescent="0.2">
      <c r="A5399" s="1611">
        <v>17</v>
      </c>
      <c r="B5399" s="1611" t="s">
        <v>2037</v>
      </c>
      <c r="C5399" s="1611" t="s">
        <v>6781</v>
      </c>
      <c r="D5399" s="1612" t="s">
        <v>7555</v>
      </c>
      <c r="E5399" s="1706" t="s">
        <v>7592</v>
      </c>
      <c r="F5399" s="1613">
        <v>36000000</v>
      </c>
      <c r="G5399" s="1613">
        <v>261336802651</v>
      </c>
    </row>
    <row r="5400" spans="1:7" ht="17.25" customHeight="1" x14ac:dyDescent="0.2">
      <c r="A5400" s="1611">
        <v>17</v>
      </c>
      <c r="B5400" s="1611" t="s">
        <v>2037</v>
      </c>
      <c r="C5400" s="1611" t="s">
        <v>6782</v>
      </c>
      <c r="D5400" s="1612" t="s">
        <v>7555</v>
      </c>
      <c r="E5400" s="1706" t="s">
        <v>7592</v>
      </c>
      <c r="F5400" s="1613">
        <v>37000000</v>
      </c>
      <c r="G5400" s="1613">
        <v>261373802651</v>
      </c>
    </row>
    <row r="5401" spans="1:7" ht="17.25" customHeight="1" x14ac:dyDescent="0.2">
      <c r="A5401" s="1611">
        <v>17</v>
      </c>
      <c r="B5401" s="1611" t="s">
        <v>2037</v>
      </c>
      <c r="C5401" s="1611" t="s">
        <v>6783</v>
      </c>
      <c r="D5401" s="1612" t="s">
        <v>7555</v>
      </c>
      <c r="E5401" s="1706" t="s">
        <v>7592</v>
      </c>
      <c r="F5401" s="1613">
        <v>36500000</v>
      </c>
      <c r="G5401" s="1613">
        <v>261410302651</v>
      </c>
    </row>
    <row r="5402" spans="1:7" ht="17.25" customHeight="1" x14ac:dyDescent="0.2">
      <c r="A5402" s="1611">
        <v>17</v>
      </c>
      <c r="B5402" s="1611" t="s">
        <v>2039</v>
      </c>
      <c r="C5402" s="1611" t="s">
        <v>6784</v>
      </c>
      <c r="D5402" s="1612" t="s">
        <v>7555</v>
      </c>
      <c r="E5402" s="1706" t="s">
        <v>7592</v>
      </c>
      <c r="F5402" s="1613">
        <v>39090909</v>
      </c>
      <c r="G5402" s="1613">
        <v>261449393560</v>
      </c>
    </row>
    <row r="5403" spans="1:7" ht="17.25" customHeight="1" x14ac:dyDescent="0.2">
      <c r="A5403" s="1611">
        <v>17</v>
      </c>
      <c r="B5403" s="1611" t="s">
        <v>2055</v>
      </c>
      <c r="C5403" s="1611" t="s">
        <v>6785</v>
      </c>
      <c r="D5403" s="1612" t="s">
        <v>7555</v>
      </c>
      <c r="E5403" s="1706" t="s">
        <v>7592</v>
      </c>
      <c r="F5403" s="1613">
        <v>58000000</v>
      </c>
      <c r="G5403" s="1613">
        <v>261507393560</v>
      </c>
    </row>
    <row r="5404" spans="1:7" ht="17.25" customHeight="1" x14ac:dyDescent="0.2">
      <c r="A5404" s="1611">
        <v>17</v>
      </c>
      <c r="B5404" s="1611" t="s">
        <v>2055</v>
      </c>
      <c r="C5404" s="1611" t="s">
        <v>5760</v>
      </c>
      <c r="D5404" s="1612" t="s">
        <v>7555</v>
      </c>
      <c r="E5404" s="1706" t="s">
        <v>7592</v>
      </c>
      <c r="F5404" s="1613">
        <v>58000000</v>
      </c>
      <c r="G5404" s="1613">
        <v>261565393560</v>
      </c>
    </row>
    <row r="5405" spans="1:7" ht="17.25" customHeight="1" x14ac:dyDescent="0.2">
      <c r="A5405" s="1611">
        <v>17</v>
      </c>
      <c r="B5405" s="1611" t="s">
        <v>2878</v>
      </c>
      <c r="C5405" s="1611" t="s">
        <v>5250</v>
      </c>
      <c r="D5405" s="1612" t="s">
        <v>7555</v>
      </c>
      <c r="E5405" s="1706" t="s">
        <v>7592</v>
      </c>
      <c r="F5405" s="1613">
        <v>41842100</v>
      </c>
      <c r="G5405" s="1613">
        <v>261607235660</v>
      </c>
    </row>
    <row r="5406" spans="1:7" ht="17.25" customHeight="1" x14ac:dyDescent="0.2">
      <c r="A5406" s="1611">
        <v>17</v>
      </c>
      <c r="B5406" s="1611" t="s">
        <v>2878</v>
      </c>
      <c r="C5406" s="1611" t="s">
        <v>5250</v>
      </c>
      <c r="D5406" s="1612" t="s">
        <v>7555</v>
      </c>
      <c r="E5406" s="1706" t="s">
        <v>7592</v>
      </c>
      <c r="F5406" s="1613">
        <v>41842100</v>
      </c>
      <c r="G5406" s="1613">
        <v>261649077760</v>
      </c>
    </row>
    <row r="5407" spans="1:7" ht="17.25" customHeight="1" x14ac:dyDescent="0.2">
      <c r="A5407" s="1611">
        <v>17</v>
      </c>
      <c r="B5407" s="1611" t="s">
        <v>2878</v>
      </c>
      <c r="C5407" s="1611" t="s">
        <v>5250</v>
      </c>
      <c r="D5407" s="1612" t="s">
        <v>7555</v>
      </c>
      <c r="E5407" s="1706" t="s">
        <v>7592</v>
      </c>
      <c r="F5407" s="1613">
        <v>41842100</v>
      </c>
      <c r="G5407" s="1613">
        <v>261690919860</v>
      </c>
    </row>
    <row r="5408" spans="1:7" ht="17.25" customHeight="1" x14ac:dyDescent="0.2">
      <c r="A5408" s="1611">
        <v>17</v>
      </c>
      <c r="B5408" s="1611" t="s">
        <v>2878</v>
      </c>
      <c r="C5408" s="1611" t="s">
        <v>5250</v>
      </c>
      <c r="D5408" s="1612" t="s">
        <v>7555</v>
      </c>
      <c r="E5408" s="1706" t="s">
        <v>7592</v>
      </c>
      <c r="F5408" s="1613">
        <v>41842100</v>
      </c>
      <c r="G5408" s="1613">
        <v>261732761960</v>
      </c>
    </row>
    <row r="5409" spans="1:7" ht="17.25" customHeight="1" x14ac:dyDescent="0.2">
      <c r="A5409" s="1611">
        <v>17</v>
      </c>
      <c r="B5409" s="1611" t="s">
        <v>2878</v>
      </c>
      <c r="C5409" s="1611" t="s">
        <v>5250</v>
      </c>
      <c r="D5409" s="1612" t="s">
        <v>7555</v>
      </c>
      <c r="E5409" s="1706" t="s">
        <v>7592</v>
      </c>
      <c r="F5409" s="1613">
        <v>41842100</v>
      </c>
      <c r="G5409" s="1613">
        <v>261774604060</v>
      </c>
    </row>
    <row r="5410" spans="1:7" ht="17.25" customHeight="1" x14ac:dyDescent="0.2">
      <c r="A5410" s="1611">
        <v>17</v>
      </c>
      <c r="B5410" s="1611" t="s">
        <v>2878</v>
      </c>
      <c r="C5410" s="1611" t="s">
        <v>5250</v>
      </c>
      <c r="D5410" s="1612" t="s">
        <v>7555</v>
      </c>
      <c r="E5410" s="1706" t="s">
        <v>7592</v>
      </c>
      <c r="F5410" s="1613">
        <v>41842100</v>
      </c>
      <c r="G5410" s="1613">
        <v>261816446160</v>
      </c>
    </row>
    <row r="5411" spans="1:7" ht="17.25" customHeight="1" x14ac:dyDescent="0.2">
      <c r="A5411" s="1611">
        <v>17</v>
      </c>
      <c r="B5411" s="1611" t="s">
        <v>2878</v>
      </c>
      <c r="C5411" s="1611" t="s">
        <v>5250</v>
      </c>
      <c r="D5411" s="1612" t="s">
        <v>7555</v>
      </c>
      <c r="E5411" s="1706" t="s">
        <v>7592</v>
      </c>
      <c r="F5411" s="1613">
        <v>41842100</v>
      </c>
      <c r="G5411" s="1613">
        <v>261858288260</v>
      </c>
    </row>
    <row r="5412" spans="1:7" ht="17.25" customHeight="1" x14ac:dyDescent="0.2">
      <c r="A5412" s="1611">
        <v>17</v>
      </c>
      <c r="B5412" s="1611" t="s">
        <v>2878</v>
      </c>
      <c r="C5412" s="1611" t="s">
        <v>5250</v>
      </c>
      <c r="D5412" s="1612" t="s">
        <v>7555</v>
      </c>
      <c r="E5412" s="1706" t="s">
        <v>7592</v>
      </c>
      <c r="F5412" s="1613">
        <v>41842100</v>
      </c>
      <c r="G5412" s="1613">
        <v>261900130360</v>
      </c>
    </row>
    <row r="5413" spans="1:7" ht="17.25" customHeight="1" x14ac:dyDescent="0.2">
      <c r="A5413" s="1611">
        <v>17</v>
      </c>
      <c r="B5413" s="1611" t="s">
        <v>2878</v>
      </c>
      <c r="C5413" s="1611" t="s">
        <v>5250</v>
      </c>
      <c r="D5413" s="1612" t="s">
        <v>7555</v>
      </c>
      <c r="E5413" s="1706" t="s">
        <v>7592</v>
      </c>
      <c r="F5413" s="1613">
        <v>41842100</v>
      </c>
      <c r="G5413" s="1613">
        <v>261941972460</v>
      </c>
    </row>
    <row r="5414" spans="1:7" ht="17.25" customHeight="1" x14ac:dyDescent="0.2">
      <c r="A5414" s="1611">
        <v>17</v>
      </c>
      <c r="B5414" s="1611" t="s">
        <v>2878</v>
      </c>
      <c r="C5414" s="1611" t="s">
        <v>5250</v>
      </c>
      <c r="D5414" s="1612" t="s">
        <v>7555</v>
      </c>
      <c r="E5414" s="1706" t="s">
        <v>7592</v>
      </c>
      <c r="F5414" s="1613">
        <v>41842100</v>
      </c>
      <c r="G5414" s="1613">
        <v>261983814560</v>
      </c>
    </row>
    <row r="5415" spans="1:7" ht="17.25" customHeight="1" x14ac:dyDescent="0.2">
      <c r="A5415" s="1611">
        <v>17</v>
      </c>
      <c r="B5415" s="1611" t="s">
        <v>2878</v>
      </c>
      <c r="C5415" s="1611" t="s">
        <v>5250</v>
      </c>
      <c r="D5415" s="1612" t="s">
        <v>7555</v>
      </c>
      <c r="E5415" s="1706" t="s">
        <v>7592</v>
      </c>
      <c r="F5415" s="1613">
        <v>41842100</v>
      </c>
      <c r="G5415" s="1613">
        <v>262025656660</v>
      </c>
    </row>
    <row r="5416" spans="1:7" ht="17.25" customHeight="1" x14ac:dyDescent="0.2">
      <c r="A5416" s="1611">
        <v>17</v>
      </c>
      <c r="B5416" s="1611" t="s">
        <v>2878</v>
      </c>
      <c r="C5416" s="1611" t="s">
        <v>5250</v>
      </c>
      <c r="D5416" s="1612" t="s">
        <v>7555</v>
      </c>
      <c r="E5416" s="1706" t="s">
        <v>7592</v>
      </c>
      <c r="F5416" s="1613">
        <v>41842100</v>
      </c>
      <c r="G5416" s="1613">
        <v>262067498760</v>
      </c>
    </row>
    <row r="5417" spans="1:7" ht="17.25" customHeight="1" x14ac:dyDescent="0.2">
      <c r="A5417" s="1611">
        <v>17</v>
      </c>
      <c r="B5417" s="1611" t="s">
        <v>2878</v>
      </c>
      <c r="C5417" s="1611" t="s">
        <v>5250</v>
      </c>
      <c r="D5417" s="1612" t="s">
        <v>7555</v>
      </c>
      <c r="E5417" s="1706" t="s">
        <v>7592</v>
      </c>
      <c r="F5417" s="1613">
        <v>41842100</v>
      </c>
      <c r="G5417" s="1613">
        <v>262109340860</v>
      </c>
    </row>
    <row r="5418" spans="1:7" ht="17.25" customHeight="1" x14ac:dyDescent="0.2">
      <c r="A5418" s="1611">
        <v>17</v>
      </c>
      <c r="B5418" s="1611" t="s">
        <v>2878</v>
      </c>
      <c r="C5418" s="1611" t="s">
        <v>5250</v>
      </c>
      <c r="D5418" s="1612" t="s">
        <v>7555</v>
      </c>
      <c r="E5418" s="1706" t="s">
        <v>7592</v>
      </c>
      <c r="F5418" s="1613">
        <v>41842100</v>
      </c>
      <c r="G5418" s="1613">
        <v>262151182960</v>
      </c>
    </row>
    <row r="5419" spans="1:7" ht="17.25" customHeight="1" x14ac:dyDescent="0.2">
      <c r="A5419" s="1611">
        <v>17</v>
      </c>
      <c r="B5419" s="1611" t="s">
        <v>2878</v>
      </c>
      <c r="C5419" s="1611" t="s">
        <v>5250</v>
      </c>
      <c r="D5419" s="1612" t="s">
        <v>7555</v>
      </c>
      <c r="E5419" s="1706" t="s">
        <v>7592</v>
      </c>
      <c r="F5419" s="1613">
        <v>41842100</v>
      </c>
      <c r="G5419" s="1613">
        <v>262193025060</v>
      </c>
    </row>
    <row r="5420" spans="1:7" ht="17.25" customHeight="1" x14ac:dyDescent="0.2">
      <c r="A5420" s="1611">
        <v>17</v>
      </c>
      <c r="B5420" s="1611" t="s">
        <v>2037</v>
      </c>
      <c r="C5420" s="1611" t="s">
        <v>6786</v>
      </c>
      <c r="D5420" s="1612" t="s">
        <v>7555</v>
      </c>
      <c r="E5420" s="1706" t="s">
        <v>7592</v>
      </c>
      <c r="F5420" s="1613">
        <v>37000000</v>
      </c>
      <c r="G5420" s="1613">
        <v>262230025060</v>
      </c>
    </row>
    <row r="5421" spans="1:7" ht="17.25" customHeight="1" x14ac:dyDescent="0.2">
      <c r="A5421" s="1611">
        <v>17</v>
      </c>
      <c r="B5421" s="1611" t="s">
        <v>2028</v>
      </c>
      <c r="C5421" s="1611" t="s">
        <v>6787</v>
      </c>
      <c r="D5421" s="1612" t="s">
        <v>2024</v>
      </c>
      <c r="E5421" s="1706" t="s">
        <v>7592</v>
      </c>
      <c r="F5421" s="1613">
        <v>14145455</v>
      </c>
      <c r="G5421" s="1613">
        <v>262244170515</v>
      </c>
    </row>
    <row r="5422" spans="1:7" ht="17.25" customHeight="1" x14ac:dyDescent="0.2">
      <c r="A5422" s="1611">
        <v>17</v>
      </c>
      <c r="B5422" s="1611" t="s">
        <v>7365</v>
      </c>
      <c r="C5422" s="1611" t="s">
        <v>6788</v>
      </c>
      <c r="D5422" s="1612">
        <v>0</v>
      </c>
      <c r="E5422" s="1706" t="s">
        <v>7592</v>
      </c>
      <c r="F5422" s="1613">
        <v>20662000</v>
      </c>
      <c r="G5422" s="1613">
        <v>262264832515</v>
      </c>
    </row>
    <row r="5423" spans="1:7" ht="17.25" customHeight="1" x14ac:dyDescent="0.2">
      <c r="A5423" s="1611">
        <v>17</v>
      </c>
      <c r="B5423" s="1611" t="s">
        <v>2037</v>
      </c>
      <c r="C5423" s="1611" t="s">
        <v>6789</v>
      </c>
      <c r="D5423" s="1612" t="s">
        <v>7555</v>
      </c>
      <c r="E5423" s="1706" t="s">
        <v>7592</v>
      </c>
      <c r="F5423" s="1613">
        <v>37000000</v>
      </c>
      <c r="G5423" s="1613">
        <v>262301832515</v>
      </c>
    </row>
    <row r="5424" spans="1:7" ht="17.25" customHeight="1" x14ac:dyDescent="0.2">
      <c r="A5424" s="1611">
        <v>17</v>
      </c>
      <c r="B5424" s="1611" t="s">
        <v>2038</v>
      </c>
      <c r="C5424" s="1611" t="s">
        <v>6790</v>
      </c>
      <c r="D5424" s="1612" t="s">
        <v>7555</v>
      </c>
      <c r="E5424" s="1706" t="s">
        <v>7592</v>
      </c>
      <c r="F5424" s="1613">
        <v>37800000</v>
      </c>
      <c r="G5424" s="1613">
        <v>262339632515</v>
      </c>
    </row>
    <row r="5425" spans="1:7" ht="17.25" customHeight="1" x14ac:dyDescent="0.2">
      <c r="A5425" s="1611">
        <v>17</v>
      </c>
      <c r="B5425" s="1611" t="s">
        <v>2055</v>
      </c>
      <c r="C5425" s="1611" t="s">
        <v>5610</v>
      </c>
      <c r="D5425" s="1612" t="s">
        <v>7555</v>
      </c>
      <c r="E5425" s="1706" t="s">
        <v>7592</v>
      </c>
      <c r="F5425" s="1613">
        <v>60500000</v>
      </c>
      <c r="G5425" s="1613">
        <v>262400132515</v>
      </c>
    </row>
    <row r="5426" spans="1:7" ht="17.25" customHeight="1" x14ac:dyDescent="0.2">
      <c r="A5426" s="1611">
        <v>17</v>
      </c>
      <c r="B5426" s="1611" t="s">
        <v>2037</v>
      </c>
      <c r="C5426" s="1611" t="s">
        <v>6791</v>
      </c>
      <c r="D5426" s="1612" t="s">
        <v>7555</v>
      </c>
      <c r="E5426" s="1706" t="s">
        <v>7592</v>
      </c>
      <c r="F5426" s="1613">
        <v>37000000</v>
      </c>
      <c r="G5426" s="1613">
        <v>262437132515</v>
      </c>
    </row>
    <row r="5427" spans="1:7" ht="17.25" customHeight="1" x14ac:dyDescent="0.2">
      <c r="A5427" s="1611">
        <v>17</v>
      </c>
      <c r="B5427" s="1611" t="s">
        <v>2037</v>
      </c>
      <c r="C5427" s="1611" t="s">
        <v>6792</v>
      </c>
      <c r="D5427" s="1612" t="s">
        <v>7555</v>
      </c>
      <c r="E5427" s="1706" t="s">
        <v>7592</v>
      </c>
      <c r="F5427" s="1613">
        <v>37000000</v>
      </c>
      <c r="G5427" s="1613">
        <v>262474132515</v>
      </c>
    </row>
    <row r="5428" spans="1:7" ht="17.25" customHeight="1" x14ac:dyDescent="0.2">
      <c r="A5428" s="1611">
        <v>17</v>
      </c>
      <c r="B5428" s="1611" t="s">
        <v>2028</v>
      </c>
      <c r="C5428" s="1611" t="s">
        <v>4663</v>
      </c>
      <c r="D5428" s="1612" t="s">
        <v>2024</v>
      </c>
      <c r="E5428" s="1706" t="s">
        <v>7592</v>
      </c>
      <c r="F5428" s="1613">
        <v>14500000</v>
      </c>
      <c r="G5428" s="1613">
        <v>262488632515</v>
      </c>
    </row>
    <row r="5429" spans="1:7" ht="17.25" customHeight="1" x14ac:dyDescent="0.2">
      <c r="A5429" s="1611">
        <v>17</v>
      </c>
      <c r="B5429" s="1611" t="s">
        <v>2028</v>
      </c>
      <c r="C5429" s="1611" t="s">
        <v>6793</v>
      </c>
      <c r="D5429" s="1612" t="s">
        <v>2024</v>
      </c>
      <c r="E5429" s="1706" t="s">
        <v>7592</v>
      </c>
      <c r="F5429" s="1613">
        <v>14500000</v>
      </c>
      <c r="G5429" s="1613">
        <v>262503132515</v>
      </c>
    </row>
    <row r="5430" spans="1:7" ht="17.25" customHeight="1" x14ac:dyDescent="0.2">
      <c r="A5430" s="1611">
        <v>17</v>
      </c>
      <c r="B5430" s="1611" t="s">
        <v>2836</v>
      </c>
      <c r="C5430" s="1611" t="s">
        <v>6794</v>
      </c>
      <c r="D5430" s="1612" t="s">
        <v>7555</v>
      </c>
      <c r="E5430" s="1706" t="s">
        <v>7592</v>
      </c>
      <c r="F5430" s="1613">
        <v>31000000</v>
      </c>
      <c r="G5430" s="1613">
        <v>262534132515</v>
      </c>
    </row>
    <row r="5431" spans="1:7" ht="17.25" customHeight="1" x14ac:dyDescent="0.2">
      <c r="A5431" s="1611">
        <v>17</v>
      </c>
      <c r="B5431" s="1611" t="s">
        <v>2037</v>
      </c>
      <c r="C5431" s="1611" t="s">
        <v>5295</v>
      </c>
      <c r="D5431" s="1612" t="s">
        <v>7555</v>
      </c>
      <c r="E5431" s="1706" t="s">
        <v>7592</v>
      </c>
      <c r="F5431" s="1613">
        <v>39500000</v>
      </c>
      <c r="G5431" s="1613">
        <v>262573632515</v>
      </c>
    </row>
    <row r="5432" spans="1:7" ht="17.25" customHeight="1" x14ac:dyDescent="0.2">
      <c r="A5432" s="1611">
        <v>17</v>
      </c>
      <c r="B5432" s="1611" t="s">
        <v>2836</v>
      </c>
      <c r="C5432" s="1611" t="s">
        <v>5027</v>
      </c>
      <c r="D5432" s="1612" t="s">
        <v>7555</v>
      </c>
      <c r="E5432" s="1706" t="s">
        <v>7592</v>
      </c>
      <c r="F5432" s="1613">
        <v>32500000</v>
      </c>
      <c r="G5432" s="1613">
        <v>262606132515</v>
      </c>
    </row>
    <row r="5433" spans="1:7" ht="17.25" customHeight="1" x14ac:dyDescent="0.2">
      <c r="A5433" s="1611">
        <v>17</v>
      </c>
      <c r="B5433" s="1611" t="s">
        <v>2836</v>
      </c>
      <c r="C5433" s="1611" t="s">
        <v>5126</v>
      </c>
      <c r="D5433" s="1612" t="s">
        <v>7555</v>
      </c>
      <c r="E5433" s="1706" t="s">
        <v>7592</v>
      </c>
      <c r="F5433" s="1613">
        <v>31454545</v>
      </c>
      <c r="G5433" s="1613">
        <v>262637587060</v>
      </c>
    </row>
    <row r="5434" spans="1:7" ht="17.25" customHeight="1" x14ac:dyDescent="0.2">
      <c r="A5434" s="1611">
        <v>17</v>
      </c>
      <c r="B5434" s="1611" t="s">
        <v>2037</v>
      </c>
      <c r="C5434" s="1611" t="s">
        <v>6795</v>
      </c>
      <c r="D5434" s="1612" t="s">
        <v>7555</v>
      </c>
      <c r="E5434" s="1706" t="s">
        <v>7592</v>
      </c>
      <c r="F5434" s="1613">
        <v>37000000</v>
      </c>
      <c r="G5434" s="1613">
        <v>262674587060</v>
      </c>
    </row>
    <row r="5435" spans="1:7" ht="17.25" customHeight="1" x14ac:dyDescent="0.2">
      <c r="A5435" s="1611">
        <v>17</v>
      </c>
      <c r="B5435" s="1611" t="s">
        <v>2037</v>
      </c>
      <c r="C5435" s="1611" t="s">
        <v>4932</v>
      </c>
      <c r="D5435" s="1612" t="s">
        <v>7555</v>
      </c>
      <c r="E5435" s="1706" t="s">
        <v>7592</v>
      </c>
      <c r="F5435" s="1613">
        <v>35800000</v>
      </c>
      <c r="G5435" s="1613">
        <v>262710387060</v>
      </c>
    </row>
    <row r="5436" spans="1:7" ht="17.25" customHeight="1" x14ac:dyDescent="0.2">
      <c r="A5436" s="1611">
        <v>17</v>
      </c>
      <c r="B5436" s="1611" t="s">
        <v>2037</v>
      </c>
      <c r="C5436" s="1611" t="s">
        <v>4932</v>
      </c>
      <c r="D5436" s="1612" t="s">
        <v>7555</v>
      </c>
      <c r="E5436" s="1706" t="s">
        <v>7592</v>
      </c>
      <c r="F5436" s="1613">
        <v>35800000</v>
      </c>
      <c r="G5436" s="1613">
        <v>262746187060</v>
      </c>
    </row>
    <row r="5437" spans="1:7" ht="17.25" customHeight="1" x14ac:dyDescent="0.2">
      <c r="A5437" s="1611">
        <v>17</v>
      </c>
      <c r="B5437" s="1611" t="s">
        <v>2037</v>
      </c>
      <c r="C5437" s="1611" t="s">
        <v>6796</v>
      </c>
      <c r="D5437" s="1612" t="s">
        <v>7555</v>
      </c>
      <c r="E5437" s="1706" t="s">
        <v>7592</v>
      </c>
      <c r="F5437" s="1613">
        <v>38000000</v>
      </c>
      <c r="G5437" s="1613">
        <v>262784187060</v>
      </c>
    </row>
    <row r="5438" spans="1:7" ht="17.25" customHeight="1" x14ac:dyDescent="0.2">
      <c r="A5438" s="1611">
        <v>17</v>
      </c>
      <c r="B5438" s="1611" t="s">
        <v>2039</v>
      </c>
      <c r="C5438" s="1611" t="s">
        <v>6797</v>
      </c>
      <c r="D5438" s="1612" t="s">
        <v>7555</v>
      </c>
      <c r="E5438" s="1706" t="s">
        <v>7592</v>
      </c>
      <c r="F5438" s="1613">
        <v>44545455</v>
      </c>
      <c r="G5438" s="1613">
        <v>262828732515</v>
      </c>
    </row>
    <row r="5439" spans="1:7" ht="17.25" customHeight="1" x14ac:dyDescent="0.2">
      <c r="A5439" s="1611">
        <v>17</v>
      </c>
      <c r="B5439" s="1611" t="s">
        <v>2061</v>
      </c>
      <c r="C5439" s="1611" t="s">
        <v>6798</v>
      </c>
      <c r="D5439" s="1612" t="s">
        <v>2023</v>
      </c>
      <c r="E5439" s="1706" t="s">
        <v>7592</v>
      </c>
      <c r="F5439" s="1613">
        <v>147600000</v>
      </c>
      <c r="G5439" s="1613">
        <v>262976332515</v>
      </c>
    </row>
    <row r="5440" spans="1:7" ht="17.25" customHeight="1" x14ac:dyDescent="0.2">
      <c r="A5440" s="1611">
        <v>17</v>
      </c>
      <c r="B5440" s="1611" t="s">
        <v>2028</v>
      </c>
      <c r="C5440" s="1611" t="s">
        <v>6799</v>
      </c>
      <c r="D5440" s="1612" t="s">
        <v>2024</v>
      </c>
      <c r="E5440" s="1706" t="s">
        <v>7592</v>
      </c>
      <c r="F5440" s="1613">
        <v>15000000</v>
      </c>
      <c r="G5440" s="1613">
        <v>262991332515</v>
      </c>
    </row>
    <row r="5441" spans="1:7" ht="17.25" customHeight="1" x14ac:dyDescent="0.2">
      <c r="A5441" s="1611">
        <v>17</v>
      </c>
      <c r="B5441" s="1611" t="s">
        <v>2060</v>
      </c>
      <c r="C5441" s="1611" t="s">
        <v>6800</v>
      </c>
      <c r="D5441" s="1612" t="s">
        <v>2023</v>
      </c>
      <c r="E5441" s="1706" t="s">
        <v>7592</v>
      </c>
      <c r="F5441" s="1613">
        <v>167000000</v>
      </c>
      <c r="G5441" s="1613">
        <v>263158332515</v>
      </c>
    </row>
    <row r="5442" spans="1:7" ht="17.25" customHeight="1" x14ac:dyDescent="0.2">
      <c r="A5442" s="1611">
        <v>17</v>
      </c>
      <c r="B5442" s="1611" t="s">
        <v>2039</v>
      </c>
      <c r="C5442" s="1611" t="s">
        <v>4246</v>
      </c>
      <c r="D5442" s="1612" t="s">
        <v>7555</v>
      </c>
      <c r="E5442" s="1706" t="s">
        <v>7592</v>
      </c>
      <c r="F5442" s="1613">
        <v>19873000</v>
      </c>
      <c r="G5442" s="1613">
        <v>263178205515</v>
      </c>
    </row>
    <row r="5443" spans="1:7" ht="17.25" customHeight="1" x14ac:dyDescent="0.2">
      <c r="A5443" s="1611">
        <v>17</v>
      </c>
      <c r="B5443" s="1611" t="s">
        <v>2032</v>
      </c>
      <c r="C5443" s="1611" t="s">
        <v>3733</v>
      </c>
      <c r="D5443" s="1612" t="s">
        <v>7555</v>
      </c>
      <c r="E5443" s="1706" t="s">
        <v>7592</v>
      </c>
      <c r="F5443" s="1613">
        <v>36363636</v>
      </c>
      <c r="G5443" s="1613">
        <v>263214569151</v>
      </c>
    </row>
    <row r="5444" spans="1:7" ht="17.25" customHeight="1" x14ac:dyDescent="0.2">
      <c r="A5444" s="1611">
        <v>17</v>
      </c>
      <c r="B5444" s="1611" t="s">
        <v>2836</v>
      </c>
      <c r="C5444" s="1611" t="s">
        <v>5823</v>
      </c>
      <c r="D5444" s="1612" t="s">
        <v>7555</v>
      </c>
      <c r="E5444" s="1706" t="s">
        <v>7592</v>
      </c>
      <c r="F5444" s="1613">
        <v>31000000</v>
      </c>
      <c r="G5444" s="1613">
        <v>263245569151</v>
      </c>
    </row>
    <row r="5445" spans="1:7" ht="17.25" customHeight="1" x14ac:dyDescent="0.2">
      <c r="A5445" s="1611">
        <v>17</v>
      </c>
      <c r="B5445" s="1611" t="s">
        <v>2039</v>
      </c>
      <c r="C5445" s="1611" t="s">
        <v>6801</v>
      </c>
      <c r="D5445" s="1612" t="s">
        <v>7555</v>
      </c>
      <c r="E5445" s="1706" t="s">
        <v>7592</v>
      </c>
      <c r="F5445" s="1613">
        <v>41600000</v>
      </c>
      <c r="G5445" s="1613">
        <v>263287169151</v>
      </c>
    </row>
    <row r="5446" spans="1:7" ht="17.25" customHeight="1" x14ac:dyDescent="0.2">
      <c r="A5446" s="1611">
        <v>17</v>
      </c>
      <c r="B5446" s="1611" t="s">
        <v>2039</v>
      </c>
      <c r="C5446" s="1611" t="s">
        <v>6802</v>
      </c>
      <c r="D5446" s="1612" t="s">
        <v>7555</v>
      </c>
      <c r="E5446" s="1706" t="s">
        <v>7592</v>
      </c>
      <c r="F5446" s="1613">
        <v>43636363</v>
      </c>
      <c r="G5446" s="1613">
        <v>263330805514</v>
      </c>
    </row>
    <row r="5447" spans="1:7" ht="17.25" customHeight="1" x14ac:dyDescent="0.2">
      <c r="A5447" s="1611">
        <v>17</v>
      </c>
      <c r="B5447" s="1611" t="s">
        <v>2037</v>
      </c>
      <c r="C5447" s="1611" t="s">
        <v>6803</v>
      </c>
      <c r="D5447" s="1612" t="s">
        <v>7555</v>
      </c>
      <c r="E5447" s="1706" t="s">
        <v>7592</v>
      </c>
      <c r="F5447" s="1613">
        <v>38400000</v>
      </c>
      <c r="G5447" s="1613">
        <v>263369205514</v>
      </c>
    </row>
    <row r="5448" spans="1:7" ht="17.25" customHeight="1" x14ac:dyDescent="0.2">
      <c r="A5448" s="1611">
        <v>17</v>
      </c>
      <c r="B5448" s="1611" t="s">
        <v>2041</v>
      </c>
      <c r="C5448" s="1611" t="s">
        <v>6804</v>
      </c>
      <c r="D5448" s="1612" t="s">
        <v>7555</v>
      </c>
      <c r="E5448" s="1706" t="s">
        <v>7592</v>
      </c>
      <c r="F5448" s="1613">
        <v>52500000</v>
      </c>
      <c r="G5448" s="1613">
        <v>263421705514</v>
      </c>
    </row>
    <row r="5449" spans="1:7" ht="17.25" customHeight="1" x14ac:dyDescent="0.2">
      <c r="A5449" s="1611">
        <v>17</v>
      </c>
      <c r="B5449" s="1611" t="s">
        <v>2037</v>
      </c>
      <c r="C5449" s="1611" t="s">
        <v>6805</v>
      </c>
      <c r="D5449" s="1612" t="s">
        <v>7555</v>
      </c>
      <c r="E5449" s="1706" t="s">
        <v>7592</v>
      </c>
      <c r="F5449" s="1613">
        <v>37000000</v>
      </c>
      <c r="G5449" s="1613">
        <v>263458705514</v>
      </c>
    </row>
    <row r="5450" spans="1:7" ht="17.25" customHeight="1" x14ac:dyDescent="0.2">
      <c r="A5450" s="1611">
        <v>17</v>
      </c>
      <c r="B5450" s="1611" t="s">
        <v>2037</v>
      </c>
      <c r="C5450" s="1611" t="s">
        <v>5307</v>
      </c>
      <c r="D5450" s="1612" t="s">
        <v>7555</v>
      </c>
      <c r="E5450" s="1706" t="s">
        <v>7592</v>
      </c>
      <c r="F5450" s="1613">
        <v>37000000</v>
      </c>
      <c r="G5450" s="1613">
        <v>263495705514</v>
      </c>
    </row>
    <row r="5451" spans="1:7" ht="17.25" customHeight="1" x14ac:dyDescent="0.2">
      <c r="A5451" s="1611">
        <v>17</v>
      </c>
      <c r="B5451" s="1611" t="s">
        <v>2054</v>
      </c>
      <c r="C5451" s="1611" t="s">
        <v>6806</v>
      </c>
      <c r="D5451" s="1612" t="s">
        <v>2024</v>
      </c>
      <c r="E5451" s="1706" t="s">
        <v>7592</v>
      </c>
      <c r="F5451" s="1613">
        <v>14000000</v>
      </c>
      <c r="G5451" s="1613">
        <v>263509705514</v>
      </c>
    </row>
    <row r="5452" spans="1:7" ht="17.25" customHeight="1" x14ac:dyDescent="0.2">
      <c r="A5452" s="1611">
        <v>17</v>
      </c>
      <c r="B5452" s="1611" t="s">
        <v>2032</v>
      </c>
      <c r="C5452" s="1611" t="s">
        <v>6807</v>
      </c>
      <c r="D5452" s="1612" t="s">
        <v>7555</v>
      </c>
      <c r="E5452" s="1706" t="s">
        <v>7592</v>
      </c>
      <c r="F5452" s="1613">
        <v>35909091</v>
      </c>
      <c r="G5452" s="1613">
        <v>263545614605</v>
      </c>
    </row>
    <row r="5453" spans="1:7" ht="17.25" customHeight="1" x14ac:dyDescent="0.2">
      <c r="A5453" s="1611">
        <v>17</v>
      </c>
      <c r="B5453" s="1611" t="s">
        <v>2836</v>
      </c>
      <c r="C5453" s="1611" t="s">
        <v>6808</v>
      </c>
      <c r="D5453" s="1612" t="s">
        <v>7555</v>
      </c>
      <c r="E5453" s="1706" t="s">
        <v>7592</v>
      </c>
      <c r="F5453" s="1613">
        <v>30713000</v>
      </c>
      <c r="G5453" s="1613">
        <v>263576327605</v>
      </c>
    </row>
    <row r="5454" spans="1:7" ht="17.25" customHeight="1" x14ac:dyDescent="0.2">
      <c r="A5454" s="1611">
        <v>17</v>
      </c>
      <c r="B5454" s="1611" t="s">
        <v>2037</v>
      </c>
      <c r="C5454" s="1611" t="s">
        <v>6809</v>
      </c>
      <c r="D5454" s="1612" t="s">
        <v>7555</v>
      </c>
      <c r="E5454" s="1706" t="s">
        <v>7592</v>
      </c>
      <c r="F5454" s="1613">
        <v>38000000</v>
      </c>
      <c r="G5454" s="1613">
        <v>263614327605</v>
      </c>
    </row>
    <row r="5455" spans="1:7" ht="17.25" customHeight="1" x14ac:dyDescent="0.2">
      <c r="A5455" s="1611">
        <v>17</v>
      </c>
      <c r="B5455" s="1611" t="s">
        <v>2041</v>
      </c>
      <c r="C5455" s="1611" t="s">
        <v>6810</v>
      </c>
      <c r="D5455" s="1612" t="s">
        <v>7555</v>
      </c>
      <c r="E5455" s="1706" t="s">
        <v>7592</v>
      </c>
      <c r="F5455" s="1613">
        <v>51818182</v>
      </c>
      <c r="G5455" s="1613">
        <v>263666145787</v>
      </c>
    </row>
    <row r="5456" spans="1:7" ht="17.25" customHeight="1" x14ac:dyDescent="0.2">
      <c r="A5456" s="1611">
        <v>17</v>
      </c>
      <c r="B5456" s="1611" t="s">
        <v>2041</v>
      </c>
      <c r="C5456" s="1611" t="s">
        <v>6811</v>
      </c>
      <c r="D5456" s="1612" t="s">
        <v>7555</v>
      </c>
      <c r="E5456" s="1706" t="s">
        <v>7592</v>
      </c>
      <c r="F5456" s="1613">
        <v>51818182</v>
      </c>
      <c r="G5456" s="1613">
        <v>263717963969</v>
      </c>
    </row>
    <row r="5457" spans="1:7" ht="17.25" customHeight="1" x14ac:dyDescent="0.2">
      <c r="A5457" s="1611">
        <v>17</v>
      </c>
      <c r="B5457" s="1611" t="s">
        <v>2043</v>
      </c>
      <c r="C5457" s="1611" t="s">
        <v>6812</v>
      </c>
      <c r="D5457" s="1612" t="s">
        <v>7555</v>
      </c>
      <c r="E5457" s="1706" t="s">
        <v>7592</v>
      </c>
      <c r="F5457" s="1613">
        <v>53636363</v>
      </c>
      <c r="G5457" s="1613">
        <v>263771600332</v>
      </c>
    </row>
    <row r="5458" spans="1:7" ht="17.25" customHeight="1" x14ac:dyDescent="0.2">
      <c r="A5458" s="1611">
        <v>17</v>
      </c>
      <c r="B5458" s="1611" t="s">
        <v>2882</v>
      </c>
      <c r="C5458" s="1611" t="s">
        <v>5996</v>
      </c>
      <c r="D5458" s="1612">
        <v>0</v>
      </c>
      <c r="E5458" s="1706" t="s">
        <v>7592</v>
      </c>
      <c r="F5458" s="1613">
        <v>8636363</v>
      </c>
      <c r="G5458" s="1613">
        <v>263780236695</v>
      </c>
    </row>
    <row r="5459" spans="1:7" ht="17.25" customHeight="1" x14ac:dyDescent="0.2">
      <c r="A5459" s="1611">
        <v>17</v>
      </c>
      <c r="B5459" s="1611" t="s">
        <v>7311</v>
      </c>
      <c r="C5459" s="1611" t="s">
        <v>6291</v>
      </c>
      <c r="D5459" s="1612">
        <v>0</v>
      </c>
      <c r="E5459" s="1706" t="s">
        <v>7558</v>
      </c>
      <c r="F5459" s="1613">
        <v>16097844</v>
      </c>
      <c r="G5459" s="1614"/>
    </row>
    <row r="5460" spans="1:7" ht="17.25" customHeight="1" x14ac:dyDescent="0.2">
      <c r="A5460" s="1611">
        <v>17</v>
      </c>
      <c r="B5460" s="1611" t="s">
        <v>7368</v>
      </c>
      <c r="C5460" s="1611" t="s">
        <v>6291</v>
      </c>
      <c r="D5460" s="1612">
        <v>0</v>
      </c>
      <c r="E5460" s="1706" t="s">
        <v>7558</v>
      </c>
      <c r="F5460" s="1613">
        <v>89906684</v>
      </c>
      <c r="G5460" s="1613">
        <v>263886241223</v>
      </c>
    </row>
    <row r="5461" spans="1:7" ht="17.25" customHeight="1" x14ac:dyDescent="0.2">
      <c r="A5461" s="1611">
        <v>17</v>
      </c>
      <c r="B5461" s="1611" t="s">
        <v>2063</v>
      </c>
      <c r="C5461" s="1611" t="s">
        <v>6813</v>
      </c>
      <c r="D5461" s="1612" t="s">
        <v>2023</v>
      </c>
      <c r="E5461" s="1706" t="s">
        <v>7592</v>
      </c>
      <c r="F5461" s="1613">
        <v>161600000</v>
      </c>
      <c r="G5461" s="1613">
        <v>264047841223</v>
      </c>
    </row>
    <row r="5462" spans="1:7" ht="17.25" customHeight="1" x14ac:dyDescent="0.2">
      <c r="A5462" s="1611">
        <v>17</v>
      </c>
      <c r="B5462" s="1611" t="s">
        <v>2039</v>
      </c>
      <c r="C5462" s="1611" t="s">
        <v>6814</v>
      </c>
      <c r="D5462" s="1612" t="s">
        <v>7555</v>
      </c>
      <c r="E5462" s="1706" t="s">
        <v>7592</v>
      </c>
      <c r="F5462" s="1613">
        <v>41140909</v>
      </c>
      <c r="G5462" s="1613">
        <v>264088982132</v>
      </c>
    </row>
    <row r="5463" spans="1:7" ht="17.25" customHeight="1" x14ac:dyDescent="0.2">
      <c r="A5463" s="1611">
        <v>17</v>
      </c>
      <c r="B5463" s="1611" t="s">
        <v>2039</v>
      </c>
      <c r="C5463" s="1611" t="s">
        <v>6815</v>
      </c>
      <c r="D5463" s="1612" t="s">
        <v>7555</v>
      </c>
      <c r="E5463" s="1706" t="s">
        <v>7592</v>
      </c>
      <c r="F5463" s="1613">
        <v>39500000</v>
      </c>
      <c r="G5463" s="1613">
        <v>264128482132</v>
      </c>
    </row>
    <row r="5464" spans="1:7" ht="17.25" customHeight="1" x14ac:dyDescent="0.2">
      <c r="A5464" s="1611">
        <v>17</v>
      </c>
      <c r="B5464" s="1611" t="s">
        <v>2037</v>
      </c>
      <c r="C5464" s="1611" t="s">
        <v>6816</v>
      </c>
      <c r="D5464" s="1612" t="s">
        <v>7555</v>
      </c>
      <c r="E5464" s="1706" t="s">
        <v>7592</v>
      </c>
      <c r="F5464" s="1613">
        <v>39090909</v>
      </c>
      <c r="G5464" s="1613">
        <v>264167573041</v>
      </c>
    </row>
    <row r="5465" spans="1:7" ht="17.25" customHeight="1" x14ac:dyDescent="0.2">
      <c r="A5465" s="1611">
        <v>17</v>
      </c>
      <c r="B5465" s="1611" t="s">
        <v>2037</v>
      </c>
      <c r="C5465" s="1611" t="s">
        <v>6817</v>
      </c>
      <c r="D5465" s="1612" t="s">
        <v>7555</v>
      </c>
      <c r="E5465" s="1706" t="s">
        <v>7592</v>
      </c>
      <c r="F5465" s="1613">
        <v>38000000</v>
      </c>
      <c r="G5465" s="1613">
        <v>264205573041</v>
      </c>
    </row>
    <row r="5466" spans="1:7" ht="17.25" customHeight="1" x14ac:dyDescent="0.2">
      <c r="A5466" s="1611">
        <v>17</v>
      </c>
      <c r="B5466" s="1611" t="s">
        <v>2032</v>
      </c>
      <c r="C5466" s="1611" t="s">
        <v>6818</v>
      </c>
      <c r="D5466" s="1612" t="s">
        <v>7555</v>
      </c>
      <c r="E5466" s="1706" t="s">
        <v>7592</v>
      </c>
      <c r="F5466" s="1613">
        <v>35300000</v>
      </c>
      <c r="G5466" s="1613">
        <v>264240873041</v>
      </c>
    </row>
    <row r="5467" spans="1:7" ht="17.25" customHeight="1" x14ac:dyDescent="0.2">
      <c r="A5467" s="1611">
        <v>17</v>
      </c>
      <c r="B5467" s="1611" t="s">
        <v>2032</v>
      </c>
      <c r="C5467" s="1611" t="s">
        <v>6472</v>
      </c>
      <c r="D5467" s="1612" t="s">
        <v>7555</v>
      </c>
      <c r="E5467" s="1706" t="s">
        <v>7592</v>
      </c>
      <c r="F5467" s="1613">
        <v>18373000</v>
      </c>
      <c r="G5467" s="1613">
        <v>264259246041</v>
      </c>
    </row>
    <row r="5468" spans="1:7" ht="17.25" customHeight="1" x14ac:dyDescent="0.2">
      <c r="A5468" s="1611">
        <v>17</v>
      </c>
      <c r="B5468" s="1611" t="s">
        <v>7358</v>
      </c>
      <c r="C5468" s="1611" t="s">
        <v>4730</v>
      </c>
      <c r="D5468" s="1612">
        <v>0</v>
      </c>
      <c r="E5468" s="1706" t="s">
        <v>7592</v>
      </c>
      <c r="F5468" s="1613">
        <v>18373000</v>
      </c>
      <c r="G5468" s="1613">
        <v>264277619041</v>
      </c>
    </row>
    <row r="5469" spans="1:7" ht="17.25" customHeight="1" x14ac:dyDescent="0.2">
      <c r="A5469" s="1611">
        <v>17</v>
      </c>
      <c r="B5469" s="1611" t="s">
        <v>2037</v>
      </c>
      <c r="C5469" s="1611" t="s">
        <v>6819</v>
      </c>
      <c r="D5469" s="1612" t="s">
        <v>7555</v>
      </c>
      <c r="E5469" s="1706" t="s">
        <v>7592</v>
      </c>
      <c r="F5469" s="1613">
        <v>36500000</v>
      </c>
      <c r="G5469" s="1613">
        <v>264314119041</v>
      </c>
    </row>
    <row r="5470" spans="1:7" ht="17.25" customHeight="1" x14ac:dyDescent="0.2">
      <c r="A5470" s="1611">
        <v>17</v>
      </c>
      <c r="B5470" s="1611" t="s">
        <v>2040</v>
      </c>
      <c r="C5470" s="1611" t="s">
        <v>6820</v>
      </c>
      <c r="D5470" s="1612" t="s">
        <v>7555</v>
      </c>
      <c r="E5470" s="1706" t="s">
        <v>7592</v>
      </c>
      <c r="F5470" s="1613">
        <v>41500000</v>
      </c>
      <c r="G5470" s="1613">
        <v>264355619041</v>
      </c>
    </row>
    <row r="5471" spans="1:7" ht="17.25" customHeight="1" x14ac:dyDescent="0.2">
      <c r="A5471" s="1611">
        <v>17</v>
      </c>
      <c r="B5471" s="1611" t="s">
        <v>2037</v>
      </c>
      <c r="C5471" s="1611" t="s">
        <v>5823</v>
      </c>
      <c r="D5471" s="1612" t="s">
        <v>7555</v>
      </c>
      <c r="E5471" s="1706" t="s">
        <v>7592</v>
      </c>
      <c r="F5471" s="1613">
        <v>38000000</v>
      </c>
      <c r="G5471" s="1613">
        <v>264393619041</v>
      </c>
    </row>
    <row r="5472" spans="1:7" ht="17.25" customHeight="1" x14ac:dyDescent="0.2">
      <c r="A5472" s="1611">
        <v>17</v>
      </c>
      <c r="B5472" s="1611" t="s">
        <v>2055</v>
      </c>
      <c r="C5472" s="1611" t="s">
        <v>6821</v>
      </c>
      <c r="D5472" s="1612" t="s">
        <v>7555</v>
      </c>
      <c r="E5472" s="1706" t="s">
        <v>7592</v>
      </c>
      <c r="F5472" s="1613">
        <v>61818182</v>
      </c>
      <c r="G5472" s="1613">
        <v>264455437223</v>
      </c>
    </row>
    <row r="5473" spans="1:7" ht="17.25" customHeight="1" x14ac:dyDescent="0.2">
      <c r="A5473" s="1611">
        <v>17</v>
      </c>
      <c r="B5473" s="1611" t="s">
        <v>2048</v>
      </c>
      <c r="C5473" s="1611" t="s">
        <v>6822</v>
      </c>
      <c r="D5473" s="1612" t="s">
        <v>7555</v>
      </c>
      <c r="E5473" s="1706" t="s">
        <v>7592</v>
      </c>
      <c r="F5473" s="1613">
        <v>45300000</v>
      </c>
      <c r="G5473" s="1613">
        <v>264500737223</v>
      </c>
    </row>
    <row r="5474" spans="1:7" ht="17.25" customHeight="1" x14ac:dyDescent="0.2">
      <c r="A5474" s="1611">
        <v>17</v>
      </c>
      <c r="B5474" s="1611" t="s">
        <v>2041</v>
      </c>
      <c r="C5474" s="1611" t="s">
        <v>6823</v>
      </c>
      <c r="D5474" s="1612" t="s">
        <v>7555</v>
      </c>
      <c r="E5474" s="1706" t="s">
        <v>7592</v>
      </c>
      <c r="F5474" s="1613">
        <v>51818182</v>
      </c>
      <c r="G5474" s="1613">
        <v>264552555405</v>
      </c>
    </row>
    <row r="5475" spans="1:7" ht="17.25" customHeight="1" x14ac:dyDescent="0.2">
      <c r="A5475" s="1611">
        <v>17</v>
      </c>
      <c r="B5475" s="1611" t="s">
        <v>2039</v>
      </c>
      <c r="C5475" s="1611" t="s">
        <v>4373</v>
      </c>
      <c r="D5475" s="1612" t="s">
        <v>7555</v>
      </c>
      <c r="E5475" s="1706" t="s">
        <v>7592</v>
      </c>
      <c r="F5475" s="1613">
        <v>43500000</v>
      </c>
      <c r="G5475" s="1613">
        <v>264596055405</v>
      </c>
    </row>
    <row r="5476" spans="1:7" ht="17.25" customHeight="1" x14ac:dyDescent="0.2">
      <c r="A5476" s="1611">
        <v>17</v>
      </c>
      <c r="B5476" s="1611" t="s">
        <v>2037</v>
      </c>
      <c r="C5476" s="1611" t="s">
        <v>6489</v>
      </c>
      <c r="D5476" s="1612" t="s">
        <v>7555</v>
      </c>
      <c r="E5476" s="1706" t="s">
        <v>7592</v>
      </c>
      <c r="F5476" s="1613">
        <v>38181818</v>
      </c>
      <c r="G5476" s="1613">
        <v>264634237223</v>
      </c>
    </row>
    <row r="5477" spans="1:7" ht="17.25" customHeight="1" x14ac:dyDescent="0.2">
      <c r="A5477" s="1611">
        <v>17</v>
      </c>
      <c r="B5477" s="1611" t="s">
        <v>2836</v>
      </c>
      <c r="C5477" s="1611" t="s">
        <v>6824</v>
      </c>
      <c r="D5477" s="1612" t="s">
        <v>7555</v>
      </c>
      <c r="E5477" s="1706" t="s">
        <v>7592</v>
      </c>
      <c r="F5477" s="1613">
        <v>31500000</v>
      </c>
      <c r="G5477" s="1613">
        <v>264665737223</v>
      </c>
    </row>
    <row r="5478" spans="1:7" ht="17.25" customHeight="1" x14ac:dyDescent="0.2">
      <c r="A5478" s="1611">
        <v>17</v>
      </c>
      <c r="B5478" s="1611" t="s">
        <v>2039</v>
      </c>
      <c r="C5478" s="1611" t="s">
        <v>6825</v>
      </c>
      <c r="D5478" s="1612" t="s">
        <v>7555</v>
      </c>
      <c r="E5478" s="1706" t="s">
        <v>7592</v>
      </c>
      <c r="F5478" s="1613">
        <v>40500000</v>
      </c>
      <c r="G5478" s="1613">
        <v>264706237223</v>
      </c>
    </row>
    <row r="5479" spans="1:7" ht="17.25" customHeight="1" x14ac:dyDescent="0.2">
      <c r="A5479" s="1611">
        <v>17</v>
      </c>
      <c r="B5479" s="1611" t="s">
        <v>2054</v>
      </c>
      <c r="C5479" s="1611" t="s">
        <v>6826</v>
      </c>
      <c r="D5479" s="1612" t="s">
        <v>2024</v>
      </c>
      <c r="E5479" s="1706" t="s">
        <v>7592</v>
      </c>
      <c r="F5479" s="1613">
        <v>13818182</v>
      </c>
      <c r="G5479" s="1613">
        <v>264720055405</v>
      </c>
    </row>
    <row r="5480" spans="1:7" ht="17.25" customHeight="1" x14ac:dyDescent="0.2">
      <c r="A5480" s="1611">
        <v>17</v>
      </c>
      <c r="B5480" s="1611" t="s">
        <v>2054</v>
      </c>
      <c r="C5480" s="1611" t="s">
        <v>6194</v>
      </c>
      <c r="D5480" s="1612" t="s">
        <v>2024</v>
      </c>
      <c r="E5480" s="1706" t="s">
        <v>7592</v>
      </c>
      <c r="F5480" s="1613">
        <v>14272727</v>
      </c>
      <c r="G5480" s="1613">
        <v>264734328132</v>
      </c>
    </row>
    <row r="5481" spans="1:7" ht="17.25" customHeight="1" x14ac:dyDescent="0.2">
      <c r="A5481" s="1611">
        <v>17</v>
      </c>
      <c r="B5481" s="1611" t="s">
        <v>2037</v>
      </c>
      <c r="C5481" s="1611" t="s">
        <v>3913</v>
      </c>
      <c r="D5481" s="1612" t="s">
        <v>7555</v>
      </c>
      <c r="E5481" s="1706" t="s">
        <v>7592</v>
      </c>
      <c r="F5481" s="1613">
        <v>38500000</v>
      </c>
      <c r="G5481" s="1613">
        <v>264772828132</v>
      </c>
    </row>
    <row r="5482" spans="1:7" ht="17.25" customHeight="1" x14ac:dyDescent="0.2">
      <c r="A5482" s="1611">
        <v>17</v>
      </c>
      <c r="B5482" s="1611" t="s">
        <v>2041</v>
      </c>
      <c r="C5482" s="1611" t="s">
        <v>6469</v>
      </c>
      <c r="D5482" s="1612" t="s">
        <v>7555</v>
      </c>
      <c r="E5482" s="1706" t="s">
        <v>7592</v>
      </c>
      <c r="F5482" s="1613">
        <v>52000000</v>
      </c>
      <c r="G5482" s="1613">
        <v>264824828132</v>
      </c>
    </row>
    <row r="5483" spans="1:7" ht="17.25" customHeight="1" x14ac:dyDescent="0.2">
      <c r="A5483" s="1611">
        <v>17</v>
      </c>
      <c r="B5483" s="1611" t="s">
        <v>2041</v>
      </c>
      <c r="C5483" s="1611" t="s">
        <v>6827</v>
      </c>
      <c r="D5483" s="1612" t="s">
        <v>7555</v>
      </c>
      <c r="E5483" s="1706" t="s">
        <v>7592</v>
      </c>
      <c r="F5483" s="1613">
        <v>53000000</v>
      </c>
      <c r="G5483" s="1613">
        <v>264877828132</v>
      </c>
    </row>
    <row r="5484" spans="1:7" ht="17.25" customHeight="1" x14ac:dyDescent="0.2">
      <c r="A5484" s="1611">
        <v>17</v>
      </c>
      <c r="B5484" s="1611" t="s">
        <v>2041</v>
      </c>
      <c r="C5484" s="1611" t="s">
        <v>6828</v>
      </c>
      <c r="D5484" s="1612" t="s">
        <v>7555</v>
      </c>
      <c r="E5484" s="1706" t="s">
        <v>7592</v>
      </c>
      <c r="F5484" s="1613">
        <v>52000000</v>
      </c>
      <c r="G5484" s="1613">
        <v>264929828132</v>
      </c>
    </row>
    <row r="5485" spans="1:7" ht="17.25" customHeight="1" x14ac:dyDescent="0.2">
      <c r="A5485" s="1611">
        <v>17</v>
      </c>
      <c r="B5485" s="1611" t="s">
        <v>2028</v>
      </c>
      <c r="C5485" s="1611" t="s">
        <v>6829</v>
      </c>
      <c r="D5485" s="1612" t="s">
        <v>2024</v>
      </c>
      <c r="E5485" s="1706" t="s">
        <v>7592</v>
      </c>
      <c r="F5485" s="1613">
        <v>14727273</v>
      </c>
      <c r="G5485" s="1613">
        <v>264944555405</v>
      </c>
    </row>
    <row r="5486" spans="1:7" ht="17.25" customHeight="1" x14ac:dyDescent="0.2">
      <c r="A5486" s="1611">
        <v>17</v>
      </c>
      <c r="B5486" s="1611" t="s">
        <v>2034</v>
      </c>
      <c r="C5486" s="1611" t="s">
        <v>6830</v>
      </c>
      <c r="D5486" s="1612" t="s">
        <v>7555</v>
      </c>
      <c r="E5486" s="1706" t="s">
        <v>7592</v>
      </c>
      <c r="F5486" s="1613">
        <v>42290909</v>
      </c>
      <c r="G5486" s="1613">
        <v>264986846314</v>
      </c>
    </row>
    <row r="5487" spans="1:7" ht="17.25" customHeight="1" x14ac:dyDescent="0.2">
      <c r="A5487" s="1611">
        <v>17</v>
      </c>
      <c r="B5487" s="1611" t="s">
        <v>2037</v>
      </c>
      <c r="C5487" s="1611" t="s">
        <v>6790</v>
      </c>
      <c r="D5487" s="1612" t="s">
        <v>7555</v>
      </c>
      <c r="E5487" s="1706" t="s">
        <v>7592</v>
      </c>
      <c r="F5487" s="1613">
        <v>37000000</v>
      </c>
      <c r="G5487" s="1613">
        <v>265023846314</v>
      </c>
    </row>
    <row r="5488" spans="1:7" ht="17.25" customHeight="1" x14ac:dyDescent="0.2">
      <c r="A5488" s="1611">
        <v>17</v>
      </c>
      <c r="B5488" s="1611" t="s">
        <v>2039</v>
      </c>
      <c r="C5488" s="1611" t="s">
        <v>6831</v>
      </c>
      <c r="D5488" s="1612" t="s">
        <v>7555</v>
      </c>
      <c r="E5488" s="1706" t="s">
        <v>7592</v>
      </c>
      <c r="F5488" s="1613">
        <v>37200000</v>
      </c>
      <c r="G5488" s="1613">
        <v>265061046314</v>
      </c>
    </row>
    <row r="5489" spans="1:7" ht="17.25" customHeight="1" x14ac:dyDescent="0.2">
      <c r="A5489" s="1611">
        <v>17</v>
      </c>
      <c r="B5489" s="1611" t="s">
        <v>2032</v>
      </c>
      <c r="C5489" s="1611" t="s">
        <v>6832</v>
      </c>
      <c r="D5489" s="1612" t="s">
        <v>7555</v>
      </c>
      <c r="E5489" s="1706" t="s">
        <v>7592</v>
      </c>
      <c r="F5489" s="1613">
        <v>18500000</v>
      </c>
      <c r="G5489" s="1613">
        <v>265079546314</v>
      </c>
    </row>
    <row r="5490" spans="1:7" ht="17.25" customHeight="1" x14ac:dyDescent="0.2">
      <c r="A5490" s="1611">
        <v>17</v>
      </c>
      <c r="B5490" s="1611" t="s">
        <v>2061</v>
      </c>
      <c r="C5490" s="1611" t="s">
        <v>6833</v>
      </c>
      <c r="D5490" s="1612" t="s">
        <v>2023</v>
      </c>
      <c r="E5490" s="1706" t="s">
        <v>7592</v>
      </c>
      <c r="F5490" s="1613">
        <v>144000000</v>
      </c>
      <c r="G5490" s="1613">
        <v>265223546314</v>
      </c>
    </row>
    <row r="5491" spans="1:7" ht="17.25" customHeight="1" x14ac:dyDescent="0.2">
      <c r="A5491" s="1611">
        <v>17</v>
      </c>
      <c r="B5491" s="1611" t="s">
        <v>2037</v>
      </c>
      <c r="C5491" s="1611" t="s">
        <v>5250</v>
      </c>
      <c r="D5491" s="1612" t="s">
        <v>7555</v>
      </c>
      <c r="E5491" s="1706" t="s">
        <v>7592</v>
      </c>
      <c r="F5491" s="1613">
        <v>37000000</v>
      </c>
      <c r="G5491" s="1613">
        <v>265260546314</v>
      </c>
    </row>
    <row r="5492" spans="1:7" ht="17.25" customHeight="1" x14ac:dyDescent="0.2">
      <c r="A5492" s="1611">
        <v>17</v>
      </c>
      <c r="B5492" s="1611" t="s">
        <v>2037</v>
      </c>
      <c r="C5492" s="1611" t="s">
        <v>6834</v>
      </c>
      <c r="D5492" s="1612" t="s">
        <v>7555</v>
      </c>
      <c r="E5492" s="1706" t="s">
        <v>7592</v>
      </c>
      <c r="F5492" s="1613">
        <v>37000000</v>
      </c>
      <c r="G5492" s="1613">
        <v>265297546314</v>
      </c>
    </row>
    <row r="5493" spans="1:7" ht="17.25" customHeight="1" x14ac:dyDescent="0.2">
      <c r="A5493" s="1611">
        <v>17</v>
      </c>
      <c r="B5493" s="1611" t="s">
        <v>2037</v>
      </c>
      <c r="C5493" s="1611" t="s">
        <v>6835</v>
      </c>
      <c r="D5493" s="1612" t="s">
        <v>7555</v>
      </c>
      <c r="E5493" s="1706" t="s">
        <v>7592</v>
      </c>
      <c r="F5493" s="1613">
        <v>38500000</v>
      </c>
      <c r="G5493" s="1613">
        <v>265336046314</v>
      </c>
    </row>
    <row r="5494" spans="1:7" ht="17.25" customHeight="1" x14ac:dyDescent="0.2">
      <c r="A5494" s="1611">
        <v>17</v>
      </c>
      <c r="B5494" s="1611" t="s">
        <v>2037</v>
      </c>
      <c r="C5494" s="1611" t="s">
        <v>6302</v>
      </c>
      <c r="D5494" s="1612" t="s">
        <v>7555</v>
      </c>
      <c r="E5494" s="1706" t="s">
        <v>7592</v>
      </c>
      <c r="F5494" s="1613">
        <v>37500000</v>
      </c>
      <c r="G5494" s="1613">
        <v>265373546314</v>
      </c>
    </row>
    <row r="5495" spans="1:7" ht="17.25" customHeight="1" x14ac:dyDescent="0.2">
      <c r="A5495" s="1611">
        <v>17</v>
      </c>
      <c r="B5495" s="1611" t="s">
        <v>2039</v>
      </c>
      <c r="C5495" s="1611" t="s">
        <v>6836</v>
      </c>
      <c r="D5495" s="1612" t="s">
        <v>7555</v>
      </c>
      <c r="E5495" s="1706" t="s">
        <v>7592</v>
      </c>
      <c r="F5495" s="1613">
        <v>39500000</v>
      </c>
      <c r="G5495" s="1613">
        <v>265413046314</v>
      </c>
    </row>
    <row r="5496" spans="1:7" ht="17.25" customHeight="1" x14ac:dyDescent="0.2">
      <c r="A5496" s="1611">
        <v>17</v>
      </c>
      <c r="B5496" s="1611" t="s">
        <v>2039</v>
      </c>
      <c r="C5496" s="1611" t="s">
        <v>4017</v>
      </c>
      <c r="D5496" s="1612" t="s">
        <v>7555</v>
      </c>
      <c r="E5496" s="1706" t="s">
        <v>7592</v>
      </c>
      <c r="F5496" s="1613">
        <v>42272727</v>
      </c>
      <c r="G5496" s="1613">
        <v>265455319041</v>
      </c>
    </row>
    <row r="5497" spans="1:7" ht="17.25" customHeight="1" x14ac:dyDescent="0.2">
      <c r="A5497" s="1611">
        <v>17</v>
      </c>
      <c r="B5497" s="1611" t="s">
        <v>2836</v>
      </c>
      <c r="C5497" s="1611" t="s">
        <v>6837</v>
      </c>
      <c r="D5497" s="1612" t="s">
        <v>7555</v>
      </c>
      <c r="E5497" s="1706" t="s">
        <v>7592</v>
      </c>
      <c r="F5497" s="1613">
        <v>31000000</v>
      </c>
      <c r="G5497" s="1613">
        <v>265486319041</v>
      </c>
    </row>
    <row r="5498" spans="1:7" ht="17.25" customHeight="1" x14ac:dyDescent="0.2">
      <c r="A5498" s="1611">
        <v>17</v>
      </c>
      <c r="B5498" s="1611" t="s">
        <v>2039</v>
      </c>
      <c r="C5498" s="1611" t="s">
        <v>4017</v>
      </c>
      <c r="D5498" s="1612" t="s">
        <v>7555</v>
      </c>
      <c r="E5498" s="1706" t="s">
        <v>7592</v>
      </c>
      <c r="F5498" s="1613">
        <v>-42272727</v>
      </c>
      <c r="G5498" s="1613">
        <v>265444046314</v>
      </c>
    </row>
    <row r="5499" spans="1:7" ht="17.25" customHeight="1" x14ac:dyDescent="0.2">
      <c r="A5499" s="1611">
        <v>17</v>
      </c>
      <c r="B5499" s="1611" t="s">
        <v>2039</v>
      </c>
      <c r="C5499" s="1611" t="s">
        <v>4017</v>
      </c>
      <c r="D5499" s="1612" t="s">
        <v>7555</v>
      </c>
      <c r="E5499" s="1706" t="s">
        <v>7592</v>
      </c>
      <c r="F5499" s="1613">
        <v>42272727</v>
      </c>
      <c r="G5499" s="1613">
        <v>265486319041</v>
      </c>
    </row>
    <row r="5500" spans="1:7" ht="17.25" customHeight="1" x14ac:dyDescent="0.2">
      <c r="A5500" s="1611">
        <v>17</v>
      </c>
      <c r="B5500" s="1611" t="s">
        <v>2049</v>
      </c>
      <c r="C5500" s="1611" t="s">
        <v>6838</v>
      </c>
      <c r="D5500" s="1612" t="s">
        <v>2023</v>
      </c>
      <c r="E5500" s="1706" t="s">
        <v>7592</v>
      </c>
      <c r="F5500" s="1613">
        <v>99440910</v>
      </c>
      <c r="G5500" s="1613">
        <v>265585759951</v>
      </c>
    </row>
    <row r="5501" spans="1:7" ht="17.25" customHeight="1" x14ac:dyDescent="0.2">
      <c r="A5501" s="1611">
        <v>17</v>
      </c>
      <c r="B5501" s="1611" t="s">
        <v>2836</v>
      </c>
      <c r="C5501" s="1611" t="s">
        <v>6839</v>
      </c>
      <c r="D5501" s="1612" t="s">
        <v>7555</v>
      </c>
      <c r="E5501" s="1706" t="s">
        <v>7592</v>
      </c>
      <c r="F5501" s="1613">
        <v>31000000</v>
      </c>
      <c r="G5501" s="1613">
        <v>265616759951</v>
      </c>
    </row>
    <row r="5502" spans="1:7" ht="17.25" customHeight="1" x14ac:dyDescent="0.2">
      <c r="A5502" s="1611">
        <v>17</v>
      </c>
      <c r="B5502" s="1611" t="s">
        <v>2836</v>
      </c>
      <c r="C5502" s="1611" t="s">
        <v>6840</v>
      </c>
      <c r="D5502" s="1612" t="s">
        <v>7555</v>
      </c>
      <c r="E5502" s="1706" t="s">
        <v>7592</v>
      </c>
      <c r="F5502" s="1613">
        <v>32000000</v>
      </c>
      <c r="G5502" s="1613">
        <v>265648759951</v>
      </c>
    </row>
    <row r="5503" spans="1:7" ht="17.25" customHeight="1" x14ac:dyDescent="0.2">
      <c r="A5503" s="1611">
        <v>17</v>
      </c>
      <c r="B5503" s="1611" t="s">
        <v>2836</v>
      </c>
      <c r="C5503" s="1611" t="s">
        <v>6841</v>
      </c>
      <c r="D5503" s="1612" t="s">
        <v>7555</v>
      </c>
      <c r="E5503" s="1706" t="s">
        <v>7592</v>
      </c>
      <c r="F5503" s="1613">
        <v>31000000</v>
      </c>
      <c r="G5503" s="1613">
        <v>265679759951</v>
      </c>
    </row>
    <row r="5504" spans="1:7" ht="17.25" customHeight="1" x14ac:dyDescent="0.2">
      <c r="A5504" s="1611">
        <v>17</v>
      </c>
      <c r="B5504" s="1611" t="s">
        <v>2039</v>
      </c>
      <c r="C5504" s="1611" t="s">
        <v>6842</v>
      </c>
      <c r="D5504" s="1612" t="s">
        <v>7555</v>
      </c>
      <c r="E5504" s="1706" t="s">
        <v>7592</v>
      </c>
      <c r="F5504" s="1613">
        <v>43400000</v>
      </c>
      <c r="G5504" s="1613">
        <v>265723159951</v>
      </c>
    </row>
    <row r="5505" spans="1:7" ht="17.25" customHeight="1" x14ac:dyDescent="0.2">
      <c r="A5505" s="1611">
        <v>17</v>
      </c>
      <c r="B5505" s="1611" t="s">
        <v>2039</v>
      </c>
      <c r="C5505" s="1611" t="s">
        <v>6843</v>
      </c>
      <c r="D5505" s="1612" t="s">
        <v>7555</v>
      </c>
      <c r="E5505" s="1706" t="s">
        <v>7592</v>
      </c>
      <c r="F5505" s="1613">
        <v>41300000</v>
      </c>
      <c r="G5505" s="1613">
        <v>265764459951</v>
      </c>
    </row>
    <row r="5506" spans="1:7" ht="17.25" customHeight="1" x14ac:dyDescent="0.2">
      <c r="A5506" s="1611">
        <v>17</v>
      </c>
      <c r="B5506" s="1611" t="s">
        <v>2039</v>
      </c>
      <c r="C5506" s="1611" t="s">
        <v>6844</v>
      </c>
      <c r="D5506" s="1612" t="s">
        <v>7555</v>
      </c>
      <c r="E5506" s="1706" t="s">
        <v>7592</v>
      </c>
      <c r="F5506" s="1613">
        <v>39090909</v>
      </c>
      <c r="G5506" s="1613">
        <v>265803550860</v>
      </c>
    </row>
    <row r="5507" spans="1:7" ht="17.25" customHeight="1" x14ac:dyDescent="0.2">
      <c r="A5507" s="1611">
        <v>17</v>
      </c>
      <c r="B5507" s="1611" t="s">
        <v>2836</v>
      </c>
      <c r="C5507" s="1611" t="s">
        <v>3674</v>
      </c>
      <c r="D5507" s="1612" t="s">
        <v>7555</v>
      </c>
      <c r="E5507" s="1706" t="s">
        <v>7592</v>
      </c>
      <c r="F5507" s="1613">
        <v>31363636</v>
      </c>
      <c r="G5507" s="1613">
        <v>265834914496</v>
      </c>
    </row>
    <row r="5508" spans="1:7" ht="17.25" customHeight="1" x14ac:dyDescent="0.2">
      <c r="A5508" s="1611">
        <v>17</v>
      </c>
      <c r="B5508" s="1611" t="s">
        <v>2032</v>
      </c>
      <c r="C5508" s="1611" t="s">
        <v>6845</v>
      </c>
      <c r="D5508" s="1612" t="s">
        <v>7555</v>
      </c>
      <c r="E5508" s="1706" t="s">
        <v>7592</v>
      </c>
      <c r="F5508" s="1613">
        <v>36090909</v>
      </c>
      <c r="G5508" s="1613">
        <v>265871005405</v>
      </c>
    </row>
    <row r="5509" spans="1:7" ht="17.25" customHeight="1" x14ac:dyDescent="0.2">
      <c r="A5509" s="1611">
        <v>17</v>
      </c>
      <c r="B5509" s="1611" t="s">
        <v>2037</v>
      </c>
      <c r="C5509" s="1611" t="s">
        <v>6846</v>
      </c>
      <c r="D5509" s="1612" t="s">
        <v>7555</v>
      </c>
      <c r="E5509" s="1706" t="s">
        <v>7592</v>
      </c>
      <c r="F5509" s="1613">
        <v>37000000</v>
      </c>
      <c r="G5509" s="1613">
        <v>265908005405</v>
      </c>
    </row>
    <row r="5510" spans="1:7" ht="17.25" customHeight="1" x14ac:dyDescent="0.2">
      <c r="A5510" s="1611">
        <v>17</v>
      </c>
      <c r="B5510" s="1611" t="s">
        <v>2039</v>
      </c>
      <c r="C5510" s="1611" t="s">
        <v>3752</v>
      </c>
      <c r="D5510" s="1612" t="s">
        <v>7555</v>
      </c>
      <c r="E5510" s="1706" t="s">
        <v>7592</v>
      </c>
      <c r="F5510" s="1613">
        <v>41818182</v>
      </c>
      <c r="G5510" s="1613">
        <v>265949823587</v>
      </c>
    </row>
    <row r="5511" spans="1:7" ht="17.25" customHeight="1" x14ac:dyDescent="0.2">
      <c r="A5511" s="1611">
        <v>17</v>
      </c>
      <c r="B5511" s="1611" t="s">
        <v>2041</v>
      </c>
      <c r="C5511" s="1611" t="s">
        <v>6847</v>
      </c>
      <c r="D5511" s="1612" t="s">
        <v>7555</v>
      </c>
      <c r="E5511" s="1706" t="s">
        <v>7592</v>
      </c>
      <c r="F5511" s="1613">
        <v>51818181</v>
      </c>
      <c r="G5511" s="1613">
        <v>266001641768</v>
      </c>
    </row>
    <row r="5512" spans="1:7" ht="17.25" customHeight="1" x14ac:dyDescent="0.2">
      <c r="A5512" s="1611">
        <v>17</v>
      </c>
      <c r="B5512" s="1611" t="s">
        <v>2041</v>
      </c>
      <c r="C5512" s="1611" t="s">
        <v>6848</v>
      </c>
      <c r="D5512" s="1612" t="s">
        <v>7555</v>
      </c>
      <c r="E5512" s="1706" t="s">
        <v>7592</v>
      </c>
      <c r="F5512" s="1613">
        <v>51818181</v>
      </c>
      <c r="G5512" s="1613">
        <v>266053459949</v>
      </c>
    </row>
    <row r="5513" spans="1:7" ht="17.25" customHeight="1" x14ac:dyDescent="0.2">
      <c r="A5513" s="1611">
        <v>17</v>
      </c>
      <c r="B5513" s="1611" t="s">
        <v>2820</v>
      </c>
      <c r="C5513" s="1611" t="s">
        <v>6658</v>
      </c>
      <c r="D5513" s="1612" t="s">
        <v>2024</v>
      </c>
      <c r="E5513" s="1706" t="s">
        <v>7592</v>
      </c>
      <c r="F5513" s="1613">
        <v>22120910</v>
      </c>
      <c r="G5513" s="1613">
        <v>266075580859</v>
      </c>
    </row>
    <row r="5514" spans="1:7" ht="17.25" customHeight="1" x14ac:dyDescent="0.2">
      <c r="A5514" s="1611">
        <v>17</v>
      </c>
      <c r="B5514" s="1611" t="s">
        <v>2049</v>
      </c>
      <c r="C5514" s="1611" t="s">
        <v>5955</v>
      </c>
      <c r="D5514" s="1612" t="s">
        <v>2023</v>
      </c>
      <c r="E5514" s="1706" t="s">
        <v>7592</v>
      </c>
      <c r="F5514" s="1613">
        <v>198881820</v>
      </c>
      <c r="G5514" s="1613">
        <v>266274462679</v>
      </c>
    </row>
    <row r="5515" spans="1:7" ht="17.25" customHeight="1" x14ac:dyDescent="0.2">
      <c r="A5515" s="1611">
        <v>17</v>
      </c>
      <c r="B5515" s="1611" t="s">
        <v>2049</v>
      </c>
      <c r="C5515" s="1611" t="s">
        <v>6849</v>
      </c>
      <c r="D5515" s="1612" t="s">
        <v>2023</v>
      </c>
      <c r="E5515" s="1706" t="s">
        <v>7592</v>
      </c>
      <c r="F5515" s="1613">
        <v>100522728</v>
      </c>
      <c r="G5515" s="1613">
        <v>266374985407</v>
      </c>
    </row>
    <row r="5516" spans="1:7" ht="17.25" customHeight="1" x14ac:dyDescent="0.2">
      <c r="A5516" s="1611">
        <v>17</v>
      </c>
      <c r="B5516" s="1611" t="s">
        <v>2836</v>
      </c>
      <c r="C5516" s="1611" t="s">
        <v>5250</v>
      </c>
      <c r="D5516" s="1612" t="s">
        <v>7555</v>
      </c>
      <c r="E5516" s="1706" t="s">
        <v>7592</v>
      </c>
      <c r="F5516" s="1613">
        <v>29980000</v>
      </c>
      <c r="G5516" s="1613">
        <v>266404965407</v>
      </c>
    </row>
    <row r="5517" spans="1:7" ht="17.25" customHeight="1" x14ac:dyDescent="0.2">
      <c r="A5517" s="1611">
        <v>17</v>
      </c>
      <c r="B5517" s="1611" t="s">
        <v>2836</v>
      </c>
      <c r="C5517" s="1611" t="s">
        <v>5250</v>
      </c>
      <c r="D5517" s="1612" t="s">
        <v>7555</v>
      </c>
      <c r="E5517" s="1706" t="s">
        <v>7592</v>
      </c>
      <c r="F5517" s="1613">
        <v>29980000</v>
      </c>
      <c r="G5517" s="1613">
        <v>266434945407</v>
      </c>
    </row>
    <row r="5518" spans="1:7" ht="17.25" customHeight="1" x14ac:dyDescent="0.2">
      <c r="A5518" s="1611">
        <v>17</v>
      </c>
      <c r="B5518" s="1611" t="s">
        <v>2836</v>
      </c>
      <c r="C5518" s="1611" t="s">
        <v>5250</v>
      </c>
      <c r="D5518" s="1612" t="s">
        <v>7555</v>
      </c>
      <c r="E5518" s="1706" t="s">
        <v>7592</v>
      </c>
      <c r="F5518" s="1613">
        <v>29980000</v>
      </c>
      <c r="G5518" s="1613">
        <v>266464925407</v>
      </c>
    </row>
    <row r="5519" spans="1:7" ht="17.25" customHeight="1" x14ac:dyDescent="0.2">
      <c r="A5519" s="1611">
        <v>17</v>
      </c>
      <c r="B5519" s="1611" t="s">
        <v>2836</v>
      </c>
      <c r="C5519" s="1611" t="s">
        <v>5250</v>
      </c>
      <c r="D5519" s="1612" t="s">
        <v>7555</v>
      </c>
      <c r="E5519" s="1706" t="s">
        <v>7592</v>
      </c>
      <c r="F5519" s="1613">
        <v>29980000</v>
      </c>
      <c r="G5519" s="1613">
        <v>266494905407</v>
      </c>
    </row>
    <row r="5520" spans="1:7" ht="17.25" customHeight="1" x14ac:dyDescent="0.2">
      <c r="A5520" s="1611">
        <v>17</v>
      </c>
      <c r="B5520" s="1611" t="s">
        <v>2039</v>
      </c>
      <c r="C5520" s="1611" t="s">
        <v>6850</v>
      </c>
      <c r="D5520" s="1612" t="s">
        <v>7555</v>
      </c>
      <c r="E5520" s="1706" t="s">
        <v>7592</v>
      </c>
      <c r="F5520" s="1613">
        <v>42000000</v>
      </c>
      <c r="G5520" s="1613">
        <v>266536905407</v>
      </c>
    </row>
    <row r="5521" spans="1:7" ht="17.25" customHeight="1" x14ac:dyDescent="0.2">
      <c r="A5521" s="1611">
        <v>17</v>
      </c>
      <c r="B5521" s="1611" t="s">
        <v>2032</v>
      </c>
      <c r="C5521" s="1611" t="s">
        <v>6851</v>
      </c>
      <c r="D5521" s="1612" t="s">
        <v>7555</v>
      </c>
      <c r="E5521" s="1706" t="s">
        <v>7592</v>
      </c>
      <c r="F5521" s="1613">
        <v>34900000</v>
      </c>
      <c r="G5521" s="1613">
        <v>266571805407</v>
      </c>
    </row>
    <row r="5522" spans="1:7" ht="17.25" customHeight="1" x14ac:dyDescent="0.2">
      <c r="A5522" s="1611">
        <v>17</v>
      </c>
      <c r="B5522" s="1611" t="s">
        <v>2037</v>
      </c>
      <c r="C5522" s="1611" t="s">
        <v>6852</v>
      </c>
      <c r="D5522" s="1612" t="s">
        <v>7555</v>
      </c>
      <c r="E5522" s="1706" t="s">
        <v>7592</v>
      </c>
      <c r="F5522" s="1613">
        <v>38000000</v>
      </c>
      <c r="G5522" s="1613">
        <v>266609805407</v>
      </c>
    </row>
    <row r="5523" spans="1:7" ht="17.25" customHeight="1" x14ac:dyDescent="0.2">
      <c r="A5523" s="1611">
        <v>17</v>
      </c>
      <c r="B5523" s="1611" t="s">
        <v>2037</v>
      </c>
      <c r="C5523" s="1611" t="s">
        <v>6853</v>
      </c>
      <c r="D5523" s="1612" t="s">
        <v>7555</v>
      </c>
      <c r="E5523" s="1706" t="s">
        <v>7592</v>
      </c>
      <c r="F5523" s="1613">
        <v>38100000</v>
      </c>
      <c r="G5523" s="1613">
        <v>266647905407</v>
      </c>
    </row>
    <row r="5524" spans="1:7" ht="17.25" customHeight="1" x14ac:dyDescent="0.2">
      <c r="A5524" s="1611">
        <v>17</v>
      </c>
      <c r="B5524" s="1611" t="s">
        <v>2037</v>
      </c>
      <c r="C5524" s="1611" t="s">
        <v>6854</v>
      </c>
      <c r="D5524" s="1612" t="s">
        <v>7555</v>
      </c>
      <c r="E5524" s="1706" t="s">
        <v>7592</v>
      </c>
      <c r="F5524" s="1613">
        <v>38000000</v>
      </c>
      <c r="G5524" s="1613">
        <v>266685905407</v>
      </c>
    </row>
    <row r="5525" spans="1:7" ht="17.25" customHeight="1" x14ac:dyDescent="0.2">
      <c r="A5525" s="1611">
        <v>17</v>
      </c>
      <c r="B5525" s="1611" t="s">
        <v>2037</v>
      </c>
      <c r="C5525" s="1611" t="s">
        <v>6855</v>
      </c>
      <c r="D5525" s="1612" t="s">
        <v>7555</v>
      </c>
      <c r="E5525" s="1706" t="s">
        <v>7592</v>
      </c>
      <c r="F5525" s="1613">
        <v>37500000</v>
      </c>
      <c r="G5525" s="1613">
        <v>266723405407</v>
      </c>
    </row>
    <row r="5526" spans="1:7" ht="17.25" customHeight="1" x14ac:dyDescent="0.2">
      <c r="A5526" s="1611">
        <v>17</v>
      </c>
      <c r="B5526" s="1611" t="s">
        <v>2041</v>
      </c>
      <c r="C5526" s="1611" t="s">
        <v>6856</v>
      </c>
      <c r="D5526" s="1612" t="s">
        <v>7555</v>
      </c>
      <c r="E5526" s="1706" t="s">
        <v>7592</v>
      </c>
      <c r="F5526" s="1613">
        <v>51818182</v>
      </c>
      <c r="G5526" s="1613">
        <v>266775223589</v>
      </c>
    </row>
    <row r="5527" spans="1:7" ht="17.25" customHeight="1" x14ac:dyDescent="0.2">
      <c r="A5527" s="1611">
        <v>17</v>
      </c>
      <c r="B5527" s="1611" t="s">
        <v>2039</v>
      </c>
      <c r="C5527" s="1611" t="s">
        <v>6857</v>
      </c>
      <c r="D5527" s="1612" t="s">
        <v>7555</v>
      </c>
      <c r="E5527" s="1706" t="s">
        <v>7592</v>
      </c>
      <c r="F5527" s="1613">
        <v>40727273</v>
      </c>
      <c r="G5527" s="1613">
        <v>266815950862</v>
      </c>
    </row>
    <row r="5528" spans="1:7" ht="17.25" customHeight="1" x14ac:dyDescent="0.2">
      <c r="A5528" s="1611">
        <v>17</v>
      </c>
      <c r="B5528" s="1611" t="s">
        <v>7369</v>
      </c>
      <c r="C5528" s="1611" t="s">
        <v>6549</v>
      </c>
      <c r="D5528" s="1612">
        <v>0</v>
      </c>
      <c r="E5528" s="1612" t="s">
        <v>3296</v>
      </c>
      <c r="F5528" s="1613">
        <v>541908600</v>
      </c>
      <c r="G5528" s="1613">
        <v>267357859462</v>
      </c>
    </row>
    <row r="5529" spans="1:7" ht="17.25" customHeight="1" x14ac:dyDescent="0.2">
      <c r="A5529" s="1611">
        <v>17</v>
      </c>
      <c r="B5529" s="1611" t="s">
        <v>7364</v>
      </c>
      <c r="C5529" s="1611" t="s">
        <v>6549</v>
      </c>
      <c r="D5529" s="1612">
        <v>0</v>
      </c>
      <c r="E5529" s="1612" t="s">
        <v>3296</v>
      </c>
      <c r="F5529" s="1613">
        <v>1745898000</v>
      </c>
      <c r="G5529" s="1613">
        <v>269103757462</v>
      </c>
    </row>
    <row r="5530" spans="1:7" ht="17.25" customHeight="1" x14ac:dyDescent="0.2">
      <c r="A5530" s="1611">
        <v>17</v>
      </c>
      <c r="B5530" s="1611" t="s">
        <v>2028</v>
      </c>
      <c r="C5530" s="1611" t="s">
        <v>6858</v>
      </c>
      <c r="D5530" s="1612" t="s">
        <v>2024</v>
      </c>
      <c r="E5530" s="1706" t="s">
        <v>7592</v>
      </c>
      <c r="F5530" s="1613">
        <v>14520000</v>
      </c>
      <c r="G5530" s="1613">
        <v>269118277462</v>
      </c>
    </row>
    <row r="5531" spans="1:7" ht="17.25" customHeight="1" x14ac:dyDescent="0.2">
      <c r="A5531" s="1611">
        <v>17</v>
      </c>
      <c r="B5531" s="1611" t="s">
        <v>2043</v>
      </c>
      <c r="C5531" s="1611" t="s">
        <v>6859</v>
      </c>
      <c r="D5531" s="1612" t="s">
        <v>7555</v>
      </c>
      <c r="E5531" s="1706" t="s">
        <v>7592</v>
      </c>
      <c r="F5531" s="1613">
        <v>55500000</v>
      </c>
      <c r="G5531" s="1613">
        <v>269173777462</v>
      </c>
    </row>
    <row r="5532" spans="1:7" ht="17.25" customHeight="1" x14ac:dyDescent="0.2">
      <c r="A5532" s="1611">
        <v>17</v>
      </c>
      <c r="B5532" s="1611" t="s">
        <v>2040</v>
      </c>
      <c r="C5532" s="1611" t="s">
        <v>6860</v>
      </c>
      <c r="D5532" s="1612" t="s">
        <v>7555</v>
      </c>
      <c r="E5532" s="1706" t="s">
        <v>7592</v>
      </c>
      <c r="F5532" s="1613">
        <v>42000000</v>
      </c>
      <c r="G5532" s="1613">
        <v>269215777462</v>
      </c>
    </row>
    <row r="5533" spans="1:7" ht="17.25" customHeight="1" x14ac:dyDescent="0.2">
      <c r="A5533" s="1611">
        <v>17</v>
      </c>
      <c r="B5533" s="1611" t="s">
        <v>2041</v>
      </c>
      <c r="C5533" s="1611" t="s">
        <v>6861</v>
      </c>
      <c r="D5533" s="1612" t="s">
        <v>7555</v>
      </c>
      <c r="E5533" s="1706" t="s">
        <v>7592</v>
      </c>
      <c r="F5533" s="1613">
        <v>52520000</v>
      </c>
      <c r="G5533" s="1613">
        <v>269268297462</v>
      </c>
    </row>
    <row r="5534" spans="1:7" ht="17.25" customHeight="1" x14ac:dyDescent="0.2">
      <c r="A5534" s="1611">
        <v>17</v>
      </c>
      <c r="B5534" s="1611" t="s">
        <v>2037</v>
      </c>
      <c r="C5534" s="1611" t="s">
        <v>6862</v>
      </c>
      <c r="D5534" s="1612" t="s">
        <v>7555</v>
      </c>
      <c r="E5534" s="1706" t="s">
        <v>7592</v>
      </c>
      <c r="F5534" s="1613">
        <v>37000000</v>
      </c>
      <c r="G5534" s="1613">
        <v>269305297462</v>
      </c>
    </row>
    <row r="5535" spans="1:7" ht="17.25" customHeight="1" x14ac:dyDescent="0.2">
      <c r="A5535" s="1611">
        <v>17</v>
      </c>
      <c r="B5535" s="1611" t="s">
        <v>2067</v>
      </c>
      <c r="C5535" s="1611" t="s">
        <v>6863</v>
      </c>
      <c r="D5535" s="1612" t="s">
        <v>2024</v>
      </c>
      <c r="E5535" s="1706" t="s">
        <v>7592</v>
      </c>
      <c r="F5535" s="1613">
        <v>101118182</v>
      </c>
      <c r="G5535" s="1613">
        <v>269406415644</v>
      </c>
    </row>
    <row r="5536" spans="1:7" ht="17.25" customHeight="1" x14ac:dyDescent="0.2">
      <c r="A5536" s="1611">
        <v>17</v>
      </c>
      <c r="B5536" s="1611" t="s">
        <v>7370</v>
      </c>
      <c r="C5536" s="1611" t="s">
        <v>6863</v>
      </c>
      <c r="D5536" s="1612">
        <v>0</v>
      </c>
      <c r="E5536" s="1706" t="s">
        <v>7592</v>
      </c>
      <c r="F5536" s="1613">
        <v>1270000</v>
      </c>
      <c r="G5536" s="1613">
        <v>269407685644</v>
      </c>
    </row>
    <row r="5537" spans="1:7" ht="17.25" customHeight="1" x14ac:dyDescent="0.2">
      <c r="A5537" s="1611">
        <v>17</v>
      </c>
      <c r="B5537" s="1611" t="s">
        <v>2836</v>
      </c>
      <c r="C5537" s="1611" t="s">
        <v>6864</v>
      </c>
      <c r="D5537" s="1612" t="s">
        <v>7555</v>
      </c>
      <c r="E5537" s="1706" t="s">
        <v>7592</v>
      </c>
      <c r="F5537" s="1613">
        <v>31454546</v>
      </c>
      <c r="G5537" s="1613">
        <v>269439140190</v>
      </c>
    </row>
    <row r="5538" spans="1:7" ht="17.25" customHeight="1" x14ac:dyDescent="0.2">
      <c r="A5538" s="1611">
        <v>17</v>
      </c>
      <c r="B5538" s="1611" t="s">
        <v>2037</v>
      </c>
      <c r="C5538" s="1611" t="s">
        <v>4698</v>
      </c>
      <c r="D5538" s="1612" t="s">
        <v>7555</v>
      </c>
      <c r="E5538" s="1706" t="s">
        <v>7592</v>
      </c>
      <c r="F5538" s="1613">
        <v>37700000</v>
      </c>
      <c r="G5538" s="1613">
        <v>269476840190</v>
      </c>
    </row>
    <row r="5539" spans="1:7" ht="17.25" customHeight="1" x14ac:dyDescent="0.2">
      <c r="A5539" s="1611">
        <v>17</v>
      </c>
      <c r="B5539" s="1611" t="s">
        <v>2037</v>
      </c>
      <c r="C5539" s="1611" t="s">
        <v>6865</v>
      </c>
      <c r="D5539" s="1612" t="s">
        <v>7555</v>
      </c>
      <c r="E5539" s="1706" t="s">
        <v>7592</v>
      </c>
      <c r="F5539" s="1613">
        <v>38181818</v>
      </c>
      <c r="G5539" s="1613">
        <v>269515022008</v>
      </c>
    </row>
    <row r="5540" spans="1:7" ht="17.25" customHeight="1" x14ac:dyDescent="0.2">
      <c r="A5540" s="1611">
        <v>17</v>
      </c>
      <c r="B5540" s="1611" t="s">
        <v>2039</v>
      </c>
      <c r="C5540" s="1611" t="s">
        <v>6866</v>
      </c>
      <c r="D5540" s="1612" t="s">
        <v>7555</v>
      </c>
      <c r="E5540" s="1706" t="s">
        <v>7592</v>
      </c>
      <c r="F5540" s="1613">
        <v>43636364</v>
      </c>
      <c r="G5540" s="1613">
        <v>269558658372</v>
      </c>
    </row>
    <row r="5541" spans="1:7" ht="17.25" customHeight="1" x14ac:dyDescent="0.2">
      <c r="A5541" s="1611">
        <v>17</v>
      </c>
      <c r="B5541" s="1611" t="s">
        <v>2032</v>
      </c>
      <c r="C5541" s="1611" t="s">
        <v>5463</v>
      </c>
      <c r="D5541" s="1612" t="s">
        <v>7555</v>
      </c>
      <c r="E5541" s="1706" t="s">
        <v>7592</v>
      </c>
      <c r="F5541" s="1613">
        <v>34000000</v>
      </c>
      <c r="G5541" s="1613">
        <v>269592658372</v>
      </c>
    </row>
    <row r="5542" spans="1:7" ht="17.25" customHeight="1" x14ac:dyDescent="0.2">
      <c r="A5542" s="1611">
        <v>17</v>
      </c>
      <c r="B5542" s="1611" t="s">
        <v>2037</v>
      </c>
      <c r="C5542" s="1611" t="s">
        <v>6867</v>
      </c>
      <c r="D5542" s="1612" t="s">
        <v>7555</v>
      </c>
      <c r="E5542" s="1706" t="s">
        <v>7592</v>
      </c>
      <c r="F5542" s="1613">
        <v>39090909</v>
      </c>
      <c r="G5542" s="1613">
        <v>269631749281</v>
      </c>
    </row>
    <row r="5543" spans="1:7" ht="17.25" customHeight="1" x14ac:dyDescent="0.2">
      <c r="A5543" s="1611">
        <v>17</v>
      </c>
      <c r="B5543" s="1611" t="s">
        <v>2049</v>
      </c>
      <c r="C5543" s="1611" t="s">
        <v>5957</v>
      </c>
      <c r="D5543" s="1612" t="s">
        <v>2023</v>
      </c>
      <c r="E5543" s="1706" t="s">
        <v>7592</v>
      </c>
      <c r="F5543" s="1613">
        <v>194409091</v>
      </c>
      <c r="G5543" s="1613">
        <v>269826158372</v>
      </c>
    </row>
    <row r="5544" spans="1:7" ht="17.25" customHeight="1" x14ac:dyDescent="0.2">
      <c r="A5544" s="1611">
        <v>17</v>
      </c>
      <c r="B5544" s="1611" t="s">
        <v>2032</v>
      </c>
      <c r="C5544" s="1611" t="s">
        <v>6868</v>
      </c>
      <c r="D5544" s="1612" t="s">
        <v>7555</v>
      </c>
      <c r="E5544" s="1706" t="s">
        <v>7592</v>
      </c>
      <c r="F5544" s="1613">
        <v>36363636</v>
      </c>
      <c r="G5544" s="1613">
        <v>269862522008</v>
      </c>
    </row>
    <row r="5545" spans="1:7" ht="17.25" customHeight="1" x14ac:dyDescent="0.2">
      <c r="A5545" s="1611">
        <v>17</v>
      </c>
      <c r="B5545" s="1611" t="s">
        <v>2037</v>
      </c>
      <c r="C5545" s="1611" t="s">
        <v>6869</v>
      </c>
      <c r="D5545" s="1612" t="s">
        <v>7555</v>
      </c>
      <c r="E5545" s="1706" t="s">
        <v>7592</v>
      </c>
      <c r="F5545" s="1613">
        <v>39090909</v>
      </c>
      <c r="G5545" s="1613">
        <v>269901612917</v>
      </c>
    </row>
    <row r="5546" spans="1:7" ht="17.25" customHeight="1" x14ac:dyDescent="0.2">
      <c r="A5546" s="1611">
        <v>17</v>
      </c>
      <c r="B5546" s="1611" t="s">
        <v>2037</v>
      </c>
      <c r="C5546" s="1611" t="s">
        <v>5590</v>
      </c>
      <c r="D5546" s="1612" t="s">
        <v>7555</v>
      </c>
      <c r="E5546" s="1706" t="s">
        <v>7592</v>
      </c>
      <c r="F5546" s="1613">
        <v>38500000</v>
      </c>
      <c r="G5546" s="1613">
        <v>269940112917</v>
      </c>
    </row>
    <row r="5547" spans="1:7" ht="17.25" customHeight="1" x14ac:dyDescent="0.2">
      <c r="A5547" s="1611">
        <v>17</v>
      </c>
      <c r="B5547" s="1611" t="s">
        <v>2037</v>
      </c>
      <c r="C5547" s="1611" t="s">
        <v>6870</v>
      </c>
      <c r="D5547" s="1612" t="s">
        <v>7555</v>
      </c>
      <c r="E5547" s="1706" t="s">
        <v>7592</v>
      </c>
      <c r="F5547" s="1613">
        <v>35272727</v>
      </c>
      <c r="G5547" s="1613">
        <v>269975385644</v>
      </c>
    </row>
    <row r="5548" spans="1:7" ht="17.25" customHeight="1" x14ac:dyDescent="0.2">
      <c r="A5548" s="1611">
        <v>17</v>
      </c>
      <c r="B5548" s="1611" t="s">
        <v>2039</v>
      </c>
      <c r="C5548" s="1611" t="s">
        <v>6871</v>
      </c>
      <c r="D5548" s="1612" t="s">
        <v>7555</v>
      </c>
      <c r="E5548" s="1706" t="s">
        <v>7592</v>
      </c>
      <c r="F5548" s="1613">
        <v>40909091</v>
      </c>
      <c r="G5548" s="1613">
        <v>270016294735</v>
      </c>
    </row>
    <row r="5549" spans="1:7" ht="17.25" customHeight="1" x14ac:dyDescent="0.2">
      <c r="A5549" s="1611">
        <v>17</v>
      </c>
      <c r="B5549" s="1611" t="s">
        <v>2039</v>
      </c>
      <c r="C5549" s="1611" t="s">
        <v>6872</v>
      </c>
      <c r="D5549" s="1612" t="s">
        <v>7555</v>
      </c>
      <c r="E5549" s="1706" t="s">
        <v>7592</v>
      </c>
      <c r="F5549" s="1613">
        <v>45454545</v>
      </c>
      <c r="G5549" s="1613">
        <v>270061749280</v>
      </c>
    </row>
    <row r="5550" spans="1:7" ht="17.25" customHeight="1" x14ac:dyDescent="0.2">
      <c r="A5550" s="1611">
        <v>17</v>
      </c>
      <c r="B5550" s="1611" t="s">
        <v>2039</v>
      </c>
      <c r="C5550" s="1611" t="s">
        <v>6873</v>
      </c>
      <c r="D5550" s="1612" t="s">
        <v>7555</v>
      </c>
      <c r="E5550" s="1706" t="s">
        <v>7592</v>
      </c>
      <c r="F5550" s="1613">
        <v>41500000</v>
      </c>
      <c r="G5550" s="1613">
        <v>270103249280</v>
      </c>
    </row>
    <row r="5551" spans="1:7" ht="17.25" customHeight="1" x14ac:dyDescent="0.2">
      <c r="A5551" s="1611">
        <v>17</v>
      </c>
      <c r="B5551" s="1611" t="s">
        <v>2836</v>
      </c>
      <c r="C5551" s="1611" t="s">
        <v>4343</v>
      </c>
      <c r="D5551" s="1612" t="s">
        <v>7555</v>
      </c>
      <c r="E5551" s="1706" t="s">
        <v>7592</v>
      </c>
      <c r="F5551" s="1613">
        <v>31000000</v>
      </c>
      <c r="G5551" s="1613">
        <v>270134249280</v>
      </c>
    </row>
    <row r="5552" spans="1:7" ht="17.25" customHeight="1" x14ac:dyDescent="0.2">
      <c r="A5552" s="1611">
        <v>17</v>
      </c>
      <c r="B5552" s="1611" t="s">
        <v>2041</v>
      </c>
      <c r="C5552" s="1611" t="s">
        <v>6874</v>
      </c>
      <c r="D5552" s="1612" t="s">
        <v>7555</v>
      </c>
      <c r="E5552" s="1706" t="s">
        <v>7592</v>
      </c>
      <c r="F5552" s="1613">
        <v>52727272</v>
      </c>
      <c r="G5552" s="1613">
        <v>270186976552</v>
      </c>
    </row>
    <row r="5553" spans="1:7" ht="17.25" customHeight="1" x14ac:dyDescent="0.2">
      <c r="A5553" s="1611">
        <v>17</v>
      </c>
      <c r="B5553" s="1611" t="s">
        <v>2040</v>
      </c>
      <c r="C5553" s="1611" t="s">
        <v>6875</v>
      </c>
      <c r="D5553" s="1612" t="s">
        <v>7555</v>
      </c>
      <c r="E5553" s="1706" t="s">
        <v>7592</v>
      </c>
      <c r="F5553" s="1613">
        <v>42500000</v>
      </c>
      <c r="G5553" s="1613">
        <v>270229476552</v>
      </c>
    </row>
    <row r="5554" spans="1:7" ht="17.25" customHeight="1" x14ac:dyDescent="0.2">
      <c r="A5554" s="1611">
        <v>17</v>
      </c>
      <c r="B5554" s="1611" t="s">
        <v>2028</v>
      </c>
      <c r="C5554" s="1611" t="s">
        <v>6876</v>
      </c>
      <c r="D5554" s="1612" t="s">
        <v>2024</v>
      </c>
      <c r="E5554" s="1706" t="s">
        <v>7592</v>
      </c>
      <c r="F5554" s="1613">
        <v>14750000</v>
      </c>
      <c r="G5554" s="1613">
        <v>270244226552</v>
      </c>
    </row>
    <row r="5555" spans="1:7" ht="17.25" customHeight="1" x14ac:dyDescent="0.2">
      <c r="A5555" s="1611">
        <v>17</v>
      </c>
      <c r="B5555" s="1611" t="s">
        <v>2039</v>
      </c>
      <c r="C5555" s="1611" t="s">
        <v>4514</v>
      </c>
      <c r="D5555" s="1612" t="s">
        <v>7555</v>
      </c>
      <c r="E5555" s="1706" t="s">
        <v>7592</v>
      </c>
      <c r="F5555" s="1613">
        <v>40600000</v>
      </c>
      <c r="G5555" s="1613">
        <v>270284826552</v>
      </c>
    </row>
    <row r="5556" spans="1:7" ht="17.25" customHeight="1" x14ac:dyDescent="0.2">
      <c r="A5556" s="1611">
        <v>17</v>
      </c>
      <c r="B5556" s="1611" t="s">
        <v>2043</v>
      </c>
      <c r="C5556" s="1611" t="s">
        <v>6877</v>
      </c>
      <c r="D5556" s="1612" t="s">
        <v>7555</v>
      </c>
      <c r="E5556" s="1706" t="s">
        <v>7592</v>
      </c>
      <c r="F5556" s="1613">
        <v>54000000</v>
      </c>
      <c r="G5556" s="1613">
        <v>270338826552</v>
      </c>
    </row>
    <row r="5557" spans="1:7" ht="17.25" customHeight="1" x14ac:dyDescent="0.2">
      <c r="A5557" s="1611">
        <v>17</v>
      </c>
      <c r="B5557" s="1611" t="s">
        <v>2054</v>
      </c>
      <c r="C5557" s="1611" t="s">
        <v>6878</v>
      </c>
      <c r="D5557" s="1612" t="s">
        <v>2024</v>
      </c>
      <c r="E5557" s="1706" t="s">
        <v>7592</v>
      </c>
      <c r="F5557" s="1613">
        <v>14000000</v>
      </c>
      <c r="G5557" s="1613">
        <v>270352826552</v>
      </c>
    </row>
    <row r="5558" spans="1:7" ht="17.25" customHeight="1" x14ac:dyDescent="0.2">
      <c r="A5558" s="1611">
        <v>17</v>
      </c>
      <c r="B5558" s="1611" t="s">
        <v>2032</v>
      </c>
      <c r="C5558" s="1611" t="s">
        <v>6879</v>
      </c>
      <c r="D5558" s="1612" t="s">
        <v>7555</v>
      </c>
      <c r="E5558" s="1706" t="s">
        <v>7592</v>
      </c>
      <c r="F5558" s="1613">
        <v>36090909</v>
      </c>
      <c r="G5558" s="1613">
        <v>270388917461</v>
      </c>
    </row>
    <row r="5559" spans="1:7" ht="17.25" customHeight="1" x14ac:dyDescent="0.2">
      <c r="A5559" s="1611">
        <v>17</v>
      </c>
      <c r="B5559" s="1611" t="s">
        <v>2039</v>
      </c>
      <c r="C5559" s="1611" t="s">
        <v>6880</v>
      </c>
      <c r="D5559" s="1612" t="s">
        <v>7555</v>
      </c>
      <c r="E5559" s="1706" t="s">
        <v>7592</v>
      </c>
      <c r="F5559" s="1613">
        <v>41000000</v>
      </c>
      <c r="G5559" s="1613">
        <v>270429917461</v>
      </c>
    </row>
    <row r="5560" spans="1:7" ht="17.25" customHeight="1" x14ac:dyDescent="0.2">
      <c r="A5560" s="1611">
        <v>17</v>
      </c>
      <c r="B5560" s="1611" t="s">
        <v>2039</v>
      </c>
      <c r="C5560" s="1611" t="s">
        <v>6881</v>
      </c>
      <c r="D5560" s="1612" t="s">
        <v>7555</v>
      </c>
      <c r="E5560" s="1706" t="s">
        <v>7592</v>
      </c>
      <c r="F5560" s="1613">
        <v>38700000</v>
      </c>
      <c r="G5560" s="1613">
        <v>270468617461</v>
      </c>
    </row>
    <row r="5561" spans="1:7" ht="17.25" customHeight="1" x14ac:dyDescent="0.2">
      <c r="A5561" s="1611">
        <v>17</v>
      </c>
      <c r="B5561" s="1611" t="s">
        <v>2041</v>
      </c>
      <c r="C5561" s="1611" t="s">
        <v>6882</v>
      </c>
      <c r="D5561" s="1612" t="s">
        <v>7555</v>
      </c>
      <c r="E5561" s="1706" t="s">
        <v>7592</v>
      </c>
      <c r="F5561" s="1613">
        <v>51818182</v>
      </c>
      <c r="G5561" s="1613">
        <v>270520435643</v>
      </c>
    </row>
    <row r="5562" spans="1:7" ht="17.25" customHeight="1" x14ac:dyDescent="0.2">
      <c r="A5562" s="1611">
        <v>17</v>
      </c>
      <c r="B5562" s="1611" t="s">
        <v>2060</v>
      </c>
      <c r="C5562" s="1611" t="s">
        <v>3861</v>
      </c>
      <c r="D5562" s="1612" t="s">
        <v>2023</v>
      </c>
      <c r="E5562" s="1706" t="s">
        <v>7592</v>
      </c>
      <c r="F5562" s="1613">
        <v>163636363</v>
      </c>
      <c r="G5562" s="1613">
        <v>270684072006</v>
      </c>
    </row>
    <row r="5563" spans="1:7" ht="17.25" customHeight="1" x14ac:dyDescent="0.2">
      <c r="A5563" s="1611">
        <v>17</v>
      </c>
      <c r="B5563" s="1611" t="s">
        <v>2040</v>
      </c>
      <c r="C5563" s="1611" t="s">
        <v>6883</v>
      </c>
      <c r="D5563" s="1612" t="s">
        <v>7555</v>
      </c>
      <c r="E5563" s="1706" t="s">
        <v>7592</v>
      </c>
      <c r="F5563" s="1613">
        <v>43100000</v>
      </c>
      <c r="G5563" s="1613">
        <v>270727172006</v>
      </c>
    </row>
    <row r="5564" spans="1:7" ht="17.25" customHeight="1" x14ac:dyDescent="0.2">
      <c r="A5564" s="1611">
        <v>17</v>
      </c>
      <c r="B5564" s="1611" t="s">
        <v>7170</v>
      </c>
      <c r="C5564" s="1611" t="s">
        <v>4064</v>
      </c>
      <c r="D5564" s="1612">
        <v>0</v>
      </c>
      <c r="E5564" s="1612" t="s">
        <v>3295</v>
      </c>
      <c r="F5564" s="1613">
        <v>121742717</v>
      </c>
      <c r="G5564" s="1613">
        <v>270848914723</v>
      </c>
    </row>
    <row r="5565" spans="1:7" ht="17.25" customHeight="1" x14ac:dyDescent="0.2">
      <c r="A5565" s="1611">
        <v>17</v>
      </c>
      <c r="B5565" s="1611" t="s">
        <v>2883</v>
      </c>
      <c r="C5565" s="1611" t="s">
        <v>4111</v>
      </c>
      <c r="D5565" s="1612" t="s">
        <v>2023</v>
      </c>
      <c r="E5565" s="1706" t="s">
        <v>7592</v>
      </c>
      <c r="F5565" s="1613">
        <v>501818182</v>
      </c>
      <c r="G5565" s="1613">
        <v>271350732905</v>
      </c>
    </row>
    <row r="5566" spans="1:7" ht="17.25" customHeight="1" x14ac:dyDescent="0.2">
      <c r="A5566" s="1611">
        <v>17</v>
      </c>
      <c r="B5566" s="1611" t="s">
        <v>2039</v>
      </c>
      <c r="C5566" s="1611" t="s">
        <v>4465</v>
      </c>
      <c r="D5566" s="1612" t="s">
        <v>7555</v>
      </c>
      <c r="E5566" s="1706" t="s">
        <v>7592</v>
      </c>
      <c r="F5566" s="1613">
        <v>39550000</v>
      </c>
      <c r="G5566" s="1613">
        <v>271390282905</v>
      </c>
    </row>
    <row r="5567" spans="1:7" ht="17.25" customHeight="1" x14ac:dyDescent="0.2">
      <c r="A5567" s="1611">
        <v>17</v>
      </c>
      <c r="B5567" s="1611" t="s">
        <v>2037</v>
      </c>
      <c r="C5567" s="1611" t="s">
        <v>6884</v>
      </c>
      <c r="D5567" s="1612" t="s">
        <v>7555</v>
      </c>
      <c r="E5567" s="1706" t="s">
        <v>7592</v>
      </c>
      <c r="F5567" s="1613">
        <v>38000000</v>
      </c>
      <c r="G5567" s="1613">
        <v>271428282905</v>
      </c>
    </row>
    <row r="5568" spans="1:7" ht="17.25" customHeight="1" x14ac:dyDescent="0.2">
      <c r="A5568" s="1611">
        <v>17</v>
      </c>
      <c r="B5568" s="1611" t="s">
        <v>2037</v>
      </c>
      <c r="C5568" s="1611" t="s">
        <v>4712</v>
      </c>
      <c r="D5568" s="1612" t="s">
        <v>7555</v>
      </c>
      <c r="E5568" s="1706" t="s">
        <v>7592</v>
      </c>
      <c r="F5568" s="1613">
        <v>36545455</v>
      </c>
      <c r="G5568" s="1613">
        <v>271464828360</v>
      </c>
    </row>
    <row r="5569" spans="1:7" ht="17.25" customHeight="1" x14ac:dyDescent="0.2">
      <c r="A5569" s="1611">
        <v>17</v>
      </c>
      <c r="B5569" s="1611" t="s">
        <v>2028</v>
      </c>
      <c r="C5569" s="1611" t="s">
        <v>6885</v>
      </c>
      <c r="D5569" s="1612" t="s">
        <v>2024</v>
      </c>
      <c r="E5569" s="1706" t="s">
        <v>7592</v>
      </c>
      <c r="F5569" s="1613">
        <v>14415000</v>
      </c>
      <c r="G5569" s="1613">
        <v>271479243360</v>
      </c>
    </row>
    <row r="5570" spans="1:7" ht="17.25" customHeight="1" x14ac:dyDescent="0.2">
      <c r="A5570" s="1611">
        <v>17</v>
      </c>
      <c r="B5570" s="1611" t="s">
        <v>2037</v>
      </c>
      <c r="C5570" s="1611" t="s">
        <v>6569</v>
      </c>
      <c r="D5570" s="1612" t="s">
        <v>7555</v>
      </c>
      <c r="E5570" s="1706" t="s">
        <v>7592</v>
      </c>
      <c r="F5570" s="1613">
        <v>18572730</v>
      </c>
      <c r="G5570" s="1613">
        <v>271497816090</v>
      </c>
    </row>
    <row r="5571" spans="1:7" ht="17.25" customHeight="1" x14ac:dyDescent="0.2">
      <c r="A5571" s="1611">
        <v>17</v>
      </c>
      <c r="B5571" s="1611" t="s">
        <v>2063</v>
      </c>
      <c r="C5571" s="1611" t="s">
        <v>6886</v>
      </c>
      <c r="D5571" s="1612" t="s">
        <v>2023</v>
      </c>
      <c r="E5571" s="1706" t="s">
        <v>7592</v>
      </c>
      <c r="F5571" s="1613">
        <v>157000000</v>
      </c>
      <c r="G5571" s="1613">
        <v>271654816090</v>
      </c>
    </row>
    <row r="5572" spans="1:7" ht="17.25" customHeight="1" x14ac:dyDescent="0.2">
      <c r="A5572" s="1611">
        <v>17</v>
      </c>
      <c r="B5572" s="1611" t="s">
        <v>2041</v>
      </c>
      <c r="C5572" s="1611" t="s">
        <v>6887</v>
      </c>
      <c r="D5572" s="1612" t="s">
        <v>7555</v>
      </c>
      <c r="E5572" s="1706" t="s">
        <v>7592</v>
      </c>
      <c r="F5572" s="1613">
        <v>50500000</v>
      </c>
      <c r="G5572" s="1613">
        <v>271705316090</v>
      </c>
    </row>
    <row r="5573" spans="1:7" ht="17.25" customHeight="1" x14ac:dyDescent="0.2">
      <c r="A5573" s="1611">
        <v>17</v>
      </c>
      <c r="B5573" s="1611" t="s">
        <v>2041</v>
      </c>
      <c r="C5573" s="1611" t="s">
        <v>6888</v>
      </c>
      <c r="D5573" s="1612" t="s">
        <v>7555</v>
      </c>
      <c r="E5573" s="1706" t="s">
        <v>7592</v>
      </c>
      <c r="F5573" s="1613">
        <v>51818182</v>
      </c>
      <c r="G5573" s="1613">
        <v>271757134272</v>
      </c>
    </row>
    <row r="5574" spans="1:7" ht="17.25" customHeight="1" x14ac:dyDescent="0.2">
      <c r="A5574" s="1611">
        <v>17</v>
      </c>
      <c r="B5574" s="1611" t="s">
        <v>2041</v>
      </c>
      <c r="C5574" s="1611" t="s">
        <v>6889</v>
      </c>
      <c r="D5574" s="1612" t="s">
        <v>7555</v>
      </c>
      <c r="E5574" s="1706" t="s">
        <v>7592</v>
      </c>
      <c r="F5574" s="1613">
        <v>49000000</v>
      </c>
      <c r="G5574" s="1613">
        <v>271806134272</v>
      </c>
    </row>
    <row r="5575" spans="1:7" ht="17.25" customHeight="1" x14ac:dyDescent="0.2">
      <c r="A5575" s="1611">
        <v>17</v>
      </c>
      <c r="B5575" s="1611" t="s">
        <v>2836</v>
      </c>
      <c r="C5575" s="1611" t="s">
        <v>6890</v>
      </c>
      <c r="D5575" s="1612" t="s">
        <v>7555</v>
      </c>
      <c r="E5575" s="1706" t="s">
        <v>7592</v>
      </c>
      <c r="F5575" s="1613">
        <v>29900000</v>
      </c>
      <c r="G5575" s="1613">
        <v>271836034272</v>
      </c>
    </row>
    <row r="5576" spans="1:7" ht="17.25" customHeight="1" x14ac:dyDescent="0.2">
      <c r="A5576" s="1611">
        <v>17</v>
      </c>
      <c r="B5576" s="1611" t="s">
        <v>2836</v>
      </c>
      <c r="C5576" s="1611" t="s">
        <v>6890</v>
      </c>
      <c r="D5576" s="1612" t="s">
        <v>7555</v>
      </c>
      <c r="E5576" s="1706" t="s">
        <v>7592</v>
      </c>
      <c r="F5576" s="1613">
        <v>30900000</v>
      </c>
      <c r="G5576" s="1613">
        <v>271866934272</v>
      </c>
    </row>
    <row r="5577" spans="1:7" ht="17.25" customHeight="1" x14ac:dyDescent="0.2">
      <c r="A5577" s="1611">
        <v>17</v>
      </c>
      <c r="B5577" s="1611" t="s">
        <v>2836</v>
      </c>
      <c r="C5577" s="1611" t="s">
        <v>6227</v>
      </c>
      <c r="D5577" s="1612" t="s">
        <v>7555</v>
      </c>
      <c r="E5577" s="1706" t="s">
        <v>7592</v>
      </c>
      <c r="F5577" s="1613">
        <v>31000000</v>
      </c>
      <c r="G5577" s="1613">
        <v>271897934272</v>
      </c>
    </row>
    <row r="5578" spans="1:7" ht="17.25" customHeight="1" x14ac:dyDescent="0.2">
      <c r="A5578" s="1611">
        <v>17</v>
      </c>
      <c r="B5578" s="1611" t="s">
        <v>2039</v>
      </c>
      <c r="C5578" s="1611" t="s">
        <v>6891</v>
      </c>
      <c r="D5578" s="1612" t="s">
        <v>7555</v>
      </c>
      <c r="E5578" s="1706" t="s">
        <v>7592</v>
      </c>
      <c r="F5578" s="1613">
        <v>38181819</v>
      </c>
      <c r="G5578" s="1613">
        <v>271936116091</v>
      </c>
    </row>
    <row r="5579" spans="1:7" ht="17.25" customHeight="1" x14ac:dyDescent="0.2">
      <c r="A5579" s="1611">
        <v>17</v>
      </c>
      <c r="B5579" s="1611" t="s">
        <v>2032</v>
      </c>
      <c r="C5579" s="1611" t="s">
        <v>6892</v>
      </c>
      <c r="D5579" s="1612" t="s">
        <v>7555</v>
      </c>
      <c r="E5579" s="1706" t="s">
        <v>7592</v>
      </c>
      <c r="F5579" s="1613">
        <v>36363636</v>
      </c>
      <c r="G5579" s="1613">
        <v>271972479727</v>
      </c>
    </row>
    <row r="5580" spans="1:7" ht="17.25" customHeight="1" x14ac:dyDescent="0.2">
      <c r="A5580" s="1611">
        <v>17</v>
      </c>
      <c r="B5580" s="1611" t="s">
        <v>2039</v>
      </c>
      <c r="C5580" s="1611" t="s">
        <v>6893</v>
      </c>
      <c r="D5580" s="1612" t="s">
        <v>7555</v>
      </c>
      <c r="E5580" s="1706" t="s">
        <v>7592</v>
      </c>
      <c r="F5580" s="1613">
        <v>39090909</v>
      </c>
      <c r="G5580" s="1613">
        <v>272011570636</v>
      </c>
    </row>
    <row r="5581" spans="1:7" ht="17.25" customHeight="1" x14ac:dyDescent="0.2">
      <c r="A5581" s="1611">
        <v>17</v>
      </c>
      <c r="B5581" s="1611" t="s">
        <v>2054</v>
      </c>
      <c r="C5581" s="1611" t="s">
        <v>5440</v>
      </c>
      <c r="D5581" s="1612" t="s">
        <v>2024</v>
      </c>
      <c r="E5581" s="1706" t="s">
        <v>7592</v>
      </c>
      <c r="F5581" s="1613">
        <v>14090910</v>
      </c>
      <c r="G5581" s="1613">
        <v>272025661546</v>
      </c>
    </row>
    <row r="5582" spans="1:7" ht="17.25" customHeight="1" x14ac:dyDescent="0.2">
      <c r="A5582" s="1611">
        <v>17</v>
      </c>
      <c r="B5582" s="1611" t="s">
        <v>2836</v>
      </c>
      <c r="C5582" s="1611" t="s">
        <v>6894</v>
      </c>
      <c r="D5582" s="1612" t="s">
        <v>7555</v>
      </c>
      <c r="E5582" s="1706" t="s">
        <v>7592</v>
      </c>
      <c r="F5582" s="1613">
        <v>30000000</v>
      </c>
      <c r="G5582" s="1613">
        <v>272055661546</v>
      </c>
    </row>
    <row r="5583" spans="1:7" ht="17.25" customHeight="1" x14ac:dyDescent="0.2">
      <c r="A5583" s="1611">
        <v>17</v>
      </c>
      <c r="B5583" s="1611" t="s">
        <v>2836</v>
      </c>
      <c r="C5583" s="1611" t="s">
        <v>6895</v>
      </c>
      <c r="D5583" s="1612" t="s">
        <v>7555</v>
      </c>
      <c r="E5583" s="1706" t="s">
        <v>7592</v>
      </c>
      <c r="F5583" s="1613">
        <v>31000000</v>
      </c>
      <c r="G5583" s="1613">
        <v>272086661546</v>
      </c>
    </row>
    <row r="5584" spans="1:7" ht="17.25" customHeight="1" x14ac:dyDescent="0.2">
      <c r="A5584" s="1611">
        <v>17</v>
      </c>
      <c r="B5584" s="1611" t="s">
        <v>2041</v>
      </c>
      <c r="C5584" s="1611" t="s">
        <v>6896</v>
      </c>
      <c r="D5584" s="1612" t="s">
        <v>7555</v>
      </c>
      <c r="E5584" s="1706" t="s">
        <v>7592</v>
      </c>
      <c r="F5584" s="1613">
        <v>50000000</v>
      </c>
      <c r="G5584" s="1613">
        <v>272136661546</v>
      </c>
    </row>
    <row r="5585" spans="1:7" ht="17.25" customHeight="1" x14ac:dyDescent="0.2">
      <c r="A5585" s="1611">
        <v>17</v>
      </c>
      <c r="B5585" s="1611" t="s">
        <v>2040</v>
      </c>
      <c r="C5585" s="1611" t="s">
        <v>6897</v>
      </c>
      <c r="D5585" s="1612" t="s">
        <v>7555</v>
      </c>
      <c r="E5585" s="1706" t="s">
        <v>7592</v>
      </c>
      <c r="F5585" s="1613">
        <v>40700000</v>
      </c>
      <c r="G5585" s="1613">
        <v>272177361546</v>
      </c>
    </row>
    <row r="5586" spans="1:7" ht="17.25" customHeight="1" x14ac:dyDescent="0.2">
      <c r="A5586" s="1611">
        <v>17</v>
      </c>
      <c r="B5586" s="1611" t="s">
        <v>2028</v>
      </c>
      <c r="C5586" s="1611" t="s">
        <v>6898</v>
      </c>
      <c r="D5586" s="1612" t="s">
        <v>2024</v>
      </c>
      <c r="E5586" s="1706" t="s">
        <v>7592</v>
      </c>
      <c r="F5586" s="1613">
        <v>14272728</v>
      </c>
      <c r="G5586" s="1613">
        <v>272191634274</v>
      </c>
    </row>
    <row r="5587" spans="1:7" ht="17.25" customHeight="1" x14ac:dyDescent="0.2">
      <c r="A5587" s="1611">
        <v>17</v>
      </c>
      <c r="B5587" s="1611" t="s">
        <v>2037</v>
      </c>
      <c r="C5587" s="1611" t="s">
        <v>6899</v>
      </c>
      <c r="D5587" s="1612" t="s">
        <v>7555</v>
      </c>
      <c r="E5587" s="1706" t="s">
        <v>7592</v>
      </c>
      <c r="F5587" s="1613">
        <v>37272727</v>
      </c>
      <c r="G5587" s="1613">
        <v>272228907001</v>
      </c>
    </row>
    <row r="5588" spans="1:7" ht="17.25" customHeight="1" x14ac:dyDescent="0.2">
      <c r="A5588" s="1611">
        <v>17</v>
      </c>
      <c r="B5588" s="1611" t="s">
        <v>2043</v>
      </c>
      <c r="C5588" s="1611" t="s">
        <v>6900</v>
      </c>
      <c r="D5588" s="1612" t="s">
        <v>7555</v>
      </c>
      <c r="E5588" s="1706" t="s">
        <v>7592</v>
      </c>
      <c r="F5588" s="1613">
        <v>53818181</v>
      </c>
      <c r="G5588" s="1613">
        <v>272282725182</v>
      </c>
    </row>
    <row r="5589" spans="1:7" ht="17.25" customHeight="1" x14ac:dyDescent="0.2">
      <c r="A5589" s="1611">
        <v>17</v>
      </c>
      <c r="B5589" s="1611" t="s">
        <v>2836</v>
      </c>
      <c r="C5589" s="1611" t="s">
        <v>4332</v>
      </c>
      <c r="D5589" s="1612" t="s">
        <v>7555</v>
      </c>
      <c r="E5589" s="1706" t="s">
        <v>7592</v>
      </c>
      <c r="F5589" s="1613">
        <v>32727273</v>
      </c>
      <c r="G5589" s="1613">
        <v>272315452455</v>
      </c>
    </row>
    <row r="5590" spans="1:7" ht="17.25" customHeight="1" x14ac:dyDescent="0.2">
      <c r="A5590" s="1611">
        <v>17</v>
      </c>
      <c r="B5590" s="1611" t="s">
        <v>2836</v>
      </c>
      <c r="C5590" s="1611" t="s">
        <v>6901</v>
      </c>
      <c r="D5590" s="1612" t="s">
        <v>7555</v>
      </c>
      <c r="E5590" s="1706" t="s">
        <v>7592</v>
      </c>
      <c r="F5590" s="1613">
        <v>31500000</v>
      </c>
      <c r="G5590" s="1613">
        <v>272346952455</v>
      </c>
    </row>
    <row r="5591" spans="1:7" ht="17.25" customHeight="1" x14ac:dyDescent="0.2">
      <c r="A5591" s="1611">
        <v>17</v>
      </c>
      <c r="B5591" s="1611" t="s">
        <v>2836</v>
      </c>
      <c r="C5591" s="1611" t="s">
        <v>6902</v>
      </c>
      <c r="D5591" s="1612" t="s">
        <v>7555</v>
      </c>
      <c r="E5591" s="1706" t="s">
        <v>7592</v>
      </c>
      <c r="F5591" s="1613">
        <v>31000000</v>
      </c>
      <c r="G5591" s="1613">
        <v>272377952455</v>
      </c>
    </row>
    <row r="5592" spans="1:7" ht="17.25" customHeight="1" x14ac:dyDescent="0.2">
      <c r="A5592" s="1611">
        <v>17</v>
      </c>
      <c r="B5592" s="1611" t="s">
        <v>2836</v>
      </c>
      <c r="C5592" s="1611" t="s">
        <v>6903</v>
      </c>
      <c r="D5592" s="1612" t="s">
        <v>7555</v>
      </c>
      <c r="E5592" s="1706" t="s">
        <v>7592</v>
      </c>
      <c r="F5592" s="1613">
        <v>32000000</v>
      </c>
      <c r="G5592" s="1613">
        <v>272409952455</v>
      </c>
    </row>
    <row r="5593" spans="1:7" ht="17.25" customHeight="1" x14ac:dyDescent="0.2">
      <c r="A5593" s="1611">
        <v>17</v>
      </c>
      <c r="B5593" s="1611" t="s">
        <v>2836</v>
      </c>
      <c r="C5593" s="1611" t="s">
        <v>5250</v>
      </c>
      <c r="D5593" s="1612" t="s">
        <v>7555</v>
      </c>
      <c r="E5593" s="1706" t="s">
        <v>7592</v>
      </c>
      <c r="F5593" s="1613">
        <v>29980000</v>
      </c>
      <c r="G5593" s="1613">
        <v>272439932455</v>
      </c>
    </row>
    <row r="5594" spans="1:7" ht="17.25" customHeight="1" x14ac:dyDescent="0.2">
      <c r="A5594" s="1611">
        <v>17</v>
      </c>
      <c r="B5594" s="1611" t="s">
        <v>2836</v>
      </c>
      <c r="C5594" s="1611" t="s">
        <v>5250</v>
      </c>
      <c r="D5594" s="1612" t="s">
        <v>7555</v>
      </c>
      <c r="E5594" s="1706" t="s">
        <v>7592</v>
      </c>
      <c r="F5594" s="1613">
        <v>29980000</v>
      </c>
      <c r="G5594" s="1613">
        <v>272469912455</v>
      </c>
    </row>
    <row r="5595" spans="1:7" ht="17.25" customHeight="1" x14ac:dyDescent="0.2">
      <c r="A5595" s="1611">
        <v>17</v>
      </c>
      <c r="B5595" s="1611" t="s">
        <v>2836</v>
      </c>
      <c r="C5595" s="1611" t="s">
        <v>5250</v>
      </c>
      <c r="D5595" s="1612" t="s">
        <v>7555</v>
      </c>
      <c r="E5595" s="1706" t="s">
        <v>7592</v>
      </c>
      <c r="F5595" s="1613">
        <v>29980000</v>
      </c>
      <c r="G5595" s="1613">
        <v>272499892455</v>
      </c>
    </row>
    <row r="5596" spans="1:7" ht="17.25" customHeight="1" x14ac:dyDescent="0.2">
      <c r="A5596" s="1611">
        <v>17</v>
      </c>
      <c r="B5596" s="1611" t="s">
        <v>2836</v>
      </c>
      <c r="C5596" s="1611" t="s">
        <v>5250</v>
      </c>
      <c r="D5596" s="1612" t="s">
        <v>7555</v>
      </c>
      <c r="E5596" s="1706" t="s">
        <v>7592</v>
      </c>
      <c r="F5596" s="1613">
        <v>29980000</v>
      </c>
      <c r="G5596" s="1613">
        <v>272529872455</v>
      </c>
    </row>
    <row r="5597" spans="1:7" ht="17.25" customHeight="1" x14ac:dyDescent="0.2">
      <c r="A5597" s="1611">
        <v>17</v>
      </c>
      <c r="B5597" s="1611" t="s">
        <v>2836</v>
      </c>
      <c r="C5597" s="1611" t="s">
        <v>5250</v>
      </c>
      <c r="D5597" s="1612" t="s">
        <v>7555</v>
      </c>
      <c r="E5597" s="1706" t="s">
        <v>7592</v>
      </c>
      <c r="F5597" s="1613">
        <v>29980000</v>
      </c>
      <c r="G5597" s="1613">
        <v>272559852455</v>
      </c>
    </row>
    <row r="5598" spans="1:7" ht="17.25" customHeight="1" x14ac:dyDescent="0.2">
      <c r="A5598" s="1611">
        <v>17</v>
      </c>
      <c r="B5598" s="1611" t="s">
        <v>2836</v>
      </c>
      <c r="C5598" s="1611" t="s">
        <v>5250</v>
      </c>
      <c r="D5598" s="1612" t="s">
        <v>7555</v>
      </c>
      <c r="E5598" s="1706" t="s">
        <v>7592</v>
      </c>
      <c r="F5598" s="1613">
        <v>29980000</v>
      </c>
      <c r="G5598" s="1613">
        <v>272589832455</v>
      </c>
    </row>
    <row r="5599" spans="1:7" ht="17.25" customHeight="1" x14ac:dyDescent="0.2">
      <c r="A5599" s="1611">
        <v>17</v>
      </c>
      <c r="B5599" s="1611" t="s">
        <v>2836</v>
      </c>
      <c r="C5599" s="1611" t="s">
        <v>5250</v>
      </c>
      <c r="D5599" s="1612" t="s">
        <v>7555</v>
      </c>
      <c r="E5599" s="1706" t="s">
        <v>7592</v>
      </c>
      <c r="F5599" s="1613">
        <v>29980000</v>
      </c>
      <c r="G5599" s="1613">
        <v>272619812455</v>
      </c>
    </row>
    <row r="5600" spans="1:7" ht="17.25" customHeight="1" x14ac:dyDescent="0.2">
      <c r="A5600" s="1611">
        <v>17</v>
      </c>
      <c r="B5600" s="1611" t="s">
        <v>2836</v>
      </c>
      <c r="C5600" s="1611" t="s">
        <v>5250</v>
      </c>
      <c r="D5600" s="1612" t="s">
        <v>7555</v>
      </c>
      <c r="E5600" s="1706" t="s">
        <v>7592</v>
      </c>
      <c r="F5600" s="1613">
        <v>29980000</v>
      </c>
      <c r="G5600" s="1613">
        <v>272649792455</v>
      </c>
    </row>
    <row r="5601" spans="1:7" ht="17.25" customHeight="1" x14ac:dyDescent="0.2">
      <c r="A5601" s="1611">
        <v>17</v>
      </c>
      <c r="B5601" s="1611" t="s">
        <v>2836</v>
      </c>
      <c r="C5601" s="1611" t="s">
        <v>5250</v>
      </c>
      <c r="D5601" s="1612" t="s">
        <v>7555</v>
      </c>
      <c r="E5601" s="1706" t="s">
        <v>7592</v>
      </c>
      <c r="F5601" s="1613">
        <v>29980000</v>
      </c>
      <c r="G5601" s="1613">
        <v>272679772455</v>
      </c>
    </row>
    <row r="5602" spans="1:7" ht="17.25" customHeight="1" x14ac:dyDescent="0.2">
      <c r="A5602" s="1611">
        <v>17</v>
      </c>
      <c r="B5602" s="1611" t="s">
        <v>2836</v>
      </c>
      <c r="C5602" s="1611" t="s">
        <v>5250</v>
      </c>
      <c r="D5602" s="1612" t="s">
        <v>7555</v>
      </c>
      <c r="E5602" s="1706" t="s">
        <v>7592</v>
      </c>
      <c r="F5602" s="1613">
        <v>29980000</v>
      </c>
      <c r="G5602" s="1613">
        <v>272709752455</v>
      </c>
    </row>
    <row r="5603" spans="1:7" ht="17.25" customHeight="1" x14ac:dyDescent="0.2">
      <c r="A5603" s="1611">
        <v>17</v>
      </c>
      <c r="B5603" s="1611" t="s">
        <v>2836</v>
      </c>
      <c r="C5603" s="1611" t="s">
        <v>5250</v>
      </c>
      <c r="D5603" s="1612" t="s">
        <v>7555</v>
      </c>
      <c r="E5603" s="1706" t="s">
        <v>7592</v>
      </c>
      <c r="F5603" s="1613">
        <v>29980000</v>
      </c>
      <c r="G5603" s="1613">
        <v>272739732455</v>
      </c>
    </row>
    <row r="5604" spans="1:7" ht="17.25" customHeight="1" x14ac:dyDescent="0.2">
      <c r="A5604" s="1611">
        <v>17</v>
      </c>
      <c r="B5604" s="1611" t="s">
        <v>2836</v>
      </c>
      <c r="C5604" s="1611" t="s">
        <v>5250</v>
      </c>
      <c r="D5604" s="1612" t="s">
        <v>7555</v>
      </c>
      <c r="E5604" s="1706" t="s">
        <v>7592</v>
      </c>
      <c r="F5604" s="1613">
        <v>29980000</v>
      </c>
      <c r="G5604" s="1613">
        <v>272769712455</v>
      </c>
    </row>
    <row r="5605" spans="1:7" ht="17.25" customHeight="1" x14ac:dyDescent="0.2">
      <c r="A5605" s="1611">
        <v>17</v>
      </c>
      <c r="B5605" s="1611" t="s">
        <v>2836</v>
      </c>
      <c r="C5605" s="1611" t="s">
        <v>5250</v>
      </c>
      <c r="D5605" s="1612" t="s">
        <v>7555</v>
      </c>
      <c r="E5605" s="1706" t="s">
        <v>7592</v>
      </c>
      <c r="F5605" s="1613">
        <v>29980000</v>
      </c>
      <c r="G5605" s="1613">
        <v>272799692455</v>
      </c>
    </row>
    <row r="5606" spans="1:7" ht="17.25" customHeight="1" x14ac:dyDescent="0.2">
      <c r="A5606" s="1611">
        <v>17</v>
      </c>
      <c r="B5606" s="1611" t="s">
        <v>2836</v>
      </c>
      <c r="C5606" s="1611" t="s">
        <v>5250</v>
      </c>
      <c r="D5606" s="1612" t="s">
        <v>7555</v>
      </c>
      <c r="E5606" s="1706" t="s">
        <v>7592</v>
      </c>
      <c r="F5606" s="1613">
        <v>29980000</v>
      </c>
      <c r="G5606" s="1613">
        <v>272829672455</v>
      </c>
    </row>
    <row r="5607" spans="1:7" ht="17.25" customHeight="1" x14ac:dyDescent="0.2">
      <c r="A5607" s="1611">
        <v>17</v>
      </c>
      <c r="B5607" s="1611" t="s">
        <v>2836</v>
      </c>
      <c r="C5607" s="1611" t="s">
        <v>5250</v>
      </c>
      <c r="D5607" s="1612" t="s">
        <v>7555</v>
      </c>
      <c r="E5607" s="1706" t="s">
        <v>7592</v>
      </c>
      <c r="F5607" s="1613">
        <v>29980000</v>
      </c>
      <c r="G5607" s="1613">
        <v>272859652455</v>
      </c>
    </row>
    <row r="5608" spans="1:7" ht="17.25" customHeight="1" x14ac:dyDescent="0.2">
      <c r="A5608" s="1611">
        <v>17</v>
      </c>
      <c r="B5608" s="1611" t="s">
        <v>2836</v>
      </c>
      <c r="C5608" s="1611" t="s">
        <v>5250</v>
      </c>
      <c r="D5608" s="1612" t="s">
        <v>7555</v>
      </c>
      <c r="E5608" s="1706" t="s">
        <v>7592</v>
      </c>
      <c r="F5608" s="1613">
        <v>31700000</v>
      </c>
      <c r="G5608" s="1613">
        <v>272891352455</v>
      </c>
    </row>
    <row r="5609" spans="1:7" ht="17.25" customHeight="1" x14ac:dyDescent="0.2">
      <c r="A5609" s="1611">
        <v>17</v>
      </c>
      <c r="B5609" s="1611" t="s">
        <v>2836</v>
      </c>
      <c r="C5609" s="1611" t="s">
        <v>6904</v>
      </c>
      <c r="D5609" s="1612" t="s">
        <v>7555</v>
      </c>
      <c r="E5609" s="1706" t="s">
        <v>7592</v>
      </c>
      <c r="F5609" s="1613">
        <v>31000000</v>
      </c>
      <c r="G5609" s="1613">
        <v>272922352455</v>
      </c>
    </row>
    <row r="5610" spans="1:7" ht="17.25" customHeight="1" x14ac:dyDescent="0.2">
      <c r="A5610" s="1611">
        <v>17</v>
      </c>
      <c r="B5610" s="1611" t="s">
        <v>2039</v>
      </c>
      <c r="C5610" s="1611" t="s">
        <v>6905</v>
      </c>
      <c r="D5610" s="1612" t="s">
        <v>7555</v>
      </c>
      <c r="E5610" s="1706" t="s">
        <v>7592</v>
      </c>
      <c r="F5610" s="1613">
        <v>41818182</v>
      </c>
      <c r="G5610" s="1613">
        <v>272964170637</v>
      </c>
    </row>
    <row r="5611" spans="1:7" ht="17.25" customHeight="1" x14ac:dyDescent="0.2">
      <c r="A5611" s="1611">
        <v>17</v>
      </c>
      <c r="B5611" s="1611" t="s">
        <v>2043</v>
      </c>
      <c r="C5611" s="1611" t="s">
        <v>6906</v>
      </c>
      <c r="D5611" s="1612" t="s">
        <v>7555</v>
      </c>
      <c r="E5611" s="1706" t="s">
        <v>7592</v>
      </c>
      <c r="F5611" s="1613">
        <v>54000000</v>
      </c>
      <c r="G5611" s="1613">
        <v>273018170637</v>
      </c>
    </row>
    <row r="5612" spans="1:7" ht="17.25" customHeight="1" x14ac:dyDescent="0.2">
      <c r="A5612" s="1611">
        <v>17</v>
      </c>
      <c r="B5612" s="1611" t="s">
        <v>2038</v>
      </c>
      <c r="C5612" s="1611" t="s">
        <v>5710</v>
      </c>
      <c r="D5612" s="1612" t="s">
        <v>7555</v>
      </c>
      <c r="E5612" s="1706" t="s">
        <v>7592</v>
      </c>
      <c r="F5612" s="1613">
        <v>37500000</v>
      </c>
      <c r="G5612" s="1613">
        <v>273055670637</v>
      </c>
    </row>
    <row r="5613" spans="1:7" ht="17.25" customHeight="1" x14ac:dyDescent="0.2">
      <c r="A5613" s="1611">
        <v>17</v>
      </c>
      <c r="B5613" s="1611" t="s">
        <v>2028</v>
      </c>
      <c r="C5613" s="1611" t="s">
        <v>6907</v>
      </c>
      <c r="D5613" s="1612" t="s">
        <v>2024</v>
      </c>
      <c r="E5613" s="1706" t="s">
        <v>7592</v>
      </c>
      <c r="F5613" s="1613">
        <v>27972728</v>
      </c>
      <c r="G5613" s="1613">
        <v>273083643365</v>
      </c>
    </row>
    <row r="5614" spans="1:7" ht="17.25" customHeight="1" x14ac:dyDescent="0.2">
      <c r="A5614" s="1611">
        <v>17</v>
      </c>
      <c r="B5614" s="1611" t="s">
        <v>2028</v>
      </c>
      <c r="C5614" s="1611" t="s">
        <v>6908</v>
      </c>
      <c r="D5614" s="1612" t="s">
        <v>2024</v>
      </c>
      <c r="E5614" s="1706" t="s">
        <v>7592</v>
      </c>
      <c r="F5614" s="1613">
        <v>44555000</v>
      </c>
      <c r="G5614" s="1613">
        <v>273128198365</v>
      </c>
    </row>
    <row r="5615" spans="1:7" ht="17.25" customHeight="1" x14ac:dyDescent="0.2">
      <c r="A5615" s="1611">
        <v>17</v>
      </c>
      <c r="B5615" s="1611" t="s">
        <v>2028</v>
      </c>
      <c r="C5615" s="1611" t="s">
        <v>6909</v>
      </c>
      <c r="D5615" s="1612" t="s">
        <v>2024</v>
      </c>
      <c r="E5615" s="1706" t="s">
        <v>7592</v>
      </c>
      <c r="F5615" s="1613">
        <v>43915000</v>
      </c>
      <c r="G5615" s="1613">
        <v>273172113365</v>
      </c>
    </row>
    <row r="5616" spans="1:7" ht="17.25" customHeight="1" x14ac:dyDescent="0.2">
      <c r="A5616" s="1611">
        <v>17</v>
      </c>
      <c r="B5616" s="1611" t="s">
        <v>2028</v>
      </c>
      <c r="C5616" s="1611" t="s">
        <v>6910</v>
      </c>
      <c r="D5616" s="1612" t="s">
        <v>2024</v>
      </c>
      <c r="E5616" s="1706" t="s">
        <v>7592</v>
      </c>
      <c r="F5616" s="1613">
        <v>14272727</v>
      </c>
      <c r="G5616" s="1613">
        <v>273186386092</v>
      </c>
    </row>
    <row r="5617" spans="1:7" ht="17.25" customHeight="1" x14ac:dyDescent="0.2">
      <c r="A5617" s="1611">
        <v>17</v>
      </c>
      <c r="B5617" s="1611" t="s">
        <v>2037</v>
      </c>
      <c r="C5617" s="1611" t="s">
        <v>3943</v>
      </c>
      <c r="D5617" s="1612" t="s">
        <v>7555</v>
      </c>
      <c r="E5617" s="1706" t="s">
        <v>7592</v>
      </c>
      <c r="F5617" s="1613">
        <v>38500000</v>
      </c>
      <c r="G5617" s="1613">
        <v>273224886092</v>
      </c>
    </row>
    <row r="5618" spans="1:7" ht="17.25" customHeight="1" x14ac:dyDescent="0.2">
      <c r="A5618" s="1611">
        <v>17</v>
      </c>
      <c r="B5618" s="1611" t="s">
        <v>2037</v>
      </c>
      <c r="C5618" s="1611" t="s">
        <v>6911</v>
      </c>
      <c r="D5618" s="1612" t="s">
        <v>7555</v>
      </c>
      <c r="E5618" s="1706" t="s">
        <v>7592</v>
      </c>
      <c r="F5618" s="1613">
        <v>38500000</v>
      </c>
      <c r="G5618" s="1613">
        <v>273263386092</v>
      </c>
    </row>
    <row r="5619" spans="1:7" ht="17.25" customHeight="1" x14ac:dyDescent="0.2">
      <c r="A5619" s="1611">
        <v>17</v>
      </c>
      <c r="B5619" s="1611" t="s">
        <v>2037</v>
      </c>
      <c r="C5619" s="1611" t="s">
        <v>6912</v>
      </c>
      <c r="D5619" s="1612" t="s">
        <v>7555</v>
      </c>
      <c r="E5619" s="1706" t="s">
        <v>7592</v>
      </c>
      <c r="F5619" s="1613">
        <v>38500000</v>
      </c>
      <c r="G5619" s="1613">
        <v>273301886092</v>
      </c>
    </row>
    <row r="5620" spans="1:7" ht="17.25" customHeight="1" x14ac:dyDescent="0.2">
      <c r="A5620" s="1611">
        <v>17</v>
      </c>
      <c r="B5620" s="1611" t="s">
        <v>2040</v>
      </c>
      <c r="C5620" s="1611" t="s">
        <v>6913</v>
      </c>
      <c r="D5620" s="1612" t="s">
        <v>7555</v>
      </c>
      <c r="E5620" s="1706" t="s">
        <v>7592</v>
      </c>
      <c r="F5620" s="1613">
        <v>42500000</v>
      </c>
      <c r="G5620" s="1613">
        <v>273344386092</v>
      </c>
    </row>
    <row r="5621" spans="1:7" ht="17.25" customHeight="1" x14ac:dyDescent="0.2">
      <c r="A5621" s="1611">
        <v>17</v>
      </c>
      <c r="B5621" s="1611" t="s">
        <v>2028</v>
      </c>
      <c r="C5621" s="1611" t="s">
        <v>6914</v>
      </c>
      <c r="D5621" s="1612" t="s">
        <v>2024</v>
      </c>
      <c r="E5621" s="1706" t="s">
        <v>7592</v>
      </c>
      <c r="F5621" s="1613">
        <v>15000000</v>
      </c>
      <c r="G5621" s="1613">
        <v>273359386092</v>
      </c>
    </row>
    <row r="5622" spans="1:7" ht="17.25" customHeight="1" x14ac:dyDescent="0.2">
      <c r="A5622" s="1611">
        <v>17</v>
      </c>
      <c r="B5622" s="1611" t="s">
        <v>2028</v>
      </c>
      <c r="C5622" s="1611" t="s">
        <v>6138</v>
      </c>
      <c r="D5622" s="1612" t="s">
        <v>2024</v>
      </c>
      <c r="E5622" s="1706" t="s">
        <v>7592</v>
      </c>
      <c r="F5622" s="1613">
        <v>16100909</v>
      </c>
      <c r="G5622" s="1613">
        <v>273375487001</v>
      </c>
    </row>
    <row r="5623" spans="1:7" ht="17.25" customHeight="1" x14ac:dyDescent="0.2">
      <c r="A5623" s="1611">
        <v>17</v>
      </c>
      <c r="B5623" s="1611" t="s">
        <v>7371</v>
      </c>
      <c r="C5623" s="1611" t="s">
        <v>5958</v>
      </c>
      <c r="D5623" s="1612">
        <v>0</v>
      </c>
      <c r="E5623" s="1706" t="s">
        <v>7592</v>
      </c>
      <c r="F5623" s="1613">
        <v>198881821</v>
      </c>
      <c r="G5623" s="1613">
        <v>273574368822</v>
      </c>
    </row>
    <row r="5624" spans="1:7" ht="17.25" customHeight="1" x14ac:dyDescent="0.2">
      <c r="A5624" s="1611">
        <v>17</v>
      </c>
      <c r="B5624" s="1611" t="s">
        <v>7298</v>
      </c>
      <c r="C5624" s="1611" t="s">
        <v>6915</v>
      </c>
      <c r="D5624" s="1612">
        <v>0</v>
      </c>
      <c r="E5624" s="1706" t="s">
        <v>7575</v>
      </c>
      <c r="F5624" s="1613">
        <v>103459050</v>
      </c>
      <c r="G5624" s="1613">
        <v>273677827872</v>
      </c>
    </row>
    <row r="5625" spans="1:7" ht="17.25" customHeight="1" x14ac:dyDescent="0.2">
      <c r="A5625" s="1611">
        <v>17</v>
      </c>
      <c r="B5625" s="1611" t="s">
        <v>2830</v>
      </c>
      <c r="C5625" s="1611" t="s">
        <v>6907</v>
      </c>
      <c r="D5625" s="1612">
        <v>0</v>
      </c>
      <c r="E5625" s="1706" t="s">
        <v>7592</v>
      </c>
      <c r="F5625" s="1613">
        <v>1500000</v>
      </c>
      <c r="G5625" s="1613">
        <v>273679327872</v>
      </c>
    </row>
    <row r="5626" spans="1:7" ht="17.25" customHeight="1" x14ac:dyDescent="0.2">
      <c r="A5626" s="1611">
        <v>17</v>
      </c>
      <c r="B5626" s="1611" t="s">
        <v>2037</v>
      </c>
      <c r="C5626" s="1611" t="s">
        <v>6916</v>
      </c>
      <c r="D5626" s="1612" t="s">
        <v>7555</v>
      </c>
      <c r="E5626" s="1706" t="s">
        <v>7592</v>
      </c>
      <c r="F5626" s="1613">
        <v>18373000</v>
      </c>
      <c r="G5626" s="1613">
        <v>273697700872</v>
      </c>
    </row>
    <row r="5627" spans="1:7" ht="17.25" customHeight="1" x14ac:dyDescent="0.2">
      <c r="A5627" s="1611">
        <v>17</v>
      </c>
      <c r="B5627" s="1611" t="s">
        <v>2037</v>
      </c>
      <c r="C5627" s="1611" t="s">
        <v>6917</v>
      </c>
      <c r="D5627" s="1612" t="s">
        <v>7555</v>
      </c>
      <c r="E5627" s="1706" t="s">
        <v>7592</v>
      </c>
      <c r="F5627" s="1613">
        <v>37850000</v>
      </c>
      <c r="G5627" s="1613">
        <v>273735550872</v>
      </c>
    </row>
    <row r="5628" spans="1:7" ht="17.25" customHeight="1" x14ac:dyDescent="0.2">
      <c r="A5628" s="1611">
        <v>17</v>
      </c>
      <c r="B5628" s="1611" t="s">
        <v>2054</v>
      </c>
      <c r="C5628" s="1611" t="s">
        <v>6636</v>
      </c>
      <c r="D5628" s="1612" t="s">
        <v>2024</v>
      </c>
      <c r="E5628" s="1706" t="s">
        <v>7592</v>
      </c>
      <c r="F5628" s="1613">
        <v>12530000</v>
      </c>
      <c r="G5628" s="1613">
        <v>273748080872</v>
      </c>
    </row>
    <row r="5629" spans="1:7" ht="17.25" customHeight="1" x14ac:dyDescent="0.2">
      <c r="A5629" s="1611">
        <v>17</v>
      </c>
      <c r="B5629" s="1611" t="s">
        <v>2044</v>
      </c>
      <c r="C5629" s="1611" t="s">
        <v>6918</v>
      </c>
      <c r="D5629" s="1612" t="s">
        <v>7555</v>
      </c>
      <c r="E5629" s="1706" t="s">
        <v>7592</v>
      </c>
      <c r="F5629" s="1613">
        <v>37500000</v>
      </c>
      <c r="G5629" s="1613">
        <v>273785580872</v>
      </c>
    </row>
    <row r="5630" spans="1:7" ht="17.25" customHeight="1" x14ac:dyDescent="0.2">
      <c r="A5630" s="1611">
        <v>17</v>
      </c>
      <c r="B5630" s="1611" t="s">
        <v>2043</v>
      </c>
      <c r="C5630" s="1611" t="s">
        <v>6919</v>
      </c>
      <c r="D5630" s="1612" t="s">
        <v>7555</v>
      </c>
      <c r="E5630" s="1706" t="s">
        <v>7592</v>
      </c>
      <c r="F5630" s="1613">
        <v>55272727</v>
      </c>
      <c r="G5630" s="1613">
        <v>273840853599</v>
      </c>
    </row>
    <row r="5631" spans="1:7" ht="17.25" customHeight="1" x14ac:dyDescent="0.2">
      <c r="A5631" s="1611">
        <v>17</v>
      </c>
      <c r="B5631" s="1611" t="s">
        <v>2044</v>
      </c>
      <c r="C5631" s="1611" t="s">
        <v>3642</v>
      </c>
      <c r="D5631" s="1612" t="s">
        <v>7555</v>
      </c>
      <c r="E5631" s="1706" t="s">
        <v>7592</v>
      </c>
      <c r="F5631" s="1613">
        <v>39000000</v>
      </c>
      <c r="G5631" s="1613">
        <v>273879853599</v>
      </c>
    </row>
    <row r="5632" spans="1:7" ht="17.25" customHeight="1" x14ac:dyDescent="0.2">
      <c r="A5632" s="1611">
        <v>17</v>
      </c>
      <c r="B5632" s="1611" t="s">
        <v>2044</v>
      </c>
      <c r="C5632" s="1611" t="s">
        <v>6920</v>
      </c>
      <c r="D5632" s="1612" t="s">
        <v>7555</v>
      </c>
      <c r="E5632" s="1706" t="s">
        <v>7592</v>
      </c>
      <c r="F5632" s="1613">
        <v>39500000</v>
      </c>
      <c r="G5632" s="1613">
        <v>273919353599</v>
      </c>
    </row>
    <row r="5633" spans="1:7" ht="17.25" customHeight="1" x14ac:dyDescent="0.2">
      <c r="A5633" s="1611">
        <v>17</v>
      </c>
      <c r="B5633" s="1611" t="s">
        <v>2044</v>
      </c>
      <c r="C5633" s="1611" t="s">
        <v>6921</v>
      </c>
      <c r="D5633" s="1612" t="s">
        <v>7555</v>
      </c>
      <c r="E5633" s="1706" t="s">
        <v>7592</v>
      </c>
      <c r="F5633" s="1613">
        <v>32000000</v>
      </c>
      <c r="G5633" s="1613">
        <v>273951353599</v>
      </c>
    </row>
    <row r="5634" spans="1:7" ht="17.25" customHeight="1" x14ac:dyDescent="0.2">
      <c r="A5634" s="1611">
        <v>17</v>
      </c>
      <c r="B5634" s="1611" t="s">
        <v>2039</v>
      </c>
      <c r="C5634" s="1611" t="s">
        <v>6922</v>
      </c>
      <c r="D5634" s="1612" t="s">
        <v>7555</v>
      </c>
      <c r="E5634" s="1706" t="s">
        <v>7592</v>
      </c>
      <c r="F5634" s="1613">
        <v>40500000</v>
      </c>
      <c r="G5634" s="1613">
        <v>273991853599</v>
      </c>
    </row>
    <row r="5635" spans="1:7" ht="17.25" customHeight="1" x14ac:dyDescent="0.2">
      <c r="A5635" s="1611">
        <v>17</v>
      </c>
      <c r="B5635" s="1611" t="s">
        <v>2039</v>
      </c>
      <c r="C5635" s="1611" t="s">
        <v>6923</v>
      </c>
      <c r="D5635" s="1612" t="s">
        <v>7555</v>
      </c>
      <c r="E5635" s="1706" t="s">
        <v>7592</v>
      </c>
      <c r="F5635" s="1613">
        <v>41181819</v>
      </c>
      <c r="G5635" s="1613">
        <v>274033035418</v>
      </c>
    </row>
    <row r="5636" spans="1:7" ht="17.25" customHeight="1" x14ac:dyDescent="0.2">
      <c r="A5636" s="1611">
        <v>17</v>
      </c>
      <c r="B5636" s="1611" t="s">
        <v>2039</v>
      </c>
      <c r="C5636" s="1611" t="s">
        <v>6924</v>
      </c>
      <c r="D5636" s="1612" t="s">
        <v>7555</v>
      </c>
      <c r="E5636" s="1706" t="s">
        <v>7592</v>
      </c>
      <c r="F5636" s="1613">
        <v>40909090</v>
      </c>
      <c r="G5636" s="1613">
        <v>274073944508</v>
      </c>
    </row>
    <row r="5637" spans="1:7" ht="17.25" customHeight="1" x14ac:dyDescent="0.2">
      <c r="A5637" s="1611">
        <v>17</v>
      </c>
      <c r="B5637" s="1611" t="s">
        <v>2039</v>
      </c>
      <c r="C5637" s="1611" t="s">
        <v>6642</v>
      </c>
      <c r="D5637" s="1612" t="s">
        <v>7555</v>
      </c>
      <c r="E5637" s="1706" t="s">
        <v>7592</v>
      </c>
      <c r="F5637" s="1613">
        <v>40909091</v>
      </c>
      <c r="G5637" s="1613">
        <v>274114853599</v>
      </c>
    </row>
    <row r="5638" spans="1:7" ht="17.25" customHeight="1" x14ac:dyDescent="0.2">
      <c r="A5638" s="1611">
        <v>17</v>
      </c>
      <c r="B5638" s="1611" t="s">
        <v>2041</v>
      </c>
      <c r="C5638" s="1611" t="s">
        <v>6925</v>
      </c>
      <c r="D5638" s="1612" t="s">
        <v>7555</v>
      </c>
      <c r="E5638" s="1706" t="s">
        <v>7592</v>
      </c>
      <c r="F5638" s="1613">
        <v>52727273</v>
      </c>
      <c r="G5638" s="1613">
        <v>274167580872</v>
      </c>
    </row>
    <row r="5639" spans="1:7" ht="17.25" customHeight="1" x14ac:dyDescent="0.2">
      <c r="A5639" s="1611">
        <v>17</v>
      </c>
      <c r="B5639" s="1611" t="s">
        <v>2041</v>
      </c>
      <c r="C5639" s="1611" t="s">
        <v>6926</v>
      </c>
      <c r="D5639" s="1612" t="s">
        <v>7555</v>
      </c>
      <c r="E5639" s="1706" t="s">
        <v>7592</v>
      </c>
      <c r="F5639" s="1613">
        <v>51818182</v>
      </c>
      <c r="G5639" s="1613">
        <v>274219399054</v>
      </c>
    </row>
    <row r="5640" spans="1:7" ht="17.25" customHeight="1" x14ac:dyDescent="0.2">
      <c r="A5640" s="1611">
        <v>17</v>
      </c>
      <c r="B5640" s="1611" t="s">
        <v>2037</v>
      </c>
      <c r="C5640" s="1611" t="s">
        <v>6927</v>
      </c>
      <c r="D5640" s="1612" t="s">
        <v>7555</v>
      </c>
      <c r="E5640" s="1706" t="s">
        <v>7592</v>
      </c>
      <c r="F5640" s="1613">
        <v>38000000</v>
      </c>
      <c r="G5640" s="1613">
        <v>274257399054</v>
      </c>
    </row>
    <row r="5641" spans="1:7" ht="17.25" customHeight="1" x14ac:dyDescent="0.2">
      <c r="A5641" s="1611">
        <v>17</v>
      </c>
      <c r="B5641" s="1611" t="s">
        <v>2836</v>
      </c>
      <c r="C5641" s="1611" t="s">
        <v>6928</v>
      </c>
      <c r="D5641" s="1612" t="s">
        <v>7555</v>
      </c>
      <c r="E5641" s="1706" t="s">
        <v>7592</v>
      </c>
      <c r="F5641" s="1613">
        <v>30000000</v>
      </c>
      <c r="G5641" s="1613">
        <v>274287399054</v>
      </c>
    </row>
    <row r="5642" spans="1:7" ht="17.25" customHeight="1" x14ac:dyDescent="0.2">
      <c r="A5642" s="1611">
        <v>17</v>
      </c>
      <c r="B5642" s="1611" t="s">
        <v>2836</v>
      </c>
      <c r="C5642" s="1611" t="s">
        <v>6929</v>
      </c>
      <c r="D5642" s="1612" t="s">
        <v>7555</v>
      </c>
      <c r="E5642" s="1706" t="s">
        <v>7592</v>
      </c>
      <c r="F5642" s="1613">
        <v>31000000</v>
      </c>
      <c r="G5642" s="1613">
        <v>274318399054</v>
      </c>
    </row>
    <row r="5643" spans="1:7" ht="17.25" customHeight="1" x14ac:dyDescent="0.2">
      <c r="A5643" s="1611">
        <v>17</v>
      </c>
      <c r="B5643" s="1611" t="s">
        <v>2032</v>
      </c>
      <c r="C5643" s="1611" t="s">
        <v>6930</v>
      </c>
      <c r="D5643" s="1612" t="s">
        <v>7555</v>
      </c>
      <c r="E5643" s="1706" t="s">
        <v>7592</v>
      </c>
      <c r="F5643" s="1613">
        <v>35909091</v>
      </c>
      <c r="G5643" s="1613">
        <v>274354308145</v>
      </c>
    </row>
    <row r="5644" spans="1:7" ht="17.25" customHeight="1" x14ac:dyDescent="0.2">
      <c r="A5644" s="1611">
        <v>17</v>
      </c>
      <c r="B5644" s="1611" t="s">
        <v>2039</v>
      </c>
      <c r="C5644" s="1611" t="s">
        <v>6931</v>
      </c>
      <c r="D5644" s="1612" t="s">
        <v>7555</v>
      </c>
      <c r="E5644" s="1706" t="s">
        <v>7592</v>
      </c>
      <c r="F5644" s="1613">
        <v>43000000</v>
      </c>
      <c r="G5644" s="1613">
        <v>274397308145</v>
      </c>
    </row>
    <row r="5645" spans="1:7" ht="17.25" customHeight="1" x14ac:dyDescent="0.2">
      <c r="A5645" s="1611">
        <v>17</v>
      </c>
      <c r="B5645" s="1611" t="s">
        <v>2039</v>
      </c>
      <c r="C5645" s="1611" t="s">
        <v>6932</v>
      </c>
      <c r="D5645" s="1612" t="s">
        <v>7555</v>
      </c>
      <c r="E5645" s="1706" t="s">
        <v>7592</v>
      </c>
      <c r="F5645" s="1613">
        <v>39545455</v>
      </c>
      <c r="G5645" s="1613">
        <v>274436853600</v>
      </c>
    </row>
    <row r="5646" spans="1:7" ht="17.25" customHeight="1" x14ac:dyDescent="0.2">
      <c r="A5646" s="1611">
        <v>17</v>
      </c>
      <c r="B5646" s="1611" t="s">
        <v>2039</v>
      </c>
      <c r="C5646" s="1611" t="s">
        <v>4500</v>
      </c>
      <c r="D5646" s="1612" t="s">
        <v>7555</v>
      </c>
      <c r="E5646" s="1706" t="s">
        <v>7592</v>
      </c>
      <c r="F5646" s="1613">
        <v>43636363</v>
      </c>
      <c r="G5646" s="1613">
        <v>274480489963</v>
      </c>
    </row>
    <row r="5647" spans="1:7" ht="17.25" customHeight="1" x14ac:dyDescent="0.2">
      <c r="A5647" s="1611">
        <v>17</v>
      </c>
      <c r="B5647" s="1611" t="s">
        <v>2041</v>
      </c>
      <c r="C5647" s="1611" t="s">
        <v>6933</v>
      </c>
      <c r="D5647" s="1612" t="s">
        <v>7555</v>
      </c>
      <c r="E5647" s="1706" t="s">
        <v>7592</v>
      </c>
      <c r="F5647" s="1613">
        <v>51818182</v>
      </c>
      <c r="G5647" s="1613">
        <v>274532308145</v>
      </c>
    </row>
    <row r="5648" spans="1:7" ht="17.25" customHeight="1" x14ac:dyDescent="0.2">
      <c r="A5648" s="1611">
        <v>17</v>
      </c>
      <c r="B5648" s="1611" t="s">
        <v>2043</v>
      </c>
      <c r="C5648" s="1611" t="s">
        <v>6934</v>
      </c>
      <c r="D5648" s="1612" t="s">
        <v>7555</v>
      </c>
      <c r="E5648" s="1706" t="s">
        <v>7592</v>
      </c>
      <c r="F5648" s="1613">
        <v>53636364</v>
      </c>
      <c r="G5648" s="1613">
        <v>274585944509</v>
      </c>
    </row>
    <row r="5649" spans="1:7" ht="17.25" customHeight="1" x14ac:dyDescent="0.2">
      <c r="A5649" s="1611">
        <v>17</v>
      </c>
      <c r="B5649" s="1611" t="s">
        <v>2028</v>
      </c>
      <c r="C5649" s="1611" t="s">
        <v>5077</v>
      </c>
      <c r="D5649" s="1612" t="s">
        <v>2024</v>
      </c>
      <c r="E5649" s="1706" t="s">
        <v>7592</v>
      </c>
      <c r="F5649" s="1613">
        <v>13270000</v>
      </c>
      <c r="G5649" s="1613">
        <v>274599214509</v>
      </c>
    </row>
    <row r="5650" spans="1:7" ht="17.25" customHeight="1" x14ac:dyDescent="0.2">
      <c r="A5650" s="1611">
        <v>17</v>
      </c>
      <c r="B5650" s="1611" t="s">
        <v>2836</v>
      </c>
      <c r="C5650" s="1611" t="s">
        <v>6935</v>
      </c>
      <c r="D5650" s="1612" t="s">
        <v>7555</v>
      </c>
      <c r="E5650" s="1706" t="s">
        <v>7592</v>
      </c>
      <c r="F5650" s="1613">
        <v>32000000</v>
      </c>
      <c r="G5650" s="1613">
        <v>274631214509</v>
      </c>
    </row>
    <row r="5651" spans="1:7" ht="17.25" customHeight="1" x14ac:dyDescent="0.2">
      <c r="A5651" s="1611">
        <v>17</v>
      </c>
      <c r="B5651" s="1611" t="s">
        <v>2037</v>
      </c>
      <c r="C5651" s="1611" t="s">
        <v>6936</v>
      </c>
      <c r="D5651" s="1612" t="s">
        <v>7555</v>
      </c>
      <c r="E5651" s="1706" t="s">
        <v>7592</v>
      </c>
      <c r="F5651" s="1613">
        <v>38000000</v>
      </c>
      <c r="G5651" s="1613">
        <v>274669214509</v>
      </c>
    </row>
    <row r="5652" spans="1:7" ht="17.25" customHeight="1" x14ac:dyDescent="0.2">
      <c r="A5652" s="1611">
        <v>17</v>
      </c>
      <c r="B5652" s="1611" t="s">
        <v>2037</v>
      </c>
      <c r="C5652" s="1611" t="s">
        <v>6937</v>
      </c>
      <c r="D5652" s="1612" t="s">
        <v>7555</v>
      </c>
      <c r="E5652" s="1706" t="s">
        <v>7592</v>
      </c>
      <c r="F5652" s="1613">
        <v>37000000</v>
      </c>
      <c r="G5652" s="1613">
        <v>274706214509</v>
      </c>
    </row>
    <row r="5653" spans="1:7" ht="17.25" customHeight="1" x14ac:dyDescent="0.2">
      <c r="A5653" s="1611">
        <v>17</v>
      </c>
      <c r="B5653" s="1611" t="s">
        <v>2041</v>
      </c>
      <c r="C5653" s="1611" t="s">
        <v>6938</v>
      </c>
      <c r="D5653" s="1612" t="s">
        <v>7555</v>
      </c>
      <c r="E5653" s="1706" t="s">
        <v>7592</v>
      </c>
      <c r="F5653" s="1613">
        <v>51700000</v>
      </c>
      <c r="G5653" s="1613">
        <v>274757914509</v>
      </c>
    </row>
    <row r="5654" spans="1:7" ht="17.25" customHeight="1" x14ac:dyDescent="0.2">
      <c r="A5654" s="1611">
        <v>17</v>
      </c>
      <c r="B5654" s="1611" t="s">
        <v>2041</v>
      </c>
      <c r="C5654" s="1611" t="s">
        <v>6939</v>
      </c>
      <c r="D5654" s="1612" t="s">
        <v>7555</v>
      </c>
      <c r="E5654" s="1706" t="s">
        <v>7592</v>
      </c>
      <c r="F5654" s="1613">
        <v>50000000</v>
      </c>
      <c r="G5654" s="1613">
        <v>274807914509</v>
      </c>
    </row>
    <row r="5655" spans="1:7" ht="17.25" customHeight="1" x14ac:dyDescent="0.2">
      <c r="A5655" s="1611">
        <v>17</v>
      </c>
      <c r="B5655" s="1611" t="s">
        <v>2062</v>
      </c>
      <c r="C5655" s="1611" t="s">
        <v>6940</v>
      </c>
      <c r="D5655" s="1612" t="s">
        <v>2023</v>
      </c>
      <c r="E5655" s="1706" t="s">
        <v>7592</v>
      </c>
      <c r="F5655" s="1613">
        <v>177000000</v>
      </c>
      <c r="G5655" s="1613">
        <v>274984914509</v>
      </c>
    </row>
    <row r="5656" spans="1:7" ht="17.25" customHeight="1" x14ac:dyDescent="0.2">
      <c r="A5656" s="1611">
        <v>17</v>
      </c>
      <c r="B5656" s="1611" t="s">
        <v>2037</v>
      </c>
      <c r="C5656" s="1611" t="s">
        <v>6941</v>
      </c>
      <c r="D5656" s="1612" t="s">
        <v>7555</v>
      </c>
      <c r="E5656" s="1706" t="s">
        <v>7592</v>
      </c>
      <c r="F5656" s="1613">
        <v>38000000</v>
      </c>
      <c r="G5656" s="1613">
        <v>275022914509</v>
      </c>
    </row>
    <row r="5657" spans="1:7" ht="17.25" customHeight="1" x14ac:dyDescent="0.2">
      <c r="A5657" s="1611">
        <v>17</v>
      </c>
      <c r="B5657" s="1611" t="s">
        <v>2037</v>
      </c>
      <c r="C5657" s="1611" t="s">
        <v>4820</v>
      </c>
      <c r="D5657" s="1612" t="s">
        <v>7555</v>
      </c>
      <c r="E5657" s="1706" t="s">
        <v>7592</v>
      </c>
      <c r="F5657" s="1613">
        <v>38500000</v>
      </c>
      <c r="G5657" s="1613">
        <v>275061414509</v>
      </c>
    </row>
    <row r="5658" spans="1:7" ht="17.25" customHeight="1" x14ac:dyDescent="0.2">
      <c r="A5658" s="1611">
        <v>17</v>
      </c>
      <c r="B5658" s="1611" t="s">
        <v>7365</v>
      </c>
      <c r="C5658" s="1611" t="s">
        <v>6942</v>
      </c>
      <c r="D5658" s="1612">
        <v>0</v>
      </c>
      <c r="E5658" s="1706" t="s">
        <v>7592</v>
      </c>
      <c r="F5658" s="1613">
        <v>19755000</v>
      </c>
      <c r="G5658" s="1613">
        <v>275081169509</v>
      </c>
    </row>
    <row r="5659" spans="1:7" ht="17.25" customHeight="1" x14ac:dyDescent="0.2">
      <c r="A5659" s="1611">
        <v>17</v>
      </c>
      <c r="B5659" s="1611" t="s">
        <v>2032</v>
      </c>
      <c r="C5659" s="1611" t="s">
        <v>6755</v>
      </c>
      <c r="D5659" s="1612" t="s">
        <v>7555</v>
      </c>
      <c r="E5659" s="1706" t="s">
        <v>7592</v>
      </c>
      <c r="F5659" s="1613">
        <v>18373000</v>
      </c>
      <c r="G5659" s="1613">
        <v>275099542509</v>
      </c>
    </row>
    <row r="5660" spans="1:7" ht="17.25" customHeight="1" x14ac:dyDescent="0.2">
      <c r="A5660" s="1611">
        <v>17</v>
      </c>
      <c r="B5660" s="1611" t="s">
        <v>2041</v>
      </c>
      <c r="C5660" s="1611" t="s">
        <v>6943</v>
      </c>
      <c r="D5660" s="1612" t="s">
        <v>7555</v>
      </c>
      <c r="E5660" s="1706" t="s">
        <v>7592</v>
      </c>
      <c r="F5660" s="1613">
        <v>50909090</v>
      </c>
      <c r="G5660" s="1613">
        <v>275150451599</v>
      </c>
    </row>
    <row r="5661" spans="1:7" ht="17.25" customHeight="1" x14ac:dyDescent="0.2">
      <c r="A5661" s="1611">
        <v>17</v>
      </c>
      <c r="B5661" s="1611" t="s">
        <v>2037</v>
      </c>
      <c r="C5661" s="1611" t="s">
        <v>6552</v>
      </c>
      <c r="D5661" s="1612" t="s">
        <v>7555</v>
      </c>
      <c r="E5661" s="1706" t="s">
        <v>7592</v>
      </c>
      <c r="F5661" s="1613">
        <v>35500000</v>
      </c>
      <c r="G5661" s="1613">
        <v>275185951599</v>
      </c>
    </row>
    <row r="5662" spans="1:7" ht="17.25" customHeight="1" x14ac:dyDescent="0.2">
      <c r="A5662" s="1611">
        <v>17</v>
      </c>
      <c r="B5662" s="1611" t="s">
        <v>2836</v>
      </c>
      <c r="C5662" s="1611" t="s">
        <v>6944</v>
      </c>
      <c r="D5662" s="1612" t="s">
        <v>7555</v>
      </c>
      <c r="E5662" s="1706" t="s">
        <v>7592</v>
      </c>
      <c r="F5662" s="1613">
        <v>30000000</v>
      </c>
      <c r="G5662" s="1613">
        <v>275215951599</v>
      </c>
    </row>
    <row r="5663" spans="1:7" ht="17.25" customHeight="1" x14ac:dyDescent="0.2">
      <c r="A5663" s="1611">
        <v>17</v>
      </c>
      <c r="B5663" s="1611" t="s">
        <v>2054</v>
      </c>
      <c r="C5663" s="1611" t="s">
        <v>6945</v>
      </c>
      <c r="D5663" s="1612" t="s">
        <v>2024</v>
      </c>
      <c r="E5663" s="1706" t="s">
        <v>7592</v>
      </c>
      <c r="F5663" s="1613">
        <v>14000000</v>
      </c>
      <c r="G5663" s="1613">
        <v>275229951599</v>
      </c>
    </row>
    <row r="5664" spans="1:7" ht="17.25" customHeight="1" x14ac:dyDescent="0.2">
      <c r="A5664" s="1611">
        <v>17</v>
      </c>
      <c r="B5664" s="1611" t="s">
        <v>2836</v>
      </c>
      <c r="C5664" s="1611" t="s">
        <v>6946</v>
      </c>
      <c r="D5664" s="1612" t="s">
        <v>7555</v>
      </c>
      <c r="E5664" s="1706" t="s">
        <v>7592</v>
      </c>
      <c r="F5664" s="1613">
        <v>31000000</v>
      </c>
      <c r="G5664" s="1613">
        <v>275260951599</v>
      </c>
    </row>
    <row r="5665" spans="1:7" ht="17.25" customHeight="1" x14ac:dyDescent="0.2">
      <c r="A5665" s="1611">
        <v>17</v>
      </c>
      <c r="B5665" s="1611" t="s">
        <v>2836</v>
      </c>
      <c r="C5665" s="1611" t="s">
        <v>4526</v>
      </c>
      <c r="D5665" s="1612" t="s">
        <v>7555</v>
      </c>
      <c r="E5665" s="1706" t="s">
        <v>7592</v>
      </c>
      <c r="F5665" s="1613">
        <v>30000000</v>
      </c>
      <c r="G5665" s="1613">
        <v>275290951599</v>
      </c>
    </row>
    <row r="5666" spans="1:7" ht="17.25" customHeight="1" x14ac:dyDescent="0.2">
      <c r="A5666" s="1611">
        <v>17</v>
      </c>
      <c r="B5666" s="1611" t="s">
        <v>2836</v>
      </c>
      <c r="C5666" s="1611" t="s">
        <v>6947</v>
      </c>
      <c r="D5666" s="1612" t="s">
        <v>7555</v>
      </c>
      <c r="E5666" s="1706" t="s">
        <v>7592</v>
      </c>
      <c r="F5666" s="1613">
        <v>31000000</v>
      </c>
      <c r="G5666" s="1613">
        <v>275321951599</v>
      </c>
    </row>
    <row r="5667" spans="1:7" ht="17.25" customHeight="1" x14ac:dyDescent="0.2">
      <c r="A5667" s="1611">
        <v>17</v>
      </c>
      <c r="B5667" s="1611" t="s">
        <v>2028</v>
      </c>
      <c r="C5667" s="1611" t="s">
        <v>5928</v>
      </c>
      <c r="D5667" s="1612" t="s">
        <v>2024</v>
      </c>
      <c r="E5667" s="1706" t="s">
        <v>7592</v>
      </c>
      <c r="F5667" s="1613">
        <v>14500000</v>
      </c>
      <c r="G5667" s="1613">
        <v>275336451599</v>
      </c>
    </row>
    <row r="5668" spans="1:7" ht="17.25" customHeight="1" x14ac:dyDescent="0.2">
      <c r="A5668" s="1611">
        <v>17</v>
      </c>
      <c r="B5668" s="1611" t="s">
        <v>2032</v>
      </c>
      <c r="C5668" s="1611" t="s">
        <v>6948</v>
      </c>
      <c r="D5668" s="1612" t="s">
        <v>7555</v>
      </c>
      <c r="E5668" s="1706" t="s">
        <v>7592</v>
      </c>
      <c r="F5668" s="1613">
        <v>18473000</v>
      </c>
      <c r="G5668" s="1613">
        <v>275354924599</v>
      </c>
    </row>
    <row r="5669" spans="1:7" ht="17.25" customHeight="1" x14ac:dyDescent="0.2">
      <c r="A5669" s="1611">
        <v>17</v>
      </c>
      <c r="B5669" s="1611" t="s">
        <v>2037</v>
      </c>
      <c r="C5669" s="1611" t="s">
        <v>3716</v>
      </c>
      <c r="D5669" s="1612" t="s">
        <v>7555</v>
      </c>
      <c r="E5669" s="1706" t="s">
        <v>7592</v>
      </c>
      <c r="F5669" s="1613">
        <v>18400000</v>
      </c>
      <c r="G5669" s="1613">
        <v>275373324599</v>
      </c>
    </row>
    <row r="5670" spans="1:7" ht="17.25" customHeight="1" x14ac:dyDescent="0.2">
      <c r="A5670" s="1611">
        <v>17</v>
      </c>
      <c r="B5670" s="1611" t="s">
        <v>2037</v>
      </c>
      <c r="C5670" s="1611" t="s">
        <v>4106</v>
      </c>
      <c r="D5670" s="1612" t="s">
        <v>7555</v>
      </c>
      <c r="E5670" s="1706" t="s">
        <v>7592</v>
      </c>
      <c r="F5670" s="1613">
        <v>36818182</v>
      </c>
      <c r="G5670" s="1613">
        <v>275410142781</v>
      </c>
    </row>
    <row r="5671" spans="1:7" ht="17.25" customHeight="1" x14ac:dyDescent="0.2">
      <c r="A5671" s="1611">
        <v>17</v>
      </c>
      <c r="B5671" s="1611" t="s">
        <v>2039</v>
      </c>
      <c r="C5671" s="1611" t="s">
        <v>6949</v>
      </c>
      <c r="D5671" s="1612" t="s">
        <v>7555</v>
      </c>
      <c r="E5671" s="1706" t="s">
        <v>7592</v>
      </c>
      <c r="F5671" s="1613">
        <v>40000000</v>
      </c>
      <c r="G5671" s="1613">
        <v>275450142781</v>
      </c>
    </row>
    <row r="5672" spans="1:7" ht="17.25" customHeight="1" x14ac:dyDescent="0.2">
      <c r="A5672" s="1611">
        <v>17</v>
      </c>
      <c r="B5672" s="1611" t="s">
        <v>2041</v>
      </c>
      <c r="C5672" s="1611" t="s">
        <v>6950</v>
      </c>
      <c r="D5672" s="1612" t="s">
        <v>7555</v>
      </c>
      <c r="E5672" s="1706" t="s">
        <v>7592</v>
      </c>
      <c r="F5672" s="1613">
        <v>52727273</v>
      </c>
      <c r="G5672" s="1613">
        <v>275502870054</v>
      </c>
    </row>
    <row r="5673" spans="1:7" ht="17.25" customHeight="1" x14ac:dyDescent="0.2">
      <c r="A5673" s="1611">
        <v>17</v>
      </c>
      <c r="B5673" s="1611" t="s">
        <v>2040</v>
      </c>
      <c r="C5673" s="1611" t="s">
        <v>6951</v>
      </c>
      <c r="D5673" s="1612" t="s">
        <v>7555</v>
      </c>
      <c r="E5673" s="1706" t="s">
        <v>7592</v>
      </c>
      <c r="F5673" s="1613">
        <v>40454545</v>
      </c>
      <c r="G5673" s="1613">
        <v>275543324599</v>
      </c>
    </row>
    <row r="5674" spans="1:7" ht="17.25" customHeight="1" x14ac:dyDescent="0.2">
      <c r="A5674" s="1611">
        <v>17</v>
      </c>
      <c r="B5674" s="1611" t="s">
        <v>2028</v>
      </c>
      <c r="C5674" s="1611" t="s">
        <v>6952</v>
      </c>
      <c r="D5674" s="1612" t="s">
        <v>2024</v>
      </c>
      <c r="E5674" s="1706" t="s">
        <v>7592</v>
      </c>
      <c r="F5674" s="1613">
        <v>14500000</v>
      </c>
      <c r="G5674" s="1613">
        <v>275557824599</v>
      </c>
    </row>
    <row r="5675" spans="1:7" ht="17.25" customHeight="1" x14ac:dyDescent="0.2">
      <c r="A5675" s="1611">
        <v>17</v>
      </c>
      <c r="B5675" s="1611" t="s">
        <v>2041</v>
      </c>
      <c r="C5675" s="1611" t="s">
        <v>6025</v>
      </c>
      <c r="D5675" s="1612" t="s">
        <v>7555</v>
      </c>
      <c r="E5675" s="1706" t="s">
        <v>7592</v>
      </c>
      <c r="F5675" s="1613">
        <v>52000000</v>
      </c>
      <c r="G5675" s="1613">
        <v>275609824599</v>
      </c>
    </row>
    <row r="5676" spans="1:7" ht="17.25" customHeight="1" x14ac:dyDescent="0.2">
      <c r="A5676" s="1611">
        <v>17</v>
      </c>
      <c r="B5676" s="1611" t="s">
        <v>2039</v>
      </c>
      <c r="C5676" s="1611" t="s">
        <v>5297</v>
      </c>
      <c r="D5676" s="1612" t="s">
        <v>7555</v>
      </c>
      <c r="E5676" s="1706" t="s">
        <v>7592</v>
      </c>
      <c r="F5676" s="1613">
        <v>45000000</v>
      </c>
      <c r="G5676" s="1613">
        <v>275654824599</v>
      </c>
    </row>
    <row r="5677" spans="1:7" ht="17.25" customHeight="1" x14ac:dyDescent="0.2">
      <c r="A5677" s="1611">
        <v>17</v>
      </c>
      <c r="B5677" s="1611" t="s">
        <v>2037</v>
      </c>
      <c r="C5677" s="1611" t="s">
        <v>5520</v>
      </c>
      <c r="D5677" s="1612" t="s">
        <v>7555</v>
      </c>
      <c r="E5677" s="1706" t="s">
        <v>7592</v>
      </c>
      <c r="F5677" s="1613">
        <v>39545454</v>
      </c>
      <c r="G5677" s="1613">
        <v>275694370053</v>
      </c>
    </row>
    <row r="5678" spans="1:7" ht="17.25" customHeight="1" x14ac:dyDescent="0.2">
      <c r="A5678" s="1611">
        <v>17</v>
      </c>
      <c r="B5678" s="1611" t="s">
        <v>2037</v>
      </c>
      <c r="C5678" s="1611" t="s">
        <v>4290</v>
      </c>
      <c r="D5678" s="1612" t="s">
        <v>7555</v>
      </c>
      <c r="E5678" s="1706" t="s">
        <v>7592</v>
      </c>
      <c r="F5678" s="1613">
        <v>36500000</v>
      </c>
      <c r="G5678" s="1613">
        <v>275730870053</v>
      </c>
    </row>
    <row r="5679" spans="1:7" ht="17.25" customHeight="1" x14ac:dyDescent="0.2">
      <c r="A5679" s="1611">
        <v>17</v>
      </c>
      <c r="B5679" s="1611" t="s">
        <v>2049</v>
      </c>
      <c r="C5679" s="1611" t="s">
        <v>5956</v>
      </c>
      <c r="D5679" s="1612" t="s">
        <v>2023</v>
      </c>
      <c r="E5679" s="1706" t="s">
        <v>7592</v>
      </c>
      <c r="F5679" s="1613">
        <v>99440910</v>
      </c>
      <c r="G5679" s="1613">
        <v>275830310963</v>
      </c>
    </row>
    <row r="5680" spans="1:7" ht="17.25" customHeight="1" x14ac:dyDescent="0.2">
      <c r="A5680" s="1611">
        <v>17</v>
      </c>
      <c r="B5680" s="1611" t="s">
        <v>2028</v>
      </c>
      <c r="C5680" s="1611" t="s">
        <v>6953</v>
      </c>
      <c r="D5680" s="1612" t="s">
        <v>2024</v>
      </c>
      <c r="E5680" s="1706" t="s">
        <v>7592</v>
      </c>
      <c r="F5680" s="1613">
        <v>14000000</v>
      </c>
      <c r="G5680" s="1613">
        <v>275844310963</v>
      </c>
    </row>
    <row r="5681" spans="1:7" ht="17.25" customHeight="1" x14ac:dyDescent="0.2">
      <c r="A5681" s="1611">
        <v>17</v>
      </c>
      <c r="B5681" s="1611" t="s">
        <v>2062</v>
      </c>
      <c r="C5681" s="1611" t="s">
        <v>6954</v>
      </c>
      <c r="D5681" s="1612" t="s">
        <v>2023</v>
      </c>
      <c r="E5681" s="1706" t="s">
        <v>7592</v>
      </c>
      <c r="F5681" s="1613">
        <v>178000000</v>
      </c>
      <c r="G5681" s="1613">
        <v>276022310963</v>
      </c>
    </row>
    <row r="5682" spans="1:7" ht="17.25" customHeight="1" x14ac:dyDescent="0.2">
      <c r="A5682" s="1611">
        <v>17</v>
      </c>
      <c r="B5682" s="1611" t="s">
        <v>2032</v>
      </c>
      <c r="C5682" s="1611" t="s">
        <v>6559</v>
      </c>
      <c r="D5682" s="1612" t="s">
        <v>7555</v>
      </c>
      <c r="E5682" s="1706" t="s">
        <v>7592</v>
      </c>
      <c r="F5682" s="1613">
        <v>36363636</v>
      </c>
      <c r="G5682" s="1613">
        <v>276058674599</v>
      </c>
    </row>
    <row r="5683" spans="1:7" ht="17.25" customHeight="1" x14ac:dyDescent="0.2">
      <c r="A5683" s="1611">
        <v>17</v>
      </c>
      <c r="B5683" s="1611" t="s">
        <v>2836</v>
      </c>
      <c r="C5683" s="1611" t="s">
        <v>4422</v>
      </c>
      <c r="D5683" s="1612" t="s">
        <v>7555</v>
      </c>
      <c r="E5683" s="1706" t="s">
        <v>7592</v>
      </c>
      <c r="F5683" s="1613">
        <v>31000000</v>
      </c>
      <c r="G5683" s="1613">
        <v>276089674599</v>
      </c>
    </row>
    <row r="5684" spans="1:7" ht="17.25" customHeight="1" x14ac:dyDescent="0.2">
      <c r="A5684" s="1611">
        <v>17</v>
      </c>
      <c r="B5684" s="1611" t="s">
        <v>2836</v>
      </c>
      <c r="C5684" s="1611" t="s">
        <v>5823</v>
      </c>
      <c r="D5684" s="1612" t="s">
        <v>7555</v>
      </c>
      <c r="E5684" s="1706" t="s">
        <v>7592</v>
      </c>
      <c r="F5684" s="1613">
        <v>31000000</v>
      </c>
      <c r="G5684" s="1613">
        <v>276120674599</v>
      </c>
    </row>
    <row r="5685" spans="1:7" ht="17.25" customHeight="1" x14ac:dyDescent="0.2">
      <c r="A5685" s="1611">
        <v>17</v>
      </c>
      <c r="B5685" s="1611" t="s">
        <v>2039</v>
      </c>
      <c r="C5685" s="1611" t="s">
        <v>6955</v>
      </c>
      <c r="D5685" s="1612" t="s">
        <v>7555</v>
      </c>
      <c r="E5685" s="1706" t="s">
        <v>7592</v>
      </c>
      <c r="F5685" s="1613">
        <v>40000000</v>
      </c>
      <c r="G5685" s="1613">
        <v>276160674599</v>
      </c>
    </row>
    <row r="5686" spans="1:7" ht="17.25" customHeight="1" x14ac:dyDescent="0.2">
      <c r="A5686" s="1611">
        <v>17</v>
      </c>
      <c r="B5686" s="1611" t="s">
        <v>2039</v>
      </c>
      <c r="C5686" s="1611" t="s">
        <v>6956</v>
      </c>
      <c r="D5686" s="1612" t="s">
        <v>7555</v>
      </c>
      <c r="E5686" s="1706" t="s">
        <v>7592</v>
      </c>
      <c r="F5686" s="1613">
        <v>41181818</v>
      </c>
      <c r="G5686" s="1613">
        <v>276201856417</v>
      </c>
    </row>
    <row r="5687" spans="1:7" ht="17.25" customHeight="1" x14ac:dyDescent="0.2">
      <c r="A5687" s="1611">
        <v>17</v>
      </c>
      <c r="B5687" s="1611" t="s">
        <v>2836</v>
      </c>
      <c r="C5687" s="1611" t="s">
        <v>6957</v>
      </c>
      <c r="D5687" s="1612" t="s">
        <v>7555</v>
      </c>
      <c r="E5687" s="1706" t="s">
        <v>7592</v>
      </c>
      <c r="F5687" s="1613">
        <v>31000000</v>
      </c>
      <c r="G5687" s="1613">
        <v>276232856417</v>
      </c>
    </row>
    <row r="5688" spans="1:7" ht="17.25" customHeight="1" x14ac:dyDescent="0.2">
      <c r="A5688" s="1611">
        <v>17</v>
      </c>
      <c r="B5688" s="1611" t="s">
        <v>2041</v>
      </c>
      <c r="C5688" s="1611" t="s">
        <v>6958</v>
      </c>
      <c r="D5688" s="1612" t="s">
        <v>7555</v>
      </c>
      <c r="E5688" s="1706" t="s">
        <v>7592</v>
      </c>
      <c r="F5688" s="1613">
        <v>48181819</v>
      </c>
      <c r="G5688" s="1613">
        <v>276281038236</v>
      </c>
    </row>
    <row r="5689" spans="1:7" ht="17.25" customHeight="1" x14ac:dyDescent="0.2">
      <c r="A5689" s="1611">
        <v>17</v>
      </c>
      <c r="B5689" s="1611" t="s">
        <v>2048</v>
      </c>
      <c r="C5689" s="1611" t="s">
        <v>6959</v>
      </c>
      <c r="D5689" s="1612" t="s">
        <v>7555</v>
      </c>
      <c r="E5689" s="1706" t="s">
        <v>7592</v>
      </c>
      <c r="F5689" s="1613">
        <v>43000000</v>
      </c>
      <c r="G5689" s="1613">
        <v>276324038236</v>
      </c>
    </row>
    <row r="5690" spans="1:7" ht="17.25" customHeight="1" x14ac:dyDescent="0.2">
      <c r="A5690" s="1611">
        <v>17</v>
      </c>
      <c r="B5690" s="1611" t="s">
        <v>2039</v>
      </c>
      <c r="C5690" s="1611" t="s">
        <v>6960</v>
      </c>
      <c r="D5690" s="1612" t="s">
        <v>7555</v>
      </c>
      <c r="E5690" s="1706" t="s">
        <v>7592</v>
      </c>
      <c r="F5690" s="1613">
        <v>37272728</v>
      </c>
      <c r="G5690" s="1613">
        <v>276361310964</v>
      </c>
    </row>
    <row r="5691" spans="1:7" ht="17.25" customHeight="1" x14ac:dyDescent="0.2">
      <c r="A5691" s="1611">
        <v>17</v>
      </c>
      <c r="B5691" s="1611" t="s">
        <v>2032</v>
      </c>
      <c r="C5691" s="1611" t="s">
        <v>6961</v>
      </c>
      <c r="D5691" s="1612" t="s">
        <v>7555</v>
      </c>
      <c r="E5691" s="1706" t="s">
        <v>7592</v>
      </c>
      <c r="F5691" s="1613">
        <v>37727273</v>
      </c>
      <c r="G5691" s="1613">
        <v>276399038237</v>
      </c>
    </row>
    <row r="5692" spans="1:7" ht="17.25" customHeight="1" x14ac:dyDescent="0.2">
      <c r="A5692" s="1611">
        <v>17</v>
      </c>
      <c r="B5692" s="1611" t="s">
        <v>2032</v>
      </c>
      <c r="C5692" s="1611" t="s">
        <v>6962</v>
      </c>
      <c r="D5692" s="1612" t="s">
        <v>7555</v>
      </c>
      <c r="E5692" s="1706" t="s">
        <v>7592</v>
      </c>
      <c r="F5692" s="1613">
        <v>35909091</v>
      </c>
      <c r="G5692" s="1613">
        <v>276434947328</v>
      </c>
    </row>
    <row r="5693" spans="1:7" ht="17.25" customHeight="1" x14ac:dyDescent="0.2">
      <c r="A5693" s="1611">
        <v>17</v>
      </c>
      <c r="B5693" s="1611" t="s">
        <v>2032</v>
      </c>
      <c r="C5693" s="1611" t="s">
        <v>4163</v>
      </c>
      <c r="D5693" s="1612" t="s">
        <v>7555</v>
      </c>
      <c r="E5693" s="1706" t="s">
        <v>7592</v>
      </c>
      <c r="F5693" s="1613">
        <v>36363636</v>
      </c>
      <c r="G5693" s="1613">
        <v>276471310964</v>
      </c>
    </row>
    <row r="5694" spans="1:7" ht="17.25" customHeight="1" x14ac:dyDescent="0.2">
      <c r="A5694" s="1611">
        <v>17</v>
      </c>
      <c r="B5694" s="1611" t="s">
        <v>2037</v>
      </c>
      <c r="C5694" s="1611" t="s">
        <v>6963</v>
      </c>
      <c r="D5694" s="1612" t="s">
        <v>7555</v>
      </c>
      <c r="E5694" s="1706" t="s">
        <v>7592</v>
      </c>
      <c r="F5694" s="1613">
        <v>37272728</v>
      </c>
      <c r="G5694" s="1613">
        <v>276508583692</v>
      </c>
    </row>
    <row r="5695" spans="1:7" ht="17.25" customHeight="1" x14ac:dyDescent="0.2">
      <c r="A5695" s="1611">
        <v>17</v>
      </c>
      <c r="B5695" s="1611" t="s">
        <v>2037</v>
      </c>
      <c r="C5695" s="1611" t="s">
        <v>6655</v>
      </c>
      <c r="D5695" s="1612" t="s">
        <v>7555</v>
      </c>
      <c r="E5695" s="1706" t="s">
        <v>7592</v>
      </c>
      <c r="F5695" s="1613">
        <v>38500000</v>
      </c>
      <c r="G5695" s="1613">
        <v>276547083692</v>
      </c>
    </row>
    <row r="5696" spans="1:7" ht="17.25" customHeight="1" x14ac:dyDescent="0.2">
      <c r="A5696" s="1611">
        <v>17</v>
      </c>
      <c r="B5696" s="1611" t="s">
        <v>2037</v>
      </c>
      <c r="C5696" s="1611" t="s">
        <v>6569</v>
      </c>
      <c r="D5696" s="1612" t="s">
        <v>7555</v>
      </c>
      <c r="E5696" s="1706" t="s">
        <v>7592</v>
      </c>
      <c r="F5696" s="1613">
        <v>18572730</v>
      </c>
      <c r="G5696" s="1613">
        <v>276565656422</v>
      </c>
    </row>
    <row r="5697" spans="1:7" ht="17.25" customHeight="1" x14ac:dyDescent="0.2">
      <c r="A5697" s="1611">
        <v>17</v>
      </c>
      <c r="B5697" s="1611" t="s">
        <v>2049</v>
      </c>
      <c r="C5697" s="1611" t="s">
        <v>5961</v>
      </c>
      <c r="D5697" s="1612" t="s">
        <v>2023</v>
      </c>
      <c r="E5697" s="1706" t="s">
        <v>7592</v>
      </c>
      <c r="F5697" s="1613">
        <v>99440910</v>
      </c>
      <c r="G5697" s="1613">
        <v>276665097332</v>
      </c>
    </row>
    <row r="5698" spans="1:7" ht="17.25" customHeight="1" x14ac:dyDescent="0.2">
      <c r="A5698" s="1611">
        <v>17</v>
      </c>
      <c r="B5698" s="1611" t="s">
        <v>2028</v>
      </c>
      <c r="C5698" s="1611" t="s">
        <v>6964</v>
      </c>
      <c r="D5698" s="1612" t="s">
        <v>2024</v>
      </c>
      <c r="E5698" s="1706" t="s">
        <v>7592</v>
      </c>
      <c r="F5698" s="1613">
        <v>14500000</v>
      </c>
      <c r="G5698" s="1613">
        <v>276679597332</v>
      </c>
    </row>
    <row r="5699" spans="1:7" ht="17.25" customHeight="1" x14ac:dyDescent="0.2">
      <c r="A5699" s="1611">
        <v>17</v>
      </c>
      <c r="B5699" s="1611" t="s">
        <v>2032</v>
      </c>
      <c r="C5699" s="1611" t="s">
        <v>5260</v>
      </c>
      <c r="D5699" s="1612" t="s">
        <v>7555</v>
      </c>
      <c r="E5699" s="1706" t="s">
        <v>7592</v>
      </c>
      <c r="F5699" s="1613">
        <v>35909091</v>
      </c>
      <c r="G5699" s="1613">
        <v>276715506423</v>
      </c>
    </row>
    <row r="5700" spans="1:7" ht="17.25" customHeight="1" x14ac:dyDescent="0.2">
      <c r="A5700" s="1611">
        <v>17</v>
      </c>
      <c r="B5700" s="1611" t="s">
        <v>2037</v>
      </c>
      <c r="C5700" s="1611" t="s">
        <v>6965</v>
      </c>
      <c r="D5700" s="1612" t="s">
        <v>7555</v>
      </c>
      <c r="E5700" s="1706" t="s">
        <v>7592</v>
      </c>
      <c r="F5700" s="1613">
        <v>36500000</v>
      </c>
      <c r="G5700" s="1613">
        <v>276752006423</v>
      </c>
    </row>
    <row r="5701" spans="1:7" ht="17.25" customHeight="1" x14ac:dyDescent="0.2">
      <c r="A5701" s="1611">
        <v>17</v>
      </c>
      <c r="B5701" s="1611" t="s">
        <v>2037</v>
      </c>
      <c r="C5701" s="1611" t="s">
        <v>6966</v>
      </c>
      <c r="D5701" s="1612" t="s">
        <v>7555</v>
      </c>
      <c r="E5701" s="1706" t="s">
        <v>7592</v>
      </c>
      <c r="F5701" s="1613">
        <v>38400000</v>
      </c>
      <c r="G5701" s="1613">
        <v>276790406423</v>
      </c>
    </row>
    <row r="5702" spans="1:7" ht="17.25" customHeight="1" x14ac:dyDescent="0.2">
      <c r="A5702" s="1611">
        <v>17</v>
      </c>
      <c r="B5702" s="1611" t="s">
        <v>2043</v>
      </c>
      <c r="C5702" s="1611" t="s">
        <v>6967</v>
      </c>
      <c r="D5702" s="1612" t="s">
        <v>7555</v>
      </c>
      <c r="E5702" s="1706" t="s">
        <v>7592</v>
      </c>
      <c r="F5702" s="1613">
        <v>56000000</v>
      </c>
      <c r="G5702" s="1613">
        <v>276846406423</v>
      </c>
    </row>
    <row r="5703" spans="1:7" ht="17.25" customHeight="1" x14ac:dyDescent="0.2">
      <c r="A5703" s="1611">
        <v>17</v>
      </c>
      <c r="B5703" s="1611" t="s">
        <v>2037</v>
      </c>
      <c r="C5703" s="1611" t="s">
        <v>3424</v>
      </c>
      <c r="D5703" s="1612" t="s">
        <v>7555</v>
      </c>
      <c r="E5703" s="1706" t="s">
        <v>7592</v>
      </c>
      <c r="F5703" s="1613">
        <v>36500000</v>
      </c>
      <c r="G5703" s="1613">
        <v>276882906423</v>
      </c>
    </row>
    <row r="5704" spans="1:7" ht="17.25" customHeight="1" x14ac:dyDescent="0.2">
      <c r="A5704" s="1611">
        <v>17</v>
      </c>
      <c r="B5704" s="1611" t="s">
        <v>2063</v>
      </c>
      <c r="C5704" s="1611" t="s">
        <v>6968</v>
      </c>
      <c r="D5704" s="1612" t="s">
        <v>2023</v>
      </c>
      <c r="E5704" s="1706" t="s">
        <v>7592</v>
      </c>
      <c r="F5704" s="1613">
        <v>161000000</v>
      </c>
      <c r="G5704" s="1613">
        <v>277043906423</v>
      </c>
    </row>
    <row r="5705" spans="1:7" ht="17.25" customHeight="1" x14ac:dyDescent="0.2">
      <c r="A5705" s="1611">
        <v>17</v>
      </c>
      <c r="B5705" s="1611" t="s">
        <v>2037</v>
      </c>
      <c r="C5705" s="1611" t="s">
        <v>6969</v>
      </c>
      <c r="D5705" s="1612" t="s">
        <v>7555</v>
      </c>
      <c r="E5705" s="1706" t="s">
        <v>7592</v>
      </c>
      <c r="F5705" s="1613">
        <v>37000000</v>
      </c>
      <c r="G5705" s="1613">
        <v>277080906423</v>
      </c>
    </row>
    <row r="5706" spans="1:7" ht="17.25" customHeight="1" x14ac:dyDescent="0.2">
      <c r="A5706" s="1611">
        <v>17</v>
      </c>
      <c r="B5706" s="1611" t="s">
        <v>2037</v>
      </c>
      <c r="C5706" s="1611" t="s">
        <v>6970</v>
      </c>
      <c r="D5706" s="1612" t="s">
        <v>7555</v>
      </c>
      <c r="E5706" s="1706" t="s">
        <v>7592</v>
      </c>
      <c r="F5706" s="1613">
        <v>37000000</v>
      </c>
      <c r="G5706" s="1613">
        <v>277117906423</v>
      </c>
    </row>
    <row r="5707" spans="1:7" ht="17.25" customHeight="1" x14ac:dyDescent="0.2">
      <c r="A5707" s="1611">
        <v>17</v>
      </c>
      <c r="B5707" s="1611" t="s">
        <v>2039</v>
      </c>
      <c r="C5707" s="1611" t="s">
        <v>6971</v>
      </c>
      <c r="D5707" s="1612" t="s">
        <v>7555</v>
      </c>
      <c r="E5707" s="1706" t="s">
        <v>7592</v>
      </c>
      <c r="F5707" s="1613">
        <v>41818182</v>
      </c>
      <c r="G5707" s="1613">
        <v>277159724605</v>
      </c>
    </row>
    <row r="5708" spans="1:7" ht="17.25" customHeight="1" x14ac:dyDescent="0.2">
      <c r="A5708" s="1611">
        <v>17</v>
      </c>
      <c r="B5708" s="1611" t="s">
        <v>2043</v>
      </c>
      <c r="C5708" s="1611" t="s">
        <v>6972</v>
      </c>
      <c r="D5708" s="1612" t="s">
        <v>7555</v>
      </c>
      <c r="E5708" s="1706" t="s">
        <v>7592</v>
      </c>
      <c r="F5708" s="1613">
        <v>54500000</v>
      </c>
      <c r="G5708" s="1613">
        <v>277214224605</v>
      </c>
    </row>
    <row r="5709" spans="1:7" ht="17.25" customHeight="1" x14ac:dyDescent="0.2">
      <c r="A5709" s="1611">
        <v>17</v>
      </c>
      <c r="B5709" s="1611" t="s">
        <v>2043</v>
      </c>
      <c r="C5709" s="1611" t="s">
        <v>6973</v>
      </c>
      <c r="D5709" s="1612" t="s">
        <v>7555</v>
      </c>
      <c r="E5709" s="1706" t="s">
        <v>7592</v>
      </c>
      <c r="F5709" s="1613">
        <v>55000000</v>
      </c>
      <c r="G5709" s="1613">
        <v>277269224605</v>
      </c>
    </row>
    <row r="5710" spans="1:7" ht="17.25" customHeight="1" x14ac:dyDescent="0.2">
      <c r="A5710" s="1611">
        <v>17</v>
      </c>
      <c r="B5710" s="1611" t="s">
        <v>2048</v>
      </c>
      <c r="C5710" s="1611" t="s">
        <v>5862</v>
      </c>
      <c r="D5710" s="1612" t="s">
        <v>7555</v>
      </c>
      <c r="E5710" s="1706" t="s">
        <v>7592</v>
      </c>
      <c r="F5710" s="1613">
        <v>42000000</v>
      </c>
      <c r="G5710" s="1613">
        <v>277311224605</v>
      </c>
    </row>
    <row r="5711" spans="1:7" ht="17.25" customHeight="1" x14ac:dyDescent="0.2">
      <c r="A5711" s="1611">
        <v>17</v>
      </c>
      <c r="B5711" s="1611" t="s">
        <v>2055</v>
      </c>
      <c r="C5711" s="1611" t="s">
        <v>6974</v>
      </c>
      <c r="D5711" s="1612" t="s">
        <v>7555</v>
      </c>
      <c r="E5711" s="1706" t="s">
        <v>7592</v>
      </c>
      <c r="F5711" s="1613">
        <v>62000000</v>
      </c>
      <c r="G5711" s="1613">
        <v>277373224605</v>
      </c>
    </row>
    <row r="5712" spans="1:7" ht="17.25" customHeight="1" x14ac:dyDescent="0.2">
      <c r="A5712" s="1611">
        <v>17</v>
      </c>
      <c r="B5712" s="1611" t="s">
        <v>2055</v>
      </c>
      <c r="C5712" s="1611" t="s">
        <v>6975</v>
      </c>
      <c r="D5712" s="1612" t="s">
        <v>7555</v>
      </c>
      <c r="E5712" s="1706" t="s">
        <v>7592</v>
      </c>
      <c r="F5712" s="1613">
        <v>58218181</v>
      </c>
      <c r="G5712" s="1613">
        <v>277431442786</v>
      </c>
    </row>
    <row r="5713" spans="1:7" ht="17.25" customHeight="1" x14ac:dyDescent="0.2">
      <c r="A5713" s="1611">
        <v>17</v>
      </c>
      <c r="B5713" s="1611" t="s">
        <v>7153</v>
      </c>
      <c r="C5713" s="1611" t="s">
        <v>4964</v>
      </c>
      <c r="D5713" s="1612">
        <v>0</v>
      </c>
      <c r="E5713" s="1612" t="s">
        <v>3299</v>
      </c>
      <c r="F5713" s="1613">
        <v>131898270</v>
      </c>
      <c r="G5713" s="1614"/>
    </row>
    <row r="5714" spans="1:7" ht="17.25" customHeight="1" x14ac:dyDescent="0.2">
      <c r="A5714" s="1611">
        <v>17</v>
      </c>
      <c r="B5714" s="1611" t="s">
        <v>7372</v>
      </c>
      <c r="C5714" s="1611" t="s">
        <v>4964</v>
      </c>
      <c r="D5714" s="1612">
        <v>0</v>
      </c>
      <c r="E5714" s="1612" t="s">
        <v>3299</v>
      </c>
      <c r="F5714" s="1613">
        <v>502149915</v>
      </c>
      <c r="G5714" s="1613">
        <v>278065490971</v>
      </c>
    </row>
    <row r="5715" spans="1:7" ht="17.25" customHeight="1" x14ac:dyDescent="0.2">
      <c r="A5715" s="1611">
        <v>17</v>
      </c>
      <c r="B5715" s="1611" t="s">
        <v>2037</v>
      </c>
      <c r="C5715" s="1611" t="s">
        <v>5414</v>
      </c>
      <c r="D5715" s="1612" t="s">
        <v>7555</v>
      </c>
      <c r="E5715" s="1706" t="s">
        <v>7592</v>
      </c>
      <c r="F5715" s="1613">
        <v>18572730</v>
      </c>
      <c r="G5715" s="1613">
        <v>278084063701</v>
      </c>
    </row>
    <row r="5716" spans="1:7" ht="17.25" customHeight="1" x14ac:dyDescent="0.2">
      <c r="A5716" s="1611">
        <v>17</v>
      </c>
      <c r="B5716" s="1611" t="s">
        <v>2032</v>
      </c>
      <c r="C5716" s="1611" t="s">
        <v>6976</v>
      </c>
      <c r="D5716" s="1612" t="s">
        <v>7555</v>
      </c>
      <c r="E5716" s="1706" t="s">
        <v>7592</v>
      </c>
      <c r="F5716" s="1613">
        <v>36363636</v>
      </c>
      <c r="G5716" s="1613">
        <v>278120427337</v>
      </c>
    </row>
    <row r="5717" spans="1:7" ht="17.25" customHeight="1" x14ac:dyDescent="0.2">
      <c r="A5717" s="1611">
        <v>17</v>
      </c>
      <c r="B5717" s="1611" t="s">
        <v>2032</v>
      </c>
      <c r="C5717" s="1611" t="s">
        <v>4296</v>
      </c>
      <c r="D5717" s="1612" t="s">
        <v>7555</v>
      </c>
      <c r="E5717" s="1706" t="s">
        <v>7592</v>
      </c>
      <c r="F5717" s="1613">
        <v>35300000</v>
      </c>
      <c r="G5717" s="1613">
        <v>278155727337</v>
      </c>
    </row>
    <row r="5718" spans="1:7" ht="17.25" customHeight="1" x14ac:dyDescent="0.2">
      <c r="A5718" s="1611">
        <v>17</v>
      </c>
      <c r="B5718" s="1611" t="s">
        <v>2039</v>
      </c>
      <c r="C5718" s="1611" t="s">
        <v>6977</v>
      </c>
      <c r="D5718" s="1612" t="s">
        <v>7555</v>
      </c>
      <c r="E5718" s="1706" t="s">
        <v>7592</v>
      </c>
      <c r="F5718" s="1613">
        <v>44120000</v>
      </c>
      <c r="G5718" s="1613">
        <v>278199847337</v>
      </c>
    </row>
    <row r="5719" spans="1:7" ht="17.25" customHeight="1" x14ac:dyDescent="0.2">
      <c r="A5719" s="1611">
        <v>17</v>
      </c>
      <c r="B5719" s="1611" t="s">
        <v>2028</v>
      </c>
      <c r="C5719" s="1611" t="s">
        <v>6978</v>
      </c>
      <c r="D5719" s="1612" t="s">
        <v>2024</v>
      </c>
      <c r="E5719" s="1706" t="s">
        <v>7592</v>
      </c>
      <c r="F5719" s="1613">
        <v>13890000</v>
      </c>
      <c r="G5719" s="1613">
        <v>278213737337</v>
      </c>
    </row>
    <row r="5720" spans="1:7" ht="17.25" customHeight="1" x14ac:dyDescent="0.2">
      <c r="A5720" s="1611">
        <v>17</v>
      </c>
      <c r="B5720" s="1611" t="s">
        <v>2836</v>
      </c>
      <c r="C5720" s="1611" t="s">
        <v>3491</v>
      </c>
      <c r="D5720" s="1612" t="s">
        <v>7555</v>
      </c>
      <c r="E5720" s="1706" t="s">
        <v>7592</v>
      </c>
      <c r="F5720" s="1613">
        <v>31000000</v>
      </c>
      <c r="G5720" s="1613">
        <v>278244737337</v>
      </c>
    </row>
    <row r="5721" spans="1:7" ht="17.25" customHeight="1" x14ac:dyDescent="0.2">
      <c r="A5721" s="1611">
        <v>17</v>
      </c>
      <c r="B5721" s="1611" t="s">
        <v>2836</v>
      </c>
      <c r="C5721" s="1611" t="s">
        <v>6979</v>
      </c>
      <c r="D5721" s="1612" t="s">
        <v>7555</v>
      </c>
      <c r="E5721" s="1706" t="s">
        <v>7592</v>
      </c>
      <c r="F5721" s="1613">
        <v>31000000</v>
      </c>
      <c r="G5721" s="1613">
        <v>278275737337</v>
      </c>
    </row>
    <row r="5722" spans="1:7" ht="17.25" customHeight="1" x14ac:dyDescent="0.2">
      <c r="A5722" s="1611">
        <v>17</v>
      </c>
      <c r="B5722" s="1611" t="s">
        <v>2037</v>
      </c>
      <c r="C5722" s="1611" t="s">
        <v>4060</v>
      </c>
      <c r="D5722" s="1612" t="s">
        <v>7555</v>
      </c>
      <c r="E5722" s="1706" t="s">
        <v>7592</v>
      </c>
      <c r="F5722" s="1613">
        <v>35500000</v>
      </c>
      <c r="G5722" s="1613">
        <v>278311237337</v>
      </c>
    </row>
    <row r="5723" spans="1:7" ht="17.25" customHeight="1" x14ac:dyDescent="0.2">
      <c r="A5723" s="1611">
        <v>17</v>
      </c>
      <c r="B5723" s="1611" t="s">
        <v>2037</v>
      </c>
      <c r="C5723" s="1611" t="s">
        <v>6980</v>
      </c>
      <c r="D5723" s="1612" t="s">
        <v>7555</v>
      </c>
      <c r="E5723" s="1706" t="s">
        <v>7592</v>
      </c>
      <c r="F5723" s="1613">
        <v>38181818</v>
      </c>
      <c r="G5723" s="1613">
        <v>278349419155</v>
      </c>
    </row>
    <row r="5724" spans="1:7" ht="17.25" customHeight="1" x14ac:dyDescent="0.2">
      <c r="A5724" s="1611">
        <v>17</v>
      </c>
      <c r="B5724" s="1611" t="s">
        <v>2061</v>
      </c>
      <c r="C5724" s="1611" t="s">
        <v>6981</v>
      </c>
      <c r="D5724" s="1612" t="s">
        <v>2023</v>
      </c>
      <c r="E5724" s="1706" t="s">
        <v>7592</v>
      </c>
      <c r="F5724" s="1613">
        <v>148800000</v>
      </c>
      <c r="G5724" s="1613">
        <v>278498219155</v>
      </c>
    </row>
    <row r="5725" spans="1:7" ht="17.25" customHeight="1" x14ac:dyDescent="0.2">
      <c r="A5725" s="1611">
        <v>17</v>
      </c>
      <c r="B5725" s="1611" t="s">
        <v>2060</v>
      </c>
      <c r="C5725" s="1611" t="s">
        <v>6982</v>
      </c>
      <c r="D5725" s="1612" t="s">
        <v>2023</v>
      </c>
      <c r="E5725" s="1706" t="s">
        <v>7592</v>
      </c>
      <c r="F5725" s="1613">
        <v>163600000</v>
      </c>
      <c r="G5725" s="1613">
        <v>278661819155</v>
      </c>
    </row>
    <row r="5726" spans="1:7" ht="17.25" customHeight="1" x14ac:dyDescent="0.2">
      <c r="A5726" s="1611">
        <v>17</v>
      </c>
      <c r="B5726" s="1611" t="s">
        <v>2043</v>
      </c>
      <c r="C5726" s="1611" t="s">
        <v>6983</v>
      </c>
      <c r="D5726" s="1612" t="s">
        <v>7555</v>
      </c>
      <c r="E5726" s="1706" t="s">
        <v>7592</v>
      </c>
      <c r="F5726" s="1613">
        <v>55000000</v>
      </c>
      <c r="G5726" s="1613">
        <v>278716819155</v>
      </c>
    </row>
    <row r="5727" spans="1:7" ht="17.25" customHeight="1" x14ac:dyDescent="0.2">
      <c r="A5727" s="1611">
        <v>17</v>
      </c>
      <c r="B5727" s="1611" t="s">
        <v>2037</v>
      </c>
      <c r="C5727" s="1611" t="s">
        <v>6984</v>
      </c>
      <c r="D5727" s="1612" t="s">
        <v>7555</v>
      </c>
      <c r="E5727" s="1706" t="s">
        <v>7592</v>
      </c>
      <c r="F5727" s="1613">
        <v>18473000</v>
      </c>
      <c r="G5727" s="1613">
        <v>278735292155</v>
      </c>
    </row>
    <row r="5728" spans="1:7" ht="17.25" customHeight="1" x14ac:dyDescent="0.2">
      <c r="A5728" s="1611">
        <v>17</v>
      </c>
      <c r="B5728" s="1611" t="s">
        <v>2037</v>
      </c>
      <c r="C5728" s="1611" t="s">
        <v>4323</v>
      </c>
      <c r="D5728" s="1612" t="s">
        <v>7555</v>
      </c>
      <c r="E5728" s="1706" t="s">
        <v>7592</v>
      </c>
      <c r="F5728" s="1613">
        <v>38636364</v>
      </c>
      <c r="G5728" s="1613">
        <v>278773928519</v>
      </c>
    </row>
    <row r="5729" spans="1:7" ht="17.25" customHeight="1" x14ac:dyDescent="0.2">
      <c r="A5729" s="1611">
        <v>17</v>
      </c>
      <c r="B5729" s="1611" t="s">
        <v>2037</v>
      </c>
      <c r="C5729" s="1611" t="s">
        <v>6985</v>
      </c>
      <c r="D5729" s="1612" t="s">
        <v>7555</v>
      </c>
      <c r="E5729" s="1706" t="s">
        <v>7592</v>
      </c>
      <c r="F5729" s="1613">
        <v>36800000</v>
      </c>
      <c r="G5729" s="1613">
        <v>278810728519</v>
      </c>
    </row>
    <row r="5730" spans="1:7" ht="17.25" customHeight="1" x14ac:dyDescent="0.2">
      <c r="A5730" s="1611">
        <v>17</v>
      </c>
      <c r="B5730" s="1611" t="s">
        <v>2039</v>
      </c>
      <c r="C5730" s="1611" t="s">
        <v>6986</v>
      </c>
      <c r="D5730" s="1612" t="s">
        <v>7555</v>
      </c>
      <c r="E5730" s="1706" t="s">
        <v>7592</v>
      </c>
      <c r="F5730" s="1613">
        <v>41500000</v>
      </c>
      <c r="G5730" s="1613">
        <v>278852228519</v>
      </c>
    </row>
    <row r="5731" spans="1:7" ht="17.25" customHeight="1" x14ac:dyDescent="0.2">
      <c r="A5731" s="1611">
        <v>17</v>
      </c>
      <c r="B5731" s="1611" t="s">
        <v>2836</v>
      </c>
      <c r="C5731" s="1611" t="s">
        <v>6064</v>
      </c>
      <c r="D5731" s="1612" t="s">
        <v>7555</v>
      </c>
      <c r="E5731" s="1706" t="s">
        <v>7592</v>
      </c>
      <c r="F5731" s="1613">
        <v>31000000</v>
      </c>
      <c r="G5731" s="1613">
        <v>278883228519</v>
      </c>
    </row>
    <row r="5732" spans="1:7" ht="17.25" customHeight="1" x14ac:dyDescent="0.2">
      <c r="A5732" s="1611">
        <v>17</v>
      </c>
      <c r="B5732" s="1611" t="s">
        <v>2836</v>
      </c>
      <c r="C5732" s="1611" t="s">
        <v>6476</v>
      </c>
      <c r="D5732" s="1612" t="s">
        <v>7555</v>
      </c>
      <c r="E5732" s="1706" t="s">
        <v>7592</v>
      </c>
      <c r="F5732" s="1613">
        <v>32000000</v>
      </c>
      <c r="G5732" s="1613">
        <v>278915228519</v>
      </c>
    </row>
    <row r="5733" spans="1:7" ht="17.25" customHeight="1" x14ac:dyDescent="0.2">
      <c r="A5733" s="1611">
        <v>17</v>
      </c>
      <c r="B5733" s="1611" t="s">
        <v>2041</v>
      </c>
      <c r="C5733" s="1611" t="s">
        <v>6987</v>
      </c>
      <c r="D5733" s="1612" t="s">
        <v>7555</v>
      </c>
      <c r="E5733" s="1706" t="s">
        <v>7592</v>
      </c>
      <c r="F5733" s="1613">
        <v>51818182</v>
      </c>
      <c r="G5733" s="1613">
        <v>278967046701</v>
      </c>
    </row>
    <row r="5734" spans="1:7" ht="17.25" customHeight="1" x14ac:dyDescent="0.2">
      <c r="A5734" s="1611">
        <v>17</v>
      </c>
      <c r="B5734" s="1611" t="s">
        <v>2037</v>
      </c>
      <c r="C5734" s="1611" t="s">
        <v>5250</v>
      </c>
      <c r="D5734" s="1612" t="s">
        <v>7555</v>
      </c>
      <c r="E5734" s="1706" t="s">
        <v>7592</v>
      </c>
      <c r="F5734" s="1613">
        <v>38850000</v>
      </c>
      <c r="G5734" s="1613">
        <v>279005896701</v>
      </c>
    </row>
    <row r="5735" spans="1:7" ht="17.25" customHeight="1" x14ac:dyDescent="0.2">
      <c r="A5735" s="1611">
        <v>17</v>
      </c>
      <c r="B5735" s="1611" t="s">
        <v>2028</v>
      </c>
      <c r="C5735" s="1611" t="s">
        <v>6988</v>
      </c>
      <c r="D5735" s="1612" t="s">
        <v>2024</v>
      </c>
      <c r="E5735" s="1706" t="s">
        <v>7592</v>
      </c>
      <c r="F5735" s="1613">
        <v>14545455</v>
      </c>
      <c r="G5735" s="1613">
        <v>279020442156</v>
      </c>
    </row>
    <row r="5736" spans="1:7" ht="17.25" customHeight="1" x14ac:dyDescent="0.2">
      <c r="A5736" s="1611">
        <v>17</v>
      </c>
      <c r="B5736" s="1611" t="s">
        <v>2038</v>
      </c>
      <c r="C5736" s="1611" t="s">
        <v>6989</v>
      </c>
      <c r="D5736" s="1612" t="s">
        <v>7555</v>
      </c>
      <c r="E5736" s="1706" t="s">
        <v>7592</v>
      </c>
      <c r="F5736" s="1613">
        <v>37500000</v>
      </c>
      <c r="G5736" s="1613">
        <v>279057942156</v>
      </c>
    </row>
    <row r="5737" spans="1:7" ht="17.25" customHeight="1" x14ac:dyDescent="0.2">
      <c r="A5737" s="1611">
        <v>17</v>
      </c>
      <c r="B5737" s="1611" t="s">
        <v>7373</v>
      </c>
      <c r="C5737" s="1611" t="s">
        <v>6990</v>
      </c>
      <c r="D5737" s="1612">
        <v>0</v>
      </c>
      <c r="E5737" s="1706" t="s">
        <v>7576</v>
      </c>
      <c r="F5737" s="1613">
        <v>15475500</v>
      </c>
      <c r="G5737" s="1613">
        <v>279073417656</v>
      </c>
    </row>
    <row r="5738" spans="1:7" ht="17.25" customHeight="1" x14ac:dyDescent="0.2">
      <c r="A5738" s="1611">
        <v>17</v>
      </c>
      <c r="B5738" s="1611" t="s">
        <v>2037</v>
      </c>
      <c r="C5738" s="1611" t="s">
        <v>6991</v>
      </c>
      <c r="D5738" s="1612" t="s">
        <v>7555</v>
      </c>
      <c r="E5738" s="1706" t="s">
        <v>7592</v>
      </c>
      <c r="F5738" s="1613">
        <v>38000000</v>
      </c>
      <c r="G5738" s="1613">
        <v>279111417656</v>
      </c>
    </row>
    <row r="5739" spans="1:7" ht="17.25" customHeight="1" x14ac:dyDescent="0.2">
      <c r="A5739" s="1611">
        <v>17</v>
      </c>
      <c r="B5739" s="1611" t="s">
        <v>2037</v>
      </c>
      <c r="C5739" s="1611" t="s">
        <v>6992</v>
      </c>
      <c r="D5739" s="1612" t="s">
        <v>7555</v>
      </c>
      <c r="E5739" s="1706" t="s">
        <v>7592</v>
      </c>
      <c r="F5739" s="1613">
        <v>38181818</v>
      </c>
      <c r="G5739" s="1613">
        <v>279149599474</v>
      </c>
    </row>
    <row r="5740" spans="1:7" ht="17.25" customHeight="1" x14ac:dyDescent="0.2">
      <c r="A5740" s="1611">
        <v>17</v>
      </c>
      <c r="B5740" s="1611" t="s">
        <v>2062</v>
      </c>
      <c r="C5740" s="1611" t="s">
        <v>6993</v>
      </c>
      <c r="D5740" s="1612" t="s">
        <v>2023</v>
      </c>
      <c r="E5740" s="1706" t="s">
        <v>7592</v>
      </c>
      <c r="F5740" s="1613">
        <v>178200000</v>
      </c>
      <c r="G5740" s="1613">
        <v>279327799474</v>
      </c>
    </row>
    <row r="5741" spans="1:7" ht="17.25" customHeight="1" x14ac:dyDescent="0.2">
      <c r="A5741" s="1611">
        <v>17</v>
      </c>
      <c r="B5741" s="1611" t="s">
        <v>2032</v>
      </c>
      <c r="C5741" s="1611" t="s">
        <v>6994</v>
      </c>
      <c r="D5741" s="1612" t="s">
        <v>7555</v>
      </c>
      <c r="E5741" s="1706" t="s">
        <v>7592</v>
      </c>
      <c r="F5741" s="1613">
        <v>35909091</v>
      </c>
      <c r="G5741" s="1613">
        <v>279363708565</v>
      </c>
    </row>
    <row r="5742" spans="1:7" ht="17.25" customHeight="1" x14ac:dyDescent="0.2">
      <c r="A5742" s="1611">
        <v>17</v>
      </c>
      <c r="B5742" s="1611" t="s">
        <v>2039</v>
      </c>
      <c r="C5742" s="1611" t="s">
        <v>6995</v>
      </c>
      <c r="D5742" s="1612" t="s">
        <v>7555</v>
      </c>
      <c r="E5742" s="1706" t="s">
        <v>7592</v>
      </c>
      <c r="F5742" s="1613">
        <v>44454545</v>
      </c>
      <c r="G5742" s="1613">
        <v>279408163110</v>
      </c>
    </row>
    <row r="5743" spans="1:7" ht="17.25" customHeight="1" x14ac:dyDescent="0.2">
      <c r="A5743" s="1611">
        <v>17</v>
      </c>
      <c r="B5743" s="1611" t="s">
        <v>2041</v>
      </c>
      <c r="C5743" s="1611" t="s">
        <v>6757</v>
      </c>
      <c r="D5743" s="1612" t="s">
        <v>7555</v>
      </c>
      <c r="E5743" s="1706" t="s">
        <v>7592</v>
      </c>
      <c r="F5743" s="1613">
        <v>49700000</v>
      </c>
      <c r="G5743" s="1613">
        <v>279457863110</v>
      </c>
    </row>
    <row r="5744" spans="1:7" ht="17.25" customHeight="1" x14ac:dyDescent="0.2">
      <c r="A5744" s="1611">
        <v>17</v>
      </c>
      <c r="B5744" s="1611" t="s">
        <v>2032</v>
      </c>
      <c r="C5744" s="1611" t="s">
        <v>6996</v>
      </c>
      <c r="D5744" s="1612" t="s">
        <v>7555</v>
      </c>
      <c r="E5744" s="1706" t="s">
        <v>7592</v>
      </c>
      <c r="F5744" s="1613">
        <v>35454545</v>
      </c>
      <c r="G5744" s="1613">
        <v>279493317655</v>
      </c>
    </row>
    <row r="5745" spans="1:7" ht="17.25" customHeight="1" x14ac:dyDescent="0.2">
      <c r="A5745" s="1611">
        <v>17</v>
      </c>
      <c r="B5745" s="1611" t="s">
        <v>2037</v>
      </c>
      <c r="C5745" s="1611" t="s">
        <v>6472</v>
      </c>
      <c r="D5745" s="1612" t="s">
        <v>7555</v>
      </c>
      <c r="E5745" s="1706" t="s">
        <v>7592</v>
      </c>
      <c r="F5745" s="1613">
        <v>37600000</v>
      </c>
      <c r="G5745" s="1613">
        <v>279530917655</v>
      </c>
    </row>
    <row r="5746" spans="1:7" ht="17.25" customHeight="1" x14ac:dyDescent="0.2">
      <c r="A5746" s="1611">
        <v>17</v>
      </c>
      <c r="B5746" s="1611" t="s">
        <v>2039</v>
      </c>
      <c r="C5746" s="1611" t="s">
        <v>6997</v>
      </c>
      <c r="D5746" s="1612" t="s">
        <v>7555</v>
      </c>
      <c r="E5746" s="1706" t="s">
        <v>7592</v>
      </c>
      <c r="F5746" s="1613">
        <v>38454546</v>
      </c>
      <c r="G5746" s="1613">
        <v>279569372201</v>
      </c>
    </row>
    <row r="5747" spans="1:7" ht="17.25" customHeight="1" x14ac:dyDescent="0.2">
      <c r="A5747" s="1611">
        <v>17</v>
      </c>
      <c r="B5747" s="1611" t="s">
        <v>2043</v>
      </c>
      <c r="C5747" s="1611" t="s">
        <v>6998</v>
      </c>
      <c r="D5747" s="1612" t="s">
        <v>7555</v>
      </c>
      <c r="E5747" s="1706" t="s">
        <v>7592</v>
      </c>
      <c r="F5747" s="1613">
        <v>54500000</v>
      </c>
      <c r="G5747" s="1613">
        <v>279623872201</v>
      </c>
    </row>
    <row r="5748" spans="1:7" ht="17.25" customHeight="1" x14ac:dyDescent="0.2">
      <c r="A5748" s="1611">
        <v>17</v>
      </c>
      <c r="B5748" s="1611" t="s">
        <v>2028</v>
      </c>
      <c r="C5748" s="1611" t="s">
        <v>6999</v>
      </c>
      <c r="D5748" s="1612" t="s">
        <v>2024</v>
      </c>
      <c r="E5748" s="1706" t="s">
        <v>7592</v>
      </c>
      <c r="F5748" s="1613">
        <v>15000000</v>
      </c>
      <c r="G5748" s="1613">
        <v>279638872201</v>
      </c>
    </row>
    <row r="5749" spans="1:7" ht="17.25" customHeight="1" x14ac:dyDescent="0.2">
      <c r="A5749" s="1611">
        <v>17</v>
      </c>
      <c r="B5749" s="1611" t="s">
        <v>2836</v>
      </c>
      <c r="C5749" s="1611" t="s">
        <v>7000</v>
      </c>
      <c r="D5749" s="1612" t="s">
        <v>7555</v>
      </c>
      <c r="E5749" s="1706" t="s">
        <v>7592</v>
      </c>
      <c r="F5749" s="1613">
        <v>30909091</v>
      </c>
      <c r="G5749" s="1613">
        <v>279669781292</v>
      </c>
    </row>
    <row r="5750" spans="1:7" ht="17.25" customHeight="1" x14ac:dyDescent="0.2">
      <c r="A5750" s="1611">
        <v>17</v>
      </c>
      <c r="B5750" s="1611" t="s">
        <v>2836</v>
      </c>
      <c r="C5750" s="1611" t="s">
        <v>3461</v>
      </c>
      <c r="D5750" s="1612" t="s">
        <v>7555</v>
      </c>
      <c r="E5750" s="1706" t="s">
        <v>7592</v>
      </c>
      <c r="F5750" s="1613">
        <v>32000000</v>
      </c>
      <c r="G5750" s="1613">
        <v>279701781292</v>
      </c>
    </row>
    <row r="5751" spans="1:7" ht="17.25" customHeight="1" x14ac:dyDescent="0.2">
      <c r="A5751" s="1611">
        <v>17</v>
      </c>
      <c r="B5751" s="1611" t="s">
        <v>2836</v>
      </c>
      <c r="C5751" s="1611" t="s">
        <v>7001</v>
      </c>
      <c r="D5751" s="1612" t="s">
        <v>7555</v>
      </c>
      <c r="E5751" s="1706" t="s">
        <v>7592</v>
      </c>
      <c r="F5751" s="1613">
        <v>32636364</v>
      </c>
      <c r="G5751" s="1613">
        <v>279734417656</v>
      </c>
    </row>
    <row r="5752" spans="1:7" ht="17.25" customHeight="1" x14ac:dyDescent="0.2">
      <c r="A5752" s="1611">
        <v>17</v>
      </c>
      <c r="B5752" s="1611" t="s">
        <v>2037</v>
      </c>
      <c r="C5752" s="1611" t="s">
        <v>4350</v>
      </c>
      <c r="D5752" s="1612" t="s">
        <v>7555</v>
      </c>
      <c r="E5752" s="1706" t="s">
        <v>7592</v>
      </c>
      <c r="F5752" s="1613">
        <v>38300000</v>
      </c>
      <c r="G5752" s="1613">
        <v>279772717656</v>
      </c>
    </row>
    <row r="5753" spans="1:7" ht="17.25" customHeight="1" x14ac:dyDescent="0.2">
      <c r="A5753" s="1611">
        <v>17</v>
      </c>
      <c r="B5753" s="1611" t="s">
        <v>2037</v>
      </c>
      <c r="C5753" s="1611" t="s">
        <v>4668</v>
      </c>
      <c r="D5753" s="1612" t="s">
        <v>7555</v>
      </c>
      <c r="E5753" s="1706" t="s">
        <v>7592</v>
      </c>
      <c r="F5753" s="1613">
        <v>39090909</v>
      </c>
      <c r="G5753" s="1613">
        <v>279811808565</v>
      </c>
    </row>
    <row r="5754" spans="1:7" ht="17.25" customHeight="1" x14ac:dyDescent="0.2">
      <c r="A5754" s="1611">
        <v>17</v>
      </c>
      <c r="B5754" s="1611" t="s">
        <v>2037</v>
      </c>
      <c r="C5754" s="1611" t="s">
        <v>3424</v>
      </c>
      <c r="D5754" s="1612" t="s">
        <v>7555</v>
      </c>
      <c r="E5754" s="1706" t="s">
        <v>7592</v>
      </c>
      <c r="F5754" s="1613">
        <v>38100000</v>
      </c>
      <c r="G5754" s="1613">
        <v>279849908565</v>
      </c>
    </row>
    <row r="5755" spans="1:7" ht="17.25" customHeight="1" x14ac:dyDescent="0.2">
      <c r="A5755" s="1611">
        <v>17</v>
      </c>
      <c r="B5755" s="1611" t="s">
        <v>2037</v>
      </c>
      <c r="C5755" s="1611" t="s">
        <v>7002</v>
      </c>
      <c r="D5755" s="1612" t="s">
        <v>7555</v>
      </c>
      <c r="E5755" s="1706" t="s">
        <v>7592</v>
      </c>
      <c r="F5755" s="1613">
        <v>38181818</v>
      </c>
      <c r="G5755" s="1613">
        <v>279888090383</v>
      </c>
    </row>
    <row r="5756" spans="1:7" ht="17.25" customHeight="1" x14ac:dyDescent="0.2">
      <c r="A5756" s="1611">
        <v>17</v>
      </c>
      <c r="B5756" s="1611" t="s">
        <v>2037</v>
      </c>
      <c r="C5756" s="1611" t="s">
        <v>7003</v>
      </c>
      <c r="D5756" s="1612" t="s">
        <v>7555</v>
      </c>
      <c r="E5756" s="1706" t="s">
        <v>7592</v>
      </c>
      <c r="F5756" s="1613">
        <v>36550000</v>
      </c>
      <c r="G5756" s="1613">
        <v>279924640383</v>
      </c>
    </row>
    <row r="5757" spans="1:7" ht="17.25" customHeight="1" x14ac:dyDescent="0.2">
      <c r="A5757" s="1611">
        <v>17</v>
      </c>
      <c r="B5757" s="1611" t="s">
        <v>2039</v>
      </c>
      <c r="C5757" s="1611" t="s">
        <v>6167</v>
      </c>
      <c r="D5757" s="1612" t="s">
        <v>7555</v>
      </c>
      <c r="E5757" s="1706" t="s">
        <v>7592</v>
      </c>
      <c r="F5757" s="1613">
        <v>19873000</v>
      </c>
      <c r="G5757" s="1613">
        <v>279944513383</v>
      </c>
    </row>
    <row r="5758" spans="1:7" ht="17.25" customHeight="1" x14ac:dyDescent="0.2">
      <c r="A5758" s="1611">
        <v>17</v>
      </c>
      <c r="B5758" s="1611" t="s">
        <v>2062</v>
      </c>
      <c r="C5758" s="1611" t="s">
        <v>7004</v>
      </c>
      <c r="D5758" s="1612" t="s">
        <v>2023</v>
      </c>
      <c r="E5758" s="1706" t="s">
        <v>7592</v>
      </c>
      <c r="F5758" s="1613">
        <v>177000000</v>
      </c>
      <c r="G5758" s="1613">
        <v>280121513383</v>
      </c>
    </row>
    <row r="5759" spans="1:7" ht="17.25" customHeight="1" x14ac:dyDescent="0.2">
      <c r="A5759" s="1611">
        <v>17</v>
      </c>
      <c r="B5759" s="1611" t="s">
        <v>2043</v>
      </c>
      <c r="C5759" s="1611" t="s">
        <v>7005</v>
      </c>
      <c r="D5759" s="1612" t="s">
        <v>7555</v>
      </c>
      <c r="E5759" s="1706" t="s">
        <v>7592</v>
      </c>
      <c r="F5759" s="1613">
        <v>54800000</v>
      </c>
      <c r="G5759" s="1613">
        <v>280176313383</v>
      </c>
    </row>
    <row r="5760" spans="1:7" ht="17.25" customHeight="1" x14ac:dyDescent="0.2">
      <c r="A5760" s="1611">
        <v>17</v>
      </c>
      <c r="B5760" s="1611" t="s">
        <v>2041</v>
      </c>
      <c r="C5760" s="1611" t="s">
        <v>7006</v>
      </c>
      <c r="D5760" s="1612" t="s">
        <v>7555</v>
      </c>
      <c r="E5760" s="1706" t="s">
        <v>7592</v>
      </c>
      <c r="F5760" s="1613">
        <v>52000000</v>
      </c>
      <c r="G5760" s="1613">
        <v>280228313383</v>
      </c>
    </row>
    <row r="5761" spans="1:7" ht="17.25" customHeight="1" x14ac:dyDescent="0.2">
      <c r="A5761" s="1611">
        <v>17</v>
      </c>
      <c r="B5761" s="1611" t="s">
        <v>2041</v>
      </c>
      <c r="C5761" s="1611" t="s">
        <v>7007</v>
      </c>
      <c r="D5761" s="1612" t="s">
        <v>7555</v>
      </c>
      <c r="E5761" s="1706" t="s">
        <v>7592</v>
      </c>
      <c r="F5761" s="1613">
        <v>48636364</v>
      </c>
      <c r="G5761" s="1613">
        <v>280276949747</v>
      </c>
    </row>
    <row r="5762" spans="1:7" ht="17.25" customHeight="1" x14ac:dyDescent="0.2">
      <c r="A5762" s="1611">
        <v>17</v>
      </c>
      <c r="B5762" s="1611" t="s">
        <v>2039</v>
      </c>
      <c r="C5762" s="1611" t="s">
        <v>7008</v>
      </c>
      <c r="D5762" s="1612" t="s">
        <v>7555</v>
      </c>
      <c r="E5762" s="1706" t="s">
        <v>7592</v>
      </c>
      <c r="F5762" s="1613">
        <v>39500000</v>
      </c>
      <c r="G5762" s="1613">
        <v>280316449747</v>
      </c>
    </row>
    <row r="5763" spans="1:7" ht="17.25" customHeight="1" x14ac:dyDescent="0.2">
      <c r="A5763" s="1611">
        <v>17</v>
      </c>
      <c r="B5763" s="1611" t="s">
        <v>2041</v>
      </c>
      <c r="C5763" s="1611" t="s">
        <v>7009</v>
      </c>
      <c r="D5763" s="1612" t="s">
        <v>7555</v>
      </c>
      <c r="E5763" s="1706" t="s">
        <v>7592</v>
      </c>
      <c r="F5763" s="1613">
        <v>51500000</v>
      </c>
      <c r="G5763" s="1613">
        <v>280367949747</v>
      </c>
    </row>
    <row r="5764" spans="1:7" ht="17.25" customHeight="1" x14ac:dyDescent="0.2">
      <c r="A5764" s="1611">
        <v>17</v>
      </c>
      <c r="B5764" s="1611" t="s">
        <v>2032</v>
      </c>
      <c r="C5764" s="1611" t="s">
        <v>5436</v>
      </c>
      <c r="D5764" s="1612" t="s">
        <v>7555</v>
      </c>
      <c r="E5764" s="1706" t="s">
        <v>7592</v>
      </c>
      <c r="F5764" s="1613">
        <v>36409091</v>
      </c>
      <c r="G5764" s="1613">
        <v>280404358838</v>
      </c>
    </row>
    <row r="5765" spans="1:7" ht="17.25" customHeight="1" x14ac:dyDescent="0.2">
      <c r="A5765" s="1611">
        <v>17</v>
      </c>
      <c r="B5765" s="1611" t="s">
        <v>2037</v>
      </c>
      <c r="C5765" s="1611" t="s">
        <v>6600</v>
      </c>
      <c r="D5765" s="1612" t="s">
        <v>7555</v>
      </c>
      <c r="E5765" s="1706" t="s">
        <v>7592</v>
      </c>
      <c r="F5765" s="1613">
        <v>35909091</v>
      </c>
      <c r="G5765" s="1613">
        <v>280440267929</v>
      </c>
    </row>
    <row r="5766" spans="1:7" ht="17.25" customHeight="1" x14ac:dyDescent="0.2">
      <c r="A5766" s="1611">
        <v>17</v>
      </c>
      <c r="B5766" s="1611" t="s">
        <v>2044</v>
      </c>
      <c r="C5766" s="1611" t="s">
        <v>5494</v>
      </c>
      <c r="D5766" s="1612" t="s">
        <v>7555</v>
      </c>
      <c r="E5766" s="1706" t="s">
        <v>7592</v>
      </c>
      <c r="F5766" s="1613">
        <v>37500000</v>
      </c>
      <c r="G5766" s="1613">
        <v>280477767929</v>
      </c>
    </row>
    <row r="5767" spans="1:7" ht="17.25" customHeight="1" x14ac:dyDescent="0.2">
      <c r="A5767" s="1611">
        <v>17</v>
      </c>
      <c r="B5767" s="1611" t="s">
        <v>2836</v>
      </c>
      <c r="C5767" s="1611" t="s">
        <v>7010</v>
      </c>
      <c r="D5767" s="1612" t="s">
        <v>7555</v>
      </c>
      <c r="E5767" s="1706" t="s">
        <v>7592</v>
      </c>
      <c r="F5767" s="1613">
        <v>32000000</v>
      </c>
      <c r="G5767" s="1613">
        <v>280509767929</v>
      </c>
    </row>
    <row r="5768" spans="1:7" ht="17.25" customHeight="1" x14ac:dyDescent="0.2">
      <c r="A5768" s="1611">
        <v>17</v>
      </c>
      <c r="B5768" s="1611" t="s">
        <v>2836</v>
      </c>
      <c r="C5768" s="1611" t="s">
        <v>7011</v>
      </c>
      <c r="D5768" s="1612" t="s">
        <v>7555</v>
      </c>
      <c r="E5768" s="1706" t="s">
        <v>7592</v>
      </c>
      <c r="F5768" s="1613">
        <v>31000000</v>
      </c>
      <c r="G5768" s="1613">
        <v>280540767929</v>
      </c>
    </row>
    <row r="5769" spans="1:7" ht="17.25" customHeight="1" x14ac:dyDescent="0.2">
      <c r="A5769" s="1611">
        <v>17</v>
      </c>
      <c r="B5769" s="1611" t="s">
        <v>2037</v>
      </c>
      <c r="C5769" s="1611" t="s">
        <v>4514</v>
      </c>
      <c r="D5769" s="1612" t="s">
        <v>7555</v>
      </c>
      <c r="E5769" s="1706" t="s">
        <v>7592</v>
      </c>
      <c r="F5769" s="1613">
        <v>38000000</v>
      </c>
      <c r="G5769" s="1613">
        <v>280578767929</v>
      </c>
    </row>
    <row r="5770" spans="1:7" ht="17.25" customHeight="1" x14ac:dyDescent="0.2">
      <c r="A5770" s="1611">
        <v>17</v>
      </c>
      <c r="B5770" s="1611" t="s">
        <v>2039</v>
      </c>
      <c r="C5770" s="1611" t="s">
        <v>7012</v>
      </c>
      <c r="D5770" s="1612" t="s">
        <v>7555</v>
      </c>
      <c r="E5770" s="1706" t="s">
        <v>7592</v>
      </c>
      <c r="F5770" s="1613">
        <v>41000000</v>
      </c>
      <c r="G5770" s="1613">
        <v>280619767929</v>
      </c>
    </row>
    <row r="5771" spans="1:7" ht="17.25" customHeight="1" x14ac:dyDescent="0.2">
      <c r="A5771" s="1611">
        <v>17</v>
      </c>
      <c r="B5771" s="1611" t="s">
        <v>2039</v>
      </c>
      <c r="C5771" s="1611" t="s">
        <v>7013</v>
      </c>
      <c r="D5771" s="1612" t="s">
        <v>7555</v>
      </c>
      <c r="E5771" s="1706" t="s">
        <v>7592</v>
      </c>
      <c r="F5771" s="1613">
        <v>41363636</v>
      </c>
      <c r="G5771" s="1613">
        <v>280661131565</v>
      </c>
    </row>
    <row r="5772" spans="1:7" ht="17.25" customHeight="1" x14ac:dyDescent="0.2">
      <c r="A5772" s="1611">
        <v>17</v>
      </c>
      <c r="B5772" s="1611" t="s">
        <v>2041</v>
      </c>
      <c r="C5772" s="1611" t="s">
        <v>7014</v>
      </c>
      <c r="D5772" s="1612" t="s">
        <v>7555</v>
      </c>
      <c r="E5772" s="1706" t="s">
        <v>7592</v>
      </c>
      <c r="F5772" s="1613">
        <v>52000000</v>
      </c>
      <c r="G5772" s="1613">
        <v>280713131565</v>
      </c>
    </row>
    <row r="5773" spans="1:7" ht="17.25" customHeight="1" x14ac:dyDescent="0.2">
      <c r="A5773" s="1611">
        <v>17</v>
      </c>
      <c r="B5773" s="1611" t="s">
        <v>2052</v>
      </c>
      <c r="C5773" s="1611" t="s">
        <v>5105</v>
      </c>
      <c r="D5773" s="1612" t="s">
        <v>2024</v>
      </c>
      <c r="E5773" s="1706" t="s">
        <v>7592</v>
      </c>
      <c r="F5773" s="1613">
        <v>8400000</v>
      </c>
      <c r="G5773" s="1613">
        <v>280721531565</v>
      </c>
    </row>
    <row r="5774" spans="1:7" ht="17.25" customHeight="1" x14ac:dyDescent="0.2">
      <c r="A5774" s="1611">
        <v>17</v>
      </c>
      <c r="B5774" s="1611" t="s">
        <v>2052</v>
      </c>
      <c r="C5774" s="1611" t="s">
        <v>5105</v>
      </c>
      <c r="D5774" s="1612" t="s">
        <v>2024</v>
      </c>
      <c r="E5774" s="1706" t="s">
        <v>7592</v>
      </c>
      <c r="F5774" s="1613">
        <v>8400000</v>
      </c>
      <c r="G5774" s="1613">
        <v>280729931565</v>
      </c>
    </row>
    <row r="5775" spans="1:7" ht="17.25" customHeight="1" x14ac:dyDescent="0.2">
      <c r="A5775" s="1611">
        <v>17</v>
      </c>
      <c r="B5775" s="1611" t="s">
        <v>2060</v>
      </c>
      <c r="C5775" s="1611" t="s">
        <v>5263</v>
      </c>
      <c r="D5775" s="1612" t="s">
        <v>2023</v>
      </c>
      <c r="E5775" s="1706" t="s">
        <v>7592</v>
      </c>
      <c r="F5775" s="1613">
        <v>167000000</v>
      </c>
      <c r="G5775" s="1613">
        <v>280896931565</v>
      </c>
    </row>
    <row r="5776" spans="1:7" ht="17.25" customHeight="1" x14ac:dyDescent="0.2">
      <c r="A5776" s="1611">
        <v>17</v>
      </c>
      <c r="B5776" s="1611" t="s">
        <v>2039</v>
      </c>
      <c r="C5776" s="1611" t="s">
        <v>7015</v>
      </c>
      <c r="D5776" s="1612" t="s">
        <v>7555</v>
      </c>
      <c r="E5776" s="1706" t="s">
        <v>7592</v>
      </c>
      <c r="F5776" s="1613">
        <v>45000000</v>
      </c>
      <c r="G5776" s="1613">
        <v>280941931565</v>
      </c>
    </row>
    <row r="5777" spans="1:7" ht="17.25" customHeight="1" x14ac:dyDescent="0.2">
      <c r="A5777" s="1611">
        <v>17</v>
      </c>
      <c r="B5777" s="1611" t="s">
        <v>2037</v>
      </c>
      <c r="C5777" s="1611" t="s">
        <v>7016</v>
      </c>
      <c r="D5777" s="1612" t="s">
        <v>7555</v>
      </c>
      <c r="E5777" s="1706" t="s">
        <v>7592</v>
      </c>
      <c r="F5777" s="1613">
        <v>18373000</v>
      </c>
      <c r="G5777" s="1613">
        <v>280960304565</v>
      </c>
    </row>
    <row r="5778" spans="1:7" ht="17.25" customHeight="1" x14ac:dyDescent="0.2">
      <c r="A5778" s="1611">
        <v>17</v>
      </c>
      <c r="B5778" s="1611" t="s">
        <v>2041</v>
      </c>
      <c r="C5778" s="1611" t="s">
        <v>7017</v>
      </c>
      <c r="D5778" s="1612" t="s">
        <v>7555</v>
      </c>
      <c r="E5778" s="1706" t="s">
        <v>7592</v>
      </c>
      <c r="F5778" s="1613">
        <v>51818182</v>
      </c>
      <c r="G5778" s="1613">
        <v>281012122747</v>
      </c>
    </row>
    <row r="5779" spans="1:7" ht="17.25" customHeight="1" x14ac:dyDescent="0.2">
      <c r="A5779" s="1611">
        <v>17</v>
      </c>
      <c r="B5779" s="1611" t="s">
        <v>2041</v>
      </c>
      <c r="C5779" s="1611" t="s">
        <v>7018</v>
      </c>
      <c r="D5779" s="1612" t="s">
        <v>7555</v>
      </c>
      <c r="E5779" s="1706" t="s">
        <v>7592</v>
      </c>
      <c r="F5779" s="1613">
        <v>52000000</v>
      </c>
      <c r="G5779" s="1613">
        <v>281064122747</v>
      </c>
    </row>
    <row r="5780" spans="1:7" ht="17.25" customHeight="1" x14ac:dyDescent="0.2">
      <c r="A5780" s="1611">
        <v>17</v>
      </c>
      <c r="B5780" s="1611" t="s">
        <v>2041</v>
      </c>
      <c r="C5780" s="1611" t="s">
        <v>7019</v>
      </c>
      <c r="D5780" s="1612" t="s">
        <v>7555</v>
      </c>
      <c r="E5780" s="1706" t="s">
        <v>7592</v>
      </c>
      <c r="F5780" s="1613">
        <v>51818182</v>
      </c>
      <c r="G5780" s="1613">
        <v>281115940929</v>
      </c>
    </row>
    <row r="5781" spans="1:7" ht="17.25" customHeight="1" x14ac:dyDescent="0.2">
      <c r="A5781" s="1611">
        <v>17</v>
      </c>
      <c r="B5781" s="1611" t="s">
        <v>2037</v>
      </c>
      <c r="C5781" s="1611" t="s">
        <v>4351</v>
      </c>
      <c r="D5781" s="1612" t="s">
        <v>7555</v>
      </c>
      <c r="E5781" s="1706" t="s">
        <v>7592</v>
      </c>
      <c r="F5781" s="1613">
        <v>37000000</v>
      </c>
      <c r="G5781" s="1613">
        <v>281152940929</v>
      </c>
    </row>
    <row r="5782" spans="1:7" ht="17.25" customHeight="1" x14ac:dyDescent="0.2">
      <c r="A5782" s="1611">
        <v>17</v>
      </c>
      <c r="B5782" s="1611" t="s">
        <v>2039</v>
      </c>
      <c r="C5782" s="1611" t="s">
        <v>7020</v>
      </c>
      <c r="D5782" s="1612" t="s">
        <v>7555</v>
      </c>
      <c r="E5782" s="1706" t="s">
        <v>7592</v>
      </c>
      <c r="F5782" s="1613">
        <v>41818182</v>
      </c>
      <c r="G5782" s="1613">
        <v>281194759111</v>
      </c>
    </row>
    <row r="5783" spans="1:7" ht="17.25" customHeight="1" x14ac:dyDescent="0.2">
      <c r="A5783" s="1611">
        <v>17</v>
      </c>
      <c r="B5783" s="1611" t="s">
        <v>2041</v>
      </c>
      <c r="C5783" s="1611" t="s">
        <v>7021</v>
      </c>
      <c r="D5783" s="1612" t="s">
        <v>7555</v>
      </c>
      <c r="E5783" s="1706" t="s">
        <v>7592</v>
      </c>
      <c r="F5783" s="1613">
        <v>51818182</v>
      </c>
      <c r="G5783" s="1613">
        <v>281246577293</v>
      </c>
    </row>
    <row r="5784" spans="1:7" ht="17.25" customHeight="1" x14ac:dyDescent="0.2">
      <c r="A5784" s="1611">
        <v>17</v>
      </c>
      <c r="B5784" s="1611" t="s">
        <v>2037</v>
      </c>
      <c r="C5784" s="1611" t="s">
        <v>3891</v>
      </c>
      <c r="D5784" s="1612" t="s">
        <v>7555</v>
      </c>
      <c r="E5784" s="1706" t="s">
        <v>7592</v>
      </c>
      <c r="F5784" s="1613">
        <v>18623000</v>
      </c>
      <c r="G5784" s="1613">
        <v>281265200293</v>
      </c>
    </row>
    <row r="5785" spans="1:7" ht="17.25" customHeight="1" x14ac:dyDescent="0.2">
      <c r="A5785" s="1611">
        <v>17</v>
      </c>
      <c r="B5785" s="1611" t="s">
        <v>2037</v>
      </c>
      <c r="C5785" s="1611" t="s">
        <v>7022</v>
      </c>
      <c r="D5785" s="1612" t="s">
        <v>7555</v>
      </c>
      <c r="E5785" s="1706" t="s">
        <v>7592</v>
      </c>
      <c r="F5785" s="1613">
        <v>18473000</v>
      </c>
      <c r="G5785" s="1613">
        <v>281283673293</v>
      </c>
    </row>
    <row r="5786" spans="1:7" ht="17.25" customHeight="1" x14ac:dyDescent="0.2">
      <c r="A5786" s="1611">
        <v>17</v>
      </c>
      <c r="B5786" s="1611" t="s">
        <v>2037</v>
      </c>
      <c r="C5786" s="1611" t="s">
        <v>6984</v>
      </c>
      <c r="D5786" s="1612" t="s">
        <v>7555</v>
      </c>
      <c r="E5786" s="1706" t="s">
        <v>7592</v>
      </c>
      <c r="F5786" s="1613">
        <v>18473000</v>
      </c>
      <c r="G5786" s="1613">
        <v>281302146293</v>
      </c>
    </row>
    <row r="5787" spans="1:7" ht="17.25" customHeight="1" x14ac:dyDescent="0.2">
      <c r="A5787" s="1611">
        <v>17</v>
      </c>
      <c r="B5787" s="1611" t="s">
        <v>2040</v>
      </c>
      <c r="C5787" s="1611" t="s">
        <v>7023</v>
      </c>
      <c r="D5787" s="1612" t="s">
        <v>7555</v>
      </c>
      <c r="E5787" s="1706" t="s">
        <v>7592</v>
      </c>
      <c r="F5787" s="1613">
        <v>41818181</v>
      </c>
      <c r="G5787" s="1613">
        <v>281343964474</v>
      </c>
    </row>
    <row r="5788" spans="1:7" ht="17.25" customHeight="1" x14ac:dyDescent="0.2">
      <c r="A5788" s="1611">
        <v>17</v>
      </c>
      <c r="B5788" s="1611" t="s">
        <v>2037</v>
      </c>
      <c r="C5788" s="1611" t="s">
        <v>7024</v>
      </c>
      <c r="D5788" s="1612" t="s">
        <v>7555</v>
      </c>
      <c r="E5788" s="1706" t="s">
        <v>7592</v>
      </c>
      <c r="F5788" s="1613">
        <v>18373000</v>
      </c>
      <c r="G5788" s="1613">
        <v>281362337474</v>
      </c>
    </row>
    <row r="5789" spans="1:7" ht="17.25" customHeight="1" x14ac:dyDescent="0.2">
      <c r="A5789" s="1611">
        <v>17</v>
      </c>
      <c r="B5789" s="1611" t="s">
        <v>2836</v>
      </c>
      <c r="C5789" s="1611" t="s">
        <v>7025</v>
      </c>
      <c r="D5789" s="1612" t="s">
        <v>7555</v>
      </c>
      <c r="E5789" s="1706" t="s">
        <v>7592</v>
      </c>
      <c r="F5789" s="1613">
        <v>30000000</v>
      </c>
      <c r="G5789" s="1613">
        <v>281392337474</v>
      </c>
    </row>
    <row r="5790" spans="1:7" ht="17.25" customHeight="1" x14ac:dyDescent="0.2">
      <c r="A5790" s="1611">
        <v>17</v>
      </c>
      <c r="B5790" s="1611" t="s">
        <v>2836</v>
      </c>
      <c r="C5790" s="1611" t="s">
        <v>7026</v>
      </c>
      <c r="D5790" s="1612" t="s">
        <v>7555</v>
      </c>
      <c r="E5790" s="1706" t="s">
        <v>7592</v>
      </c>
      <c r="F5790" s="1613">
        <v>31000000</v>
      </c>
      <c r="G5790" s="1613">
        <v>281423337474</v>
      </c>
    </row>
    <row r="5791" spans="1:7" ht="17.25" customHeight="1" x14ac:dyDescent="0.2">
      <c r="A5791" s="1611">
        <v>17</v>
      </c>
      <c r="B5791" s="1611" t="s">
        <v>2037</v>
      </c>
      <c r="C5791" s="1611" t="s">
        <v>7027</v>
      </c>
      <c r="D5791" s="1612" t="s">
        <v>7555</v>
      </c>
      <c r="E5791" s="1706" t="s">
        <v>7592</v>
      </c>
      <c r="F5791" s="1613">
        <v>35227272</v>
      </c>
      <c r="G5791" s="1613">
        <v>281458564746</v>
      </c>
    </row>
    <row r="5792" spans="1:7" ht="17.25" customHeight="1" x14ac:dyDescent="0.2">
      <c r="A5792" s="1611">
        <v>17</v>
      </c>
      <c r="B5792" s="1611" t="s">
        <v>2037</v>
      </c>
      <c r="C5792" s="1611" t="s">
        <v>5436</v>
      </c>
      <c r="D5792" s="1612" t="s">
        <v>7555</v>
      </c>
      <c r="E5792" s="1706" t="s">
        <v>7592</v>
      </c>
      <c r="F5792" s="1613">
        <v>38181819</v>
      </c>
      <c r="G5792" s="1613">
        <v>281496746565</v>
      </c>
    </row>
    <row r="5793" spans="1:7" ht="17.25" customHeight="1" x14ac:dyDescent="0.2">
      <c r="A5793" s="1611">
        <v>17</v>
      </c>
      <c r="B5793" s="1611" t="s">
        <v>2037</v>
      </c>
      <c r="C5793" s="1611" t="s">
        <v>5436</v>
      </c>
      <c r="D5793" s="1612" t="s">
        <v>7555</v>
      </c>
      <c r="E5793" s="1706" t="s">
        <v>7592</v>
      </c>
      <c r="F5793" s="1613">
        <v>38181819</v>
      </c>
      <c r="G5793" s="1613">
        <v>281534928384</v>
      </c>
    </row>
    <row r="5794" spans="1:7" ht="17.25" customHeight="1" x14ac:dyDescent="0.2">
      <c r="A5794" s="1611">
        <v>17</v>
      </c>
      <c r="B5794" s="1611" t="s">
        <v>2037</v>
      </c>
      <c r="C5794" s="1611" t="s">
        <v>5436</v>
      </c>
      <c r="D5794" s="1612" t="s">
        <v>7555</v>
      </c>
      <c r="E5794" s="1706" t="s">
        <v>7592</v>
      </c>
      <c r="F5794" s="1613">
        <v>38181819</v>
      </c>
      <c r="G5794" s="1613">
        <v>281573110203</v>
      </c>
    </row>
    <row r="5795" spans="1:7" ht="17.25" customHeight="1" x14ac:dyDescent="0.2">
      <c r="A5795" s="1611">
        <v>17</v>
      </c>
      <c r="B5795" s="1611" t="s">
        <v>2041</v>
      </c>
      <c r="C5795" s="1611" t="s">
        <v>7028</v>
      </c>
      <c r="D5795" s="1612" t="s">
        <v>7555</v>
      </c>
      <c r="E5795" s="1706" t="s">
        <v>7592</v>
      </c>
      <c r="F5795" s="1613">
        <v>53000000</v>
      </c>
      <c r="G5795" s="1613">
        <v>281626110203</v>
      </c>
    </row>
    <row r="5796" spans="1:7" ht="17.25" customHeight="1" x14ac:dyDescent="0.2">
      <c r="A5796" s="1611">
        <v>17</v>
      </c>
      <c r="B5796" s="1611" t="s">
        <v>7154</v>
      </c>
      <c r="C5796" s="1611" t="s">
        <v>6549</v>
      </c>
      <c r="D5796" s="1612">
        <v>0</v>
      </c>
      <c r="E5796" s="1612" t="s">
        <v>3296</v>
      </c>
      <c r="F5796" s="1613">
        <v>76617250</v>
      </c>
      <c r="G5796" s="1613">
        <v>281702727453</v>
      </c>
    </row>
    <row r="5797" spans="1:7" ht="17.25" customHeight="1" x14ac:dyDescent="0.2">
      <c r="A5797" s="1611">
        <v>17</v>
      </c>
      <c r="B5797" s="1611" t="s">
        <v>2037</v>
      </c>
      <c r="C5797" s="1611" t="s">
        <v>6476</v>
      </c>
      <c r="D5797" s="1612" t="s">
        <v>7555</v>
      </c>
      <c r="E5797" s="1706" t="s">
        <v>7592</v>
      </c>
      <c r="F5797" s="1613">
        <v>18373000</v>
      </c>
      <c r="G5797" s="1613">
        <v>281721100453</v>
      </c>
    </row>
    <row r="5798" spans="1:7" ht="17.25" customHeight="1" x14ac:dyDescent="0.2">
      <c r="A5798" s="1611">
        <v>17</v>
      </c>
      <c r="B5798" s="1611" t="s">
        <v>2037</v>
      </c>
      <c r="C5798" s="1611" t="s">
        <v>3705</v>
      </c>
      <c r="D5798" s="1612" t="s">
        <v>7555</v>
      </c>
      <c r="E5798" s="1706" t="s">
        <v>7592</v>
      </c>
      <c r="F5798" s="1613">
        <v>38181818</v>
      </c>
      <c r="G5798" s="1613">
        <v>281759282271</v>
      </c>
    </row>
    <row r="5799" spans="1:7" ht="17.25" customHeight="1" x14ac:dyDescent="0.2">
      <c r="A5799" s="1611">
        <v>17</v>
      </c>
      <c r="B5799" s="1611" t="s">
        <v>2039</v>
      </c>
      <c r="C5799" s="1611" t="s">
        <v>7029</v>
      </c>
      <c r="D5799" s="1612" t="s">
        <v>7555</v>
      </c>
      <c r="E5799" s="1706" t="s">
        <v>7592</v>
      </c>
      <c r="F5799" s="1613">
        <v>41500000</v>
      </c>
      <c r="G5799" s="1613">
        <v>281800782271</v>
      </c>
    </row>
    <row r="5800" spans="1:7" ht="17.25" customHeight="1" x14ac:dyDescent="0.2">
      <c r="A5800" s="1611">
        <v>17</v>
      </c>
      <c r="B5800" s="1611" t="s">
        <v>2836</v>
      </c>
      <c r="C5800" s="1611" t="s">
        <v>7030</v>
      </c>
      <c r="D5800" s="1612" t="s">
        <v>7555</v>
      </c>
      <c r="E5800" s="1706" t="s">
        <v>7592</v>
      </c>
      <c r="F5800" s="1613">
        <v>32000000</v>
      </c>
      <c r="G5800" s="1613">
        <v>281832782271</v>
      </c>
    </row>
    <row r="5801" spans="1:7" ht="17.25" customHeight="1" x14ac:dyDescent="0.2">
      <c r="A5801" s="1611">
        <v>17</v>
      </c>
      <c r="B5801" s="1611" t="s">
        <v>2037</v>
      </c>
      <c r="C5801" s="1611" t="s">
        <v>7031</v>
      </c>
      <c r="D5801" s="1612" t="s">
        <v>7555</v>
      </c>
      <c r="E5801" s="1706" t="s">
        <v>7592</v>
      </c>
      <c r="F5801" s="1613">
        <v>18373000</v>
      </c>
      <c r="G5801" s="1613">
        <v>281851155271</v>
      </c>
    </row>
    <row r="5802" spans="1:7" ht="17.25" customHeight="1" x14ac:dyDescent="0.2">
      <c r="A5802" s="1611">
        <v>17</v>
      </c>
      <c r="B5802" s="1611" t="s">
        <v>2032</v>
      </c>
      <c r="C5802" s="1611" t="s">
        <v>7032</v>
      </c>
      <c r="D5802" s="1612" t="s">
        <v>7555</v>
      </c>
      <c r="E5802" s="1706" t="s">
        <v>7592</v>
      </c>
      <c r="F5802" s="1613">
        <v>18373000</v>
      </c>
      <c r="G5802" s="1613">
        <v>281869528271</v>
      </c>
    </row>
    <row r="5803" spans="1:7" ht="17.25" customHeight="1" x14ac:dyDescent="0.2">
      <c r="A5803" s="1611">
        <v>17</v>
      </c>
      <c r="B5803" s="1611" t="s">
        <v>2836</v>
      </c>
      <c r="C5803" s="1611" t="s">
        <v>7033</v>
      </c>
      <c r="D5803" s="1612" t="s">
        <v>7555</v>
      </c>
      <c r="E5803" s="1706" t="s">
        <v>7592</v>
      </c>
      <c r="F5803" s="1613">
        <v>31000000</v>
      </c>
      <c r="G5803" s="1613">
        <v>281900528271</v>
      </c>
    </row>
    <row r="5804" spans="1:7" ht="17.25" customHeight="1" x14ac:dyDescent="0.2">
      <c r="A5804" s="1611">
        <v>17</v>
      </c>
      <c r="B5804" s="1611" t="s">
        <v>2836</v>
      </c>
      <c r="C5804" s="1611" t="s">
        <v>7034</v>
      </c>
      <c r="D5804" s="1612" t="s">
        <v>7555</v>
      </c>
      <c r="E5804" s="1706" t="s">
        <v>7592</v>
      </c>
      <c r="F5804" s="1613">
        <v>31000000</v>
      </c>
      <c r="G5804" s="1613">
        <v>281931528271</v>
      </c>
    </row>
    <row r="5805" spans="1:7" ht="17.25" customHeight="1" x14ac:dyDescent="0.2">
      <c r="A5805" s="1611">
        <v>17</v>
      </c>
      <c r="B5805" s="1611" t="s">
        <v>2836</v>
      </c>
      <c r="C5805" s="1611" t="s">
        <v>7035</v>
      </c>
      <c r="D5805" s="1612" t="s">
        <v>7555</v>
      </c>
      <c r="E5805" s="1706" t="s">
        <v>7592</v>
      </c>
      <c r="F5805" s="1613">
        <v>31363636</v>
      </c>
      <c r="G5805" s="1613">
        <v>281962891907</v>
      </c>
    </row>
    <row r="5806" spans="1:7" ht="17.25" customHeight="1" x14ac:dyDescent="0.2">
      <c r="A5806" s="1611">
        <v>17</v>
      </c>
      <c r="B5806" s="1611" t="s">
        <v>2039</v>
      </c>
      <c r="C5806" s="1611" t="s">
        <v>3457</v>
      </c>
      <c r="D5806" s="1612" t="s">
        <v>7555</v>
      </c>
      <c r="E5806" s="1706" t="s">
        <v>7592</v>
      </c>
      <c r="F5806" s="1613">
        <v>42181818</v>
      </c>
      <c r="G5806" s="1613">
        <v>282005073725</v>
      </c>
    </row>
    <row r="5807" spans="1:7" ht="17.25" customHeight="1" x14ac:dyDescent="0.2">
      <c r="A5807" s="1611">
        <v>17</v>
      </c>
      <c r="B5807" s="1611" t="s">
        <v>2032</v>
      </c>
      <c r="C5807" s="1611" t="s">
        <v>7036</v>
      </c>
      <c r="D5807" s="1612" t="s">
        <v>7555</v>
      </c>
      <c r="E5807" s="1706" t="s">
        <v>7592</v>
      </c>
      <c r="F5807" s="1613">
        <v>34700000</v>
      </c>
      <c r="G5807" s="1613">
        <v>282039773725</v>
      </c>
    </row>
    <row r="5808" spans="1:7" ht="17.25" customHeight="1" x14ac:dyDescent="0.2">
      <c r="A5808" s="1611">
        <v>17</v>
      </c>
      <c r="B5808" s="1611" t="s">
        <v>2037</v>
      </c>
      <c r="C5808" s="1611" t="s">
        <v>5420</v>
      </c>
      <c r="D5808" s="1612" t="s">
        <v>7555</v>
      </c>
      <c r="E5808" s="1706" t="s">
        <v>7592</v>
      </c>
      <c r="F5808" s="1613">
        <v>37000000</v>
      </c>
      <c r="G5808" s="1613">
        <v>282076773725</v>
      </c>
    </row>
    <row r="5809" spans="1:7" ht="17.25" customHeight="1" x14ac:dyDescent="0.2">
      <c r="A5809" s="1611">
        <v>17</v>
      </c>
      <c r="B5809" s="1611" t="s">
        <v>2836</v>
      </c>
      <c r="C5809" s="1611" t="s">
        <v>7037</v>
      </c>
      <c r="D5809" s="1612" t="s">
        <v>7555</v>
      </c>
      <c r="E5809" s="1706" t="s">
        <v>7592</v>
      </c>
      <c r="F5809" s="1613">
        <v>31000000</v>
      </c>
      <c r="G5809" s="1613">
        <v>282107773725</v>
      </c>
    </row>
    <row r="5810" spans="1:7" ht="17.25" customHeight="1" x14ac:dyDescent="0.2">
      <c r="A5810" s="1611">
        <v>17</v>
      </c>
      <c r="B5810" s="1611" t="s">
        <v>2836</v>
      </c>
      <c r="C5810" s="1611" t="s">
        <v>7038</v>
      </c>
      <c r="D5810" s="1612" t="s">
        <v>7555</v>
      </c>
      <c r="E5810" s="1706" t="s">
        <v>7592</v>
      </c>
      <c r="F5810" s="1613">
        <v>31000000</v>
      </c>
      <c r="G5810" s="1613">
        <v>282138773725</v>
      </c>
    </row>
    <row r="5811" spans="1:7" ht="17.25" customHeight="1" x14ac:dyDescent="0.2">
      <c r="A5811" s="1611">
        <v>17</v>
      </c>
      <c r="B5811" s="1611" t="s">
        <v>2836</v>
      </c>
      <c r="C5811" s="1611" t="s">
        <v>3379</v>
      </c>
      <c r="D5811" s="1612" t="s">
        <v>7555</v>
      </c>
      <c r="E5811" s="1706" t="s">
        <v>7592</v>
      </c>
      <c r="F5811" s="1613">
        <v>31000000</v>
      </c>
      <c r="G5811" s="1613">
        <v>282169773725</v>
      </c>
    </row>
    <row r="5812" spans="1:7" ht="17.25" customHeight="1" x14ac:dyDescent="0.2">
      <c r="A5812" s="1611">
        <v>17</v>
      </c>
      <c r="B5812" s="1611" t="s">
        <v>2028</v>
      </c>
      <c r="C5812" s="1611" t="s">
        <v>7039</v>
      </c>
      <c r="D5812" s="1612" t="s">
        <v>2024</v>
      </c>
      <c r="E5812" s="1706" t="s">
        <v>7592</v>
      </c>
      <c r="F5812" s="1613">
        <v>14000000</v>
      </c>
      <c r="G5812" s="1613">
        <v>282183773725</v>
      </c>
    </row>
    <row r="5813" spans="1:7" ht="17.25" customHeight="1" x14ac:dyDescent="0.2">
      <c r="A5813" s="1611">
        <v>17</v>
      </c>
      <c r="B5813" s="1611" t="s">
        <v>2063</v>
      </c>
      <c r="C5813" s="1611" t="s">
        <v>7040</v>
      </c>
      <c r="D5813" s="1612" t="s">
        <v>2023</v>
      </c>
      <c r="E5813" s="1706" t="s">
        <v>7592</v>
      </c>
      <c r="F5813" s="1613">
        <v>161800000</v>
      </c>
      <c r="G5813" s="1613">
        <v>282345573725</v>
      </c>
    </row>
    <row r="5814" spans="1:7" ht="17.25" customHeight="1" x14ac:dyDescent="0.2">
      <c r="A5814" s="1611">
        <v>17</v>
      </c>
      <c r="B5814" s="1611" t="s">
        <v>2037</v>
      </c>
      <c r="C5814" s="1611" t="s">
        <v>7041</v>
      </c>
      <c r="D5814" s="1612" t="s">
        <v>7555</v>
      </c>
      <c r="E5814" s="1706" t="s">
        <v>7592</v>
      </c>
      <c r="F5814" s="1613">
        <v>18500000</v>
      </c>
      <c r="G5814" s="1613">
        <v>282364073725</v>
      </c>
    </row>
    <row r="5815" spans="1:7" ht="17.25" customHeight="1" x14ac:dyDescent="0.2">
      <c r="A5815" s="1611">
        <v>17</v>
      </c>
      <c r="B5815" s="1611" t="s">
        <v>2028</v>
      </c>
      <c r="C5815" s="1611" t="s">
        <v>7042</v>
      </c>
      <c r="D5815" s="1612" t="s">
        <v>2024</v>
      </c>
      <c r="E5815" s="1706" t="s">
        <v>7592</v>
      </c>
      <c r="F5815" s="1613">
        <v>14500000</v>
      </c>
      <c r="G5815" s="1613">
        <v>282378573725</v>
      </c>
    </row>
    <row r="5816" spans="1:7" ht="17.25" customHeight="1" x14ac:dyDescent="0.2">
      <c r="A5816" s="1611">
        <v>17</v>
      </c>
      <c r="B5816" s="1611" t="s">
        <v>2039</v>
      </c>
      <c r="C5816" s="1611" t="s">
        <v>7043</v>
      </c>
      <c r="D5816" s="1612" t="s">
        <v>7555</v>
      </c>
      <c r="E5816" s="1706" t="s">
        <v>7592</v>
      </c>
      <c r="F5816" s="1613">
        <v>40300000</v>
      </c>
      <c r="G5816" s="1613">
        <v>282418873725</v>
      </c>
    </row>
    <row r="5817" spans="1:7" ht="17.25" customHeight="1" x14ac:dyDescent="0.2">
      <c r="A5817" s="1611">
        <v>17</v>
      </c>
      <c r="B5817" s="1611" t="s">
        <v>2039</v>
      </c>
      <c r="C5817" s="1611" t="s">
        <v>7044</v>
      </c>
      <c r="D5817" s="1612" t="s">
        <v>7555</v>
      </c>
      <c r="E5817" s="1706" t="s">
        <v>7592</v>
      </c>
      <c r="F5817" s="1613">
        <v>44545455</v>
      </c>
      <c r="G5817" s="1613">
        <v>282463419180</v>
      </c>
    </row>
    <row r="5818" spans="1:7" ht="17.25" customHeight="1" x14ac:dyDescent="0.2">
      <c r="A5818" s="1611">
        <v>17</v>
      </c>
      <c r="B5818" s="1611" t="s">
        <v>2041</v>
      </c>
      <c r="C5818" s="1611" t="s">
        <v>7045</v>
      </c>
      <c r="D5818" s="1612" t="s">
        <v>7555</v>
      </c>
      <c r="E5818" s="1706" t="s">
        <v>7592</v>
      </c>
      <c r="F5818" s="1613">
        <v>52000000</v>
      </c>
      <c r="G5818" s="1613">
        <v>282515419180</v>
      </c>
    </row>
    <row r="5819" spans="1:7" ht="17.25" customHeight="1" x14ac:dyDescent="0.2">
      <c r="A5819" s="1611">
        <v>17</v>
      </c>
      <c r="B5819" s="1611" t="s">
        <v>2043</v>
      </c>
      <c r="C5819" s="1611" t="s">
        <v>7046</v>
      </c>
      <c r="D5819" s="1612" t="s">
        <v>7555</v>
      </c>
      <c r="E5819" s="1706" t="s">
        <v>7592</v>
      </c>
      <c r="F5819" s="1613">
        <v>54000000</v>
      </c>
      <c r="G5819" s="1613">
        <v>282569419180</v>
      </c>
    </row>
    <row r="5820" spans="1:7" ht="17.25" customHeight="1" x14ac:dyDescent="0.2">
      <c r="A5820" s="1611">
        <v>17</v>
      </c>
      <c r="B5820" s="1611" t="s">
        <v>7154</v>
      </c>
      <c r="C5820" s="1611" t="s">
        <v>5701</v>
      </c>
      <c r="D5820" s="1612">
        <v>0</v>
      </c>
      <c r="E5820" s="1612" t="s">
        <v>3297</v>
      </c>
      <c r="F5820" s="1613">
        <v>29390081</v>
      </c>
      <c r="G5820" s="1613">
        <v>282598809261</v>
      </c>
    </row>
    <row r="5821" spans="1:7" ht="17.25" customHeight="1" x14ac:dyDescent="0.2">
      <c r="A5821" s="1611">
        <v>17</v>
      </c>
      <c r="B5821" s="1611" t="s">
        <v>2032</v>
      </c>
      <c r="C5821" s="1611" t="s">
        <v>7047</v>
      </c>
      <c r="D5821" s="1612" t="s">
        <v>7555</v>
      </c>
      <c r="E5821" s="1706" t="s">
        <v>7592</v>
      </c>
      <c r="F5821" s="1613">
        <v>18373000</v>
      </c>
      <c r="G5821" s="1613">
        <v>282617182261</v>
      </c>
    </row>
    <row r="5822" spans="1:7" ht="17.25" customHeight="1" x14ac:dyDescent="0.2">
      <c r="A5822" s="1611">
        <v>17</v>
      </c>
      <c r="B5822" s="1611" t="s">
        <v>2041</v>
      </c>
      <c r="C5822" s="1611" t="s">
        <v>7048</v>
      </c>
      <c r="D5822" s="1612" t="s">
        <v>7555</v>
      </c>
      <c r="E5822" s="1706" t="s">
        <v>7592</v>
      </c>
      <c r="F5822" s="1613">
        <v>51300000</v>
      </c>
      <c r="G5822" s="1613">
        <v>282668482261</v>
      </c>
    </row>
    <row r="5823" spans="1:7" ht="17.25" customHeight="1" x14ac:dyDescent="0.2">
      <c r="A5823" s="1611">
        <v>17</v>
      </c>
      <c r="B5823" s="1611" t="s">
        <v>2037</v>
      </c>
      <c r="C5823" s="1611" t="s">
        <v>7049</v>
      </c>
      <c r="D5823" s="1612" t="s">
        <v>7555</v>
      </c>
      <c r="E5823" s="1706" t="s">
        <v>7592</v>
      </c>
      <c r="F5823" s="1613">
        <v>37936363</v>
      </c>
      <c r="G5823" s="1613">
        <v>282706418624</v>
      </c>
    </row>
    <row r="5824" spans="1:7" ht="17.25" customHeight="1" x14ac:dyDescent="0.2">
      <c r="A5824" s="1611">
        <v>17</v>
      </c>
      <c r="B5824" s="1611" t="s">
        <v>2836</v>
      </c>
      <c r="C5824" s="1611" t="s">
        <v>5126</v>
      </c>
      <c r="D5824" s="1612" t="s">
        <v>7555</v>
      </c>
      <c r="E5824" s="1706" t="s">
        <v>7592</v>
      </c>
      <c r="F5824" s="1613">
        <v>31000000</v>
      </c>
      <c r="G5824" s="1613">
        <v>282737418624</v>
      </c>
    </row>
    <row r="5825" spans="1:7" ht="17.25" customHeight="1" x14ac:dyDescent="0.2">
      <c r="A5825" s="1611">
        <v>17</v>
      </c>
      <c r="B5825" s="1611" t="s">
        <v>2836</v>
      </c>
      <c r="C5825" s="1611" t="s">
        <v>6803</v>
      </c>
      <c r="D5825" s="1612" t="s">
        <v>7555</v>
      </c>
      <c r="E5825" s="1706" t="s">
        <v>7592</v>
      </c>
      <c r="F5825" s="1613">
        <v>31000000</v>
      </c>
      <c r="G5825" s="1613">
        <v>282768418624</v>
      </c>
    </row>
    <row r="5826" spans="1:7" ht="17.25" customHeight="1" x14ac:dyDescent="0.2">
      <c r="A5826" s="1611">
        <v>17</v>
      </c>
      <c r="B5826" s="1611" t="s">
        <v>2836</v>
      </c>
      <c r="C5826" s="1611" t="s">
        <v>7050</v>
      </c>
      <c r="D5826" s="1612" t="s">
        <v>7555</v>
      </c>
      <c r="E5826" s="1706" t="s">
        <v>7592</v>
      </c>
      <c r="F5826" s="1613">
        <v>31000000</v>
      </c>
      <c r="G5826" s="1613">
        <v>282799418624</v>
      </c>
    </row>
    <row r="5827" spans="1:7" ht="17.25" customHeight="1" x14ac:dyDescent="0.2">
      <c r="A5827" s="1611">
        <v>17</v>
      </c>
      <c r="B5827" s="1611" t="s">
        <v>2037</v>
      </c>
      <c r="C5827" s="1611" t="s">
        <v>7051</v>
      </c>
      <c r="D5827" s="1612" t="s">
        <v>7555</v>
      </c>
      <c r="E5827" s="1706" t="s">
        <v>7592</v>
      </c>
      <c r="F5827" s="1613">
        <v>36363637</v>
      </c>
      <c r="G5827" s="1613">
        <v>282835782261</v>
      </c>
    </row>
    <row r="5828" spans="1:7" ht="17.25" customHeight="1" x14ac:dyDescent="0.2">
      <c r="A5828" s="1611">
        <v>17</v>
      </c>
      <c r="B5828" s="1611" t="s">
        <v>2039</v>
      </c>
      <c r="C5828" s="1611" t="s">
        <v>7052</v>
      </c>
      <c r="D5828" s="1612" t="s">
        <v>7555</v>
      </c>
      <c r="E5828" s="1706" t="s">
        <v>7592</v>
      </c>
      <c r="F5828" s="1613">
        <v>40454545</v>
      </c>
      <c r="G5828" s="1613">
        <v>282876236806</v>
      </c>
    </row>
    <row r="5829" spans="1:7" ht="17.25" customHeight="1" x14ac:dyDescent="0.2">
      <c r="A5829" s="1611">
        <v>17</v>
      </c>
      <c r="B5829" s="1611" t="s">
        <v>2039</v>
      </c>
      <c r="C5829" s="1611" t="s">
        <v>6472</v>
      </c>
      <c r="D5829" s="1612" t="s">
        <v>7555</v>
      </c>
      <c r="E5829" s="1706" t="s">
        <v>7592</v>
      </c>
      <c r="F5829" s="1613">
        <v>39000000</v>
      </c>
      <c r="G5829" s="1613">
        <v>282915236806</v>
      </c>
    </row>
    <row r="5830" spans="1:7" ht="17.25" customHeight="1" x14ac:dyDescent="0.2">
      <c r="A5830" s="1611">
        <v>17</v>
      </c>
      <c r="B5830" s="1611" t="s">
        <v>2039</v>
      </c>
      <c r="C5830" s="1611" t="s">
        <v>7053</v>
      </c>
      <c r="D5830" s="1612" t="s">
        <v>7555</v>
      </c>
      <c r="E5830" s="1706" t="s">
        <v>7592</v>
      </c>
      <c r="F5830" s="1613">
        <v>39909091</v>
      </c>
      <c r="G5830" s="1613">
        <v>282955145897</v>
      </c>
    </row>
    <row r="5831" spans="1:7" ht="17.25" customHeight="1" x14ac:dyDescent="0.2">
      <c r="A5831" s="1611">
        <v>17</v>
      </c>
      <c r="B5831" s="1611" t="s">
        <v>2043</v>
      </c>
      <c r="C5831" s="1611" t="s">
        <v>7029</v>
      </c>
      <c r="D5831" s="1612" t="s">
        <v>7555</v>
      </c>
      <c r="E5831" s="1706" t="s">
        <v>7592</v>
      </c>
      <c r="F5831" s="1613">
        <v>53500000</v>
      </c>
      <c r="G5831" s="1613">
        <v>283008645897</v>
      </c>
    </row>
    <row r="5832" spans="1:7" ht="17.25" customHeight="1" x14ac:dyDescent="0.2">
      <c r="A5832" s="1611">
        <v>17</v>
      </c>
      <c r="B5832" s="1611" t="s">
        <v>2032</v>
      </c>
      <c r="C5832" s="1611" t="s">
        <v>7054</v>
      </c>
      <c r="D5832" s="1612" t="s">
        <v>7555</v>
      </c>
      <c r="E5832" s="1706" t="s">
        <v>7592</v>
      </c>
      <c r="F5832" s="1613">
        <v>34009091</v>
      </c>
      <c r="G5832" s="1613">
        <v>283042654988</v>
      </c>
    </row>
    <row r="5833" spans="1:7" ht="17.25" customHeight="1" x14ac:dyDescent="0.2">
      <c r="A5833" s="1611">
        <v>17</v>
      </c>
      <c r="B5833" s="1611" t="s">
        <v>2037</v>
      </c>
      <c r="C5833" s="1611" t="s">
        <v>7055</v>
      </c>
      <c r="D5833" s="1612" t="s">
        <v>7555</v>
      </c>
      <c r="E5833" s="1706" t="s">
        <v>7592</v>
      </c>
      <c r="F5833" s="1613">
        <v>38000000</v>
      </c>
      <c r="G5833" s="1613">
        <v>283080654988</v>
      </c>
    </row>
    <row r="5834" spans="1:7" ht="17.25" customHeight="1" x14ac:dyDescent="0.2">
      <c r="A5834" s="1611">
        <v>17</v>
      </c>
      <c r="B5834" s="1611" t="s">
        <v>2037</v>
      </c>
      <c r="C5834" s="1611" t="s">
        <v>7055</v>
      </c>
      <c r="D5834" s="1612" t="s">
        <v>7555</v>
      </c>
      <c r="E5834" s="1706" t="s">
        <v>7592</v>
      </c>
      <c r="F5834" s="1613">
        <v>38000000</v>
      </c>
      <c r="G5834" s="1613">
        <v>283118654988</v>
      </c>
    </row>
    <row r="5835" spans="1:7" ht="17.25" customHeight="1" x14ac:dyDescent="0.2">
      <c r="A5835" s="1611">
        <v>17</v>
      </c>
      <c r="B5835" s="1611" t="s">
        <v>2039</v>
      </c>
      <c r="C5835" s="1611" t="s">
        <v>7056</v>
      </c>
      <c r="D5835" s="1612" t="s">
        <v>7555</v>
      </c>
      <c r="E5835" s="1706" t="s">
        <v>7592</v>
      </c>
      <c r="F5835" s="1613">
        <v>40909091</v>
      </c>
      <c r="G5835" s="1613">
        <v>283159564079</v>
      </c>
    </row>
    <row r="5836" spans="1:7" ht="17.25" customHeight="1" x14ac:dyDescent="0.2">
      <c r="A5836" s="1611">
        <v>17</v>
      </c>
      <c r="B5836" s="1611" t="s">
        <v>2039</v>
      </c>
      <c r="C5836" s="1611" t="s">
        <v>7057</v>
      </c>
      <c r="D5836" s="1612" t="s">
        <v>7555</v>
      </c>
      <c r="E5836" s="1706" t="s">
        <v>7592</v>
      </c>
      <c r="F5836" s="1613">
        <v>41000000</v>
      </c>
      <c r="G5836" s="1613">
        <v>283200564079</v>
      </c>
    </row>
    <row r="5837" spans="1:7" ht="17.25" customHeight="1" x14ac:dyDescent="0.2">
      <c r="A5837" s="1611">
        <v>17</v>
      </c>
      <c r="B5837" s="1611" t="s">
        <v>2041</v>
      </c>
      <c r="C5837" s="1611" t="s">
        <v>5488</v>
      </c>
      <c r="D5837" s="1612" t="s">
        <v>7555</v>
      </c>
      <c r="E5837" s="1706" t="s">
        <v>7592</v>
      </c>
      <c r="F5837" s="1613">
        <v>50909091</v>
      </c>
      <c r="G5837" s="1613">
        <v>283251473170</v>
      </c>
    </row>
    <row r="5838" spans="1:7" ht="17.25" customHeight="1" x14ac:dyDescent="0.2">
      <c r="A5838" s="1611">
        <v>17</v>
      </c>
      <c r="B5838" s="1611" t="s">
        <v>2041</v>
      </c>
      <c r="C5838" s="1611" t="s">
        <v>7058</v>
      </c>
      <c r="D5838" s="1612" t="s">
        <v>7555</v>
      </c>
      <c r="E5838" s="1706" t="s">
        <v>7592</v>
      </c>
      <c r="F5838" s="1613">
        <v>53000000</v>
      </c>
      <c r="G5838" s="1613">
        <v>283304473170</v>
      </c>
    </row>
    <row r="5839" spans="1:7" ht="17.25" customHeight="1" x14ac:dyDescent="0.2">
      <c r="A5839" s="1611">
        <v>17</v>
      </c>
      <c r="B5839" s="1611" t="s">
        <v>2039</v>
      </c>
      <c r="C5839" s="1611" t="s">
        <v>7059</v>
      </c>
      <c r="D5839" s="1612" t="s">
        <v>7555</v>
      </c>
      <c r="E5839" s="1706" t="s">
        <v>7592</v>
      </c>
      <c r="F5839" s="1613">
        <v>39090909</v>
      </c>
      <c r="G5839" s="1613">
        <v>283343564079</v>
      </c>
    </row>
    <row r="5840" spans="1:7" ht="17.25" customHeight="1" x14ac:dyDescent="0.2">
      <c r="A5840" s="1611">
        <v>17</v>
      </c>
      <c r="B5840" s="1611" t="s">
        <v>2028</v>
      </c>
      <c r="C5840" s="1611" t="s">
        <v>4213</v>
      </c>
      <c r="D5840" s="1612" t="s">
        <v>2024</v>
      </c>
      <c r="E5840" s="1706" t="s">
        <v>7592</v>
      </c>
      <c r="F5840" s="1613">
        <v>14500000</v>
      </c>
      <c r="G5840" s="1613">
        <v>283358064079</v>
      </c>
    </row>
    <row r="5841" spans="1:7" ht="17.25" customHeight="1" x14ac:dyDescent="0.2">
      <c r="A5841" s="1611">
        <v>17</v>
      </c>
      <c r="B5841" s="1611" t="s">
        <v>2037</v>
      </c>
      <c r="C5841" s="1611" t="s">
        <v>7060</v>
      </c>
      <c r="D5841" s="1612" t="s">
        <v>7555</v>
      </c>
      <c r="E5841" s="1706" t="s">
        <v>7592</v>
      </c>
      <c r="F5841" s="1613">
        <v>18572730</v>
      </c>
      <c r="G5841" s="1613">
        <v>283376636809</v>
      </c>
    </row>
    <row r="5842" spans="1:7" ht="17.25" customHeight="1" x14ac:dyDescent="0.2">
      <c r="A5842" s="1611">
        <v>17</v>
      </c>
      <c r="B5842" s="1611" t="s">
        <v>2041</v>
      </c>
      <c r="C5842" s="1611" t="s">
        <v>7061</v>
      </c>
      <c r="D5842" s="1612" t="s">
        <v>7555</v>
      </c>
      <c r="E5842" s="1706" t="s">
        <v>7592</v>
      </c>
      <c r="F5842" s="1613">
        <v>52000000</v>
      </c>
      <c r="G5842" s="1613">
        <v>283428636809</v>
      </c>
    </row>
    <row r="5843" spans="1:7" ht="17.25" customHeight="1" x14ac:dyDescent="0.2">
      <c r="A5843" s="1611">
        <v>17</v>
      </c>
      <c r="B5843" s="1611" t="s">
        <v>2037</v>
      </c>
      <c r="C5843" s="1611" t="s">
        <v>7062</v>
      </c>
      <c r="D5843" s="1612" t="s">
        <v>7555</v>
      </c>
      <c r="E5843" s="1706" t="s">
        <v>7592</v>
      </c>
      <c r="F5843" s="1613">
        <v>38000000</v>
      </c>
      <c r="G5843" s="1613">
        <v>283466636809</v>
      </c>
    </row>
    <row r="5844" spans="1:7" ht="17.25" customHeight="1" x14ac:dyDescent="0.2">
      <c r="A5844" s="1611">
        <v>17</v>
      </c>
      <c r="B5844" s="1611" t="s">
        <v>7374</v>
      </c>
      <c r="C5844" s="1611" t="s">
        <v>6549</v>
      </c>
      <c r="D5844" s="1612">
        <v>0</v>
      </c>
      <c r="E5844" s="1612" t="s">
        <v>3296</v>
      </c>
      <c r="F5844" s="1613">
        <v>1296575000</v>
      </c>
      <c r="G5844" s="1613">
        <v>284763211809</v>
      </c>
    </row>
    <row r="5845" spans="1:7" ht="17.25" customHeight="1" x14ac:dyDescent="0.2">
      <c r="A5845" s="1611">
        <v>17</v>
      </c>
      <c r="B5845" s="1611" t="s">
        <v>2039</v>
      </c>
      <c r="C5845" s="1611" t="s">
        <v>7063</v>
      </c>
      <c r="D5845" s="1612" t="s">
        <v>7555</v>
      </c>
      <c r="E5845" s="1706" t="s">
        <v>7592</v>
      </c>
      <c r="F5845" s="1613">
        <v>42000000</v>
      </c>
      <c r="G5845" s="1613">
        <v>284805211809</v>
      </c>
    </row>
    <row r="5846" spans="1:7" ht="17.25" customHeight="1" x14ac:dyDescent="0.2">
      <c r="A5846" s="1611">
        <v>17</v>
      </c>
      <c r="B5846" s="1611" t="s">
        <v>2028</v>
      </c>
      <c r="C5846" s="1611" t="s">
        <v>7064</v>
      </c>
      <c r="D5846" s="1612" t="s">
        <v>2024</v>
      </c>
      <c r="E5846" s="1706" t="s">
        <v>7592</v>
      </c>
      <c r="F5846" s="1613">
        <v>14500000</v>
      </c>
      <c r="G5846" s="1613">
        <v>284819711809</v>
      </c>
    </row>
    <row r="5847" spans="1:7" ht="17.25" customHeight="1" x14ac:dyDescent="0.2">
      <c r="A5847" s="1611">
        <v>17</v>
      </c>
      <c r="B5847" s="1611" t="s">
        <v>2041</v>
      </c>
      <c r="C5847" s="1611" t="s">
        <v>7065</v>
      </c>
      <c r="D5847" s="1612" t="s">
        <v>7555</v>
      </c>
      <c r="E5847" s="1706" t="s">
        <v>7592</v>
      </c>
      <c r="F5847" s="1613">
        <v>52000000</v>
      </c>
      <c r="G5847" s="1613">
        <v>284871711809</v>
      </c>
    </row>
    <row r="5848" spans="1:7" ht="17.25" customHeight="1" x14ac:dyDescent="0.2">
      <c r="A5848" s="1611">
        <v>17</v>
      </c>
      <c r="B5848" s="1611" t="s">
        <v>2038</v>
      </c>
      <c r="C5848" s="1611" t="s">
        <v>7066</v>
      </c>
      <c r="D5848" s="1612" t="s">
        <v>7555</v>
      </c>
      <c r="E5848" s="1706" t="s">
        <v>7592</v>
      </c>
      <c r="F5848" s="1613">
        <v>40000000</v>
      </c>
      <c r="G5848" s="1613">
        <v>284911711809</v>
      </c>
    </row>
    <row r="5849" spans="1:7" ht="17.25" customHeight="1" x14ac:dyDescent="0.2">
      <c r="A5849" s="1611">
        <v>17</v>
      </c>
      <c r="B5849" s="1611" t="s">
        <v>2037</v>
      </c>
      <c r="C5849" s="1611" t="s">
        <v>7066</v>
      </c>
      <c r="D5849" s="1612" t="s">
        <v>7555</v>
      </c>
      <c r="E5849" s="1706" t="s">
        <v>7592</v>
      </c>
      <c r="F5849" s="1613">
        <v>39090909</v>
      </c>
      <c r="G5849" s="1613">
        <v>284950802718</v>
      </c>
    </row>
    <row r="5850" spans="1:7" ht="17.25" customHeight="1" x14ac:dyDescent="0.2">
      <c r="A5850" s="1611">
        <v>17</v>
      </c>
      <c r="B5850" s="1611" t="s">
        <v>2037</v>
      </c>
      <c r="C5850" s="1611" t="s">
        <v>7067</v>
      </c>
      <c r="D5850" s="1612" t="s">
        <v>7555</v>
      </c>
      <c r="E5850" s="1706" t="s">
        <v>7592</v>
      </c>
      <c r="F5850" s="1613">
        <v>36000000</v>
      </c>
      <c r="G5850" s="1613">
        <v>284986802718</v>
      </c>
    </row>
    <row r="5851" spans="1:7" ht="17.25" customHeight="1" x14ac:dyDescent="0.2">
      <c r="A5851" s="1611">
        <v>17</v>
      </c>
      <c r="B5851" s="1611" t="s">
        <v>2936</v>
      </c>
      <c r="C5851" s="1611" t="s">
        <v>6291</v>
      </c>
      <c r="D5851" s="1612" t="s">
        <v>2023</v>
      </c>
      <c r="E5851" s="1706" t="s">
        <v>7558</v>
      </c>
      <c r="F5851" s="1613">
        <v>86740450.5</v>
      </c>
      <c r="G5851" s="1613">
        <v>142580141809.5</v>
      </c>
    </row>
    <row r="5852" spans="1:7" ht="17.25" customHeight="1" x14ac:dyDescent="0.2">
      <c r="A5852" s="1611">
        <v>17</v>
      </c>
      <c r="B5852" s="1611" t="s">
        <v>2936</v>
      </c>
      <c r="C5852" s="1611" t="s">
        <v>6291</v>
      </c>
      <c r="D5852" s="1612" t="s">
        <v>2023</v>
      </c>
      <c r="E5852" s="1706" t="s">
        <v>7558</v>
      </c>
      <c r="F5852" s="1613">
        <v>86740450.5</v>
      </c>
      <c r="G5852" s="1613">
        <v>142580141809.5</v>
      </c>
    </row>
    <row r="5853" spans="1:7" ht="17.25" customHeight="1" x14ac:dyDescent="0.2">
      <c r="A5853" s="1611">
        <v>17</v>
      </c>
      <c r="B5853" s="1611" t="s">
        <v>2037</v>
      </c>
      <c r="C5853" s="1611" t="s">
        <v>7068</v>
      </c>
      <c r="D5853" s="1612" t="s">
        <v>7555</v>
      </c>
      <c r="E5853" s="1706" t="s">
        <v>7592</v>
      </c>
      <c r="F5853" s="1613">
        <v>37000000</v>
      </c>
      <c r="G5853" s="1613">
        <v>285197283619</v>
      </c>
    </row>
    <row r="5854" spans="1:7" ht="17.25" customHeight="1" x14ac:dyDescent="0.2">
      <c r="A5854" s="1611">
        <v>17</v>
      </c>
      <c r="B5854" s="1611" t="s">
        <v>2032</v>
      </c>
      <c r="C5854" s="1611" t="s">
        <v>4542</v>
      </c>
      <c r="D5854" s="1612" t="s">
        <v>7555</v>
      </c>
      <c r="E5854" s="1706" t="s">
        <v>7592</v>
      </c>
      <c r="F5854" s="1613">
        <v>36363637</v>
      </c>
      <c r="G5854" s="1613">
        <v>285233647256</v>
      </c>
    </row>
    <row r="5855" spans="1:7" ht="17.25" customHeight="1" x14ac:dyDescent="0.2">
      <c r="A5855" s="1611">
        <v>17</v>
      </c>
      <c r="B5855" s="1611" t="s">
        <v>2039</v>
      </c>
      <c r="C5855" s="1611" t="s">
        <v>7069</v>
      </c>
      <c r="D5855" s="1612" t="s">
        <v>7555</v>
      </c>
      <c r="E5855" s="1706" t="s">
        <v>7592</v>
      </c>
      <c r="F5855" s="1613">
        <v>41818182</v>
      </c>
      <c r="G5855" s="1613">
        <v>285275465438</v>
      </c>
    </row>
    <row r="5856" spans="1:7" ht="17.25" customHeight="1" x14ac:dyDescent="0.2">
      <c r="A5856" s="1611">
        <v>17</v>
      </c>
      <c r="B5856" s="1611" t="s">
        <v>2034</v>
      </c>
      <c r="C5856" s="1611" t="s">
        <v>7070</v>
      </c>
      <c r="D5856" s="1612" t="s">
        <v>7555</v>
      </c>
      <c r="E5856" s="1706" t="s">
        <v>7592</v>
      </c>
      <c r="F5856" s="1613">
        <v>44400000</v>
      </c>
      <c r="G5856" s="1613">
        <v>285319865438</v>
      </c>
    </row>
    <row r="5857" spans="1:7" ht="17.25" customHeight="1" x14ac:dyDescent="0.2">
      <c r="A5857" s="1611">
        <v>17</v>
      </c>
      <c r="B5857" s="1611" t="s">
        <v>2062</v>
      </c>
      <c r="C5857" s="1611" t="s">
        <v>7071</v>
      </c>
      <c r="D5857" s="1612" t="s">
        <v>2023</v>
      </c>
      <c r="E5857" s="1706" t="s">
        <v>7592</v>
      </c>
      <c r="F5857" s="1613">
        <v>177000000</v>
      </c>
      <c r="G5857" s="1613">
        <v>285496865438</v>
      </c>
    </row>
    <row r="5858" spans="1:7" ht="17.25" customHeight="1" x14ac:dyDescent="0.2">
      <c r="A5858" s="1611">
        <v>17</v>
      </c>
      <c r="B5858" s="1611" t="s">
        <v>2039</v>
      </c>
      <c r="C5858" s="1611" t="s">
        <v>7072</v>
      </c>
      <c r="D5858" s="1612" t="s">
        <v>7555</v>
      </c>
      <c r="E5858" s="1706" t="s">
        <v>7592</v>
      </c>
      <c r="F5858" s="1613">
        <v>42000000</v>
      </c>
      <c r="G5858" s="1613">
        <v>285538865438</v>
      </c>
    </row>
    <row r="5859" spans="1:7" ht="17.25" customHeight="1" x14ac:dyDescent="0.2">
      <c r="A5859" s="1611">
        <v>17</v>
      </c>
      <c r="B5859" s="1611" t="s">
        <v>2055</v>
      </c>
      <c r="C5859" s="1611" t="s">
        <v>7073</v>
      </c>
      <c r="D5859" s="1612" t="s">
        <v>7555</v>
      </c>
      <c r="E5859" s="1706" t="s">
        <v>7592</v>
      </c>
      <c r="F5859" s="1613">
        <v>59090910</v>
      </c>
      <c r="G5859" s="1613">
        <v>285597956348</v>
      </c>
    </row>
    <row r="5860" spans="1:7" ht="17.25" customHeight="1" x14ac:dyDescent="0.2">
      <c r="A5860" s="1611">
        <v>17</v>
      </c>
      <c r="B5860" s="1611" t="s">
        <v>2032</v>
      </c>
      <c r="C5860" s="1611" t="s">
        <v>3765</v>
      </c>
      <c r="D5860" s="1612" t="s">
        <v>7555</v>
      </c>
      <c r="E5860" s="1706" t="s">
        <v>7592</v>
      </c>
      <c r="F5860" s="1613">
        <v>36700000</v>
      </c>
      <c r="G5860" s="1613">
        <v>285634656348</v>
      </c>
    </row>
    <row r="5861" spans="1:7" ht="17.25" customHeight="1" x14ac:dyDescent="0.2">
      <c r="A5861" s="1611">
        <v>17</v>
      </c>
      <c r="B5861" s="1611" t="s">
        <v>2039</v>
      </c>
      <c r="C5861" s="1611" t="s">
        <v>7074</v>
      </c>
      <c r="D5861" s="1612" t="s">
        <v>7555</v>
      </c>
      <c r="E5861" s="1706" t="s">
        <v>7592</v>
      </c>
      <c r="F5861" s="1613">
        <v>40000000</v>
      </c>
      <c r="G5861" s="1613">
        <v>285674656348</v>
      </c>
    </row>
    <row r="5862" spans="1:7" ht="17.25" customHeight="1" x14ac:dyDescent="0.2">
      <c r="A5862" s="1611">
        <v>17</v>
      </c>
      <c r="B5862" s="1611" t="s">
        <v>2039</v>
      </c>
      <c r="C5862" s="1611" t="s">
        <v>5688</v>
      </c>
      <c r="D5862" s="1612" t="s">
        <v>7555</v>
      </c>
      <c r="E5862" s="1706" t="s">
        <v>7592</v>
      </c>
      <c r="F5862" s="1613">
        <v>42181818</v>
      </c>
      <c r="G5862" s="1613">
        <v>285716838166</v>
      </c>
    </row>
    <row r="5863" spans="1:7" ht="17.25" customHeight="1" x14ac:dyDescent="0.2">
      <c r="A5863" s="1611">
        <v>17</v>
      </c>
      <c r="B5863" s="1611" t="s">
        <v>2039</v>
      </c>
      <c r="C5863" s="1611" t="s">
        <v>7075</v>
      </c>
      <c r="D5863" s="1612" t="s">
        <v>7555</v>
      </c>
      <c r="E5863" s="1706" t="s">
        <v>7592</v>
      </c>
      <c r="F5863" s="1613">
        <v>41000000</v>
      </c>
      <c r="G5863" s="1613">
        <v>285757838166</v>
      </c>
    </row>
    <row r="5864" spans="1:7" ht="17.25" customHeight="1" x14ac:dyDescent="0.2">
      <c r="A5864" s="1611">
        <v>17</v>
      </c>
      <c r="B5864" s="1611" t="s">
        <v>2037</v>
      </c>
      <c r="C5864" s="1611" t="s">
        <v>4126</v>
      </c>
      <c r="D5864" s="1612" t="s">
        <v>7555</v>
      </c>
      <c r="E5864" s="1706" t="s">
        <v>7592</v>
      </c>
      <c r="F5864" s="1613">
        <v>38500000</v>
      </c>
      <c r="G5864" s="1613">
        <v>285796338166</v>
      </c>
    </row>
    <row r="5865" spans="1:7" ht="17.25" customHeight="1" x14ac:dyDescent="0.2">
      <c r="A5865" s="1611">
        <v>17</v>
      </c>
      <c r="B5865" s="1611" t="s">
        <v>7261</v>
      </c>
      <c r="C5865" s="1611" t="s">
        <v>4064</v>
      </c>
      <c r="D5865" s="1612">
        <v>0</v>
      </c>
      <c r="E5865" s="1612" t="s">
        <v>3295</v>
      </c>
      <c r="F5865" s="1613">
        <v>91316400</v>
      </c>
      <c r="G5865" s="1614"/>
    </row>
    <row r="5866" spans="1:7" ht="17.25" customHeight="1" x14ac:dyDescent="0.2">
      <c r="A5866" s="1611">
        <v>17</v>
      </c>
      <c r="B5866" s="1611" t="s">
        <v>7312</v>
      </c>
      <c r="C5866" s="1611" t="s">
        <v>4064</v>
      </c>
      <c r="D5866" s="1612">
        <v>0</v>
      </c>
      <c r="E5866" s="1612" t="s">
        <v>3295</v>
      </c>
      <c r="F5866" s="1613">
        <v>68487300</v>
      </c>
      <c r="G5866" s="1613">
        <v>285956141866</v>
      </c>
    </row>
    <row r="5867" spans="1:7" ht="17.25" customHeight="1" x14ac:dyDescent="0.2">
      <c r="A5867" s="1611">
        <v>17</v>
      </c>
      <c r="B5867" s="1611" t="s">
        <v>2063</v>
      </c>
      <c r="C5867" s="1611" t="s">
        <v>3629</v>
      </c>
      <c r="D5867" s="1612" t="s">
        <v>2023</v>
      </c>
      <c r="E5867" s="1706" t="s">
        <v>7592</v>
      </c>
      <c r="F5867" s="1613">
        <v>159600000</v>
      </c>
      <c r="G5867" s="1613">
        <v>286115741866</v>
      </c>
    </row>
    <row r="5868" spans="1:7" ht="17.25" customHeight="1" x14ac:dyDescent="0.2">
      <c r="A5868" s="1611">
        <v>17</v>
      </c>
      <c r="B5868" s="1611" t="s">
        <v>2836</v>
      </c>
      <c r="C5868" s="1611" t="s">
        <v>7076</v>
      </c>
      <c r="D5868" s="1612" t="s">
        <v>7555</v>
      </c>
      <c r="E5868" s="1706" t="s">
        <v>7592</v>
      </c>
      <c r="F5868" s="1613">
        <v>31500000</v>
      </c>
      <c r="G5868" s="1613">
        <v>286147241866</v>
      </c>
    </row>
    <row r="5869" spans="1:7" ht="17.25" customHeight="1" x14ac:dyDescent="0.2">
      <c r="A5869" s="1611">
        <v>17</v>
      </c>
      <c r="B5869" s="1611" t="s">
        <v>2041</v>
      </c>
      <c r="C5869" s="1611" t="s">
        <v>7077</v>
      </c>
      <c r="D5869" s="1612" t="s">
        <v>7555</v>
      </c>
      <c r="E5869" s="1706" t="s">
        <v>7592</v>
      </c>
      <c r="F5869" s="1613">
        <v>51818182</v>
      </c>
      <c r="G5869" s="1613">
        <v>286199060048</v>
      </c>
    </row>
    <row r="5870" spans="1:7" ht="17.25" customHeight="1" x14ac:dyDescent="0.2">
      <c r="A5870" s="1611">
        <v>17</v>
      </c>
      <c r="B5870" s="1611" t="s">
        <v>7176</v>
      </c>
      <c r="C5870" s="1611" t="s">
        <v>7078</v>
      </c>
      <c r="D5870" s="1612">
        <v>0</v>
      </c>
      <c r="E5870" s="1612" t="s">
        <v>2025</v>
      </c>
      <c r="F5870" s="1613">
        <v>38430050</v>
      </c>
      <c r="G5870" s="1613">
        <v>286237490098</v>
      </c>
    </row>
    <row r="5871" spans="1:7" ht="17.25" customHeight="1" x14ac:dyDescent="0.2">
      <c r="A5871" s="1611">
        <v>17</v>
      </c>
      <c r="B5871" s="1611" t="s">
        <v>2028</v>
      </c>
      <c r="C5871" s="1611" t="s">
        <v>7079</v>
      </c>
      <c r="D5871" s="1612" t="s">
        <v>2024</v>
      </c>
      <c r="E5871" s="1706" t="s">
        <v>7592</v>
      </c>
      <c r="F5871" s="1613">
        <v>13800000</v>
      </c>
      <c r="G5871" s="1613">
        <v>286251290098</v>
      </c>
    </row>
    <row r="5872" spans="1:7" ht="17.25" customHeight="1" x14ac:dyDescent="0.2">
      <c r="A5872" s="1611">
        <v>17</v>
      </c>
      <c r="B5872" s="1611" t="s">
        <v>2038</v>
      </c>
      <c r="C5872" s="1611" t="s">
        <v>7080</v>
      </c>
      <c r="D5872" s="1612" t="s">
        <v>7555</v>
      </c>
      <c r="E5872" s="1706" t="s">
        <v>7592</v>
      </c>
      <c r="F5872" s="1613">
        <v>38900000</v>
      </c>
      <c r="G5872" s="1613">
        <v>286290190098</v>
      </c>
    </row>
    <row r="5873" spans="1:7" ht="17.25" customHeight="1" x14ac:dyDescent="0.2">
      <c r="A5873" s="1611">
        <v>17</v>
      </c>
      <c r="B5873" s="1611" t="s">
        <v>2041</v>
      </c>
      <c r="C5873" s="1611" t="s">
        <v>7081</v>
      </c>
      <c r="D5873" s="1612" t="s">
        <v>7555</v>
      </c>
      <c r="E5873" s="1706" t="s">
        <v>7592</v>
      </c>
      <c r="F5873" s="1613">
        <v>53000000</v>
      </c>
      <c r="G5873" s="1613">
        <v>286343190098</v>
      </c>
    </row>
    <row r="5874" spans="1:7" ht="17.25" customHeight="1" x14ac:dyDescent="0.2">
      <c r="A5874" s="1611">
        <v>17</v>
      </c>
      <c r="B5874" s="1611" t="s">
        <v>2028</v>
      </c>
      <c r="C5874" s="1611" t="s">
        <v>7082</v>
      </c>
      <c r="D5874" s="1612" t="s">
        <v>2024</v>
      </c>
      <c r="E5874" s="1706" t="s">
        <v>7592</v>
      </c>
      <c r="F5874" s="1613">
        <v>11818182</v>
      </c>
      <c r="G5874" s="1613">
        <v>286355008280</v>
      </c>
    </row>
    <row r="5875" spans="1:7" ht="17.25" customHeight="1" x14ac:dyDescent="0.2">
      <c r="A5875" s="1611">
        <v>17</v>
      </c>
      <c r="B5875" s="1611" t="s">
        <v>2037</v>
      </c>
      <c r="C5875" s="1611" t="s">
        <v>5758</v>
      </c>
      <c r="D5875" s="1612" t="s">
        <v>7555</v>
      </c>
      <c r="E5875" s="1706" t="s">
        <v>7581</v>
      </c>
      <c r="F5875" s="1613">
        <v>18400000</v>
      </c>
      <c r="G5875" s="1613">
        <v>286373408280</v>
      </c>
    </row>
    <row r="5876" spans="1:7" ht="17.25" customHeight="1" x14ac:dyDescent="0.2">
      <c r="A5876" s="1611">
        <v>17</v>
      </c>
      <c r="B5876" s="1611" t="s">
        <v>2037</v>
      </c>
      <c r="C5876" s="1611" t="s">
        <v>5758</v>
      </c>
      <c r="D5876" s="1612" t="s">
        <v>7555</v>
      </c>
      <c r="E5876" s="1706" t="s">
        <v>7583</v>
      </c>
      <c r="F5876" s="1613">
        <v>18400000</v>
      </c>
      <c r="G5876" s="1613">
        <v>286391808280</v>
      </c>
    </row>
    <row r="5877" spans="1:7" ht="17.25" customHeight="1" x14ac:dyDescent="0.2">
      <c r="A5877" s="1611">
        <v>17</v>
      </c>
      <c r="B5877" s="1611" t="s">
        <v>2037</v>
      </c>
      <c r="C5877" s="1611" t="s">
        <v>5758</v>
      </c>
      <c r="D5877" s="1612" t="s">
        <v>7555</v>
      </c>
      <c r="E5877" s="1706" t="s">
        <v>7584</v>
      </c>
      <c r="F5877" s="1613">
        <v>18400000</v>
      </c>
      <c r="G5877" s="1613">
        <v>286410208280</v>
      </c>
    </row>
    <row r="5878" spans="1:7" ht="17.25" customHeight="1" x14ac:dyDescent="0.2">
      <c r="A5878" s="1611">
        <v>17</v>
      </c>
      <c r="B5878" s="1611" t="s">
        <v>2039</v>
      </c>
      <c r="C5878" s="1611" t="s">
        <v>7083</v>
      </c>
      <c r="D5878" s="1612" t="s">
        <v>7555</v>
      </c>
      <c r="E5878" s="1706" t="s">
        <v>7592</v>
      </c>
      <c r="F5878" s="1613">
        <v>43873000</v>
      </c>
      <c r="G5878" s="1613">
        <v>286454081280</v>
      </c>
    </row>
    <row r="5879" spans="1:7" ht="17.25" customHeight="1" x14ac:dyDescent="0.2">
      <c r="A5879" s="1611">
        <v>17</v>
      </c>
      <c r="B5879" s="1611" t="s">
        <v>2039</v>
      </c>
      <c r="C5879" s="1611" t="s">
        <v>7084</v>
      </c>
      <c r="D5879" s="1612" t="s">
        <v>7555</v>
      </c>
      <c r="E5879" s="1706" t="s">
        <v>7592</v>
      </c>
      <c r="F5879" s="1613">
        <v>40909091</v>
      </c>
      <c r="G5879" s="1613">
        <v>286494990371</v>
      </c>
    </row>
    <row r="5880" spans="1:7" ht="17.25" customHeight="1" x14ac:dyDescent="0.2">
      <c r="A5880" s="1611">
        <v>17</v>
      </c>
      <c r="B5880" s="1611" t="s">
        <v>2063</v>
      </c>
      <c r="C5880" s="1611" t="s">
        <v>7085</v>
      </c>
      <c r="D5880" s="1612" t="s">
        <v>2023</v>
      </c>
      <c r="E5880" s="1706" t="s">
        <v>7592</v>
      </c>
      <c r="F5880" s="1613">
        <v>161000000</v>
      </c>
      <c r="G5880" s="1613">
        <v>286655990371</v>
      </c>
    </row>
    <row r="5881" spans="1:7" ht="17.25" customHeight="1" x14ac:dyDescent="0.2">
      <c r="A5881" s="1611">
        <v>17</v>
      </c>
      <c r="B5881" s="1611" t="s">
        <v>7375</v>
      </c>
      <c r="C5881" s="1611" t="s">
        <v>6549</v>
      </c>
      <c r="D5881" s="1612">
        <v>0</v>
      </c>
      <c r="E5881" s="1612" t="s">
        <v>3296</v>
      </c>
      <c r="F5881" s="1613">
        <v>532301250</v>
      </c>
      <c r="G5881" s="1613">
        <v>287188291621</v>
      </c>
    </row>
    <row r="5882" spans="1:7" ht="17.25" customHeight="1" x14ac:dyDescent="0.2">
      <c r="A5882" s="1611">
        <v>17</v>
      </c>
      <c r="B5882" s="1611" t="s">
        <v>2039</v>
      </c>
      <c r="C5882" s="1611" t="s">
        <v>7086</v>
      </c>
      <c r="D5882" s="1612" t="s">
        <v>7555</v>
      </c>
      <c r="E5882" s="1706" t="s">
        <v>7592</v>
      </c>
      <c r="F5882" s="1613">
        <v>40000000</v>
      </c>
      <c r="G5882" s="1613">
        <v>287228291621</v>
      </c>
    </row>
    <row r="5883" spans="1:7" ht="17.25" customHeight="1" x14ac:dyDescent="0.2">
      <c r="A5883" s="1611">
        <v>17</v>
      </c>
      <c r="B5883" s="1611" t="s">
        <v>2039</v>
      </c>
      <c r="C5883" s="1611" t="s">
        <v>7086</v>
      </c>
      <c r="D5883" s="1612" t="s">
        <v>7555</v>
      </c>
      <c r="E5883" s="1706" t="s">
        <v>7592</v>
      </c>
      <c r="F5883" s="1613">
        <v>40000000</v>
      </c>
      <c r="G5883" s="1613">
        <v>287268291621</v>
      </c>
    </row>
    <row r="5884" spans="1:7" ht="17.25" customHeight="1" x14ac:dyDescent="0.2">
      <c r="A5884" s="1611">
        <v>17</v>
      </c>
      <c r="B5884" s="1611" t="s">
        <v>2039</v>
      </c>
      <c r="C5884" s="1611" t="s">
        <v>7086</v>
      </c>
      <c r="D5884" s="1612" t="s">
        <v>7555</v>
      </c>
      <c r="E5884" s="1706" t="s">
        <v>7592</v>
      </c>
      <c r="F5884" s="1613">
        <v>40000000</v>
      </c>
      <c r="G5884" s="1613">
        <v>287308291621</v>
      </c>
    </row>
    <row r="5885" spans="1:7" ht="17.25" customHeight="1" x14ac:dyDescent="0.2">
      <c r="A5885" s="1611">
        <v>17</v>
      </c>
      <c r="B5885" s="1611" t="s">
        <v>2041</v>
      </c>
      <c r="C5885" s="1611" t="s">
        <v>7087</v>
      </c>
      <c r="D5885" s="1612" t="s">
        <v>7555</v>
      </c>
      <c r="E5885" s="1706" t="s">
        <v>7592</v>
      </c>
      <c r="F5885" s="1613">
        <v>51363636</v>
      </c>
      <c r="G5885" s="1613">
        <v>287359655257</v>
      </c>
    </row>
    <row r="5886" spans="1:7" ht="17.25" customHeight="1" x14ac:dyDescent="0.2">
      <c r="A5886" s="1611">
        <v>17</v>
      </c>
      <c r="B5886" s="1611" t="s">
        <v>2836</v>
      </c>
      <c r="C5886" s="1611" t="s">
        <v>7088</v>
      </c>
      <c r="D5886" s="1612" t="s">
        <v>7555</v>
      </c>
      <c r="E5886" s="1706" t="s">
        <v>7592</v>
      </c>
      <c r="F5886" s="1613">
        <v>32600000</v>
      </c>
      <c r="G5886" s="1613">
        <v>287392255257</v>
      </c>
    </row>
    <row r="5887" spans="1:7" ht="17.25" customHeight="1" x14ac:dyDescent="0.2">
      <c r="A5887" s="1611">
        <v>17</v>
      </c>
      <c r="B5887" s="1611" t="s">
        <v>2026</v>
      </c>
      <c r="C5887" s="1611" t="s">
        <v>5105</v>
      </c>
      <c r="D5887" s="1612" t="s">
        <v>2024</v>
      </c>
      <c r="E5887" s="1706" t="s">
        <v>7592</v>
      </c>
      <c r="F5887" s="1613">
        <v>6575800</v>
      </c>
      <c r="G5887" s="1613">
        <v>287398831057</v>
      </c>
    </row>
    <row r="5888" spans="1:7" ht="17.25" customHeight="1" x14ac:dyDescent="0.2">
      <c r="A5888" s="1611">
        <v>17</v>
      </c>
      <c r="B5888" s="1611" t="s">
        <v>7089</v>
      </c>
      <c r="C5888" s="1611" t="s">
        <v>4632</v>
      </c>
      <c r="D5888" s="1612">
        <v>0</v>
      </c>
      <c r="E5888" s="1706" t="s">
        <v>7592</v>
      </c>
      <c r="F5888" s="1613">
        <v>12265000</v>
      </c>
      <c r="G5888" s="1613">
        <v>287411096057</v>
      </c>
    </row>
    <row r="5889" spans="1:7" ht="17.25" customHeight="1" x14ac:dyDescent="0.2">
      <c r="A5889" s="1611">
        <v>17</v>
      </c>
      <c r="B5889" s="1611" t="s">
        <v>2028</v>
      </c>
      <c r="C5889" s="1611" t="s">
        <v>7090</v>
      </c>
      <c r="D5889" s="1612" t="s">
        <v>2024</v>
      </c>
      <c r="E5889" s="1706" t="s">
        <v>7592</v>
      </c>
      <c r="F5889" s="1613">
        <v>14927273</v>
      </c>
      <c r="G5889" s="1613">
        <v>287426023330</v>
      </c>
    </row>
    <row r="5890" spans="1:7" ht="17.25" customHeight="1" x14ac:dyDescent="0.2">
      <c r="A5890" s="1611">
        <v>17</v>
      </c>
      <c r="B5890" s="1611" t="s">
        <v>2039</v>
      </c>
      <c r="C5890" s="1611" t="s">
        <v>7091</v>
      </c>
      <c r="D5890" s="1612" t="s">
        <v>7555</v>
      </c>
      <c r="E5890" s="1706" t="s">
        <v>7592</v>
      </c>
      <c r="F5890" s="1613">
        <v>38663000</v>
      </c>
      <c r="G5890" s="1613">
        <v>287464686330</v>
      </c>
    </row>
    <row r="5891" spans="1:7" ht="17.25" customHeight="1" x14ac:dyDescent="0.2">
      <c r="A5891" s="1611">
        <v>17</v>
      </c>
      <c r="B5891" s="1611" t="s">
        <v>2032</v>
      </c>
      <c r="C5891" s="1611" t="s">
        <v>4226</v>
      </c>
      <c r="D5891" s="1612" t="s">
        <v>7555</v>
      </c>
      <c r="E5891" s="1706" t="s">
        <v>7592</v>
      </c>
      <c r="F5891" s="1613">
        <v>33850000</v>
      </c>
      <c r="G5891" s="1613">
        <v>287498536330</v>
      </c>
    </row>
    <row r="5892" spans="1:7" ht="17.25" customHeight="1" x14ac:dyDescent="0.2">
      <c r="A5892" s="1611">
        <v>17</v>
      </c>
      <c r="B5892" s="1611" t="s">
        <v>2028</v>
      </c>
      <c r="C5892" s="1611" t="s">
        <v>7092</v>
      </c>
      <c r="D5892" s="1612" t="s">
        <v>2024</v>
      </c>
      <c r="E5892" s="1706" t="s">
        <v>7592</v>
      </c>
      <c r="F5892" s="1613">
        <v>14166363</v>
      </c>
      <c r="G5892" s="1613">
        <v>287512702693</v>
      </c>
    </row>
    <row r="5893" spans="1:7" ht="17.25" customHeight="1" x14ac:dyDescent="0.2">
      <c r="A5893" s="1611">
        <v>17</v>
      </c>
      <c r="B5893" s="1611" t="s">
        <v>2037</v>
      </c>
      <c r="C5893" s="1611" t="s">
        <v>7093</v>
      </c>
      <c r="D5893" s="1612" t="s">
        <v>7555</v>
      </c>
      <c r="E5893" s="1706" t="s">
        <v>7592</v>
      </c>
      <c r="F5893" s="1613">
        <v>18373000</v>
      </c>
      <c r="G5893" s="1613">
        <v>287531075693</v>
      </c>
    </row>
    <row r="5894" spans="1:7" ht="17.25" customHeight="1" x14ac:dyDescent="0.2">
      <c r="A5894" s="1611">
        <v>17</v>
      </c>
      <c r="B5894" s="1611" t="s">
        <v>2032</v>
      </c>
      <c r="C5894" s="1611" t="s">
        <v>7094</v>
      </c>
      <c r="D5894" s="1612" t="s">
        <v>7555</v>
      </c>
      <c r="E5894" s="1706" t="s">
        <v>7592</v>
      </c>
      <c r="F5894" s="1613">
        <v>36363637</v>
      </c>
      <c r="G5894" s="1613">
        <v>287567439330</v>
      </c>
    </row>
    <row r="5895" spans="1:7" ht="17.25" customHeight="1" x14ac:dyDescent="0.2">
      <c r="A5895" s="1611">
        <v>17</v>
      </c>
      <c r="B5895" s="1611" t="s">
        <v>2032</v>
      </c>
      <c r="C5895" s="1611" t="s">
        <v>7094</v>
      </c>
      <c r="D5895" s="1612" t="s">
        <v>7555</v>
      </c>
      <c r="E5895" s="1706" t="s">
        <v>7592</v>
      </c>
      <c r="F5895" s="1613">
        <v>36363637</v>
      </c>
      <c r="G5895" s="1613">
        <v>287603802967</v>
      </c>
    </row>
    <row r="5896" spans="1:7" ht="17.25" customHeight="1" x14ac:dyDescent="0.2">
      <c r="A5896" s="1611">
        <v>17</v>
      </c>
      <c r="B5896" s="1611" t="s">
        <v>2043</v>
      </c>
      <c r="C5896" s="1611" t="s">
        <v>7095</v>
      </c>
      <c r="D5896" s="1612" t="s">
        <v>7555</v>
      </c>
      <c r="E5896" s="1706" t="s">
        <v>7592</v>
      </c>
      <c r="F5896" s="1613">
        <v>54000000</v>
      </c>
      <c r="G5896" s="1613">
        <v>287657802967</v>
      </c>
    </row>
    <row r="5897" spans="1:7" ht="17.25" customHeight="1" x14ac:dyDescent="0.2">
      <c r="A5897" s="1611">
        <v>17</v>
      </c>
      <c r="B5897" s="1611" t="s">
        <v>2037</v>
      </c>
      <c r="C5897" s="1611" t="s">
        <v>7096</v>
      </c>
      <c r="D5897" s="1612" t="s">
        <v>7555</v>
      </c>
      <c r="E5897" s="1706" t="s">
        <v>7592</v>
      </c>
      <c r="F5897" s="1613">
        <v>38000000</v>
      </c>
      <c r="G5897" s="1613">
        <v>287695802967</v>
      </c>
    </row>
    <row r="5898" spans="1:7" ht="17.25" customHeight="1" x14ac:dyDescent="0.2">
      <c r="A5898" s="1611">
        <v>17</v>
      </c>
      <c r="B5898" s="1611" t="s">
        <v>2041</v>
      </c>
      <c r="C5898" s="1611" t="s">
        <v>7097</v>
      </c>
      <c r="D5898" s="1612" t="s">
        <v>7555</v>
      </c>
      <c r="E5898" s="1706" t="s">
        <v>7592</v>
      </c>
      <c r="F5898" s="1613">
        <v>52727273</v>
      </c>
      <c r="G5898" s="1613">
        <v>287748530240</v>
      </c>
    </row>
    <row r="5899" spans="1:7" ht="17.25" customHeight="1" x14ac:dyDescent="0.2">
      <c r="A5899" s="1611">
        <v>17</v>
      </c>
      <c r="B5899" s="1611" t="s">
        <v>7382</v>
      </c>
      <c r="C5899" s="1611" t="s">
        <v>6291</v>
      </c>
      <c r="D5899" s="1612" t="s">
        <v>2023</v>
      </c>
      <c r="E5899" s="1706" t="s">
        <v>7558</v>
      </c>
      <c r="F5899" s="1613">
        <v>87123269.5</v>
      </c>
      <c r="G5899" s="1613">
        <v>143961388389.5</v>
      </c>
    </row>
    <row r="5900" spans="1:7" ht="17.25" customHeight="1" x14ac:dyDescent="0.2">
      <c r="A5900" s="1611">
        <v>17</v>
      </c>
      <c r="B5900" s="1611" t="s">
        <v>7382</v>
      </c>
      <c r="C5900" s="1611" t="s">
        <v>6291</v>
      </c>
      <c r="D5900" s="1612" t="s">
        <v>2023</v>
      </c>
      <c r="E5900" s="1706" t="s">
        <v>7558</v>
      </c>
      <c r="F5900" s="1613">
        <v>87123269.5</v>
      </c>
      <c r="G5900" s="1613">
        <v>143961388389.5</v>
      </c>
    </row>
    <row r="5901" spans="1:7" ht="17.25" customHeight="1" x14ac:dyDescent="0.2">
      <c r="A5901" s="1611">
        <v>17</v>
      </c>
      <c r="B5901" s="1611" t="s">
        <v>2037</v>
      </c>
      <c r="C5901" s="1611" t="s">
        <v>7098</v>
      </c>
      <c r="D5901" s="1612" t="s">
        <v>7555</v>
      </c>
      <c r="E5901" s="1706" t="s">
        <v>7592</v>
      </c>
      <c r="F5901" s="1613">
        <v>38500000</v>
      </c>
      <c r="G5901" s="1613">
        <v>287961276779</v>
      </c>
    </row>
    <row r="5902" spans="1:7" ht="17.25" customHeight="1" x14ac:dyDescent="0.2">
      <c r="A5902" s="1611">
        <v>17</v>
      </c>
      <c r="B5902" s="1611" t="s">
        <v>2041</v>
      </c>
      <c r="C5902" s="1611" t="s">
        <v>7099</v>
      </c>
      <c r="D5902" s="1612" t="s">
        <v>7555</v>
      </c>
      <c r="E5902" s="1706" t="s">
        <v>7592</v>
      </c>
      <c r="F5902" s="1613">
        <v>51818181</v>
      </c>
      <c r="G5902" s="1613">
        <v>288013094960</v>
      </c>
    </row>
    <row r="5903" spans="1:7" ht="17.25" customHeight="1" x14ac:dyDescent="0.2">
      <c r="A5903" s="1611">
        <v>17</v>
      </c>
      <c r="B5903" s="1611" t="s">
        <v>2067</v>
      </c>
      <c r="C5903" s="1611" t="s">
        <v>7100</v>
      </c>
      <c r="D5903" s="1612" t="s">
        <v>2024</v>
      </c>
      <c r="E5903" s="1706" t="s">
        <v>7592</v>
      </c>
      <c r="F5903" s="1613">
        <v>99090909</v>
      </c>
      <c r="G5903" s="1613">
        <v>288112185869</v>
      </c>
    </row>
    <row r="5904" spans="1:7" ht="17.25" customHeight="1" x14ac:dyDescent="0.2">
      <c r="A5904" s="1611">
        <v>17</v>
      </c>
      <c r="B5904" s="1611" t="s">
        <v>2028</v>
      </c>
      <c r="C5904" s="1611" t="s">
        <v>7101</v>
      </c>
      <c r="D5904" s="1612" t="s">
        <v>2024</v>
      </c>
      <c r="E5904" s="1706" t="s">
        <v>7592</v>
      </c>
      <c r="F5904" s="1613">
        <v>14500000</v>
      </c>
      <c r="G5904" s="1613">
        <v>288126685869</v>
      </c>
    </row>
    <row r="5905" spans="1:7" ht="17.25" customHeight="1" x14ac:dyDescent="0.2">
      <c r="A5905" s="1611">
        <v>17</v>
      </c>
      <c r="B5905" s="1611" t="s">
        <v>2028</v>
      </c>
      <c r="C5905" s="1611" t="s">
        <v>7102</v>
      </c>
      <c r="D5905" s="1612" t="s">
        <v>2024</v>
      </c>
      <c r="E5905" s="1706" t="s">
        <v>7592</v>
      </c>
      <c r="F5905" s="1613">
        <v>14150000</v>
      </c>
      <c r="G5905" s="1613">
        <v>288140835869</v>
      </c>
    </row>
    <row r="5906" spans="1:7" ht="17.25" customHeight="1" x14ac:dyDescent="0.2">
      <c r="A5906" s="1611">
        <v>17</v>
      </c>
      <c r="B5906" s="1611" t="s">
        <v>2836</v>
      </c>
      <c r="C5906" s="1611" t="s">
        <v>7011</v>
      </c>
      <c r="D5906" s="1612" t="s">
        <v>7555</v>
      </c>
      <c r="E5906" s="1706" t="s">
        <v>7592</v>
      </c>
      <c r="F5906" s="1613">
        <v>31000000</v>
      </c>
      <c r="G5906" s="1613">
        <v>288171835869</v>
      </c>
    </row>
    <row r="5907" spans="1:7" ht="17.25" customHeight="1" x14ac:dyDescent="0.2">
      <c r="A5907" s="1611">
        <v>17</v>
      </c>
      <c r="B5907" s="1611" t="s">
        <v>2039</v>
      </c>
      <c r="C5907" s="1611" t="s">
        <v>7103</v>
      </c>
      <c r="D5907" s="1612" t="s">
        <v>7555</v>
      </c>
      <c r="E5907" s="1706" t="s">
        <v>7592</v>
      </c>
      <c r="F5907" s="1613">
        <v>41454546</v>
      </c>
      <c r="G5907" s="1613">
        <v>288213290415</v>
      </c>
    </row>
    <row r="5908" spans="1:7" ht="17.25" customHeight="1" x14ac:dyDescent="0.2">
      <c r="A5908" s="1611">
        <v>17</v>
      </c>
      <c r="B5908" s="1611" t="s">
        <v>2039</v>
      </c>
      <c r="C5908" s="1611" t="s">
        <v>4323</v>
      </c>
      <c r="D5908" s="1612" t="s">
        <v>7555</v>
      </c>
      <c r="E5908" s="1706" t="s">
        <v>7592</v>
      </c>
      <c r="F5908" s="1613">
        <v>40500000</v>
      </c>
      <c r="G5908" s="1613">
        <v>288253790415</v>
      </c>
    </row>
    <row r="5909" spans="1:7" ht="17.25" customHeight="1" x14ac:dyDescent="0.2">
      <c r="A5909" s="1611">
        <v>17</v>
      </c>
      <c r="B5909" s="1611" t="s">
        <v>2041</v>
      </c>
      <c r="C5909" s="1611" t="s">
        <v>7104</v>
      </c>
      <c r="D5909" s="1612" t="s">
        <v>7555</v>
      </c>
      <c r="E5909" s="1706" t="s">
        <v>7592</v>
      </c>
      <c r="F5909" s="1613">
        <v>53000000</v>
      </c>
      <c r="G5909" s="1613">
        <v>288306790415</v>
      </c>
    </row>
    <row r="5910" spans="1:7" ht="17.25" customHeight="1" x14ac:dyDescent="0.2">
      <c r="A5910" s="1611">
        <v>17</v>
      </c>
      <c r="B5910" s="1611" t="s">
        <v>2037</v>
      </c>
      <c r="C5910" s="1611" t="s">
        <v>7105</v>
      </c>
      <c r="D5910" s="1612" t="s">
        <v>7555</v>
      </c>
      <c r="E5910" s="1706" t="s">
        <v>7592</v>
      </c>
      <c r="F5910" s="1613">
        <v>37000000</v>
      </c>
      <c r="G5910" s="1613">
        <v>288343790415</v>
      </c>
    </row>
    <row r="5911" spans="1:7" ht="17.25" customHeight="1" x14ac:dyDescent="0.2">
      <c r="A5911" s="1611">
        <v>17</v>
      </c>
      <c r="B5911" s="1611" t="s">
        <v>2028</v>
      </c>
      <c r="C5911" s="1611" t="s">
        <v>7106</v>
      </c>
      <c r="D5911" s="1612" t="s">
        <v>2024</v>
      </c>
      <c r="E5911" s="1706" t="s">
        <v>7592</v>
      </c>
      <c r="F5911" s="1613">
        <v>14200000</v>
      </c>
      <c r="G5911" s="1613">
        <v>288357990415</v>
      </c>
    </row>
    <row r="5912" spans="1:7" ht="17.25" customHeight="1" x14ac:dyDescent="0.2">
      <c r="A5912" s="1611">
        <v>17</v>
      </c>
      <c r="B5912" s="1611" t="s">
        <v>2037</v>
      </c>
      <c r="C5912" s="1611" t="s">
        <v>4614</v>
      </c>
      <c r="D5912" s="1612" t="s">
        <v>7555</v>
      </c>
      <c r="E5912" s="1706" t="s">
        <v>7592</v>
      </c>
      <c r="F5912" s="1613">
        <v>37500000</v>
      </c>
      <c r="G5912" s="1613">
        <v>288395490415</v>
      </c>
    </row>
    <row r="5913" spans="1:7" ht="17.25" customHeight="1" x14ac:dyDescent="0.2">
      <c r="A5913" s="1611">
        <v>17</v>
      </c>
      <c r="B5913" s="1611" t="s">
        <v>2062</v>
      </c>
      <c r="C5913" s="1611" t="s">
        <v>7107</v>
      </c>
      <c r="D5913" s="1612" t="s">
        <v>2023</v>
      </c>
      <c r="E5913" s="1706" t="s">
        <v>7592</v>
      </c>
      <c r="F5913" s="1613">
        <v>175600000</v>
      </c>
      <c r="G5913" s="1613">
        <v>288571090415</v>
      </c>
    </row>
    <row r="5914" spans="1:7" ht="17.25" customHeight="1" x14ac:dyDescent="0.2">
      <c r="A5914" s="1611">
        <v>17</v>
      </c>
      <c r="B5914" s="1611" t="s">
        <v>2037</v>
      </c>
      <c r="C5914" s="1611" t="s">
        <v>7108</v>
      </c>
      <c r="D5914" s="1612" t="s">
        <v>7555</v>
      </c>
      <c r="E5914" s="1706" t="s">
        <v>7592</v>
      </c>
      <c r="F5914" s="1613">
        <v>36363636</v>
      </c>
      <c r="G5914" s="1613">
        <v>288607454051</v>
      </c>
    </row>
    <row r="5915" spans="1:7" ht="17.25" customHeight="1" x14ac:dyDescent="0.2">
      <c r="A5915" s="1611">
        <v>17</v>
      </c>
      <c r="B5915" s="1611" t="s">
        <v>2034</v>
      </c>
      <c r="C5915" s="1611" t="s">
        <v>7109</v>
      </c>
      <c r="D5915" s="1612" t="s">
        <v>7555</v>
      </c>
      <c r="E5915" s="1706" t="s">
        <v>7592</v>
      </c>
      <c r="F5915" s="1613">
        <v>44800000</v>
      </c>
      <c r="G5915" s="1613">
        <v>288652254051</v>
      </c>
    </row>
    <row r="5916" spans="1:7" ht="17.25" customHeight="1" x14ac:dyDescent="0.2">
      <c r="A5916" s="1611">
        <v>17</v>
      </c>
      <c r="B5916" s="1611" t="s">
        <v>2039</v>
      </c>
      <c r="C5916" s="1611" t="s">
        <v>7109</v>
      </c>
      <c r="D5916" s="1612" t="s">
        <v>7555</v>
      </c>
      <c r="E5916" s="1706" t="s">
        <v>7592</v>
      </c>
      <c r="F5916" s="1613">
        <v>43700000</v>
      </c>
      <c r="G5916" s="1613">
        <v>288695954051</v>
      </c>
    </row>
    <row r="5917" spans="1:7" ht="17.25" customHeight="1" x14ac:dyDescent="0.2">
      <c r="A5917" s="1611">
        <v>17</v>
      </c>
      <c r="B5917" s="1611" t="s">
        <v>2039</v>
      </c>
      <c r="C5917" s="1611" t="s">
        <v>7109</v>
      </c>
      <c r="D5917" s="1612" t="s">
        <v>7555</v>
      </c>
      <c r="E5917" s="1706" t="s">
        <v>7592</v>
      </c>
      <c r="F5917" s="1613">
        <v>43700000</v>
      </c>
      <c r="G5917" s="1613">
        <v>288739654051</v>
      </c>
    </row>
    <row r="5918" spans="1:7" ht="17.25" customHeight="1" x14ac:dyDescent="0.2">
      <c r="A5918" s="1611">
        <v>17</v>
      </c>
      <c r="B5918" s="1611" t="s">
        <v>2039</v>
      </c>
      <c r="C5918" s="1611" t="s">
        <v>7109</v>
      </c>
      <c r="D5918" s="1612" t="s">
        <v>7555</v>
      </c>
      <c r="E5918" s="1706" t="s">
        <v>7592</v>
      </c>
      <c r="F5918" s="1613">
        <v>43700000</v>
      </c>
      <c r="G5918" s="1613">
        <v>288783354051</v>
      </c>
    </row>
    <row r="5919" spans="1:7" ht="17.25" customHeight="1" x14ac:dyDescent="0.2">
      <c r="A5919" s="1611">
        <v>17</v>
      </c>
      <c r="B5919" s="1611" t="s">
        <v>2836</v>
      </c>
      <c r="C5919" s="1611" t="s">
        <v>7069</v>
      </c>
      <c r="D5919" s="1612" t="s">
        <v>7555</v>
      </c>
      <c r="E5919" s="1706" t="s">
        <v>7592</v>
      </c>
      <c r="F5919" s="1613">
        <v>31000000</v>
      </c>
      <c r="G5919" s="1613">
        <v>288814354051</v>
      </c>
    </row>
    <row r="5920" spans="1:7" ht="17.25" customHeight="1" x14ac:dyDescent="0.2">
      <c r="A5920" s="1611">
        <v>17</v>
      </c>
      <c r="B5920" s="1611" t="s">
        <v>2039</v>
      </c>
      <c r="C5920" s="1611" t="s">
        <v>7110</v>
      </c>
      <c r="D5920" s="1612" t="s">
        <v>7555</v>
      </c>
      <c r="E5920" s="1706" t="s">
        <v>7592</v>
      </c>
      <c r="F5920" s="1613">
        <v>40909091</v>
      </c>
      <c r="G5920" s="1613">
        <v>288855263142</v>
      </c>
    </row>
    <row r="5921" spans="1:7" ht="17.25" customHeight="1" x14ac:dyDescent="0.2">
      <c r="A5921" s="1611">
        <v>17</v>
      </c>
      <c r="B5921" s="1611" t="s">
        <v>2041</v>
      </c>
      <c r="C5921" s="1611" t="s">
        <v>7111</v>
      </c>
      <c r="D5921" s="1612" t="s">
        <v>7555</v>
      </c>
      <c r="E5921" s="1706" t="s">
        <v>7592</v>
      </c>
      <c r="F5921" s="1613">
        <v>52000000</v>
      </c>
      <c r="G5921" s="1613">
        <v>288907263142</v>
      </c>
    </row>
    <row r="5922" spans="1:7" ht="17.25" customHeight="1" x14ac:dyDescent="0.2">
      <c r="A5922" s="1611">
        <v>17</v>
      </c>
      <c r="B5922" s="1611" t="s">
        <v>2043</v>
      </c>
      <c r="C5922" s="1611" t="s">
        <v>7112</v>
      </c>
      <c r="D5922" s="1612" t="s">
        <v>7555</v>
      </c>
      <c r="E5922" s="1706" t="s">
        <v>7592</v>
      </c>
      <c r="F5922" s="1613">
        <v>54500000</v>
      </c>
      <c r="G5922" s="1613">
        <v>288961763142</v>
      </c>
    </row>
    <row r="5923" spans="1:7" ht="17.25" customHeight="1" x14ac:dyDescent="0.2">
      <c r="A5923" s="1611">
        <v>17</v>
      </c>
      <c r="B5923" s="1611" t="s">
        <v>2039</v>
      </c>
      <c r="C5923" s="1611" t="s">
        <v>4023</v>
      </c>
      <c r="D5923" s="1612" t="s">
        <v>7555</v>
      </c>
      <c r="E5923" s="1706" t="s">
        <v>7592</v>
      </c>
      <c r="F5923" s="1613">
        <v>42454545</v>
      </c>
      <c r="G5923" s="1613">
        <v>289004217687</v>
      </c>
    </row>
    <row r="5924" spans="1:7" ht="17.25" customHeight="1" x14ac:dyDescent="0.2">
      <c r="A5924" s="1611">
        <v>17</v>
      </c>
      <c r="B5924" s="1611" t="s">
        <v>2039</v>
      </c>
      <c r="C5924" s="1611" t="s">
        <v>4023</v>
      </c>
      <c r="D5924" s="1612" t="s">
        <v>7555</v>
      </c>
      <c r="E5924" s="1706" t="s">
        <v>7592</v>
      </c>
      <c r="F5924" s="1613">
        <v>42454545</v>
      </c>
      <c r="G5924" s="1613">
        <v>289046672232</v>
      </c>
    </row>
    <row r="5925" spans="1:7" ht="17.25" customHeight="1" x14ac:dyDescent="0.2">
      <c r="A5925" s="1611">
        <v>17</v>
      </c>
      <c r="B5925" s="1611" t="s">
        <v>2891</v>
      </c>
      <c r="C5925" s="1611" t="s">
        <v>7113</v>
      </c>
      <c r="D5925" s="1612">
        <v>0</v>
      </c>
      <c r="E5925" s="1706" t="s">
        <v>7592</v>
      </c>
      <c r="F5925" s="1613">
        <v>17727273</v>
      </c>
      <c r="G5925" s="1613">
        <v>289064399505</v>
      </c>
    </row>
    <row r="5926" spans="1:7" ht="17.25" customHeight="1" x14ac:dyDescent="0.2">
      <c r="A5926" s="1611">
        <v>17</v>
      </c>
      <c r="B5926" s="1611" t="s">
        <v>2039</v>
      </c>
      <c r="C5926" s="1611" t="s">
        <v>7110</v>
      </c>
      <c r="D5926" s="1612" t="s">
        <v>7555</v>
      </c>
      <c r="E5926" s="1706" t="s">
        <v>7592</v>
      </c>
      <c r="F5926" s="1613">
        <v>-40909091</v>
      </c>
      <c r="G5926" s="1613">
        <v>289023490414</v>
      </c>
    </row>
    <row r="5927" spans="1:7" ht="17.25" customHeight="1" x14ac:dyDescent="0.2">
      <c r="A5927" s="1611">
        <v>17</v>
      </c>
      <c r="B5927" s="1611" t="s">
        <v>2039</v>
      </c>
      <c r="C5927" s="1611" t="s">
        <v>4857</v>
      </c>
      <c r="D5927" s="1612" t="s">
        <v>7555</v>
      </c>
      <c r="E5927" s="1706" t="s">
        <v>7592</v>
      </c>
      <c r="F5927" s="1613">
        <v>40909091</v>
      </c>
      <c r="G5927" s="1613">
        <v>289064399505</v>
      </c>
    </row>
    <row r="5928" spans="1:7" ht="17.25" customHeight="1" x14ac:dyDescent="0.2">
      <c r="A5928" s="1611">
        <v>17</v>
      </c>
      <c r="B5928" s="1611" t="s">
        <v>7273</v>
      </c>
      <c r="C5928" s="1611" t="s">
        <v>4064</v>
      </c>
      <c r="D5928" s="1612">
        <v>0</v>
      </c>
      <c r="E5928" s="1612" t="s">
        <v>3295</v>
      </c>
      <c r="F5928" s="1613">
        <v>106830908</v>
      </c>
      <c r="G5928" s="1614"/>
    </row>
    <row r="5929" spans="1:7" ht="17.25" customHeight="1" x14ac:dyDescent="0.2">
      <c r="A5929" s="1611">
        <v>17</v>
      </c>
      <c r="B5929" s="1611" t="s">
        <v>7261</v>
      </c>
      <c r="C5929" s="1611" t="s">
        <v>4064</v>
      </c>
      <c r="D5929" s="1612">
        <v>0</v>
      </c>
      <c r="E5929" s="1612" t="s">
        <v>3295</v>
      </c>
      <c r="F5929" s="1613">
        <v>89306200</v>
      </c>
      <c r="G5929" s="1613">
        <v>289260536613</v>
      </c>
    </row>
    <row r="5930" spans="1:7" ht="17.25" customHeight="1" x14ac:dyDescent="0.2">
      <c r="A5930" s="1611">
        <v>17</v>
      </c>
      <c r="B5930" s="1611" t="s">
        <v>7384</v>
      </c>
      <c r="C5930" s="1611" t="s">
        <v>6291</v>
      </c>
      <c r="D5930" s="1612">
        <v>0</v>
      </c>
      <c r="E5930" s="1706" t="s">
        <v>7558</v>
      </c>
      <c r="F5930" s="1613">
        <v>86860081.5</v>
      </c>
      <c r="G5930" s="1613">
        <v>144717128388</v>
      </c>
    </row>
    <row r="5931" spans="1:7" ht="17.25" customHeight="1" x14ac:dyDescent="0.2">
      <c r="A5931" s="1611">
        <v>17</v>
      </c>
      <c r="B5931" s="1611" t="s">
        <v>7384</v>
      </c>
      <c r="C5931" s="1611" t="s">
        <v>6291</v>
      </c>
      <c r="D5931" s="1612">
        <v>0</v>
      </c>
      <c r="E5931" s="1706" t="s">
        <v>7558</v>
      </c>
      <c r="F5931" s="1613">
        <v>86860081.5</v>
      </c>
      <c r="G5931" s="1613">
        <v>144717128388</v>
      </c>
    </row>
    <row r="5932" spans="1:7" ht="17.25" customHeight="1" x14ac:dyDescent="0.2">
      <c r="A5932" s="1611">
        <v>17</v>
      </c>
      <c r="B5932" s="1611" t="s">
        <v>7376</v>
      </c>
      <c r="C5932" s="1611" t="s">
        <v>3662</v>
      </c>
      <c r="D5932" s="1612">
        <v>0</v>
      </c>
      <c r="E5932" s="1706" t="s">
        <v>7592</v>
      </c>
      <c r="F5932" s="1613">
        <v>49527273</v>
      </c>
      <c r="G5932" s="1613">
        <v>289483784049</v>
      </c>
    </row>
    <row r="5933" spans="1:7" ht="17.25" customHeight="1" x14ac:dyDescent="0.2">
      <c r="A5933" s="1611">
        <v>17</v>
      </c>
      <c r="B5933" s="1611" t="s">
        <v>2041</v>
      </c>
      <c r="C5933" s="1611" t="s">
        <v>7114</v>
      </c>
      <c r="D5933" s="1612" t="s">
        <v>7555</v>
      </c>
      <c r="E5933" s="1706" t="s">
        <v>7592</v>
      </c>
      <c r="F5933" s="1613">
        <v>51818182</v>
      </c>
      <c r="G5933" s="1613">
        <v>289535602231</v>
      </c>
    </row>
    <row r="5934" spans="1:7" ht="17.25" customHeight="1" x14ac:dyDescent="0.2">
      <c r="A5934" s="1611">
        <v>17</v>
      </c>
      <c r="B5934" s="1611" t="s">
        <v>7365</v>
      </c>
      <c r="C5934" s="1611" t="s">
        <v>4422</v>
      </c>
      <c r="D5934" s="1612">
        <v>0</v>
      </c>
      <c r="E5934" s="1706" t="s">
        <v>7592</v>
      </c>
      <c r="F5934" s="1613">
        <v>19400000</v>
      </c>
      <c r="G5934" s="1613">
        <v>289555002231</v>
      </c>
    </row>
    <row r="5935" spans="1:7" ht="17.25" customHeight="1" x14ac:dyDescent="0.2">
      <c r="A5935" s="1611">
        <v>17</v>
      </c>
      <c r="B5935" s="1611" t="s">
        <v>2039</v>
      </c>
      <c r="C5935" s="1611" t="s">
        <v>7115</v>
      </c>
      <c r="D5935" s="1612" t="s">
        <v>7555</v>
      </c>
      <c r="E5935" s="1706" t="s">
        <v>7592</v>
      </c>
      <c r="F5935" s="1613">
        <v>19873000</v>
      </c>
      <c r="G5935" s="1613">
        <v>289574875231</v>
      </c>
    </row>
    <row r="5936" spans="1:7" ht="17.25" customHeight="1" x14ac:dyDescent="0.2">
      <c r="A5936" s="1611">
        <v>17</v>
      </c>
      <c r="B5936" s="1611" t="s">
        <v>2062</v>
      </c>
      <c r="C5936" s="1611" t="s">
        <v>7116</v>
      </c>
      <c r="D5936" s="1612" t="s">
        <v>2023</v>
      </c>
      <c r="E5936" s="1706" t="s">
        <v>7592</v>
      </c>
      <c r="F5936" s="1613">
        <v>172000000</v>
      </c>
      <c r="G5936" s="1613">
        <v>289746875231</v>
      </c>
    </row>
    <row r="5937" spans="1:7" ht="17.25" customHeight="1" x14ac:dyDescent="0.2">
      <c r="A5937" s="1611">
        <v>17</v>
      </c>
      <c r="B5937" s="1611" t="s">
        <v>2062</v>
      </c>
      <c r="C5937" s="1611" t="s">
        <v>5902</v>
      </c>
      <c r="D5937" s="1612" t="s">
        <v>2023</v>
      </c>
      <c r="E5937" s="1706" t="s">
        <v>7592</v>
      </c>
      <c r="F5937" s="1613">
        <v>174600000</v>
      </c>
      <c r="G5937" s="1613">
        <v>289921475231</v>
      </c>
    </row>
    <row r="5938" spans="1:7" ht="17.25" customHeight="1" x14ac:dyDescent="0.2">
      <c r="A5938" s="1611">
        <v>17</v>
      </c>
      <c r="B5938" s="1611" t="s">
        <v>2043</v>
      </c>
      <c r="C5938" s="1611" t="s">
        <v>7117</v>
      </c>
      <c r="D5938" s="1612" t="s">
        <v>7555</v>
      </c>
      <c r="E5938" s="1706" t="s">
        <v>7592</v>
      </c>
      <c r="F5938" s="1613">
        <v>55700000</v>
      </c>
      <c r="G5938" s="1613">
        <v>289977175231</v>
      </c>
    </row>
    <row r="5939" spans="1:7" ht="17.25" customHeight="1" x14ac:dyDescent="0.2">
      <c r="A5939" s="1611">
        <v>17</v>
      </c>
      <c r="B5939" s="1611" t="s">
        <v>2039</v>
      </c>
      <c r="C5939" s="1611" t="s">
        <v>7118</v>
      </c>
      <c r="D5939" s="1612" t="s">
        <v>7555</v>
      </c>
      <c r="E5939" s="1706" t="s">
        <v>7592</v>
      </c>
      <c r="F5939" s="1613">
        <v>42000000</v>
      </c>
      <c r="G5939" s="1613">
        <v>290019175231</v>
      </c>
    </row>
    <row r="5940" spans="1:7" ht="17.25" customHeight="1" x14ac:dyDescent="0.2">
      <c r="A5940" s="1611">
        <v>17</v>
      </c>
      <c r="B5940" s="1611" t="s">
        <v>2037</v>
      </c>
      <c r="C5940" s="1611" t="s">
        <v>4351</v>
      </c>
      <c r="D5940" s="1612" t="s">
        <v>7555</v>
      </c>
      <c r="E5940" s="1706" t="s">
        <v>7592</v>
      </c>
      <c r="F5940" s="1613">
        <v>35000000</v>
      </c>
      <c r="G5940" s="1613">
        <v>290054175231</v>
      </c>
    </row>
    <row r="5941" spans="1:7" ht="17.25" customHeight="1" x14ac:dyDescent="0.2">
      <c r="A5941" s="1611">
        <v>17</v>
      </c>
      <c r="B5941" s="1611" t="s">
        <v>2836</v>
      </c>
      <c r="C5941" s="1611" t="s">
        <v>6929</v>
      </c>
      <c r="D5941" s="1612" t="s">
        <v>7555</v>
      </c>
      <c r="E5941" s="1706" t="s">
        <v>7592</v>
      </c>
      <c r="F5941" s="1613">
        <v>31000000</v>
      </c>
      <c r="G5941" s="1613">
        <v>290085175231</v>
      </c>
    </row>
    <row r="5942" spans="1:7" ht="17.25" customHeight="1" x14ac:dyDescent="0.2">
      <c r="A5942" s="1611">
        <v>17</v>
      </c>
      <c r="B5942" s="1611" t="s">
        <v>2836</v>
      </c>
      <c r="C5942" s="1611" t="s">
        <v>7119</v>
      </c>
      <c r="D5942" s="1612" t="s">
        <v>7555</v>
      </c>
      <c r="E5942" s="1706" t="s">
        <v>7592</v>
      </c>
      <c r="F5942" s="1613">
        <v>31500000</v>
      </c>
      <c r="G5942" s="1613">
        <v>290116675231</v>
      </c>
    </row>
    <row r="5943" spans="1:7" ht="17.25" customHeight="1" x14ac:dyDescent="0.2">
      <c r="A5943" s="1611">
        <v>17</v>
      </c>
      <c r="B5943" s="1611" t="s">
        <v>2823</v>
      </c>
      <c r="C5943" s="1611" t="s">
        <v>3515</v>
      </c>
      <c r="D5943" s="1612" t="s">
        <v>2024</v>
      </c>
      <c r="E5943" s="1706" t="s">
        <v>7592</v>
      </c>
      <c r="F5943" s="1613">
        <v>21000000</v>
      </c>
      <c r="G5943" s="1613">
        <v>290137675231</v>
      </c>
    </row>
    <row r="5944" spans="1:7" ht="17.25" customHeight="1" x14ac:dyDescent="0.2">
      <c r="A5944" s="1611">
        <v>17</v>
      </c>
      <c r="B5944" s="1611" t="s">
        <v>2028</v>
      </c>
      <c r="C5944" s="1611" t="s">
        <v>7120</v>
      </c>
      <c r="D5944" s="1612" t="s">
        <v>2024</v>
      </c>
      <c r="E5944" s="1706" t="s">
        <v>7592</v>
      </c>
      <c r="F5944" s="1613">
        <v>15072728</v>
      </c>
      <c r="G5944" s="1613">
        <v>290152747959</v>
      </c>
    </row>
    <row r="5945" spans="1:7" ht="17.25" customHeight="1" x14ac:dyDescent="0.2">
      <c r="A5945" s="1611">
        <v>17</v>
      </c>
      <c r="B5945" s="1611" t="s">
        <v>2039</v>
      </c>
      <c r="C5945" s="1611" t="s">
        <v>7121</v>
      </c>
      <c r="D5945" s="1612" t="s">
        <v>7555</v>
      </c>
      <c r="E5945" s="1706" t="s">
        <v>7592</v>
      </c>
      <c r="F5945" s="1613">
        <v>42500000</v>
      </c>
      <c r="G5945" s="1613">
        <v>290195247959</v>
      </c>
    </row>
    <row r="5946" spans="1:7" ht="17.25" customHeight="1" x14ac:dyDescent="0.2">
      <c r="A5946" s="1611">
        <v>17</v>
      </c>
      <c r="B5946" s="1611" t="s">
        <v>2028</v>
      </c>
      <c r="C5946" s="1611" t="s">
        <v>7122</v>
      </c>
      <c r="D5946" s="1612" t="s">
        <v>2024</v>
      </c>
      <c r="E5946" s="1706" t="s">
        <v>7592</v>
      </c>
      <c r="F5946" s="1613">
        <v>14559091</v>
      </c>
      <c r="G5946" s="1613">
        <v>290209807050</v>
      </c>
    </row>
    <row r="5947" spans="1:7" ht="17.25" customHeight="1" x14ac:dyDescent="0.2">
      <c r="A5947" s="1611">
        <v>17</v>
      </c>
      <c r="B5947" s="1611" t="s">
        <v>2836</v>
      </c>
      <c r="C5947" s="1611" t="s">
        <v>7123</v>
      </c>
      <c r="D5947" s="1612" t="s">
        <v>7555</v>
      </c>
      <c r="E5947" s="1706" t="s">
        <v>7592</v>
      </c>
      <c r="F5947" s="1613">
        <v>30000000</v>
      </c>
      <c r="G5947" s="1613">
        <v>290239807050</v>
      </c>
    </row>
    <row r="5948" spans="1:7" ht="17.25" customHeight="1" x14ac:dyDescent="0.2">
      <c r="A5948" s="1611">
        <v>17</v>
      </c>
      <c r="B5948" s="1611" t="s">
        <v>2041</v>
      </c>
      <c r="C5948" s="1611" t="s">
        <v>7124</v>
      </c>
      <c r="D5948" s="1612" t="s">
        <v>7555</v>
      </c>
      <c r="E5948" s="1706" t="s">
        <v>7592</v>
      </c>
      <c r="F5948" s="1613">
        <v>49000000</v>
      </c>
      <c r="G5948" s="1613">
        <v>290288807050</v>
      </c>
    </row>
    <row r="5949" spans="1:7" ht="17.25" customHeight="1" x14ac:dyDescent="0.2">
      <c r="A5949" s="1611">
        <v>17</v>
      </c>
      <c r="B5949" s="1611" t="s">
        <v>2068</v>
      </c>
      <c r="C5949" s="1611" t="s">
        <v>6122</v>
      </c>
      <c r="D5949" s="1612" t="s">
        <v>2024</v>
      </c>
      <c r="E5949" s="1706" t="s">
        <v>7592</v>
      </c>
      <c r="F5949" s="1613">
        <v>98490909</v>
      </c>
      <c r="G5949" s="1613">
        <v>290387297959</v>
      </c>
    </row>
    <row r="5950" spans="1:7" ht="17.25" customHeight="1" x14ac:dyDescent="0.2">
      <c r="A5950" s="1611">
        <v>17</v>
      </c>
      <c r="B5950" s="1611" t="s">
        <v>2028</v>
      </c>
      <c r="C5950" s="1611" t="s">
        <v>7125</v>
      </c>
      <c r="D5950" s="1612" t="s">
        <v>2024</v>
      </c>
      <c r="E5950" s="1706" t="s">
        <v>7592</v>
      </c>
      <c r="F5950" s="1613">
        <v>19400000</v>
      </c>
      <c r="G5950" s="1613">
        <v>290406697959</v>
      </c>
    </row>
    <row r="5951" spans="1:7" ht="17.25" customHeight="1" x14ac:dyDescent="0.2">
      <c r="A5951" s="1611">
        <v>17</v>
      </c>
      <c r="B5951" s="1611" t="s">
        <v>2039</v>
      </c>
      <c r="C5951" s="1611" t="s">
        <v>7126</v>
      </c>
      <c r="D5951" s="1612" t="s">
        <v>7555</v>
      </c>
      <c r="E5951" s="1706" t="s">
        <v>7592</v>
      </c>
      <c r="F5951" s="1613">
        <v>42000000</v>
      </c>
      <c r="G5951" s="1613">
        <v>290448697959</v>
      </c>
    </row>
    <row r="5952" spans="1:7" ht="17.25" customHeight="1" x14ac:dyDescent="0.2">
      <c r="A5952" s="1611">
        <v>17</v>
      </c>
      <c r="B5952" s="1611" t="s">
        <v>2041</v>
      </c>
      <c r="C5952" s="1611" t="s">
        <v>3790</v>
      </c>
      <c r="D5952" s="1612" t="s">
        <v>7555</v>
      </c>
      <c r="E5952" s="1706" t="s">
        <v>7592</v>
      </c>
      <c r="F5952" s="1613">
        <v>52000000</v>
      </c>
      <c r="G5952" s="1613">
        <v>290500697959</v>
      </c>
    </row>
    <row r="5953" spans="1:7" ht="17.25" customHeight="1" x14ac:dyDescent="0.2">
      <c r="A5953" s="1611">
        <v>17</v>
      </c>
      <c r="B5953" s="1611" t="s">
        <v>2836</v>
      </c>
      <c r="C5953" s="1611" t="s">
        <v>7127</v>
      </c>
      <c r="D5953" s="1612" t="s">
        <v>7555</v>
      </c>
      <c r="E5953" s="1706" t="s">
        <v>7592</v>
      </c>
      <c r="F5953" s="1613">
        <v>30000000</v>
      </c>
      <c r="G5953" s="1613">
        <v>290530697959</v>
      </c>
    </row>
    <row r="5954" spans="1:7" ht="17.25" customHeight="1" x14ac:dyDescent="0.2">
      <c r="A5954" s="1611">
        <v>17</v>
      </c>
      <c r="B5954" s="1611" t="s">
        <v>2037</v>
      </c>
      <c r="C5954" s="1611" t="s">
        <v>7128</v>
      </c>
      <c r="D5954" s="1612" t="s">
        <v>7555</v>
      </c>
      <c r="E5954" s="1706" t="s">
        <v>7592</v>
      </c>
      <c r="F5954" s="1613">
        <v>37272727</v>
      </c>
      <c r="G5954" s="1613">
        <v>290567970686</v>
      </c>
    </row>
    <row r="5955" spans="1:7" ht="17.25" customHeight="1" x14ac:dyDescent="0.2">
      <c r="A5955" s="1611">
        <v>17</v>
      </c>
      <c r="B5955" s="1611" t="s">
        <v>2048</v>
      </c>
      <c r="C5955" s="1611" t="s">
        <v>7129</v>
      </c>
      <c r="D5955" s="1612" t="s">
        <v>7555</v>
      </c>
      <c r="E5955" s="1706" t="s">
        <v>7592</v>
      </c>
      <c r="F5955" s="1613">
        <v>46363636</v>
      </c>
      <c r="G5955" s="1613">
        <v>290614334322</v>
      </c>
    </row>
    <row r="5956" spans="1:7" ht="17.25" customHeight="1" x14ac:dyDescent="0.2">
      <c r="A5956" s="1611">
        <v>17</v>
      </c>
      <c r="B5956" s="1611" t="s">
        <v>2039</v>
      </c>
      <c r="C5956" s="1611" t="s">
        <v>7130</v>
      </c>
      <c r="D5956" s="1612" t="s">
        <v>7555</v>
      </c>
      <c r="E5956" s="1706" t="s">
        <v>7592</v>
      </c>
      <c r="F5956" s="1613">
        <v>39090909</v>
      </c>
      <c r="G5956" s="1613">
        <v>290653425231</v>
      </c>
    </row>
    <row r="5957" spans="1:7" ht="17.25" customHeight="1" x14ac:dyDescent="0.2">
      <c r="A5957" s="1611">
        <v>17</v>
      </c>
      <c r="B5957" s="1611" t="s">
        <v>2039</v>
      </c>
      <c r="C5957" s="1611" t="s">
        <v>7130</v>
      </c>
      <c r="D5957" s="1612" t="s">
        <v>7555</v>
      </c>
      <c r="E5957" s="1706" t="s">
        <v>7592</v>
      </c>
      <c r="F5957" s="1613">
        <v>39090909</v>
      </c>
      <c r="G5957" s="1613">
        <v>290692516140</v>
      </c>
    </row>
    <row r="5958" spans="1:7" ht="17.25" customHeight="1" x14ac:dyDescent="0.2">
      <c r="A5958" s="1611">
        <v>17</v>
      </c>
      <c r="B5958" s="1611" t="s">
        <v>2037</v>
      </c>
      <c r="C5958" s="1611" t="s">
        <v>7130</v>
      </c>
      <c r="D5958" s="1612" t="s">
        <v>7555</v>
      </c>
      <c r="E5958" s="1706" t="s">
        <v>7592</v>
      </c>
      <c r="F5958" s="1613">
        <v>36090909</v>
      </c>
      <c r="G5958" s="1613">
        <v>290728607049</v>
      </c>
    </row>
    <row r="5959" spans="1:7" ht="17.25" customHeight="1" x14ac:dyDescent="0.2">
      <c r="A5959" s="1611">
        <v>17</v>
      </c>
      <c r="B5959" s="1611" t="s">
        <v>2037</v>
      </c>
      <c r="C5959" s="1611" t="s">
        <v>7131</v>
      </c>
      <c r="D5959" s="1612" t="s">
        <v>7555</v>
      </c>
      <c r="E5959" s="1706" t="s">
        <v>7592</v>
      </c>
      <c r="F5959" s="1613">
        <v>36090909</v>
      </c>
      <c r="G5959" s="1613">
        <v>290764697958</v>
      </c>
    </row>
    <row r="5960" spans="1:7" ht="17.25" customHeight="1" x14ac:dyDescent="0.2">
      <c r="A5960" s="1611">
        <v>17</v>
      </c>
      <c r="B5960" s="1611" t="s">
        <v>2037</v>
      </c>
      <c r="C5960" s="1611" t="s">
        <v>7131</v>
      </c>
      <c r="D5960" s="1612" t="s">
        <v>7555</v>
      </c>
      <c r="E5960" s="1706" t="s">
        <v>7592</v>
      </c>
      <c r="F5960" s="1613">
        <v>36090909</v>
      </c>
      <c r="G5960" s="1613">
        <v>290800788867</v>
      </c>
    </row>
    <row r="5961" spans="1:7" ht="17.25" customHeight="1" x14ac:dyDescent="0.2">
      <c r="A5961" s="1611">
        <v>17</v>
      </c>
      <c r="B5961" s="1611" t="s">
        <v>2037</v>
      </c>
      <c r="C5961" s="1611" t="s">
        <v>7131</v>
      </c>
      <c r="D5961" s="1612" t="s">
        <v>7555</v>
      </c>
      <c r="E5961" s="1706" t="s">
        <v>7592</v>
      </c>
      <c r="F5961" s="1613">
        <v>36090909</v>
      </c>
      <c r="G5961" s="1613">
        <v>290836879776</v>
      </c>
    </row>
    <row r="5962" spans="1:7" ht="17.25" customHeight="1" x14ac:dyDescent="0.2">
      <c r="A5962" s="1611">
        <v>17</v>
      </c>
      <c r="B5962" s="1611" t="s">
        <v>2037</v>
      </c>
      <c r="C5962" s="1611" t="s">
        <v>7131</v>
      </c>
      <c r="D5962" s="1612" t="s">
        <v>7555</v>
      </c>
      <c r="E5962" s="1706" t="s">
        <v>7592</v>
      </c>
      <c r="F5962" s="1613">
        <v>36090909</v>
      </c>
      <c r="G5962" s="1613">
        <v>290872970685</v>
      </c>
    </row>
    <row r="5963" spans="1:7" ht="17.25" customHeight="1" x14ac:dyDescent="0.2">
      <c r="A5963" s="1611">
        <v>17</v>
      </c>
      <c r="B5963" s="1611" t="s">
        <v>2037</v>
      </c>
      <c r="C5963" s="1611" t="s">
        <v>7131</v>
      </c>
      <c r="D5963" s="1612" t="s">
        <v>7555</v>
      </c>
      <c r="E5963" s="1706" t="s">
        <v>7592</v>
      </c>
      <c r="F5963" s="1613">
        <v>36090909</v>
      </c>
      <c r="G5963" s="1613">
        <v>290909061594</v>
      </c>
    </row>
    <row r="5964" spans="1:7" ht="17.25" customHeight="1" x14ac:dyDescent="0.2">
      <c r="A5964" s="1611">
        <v>17</v>
      </c>
      <c r="B5964" s="1611" t="s">
        <v>2037</v>
      </c>
      <c r="C5964" s="1611" t="s">
        <v>7131</v>
      </c>
      <c r="D5964" s="1612" t="s">
        <v>7555</v>
      </c>
      <c r="E5964" s="1706" t="s">
        <v>7592</v>
      </c>
      <c r="F5964" s="1613">
        <v>36090909</v>
      </c>
      <c r="G5964" s="1613">
        <v>290945152503</v>
      </c>
    </row>
    <row r="5965" spans="1:7" ht="17.25" customHeight="1" x14ac:dyDescent="0.2">
      <c r="A5965" s="1611">
        <v>17</v>
      </c>
      <c r="B5965" s="1611" t="s">
        <v>2037</v>
      </c>
      <c r="C5965" s="1611" t="s">
        <v>7131</v>
      </c>
      <c r="D5965" s="1612" t="s">
        <v>7555</v>
      </c>
      <c r="E5965" s="1706" t="s">
        <v>7592</v>
      </c>
      <c r="F5965" s="1613">
        <v>36090909</v>
      </c>
      <c r="G5965" s="1613">
        <v>290981243412</v>
      </c>
    </row>
    <row r="5966" spans="1:7" ht="17.25" customHeight="1" x14ac:dyDescent="0.2">
      <c r="A5966" s="1611">
        <v>17</v>
      </c>
      <c r="B5966" s="1611" t="s">
        <v>2037</v>
      </c>
      <c r="C5966" s="1611" t="s">
        <v>7131</v>
      </c>
      <c r="D5966" s="1612" t="s">
        <v>7555</v>
      </c>
      <c r="E5966" s="1706" t="s">
        <v>7592</v>
      </c>
      <c r="F5966" s="1613">
        <v>36090909</v>
      </c>
      <c r="G5966" s="1613">
        <v>291017334321</v>
      </c>
    </row>
    <row r="5967" spans="1:7" ht="17.25" customHeight="1" x14ac:dyDescent="0.2">
      <c r="A5967" s="1611">
        <v>17</v>
      </c>
      <c r="B5967" s="1611" t="s">
        <v>2032</v>
      </c>
      <c r="C5967" s="1611" t="s">
        <v>7132</v>
      </c>
      <c r="D5967" s="1612" t="s">
        <v>7555</v>
      </c>
      <c r="E5967" s="1706" t="s">
        <v>7592</v>
      </c>
      <c r="F5967" s="1613">
        <v>18572727</v>
      </c>
      <c r="G5967" s="1613">
        <v>291035907048</v>
      </c>
    </row>
    <row r="5968" spans="1:7" ht="17.25" customHeight="1" x14ac:dyDescent="0.2">
      <c r="A5968" s="1611">
        <v>17</v>
      </c>
      <c r="B5968" s="1611" t="s">
        <v>2037</v>
      </c>
      <c r="C5968" s="1611" t="s">
        <v>6916</v>
      </c>
      <c r="D5968" s="1612" t="s">
        <v>7555</v>
      </c>
      <c r="E5968" s="1706" t="s">
        <v>7592</v>
      </c>
      <c r="F5968" s="1613">
        <v>18373000</v>
      </c>
      <c r="G5968" s="1613">
        <v>291054280048</v>
      </c>
    </row>
    <row r="5969" spans="1:7" ht="17.25" customHeight="1" x14ac:dyDescent="0.2">
      <c r="A5969" s="1611">
        <v>17</v>
      </c>
      <c r="B5969" s="1611" t="s">
        <v>2028</v>
      </c>
      <c r="C5969" s="1611" t="s">
        <v>7133</v>
      </c>
      <c r="D5969" s="1612" t="s">
        <v>2024</v>
      </c>
      <c r="E5969" s="1706" t="s">
        <v>7592</v>
      </c>
      <c r="F5969" s="1613">
        <v>14090909</v>
      </c>
      <c r="G5969" s="1613">
        <v>291068370957</v>
      </c>
    </row>
    <row r="5970" spans="1:7" ht="17.25" customHeight="1" x14ac:dyDescent="0.2">
      <c r="A5970" s="1611">
        <v>17</v>
      </c>
      <c r="B5970" s="1611" t="s">
        <v>2028</v>
      </c>
      <c r="C5970" s="1611" t="s">
        <v>7134</v>
      </c>
      <c r="D5970" s="1612" t="s">
        <v>2024</v>
      </c>
      <c r="E5970" s="1706" t="s">
        <v>7592</v>
      </c>
      <c r="F5970" s="1613">
        <v>15000000</v>
      </c>
      <c r="G5970" s="1613">
        <v>291083370957</v>
      </c>
    </row>
    <row r="5971" spans="1:7" ht="17.25" customHeight="1" x14ac:dyDescent="0.2">
      <c r="A5971" s="1611">
        <v>17</v>
      </c>
      <c r="B5971" s="1611" t="s">
        <v>2032</v>
      </c>
      <c r="C5971" s="1611" t="s">
        <v>7135</v>
      </c>
      <c r="D5971" s="1612" t="s">
        <v>7555</v>
      </c>
      <c r="E5971" s="1706" t="s">
        <v>7592</v>
      </c>
      <c r="F5971" s="1613">
        <v>36363636</v>
      </c>
      <c r="G5971" s="1613">
        <v>291119734593</v>
      </c>
    </row>
    <row r="5972" spans="1:7" ht="17.25" customHeight="1" x14ac:dyDescent="0.2">
      <c r="A5972" s="1611">
        <v>17</v>
      </c>
      <c r="B5972" s="1611" t="s">
        <v>2037</v>
      </c>
      <c r="C5972" s="1611" t="s">
        <v>7136</v>
      </c>
      <c r="D5972" s="1612" t="s">
        <v>7555</v>
      </c>
      <c r="E5972" s="1706" t="s">
        <v>7592</v>
      </c>
      <c r="F5972" s="1613">
        <v>38000000</v>
      </c>
      <c r="G5972" s="1613">
        <v>291157734593</v>
      </c>
    </row>
    <row r="5973" spans="1:7" ht="17.25" customHeight="1" x14ac:dyDescent="0.2">
      <c r="A5973" s="1611">
        <v>17</v>
      </c>
      <c r="B5973" s="1611" t="s">
        <v>7377</v>
      </c>
      <c r="C5973" s="1611" t="s">
        <v>7137</v>
      </c>
      <c r="D5973" s="1612">
        <v>0</v>
      </c>
      <c r="E5973" s="1706" t="s">
        <v>7592</v>
      </c>
      <c r="F5973" s="1613">
        <v>9090909</v>
      </c>
      <c r="G5973" s="1613">
        <v>291166825502</v>
      </c>
    </row>
    <row r="5974" spans="1:7" ht="17.25" customHeight="1" x14ac:dyDescent="0.2">
      <c r="A5974" s="1611">
        <v>17</v>
      </c>
      <c r="B5974" s="1611" t="s">
        <v>2028</v>
      </c>
      <c r="C5974" s="1611" t="s">
        <v>7138</v>
      </c>
      <c r="D5974" s="1612" t="s">
        <v>2024</v>
      </c>
      <c r="E5974" s="1706" t="s">
        <v>7592</v>
      </c>
      <c r="F5974" s="1613">
        <v>14968182</v>
      </c>
      <c r="G5974" s="1613">
        <v>291181793684</v>
      </c>
    </row>
    <row r="5975" spans="1:7" ht="17.25" customHeight="1" x14ac:dyDescent="0.2">
      <c r="A5975" s="1611">
        <v>17</v>
      </c>
      <c r="B5975" s="1611" t="s">
        <v>7378</v>
      </c>
      <c r="C5975" s="1611" t="s">
        <v>7139</v>
      </c>
      <c r="D5975" s="1612">
        <v>0</v>
      </c>
      <c r="E5975" s="1706" t="s">
        <v>7592</v>
      </c>
      <c r="F5975" s="1613">
        <v>1149250000</v>
      </c>
      <c r="G5975" s="1613">
        <v>292331043684</v>
      </c>
    </row>
    <row r="5976" spans="1:7" ht="17.25" customHeight="1" x14ac:dyDescent="0.2">
      <c r="A5976" s="1611">
        <v>17</v>
      </c>
      <c r="B5976" s="1611" t="s">
        <v>2028</v>
      </c>
      <c r="C5976" s="1611" t="s">
        <v>7134</v>
      </c>
      <c r="D5976" s="1612" t="s">
        <v>2024</v>
      </c>
      <c r="E5976" s="1706" t="s">
        <v>7592</v>
      </c>
      <c r="F5976" s="1613">
        <v>-15000000</v>
      </c>
      <c r="G5976" s="1613">
        <v>292316043684</v>
      </c>
    </row>
    <row r="5977" spans="1:7" ht="17.25" customHeight="1" x14ac:dyDescent="0.2">
      <c r="A5977" s="1611">
        <v>17</v>
      </c>
      <c r="B5977" s="1611" t="s">
        <v>2028</v>
      </c>
      <c r="C5977" s="1611" t="s">
        <v>7134</v>
      </c>
      <c r="D5977" s="1612" t="s">
        <v>2024</v>
      </c>
      <c r="E5977" s="1706" t="s">
        <v>7592</v>
      </c>
      <c r="F5977" s="1613">
        <v>15000000</v>
      </c>
      <c r="G5977" s="1613">
        <v>292331043684</v>
      </c>
    </row>
    <row r="5978" spans="1:7" ht="17.25" customHeight="1" x14ac:dyDescent="0.2">
      <c r="A5978" s="1611">
        <v>17</v>
      </c>
      <c r="B5978" s="1611" t="s">
        <v>2039</v>
      </c>
      <c r="C5978" s="1611" t="s">
        <v>7140</v>
      </c>
      <c r="D5978" s="1612" t="s">
        <v>7555</v>
      </c>
      <c r="E5978" s="1706" t="s">
        <v>7592</v>
      </c>
      <c r="F5978" s="1613">
        <v>37272727</v>
      </c>
      <c r="G5978" s="1613">
        <v>292368316411</v>
      </c>
    </row>
    <row r="5979" spans="1:7" ht="17.25" customHeight="1" x14ac:dyDescent="0.2">
      <c r="A5979" s="1611">
        <v>17</v>
      </c>
      <c r="B5979" s="1611" t="s">
        <v>2037</v>
      </c>
      <c r="C5979" s="1611" t="s">
        <v>7141</v>
      </c>
      <c r="D5979" s="1612" t="s">
        <v>7555</v>
      </c>
      <c r="E5979" s="1706" t="s">
        <v>7592</v>
      </c>
      <c r="F5979" s="1613">
        <v>39090909</v>
      </c>
      <c r="G5979" s="1613">
        <v>292407407320</v>
      </c>
    </row>
    <row r="5980" spans="1:7" ht="17.25" customHeight="1" x14ac:dyDescent="0.2">
      <c r="A5980" s="1611">
        <v>17</v>
      </c>
      <c r="B5980" s="1611" t="s">
        <v>2041</v>
      </c>
      <c r="C5980" s="1611" t="s">
        <v>7142</v>
      </c>
      <c r="D5980" s="1612" t="s">
        <v>7555</v>
      </c>
      <c r="E5980" s="1706" t="s">
        <v>7592</v>
      </c>
      <c r="F5980" s="1613">
        <v>52090909</v>
      </c>
      <c r="G5980" s="1613">
        <v>292459498229</v>
      </c>
    </row>
    <row r="5981" spans="1:7" ht="17.25" customHeight="1" x14ac:dyDescent="0.2">
      <c r="A5981" s="1611">
        <v>17</v>
      </c>
      <c r="B5981" s="1611" t="s">
        <v>2041</v>
      </c>
      <c r="C5981" s="1611" t="s">
        <v>3432</v>
      </c>
      <c r="D5981" s="1612" t="s">
        <v>7555</v>
      </c>
      <c r="E5981" s="1706" t="s">
        <v>7592</v>
      </c>
      <c r="F5981" s="1613">
        <v>6363636</v>
      </c>
      <c r="G5981" s="1613">
        <v>292465861865</v>
      </c>
    </row>
    <row r="5982" spans="1:7" ht="17.25" customHeight="1" x14ac:dyDescent="0.2">
      <c r="A5982" s="1611">
        <v>17</v>
      </c>
      <c r="B5982" s="1611" t="s">
        <v>2051</v>
      </c>
      <c r="C5982" s="1611" t="s">
        <v>4859</v>
      </c>
      <c r="D5982" s="1612" t="s">
        <v>2023</v>
      </c>
      <c r="E5982" s="1706" t="s">
        <v>7592</v>
      </c>
      <c r="F5982" s="1613">
        <v>1582000000</v>
      </c>
      <c r="G5982" s="1613">
        <v>294047861865</v>
      </c>
    </row>
    <row r="5983" spans="1:7" ht="17.25" customHeight="1" x14ac:dyDescent="0.2">
      <c r="A5983" s="1611">
        <v>17</v>
      </c>
      <c r="B5983" s="1611" t="s">
        <v>2037</v>
      </c>
      <c r="C5983" s="1611" t="s">
        <v>7143</v>
      </c>
      <c r="D5983" s="1612" t="s">
        <v>7555</v>
      </c>
      <c r="E5983" s="1706" t="s">
        <v>7592</v>
      </c>
      <c r="F5983" s="1613">
        <v>18373000</v>
      </c>
      <c r="G5983" s="1613">
        <v>294066234865</v>
      </c>
    </row>
    <row r="5984" spans="1:7" ht="17.25" customHeight="1" x14ac:dyDescent="0.2">
      <c r="A5984" s="1611">
        <v>17</v>
      </c>
      <c r="B5984" s="1611" t="s">
        <v>2055</v>
      </c>
      <c r="C5984" s="1611" t="s">
        <v>7144</v>
      </c>
      <c r="D5984" s="1612" t="s">
        <v>7555</v>
      </c>
      <c r="E5984" s="1706" t="s">
        <v>7592</v>
      </c>
      <c r="F5984" s="1613">
        <v>60400000</v>
      </c>
      <c r="G5984" s="1613">
        <v>294126634865</v>
      </c>
    </row>
    <row r="5985" spans="1:7" ht="17.25" customHeight="1" x14ac:dyDescent="0.2">
      <c r="A5985" s="1611">
        <v>17</v>
      </c>
      <c r="B5985" s="1611" t="s">
        <v>2055</v>
      </c>
      <c r="C5985" s="1611" t="s">
        <v>3497</v>
      </c>
      <c r="D5985" s="1612" t="s">
        <v>7555</v>
      </c>
      <c r="E5985" s="1706" t="s">
        <v>7592</v>
      </c>
      <c r="F5985" s="1613">
        <v>60909091</v>
      </c>
      <c r="G5985" s="1613">
        <v>294187543956</v>
      </c>
    </row>
    <row r="5986" spans="1:7" ht="17.25" customHeight="1" x14ac:dyDescent="0.2">
      <c r="A5986" s="1611">
        <v>17</v>
      </c>
      <c r="B5986" s="1611" t="s">
        <v>2043</v>
      </c>
      <c r="C5986" s="1611" t="s">
        <v>7145</v>
      </c>
      <c r="D5986" s="1612" t="s">
        <v>7555</v>
      </c>
      <c r="E5986" s="1706" t="s">
        <v>7592</v>
      </c>
      <c r="F5986" s="1613">
        <v>56900000</v>
      </c>
      <c r="G5986" s="1613">
        <v>294244443956</v>
      </c>
    </row>
    <row r="5987" spans="1:7" ht="17.25" customHeight="1" x14ac:dyDescent="0.2">
      <c r="A5987" s="1611">
        <v>17</v>
      </c>
      <c r="B5987" s="1611" t="s">
        <v>2041</v>
      </c>
      <c r="C5987" s="1611" t="s">
        <v>4983</v>
      </c>
      <c r="D5987" s="1612" t="s">
        <v>7555</v>
      </c>
      <c r="E5987" s="1706" t="s">
        <v>7592</v>
      </c>
      <c r="F5987" s="1613">
        <v>53000000</v>
      </c>
      <c r="G5987" s="1613">
        <v>294297443956</v>
      </c>
    </row>
    <row r="5988" spans="1:7" ht="17.25" customHeight="1" x14ac:dyDescent="0.2">
      <c r="A5988" s="1611">
        <v>17</v>
      </c>
      <c r="B5988" s="1611" t="s">
        <v>2039</v>
      </c>
      <c r="C5988" s="1611" t="s">
        <v>7131</v>
      </c>
      <c r="D5988" s="1612" t="s">
        <v>7555</v>
      </c>
      <c r="E5988" s="1706" t="s">
        <v>7592</v>
      </c>
      <c r="F5988" s="1613">
        <v>39090909</v>
      </c>
      <c r="G5988" s="1613">
        <v>294336534865</v>
      </c>
    </row>
    <row r="5989" spans="1:7" ht="17.25" customHeight="1" x14ac:dyDescent="0.2">
      <c r="A5989" s="1611">
        <v>17</v>
      </c>
      <c r="B5989" s="1611" t="s">
        <v>2039</v>
      </c>
      <c r="C5989" s="1611" t="s">
        <v>7131</v>
      </c>
      <c r="D5989" s="1612" t="s">
        <v>7555</v>
      </c>
      <c r="E5989" s="1706" t="s">
        <v>7592</v>
      </c>
      <c r="F5989" s="1613">
        <v>39090909</v>
      </c>
      <c r="G5989" s="1613">
        <v>294375625774</v>
      </c>
    </row>
    <row r="5990" spans="1:7" ht="17.25" customHeight="1" x14ac:dyDescent="0.2">
      <c r="A5990" s="1611">
        <v>17</v>
      </c>
      <c r="B5990" s="1611" t="s">
        <v>2039</v>
      </c>
      <c r="C5990" s="1611" t="s">
        <v>7131</v>
      </c>
      <c r="D5990" s="1612" t="s">
        <v>7555</v>
      </c>
      <c r="E5990" s="1706" t="s">
        <v>7592</v>
      </c>
      <c r="F5990" s="1613">
        <v>39090909</v>
      </c>
      <c r="G5990" s="1613">
        <v>294414716683</v>
      </c>
    </row>
    <row r="5991" spans="1:7" ht="17.25" customHeight="1" x14ac:dyDescent="0.2">
      <c r="A5991" s="1611">
        <v>17</v>
      </c>
      <c r="B5991" s="1611" t="s">
        <v>2039</v>
      </c>
      <c r="C5991" s="1611" t="s">
        <v>7131</v>
      </c>
      <c r="D5991" s="1612" t="s">
        <v>7555</v>
      </c>
      <c r="E5991" s="1706" t="s">
        <v>7592</v>
      </c>
      <c r="F5991" s="1613">
        <v>39090909</v>
      </c>
      <c r="G5991" s="1613">
        <v>294453807592</v>
      </c>
    </row>
    <row r="5992" spans="1:7" ht="17.25" customHeight="1" x14ac:dyDescent="0.2">
      <c r="A5992" s="1611">
        <v>17</v>
      </c>
      <c r="B5992" s="1611" t="s">
        <v>2032</v>
      </c>
      <c r="C5992" s="1611" t="s">
        <v>7146</v>
      </c>
      <c r="D5992" s="1612" t="s">
        <v>7555</v>
      </c>
      <c r="E5992" s="1706" t="s">
        <v>7592</v>
      </c>
      <c r="F5992" s="1613">
        <v>19700000</v>
      </c>
      <c r="G5992" s="1613">
        <v>294473507592</v>
      </c>
    </row>
    <row r="5993" spans="1:7" ht="17.25" customHeight="1" x14ac:dyDescent="0.2">
      <c r="A5993" s="1611">
        <v>17</v>
      </c>
      <c r="B5993" s="1611" t="s">
        <v>2037</v>
      </c>
      <c r="C5993" s="1611" t="s">
        <v>7147</v>
      </c>
      <c r="D5993" s="1612" t="s">
        <v>7555</v>
      </c>
      <c r="E5993" s="1706" t="s">
        <v>7592</v>
      </c>
      <c r="F5993" s="1613">
        <v>36363637</v>
      </c>
      <c r="G5993" s="1613">
        <v>294509871229</v>
      </c>
    </row>
    <row r="5994" spans="1:7" ht="17.25" customHeight="1" x14ac:dyDescent="0.2">
      <c r="A5994" s="1611">
        <v>17</v>
      </c>
      <c r="B5994" s="1611" t="s">
        <v>2055</v>
      </c>
      <c r="C5994" s="1611" t="s">
        <v>7148</v>
      </c>
      <c r="D5994" s="1612" t="s">
        <v>7555</v>
      </c>
      <c r="E5994" s="1706" t="s">
        <v>7592</v>
      </c>
      <c r="F5994" s="1613">
        <v>61090909</v>
      </c>
      <c r="G5994" s="1613">
        <v>294570962138</v>
      </c>
    </row>
    <row r="5995" spans="1:7" ht="17.25" customHeight="1" x14ac:dyDescent="0.2">
      <c r="A5995" s="1611">
        <v>17</v>
      </c>
      <c r="B5995" s="1611" t="s">
        <v>2041</v>
      </c>
      <c r="C5995" s="1611" t="s">
        <v>7149</v>
      </c>
      <c r="D5995" s="1612" t="s">
        <v>7555</v>
      </c>
      <c r="E5995" s="1706" t="s">
        <v>7592</v>
      </c>
      <c r="F5995" s="1613">
        <v>50909090</v>
      </c>
      <c r="G5995" s="1613">
        <v>294621871228</v>
      </c>
    </row>
    <row r="5996" spans="1:7" ht="17.25" customHeight="1" x14ac:dyDescent="0.2">
      <c r="A5996" s="1611">
        <v>17</v>
      </c>
      <c r="B5996" s="1611" t="s">
        <v>2041</v>
      </c>
      <c r="C5996" s="1611" t="s">
        <v>7150</v>
      </c>
      <c r="D5996" s="1612" t="s">
        <v>7555</v>
      </c>
      <c r="E5996" s="1706" t="s">
        <v>7592</v>
      </c>
      <c r="F5996" s="1613">
        <v>52727272</v>
      </c>
      <c r="G5996" s="1613">
        <v>294674598500</v>
      </c>
    </row>
    <row r="5997" spans="1:7" ht="17.25" customHeight="1" x14ac:dyDescent="0.2">
      <c r="A5997" s="1611">
        <v>17</v>
      </c>
      <c r="B5997" s="1611" t="s">
        <v>2039</v>
      </c>
      <c r="C5997" s="1611" t="s">
        <v>4510</v>
      </c>
      <c r="D5997" s="1612" t="s">
        <v>7555</v>
      </c>
      <c r="E5997" s="1706" t="s">
        <v>7592</v>
      </c>
      <c r="F5997" s="1613">
        <v>43500000</v>
      </c>
      <c r="G5997" s="1613">
        <v>294718098500</v>
      </c>
    </row>
    <row r="5998" spans="1:7" ht="17.25" customHeight="1" x14ac:dyDescent="0.2">
      <c r="A5998" s="1489" t="s">
        <v>7151</v>
      </c>
    </row>
  </sheetData>
  <autoFilter ref="A2:G5998"/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3"/>
  <sheetViews>
    <sheetView topLeftCell="A115" workbookViewId="0">
      <selection activeCell="AB160" sqref="AB160:AD295"/>
    </sheetView>
  </sheetViews>
  <sheetFormatPr defaultRowHeight="16.5" x14ac:dyDescent="0.3"/>
  <cols>
    <col min="5" max="9" width="15.625" bestFit="1" customWidth="1"/>
    <col min="10" max="10" width="9.125" bestFit="1" customWidth="1"/>
    <col min="11" max="11" width="15.625" bestFit="1" customWidth="1"/>
  </cols>
  <sheetData>
    <row r="1" spans="2:11" hidden="1" x14ac:dyDescent="0.3"/>
    <row r="2" spans="2:11" hidden="1" x14ac:dyDescent="0.3">
      <c r="C2" t="s">
        <v>3374</v>
      </c>
      <c r="D2" t="s">
        <v>3375</v>
      </c>
      <c r="E2">
        <v>2013</v>
      </c>
      <c r="F2">
        <v>2014</v>
      </c>
      <c r="G2">
        <v>2015</v>
      </c>
      <c r="H2">
        <v>2016</v>
      </c>
      <c r="I2" t="s">
        <v>7387</v>
      </c>
      <c r="J2" t="s">
        <v>7385</v>
      </c>
      <c r="K2" t="s">
        <v>7389</v>
      </c>
    </row>
    <row r="3" spans="2:11" hidden="1" x14ac:dyDescent="0.3">
      <c r="B3" t="s">
        <v>7394</v>
      </c>
      <c r="E3">
        <v>4865982374</v>
      </c>
      <c r="F3">
        <v>2407829268</v>
      </c>
      <c r="G3">
        <v>0</v>
      </c>
      <c r="H3">
        <v>75768270</v>
      </c>
      <c r="I3">
        <v>10083699453</v>
      </c>
      <c r="J3">
        <v>293</v>
      </c>
      <c r="K3">
        <v>11497500000</v>
      </c>
    </row>
    <row r="4" spans="2:11" hidden="1" x14ac:dyDescent="0.3">
      <c r="B4" t="s">
        <v>3553</v>
      </c>
      <c r="E4">
        <v>3364552525</v>
      </c>
      <c r="F4">
        <v>2511282813</v>
      </c>
      <c r="G4">
        <v>0</v>
      </c>
      <c r="H4">
        <v>40000000</v>
      </c>
      <c r="I4">
        <v>7365804270</v>
      </c>
      <c r="J4">
        <v>186</v>
      </c>
      <c r="K4">
        <v>11205000000</v>
      </c>
    </row>
    <row r="5" spans="2:11" hidden="1" x14ac:dyDescent="0.3">
      <c r="B5" t="s">
        <v>2062</v>
      </c>
      <c r="E5">
        <v>419091876</v>
      </c>
      <c r="F5">
        <v>0</v>
      </c>
      <c r="G5">
        <v>0</v>
      </c>
      <c r="H5">
        <v>0</v>
      </c>
      <c r="I5">
        <v>7159408173</v>
      </c>
      <c r="J5">
        <v>48</v>
      </c>
      <c r="K5">
        <v>13125000000</v>
      </c>
    </row>
    <row r="6" spans="2:11" hidden="1" x14ac:dyDescent="0.3">
      <c r="B6" t="s">
        <v>2041</v>
      </c>
      <c r="E6">
        <v>3352077865</v>
      </c>
      <c r="F6">
        <v>2127326017</v>
      </c>
      <c r="G6">
        <v>0</v>
      </c>
      <c r="H6">
        <v>0</v>
      </c>
      <c r="I6">
        <v>5821424540</v>
      </c>
      <c r="J6">
        <v>114</v>
      </c>
      <c r="K6">
        <v>9218500000</v>
      </c>
    </row>
    <row r="7" spans="2:11" hidden="1" x14ac:dyDescent="0.3">
      <c r="B7" t="s">
        <v>2063</v>
      </c>
      <c r="E7">
        <v>270000000</v>
      </c>
      <c r="F7">
        <v>0</v>
      </c>
      <c r="G7">
        <v>0</v>
      </c>
      <c r="H7">
        <v>0</v>
      </c>
      <c r="I7">
        <v>4734650000</v>
      </c>
      <c r="J7">
        <v>32</v>
      </c>
      <c r="K7">
        <v>7900000000</v>
      </c>
    </row>
    <row r="8" spans="2:11" hidden="1" x14ac:dyDescent="0.3">
      <c r="B8" t="s">
        <v>2836</v>
      </c>
      <c r="E8">
        <v>0</v>
      </c>
      <c r="F8">
        <v>0</v>
      </c>
      <c r="G8">
        <v>0</v>
      </c>
      <c r="H8">
        <v>0</v>
      </c>
      <c r="I8">
        <v>4520271457</v>
      </c>
      <c r="J8">
        <v>145</v>
      </c>
      <c r="K8">
        <v>5622500000</v>
      </c>
    </row>
    <row r="9" spans="2:11" hidden="1" x14ac:dyDescent="0.3">
      <c r="B9" t="s">
        <v>7396</v>
      </c>
      <c r="E9">
        <v>0</v>
      </c>
      <c r="F9">
        <v>0</v>
      </c>
      <c r="G9">
        <v>0</v>
      </c>
      <c r="H9">
        <v>0</v>
      </c>
      <c r="I9">
        <v>3495954000</v>
      </c>
      <c r="J9">
        <v>2</v>
      </c>
      <c r="K9">
        <v>0</v>
      </c>
    </row>
    <row r="10" spans="2:11" hidden="1" x14ac:dyDescent="0.3">
      <c r="B10" t="s">
        <v>7397</v>
      </c>
      <c r="E10">
        <v>111614378</v>
      </c>
      <c r="F10">
        <v>95661373</v>
      </c>
      <c r="G10">
        <v>4656155539</v>
      </c>
      <c r="H10">
        <v>4800950000</v>
      </c>
      <c r="I10">
        <v>3238686596</v>
      </c>
      <c r="J10">
        <v>20</v>
      </c>
      <c r="K10">
        <v>0</v>
      </c>
    </row>
    <row r="11" spans="2:11" hidden="1" x14ac:dyDescent="0.3">
      <c r="B11" t="s">
        <v>7398</v>
      </c>
      <c r="E11">
        <v>0</v>
      </c>
      <c r="F11">
        <v>0</v>
      </c>
      <c r="G11">
        <v>0</v>
      </c>
      <c r="H11">
        <v>0</v>
      </c>
      <c r="I11">
        <v>2637672726</v>
      </c>
      <c r="J11">
        <v>16</v>
      </c>
      <c r="K11">
        <v>6270000000</v>
      </c>
    </row>
    <row r="12" spans="2:11" hidden="1" x14ac:dyDescent="0.3">
      <c r="B12" t="s">
        <v>2051</v>
      </c>
      <c r="E12">
        <v>0</v>
      </c>
      <c r="F12">
        <v>0</v>
      </c>
      <c r="G12">
        <v>0</v>
      </c>
      <c r="H12">
        <v>0</v>
      </c>
      <c r="I12">
        <v>2414000000</v>
      </c>
      <c r="J12">
        <v>2</v>
      </c>
      <c r="K12">
        <v>2990000000</v>
      </c>
    </row>
    <row r="13" spans="2:11" hidden="1" x14ac:dyDescent="0.3">
      <c r="B13" t="s">
        <v>2032</v>
      </c>
      <c r="E13">
        <v>1515999183</v>
      </c>
      <c r="F13">
        <v>989538178</v>
      </c>
      <c r="G13">
        <v>22374590</v>
      </c>
      <c r="H13">
        <v>0</v>
      </c>
      <c r="I13">
        <v>2282731090</v>
      </c>
      <c r="J13">
        <v>80</v>
      </c>
      <c r="K13">
        <v>2094500000</v>
      </c>
    </row>
    <row r="14" spans="2:11" hidden="1" x14ac:dyDescent="0.3">
      <c r="B14" t="s">
        <v>3555</v>
      </c>
      <c r="E14">
        <v>0</v>
      </c>
      <c r="F14">
        <v>0</v>
      </c>
      <c r="G14">
        <v>1645500000</v>
      </c>
      <c r="H14">
        <v>2810677273</v>
      </c>
      <c r="I14">
        <v>2200000000</v>
      </c>
      <c r="J14">
        <v>14</v>
      </c>
      <c r="K14">
        <v>0</v>
      </c>
    </row>
    <row r="15" spans="2:11" hidden="1" x14ac:dyDescent="0.3">
      <c r="B15" t="s">
        <v>7399</v>
      </c>
      <c r="E15">
        <v>242439953</v>
      </c>
      <c r="F15">
        <v>121930459</v>
      </c>
      <c r="G15">
        <v>3101594484</v>
      </c>
      <c r="H15">
        <v>5588614966</v>
      </c>
      <c r="I15">
        <v>1947290281</v>
      </c>
      <c r="J15">
        <v>41</v>
      </c>
      <c r="K15">
        <v>0</v>
      </c>
    </row>
    <row r="16" spans="2:11" hidden="1" x14ac:dyDescent="0.3">
      <c r="B16" t="s">
        <v>7400</v>
      </c>
      <c r="E16">
        <v>1303240910</v>
      </c>
      <c r="F16">
        <v>521481944</v>
      </c>
      <c r="G16">
        <v>0</v>
      </c>
      <c r="H16">
        <v>0</v>
      </c>
      <c r="I16">
        <v>1854359089</v>
      </c>
      <c r="J16">
        <v>34</v>
      </c>
      <c r="K16">
        <v>2724400000</v>
      </c>
    </row>
    <row r="17" spans="2:11" hidden="1" x14ac:dyDescent="0.3">
      <c r="B17" t="s">
        <v>2061</v>
      </c>
      <c r="E17">
        <v>0</v>
      </c>
      <c r="F17">
        <v>0</v>
      </c>
      <c r="G17">
        <v>0</v>
      </c>
      <c r="H17">
        <v>0</v>
      </c>
      <c r="I17">
        <v>1775272727</v>
      </c>
      <c r="J17">
        <v>12</v>
      </c>
      <c r="K17">
        <v>5197500000</v>
      </c>
    </row>
    <row r="18" spans="2:11" hidden="1" x14ac:dyDescent="0.3">
      <c r="B18" t="s">
        <v>7401</v>
      </c>
      <c r="E18">
        <v>0</v>
      </c>
      <c r="F18">
        <v>0</v>
      </c>
      <c r="G18">
        <v>3377868184</v>
      </c>
      <c r="H18">
        <v>3934604545</v>
      </c>
      <c r="I18">
        <v>1741279345</v>
      </c>
      <c r="J18">
        <v>13</v>
      </c>
      <c r="K18">
        <v>0</v>
      </c>
    </row>
    <row r="19" spans="2:11" hidden="1" x14ac:dyDescent="0.3">
      <c r="B19" t="s">
        <v>3227</v>
      </c>
      <c r="E19">
        <v>0</v>
      </c>
      <c r="F19">
        <v>0</v>
      </c>
      <c r="G19">
        <v>0</v>
      </c>
      <c r="H19">
        <v>0</v>
      </c>
      <c r="I19">
        <v>1638000000</v>
      </c>
      <c r="J19">
        <v>8</v>
      </c>
      <c r="K19">
        <v>1640000000</v>
      </c>
    </row>
    <row r="20" spans="2:11" hidden="1" x14ac:dyDescent="0.3">
      <c r="B20" t="s">
        <v>7380</v>
      </c>
      <c r="E20">
        <v>1383420902</v>
      </c>
      <c r="F20">
        <v>898819141</v>
      </c>
      <c r="G20">
        <v>0</v>
      </c>
      <c r="H20">
        <v>12200000</v>
      </c>
      <c r="I20">
        <v>1609368456</v>
      </c>
      <c r="J20">
        <v>102</v>
      </c>
      <c r="K20">
        <v>3375000000</v>
      </c>
    </row>
    <row r="21" spans="2:11" hidden="1" x14ac:dyDescent="0.3">
      <c r="B21" t="s">
        <v>3553</v>
      </c>
      <c r="E21">
        <v>89673194</v>
      </c>
      <c r="F21">
        <v>37987200</v>
      </c>
      <c r="G21">
        <v>3668480002</v>
      </c>
      <c r="H21">
        <v>6357136815</v>
      </c>
      <c r="I21">
        <v>1598507323</v>
      </c>
      <c r="J21">
        <v>39</v>
      </c>
      <c r="K21">
        <v>0</v>
      </c>
    </row>
    <row r="22" spans="2:11" hidden="1" x14ac:dyDescent="0.3">
      <c r="B22" t="s">
        <v>3550</v>
      </c>
      <c r="E22">
        <v>0</v>
      </c>
      <c r="F22">
        <v>34390118</v>
      </c>
      <c r="G22">
        <v>11111963779</v>
      </c>
      <c r="H22">
        <v>13249563649</v>
      </c>
      <c r="I22">
        <v>1492475901</v>
      </c>
      <c r="J22">
        <v>46</v>
      </c>
      <c r="K22">
        <v>0</v>
      </c>
    </row>
    <row r="23" spans="2:11" hidden="1" x14ac:dyDescent="0.3">
      <c r="B23" t="s">
        <v>7403</v>
      </c>
      <c r="E23">
        <v>0</v>
      </c>
      <c r="F23">
        <v>0</v>
      </c>
      <c r="G23">
        <v>0</v>
      </c>
      <c r="H23">
        <v>0</v>
      </c>
      <c r="I23">
        <v>1296575000</v>
      </c>
      <c r="J23">
        <v>1</v>
      </c>
      <c r="K23">
        <v>0</v>
      </c>
    </row>
    <row r="24" spans="2:11" hidden="1" x14ac:dyDescent="0.3">
      <c r="B24" t="s">
        <v>7404</v>
      </c>
      <c r="E24">
        <v>0</v>
      </c>
      <c r="F24">
        <v>0</v>
      </c>
      <c r="G24">
        <v>0</v>
      </c>
      <c r="H24">
        <v>0</v>
      </c>
      <c r="I24">
        <v>1149250000</v>
      </c>
      <c r="J24">
        <v>1</v>
      </c>
      <c r="K24">
        <v>0</v>
      </c>
    </row>
    <row r="25" spans="2:11" hidden="1" x14ac:dyDescent="0.3">
      <c r="B25" t="s">
        <v>7405</v>
      </c>
      <c r="E25">
        <v>0</v>
      </c>
      <c r="F25">
        <v>0</v>
      </c>
      <c r="G25">
        <v>2246072727</v>
      </c>
      <c r="H25">
        <v>3137409091</v>
      </c>
      <c r="I25">
        <v>1055165222</v>
      </c>
      <c r="J25">
        <v>7</v>
      </c>
      <c r="K25">
        <v>0</v>
      </c>
    </row>
    <row r="26" spans="2:11" hidden="1" x14ac:dyDescent="0.3">
      <c r="B26" t="s">
        <v>7406</v>
      </c>
      <c r="E26">
        <v>0</v>
      </c>
      <c r="F26">
        <v>363385272</v>
      </c>
      <c r="G26">
        <v>60700000</v>
      </c>
      <c r="H26">
        <v>50237000</v>
      </c>
      <c r="I26">
        <v>1024459909</v>
      </c>
      <c r="J26">
        <v>17</v>
      </c>
      <c r="K26">
        <v>2375000000</v>
      </c>
    </row>
    <row r="27" spans="2:11" hidden="1" x14ac:dyDescent="0.3">
      <c r="B27" t="s">
        <v>7407</v>
      </c>
      <c r="E27">
        <v>0</v>
      </c>
      <c r="F27">
        <v>42045455</v>
      </c>
      <c r="G27">
        <v>0</v>
      </c>
      <c r="H27">
        <v>0</v>
      </c>
      <c r="I27">
        <v>892559097</v>
      </c>
      <c r="J27">
        <v>7</v>
      </c>
      <c r="K27">
        <v>1265000000</v>
      </c>
    </row>
    <row r="28" spans="2:11" hidden="1" x14ac:dyDescent="0.3">
      <c r="B28" t="s">
        <v>7408</v>
      </c>
      <c r="E28">
        <v>820565302</v>
      </c>
      <c r="F28">
        <v>14962482998</v>
      </c>
      <c r="G28">
        <v>8808256449</v>
      </c>
      <c r="H28">
        <v>0</v>
      </c>
      <c r="I28">
        <v>725410274</v>
      </c>
      <c r="J28">
        <v>12</v>
      </c>
      <c r="K28">
        <v>0</v>
      </c>
    </row>
    <row r="29" spans="2:11" hidden="1" x14ac:dyDescent="0.3">
      <c r="B29" t="s">
        <v>7409</v>
      </c>
      <c r="E29">
        <v>201500000</v>
      </c>
      <c r="F29">
        <v>46158000</v>
      </c>
      <c r="G29">
        <v>0</v>
      </c>
      <c r="H29">
        <v>6485027040</v>
      </c>
      <c r="I29">
        <v>699354809</v>
      </c>
      <c r="J29">
        <v>8</v>
      </c>
      <c r="K29">
        <v>1766000000</v>
      </c>
    </row>
    <row r="30" spans="2:11" hidden="1" x14ac:dyDescent="0.3">
      <c r="B30" t="s">
        <v>7410</v>
      </c>
      <c r="E30">
        <v>0</v>
      </c>
      <c r="F30">
        <v>0</v>
      </c>
      <c r="G30">
        <v>0</v>
      </c>
      <c r="H30">
        <v>0</v>
      </c>
      <c r="I30">
        <v>627631500</v>
      </c>
      <c r="J30">
        <v>15</v>
      </c>
      <c r="K30">
        <v>672000000</v>
      </c>
    </row>
    <row r="31" spans="2:11" hidden="1" x14ac:dyDescent="0.3">
      <c r="B31" t="s">
        <v>7411</v>
      </c>
      <c r="E31">
        <v>0</v>
      </c>
      <c r="F31">
        <v>0</v>
      </c>
      <c r="G31">
        <v>0</v>
      </c>
      <c r="H31">
        <v>0</v>
      </c>
      <c r="I31">
        <v>623143182</v>
      </c>
      <c r="J31">
        <v>13</v>
      </c>
      <c r="K31">
        <v>1261000000</v>
      </c>
    </row>
    <row r="32" spans="2:11" hidden="1" x14ac:dyDescent="0.3">
      <c r="B32" t="s">
        <v>7412</v>
      </c>
      <c r="E32">
        <v>454980917</v>
      </c>
      <c r="F32">
        <v>123236365</v>
      </c>
      <c r="G32">
        <v>0</v>
      </c>
      <c r="H32">
        <v>0</v>
      </c>
      <c r="I32">
        <v>620799096</v>
      </c>
      <c r="J32">
        <v>14</v>
      </c>
      <c r="K32">
        <v>728000000</v>
      </c>
    </row>
    <row r="33" spans="2:11" hidden="1" x14ac:dyDescent="0.3">
      <c r="B33" t="s">
        <v>7414</v>
      </c>
      <c r="E33">
        <v>0</v>
      </c>
      <c r="F33">
        <v>0</v>
      </c>
      <c r="G33">
        <v>0</v>
      </c>
      <c r="H33">
        <v>0</v>
      </c>
      <c r="I33">
        <v>571862000</v>
      </c>
      <c r="J33">
        <v>1</v>
      </c>
      <c r="K33">
        <v>0</v>
      </c>
    </row>
    <row r="34" spans="2:11" hidden="1" x14ac:dyDescent="0.3">
      <c r="B34" t="s">
        <v>7416</v>
      </c>
      <c r="E34">
        <v>0</v>
      </c>
      <c r="F34">
        <v>0</v>
      </c>
      <c r="G34">
        <v>0</v>
      </c>
      <c r="H34">
        <v>0</v>
      </c>
      <c r="I34">
        <v>541908600</v>
      </c>
      <c r="J34">
        <v>1</v>
      </c>
      <c r="K34">
        <v>0</v>
      </c>
    </row>
    <row r="35" spans="2:11" hidden="1" x14ac:dyDescent="0.3">
      <c r="B35" t="s">
        <v>7418</v>
      </c>
      <c r="E35">
        <v>0</v>
      </c>
      <c r="F35">
        <v>0</v>
      </c>
      <c r="G35">
        <v>0</v>
      </c>
      <c r="H35">
        <v>0</v>
      </c>
      <c r="I35">
        <v>532301250</v>
      </c>
      <c r="J35">
        <v>1</v>
      </c>
      <c r="K35">
        <v>0</v>
      </c>
    </row>
    <row r="36" spans="2:11" hidden="1" x14ac:dyDescent="0.3">
      <c r="B36" t="s">
        <v>7419</v>
      </c>
      <c r="E36">
        <v>93636364</v>
      </c>
      <c r="F36">
        <v>309818184</v>
      </c>
      <c r="G36">
        <v>0</v>
      </c>
      <c r="H36">
        <v>0</v>
      </c>
      <c r="I36">
        <v>506700002</v>
      </c>
      <c r="J36">
        <v>9</v>
      </c>
      <c r="K36">
        <v>2230000000</v>
      </c>
    </row>
    <row r="37" spans="2:11" hidden="1" x14ac:dyDescent="0.3">
      <c r="B37" t="s">
        <v>7421</v>
      </c>
      <c r="E37">
        <v>0</v>
      </c>
      <c r="F37">
        <v>0</v>
      </c>
      <c r="G37">
        <v>0</v>
      </c>
      <c r="H37">
        <v>0</v>
      </c>
      <c r="I37">
        <v>502149915</v>
      </c>
      <c r="J37">
        <v>1</v>
      </c>
      <c r="K37">
        <v>0</v>
      </c>
    </row>
    <row r="38" spans="2:11" hidden="1" x14ac:dyDescent="0.3">
      <c r="B38" t="s">
        <v>2883</v>
      </c>
      <c r="E38">
        <v>0</v>
      </c>
      <c r="F38">
        <v>0</v>
      </c>
      <c r="G38">
        <v>0</v>
      </c>
      <c r="H38">
        <v>0</v>
      </c>
      <c r="I38">
        <v>501818182</v>
      </c>
      <c r="J38">
        <v>1</v>
      </c>
      <c r="K38">
        <v>0</v>
      </c>
    </row>
    <row r="39" spans="2:11" hidden="1" x14ac:dyDescent="0.3">
      <c r="B39" t="s">
        <v>7380</v>
      </c>
      <c r="E39">
        <v>62529095</v>
      </c>
      <c r="F39">
        <v>39716525</v>
      </c>
      <c r="G39">
        <v>1206261815</v>
      </c>
      <c r="H39">
        <v>2703566366</v>
      </c>
      <c r="I39">
        <v>368049819</v>
      </c>
      <c r="J39">
        <v>18</v>
      </c>
      <c r="K39">
        <v>0</v>
      </c>
    </row>
    <row r="40" spans="2:11" hidden="1" x14ac:dyDescent="0.3">
      <c r="B40" t="s">
        <v>7422</v>
      </c>
      <c r="E40">
        <v>0</v>
      </c>
      <c r="F40">
        <v>0</v>
      </c>
      <c r="G40">
        <v>0</v>
      </c>
      <c r="H40">
        <v>14200000</v>
      </c>
      <c r="I40">
        <v>350419091</v>
      </c>
      <c r="J40">
        <v>25</v>
      </c>
      <c r="K40">
        <v>661500000</v>
      </c>
    </row>
    <row r="41" spans="2:11" hidden="1" x14ac:dyDescent="0.3">
      <c r="B41" t="s">
        <v>3311</v>
      </c>
      <c r="E41">
        <v>0</v>
      </c>
      <c r="F41">
        <v>0</v>
      </c>
      <c r="G41">
        <v>0</v>
      </c>
      <c r="H41">
        <v>0</v>
      </c>
      <c r="I41">
        <v>347856363</v>
      </c>
      <c r="J41">
        <v>8</v>
      </c>
      <c r="K41">
        <v>456500000</v>
      </c>
    </row>
    <row r="42" spans="2:11" hidden="1" x14ac:dyDescent="0.3">
      <c r="B42" t="s">
        <v>7423</v>
      </c>
      <c r="E42">
        <v>0</v>
      </c>
      <c r="F42">
        <v>0</v>
      </c>
      <c r="G42">
        <v>4511703854</v>
      </c>
      <c r="H42">
        <v>4571621271</v>
      </c>
      <c r="I42">
        <v>343118998</v>
      </c>
      <c r="J42">
        <v>13</v>
      </c>
      <c r="K42">
        <v>0</v>
      </c>
    </row>
    <row r="43" spans="2:11" hidden="1" x14ac:dyDescent="0.3">
      <c r="B43" t="s">
        <v>7424</v>
      </c>
      <c r="E43">
        <v>0</v>
      </c>
      <c r="F43">
        <v>0</v>
      </c>
      <c r="G43">
        <v>0</v>
      </c>
      <c r="H43">
        <v>0</v>
      </c>
      <c r="I43">
        <v>341863637</v>
      </c>
      <c r="J43">
        <v>9</v>
      </c>
      <c r="K43">
        <v>395000000</v>
      </c>
    </row>
    <row r="44" spans="2:11" hidden="1" x14ac:dyDescent="0.3">
      <c r="B44" t="s">
        <v>3062</v>
      </c>
      <c r="E44">
        <v>115678662</v>
      </c>
      <c r="F44">
        <v>348226972</v>
      </c>
      <c r="G44">
        <v>127548600</v>
      </c>
      <c r="H44">
        <v>175121996</v>
      </c>
      <c r="I44">
        <v>339419310</v>
      </c>
      <c r="J44">
        <v>3</v>
      </c>
      <c r="K44">
        <v>0</v>
      </c>
    </row>
    <row r="45" spans="2:11" hidden="1" x14ac:dyDescent="0.3">
      <c r="B45" t="s">
        <v>7425</v>
      </c>
      <c r="E45">
        <v>0</v>
      </c>
      <c r="F45">
        <v>134727272</v>
      </c>
      <c r="G45">
        <v>0</v>
      </c>
      <c r="H45">
        <v>0</v>
      </c>
      <c r="I45">
        <v>334572726</v>
      </c>
      <c r="J45">
        <v>8</v>
      </c>
      <c r="K45">
        <v>0</v>
      </c>
    </row>
    <row r="46" spans="2:11" hidden="1" x14ac:dyDescent="0.3">
      <c r="B46" t="s">
        <v>3548</v>
      </c>
      <c r="E46">
        <v>0</v>
      </c>
      <c r="F46">
        <v>852725750</v>
      </c>
      <c r="G46">
        <v>1017261436</v>
      </c>
      <c r="H46">
        <v>639618181</v>
      </c>
      <c r="I46">
        <v>319369193</v>
      </c>
      <c r="J46">
        <v>6</v>
      </c>
      <c r="K46">
        <v>0</v>
      </c>
    </row>
    <row r="47" spans="2:11" hidden="1" x14ac:dyDescent="0.3">
      <c r="B47" t="s">
        <v>3549</v>
      </c>
      <c r="E47">
        <v>0</v>
      </c>
      <c r="F47">
        <v>0</v>
      </c>
      <c r="G47">
        <v>0</v>
      </c>
      <c r="H47">
        <v>30909090</v>
      </c>
      <c r="I47">
        <v>312636363</v>
      </c>
      <c r="J47">
        <v>12</v>
      </c>
      <c r="K47">
        <v>0</v>
      </c>
    </row>
    <row r="48" spans="2:11" hidden="1" x14ac:dyDescent="0.3">
      <c r="B48" t="s">
        <v>7426</v>
      </c>
      <c r="E48">
        <v>0</v>
      </c>
      <c r="F48">
        <v>0</v>
      </c>
      <c r="G48">
        <v>0</v>
      </c>
      <c r="H48">
        <v>0</v>
      </c>
      <c r="I48">
        <v>298837818</v>
      </c>
      <c r="J48">
        <v>1</v>
      </c>
      <c r="K48">
        <v>0</v>
      </c>
    </row>
    <row r="49" spans="2:11" hidden="1" x14ac:dyDescent="0.3">
      <c r="B49" t="s">
        <v>7428</v>
      </c>
      <c r="E49">
        <v>0</v>
      </c>
      <c r="F49">
        <v>0</v>
      </c>
      <c r="G49">
        <v>141500000</v>
      </c>
      <c r="H49">
        <v>0</v>
      </c>
      <c r="I49">
        <v>251659050</v>
      </c>
      <c r="J49">
        <v>2</v>
      </c>
      <c r="K49">
        <v>0</v>
      </c>
    </row>
    <row r="50" spans="2:11" hidden="1" x14ac:dyDescent="0.3">
      <c r="B50" t="s">
        <v>7429</v>
      </c>
      <c r="E50">
        <v>0</v>
      </c>
      <c r="F50">
        <v>0</v>
      </c>
      <c r="G50">
        <v>0</v>
      </c>
      <c r="H50">
        <v>0</v>
      </c>
      <c r="I50">
        <v>198881821</v>
      </c>
      <c r="J50">
        <v>1</v>
      </c>
      <c r="K50">
        <v>0</v>
      </c>
    </row>
    <row r="51" spans="2:11" hidden="1" x14ac:dyDescent="0.3">
      <c r="B51" t="s">
        <v>7430</v>
      </c>
      <c r="E51">
        <v>395518185</v>
      </c>
      <c r="F51">
        <v>78990910</v>
      </c>
      <c r="G51">
        <v>65328535</v>
      </c>
      <c r="H51">
        <v>0</v>
      </c>
      <c r="I51">
        <v>193623638</v>
      </c>
      <c r="J51">
        <v>2</v>
      </c>
      <c r="K51">
        <v>554400000</v>
      </c>
    </row>
    <row r="52" spans="2:11" hidden="1" x14ac:dyDescent="0.3">
      <c r="B52" t="s">
        <v>3563</v>
      </c>
      <c r="E52">
        <v>3254377266</v>
      </c>
      <c r="F52">
        <v>3616912541</v>
      </c>
      <c r="G52">
        <v>0</v>
      </c>
      <c r="H52">
        <v>39500000</v>
      </c>
      <c r="I52">
        <v>191700000</v>
      </c>
      <c r="J52">
        <v>5</v>
      </c>
      <c r="K52">
        <v>0</v>
      </c>
    </row>
    <row r="53" spans="2:11" hidden="1" x14ac:dyDescent="0.3">
      <c r="B53" t="s">
        <v>3559</v>
      </c>
      <c r="E53">
        <v>0</v>
      </c>
      <c r="F53">
        <v>0</v>
      </c>
      <c r="G53">
        <v>555509092</v>
      </c>
      <c r="H53">
        <v>603877272</v>
      </c>
      <c r="I53">
        <v>184000000</v>
      </c>
      <c r="J53">
        <v>5</v>
      </c>
      <c r="K53">
        <v>0</v>
      </c>
    </row>
    <row r="54" spans="2:11" hidden="1" x14ac:dyDescent="0.3">
      <c r="B54" t="s">
        <v>7431</v>
      </c>
      <c r="E54">
        <v>0</v>
      </c>
      <c r="F54">
        <v>0</v>
      </c>
      <c r="G54">
        <v>0</v>
      </c>
      <c r="H54">
        <v>0</v>
      </c>
      <c r="I54">
        <v>176726364</v>
      </c>
      <c r="J54">
        <v>4</v>
      </c>
      <c r="K54">
        <v>178000000</v>
      </c>
    </row>
    <row r="55" spans="2:11" hidden="1" x14ac:dyDescent="0.3">
      <c r="B55" t="s">
        <v>7432</v>
      </c>
      <c r="E55">
        <v>0</v>
      </c>
      <c r="F55">
        <v>0</v>
      </c>
      <c r="G55">
        <v>0</v>
      </c>
      <c r="H55">
        <v>0</v>
      </c>
      <c r="I55">
        <v>174246539</v>
      </c>
      <c r="J55">
        <v>2</v>
      </c>
      <c r="K55">
        <v>0</v>
      </c>
    </row>
    <row r="56" spans="2:11" hidden="1" x14ac:dyDescent="0.3">
      <c r="B56" t="s">
        <v>7433</v>
      </c>
      <c r="E56">
        <v>0</v>
      </c>
      <c r="F56">
        <v>0</v>
      </c>
      <c r="G56">
        <v>0</v>
      </c>
      <c r="H56">
        <v>0</v>
      </c>
      <c r="I56">
        <v>173720163</v>
      </c>
      <c r="J56">
        <v>2</v>
      </c>
      <c r="K56">
        <v>0</v>
      </c>
    </row>
    <row r="57" spans="2:11" hidden="1" x14ac:dyDescent="0.3">
      <c r="B57" t="s">
        <v>7435</v>
      </c>
      <c r="E57">
        <v>0</v>
      </c>
      <c r="F57">
        <v>0</v>
      </c>
      <c r="G57">
        <v>0</v>
      </c>
      <c r="H57">
        <v>0</v>
      </c>
      <c r="I57">
        <v>131973200</v>
      </c>
      <c r="J57">
        <v>1</v>
      </c>
      <c r="K57">
        <v>0</v>
      </c>
    </row>
    <row r="58" spans="2:11" hidden="1" x14ac:dyDescent="0.3">
      <c r="B58" t="s">
        <v>7437</v>
      </c>
      <c r="E58">
        <v>0</v>
      </c>
      <c r="F58">
        <v>0</v>
      </c>
      <c r="G58">
        <v>0</v>
      </c>
      <c r="H58">
        <v>128790540</v>
      </c>
      <c r="I58">
        <v>130446004</v>
      </c>
      <c r="J58">
        <v>1</v>
      </c>
      <c r="K58">
        <v>0</v>
      </c>
    </row>
    <row r="59" spans="2:11" hidden="1" x14ac:dyDescent="0.3">
      <c r="B59" t="s">
        <v>7439</v>
      </c>
      <c r="E59">
        <v>0</v>
      </c>
      <c r="F59">
        <v>0</v>
      </c>
      <c r="G59">
        <v>0</v>
      </c>
      <c r="H59">
        <v>0</v>
      </c>
      <c r="I59">
        <v>124579177</v>
      </c>
      <c r="J59">
        <v>1</v>
      </c>
      <c r="K59">
        <v>0</v>
      </c>
    </row>
    <row r="60" spans="2:11" hidden="1" x14ac:dyDescent="0.3">
      <c r="B60" t="s">
        <v>7440</v>
      </c>
      <c r="E60">
        <v>0</v>
      </c>
      <c r="F60">
        <v>0</v>
      </c>
      <c r="G60">
        <v>0</v>
      </c>
      <c r="H60">
        <v>0</v>
      </c>
      <c r="I60">
        <v>119390909</v>
      </c>
      <c r="J60">
        <v>2</v>
      </c>
      <c r="K60">
        <v>0</v>
      </c>
    </row>
    <row r="61" spans="2:11" hidden="1" x14ac:dyDescent="0.3">
      <c r="B61" t="s">
        <v>7441</v>
      </c>
      <c r="E61">
        <v>0</v>
      </c>
      <c r="F61">
        <v>0</v>
      </c>
      <c r="G61">
        <v>0</v>
      </c>
      <c r="H61">
        <v>0</v>
      </c>
      <c r="I61">
        <v>98745000</v>
      </c>
      <c r="J61">
        <v>5</v>
      </c>
      <c r="K61">
        <v>0</v>
      </c>
    </row>
    <row r="62" spans="2:11" hidden="1" x14ac:dyDescent="0.3">
      <c r="B62" t="s">
        <v>7442</v>
      </c>
      <c r="E62">
        <v>0</v>
      </c>
      <c r="F62">
        <v>0</v>
      </c>
      <c r="G62">
        <v>0</v>
      </c>
      <c r="H62">
        <v>0</v>
      </c>
      <c r="I62">
        <v>94736636</v>
      </c>
      <c r="J62">
        <v>3</v>
      </c>
      <c r="K62">
        <v>0</v>
      </c>
    </row>
    <row r="63" spans="2:11" hidden="1" x14ac:dyDescent="0.3">
      <c r="B63" t="s">
        <v>7443</v>
      </c>
      <c r="E63">
        <v>0</v>
      </c>
      <c r="F63">
        <v>0</v>
      </c>
      <c r="G63">
        <v>0</v>
      </c>
      <c r="H63">
        <v>0</v>
      </c>
      <c r="I63">
        <v>92272727</v>
      </c>
      <c r="J63">
        <v>1</v>
      </c>
      <c r="K63">
        <v>0</v>
      </c>
    </row>
    <row r="64" spans="2:11" hidden="1" x14ac:dyDescent="0.3">
      <c r="B64" t="s">
        <v>7382</v>
      </c>
      <c r="E64">
        <v>0</v>
      </c>
      <c r="F64">
        <v>0</v>
      </c>
      <c r="G64">
        <v>0</v>
      </c>
      <c r="H64">
        <v>0</v>
      </c>
      <c r="I64">
        <v>89906684</v>
      </c>
      <c r="J64">
        <v>1</v>
      </c>
      <c r="K64">
        <v>0</v>
      </c>
    </row>
    <row r="65" spans="2:11" hidden="1" x14ac:dyDescent="0.3">
      <c r="B65" t="s">
        <v>7444</v>
      </c>
      <c r="E65">
        <v>0</v>
      </c>
      <c r="F65">
        <v>0</v>
      </c>
      <c r="G65">
        <v>0</v>
      </c>
      <c r="H65">
        <v>0</v>
      </c>
      <c r="I65">
        <v>88507727</v>
      </c>
      <c r="J65">
        <v>1</v>
      </c>
      <c r="K65">
        <v>0</v>
      </c>
    </row>
    <row r="66" spans="2:11" hidden="1" x14ac:dyDescent="0.3">
      <c r="B66" t="s">
        <v>3311</v>
      </c>
      <c r="E66">
        <v>0</v>
      </c>
      <c r="F66">
        <v>0</v>
      </c>
      <c r="G66">
        <v>0</v>
      </c>
      <c r="H66">
        <v>166600000</v>
      </c>
      <c r="I66">
        <v>86363636</v>
      </c>
      <c r="J66">
        <v>2</v>
      </c>
      <c r="K66">
        <v>0</v>
      </c>
    </row>
    <row r="67" spans="2:11" hidden="1" x14ac:dyDescent="0.3">
      <c r="B67" t="s">
        <v>7445</v>
      </c>
      <c r="E67">
        <v>0</v>
      </c>
      <c r="F67">
        <v>0</v>
      </c>
      <c r="G67">
        <v>0</v>
      </c>
      <c r="H67">
        <v>0</v>
      </c>
      <c r="I67">
        <v>85837700</v>
      </c>
      <c r="J67">
        <v>1</v>
      </c>
      <c r="K67">
        <v>0</v>
      </c>
    </row>
    <row r="68" spans="2:11" hidden="1" x14ac:dyDescent="0.3">
      <c r="B68" t="s">
        <v>7446</v>
      </c>
      <c r="E68">
        <v>78694552</v>
      </c>
      <c r="F68">
        <v>141435064</v>
      </c>
      <c r="G68">
        <v>216809589</v>
      </c>
      <c r="H68">
        <v>326471977</v>
      </c>
      <c r="I68">
        <v>74332299</v>
      </c>
      <c r="J68">
        <v>2</v>
      </c>
      <c r="K68">
        <v>0</v>
      </c>
    </row>
    <row r="69" spans="2:11" hidden="1" x14ac:dyDescent="0.3">
      <c r="B69" t="s">
        <v>7447</v>
      </c>
      <c r="E69">
        <v>183210911</v>
      </c>
      <c r="F69">
        <v>0</v>
      </c>
      <c r="G69">
        <v>0</v>
      </c>
      <c r="H69">
        <v>0</v>
      </c>
      <c r="I69">
        <v>73736365</v>
      </c>
      <c r="J69">
        <v>2</v>
      </c>
      <c r="K69">
        <v>298000000</v>
      </c>
    </row>
    <row r="70" spans="2:11" hidden="1" x14ac:dyDescent="0.3">
      <c r="B70" t="s">
        <v>7448</v>
      </c>
      <c r="E70">
        <v>25150000</v>
      </c>
      <c r="F70">
        <v>0</v>
      </c>
      <c r="G70">
        <v>0</v>
      </c>
      <c r="H70">
        <v>0</v>
      </c>
      <c r="I70">
        <v>73500000</v>
      </c>
      <c r="J70">
        <v>3</v>
      </c>
      <c r="K70">
        <v>0</v>
      </c>
    </row>
    <row r="71" spans="2:11" hidden="1" x14ac:dyDescent="0.3">
      <c r="B71" t="s">
        <v>7449</v>
      </c>
      <c r="E71">
        <v>0</v>
      </c>
      <c r="F71">
        <v>0</v>
      </c>
      <c r="G71">
        <v>0</v>
      </c>
      <c r="H71">
        <v>81943200</v>
      </c>
      <c r="I71">
        <v>68487300</v>
      </c>
      <c r="J71">
        <v>1</v>
      </c>
      <c r="K71">
        <v>0</v>
      </c>
    </row>
    <row r="72" spans="2:11" hidden="1" x14ac:dyDescent="0.3">
      <c r="B72" t="s">
        <v>7451</v>
      </c>
      <c r="E72">
        <v>0</v>
      </c>
      <c r="F72">
        <v>0</v>
      </c>
      <c r="G72">
        <v>0</v>
      </c>
      <c r="H72">
        <v>0</v>
      </c>
      <c r="I72">
        <v>50640535</v>
      </c>
      <c r="J72">
        <v>1</v>
      </c>
      <c r="K72">
        <v>0</v>
      </c>
    </row>
    <row r="73" spans="2:11" hidden="1" x14ac:dyDescent="0.3">
      <c r="B73" t="s">
        <v>7452</v>
      </c>
      <c r="E73">
        <v>0</v>
      </c>
      <c r="F73">
        <v>0</v>
      </c>
      <c r="G73">
        <v>0</v>
      </c>
      <c r="H73">
        <v>0</v>
      </c>
      <c r="I73">
        <v>49527273</v>
      </c>
      <c r="J73">
        <v>1</v>
      </c>
      <c r="K73">
        <v>0</v>
      </c>
    </row>
    <row r="74" spans="2:11" hidden="1" x14ac:dyDescent="0.3">
      <c r="B74" t="s">
        <v>3564</v>
      </c>
      <c r="E74">
        <v>45000000</v>
      </c>
      <c r="F74">
        <v>0</v>
      </c>
      <c r="G74">
        <v>0</v>
      </c>
      <c r="H74">
        <v>0</v>
      </c>
      <c r="I74">
        <v>42000000</v>
      </c>
      <c r="J74">
        <v>2</v>
      </c>
      <c r="K74">
        <v>0</v>
      </c>
    </row>
    <row r="75" spans="2:11" hidden="1" x14ac:dyDescent="0.3">
      <c r="B75" t="s">
        <v>7453</v>
      </c>
      <c r="E75">
        <v>0</v>
      </c>
      <c r="F75">
        <v>0</v>
      </c>
      <c r="G75">
        <v>0</v>
      </c>
      <c r="H75">
        <v>37772727</v>
      </c>
      <c r="I75">
        <v>39545455</v>
      </c>
      <c r="J75">
        <v>1</v>
      </c>
      <c r="K75">
        <v>0</v>
      </c>
    </row>
    <row r="76" spans="2:11" hidden="1" x14ac:dyDescent="0.3">
      <c r="B76" t="s">
        <v>7455</v>
      </c>
      <c r="E76">
        <v>0</v>
      </c>
      <c r="F76">
        <v>0</v>
      </c>
      <c r="G76">
        <v>0</v>
      </c>
      <c r="H76">
        <v>0</v>
      </c>
      <c r="I76">
        <v>38008432</v>
      </c>
      <c r="J76">
        <v>1</v>
      </c>
      <c r="K76">
        <v>0</v>
      </c>
    </row>
    <row r="77" spans="2:11" hidden="1" x14ac:dyDescent="0.3">
      <c r="B77" t="s">
        <v>7456</v>
      </c>
      <c r="E77">
        <v>0</v>
      </c>
      <c r="F77">
        <v>0</v>
      </c>
      <c r="G77">
        <v>0</v>
      </c>
      <c r="H77">
        <v>0</v>
      </c>
      <c r="I77">
        <v>37150000</v>
      </c>
      <c r="J77">
        <v>1</v>
      </c>
      <c r="K77">
        <v>0</v>
      </c>
    </row>
    <row r="78" spans="2:11" hidden="1" x14ac:dyDescent="0.3">
      <c r="B78" t="s">
        <v>7457</v>
      </c>
      <c r="E78">
        <v>0</v>
      </c>
      <c r="F78">
        <v>0</v>
      </c>
      <c r="G78">
        <v>0</v>
      </c>
      <c r="H78">
        <v>0</v>
      </c>
      <c r="I78">
        <v>36900000</v>
      </c>
      <c r="J78">
        <v>1</v>
      </c>
      <c r="K78">
        <v>553500000</v>
      </c>
    </row>
    <row r="79" spans="2:11" hidden="1" x14ac:dyDescent="0.3">
      <c r="B79" t="s">
        <v>7458</v>
      </c>
      <c r="E79">
        <v>0</v>
      </c>
      <c r="F79">
        <v>0</v>
      </c>
      <c r="G79">
        <v>0</v>
      </c>
      <c r="H79">
        <v>0</v>
      </c>
      <c r="I79">
        <v>34142000</v>
      </c>
      <c r="J79">
        <v>1</v>
      </c>
      <c r="K79">
        <v>0</v>
      </c>
    </row>
    <row r="80" spans="2:11" hidden="1" x14ac:dyDescent="0.3">
      <c r="B80" t="s">
        <v>7459</v>
      </c>
      <c r="E80">
        <v>0</v>
      </c>
      <c r="F80">
        <v>0</v>
      </c>
      <c r="G80">
        <v>0</v>
      </c>
      <c r="H80">
        <v>0</v>
      </c>
      <c r="I80">
        <v>33420000</v>
      </c>
      <c r="J80">
        <v>1</v>
      </c>
      <c r="K80">
        <v>0</v>
      </c>
    </row>
    <row r="81" spans="2:11" hidden="1" x14ac:dyDescent="0.3">
      <c r="B81" t="s">
        <v>7460</v>
      </c>
      <c r="E81">
        <v>0</v>
      </c>
      <c r="F81">
        <v>0</v>
      </c>
      <c r="G81">
        <v>0</v>
      </c>
      <c r="H81">
        <v>0</v>
      </c>
      <c r="I81">
        <v>33015000</v>
      </c>
      <c r="J81">
        <v>1</v>
      </c>
      <c r="K81">
        <v>0</v>
      </c>
    </row>
    <row r="82" spans="2:11" hidden="1" x14ac:dyDescent="0.3">
      <c r="B82" t="s">
        <v>7461</v>
      </c>
      <c r="E82">
        <v>0</v>
      </c>
      <c r="F82">
        <v>19813236</v>
      </c>
      <c r="G82">
        <v>57160050</v>
      </c>
      <c r="H82">
        <v>53399007</v>
      </c>
      <c r="I82">
        <v>27562428</v>
      </c>
      <c r="J82">
        <v>1</v>
      </c>
      <c r="K82">
        <v>0</v>
      </c>
    </row>
    <row r="83" spans="2:11" hidden="1" x14ac:dyDescent="0.3">
      <c r="B83" t="s">
        <v>7462</v>
      </c>
      <c r="E83">
        <v>0</v>
      </c>
      <c r="F83">
        <v>0</v>
      </c>
      <c r="G83">
        <v>0</v>
      </c>
      <c r="H83">
        <v>0</v>
      </c>
      <c r="I83">
        <v>20760909</v>
      </c>
      <c r="J83">
        <v>1</v>
      </c>
      <c r="K83">
        <v>0</v>
      </c>
    </row>
    <row r="84" spans="2:11" hidden="1" x14ac:dyDescent="0.3">
      <c r="B84" t="s">
        <v>7463</v>
      </c>
      <c r="E84">
        <v>0</v>
      </c>
      <c r="F84">
        <v>0</v>
      </c>
      <c r="G84">
        <v>0</v>
      </c>
      <c r="H84">
        <v>0</v>
      </c>
      <c r="I84">
        <v>17727273</v>
      </c>
      <c r="J84">
        <v>1</v>
      </c>
      <c r="K84">
        <v>0</v>
      </c>
    </row>
    <row r="85" spans="2:11" hidden="1" x14ac:dyDescent="0.3">
      <c r="B85" t="s">
        <v>7464</v>
      </c>
      <c r="E85">
        <v>0</v>
      </c>
      <c r="F85">
        <v>0</v>
      </c>
      <c r="G85">
        <v>0</v>
      </c>
      <c r="H85">
        <v>0</v>
      </c>
      <c r="I85">
        <v>17558880</v>
      </c>
      <c r="J85">
        <v>1</v>
      </c>
      <c r="K85">
        <v>0</v>
      </c>
    </row>
    <row r="86" spans="2:11" hidden="1" x14ac:dyDescent="0.3">
      <c r="B86" t="s">
        <v>7465</v>
      </c>
      <c r="E86">
        <v>0</v>
      </c>
      <c r="F86">
        <v>0</v>
      </c>
      <c r="G86">
        <v>0</v>
      </c>
      <c r="H86">
        <v>0</v>
      </c>
      <c r="I86">
        <v>16800000</v>
      </c>
      <c r="J86">
        <v>2</v>
      </c>
      <c r="K86">
        <v>0</v>
      </c>
    </row>
    <row r="87" spans="2:11" hidden="1" x14ac:dyDescent="0.3">
      <c r="B87" t="s">
        <v>7466</v>
      </c>
      <c r="E87">
        <v>0</v>
      </c>
      <c r="F87">
        <v>0</v>
      </c>
      <c r="G87">
        <v>0</v>
      </c>
      <c r="H87">
        <v>367804364</v>
      </c>
      <c r="I87">
        <v>16097844</v>
      </c>
      <c r="J87">
        <v>1</v>
      </c>
      <c r="K87">
        <v>0</v>
      </c>
    </row>
    <row r="88" spans="2:11" hidden="1" x14ac:dyDescent="0.3">
      <c r="B88" t="s">
        <v>7468</v>
      </c>
      <c r="E88">
        <v>0</v>
      </c>
      <c r="F88">
        <v>0</v>
      </c>
      <c r="G88">
        <v>0</v>
      </c>
      <c r="H88">
        <v>0</v>
      </c>
      <c r="I88">
        <v>15475500</v>
      </c>
      <c r="J88">
        <v>1</v>
      </c>
      <c r="K88">
        <v>0</v>
      </c>
    </row>
    <row r="89" spans="2:11" hidden="1" x14ac:dyDescent="0.3">
      <c r="B89" t="s">
        <v>7470</v>
      </c>
      <c r="E89">
        <v>0</v>
      </c>
      <c r="F89">
        <v>0</v>
      </c>
      <c r="G89">
        <v>0</v>
      </c>
      <c r="H89">
        <v>0</v>
      </c>
      <c r="I89">
        <v>14909091</v>
      </c>
      <c r="J89">
        <v>1</v>
      </c>
      <c r="K89">
        <v>0</v>
      </c>
    </row>
    <row r="90" spans="2:11" hidden="1" x14ac:dyDescent="0.3">
      <c r="B90" t="s">
        <v>7471</v>
      </c>
      <c r="E90">
        <v>0</v>
      </c>
      <c r="F90">
        <v>0</v>
      </c>
      <c r="G90">
        <v>0</v>
      </c>
      <c r="H90">
        <v>0</v>
      </c>
      <c r="I90">
        <v>13954545</v>
      </c>
      <c r="J90">
        <v>1</v>
      </c>
      <c r="K90">
        <v>0</v>
      </c>
    </row>
    <row r="91" spans="2:11" hidden="1" x14ac:dyDescent="0.3">
      <c r="B91" t="s">
        <v>7472</v>
      </c>
      <c r="E91">
        <v>0</v>
      </c>
      <c r="F91">
        <v>0</v>
      </c>
      <c r="G91">
        <v>0</v>
      </c>
      <c r="H91">
        <v>0</v>
      </c>
      <c r="I91">
        <v>12265000</v>
      </c>
      <c r="J91">
        <v>1</v>
      </c>
      <c r="K91">
        <v>0</v>
      </c>
    </row>
    <row r="92" spans="2:11" hidden="1" x14ac:dyDescent="0.3">
      <c r="B92" t="s">
        <v>7473</v>
      </c>
      <c r="E92">
        <v>0</v>
      </c>
      <c r="F92">
        <v>0</v>
      </c>
      <c r="G92">
        <v>0</v>
      </c>
      <c r="H92">
        <v>0</v>
      </c>
      <c r="I92">
        <v>9090909</v>
      </c>
      <c r="J92">
        <v>1</v>
      </c>
      <c r="K92">
        <v>11000000000</v>
      </c>
    </row>
    <row r="93" spans="2:11" hidden="1" x14ac:dyDescent="0.3">
      <c r="B93" t="s">
        <v>7474</v>
      </c>
      <c r="E93">
        <v>0</v>
      </c>
      <c r="F93">
        <v>0</v>
      </c>
      <c r="G93">
        <v>0</v>
      </c>
      <c r="H93">
        <v>0</v>
      </c>
      <c r="I93">
        <v>8636363</v>
      </c>
      <c r="J93">
        <v>1</v>
      </c>
      <c r="K93">
        <v>0</v>
      </c>
    </row>
    <row r="94" spans="2:11" hidden="1" x14ac:dyDescent="0.3">
      <c r="B94" t="s">
        <v>7475</v>
      </c>
      <c r="E94">
        <v>283533640</v>
      </c>
      <c r="F94">
        <v>138096363</v>
      </c>
      <c r="G94">
        <v>0</v>
      </c>
      <c r="H94">
        <v>0</v>
      </c>
      <c r="I94">
        <v>6575800</v>
      </c>
      <c r="J94">
        <v>1</v>
      </c>
      <c r="K94">
        <v>0</v>
      </c>
    </row>
    <row r="95" spans="2:11" hidden="1" x14ac:dyDescent="0.3">
      <c r="B95" t="s">
        <v>7476</v>
      </c>
      <c r="E95">
        <v>0</v>
      </c>
      <c r="F95">
        <v>0</v>
      </c>
      <c r="G95">
        <v>0</v>
      </c>
      <c r="H95">
        <v>0</v>
      </c>
      <c r="I95">
        <v>6242940</v>
      </c>
      <c r="J95">
        <v>1</v>
      </c>
      <c r="K95">
        <v>0</v>
      </c>
    </row>
    <row r="96" spans="2:11" hidden="1" x14ac:dyDescent="0.3">
      <c r="B96" t="s">
        <v>7477</v>
      </c>
      <c r="E96">
        <v>0</v>
      </c>
      <c r="F96">
        <v>0</v>
      </c>
      <c r="G96">
        <v>0</v>
      </c>
      <c r="H96">
        <v>0</v>
      </c>
      <c r="I96">
        <v>2681818</v>
      </c>
      <c r="J96">
        <v>2</v>
      </c>
      <c r="K96">
        <v>0</v>
      </c>
    </row>
    <row r="97" spans="2:11" hidden="1" x14ac:dyDescent="0.3">
      <c r="B97" t="s">
        <v>7478</v>
      </c>
      <c r="E97">
        <v>0</v>
      </c>
      <c r="F97">
        <v>0</v>
      </c>
      <c r="G97">
        <v>0</v>
      </c>
      <c r="H97">
        <v>0</v>
      </c>
      <c r="I97">
        <v>2396700</v>
      </c>
      <c r="J97">
        <v>1</v>
      </c>
      <c r="K97">
        <v>0</v>
      </c>
    </row>
    <row r="98" spans="2:11" hidden="1" x14ac:dyDescent="0.3">
      <c r="B98" t="s">
        <v>7480</v>
      </c>
      <c r="E98">
        <v>0</v>
      </c>
      <c r="F98">
        <v>0</v>
      </c>
      <c r="G98">
        <v>0</v>
      </c>
      <c r="H98">
        <v>0</v>
      </c>
      <c r="I98">
        <v>2281800</v>
      </c>
      <c r="J98">
        <v>1</v>
      </c>
      <c r="K98">
        <v>0</v>
      </c>
    </row>
    <row r="99" spans="2:11" hidden="1" x14ac:dyDescent="0.3">
      <c r="B99" t="s">
        <v>7482</v>
      </c>
      <c r="E99">
        <v>0</v>
      </c>
      <c r="F99">
        <v>0</v>
      </c>
      <c r="G99">
        <v>0</v>
      </c>
      <c r="H99">
        <v>0</v>
      </c>
      <c r="I99">
        <v>1774812</v>
      </c>
      <c r="J99">
        <v>1</v>
      </c>
      <c r="K99">
        <v>0</v>
      </c>
    </row>
    <row r="100" spans="2:11" hidden="1" x14ac:dyDescent="0.3">
      <c r="B100" t="s">
        <v>7483</v>
      </c>
      <c r="E100">
        <v>0</v>
      </c>
      <c r="F100">
        <v>0</v>
      </c>
      <c r="G100">
        <v>0</v>
      </c>
      <c r="H100">
        <v>0</v>
      </c>
      <c r="I100">
        <v>1681818</v>
      </c>
      <c r="J100">
        <v>1</v>
      </c>
      <c r="K100">
        <v>0</v>
      </c>
    </row>
    <row r="101" spans="2:11" hidden="1" x14ac:dyDescent="0.3">
      <c r="B101" t="s">
        <v>7485</v>
      </c>
      <c r="E101">
        <v>0</v>
      </c>
      <c r="F101">
        <v>0</v>
      </c>
      <c r="G101">
        <v>0</v>
      </c>
      <c r="H101">
        <v>0</v>
      </c>
      <c r="I101">
        <v>1277935</v>
      </c>
      <c r="J101">
        <v>1</v>
      </c>
      <c r="K101">
        <v>0</v>
      </c>
    </row>
    <row r="102" spans="2:11" hidden="1" x14ac:dyDescent="0.3">
      <c r="B102" t="s">
        <v>7486</v>
      </c>
      <c r="E102">
        <v>0</v>
      </c>
      <c r="F102">
        <v>0</v>
      </c>
      <c r="G102">
        <v>0</v>
      </c>
      <c r="H102">
        <v>0</v>
      </c>
      <c r="I102">
        <v>1270000</v>
      </c>
      <c r="J102">
        <v>1</v>
      </c>
      <c r="K102">
        <v>0</v>
      </c>
    </row>
    <row r="103" spans="2:11" hidden="1" x14ac:dyDescent="0.3">
      <c r="B103" t="s">
        <v>7488</v>
      </c>
      <c r="E103">
        <v>0</v>
      </c>
      <c r="F103">
        <v>0</v>
      </c>
      <c r="G103">
        <v>0</v>
      </c>
      <c r="H103">
        <v>0</v>
      </c>
      <c r="I103">
        <v>824976</v>
      </c>
      <c r="J103">
        <v>1</v>
      </c>
      <c r="K103">
        <v>0</v>
      </c>
    </row>
    <row r="104" spans="2:11" hidden="1" x14ac:dyDescent="0.3">
      <c r="B104" t="s">
        <v>7489</v>
      </c>
      <c r="E104">
        <v>0</v>
      </c>
      <c r="F104">
        <v>0</v>
      </c>
      <c r="G104">
        <v>909091</v>
      </c>
      <c r="H104">
        <v>0</v>
      </c>
      <c r="I104">
        <v>670000</v>
      </c>
      <c r="J104">
        <v>1</v>
      </c>
      <c r="K104">
        <v>0</v>
      </c>
    </row>
    <row r="105" spans="2:11" hidden="1" x14ac:dyDescent="0.3">
      <c r="B105" t="s">
        <v>7491</v>
      </c>
      <c r="E105">
        <v>0</v>
      </c>
      <c r="F105">
        <v>0</v>
      </c>
      <c r="G105">
        <v>0</v>
      </c>
      <c r="H105">
        <v>0</v>
      </c>
      <c r="I105">
        <v>610400</v>
      </c>
      <c r="J105">
        <v>1</v>
      </c>
      <c r="K105">
        <v>0</v>
      </c>
    </row>
    <row r="106" spans="2:11" hidden="1" x14ac:dyDescent="0.3">
      <c r="B106" t="s">
        <v>7492</v>
      </c>
      <c r="E106">
        <v>0</v>
      </c>
      <c r="F106">
        <v>0</v>
      </c>
      <c r="G106">
        <v>0</v>
      </c>
      <c r="H106">
        <v>0</v>
      </c>
      <c r="I106">
        <v>500000</v>
      </c>
      <c r="J106">
        <v>1</v>
      </c>
      <c r="K106">
        <v>0</v>
      </c>
    </row>
    <row r="107" spans="2:11" hidden="1" x14ac:dyDescent="0.3">
      <c r="B107" t="s">
        <v>7494</v>
      </c>
      <c r="E107">
        <v>0</v>
      </c>
      <c r="F107">
        <v>0</v>
      </c>
      <c r="G107">
        <v>0</v>
      </c>
      <c r="H107">
        <v>0</v>
      </c>
      <c r="I107">
        <v>358948</v>
      </c>
      <c r="J107">
        <v>1</v>
      </c>
      <c r="K107">
        <v>0</v>
      </c>
    </row>
    <row r="108" spans="2:11" hidden="1" x14ac:dyDescent="0.3">
      <c r="B108" t="s">
        <v>3279</v>
      </c>
      <c r="E108">
        <v>0</v>
      </c>
      <c r="F108">
        <v>0</v>
      </c>
      <c r="G108">
        <v>0</v>
      </c>
      <c r="H108">
        <v>0</v>
      </c>
      <c r="K108">
        <v>1250000000</v>
      </c>
    </row>
    <row r="109" spans="2:11" hidden="1" x14ac:dyDescent="0.3">
      <c r="B109" t="s">
        <v>7495</v>
      </c>
      <c r="E109">
        <v>0</v>
      </c>
      <c r="F109">
        <v>0</v>
      </c>
      <c r="G109">
        <v>0</v>
      </c>
      <c r="H109">
        <v>0</v>
      </c>
      <c r="K109">
        <v>270000000</v>
      </c>
    </row>
    <row r="110" spans="2:11" hidden="1" x14ac:dyDescent="0.3">
      <c r="B110" t="s">
        <v>3577</v>
      </c>
      <c r="E110">
        <v>0</v>
      </c>
      <c r="F110">
        <v>0</v>
      </c>
      <c r="G110">
        <v>0</v>
      </c>
      <c r="H110">
        <v>0</v>
      </c>
      <c r="K110">
        <v>21850000000</v>
      </c>
    </row>
    <row r="111" spans="2:11" hidden="1" x14ac:dyDescent="0.3">
      <c r="B111" t="s">
        <v>7496</v>
      </c>
      <c r="E111">
        <v>0</v>
      </c>
      <c r="F111">
        <v>0</v>
      </c>
      <c r="G111">
        <v>0</v>
      </c>
      <c r="H111">
        <v>0</v>
      </c>
      <c r="K111">
        <v>2050000000</v>
      </c>
    </row>
    <row r="112" spans="2:11" hidden="1" x14ac:dyDescent="0.3">
      <c r="B112" t="s">
        <v>3062</v>
      </c>
      <c r="E112">
        <v>372581355</v>
      </c>
      <c r="F112">
        <v>326439200</v>
      </c>
      <c r="G112">
        <v>0</v>
      </c>
      <c r="H112">
        <v>0</v>
      </c>
      <c r="K112">
        <v>567500000</v>
      </c>
    </row>
    <row r="113" spans="2:15" hidden="1" x14ac:dyDescent="0.3">
      <c r="B113" t="s">
        <v>7497</v>
      </c>
      <c r="E113">
        <v>1218887274</v>
      </c>
      <c r="F113">
        <v>370709092</v>
      </c>
      <c r="G113">
        <v>0</v>
      </c>
      <c r="H113">
        <v>0</v>
      </c>
    </row>
    <row r="114" spans="2:15" hidden="1" x14ac:dyDescent="0.3">
      <c r="B114" t="s">
        <v>7498</v>
      </c>
      <c r="E114">
        <v>901290909</v>
      </c>
      <c r="F114">
        <v>0</v>
      </c>
      <c r="G114">
        <v>0</v>
      </c>
      <c r="H114">
        <v>0</v>
      </c>
    </row>
    <row r="117" spans="2:15" x14ac:dyDescent="0.3">
      <c r="B117" s="1042"/>
      <c r="C117" s="1042" t="s">
        <v>3374</v>
      </c>
      <c r="D117" s="1042" t="s">
        <v>3375</v>
      </c>
      <c r="E117" s="1042">
        <v>2013</v>
      </c>
      <c r="F117" s="1042">
        <v>2014</v>
      </c>
      <c r="G117" s="1042">
        <v>2015</v>
      </c>
      <c r="H117" s="1042">
        <v>2016</v>
      </c>
      <c r="I117" s="1042" t="s">
        <v>7387</v>
      </c>
      <c r="J117" s="1042" t="s">
        <v>7385</v>
      </c>
      <c r="K117" s="1042" t="s">
        <v>7389</v>
      </c>
      <c r="L117" s="1042" t="s">
        <v>7499</v>
      </c>
      <c r="M117" s="1042" t="s">
        <v>7500</v>
      </c>
      <c r="N117" s="1042" t="s">
        <v>7501</v>
      </c>
      <c r="O117" s="1042" t="s">
        <v>7502</v>
      </c>
    </row>
    <row r="118" spans="2:15" x14ac:dyDescent="0.3">
      <c r="B118" s="1042" t="s">
        <v>2037</v>
      </c>
      <c r="C118" s="1042"/>
      <c r="D118" s="1042"/>
      <c r="E118" s="1042">
        <v>4865982374</v>
      </c>
      <c r="F118" s="1042">
        <v>2442219386</v>
      </c>
      <c r="G118" s="1042">
        <v>11111963779</v>
      </c>
      <c r="H118" s="1042">
        <f>13325331919+Sheet5!E1479</f>
        <v>15393376026</v>
      </c>
      <c r="I118" s="1042">
        <v>11576175354</v>
      </c>
      <c r="J118" s="1042">
        <v>339</v>
      </c>
      <c r="K118" s="1042">
        <v>11497500000</v>
      </c>
      <c r="L118" s="1042">
        <f>SUMIFS('사업계획(매출 확정본)'!$T$12:$T$160,'사업계획(매출 확정본)'!$M$12:$M$160,'매출액 분석'!$B118,'사업계획(매출 확정본)'!$Q$12:$Q$160,'사업계획(매출 확정본)'!$Q$12)</f>
        <v>350</v>
      </c>
      <c r="M118" s="1042">
        <f>SUMIFS('사업계획(매출 확정본)'!$T$12:$T$113,'사업계획(매출 확정본)'!$M$12:$M$113,'매출액 분석'!$B118,'사업계획(매출 확정본)'!$Q$12:$Q$113,'사업계획(매출 확정본)'!$Q$12)</f>
        <v>350</v>
      </c>
      <c r="N118" s="823">
        <f>L118-M118</f>
        <v>0</v>
      </c>
    </row>
    <row r="119" spans="2:15" x14ac:dyDescent="0.3">
      <c r="B119" s="1042" t="s">
        <v>2039</v>
      </c>
      <c r="C119" s="1042"/>
      <c r="D119" s="1042"/>
      <c r="E119" s="1042">
        <v>3454225719</v>
      </c>
      <c r="F119" s="1042">
        <v>2549270013</v>
      </c>
      <c r="G119" s="1042">
        <v>3668480002</v>
      </c>
      <c r="H119" s="1042">
        <v>6397136815</v>
      </c>
      <c r="I119" s="1042">
        <v>8964311593</v>
      </c>
      <c r="J119" s="1042">
        <v>225</v>
      </c>
      <c r="K119" s="1042">
        <v>11205000000</v>
      </c>
      <c r="L119" s="1042">
        <f>SUMIFS('사업계획(매출 확정본)'!$T$12:$T$160,'사업계획(매출 확정본)'!$M$12:$M$160,'매출액 분석'!$B119,'사업계획(매출 확정본)'!$Q$12:$Q$160,'사업계획(매출 확정본)'!$Q$12)</f>
        <v>295</v>
      </c>
      <c r="M119" s="1042">
        <f>SUMIFS('사업계획(매출 확정본)'!$T$12:$T$113,'사업계획(매출 확정본)'!$M$12:$M$113,'매출액 분석'!$B119,'사업계획(매출 확정본)'!$Q$12:$Q$113,'사업계획(매출 확정본)'!$Q$12)</f>
        <v>275</v>
      </c>
      <c r="N119" s="823">
        <f t="shared" ref="N119:N182" si="0">L119-M119</f>
        <v>20</v>
      </c>
    </row>
    <row r="120" spans="2:15" x14ac:dyDescent="0.3">
      <c r="B120" s="1042" t="s">
        <v>2062</v>
      </c>
      <c r="C120" s="1042"/>
      <c r="D120" s="1042"/>
      <c r="E120" s="1042">
        <v>530706254</v>
      </c>
      <c r="F120" s="1042">
        <v>95661373</v>
      </c>
      <c r="G120" s="1042">
        <v>4656155539</v>
      </c>
      <c r="H120" s="1042">
        <v>4800950000</v>
      </c>
      <c r="I120" s="1042">
        <v>10398094769</v>
      </c>
      <c r="J120" s="1042">
        <v>68</v>
      </c>
      <c r="K120" s="1042">
        <v>13125000000</v>
      </c>
      <c r="L120" s="1042">
        <f>SUMIFS('사업계획(매출 확정본)'!$T$12:$T$160,'사업계획(매출 확정본)'!$M$12:$M$160,'매출액 분석'!$B120,'사업계획(매출 확정본)'!$Q$12:$Q$160,'사업계획(매출 확정본)'!$Q$12)</f>
        <v>85</v>
      </c>
      <c r="M120" s="1042">
        <f>SUMIFS('사업계획(매출 확정본)'!$T$12:$T$113,'사업계획(매출 확정본)'!$M$12:$M$113,'매출액 분석'!$B120,'사업계획(매출 확정본)'!$Q$12:$Q$113,'사업계획(매출 확정본)'!$Q$12)</f>
        <v>75</v>
      </c>
      <c r="N120" s="823">
        <f t="shared" si="0"/>
        <v>10</v>
      </c>
    </row>
    <row r="121" spans="2:15" x14ac:dyDescent="0.3">
      <c r="B121" s="1042" t="s">
        <v>2041</v>
      </c>
      <c r="C121" s="1042"/>
      <c r="D121" s="1042"/>
      <c r="E121" s="1042">
        <v>3594517818</v>
      </c>
      <c r="F121" s="1042">
        <v>2249256476</v>
      </c>
      <c r="G121" s="1042">
        <v>3101594484</v>
      </c>
      <c r="H121" s="1042">
        <v>5588614966</v>
      </c>
      <c r="I121" s="1042">
        <v>7768714821</v>
      </c>
      <c r="J121" s="1042">
        <v>155</v>
      </c>
      <c r="K121" s="1042">
        <v>9218500000</v>
      </c>
      <c r="L121" s="1042">
        <f>SUMIFS('사업계획(매출 확정본)'!$T$12:$T$160,'사업계획(매출 확정본)'!$M$12:$M$160,'매출액 분석'!$B121,'사업계획(매출 확정본)'!$Q$12:$Q$160,'사업계획(매출 확정본)'!$Q$12)</f>
        <v>205</v>
      </c>
      <c r="M121" s="1042">
        <f>SUMIFS('사업계획(매출 확정본)'!$T$12:$T$113,'사업계획(매출 확정본)'!$M$12:$M$113,'매출액 분석'!$B121,'사업계획(매출 확정본)'!$Q$12:$Q$113,'사업계획(매출 확정본)'!$Q$12)</f>
        <v>185</v>
      </c>
      <c r="N121" s="823">
        <f t="shared" si="0"/>
        <v>20</v>
      </c>
    </row>
    <row r="122" spans="2:15" x14ac:dyDescent="0.3">
      <c r="B122" s="1042" t="s">
        <v>2063</v>
      </c>
      <c r="C122" s="1042"/>
      <c r="D122" s="1042"/>
      <c r="E122" s="1042">
        <v>270000000</v>
      </c>
      <c r="F122" s="1042">
        <v>0</v>
      </c>
      <c r="G122" s="1042">
        <v>1645500000</v>
      </c>
      <c r="H122" s="1042">
        <v>2810677273</v>
      </c>
      <c r="I122" s="1042">
        <v>6934650000</v>
      </c>
      <c r="J122" s="1042">
        <v>46</v>
      </c>
      <c r="K122" s="1042">
        <v>7900000000</v>
      </c>
      <c r="L122" s="1042">
        <f>SUMIFS('사업계획(매출 확정본)'!$T$12:$T$160,'사업계획(매출 확정본)'!$M$12:$M$160,'매출액 분석'!$B122,'사업계획(매출 확정본)'!$Q$12:$Q$160,'사업계획(매출 확정본)'!$Q$12)</f>
        <v>60</v>
      </c>
      <c r="M122" s="1042">
        <f>SUMIFS('사업계획(매출 확정본)'!$T$12:$T$113,'사업계획(매출 확정본)'!$M$12:$M$113,'매출액 분석'!$B122,'사업계획(매출 확정본)'!$Q$12:$Q$113,'사업계획(매출 확정본)'!$Q$12)</f>
        <v>60</v>
      </c>
      <c r="N122" s="823">
        <f t="shared" si="0"/>
        <v>0</v>
      </c>
    </row>
    <row r="123" spans="2:15" x14ac:dyDescent="0.3">
      <c r="B123" s="1042" t="s">
        <v>2836</v>
      </c>
      <c r="C123" s="1042"/>
      <c r="D123" s="1042"/>
      <c r="E123" s="1042">
        <v>0</v>
      </c>
      <c r="F123" s="1042">
        <v>0</v>
      </c>
      <c r="G123" s="1042">
        <v>0</v>
      </c>
      <c r="H123" s="1042">
        <v>30909090</v>
      </c>
      <c r="I123" s="1042">
        <v>4832907820</v>
      </c>
      <c r="J123" s="1042">
        <v>157</v>
      </c>
      <c r="K123" s="1042">
        <v>5622500000</v>
      </c>
      <c r="L123" s="1042">
        <f>SUMIFS('사업계획(매출 확정본)'!$T$12:$T$160,'사업계획(매출 확정본)'!$M$12:$M$160,'매출액 분석'!$B123,'사업계획(매출 확정본)'!$Q$12:$Q$160,'사업계획(매출 확정본)'!$Q$12)</f>
        <v>200</v>
      </c>
      <c r="M123" s="1042">
        <f>SUMIFS('사업계획(매출 확정본)'!$T$12:$T$113,'사업계획(매출 확정본)'!$M$12:$M$113,'매출액 분석'!$B123,'사업계획(매출 확정본)'!$Q$12:$Q$113,'사업계획(매출 확정본)'!$Q$12)</f>
        <v>200</v>
      </c>
      <c r="N123" s="823">
        <f t="shared" si="0"/>
        <v>0</v>
      </c>
    </row>
    <row r="124" spans="2:15" x14ac:dyDescent="0.3">
      <c r="B124" s="1042" t="s">
        <v>7395</v>
      </c>
      <c r="C124" s="1042"/>
      <c r="D124" s="1042"/>
      <c r="E124" s="1042">
        <v>0</v>
      </c>
      <c r="F124" s="1042">
        <v>0</v>
      </c>
      <c r="G124" s="1042">
        <v>0</v>
      </c>
      <c r="H124" s="1042">
        <v>0</v>
      </c>
      <c r="I124" s="1042">
        <v>3495954000</v>
      </c>
      <c r="J124" s="1042">
        <v>2</v>
      </c>
      <c r="K124" s="1042">
        <v>0</v>
      </c>
      <c r="L124" s="1042">
        <f>SUMIFS('사업계획(매출 확정본)'!$T$12:$T$160,'사업계획(매출 확정본)'!$M$12:$M$160,'매출액 분석'!$B124,'사업계획(매출 확정본)'!$Q$12:$Q$160,'사업계획(매출 확정본)'!$Q$12)</f>
        <v>0</v>
      </c>
      <c r="M124" s="1042">
        <f>SUMIFS('사업계획(매출 확정본)'!$T$12:$T$113,'사업계획(매출 확정본)'!$M$12:$M$113,'매출액 분석'!$B124,'사업계획(매출 확정본)'!$Q$12:$Q$113,'사업계획(매출 확정본)'!$Q$12)</f>
        <v>0</v>
      </c>
      <c r="N124" s="823">
        <f t="shared" si="0"/>
        <v>0</v>
      </c>
    </row>
    <row r="125" spans="2:15" x14ac:dyDescent="0.3">
      <c r="B125" s="1042" t="s">
        <v>2060</v>
      </c>
      <c r="C125" s="1042"/>
      <c r="D125" s="1042"/>
      <c r="E125" s="1042">
        <v>0</v>
      </c>
      <c r="F125" s="1042">
        <v>0</v>
      </c>
      <c r="G125" s="1042">
        <v>2246072727</v>
      </c>
      <c r="H125" s="1042">
        <v>3137409091</v>
      </c>
      <c r="I125" s="1042">
        <v>3692837948</v>
      </c>
      <c r="J125" s="1042">
        <v>23</v>
      </c>
      <c r="K125" s="1042">
        <v>6270000000</v>
      </c>
      <c r="L125" s="1042">
        <f>SUMIFS('사업계획(매출 확정본)'!$T$12:$T$160,'사업계획(매출 확정본)'!$M$12:$M$160,'매출액 분석'!$B125,'사업계획(매출 확정본)'!$Q$12:$Q$160,'사업계획(매출 확정본)'!$Q$12)</f>
        <v>45</v>
      </c>
      <c r="M125" s="1042">
        <f>SUMIFS('사업계획(매출 확정본)'!$T$12:$T$113,'사업계획(매출 확정본)'!$M$12:$M$113,'매출액 분석'!$B125,'사업계획(매출 확정본)'!$Q$12:$Q$113,'사업계획(매출 확정본)'!$Q$12)</f>
        <v>45</v>
      </c>
      <c r="N125" s="823">
        <f t="shared" si="0"/>
        <v>0</v>
      </c>
    </row>
    <row r="126" spans="2:15" x14ac:dyDescent="0.3">
      <c r="B126" s="1042" t="s">
        <v>2051</v>
      </c>
      <c r="C126" s="1042"/>
      <c r="D126" s="1042"/>
      <c r="E126" s="1042">
        <v>0</v>
      </c>
      <c r="F126" s="1042">
        <v>0</v>
      </c>
      <c r="G126" s="1042">
        <v>0</v>
      </c>
      <c r="H126" s="1042">
        <v>0</v>
      </c>
      <c r="I126" s="1042">
        <v>2414000000</v>
      </c>
      <c r="J126" s="1042">
        <v>2</v>
      </c>
      <c r="K126" s="1042">
        <v>2990000000</v>
      </c>
      <c r="L126" s="1042">
        <f>SUMIFS('사업계획(매출 확정본)'!$T$12:$T$160,'사업계획(매출 확정본)'!$M$12:$M$160,'매출액 분석'!$B126,'사업계획(매출 확정본)'!$Q$12:$Q$160,'사업계획(매출 확정본)'!$Q$12)</f>
        <v>35</v>
      </c>
      <c r="M126" s="1042">
        <f>SUMIFS('사업계획(매출 확정본)'!$T$12:$T$113,'사업계획(매출 확정본)'!$M$12:$M$113,'매출액 분석'!$B126,'사업계획(매출 확정본)'!$Q$12:$Q$113,'사업계획(매출 확정본)'!$Q$12)</f>
        <v>35</v>
      </c>
      <c r="N126" s="823">
        <f t="shared" si="0"/>
        <v>0</v>
      </c>
    </row>
    <row r="127" spans="2:15" x14ac:dyDescent="0.3">
      <c r="B127" s="1042" t="s">
        <v>2032</v>
      </c>
      <c r="C127" s="1042"/>
      <c r="D127" s="1042"/>
      <c r="E127" s="1042">
        <v>1515999183</v>
      </c>
      <c r="F127" s="1042">
        <v>989538178</v>
      </c>
      <c r="G127" s="1042">
        <v>4534078444</v>
      </c>
      <c r="H127" s="1042">
        <v>4571621271</v>
      </c>
      <c r="I127" s="1042">
        <v>2625850088</v>
      </c>
      <c r="J127" s="1042">
        <v>93</v>
      </c>
      <c r="K127" s="1042">
        <v>2094500000</v>
      </c>
      <c r="L127" s="1042">
        <f>SUMIFS('사업계획(매출 확정본)'!$T$12:$T$160,'사업계획(매출 확정본)'!$M$12:$M$160,'매출액 분석'!$B127,'사업계획(매출 확정본)'!$Q$12:$Q$160,'사업계획(매출 확정본)'!$Q$12)</f>
        <v>65</v>
      </c>
      <c r="M127" s="1042">
        <f>SUMIFS('사업계획(매출 확정본)'!$T$12:$T$113,'사업계획(매출 확정본)'!$M$12:$M$113,'매출액 분석'!$B127,'사업계획(매출 확정본)'!$Q$12:$Q$113,'사업계획(매출 확정본)'!$Q$12)</f>
        <v>65</v>
      </c>
      <c r="N127" s="823">
        <f t="shared" si="0"/>
        <v>0</v>
      </c>
    </row>
    <row r="128" spans="2:15" x14ac:dyDescent="0.3">
      <c r="B128" s="1042" t="s">
        <v>2043</v>
      </c>
      <c r="C128" s="1042"/>
      <c r="D128" s="1042"/>
      <c r="E128" s="1042">
        <v>1303240910</v>
      </c>
      <c r="F128" s="1042">
        <v>1374207694</v>
      </c>
      <c r="G128" s="1042">
        <v>1017261436</v>
      </c>
      <c r="H128" s="1042">
        <v>639618181</v>
      </c>
      <c r="I128" s="1042">
        <v>2173728282</v>
      </c>
      <c r="J128" s="1042">
        <v>40</v>
      </c>
      <c r="K128" s="1042">
        <v>2724400000</v>
      </c>
      <c r="L128" s="1042">
        <f>SUMIFS('사업계획(매출 확정본)'!$T$12:$T$160,'사업계획(매출 확정본)'!$M$12:$M$160,'매출액 분석'!$B128,'사업계획(매출 확정본)'!$Q$12:$Q$160,'사업계획(매출 확정본)'!$Q$12)</f>
        <v>70</v>
      </c>
      <c r="M128" s="1042">
        <f>SUMIFS('사업계획(매출 확정본)'!$T$12:$T$113,'사업계획(매출 확정본)'!$M$12:$M$113,'매출액 분석'!$B128,'사업계획(매출 확정본)'!$Q$12:$Q$113,'사업계획(매출 확정본)'!$Q$12)</f>
        <v>40</v>
      </c>
      <c r="N128" s="823">
        <f t="shared" si="0"/>
        <v>30</v>
      </c>
    </row>
    <row r="129" spans="2:14" x14ac:dyDescent="0.3">
      <c r="B129" s="1042" t="s">
        <v>2061</v>
      </c>
      <c r="C129" s="1042"/>
      <c r="D129" s="1042"/>
      <c r="E129" s="1042">
        <v>0</v>
      </c>
      <c r="F129" s="1042">
        <v>0</v>
      </c>
      <c r="G129" s="1042">
        <v>3377868184</v>
      </c>
      <c r="H129" s="1042">
        <v>3934604545</v>
      </c>
      <c r="I129" s="1042">
        <v>3516552072</v>
      </c>
      <c r="J129" s="1042">
        <v>25</v>
      </c>
      <c r="K129" s="1042">
        <v>5197500000</v>
      </c>
      <c r="L129" s="1042">
        <f>SUMIFS('사업계획(매출 확정본)'!$T$12:$T$160,'사업계획(매출 확정본)'!$M$12:$M$160,'매출액 분석'!$B129,'사업계획(매출 확정본)'!$Q$12:$Q$160,'사업계획(매출 확정본)'!$Q$12)</f>
        <v>45</v>
      </c>
      <c r="M129" s="1042">
        <f>SUMIFS('사업계획(매출 확정본)'!$T$12:$T$113,'사업계획(매출 확정본)'!$M$12:$M$113,'매출액 분석'!$B129,'사업계획(매출 확정본)'!$Q$12:$Q$113,'사업계획(매출 확정본)'!$Q$12)</f>
        <v>45</v>
      </c>
      <c r="N129" s="823">
        <f t="shared" si="0"/>
        <v>0</v>
      </c>
    </row>
    <row r="130" spans="2:14" x14ac:dyDescent="0.3">
      <c r="B130" s="1042" t="s">
        <v>2840</v>
      </c>
      <c r="C130" s="1042"/>
      <c r="D130" s="1042"/>
      <c r="E130" s="1042">
        <v>0</v>
      </c>
      <c r="F130" s="1042">
        <v>0</v>
      </c>
      <c r="G130" s="1042">
        <v>0</v>
      </c>
      <c r="H130" s="1042">
        <v>0</v>
      </c>
      <c r="I130" s="1042">
        <v>1638000000</v>
      </c>
      <c r="J130" s="1042">
        <v>8</v>
      </c>
      <c r="K130" s="1042">
        <v>1640000000</v>
      </c>
      <c r="L130" s="1042">
        <f>SUMIFS('사업계획(매출 확정본)'!$T$12:$T$160,'사업계획(매출 확정본)'!$M$12:$M$160,'매출액 분석'!$B130,'사업계획(매출 확정본)'!$Q$12:$Q$160,'사업계획(매출 확정본)'!$Q$12)</f>
        <v>8</v>
      </c>
      <c r="M130" s="1042">
        <f>SUMIFS('사업계획(매출 확정본)'!$T$12:$T$113,'사업계획(매출 확정본)'!$M$12:$M$113,'매출액 분석'!$B130,'사업계획(매출 확정본)'!$Q$12:$Q$113,'사업계획(매출 확정본)'!$Q$12)</f>
        <v>8</v>
      </c>
      <c r="N130" s="823">
        <f t="shared" si="0"/>
        <v>0</v>
      </c>
    </row>
    <row r="131" spans="2:14" x14ac:dyDescent="0.3">
      <c r="B131" s="1042" t="s">
        <v>2028</v>
      </c>
      <c r="C131" s="1042"/>
      <c r="D131" s="1042"/>
      <c r="E131" s="1042">
        <v>1445949997</v>
      </c>
      <c r="F131" s="1042">
        <v>938535666</v>
      </c>
      <c r="G131" s="1042">
        <v>1206261815</v>
      </c>
      <c r="H131" s="1042">
        <v>2715766366</v>
      </c>
      <c r="I131" s="1042">
        <v>1977418275</v>
      </c>
      <c r="J131" s="1042">
        <v>120</v>
      </c>
      <c r="K131" s="1042">
        <v>3375000000</v>
      </c>
      <c r="L131" s="1042">
        <f>SUMIFS('사업계획(매출 확정본)'!$T$12:$T$160,'사업계획(매출 확정본)'!$M$12:$M$160,'매출액 분석'!$B131,'사업계획(매출 확정본)'!$Q$12:$Q$160,'사업계획(매출 확정본)'!$Q$12)</f>
        <v>250</v>
      </c>
      <c r="M131" s="1042">
        <f>SUMIFS('사업계획(매출 확정본)'!$T$12:$T$113,'사업계획(매출 확정본)'!$M$12:$M$113,'매출액 분석'!$B131,'사업계획(매출 확정본)'!$Q$12:$Q$113,'사업계획(매출 확정본)'!$Q$12)</f>
        <v>250</v>
      </c>
      <c r="N131" s="823">
        <f t="shared" si="0"/>
        <v>0</v>
      </c>
    </row>
    <row r="132" spans="2:14" x14ac:dyDescent="0.3">
      <c r="B132" s="1042" t="s">
        <v>7402</v>
      </c>
      <c r="C132" s="1042"/>
      <c r="D132" s="1042"/>
      <c r="E132" s="1042">
        <v>0</v>
      </c>
      <c r="F132" s="1042">
        <v>0</v>
      </c>
      <c r="G132" s="1042">
        <v>0</v>
      </c>
      <c r="H132" s="1042">
        <v>0</v>
      </c>
      <c r="I132" s="1042">
        <v>1296575000</v>
      </c>
      <c r="J132" s="1042">
        <v>1</v>
      </c>
      <c r="K132" s="1042">
        <v>0</v>
      </c>
      <c r="L132" s="1042">
        <f>SUMIFS('사업계획(매출 확정본)'!$T$12:$T$160,'사업계획(매출 확정본)'!$M$12:$M$160,'매출액 분석'!$B132,'사업계획(매출 확정본)'!$Q$12:$Q$160,'사업계획(매출 확정본)'!$Q$12)</f>
        <v>0</v>
      </c>
      <c r="M132" s="1042">
        <f>SUMIFS('사업계획(매출 확정본)'!$T$12:$T$113,'사업계획(매출 확정본)'!$M$12:$M$113,'매출액 분석'!$B132,'사업계획(매출 확정본)'!$Q$12:$Q$113,'사업계획(매출 확정본)'!$Q$12)</f>
        <v>0</v>
      </c>
      <c r="N132" s="823">
        <f t="shared" si="0"/>
        <v>0</v>
      </c>
    </row>
    <row r="133" spans="2:14" x14ac:dyDescent="0.3">
      <c r="B133" s="1042" t="s">
        <v>7378</v>
      </c>
      <c r="C133" s="1042"/>
      <c r="D133" s="1042"/>
      <c r="E133" s="1042">
        <v>0</v>
      </c>
      <c r="F133" s="1042">
        <v>0</v>
      </c>
      <c r="G133" s="1042">
        <v>0</v>
      </c>
      <c r="H133" s="1042">
        <v>0</v>
      </c>
      <c r="I133" s="1042">
        <v>1149250000</v>
      </c>
      <c r="J133" s="1042">
        <v>1</v>
      </c>
      <c r="K133" s="1042">
        <v>0</v>
      </c>
      <c r="L133" s="1042">
        <f>SUMIFS('사업계획(매출 확정본)'!$T$12:$T$160,'사업계획(매출 확정본)'!$M$12:$M$160,'매출액 분석'!$B133,'사업계획(매출 확정본)'!$Q$12:$Q$160,'사업계획(매출 확정본)'!$Q$12)</f>
        <v>0</v>
      </c>
      <c r="M133" s="1042">
        <f>SUMIFS('사업계획(매출 확정본)'!$T$12:$T$113,'사업계획(매출 확정본)'!$M$12:$M$113,'매출액 분석'!$B133,'사업계획(매출 확정본)'!$Q$12:$Q$113,'사업계획(매출 확정본)'!$Q$12)</f>
        <v>0</v>
      </c>
      <c r="N133" s="823">
        <f t="shared" si="0"/>
        <v>0</v>
      </c>
    </row>
    <row r="134" spans="2:14" x14ac:dyDescent="0.3">
      <c r="B134" s="1042" t="s">
        <v>2055</v>
      </c>
      <c r="C134" s="1042"/>
      <c r="D134" s="1042"/>
      <c r="E134" s="1042">
        <v>0</v>
      </c>
      <c r="F134" s="1042">
        <v>363385272</v>
      </c>
      <c r="G134" s="1042">
        <v>616209092</v>
      </c>
      <c r="H134" s="1042">
        <v>654114272</v>
      </c>
      <c r="I134" s="1042">
        <v>1208459909</v>
      </c>
      <c r="J134" s="1042">
        <v>22</v>
      </c>
      <c r="K134" s="1042">
        <v>2375000000</v>
      </c>
      <c r="L134" s="1042">
        <f>SUMIFS('사업계획(매출 확정본)'!$T$12:$T$160,'사업계획(매출 확정본)'!$M$12:$M$160,'매출액 분석'!$B134,'사업계획(매출 확정본)'!$Q$12:$Q$160,'사업계획(매출 확정본)'!$Q$12)</f>
        <v>45</v>
      </c>
      <c r="M134" s="1042">
        <f>SUMIFS('사업계획(매출 확정본)'!$T$12:$T$113,'사업계획(매출 확정본)'!$M$12:$M$113,'매출액 분석'!$B134,'사업계획(매출 확정본)'!$Q$12:$Q$113,'사업계획(매출 확정본)'!$Q$12)</f>
        <v>45</v>
      </c>
      <c r="N134" s="823">
        <f t="shared" si="0"/>
        <v>0</v>
      </c>
    </row>
    <row r="135" spans="2:14" x14ac:dyDescent="0.3">
      <c r="B135" s="1042" t="s">
        <v>2049</v>
      </c>
      <c r="C135" s="1042"/>
      <c r="D135" s="1042"/>
      <c r="E135" s="1042">
        <v>0</v>
      </c>
      <c r="F135" s="1042">
        <v>42045455</v>
      </c>
      <c r="G135" s="1042">
        <v>0</v>
      </c>
      <c r="H135" s="1042">
        <f>Sheet5!E1468</f>
        <v>7719099100</v>
      </c>
      <c r="I135" s="1042">
        <v>892559097</v>
      </c>
      <c r="J135" s="1042">
        <v>7</v>
      </c>
      <c r="K135" s="1042">
        <v>1265000000</v>
      </c>
      <c r="L135" s="1042">
        <f>SUMIFS('사업계획(매출 확정본)'!$T$12:$T$160,'사업계획(매출 확정본)'!$M$12:$M$160,'매출액 분석'!$B135,'사업계획(매출 확정본)'!$Q$12:$Q$160,'사업계획(매출 확정본)'!$Q$12)</f>
        <v>20</v>
      </c>
      <c r="M135" s="1042">
        <f>SUMIFS('사업계획(매출 확정본)'!$T$12:$T$113,'사업계획(매출 확정본)'!$M$12:$M$113,'매출액 분석'!$B135,'사업계획(매출 확정본)'!$Q$12:$Q$113,'사업계획(매출 확정본)'!$Q$12)</f>
        <v>20</v>
      </c>
      <c r="N135" s="823">
        <f t="shared" si="0"/>
        <v>0</v>
      </c>
    </row>
    <row r="136" spans="2:14" x14ac:dyDescent="0.3">
      <c r="B136" s="1042" t="s">
        <v>3937</v>
      </c>
      <c r="C136" s="1042"/>
      <c r="D136" s="1042"/>
      <c r="E136" s="1042">
        <v>820565302</v>
      </c>
      <c r="F136" s="1042">
        <v>14962482998</v>
      </c>
      <c r="G136" s="1042">
        <v>8808256449</v>
      </c>
      <c r="H136" s="1042">
        <v>0</v>
      </c>
      <c r="I136" s="1042">
        <v>725410274</v>
      </c>
      <c r="J136" s="1042">
        <v>12</v>
      </c>
      <c r="K136" s="1042">
        <v>0</v>
      </c>
      <c r="L136" s="1042">
        <f>SUMIFS('사업계획(매출 확정본)'!$T$12:$T$160,'사업계획(매출 확정본)'!$M$12:$M$160,'매출액 분석'!$B136,'사업계획(매출 확정본)'!$Q$12:$Q$160,'사업계획(매출 확정본)'!$Q$12)</f>
        <v>0</v>
      </c>
      <c r="M136" s="1042">
        <f>SUMIFS('사업계획(매출 확정본)'!$T$12:$T$113,'사업계획(매출 확정본)'!$M$12:$M$113,'매출액 분석'!$B136,'사업계획(매출 확정본)'!$Q$12:$Q$113,'사업계획(매출 확정본)'!$Q$12)</f>
        <v>0</v>
      </c>
      <c r="N136" s="823">
        <f t="shared" si="0"/>
        <v>0</v>
      </c>
    </row>
    <row r="137" spans="2:14" x14ac:dyDescent="0.3">
      <c r="B137" s="1042" t="s">
        <v>2068</v>
      </c>
      <c r="C137" s="1042"/>
      <c r="D137" s="1042"/>
      <c r="E137" s="1042">
        <v>201500000</v>
      </c>
      <c r="F137" s="1042">
        <v>46158000</v>
      </c>
      <c r="G137" s="1042">
        <v>0</v>
      </c>
      <c r="H137" s="1042">
        <f>6485027040+Sheet5!E1475</f>
        <v>9940027008</v>
      </c>
      <c r="I137" s="1042">
        <v>699354809</v>
      </c>
      <c r="J137" s="1042">
        <v>8</v>
      </c>
      <c r="K137" s="1042">
        <v>1766000000</v>
      </c>
      <c r="L137" s="1042">
        <f>SUMIFS('사업계획(매출 확정본)'!$T$12:$T$160,'사업계획(매출 확정본)'!$M$12:$M$160,'매출액 분석'!$B137,'사업계획(매출 확정본)'!$Q$12:$Q$160,'사업계획(매출 확정본)'!$Q$12)</f>
        <v>25</v>
      </c>
      <c r="M137" s="1042">
        <f>SUMIFS('사업계획(매출 확정본)'!$T$12:$T$113,'사업계획(매출 확정본)'!$M$12:$M$113,'매출액 분석'!$B137,'사업계획(매출 확정본)'!$Q$12:$Q$113,'사업계획(매출 확정본)'!$Q$12)</f>
        <v>25</v>
      </c>
      <c r="N137" s="823">
        <f t="shared" si="0"/>
        <v>0</v>
      </c>
    </row>
    <row r="138" spans="2:14" x14ac:dyDescent="0.3">
      <c r="B138" s="1042" t="s">
        <v>2878</v>
      </c>
      <c r="C138" s="1042"/>
      <c r="D138" s="1042"/>
      <c r="E138" s="1042">
        <v>0</v>
      </c>
      <c r="F138" s="1042">
        <v>0</v>
      </c>
      <c r="G138" s="1042">
        <v>0</v>
      </c>
      <c r="H138" s="1042">
        <v>0</v>
      </c>
      <c r="I138" s="1042">
        <v>627631500</v>
      </c>
      <c r="J138" s="1042">
        <v>15</v>
      </c>
      <c r="K138" s="1042">
        <v>672000000</v>
      </c>
      <c r="L138" s="1042">
        <f>SUMIFS('사업계획(매출 확정본)'!$T$12:$T$160,'사업계획(매출 확정본)'!$M$12:$M$160,'매출액 분석'!$B138,'사업계획(매출 확정본)'!$Q$12:$Q$160,'사업계획(매출 확정본)'!$Q$12)</f>
        <v>25</v>
      </c>
      <c r="M138" s="1042">
        <f>SUMIFS('사업계획(매출 확정본)'!$T$12:$T$113,'사업계획(매출 확정본)'!$M$12:$M$113,'매출액 분석'!$B138,'사업계획(매출 확정본)'!$Q$12:$Q$113,'사업계획(매출 확정본)'!$Q$12)</f>
        <v>25</v>
      </c>
      <c r="N138" s="823">
        <f t="shared" si="0"/>
        <v>0</v>
      </c>
    </row>
    <row r="139" spans="2:14" x14ac:dyDescent="0.3">
      <c r="B139" s="1042" t="s">
        <v>2035</v>
      </c>
      <c r="C139" s="1042"/>
      <c r="D139" s="1042"/>
      <c r="E139" s="1042">
        <v>0</v>
      </c>
      <c r="F139" s="1042">
        <v>0</v>
      </c>
      <c r="G139" s="1042">
        <v>0</v>
      </c>
      <c r="H139" s="1042">
        <v>367804364</v>
      </c>
      <c r="I139" s="1042">
        <v>639241026</v>
      </c>
      <c r="J139" s="1042">
        <v>14</v>
      </c>
      <c r="K139" s="1042">
        <v>1261000000</v>
      </c>
      <c r="L139" s="1042">
        <f>SUMIFS('사업계획(매출 확정본)'!$T$12:$T$160,'사업계획(매출 확정본)'!$M$12:$M$160,'매출액 분석'!$B139,'사업계획(매출 확정본)'!$Q$12:$Q$160,'사업계획(매출 확정본)'!$Q$12)</f>
        <v>120</v>
      </c>
      <c r="M139" s="1042">
        <f>SUMIFS('사업계획(매출 확정본)'!$T$12:$T$113,'사업계획(매출 확정본)'!$M$12:$M$113,'매출액 분석'!$B139,'사업계획(매출 확정본)'!$Q$12:$Q$113,'사업계획(매출 확정본)'!$Q$12)</f>
        <v>107</v>
      </c>
      <c r="N139" s="823">
        <f t="shared" si="0"/>
        <v>13</v>
      </c>
    </row>
    <row r="140" spans="2:14" x14ac:dyDescent="0.3">
      <c r="B140" s="1042" t="s">
        <v>2034</v>
      </c>
      <c r="C140" s="1042"/>
      <c r="D140" s="1042"/>
      <c r="E140" s="1042">
        <v>454980917</v>
      </c>
      <c r="F140" s="1042">
        <v>123236365</v>
      </c>
      <c r="G140" s="1042">
        <v>0</v>
      </c>
      <c r="H140" s="1042">
        <v>0</v>
      </c>
      <c r="I140" s="1042">
        <v>620799096</v>
      </c>
      <c r="J140" s="1042">
        <v>14</v>
      </c>
      <c r="K140" s="1042">
        <v>728000000</v>
      </c>
      <c r="L140" s="1042">
        <f>SUMIFS('사업계획(매출 확정본)'!$T$12:$T$160,'사업계획(매출 확정본)'!$M$12:$M$160,'매출액 분석'!$B140,'사업계획(매출 확정본)'!$Q$12:$Q$160,'사업계획(매출 확정본)'!$Q$12)</f>
        <v>20</v>
      </c>
      <c r="M140" s="1042">
        <f>SUMIFS('사업계획(매출 확정본)'!$T$12:$T$113,'사업계획(매출 확정본)'!$M$12:$M$113,'매출액 분석'!$B140,'사업계획(매출 확정본)'!$Q$12:$Q$113,'사업계획(매출 확정본)'!$Q$12)</f>
        <v>20</v>
      </c>
      <c r="N140" s="823">
        <f t="shared" si="0"/>
        <v>0</v>
      </c>
    </row>
    <row r="141" spans="2:14" x14ac:dyDescent="0.3">
      <c r="B141" s="1042" t="s">
        <v>7413</v>
      </c>
      <c r="C141" s="1042"/>
      <c r="D141" s="1042"/>
      <c r="E141" s="1042">
        <v>0</v>
      </c>
      <c r="F141" s="1042">
        <v>0</v>
      </c>
      <c r="G141" s="1042">
        <v>0</v>
      </c>
      <c r="H141" s="1042">
        <v>0</v>
      </c>
      <c r="I141" s="1042">
        <v>571862000</v>
      </c>
      <c r="J141" s="1042">
        <v>1</v>
      </c>
      <c r="K141" s="1042">
        <v>0</v>
      </c>
      <c r="L141" s="1042">
        <f>SUMIFS('사업계획(매출 확정본)'!$T$12:$T$160,'사업계획(매출 확정본)'!$M$12:$M$160,'매출액 분석'!$B141,'사업계획(매출 확정본)'!$Q$12:$Q$160,'사업계획(매출 확정본)'!$Q$12)</f>
        <v>0</v>
      </c>
      <c r="M141" s="1042">
        <f>SUMIFS('사업계획(매출 확정본)'!$T$12:$T$113,'사업계획(매출 확정본)'!$M$12:$M$113,'매출액 분석'!$B141,'사업계획(매출 확정본)'!$Q$12:$Q$113,'사업계획(매출 확정본)'!$Q$12)</f>
        <v>0</v>
      </c>
      <c r="N141" s="823">
        <f t="shared" si="0"/>
        <v>0</v>
      </c>
    </row>
    <row r="142" spans="2:14" x14ac:dyDescent="0.3">
      <c r="B142" s="1042" t="s">
        <v>7415</v>
      </c>
      <c r="C142" s="1042"/>
      <c r="D142" s="1042"/>
      <c r="E142" s="1042">
        <v>0</v>
      </c>
      <c r="F142" s="1042">
        <v>0</v>
      </c>
      <c r="G142" s="1042">
        <v>0</v>
      </c>
      <c r="H142" s="1042">
        <v>0</v>
      </c>
      <c r="I142" s="1042">
        <v>541908600</v>
      </c>
      <c r="J142" s="1042">
        <v>1</v>
      </c>
      <c r="K142" s="1042">
        <v>0</v>
      </c>
      <c r="L142" s="1042">
        <f>SUMIFS('사업계획(매출 확정본)'!$T$12:$T$160,'사업계획(매출 확정본)'!$M$12:$M$160,'매출액 분석'!$B142,'사업계획(매출 확정본)'!$Q$12:$Q$160,'사업계획(매출 확정본)'!$Q$12)</f>
        <v>0</v>
      </c>
      <c r="M142" s="1042">
        <f>SUMIFS('사업계획(매출 확정본)'!$T$12:$T$113,'사업계획(매출 확정본)'!$M$12:$M$113,'매출액 분석'!$B142,'사업계획(매출 확정본)'!$Q$12:$Q$113,'사업계획(매출 확정본)'!$Q$12)</f>
        <v>0</v>
      </c>
      <c r="N142" s="823">
        <f t="shared" si="0"/>
        <v>0</v>
      </c>
    </row>
    <row r="143" spans="2:14" x14ac:dyDescent="0.3">
      <c r="B143" s="1042" t="s">
        <v>7417</v>
      </c>
      <c r="C143" s="1042"/>
      <c r="D143" s="1042"/>
      <c r="E143" s="1042">
        <v>0</v>
      </c>
      <c r="F143" s="1042">
        <v>0</v>
      </c>
      <c r="G143" s="1042">
        <v>0</v>
      </c>
      <c r="H143" s="1042">
        <v>0</v>
      </c>
      <c r="I143" s="1042">
        <v>532301250</v>
      </c>
      <c r="J143" s="1042">
        <v>1</v>
      </c>
      <c r="K143" s="1042">
        <v>0</v>
      </c>
      <c r="L143" s="1042">
        <f>SUMIFS('사업계획(매출 확정본)'!$T$12:$T$160,'사업계획(매출 확정본)'!$M$12:$M$160,'매출액 분석'!$B143,'사업계획(매출 확정본)'!$Q$12:$Q$160,'사업계획(매출 확정본)'!$Q$12)</f>
        <v>0</v>
      </c>
      <c r="M143" s="1042">
        <f>SUMIFS('사업계획(매출 확정본)'!$T$12:$T$113,'사업계획(매출 확정본)'!$M$12:$M$113,'매출액 분석'!$B143,'사업계획(매출 확정본)'!$Q$12:$Q$113,'사업계획(매출 확정본)'!$Q$12)</f>
        <v>0</v>
      </c>
      <c r="N143" s="823">
        <f t="shared" si="0"/>
        <v>0</v>
      </c>
    </row>
    <row r="144" spans="2:14" x14ac:dyDescent="0.3">
      <c r="B144" s="1042" t="s">
        <v>2067</v>
      </c>
      <c r="C144" s="1042"/>
      <c r="D144" s="1042"/>
      <c r="E144" s="1042">
        <v>93636364</v>
      </c>
      <c r="F144" s="1042">
        <v>309818184</v>
      </c>
      <c r="G144" s="1042">
        <v>0</v>
      </c>
      <c r="H144" s="1042">
        <v>0</v>
      </c>
      <c r="I144" s="1042">
        <v>506700002</v>
      </c>
      <c r="J144" s="1042">
        <v>9</v>
      </c>
      <c r="K144" s="1042">
        <v>2230000000</v>
      </c>
      <c r="L144" s="1042">
        <f>SUMIFS('사업계획(매출 확정본)'!$T$12:$T$160,'사업계획(매출 확정본)'!$M$12:$M$160,'매출액 분석'!$B144,'사업계획(매출 확정본)'!$Q$12:$Q$160,'사업계획(매출 확정본)'!$Q$12)</f>
        <v>30</v>
      </c>
      <c r="M144" s="1042">
        <f>SUMIFS('사업계획(매출 확정본)'!$T$12:$T$113,'사업계획(매출 확정본)'!$M$12:$M$113,'매출액 분석'!$B144,'사업계획(매출 확정본)'!$Q$12:$Q$113,'사업계획(매출 확정본)'!$Q$12)</f>
        <v>30</v>
      </c>
      <c r="N144" s="823">
        <f t="shared" si="0"/>
        <v>0</v>
      </c>
    </row>
    <row r="145" spans="2:14" x14ac:dyDescent="0.3">
      <c r="B145" s="1042" t="s">
        <v>7420</v>
      </c>
      <c r="C145" s="1042"/>
      <c r="D145" s="1042"/>
      <c r="E145" s="1042">
        <v>0</v>
      </c>
      <c r="F145" s="1042">
        <v>0</v>
      </c>
      <c r="G145" s="1042">
        <v>0</v>
      </c>
      <c r="H145" s="1042">
        <v>0</v>
      </c>
      <c r="I145" s="1042">
        <v>502149915</v>
      </c>
      <c r="J145" s="1042">
        <v>1</v>
      </c>
      <c r="K145" s="1042">
        <v>0</v>
      </c>
      <c r="L145" s="1042">
        <f>SUMIFS('사업계획(매출 확정본)'!$T$12:$T$160,'사업계획(매출 확정본)'!$M$12:$M$160,'매출액 분석'!$B145,'사업계획(매출 확정본)'!$Q$12:$Q$160,'사업계획(매출 확정본)'!$Q$12)</f>
        <v>0</v>
      </c>
      <c r="M145" s="1042">
        <f>SUMIFS('사업계획(매출 확정본)'!$T$12:$T$113,'사업계획(매출 확정본)'!$M$12:$M$113,'매출액 분석'!$B145,'사업계획(매출 확정본)'!$Q$12:$Q$113,'사업계획(매출 확정본)'!$Q$12)</f>
        <v>0</v>
      </c>
      <c r="N145" s="823">
        <f t="shared" si="0"/>
        <v>0</v>
      </c>
    </row>
    <row r="146" spans="2:14" x14ac:dyDescent="0.3">
      <c r="B146" s="1042" t="s">
        <v>2883</v>
      </c>
      <c r="C146" s="1042"/>
      <c r="D146" s="1042"/>
      <c r="E146" s="1042">
        <v>0</v>
      </c>
      <c r="F146" s="1042">
        <v>0</v>
      </c>
      <c r="G146" s="1042">
        <v>0</v>
      </c>
      <c r="H146" s="1042">
        <v>0</v>
      </c>
      <c r="I146" s="1042">
        <v>501818182</v>
      </c>
      <c r="J146" s="1042">
        <v>1</v>
      </c>
      <c r="K146" s="1042">
        <v>0</v>
      </c>
      <c r="L146" s="1042">
        <f>SUMIFS('사업계획(매출 확정본)'!$T$12:$T$160,'사업계획(매출 확정본)'!$M$12:$M$160,'매출액 분석'!$B146,'사업계획(매출 확정본)'!$Q$12:$Q$160,'사업계획(매출 확정본)'!$Q$12)</f>
        <v>0</v>
      </c>
      <c r="M146" s="1042">
        <f>SUMIFS('사업계획(매출 확정본)'!$T$12:$T$113,'사업계획(매출 확정본)'!$M$12:$M$113,'매출액 분석'!$B146,'사업계획(매출 확정본)'!$Q$12:$Q$113,'사업계획(매출 확정본)'!$Q$12)</f>
        <v>0</v>
      </c>
      <c r="N146" s="823">
        <f t="shared" si="0"/>
        <v>0</v>
      </c>
    </row>
    <row r="147" spans="2:14" x14ac:dyDescent="0.3">
      <c r="B147" s="1042" t="s">
        <v>2054</v>
      </c>
      <c r="C147" s="1042"/>
      <c r="D147" s="1042"/>
      <c r="E147" s="1042">
        <v>0</v>
      </c>
      <c r="F147" s="1042">
        <v>0</v>
      </c>
      <c r="G147" s="1042">
        <v>0</v>
      </c>
      <c r="H147" s="1042">
        <v>14200000</v>
      </c>
      <c r="I147" s="1042">
        <v>350419091</v>
      </c>
      <c r="J147" s="1042">
        <v>25</v>
      </c>
      <c r="K147" s="1042">
        <v>661500000</v>
      </c>
      <c r="L147" s="1042">
        <f>SUMIFS('사업계획(매출 확정본)'!$T$12:$T$160,'사업계획(매출 확정본)'!$M$12:$M$160,'매출액 분석'!$B147,'사업계획(매출 확정본)'!$Q$12:$Q$160,'사업계획(매출 확정본)'!$Q$12)</f>
        <v>60</v>
      </c>
      <c r="M147" s="1042">
        <f>SUMIFS('사업계획(매출 확정본)'!$T$12:$T$113,'사업계획(매출 확정본)'!$M$12:$M$113,'매출액 분석'!$B147,'사업계획(매출 확정본)'!$Q$12:$Q$113,'사업계획(매출 확정본)'!$Q$12)</f>
        <v>60</v>
      </c>
      <c r="N147" s="823">
        <f t="shared" si="0"/>
        <v>0</v>
      </c>
    </row>
    <row r="148" spans="2:14" x14ac:dyDescent="0.3">
      <c r="B148" s="1042" t="s">
        <v>2048</v>
      </c>
      <c r="C148" s="1042"/>
      <c r="D148" s="1042"/>
      <c r="E148" s="1042">
        <v>0</v>
      </c>
      <c r="F148" s="1042">
        <v>0</v>
      </c>
      <c r="G148" s="1042">
        <v>0</v>
      </c>
      <c r="H148" s="1042">
        <v>166600000</v>
      </c>
      <c r="I148" s="1042">
        <v>434219999</v>
      </c>
      <c r="J148" s="1042">
        <v>10</v>
      </c>
      <c r="K148" s="1042">
        <v>456500000</v>
      </c>
      <c r="L148" s="1042">
        <f>SUMIFS('사업계획(매출 확정본)'!$T$12:$T$160,'사업계획(매출 확정본)'!$M$12:$M$160,'매출액 분석'!$B148,'사업계획(매출 확정본)'!$Q$12:$Q$160,'사업계획(매출 확정본)'!$Q$12)</f>
        <v>15</v>
      </c>
      <c r="M148" s="1042">
        <f>SUMIFS('사업계획(매출 확정본)'!$T$12:$T$113,'사업계획(매출 확정본)'!$M$12:$M$113,'매출액 분석'!$B148,'사업계획(매출 확정본)'!$Q$12:$Q$113,'사업계획(매출 확정본)'!$Q$12)</f>
        <v>15</v>
      </c>
      <c r="N148" s="823">
        <f t="shared" si="0"/>
        <v>0</v>
      </c>
    </row>
    <row r="149" spans="2:14" x14ac:dyDescent="0.3">
      <c r="B149" s="1042" t="s">
        <v>2044</v>
      </c>
      <c r="C149" s="1042"/>
      <c r="D149" s="1042"/>
      <c r="E149" s="1042">
        <v>0</v>
      </c>
      <c r="F149" s="1042">
        <v>0</v>
      </c>
      <c r="G149" s="1042">
        <v>0</v>
      </c>
      <c r="H149" s="1042">
        <v>37772727</v>
      </c>
      <c r="I149" s="1042">
        <v>381409092</v>
      </c>
      <c r="J149" s="1042">
        <v>10</v>
      </c>
      <c r="K149" s="1042">
        <v>395000000</v>
      </c>
      <c r="L149" s="1042">
        <f>SUMIFS('사업계획(매출 확정본)'!$T$12:$T$160,'사업계획(매출 확정본)'!$M$12:$M$160,'매출액 분석'!$B149,'사업계획(매출 확정본)'!$Q$12:$Q$160,'사업계획(매출 확정본)'!$Q$12)</f>
        <v>15</v>
      </c>
      <c r="M149" s="1042">
        <f>SUMIFS('사업계획(매출 확정본)'!$T$12:$T$113,'사업계획(매출 확정본)'!$M$12:$M$113,'매출액 분석'!$B149,'사업계획(매출 확정본)'!$Q$12:$Q$113,'사업계획(매출 확정본)'!$Q$12)</f>
        <v>15</v>
      </c>
      <c r="N149" s="823">
        <f t="shared" si="0"/>
        <v>0</v>
      </c>
    </row>
    <row r="150" spans="2:14" x14ac:dyDescent="0.3">
      <c r="B150" s="1042" t="s">
        <v>2047</v>
      </c>
      <c r="C150" s="1042"/>
      <c r="D150" s="1042"/>
      <c r="E150" s="1042">
        <v>488260017</v>
      </c>
      <c r="F150" s="1042">
        <v>674666172</v>
      </c>
      <c r="G150" s="1042">
        <v>127548600</v>
      </c>
      <c r="H150" s="1042">
        <v>175121996</v>
      </c>
      <c r="I150" s="1042">
        <v>339419310</v>
      </c>
      <c r="J150" s="1042">
        <v>3</v>
      </c>
      <c r="K150" s="1042">
        <v>567500000</v>
      </c>
      <c r="L150" s="1042">
        <f>SUMIFS('사업계획(매출 확정본)'!$T$12:$T$160,'사업계획(매출 확정본)'!$M$12:$M$160,'매출액 분석'!$B150,'사업계획(매출 확정본)'!$Q$12:$Q$160,'사업계획(매출 확정본)'!$Q$12)</f>
        <v>10</v>
      </c>
      <c r="M150" s="1042">
        <f>SUMIFS('사업계획(매출 확정본)'!$T$12:$T$113,'사업계획(매출 확정본)'!$M$12:$M$113,'매출액 분석'!$B150,'사업계획(매출 확정본)'!$Q$12:$Q$113,'사업계획(매출 확정본)'!$Q$12)</f>
        <v>10</v>
      </c>
      <c r="N150" s="823">
        <f t="shared" si="0"/>
        <v>0</v>
      </c>
    </row>
    <row r="151" spans="2:14" x14ac:dyDescent="0.3">
      <c r="B151" s="1042" t="s">
        <v>2040</v>
      </c>
      <c r="C151" s="1042"/>
      <c r="D151" s="1042"/>
      <c r="E151" s="1042">
        <v>0</v>
      </c>
      <c r="F151" s="1042">
        <v>134727272</v>
      </c>
      <c r="G151" s="1042">
        <v>0</v>
      </c>
      <c r="H151" s="1042">
        <v>0</v>
      </c>
      <c r="I151" s="1042">
        <v>334572726</v>
      </c>
      <c r="J151" s="1042">
        <v>8</v>
      </c>
      <c r="K151" s="1042">
        <v>0</v>
      </c>
      <c r="L151" s="1042">
        <f>SUMIFS('사업계획(매출 확정본)'!$T$12:$T$160,'사업계획(매출 확정본)'!$M$12:$M$160,'매출액 분석'!$B151,'사업계획(매출 확정본)'!$Q$12:$Q$160,'사업계획(매출 확정본)'!$Q$12)</f>
        <v>0</v>
      </c>
      <c r="M151" s="1042">
        <f>SUMIFS('사업계획(매출 확정본)'!$T$12:$T$113,'사업계획(매출 확정본)'!$M$12:$M$113,'매출액 분석'!$B151,'사업계획(매출 확정본)'!$Q$12:$Q$113,'사업계획(매출 확정본)'!$Q$12)</f>
        <v>0</v>
      </c>
      <c r="N151" s="823">
        <f t="shared" si="0"/>
        <v>0</v>
      </c>
    </row>
    <row r="152" spans="2:14" x14ac:dyDescent="0.3">
      <c r="B152" s="1042" t="s">
        <v>2880</v>
      </c>
      <c r="C152" s="1042"/>
      <c r="D152" s="1042"/>
      <c r="E152" s="1042">
        <v>0</v>
      </c>
      <c r="F152" s="1042">
        <v>0</v>
      </c>
      <c r="G152" s="1042">
        <v>0</v>
      </c>
      <c r="H152" s="1042">
        <v>0</v>
      </c>
      <c r="I152" s="1042">
        <v>298837818</v>
      </c>
      <c r="J152" s="1042">
        <v>1</v>
      </c>
      <c r="K152" s="1042">
        <v>0</v>
      </c>
      <c r="L152" s="1042">
        <f>SUMIFS('사업계획(매출 확정본)'!$T$12:$T$160,'사업계획(매출 확정본)'!$M$12:$M$160,'매출액 분석'!$B152,'사업계획(매출 확정본)'!$Q$12:$Q$160,'사업계획(매출 확정본)'!$Q$12)</f>
        <v>0</v>
      </c>
      <c r="M152" s="1042">
        <f>SUMIFS('사업계획(매출 확정본)'!$T$12:$T$113,'사업계획(매출 확정본)'!$M$12:$M$113,'매출액 분석'!$B152,'사업계획(매출 확정본)'!$Q$12:$Q$113,'사업계획(매출 확정본)'!$Q$12)</f>
        <v>0</v>
      </c>
      <c r="N152" s="823">
        <f t="shared" si="0"/>
        <v>0</v>
      </c>
    </row>
    <row r="153" spans="2:14" x14ac:dyDescent="0.3">
      <c r="B153" s="1042" t="s">
        <v>7427</v>
      </c>
      <c r="C153" s="1042"/>
      <c r="D153" s="1042"/>
      <c r="E153" s="1042">
        <v>0</v>
      </c>
      <c r="F153" s="1042">
        <v>0</v>
      </c>
      <c r="G153" s="1042">
        <v>141500000</v>
      </c>
      <c r="H153" s="1042">
        <v>0</v>
      </c>
      <c r="I153" s="1042">
        <v>251659050</v>
      </c>
      <c r="J153" s="1042">
        <v>2</v>
      </c>
      <c r="K153" s="1042">
        <v>0</v>
      </c>
      <c r="L153" s="1042">
        <f>SUMIFS('사업계획(매출 확정본)'!$T$12:$T$160,'사업계획(매출 확정본)'!$M$12:$M$160,'매출액 분석'!$B153,'사업계획(매출 확정본)'!$Q$12:$Q$160,'사업계획(매출 확정본)'!$Q$12)</f>
        <v>0</v>
      </c>
      <c r="M153" s="1042">
        <f>SUMIFS('사업계획(매출 확정본)'!$T$12:$T$113,'사업계획(매출 확정본)'!$M$12:$M$113,'매출액 분석'!$B153,'사업계획(매출 확정본)'!$Q$12:$Q$113,'사업계획(매출 확정본)'!$Q$12)</f>
        <v>0</v>
      </c>
      <c r="N153" s="823">
        <f t="shared" si="0"/>
        <v>0</v>
      </c>
    </row>
    <row r="154" spans="2:14" x14ac:dyDescent="0.3">
      <c r="B154" s="1042" t="s">
        <v>7371</v>
      </c>
      <c r="C154" s="1042"/>
      <c r="D154" s="1042"/>
      <c r="E154" s="1042">
        <v>0</v>
      </c>
      <c r="F154" s="1042">
        <v>0</v>
      </c>
      <c r="G154" s="1042">
        <v>0</v>
      </c>
      <c r="H154" s="1042">
        <v>0</v>
      </c>
      <c r="I154" s="1042">
        <v>198881821</v>
      </c>
      <c r="J154" s="1042">
        <v>1</v>
      </c>
      <c r="K154" s="1042">
        <v>0</v>
      </c>
      <c r="L154" s="1042">
        <f>SUMIFS('사업계획(매출 확정본)'!$T$12:$T$160,'사업계획(매출 확정본)'!$M$12:$M$160,'매출액 분석'!$B154,'사업계획(매출 확정본)'!$Q$12:$Q$160,'사업계획(매출 확정본)'!$Q$12)</f>
        <v>0</v>
      </c>
      <c r="M154" s="1042">
        <f>SUMIFS('사업계획(매출 확정본)'!$T$12:$T$113,'사업계획(매출 확정본)'!$M$12:$M$113,'매출액 분석'!$B154,'사업계획(매출 확정본)'!$Q$12:$Q$113,'사업계획(매출 확정본)'!$Q$12)</f>
        <v>0</v>
      </c>
      <c r="N154" s="823">
        <f t="shared" si="0"/>
        <v>0</v>
      </c>
    </row>
    <row r="155" spans="2:14" x14ac:dyDescent="0.3">
      <c r="B155" s="1042" t="s">
        <v>2045</v>
      </c>
      <c r="C155" s="1042"/>
      <c r="D155" s="1042"/>
      <c r="E155" s="1042">
        <v>474212737</v>
      </c>
      <c r="F155" s="1042">
        <v>220425974</v>
      </c>
      <c r="G155" s="1042">
        <v>282138124</v>
      </c>
      <c r="H155" s="1042">
        <v>326471977</v>
      </c>
      <c r="I155" s="1042">
        <v>267955937</v>
      </c>
      <c r="J155" s="1042">
        <v>4</v>
      </c>
      <c r="K155" s="1042">
        <v>554400000</v>
      </c>
      <c r="L155" s="1042">
        <f>SUMIFS('사업계획(매출 확정본)'!$T$12:$T$160,'사업계획(매출 확정본)'!$M$12:$M$160,'매출액 분석'!$B155,'사업계획(매출 확정본)'!$Q$12:$Q$160,'사업계획(매출 확정본)'!$Q$12)</f>
        <v>10</v>
      </c>
      <c r="M155" s="1042">
        <f>SUMIFS('사업계획(매출 확정본)'!$T$12:$T$113,'사업계획(매출 확정본)'!$M$12:$M$113,'매출액 분석'!$B155,'사업계획(매출 확정본)'!$Q$12:$Q$113,'사업계획(매출 확정본)'!$Q$12)</f>
        <v>10</v>
      </c>
      <c r="N155" s="823">
        <f t="shared" si="0"/>
        <v>0</v>
      </c>
    </row>
    <row r="156" spans="2:14" x14ac:dyDescent="0.3">
      <c r="B156" s="1042" t="s">
        <v>2038</v>
      </c>
      <c r="C156" s="1042"/>
      <c r="D156" s="1042"/>
      <c r="E156" s="1042">
        <v>3254377266</v>
      </c>
      <c r="F156" s="1042">
        <v>3616912541</v>
      </c>
      <c r="G156" s="1042">
        <v>0</v>
      </c>
      <c r="H156" s="1042">
        <v>39500000</v>
      </c>
      <c r="I156" s="1042">
        <v>191700000</v>
      </c>
      <c r="J156" s="1042">
        <v>5</v>
      </c>
      <c r="K156" s="1042">
        <v>0</v>
      </c>
      <c r="L156" s="1042">
        <f>SUMIFS('사업계획(매출 확정본)'!$T$12:$T$160,'사업계획(매출 확정본)'!$M$12:$M$160,'매출액 분석'!$B156,'사업계획(매출 확정본)'!$Q$12:$Q$160,'사업계획(매출 확정본)'!$Q$12)</f>
        <v>0</v>
      </c>
      <c r="M156" s="1042">
        <f>SUMIFS('사업계획(매출 확정본)'!$T$12:$T$113,'사업계획(매출 확정본)'!$M$12:$M$113,'매출액 분석'!$B156,'사업계획(매출 확정본)'!$Q$12:$Q$113,'사업계획(매출 확정본)'!$Q$12)</f>
        <v>0</v>
      </c>
      <c r="N156" s="823">
        <f t="shared" si="0"/>
        <v>0</v>
      </c>
    </row>
    <row r="157" spans="2:14" x14ac:dyDescent="0.3">
      <c r="B157" s="1042" t="s">
        <v>2842</v>
      </c>
      <c r="C157" s="1042"/>
      <c r="D157" s="1042"/>
      <c r="E157" s="1042">
        <v>0</v>
      </c>
      <c r="F157" s="1042">
        <v>0</v>
      </c>
      <c r="G157" s="1042">
        <v>0</v>
      </c>
      <c r="H157" s="1042">
        <v>0</v>
      </c>
      <c r="I157" s="1042">
        <v>176726364</v>
      </c>
      <c r="J157" s="1042">
        <v>4</v>
      </c>
      <c r="K157" s="1042">
        <v>178000000</v>
      </c>
      <c r="L157" s="1042">
        <f>SUMIFS('사업계획(매출 확정본)'!$T$12:$T$160,'사업계획(매출 확정본)'!$M$12:$M$160,'매출액 분석'!$B157,'사업계획(매출 확정본)'!$Q$12:$Q$160,'사업계획(매출 확정본)'!$Q$12)</f>
        <v>10</v>
      </c>
      <c r="M157" s="1042">
        <f>SUMIFS('사업계획(매출 확정본)'!$T$12:$T$113,'사업계획(매출 확정본)'!$M$12:$M$113,'매출액 분석'!$B157,'사업계획(매출 확정본)'!$Q$12:$Q$113,'사업계획(매출 확정본)'!$Q$12)</f>
        <v>10</v>
      </c>
      <c r="N157" s="823">
        <f t="shared" si="0"/>
        <v>0</v>
      </c>
    </row>
    <row r="158" spans="2:14" x14ac:dyDescent="0.3">
      <c r="B158" s="1042" t="s">
        <v>7381</v>
      </c>
      <c r="C158" s="1042"/>
      <c r="D158" s="1042"/>
      <c r="E158" s="1042">
        <v>0</v>
      </c>
      <c r="F158" s="1042">
        <v>0</v>
      </c>
      <c r="G158" s="1042">
        <v>0</v>
      </c>
      <c r="H158" s="1042">
        <v>0</v>
      </c>
      <c r="I158" s="1042">
        <v>264153223</v>
      </c>
      <c r="J158" s="1042">
        <v>3</v>
      </c>
      <c r="K158" s="1042">
        <v>0</v>
      </c>
      <c r="L158" s="1042">
        <f>SUMIFS('사업계획(매출 확정본)'!$T$12:$T$160,'사업계획(매출 확정본)'!$M$12:$M$160,'매출액 분석'!$B158,'사업계획(매출 확정본)'!$Q$12:$Q$160,'사업계획(매출 확정본)'!$Q$12)</f>
        <v>0</v>
      </c>
      <c r="M158" s="1042">
        <f>SUMIFS('사업계획(매출 확정본)'!$T$12:$T$113,'사업계획(매출 확정본)'!$M$12:$M$113,'매출액 분석'!$B158,'사업계획(매출 확정본)'!$Q$12:$Q$113,'사업계획(매출 확정본)'!$Q$12)</f>
        <v>0</v>
      </c>
      <c r="N158" s="823">
        <f t="shared" si="0"/>
        <v>0</v>
      </c>
    </row>
    <row r="159" spans="2:14" x14ac:dyDescent="0.3">
      <c r="B159" s="1042" t="s">
        <v>7383</v>
      </c>
      <c r="C159" s="1042"/>
      <c r="D159" s="1042"/>
      <c r="E159" s="1042">
        <v>0</v>
      </c>
      <c r="F159" s="1042">
        <v>0</v>
      </c>
      <c r="G159" s="1042">
        <v>0</v>
      </c>
      <c r="H159" s="1042">
        <v>0</v>
      </c>
      <c r="I159" s="1042">
        <v>173720163</v>
      </c>
      <c r="J159" s="1042">
        <v>2</v>
      </c>
      <c r="K159" s="1042">
        <v>0</v>
      </c>
      <c r="L159" s="1042">
        <f>SUMIFS('사업계획(매출 확정본)'!$T$12:$T$160,'사업계획(매출 확정본)'!$M$12:$M$160,'매출액 분석'!$B159,'사업계획(매출 확정본)'!$Q$12:$Q$160,'사업계획(매출 확정본)'!$Q$12)</f>
        <v>0</v>
      </c>
      <c r="M159" s="1042">
        <f>SUMIFS('사업계획(매출 확정본)'!$T$12:$T$113,'사업계획(매출 확정본)'!$M$12:$M$113,'매출액 분석'!$B159,'사업계획(매출 확정본)'!$Q$12:$Q$113,'사업계획(매출 확정본)'!$Q$12)</f>
        <v>0</v>
      </c>
      <c r="N159" s="823">
        <f t="shared" si="0"/>
        <v>0</v>
      </c>
    </row>
    <row r="160" spans="2:14" x14ac:dyDescent="0.3">
      <c r="B160" s="1042" t="s">
        <v>7434</v>
      </c>
      <c r="C160" s="1042"/>
      <c r="D160" s="1042"/>
      <c r="E160" s="1042">
        <v>0</v>
      </c>
      <c r="F160" s="1042">
        <v>0</v>
      </c>
      <c r="G160" s="1042">
        <v>0</v>
      </c>
      <c r="H160" s="1042">
        <v>0</v>
      </c>
      <c r="I160" s="1042">
        <v>131973200</v>
      </c>
      <c r="J160" s="1042">
        <v>1</v>
      </c>
      <c r="K160" s="1042">
        <v>0</v>
      </c>
      <c r="L160" s="1042">
        <f>SUMIFS('사업계획(매출 확정본)'!$T$12:$T$160,'사업계획(매출 확정본)'!$M$12:$M$160,'매출액 분석'!$B160,'사업계획(매출 확정본)'!$Q$12:$Q$160,'사업계획(매출 확정본)'!$Q$12)</f>
        <v>0</v>
      </c>
      <c r="M160" s="1042">
        <f>SUMIFS('사업계획(매출 확정본)'!$T$12:$T$113,'사업계획(매출 확정본)'!$M$12:$M$113,'매출액 분석'!$B160,'사업계획(매출 확정본)'!$Q$12:$Q$113,'사업계획(매출 확정본)'!$Q$12)</f>
        <v>0</v>
      </c>
      <c r="N160" s="823">
        <f t="shared" si="0"/>
        <v>0</v>
      </c>
    </row>
    <row r="161" spans="2:14" x14ac:dyDescent="0.3">
      <c r="B161" s="1042" t="s">
        <v>7436</v>
      </c>
      <c r="C161" s="1042"/>
      <c r="D161" s="1042"/>
      <c r="E161" s="1042">
        <v>0</v>
      </c>
      <c r="F161" s="1042">
        <v>0</v>
      </c>
      <c r="G161" s="1042">
        <v>0</v>
      </c>
      <c r="H161" s="1042">
        <v>128790540</v>
      </c>
      <c r="I161" s="1042">
        <v>130446004</v>
      </c>
      <c r="J161" s="1042">
        <v>1</v>
      </c>
      <c r="K161" s="1042">
        <v>0</v>
      </c>
      <c r="L161" s="1042">
        <f>SUMIFS('사업계획(매출 확정본)'!$T$12:$T$160,'사업계획(매출 확정본)'!$M$12:$M$160,'매출액 분석'!$B161,'사업계획(매출 확정본)'!$Q$12:$Q$160,'사업계획(매출 확정본)'!$Q$12)</f>
        <v>0</v>
      </c>
      <c r="M161" s="1042">
        <f>SUMIFS('사업계획(매출 확정본)'!$T$12:$T$113,'사업계획(매출 확정본)'!$M$12:$M$113,'매출액 분석'!$B161,'사업계획(매출 확정본)'!$Q$12:$Q$113,'사업계획(매출 확정본)'!$Q$12)</f>
        <v>0</v>
      </c>
      <c r="N161" s="823">
        <f t="shared" si="0"/>
        <v>0</v>
      </c>
    </row>
    <row r="162" spans="2:14" x14ac:dyDescent="0.3">
      <c r="B162" s="1042" t="s">
        <v>7438</v>
      </c>
      <c r="C162" s="1042"/>
      <c r="D162" s="1042"/>
      <c r="E162" s="1042">
        <v>0</v>
      </c>
      <c r="F162" s="1042">
        <v>0</v>
      </c>
      <c r="G162" s="1042">
        <v>0</v>
      </c>
      <c r="H162" s="1042">
        <v>0</v>
      </c>
      <c r="I162" s="1042">
        <v>124579177</v>
      </c>
      <c r="J162" s="1042">
        <v>1</v>
      </c>
      <c r="K162" s="1042">
        <v>0</v>
      </c>
      <c r="L162" s="1042">
        <f>SUMIFS('사업계획(매출 확정본)'!$T$12:$T$160,'사업계획(매출 확정본)'!$M$12:$M$160,'매출액 분석'!$B162,'사업계획(매출 확정본)'!$Q$12:$Q$160,'사업계획(매출 확정본)'!$Q$12)</f>
        <v>0</v>
      </c>
      <c r="M162" s="1042">
        <f>SUMIFS('사업계획(매출 확정본)'!$T$12:$T$113,'사업계획(매출 확정본)'!$M$12:$M$113,'매출액 분석'!$B162,'사업계획(매출 확정본)'!$Q$12:$Q$113,'사업계획(매출 확정본)'!$Q$12)</f>
        <v>0</v>
      </c>
      <c r="N162" s="823">
        <f t="shared" si="0"/>
        <v>0</v>
      </c>
    </row>
    <row r="163" spans="2:14" x14ac:dyDescent="0.3">
      <c r="B163" s="1042" t="s">
        <v>2042</v>
      </c>
      <c r="C163" s="1042"/>
      <c r="D163" s="1042"/>
      <c r="E163" s="1042">
        <v>0</v>
      </c>
      <c r="F163" s="1042">
        <v>0</v>
      </c>
      <c r="G163" s="1042">
        <v>0</v>
      </c>
      <c r="H163" s="1042">
        <v>0</v>
      </c>
      <c r="I163" s="1042">
        <v>119390909</v>
      </c>
      <c r="J163" s="1042">
        <v>2</v>
      </c>
      <c r="K163" s="1042">
        <v>0</v>
      </c>
      <c r="L163" s="1042">
        <f>SUMIFS('사업계획(매출 확정본)'!$T$12:$T$160,'사업계획(매출 확정본)'!$M$12:$M$160,'매출액 분석'!$B163,'사업계획(매출 확정본)'!$Q$12:$Q$160,'사업계획(매출 확정본)'!$Q$12)</f>
        <v>0</v>
      </c>
      <c r="M163" s="1042">
        <f>SUMIFS('사업계획(매출 확정본)'!$T$12:$T$113,'사업계획(매출 확정본)'!$M$12:$M$113,'매출액 분석'!$B163,'사업계획(매출 확정본)'!$Q$12:$Q$113,'사업계획(매출 확정본)'!$Q$12)</f>
        <v>0</v>
      </c>
      <c r="N163" s="823">
        <f t="shared" si="0"/>
        <v>0</v>
      </c>
    </row>
    <row r="164" spans="2:14" x14ac:dyDescent="0.3">
      <c r="B164" s="1042" t="s">
        <v>7365</v>
      </c>
      <c r="C164" s="1042"/>
      <c r="D164" s="1042"/>
      <c r="E164" s="1042">
        <v>0</v>
      </c>
      <c r="F164" s="1042">
        <v>0</v>
      </c>
      <c r="G164" s="1042">
        <v>0</v>
      </c>
      <c r="H164" s="1042">
        <v>0</v>
      </c>
      <c r="I164" s="1042">
        <v>119505909</v>
      </c>
      <c r="J164" s="1042">
        <v>6</v>
      </c>
      <c r="K164" s="1042">
        <v>0</v>
      </c>
      <c r="L164" s="1042">
        <f>SUMIFS('사업계획(매출 확정본)'!$T$12:$T$160,'사업계획(매출 확정본)'!$M$12:$M$160,'매출액 분석'!$B164,'사업계획(매출 확정본)'!$Q$12:$Q$160,'사업계획(매출 확정본)'!$Q$12)</f>
        <v>0</v>
      </c>
      <c r="M164" s="1042">
        <f>SUMIFS('사업계획(매출 확정본)'!$T$12:$T$113,'사업계획(매출 확정본)'!$M$12:$M$113,'매출액 분석'!$B164,'사업계획(매출 확정본)'!$Q$12:$Q$113,'사업계획(매출 확정본)'!$Q$12)</f>
        <v>0</v>
      </c>
      <c r="N164" s="823">
        <f t="shared" si="0"/>
        <v>0</v>
      </c>
    </row>
    <row r="165" spans="2:14" x14ac:dyDescent="0.3">
      <c r="B165" s="1042" t="s">
        <v>7358</v>
      </c>
      <c r="C165" s="1042"/>
      <c r="D165" s="1042"/>
      <c r="E165" s="1042">
        <v>0</v>
      </c>
      <c r="F165" s="1042">
        <v>0</v>
      </c>
      <c r="G165" s="1042">
        <v>0</v>
      </c>
      <c r="H165" s="1042">
        <v>0</v>
      </c>
      <c r="I165" s="1042">
        <v>94736636</v>
      </c>
      <c r="J165" s="1042">
        <v>3</v>
      </c>
      <c r="K165" s="1042">
        <v>0</v>
      </c>
      <c r="L165" s="1042">
        <f>SUMIFS('사업계획(매출 확정본)'!$T$12:$T$160,'사업계획(매출 확정본)'!$M$12:$M$160,'매출액 분석'!$B165,'사업계획(매출 확정본)'!$Q$12:$Q$160,'사업계획(매출 확정본)'!$Q$12)</f>
        <v>0</v>
      </c>
      <c r="M165" s="1042">
        <f>SUMIFS('사업계획(매출 확정본)'!$T$12:$T$113,'사업계획(매출 확정본)'!$M$12:$M$113,'매출액 분석'!$B165,'사업계획(매출 확정본)'!$Q$12:$Q$113,'사업계획(매출 확정본)'!$Q$12)</f>
        <v>0</v>
      </c>
      <c r="N165" s="823">
        <f t="shared" si="0"/>
        <v>0</v>
      </c>
    </row>
    <row r="166" spans="2:14" x14ac:dyDescent="0.3">
      <c r="B166" s="1042" t="s">
        <v>7357</v>
      </c>
      <c r="C166" s="1042"/>
      <c r="D166" s="1042"/>
      <c r="E166" s="1042">
        <v>0</v>
      </c>
      <c r="F166" s="1042">
        <v>0</v>
      </c>
      <c r="G166" s="1042">
        <v>0</v>
      </c>
      <c r="H166" s="1042">
        <v>0</v>
      </c>
      <c r="I166" s="1042">
        <v>92272727</v>
      </c>
      <c r="J166" s="1042">
        <v>1</v>
      </c>
      <c r="K166" s="1042">
        <v>0</v>
      </c>
      <c r="L166" s="1042">
        <f>SUMIFS('사업계획(매출 확정본)'!$T$12:$T$160,'사업계획(매출 확정본)'!$M$12:$M$160,'매출액 분석'!$B166,'사업계획(매출 확정본)'!$Q$12:$Q$160,'사업계획(매출 확정본)'!$Q$12)</f>
        <v>0</v>
      </c>
      <c r="M166" s="1042">
        <f>SUMIFS('사업계획(매출 확정본)'!$T$12:$T$113,'사업계획(매출 확정본)'!$M$12:$M$113,'매출액 분석'!$B166,'사업계획(매출 확정본)'!$Q$12:$Q$113,'사업계획(매출 확정본)'!$Q$12)</f>
        <v>0</v>
      </c>
      <c r="N166" s="823">
        <f t="shared" si="0"/>
        <v>0</v>
      </c>
    </row>
    <row r="167" spans="2:14" x14ac:dyDescent="0.3">
      <c r="B167" s="1042" t="s">
        <v>2875</v>
      </c>
      <c r="C167" s="1042"/>
      <c r="D167" s="1042"/>
      <c r="E167" s="1042">
        <v>0</v>
      </c>
      <c r="F167" s="1042">
        <v>0</v>
      </c>
      <c r="G167" s="1042">
        <v>0</v>
      </c>
      <c r="H167" s="1042">
        <v>0</v>
      </c>
      <c r="I167" s="1042">
        <v>88507727</v>
      </c>
      <c r="J167" s="1042">
        <v>1</v>
      </c>
      <c r="K167" s="1042">
        <v>0</v>
      </c>
      <c r="L167" s="1042">
        <f>SUMIFS('사업계획(매출 확정본)'!$T$12:$T$160,'사업계획(매출 확정본)'!$M$12:$M$160,'매출액 분석'!$B167,'사업계획(매출 확정본)'!$Q$12:$Q$160,'사업계획(매출 확정본)'!$Q$12)</f>
        <v>0</v>
      </c>
      <c r="M167" s="1042">
        <f>SUMIFS('사업계획(매출 확정본)'!$T$12:$T$113,'사업계획(매출 확정본)'!$M$12:$M$113,'매출액 분석'!$B167,'사업계획(매출 확정본)'!$Q$12:$Q$113,'사업계획(매출 확정본)'!$Q$12)</f>
        <v>0</v>
      </c>
      <c r="N167" s="823">
        <f t="shared" si="0"/>
        <v>0</v>
      </c>
    </row>
    <row r="168" spans="2:14" x14ac:dyDescent="0.3">
      <c r="B168" s="1042" t="s">
        <v>7367</v>
      </c>
      <c r="C168" s="1042"/>
      <c r="D168" s="1042"/>
      <c r="E168" s="1042">
        <v>0</v>
      </c>
      <c r="F168" s="1042">
        <v>0</v>
      </c>
      <c r="G168" s="1042">
        <v>0</v>
      </c>
      <c r="H168" s="1042">
        <v>0</v>
      </c>
      <c r="I168" s="1042">
        <v>85837700</v>
      </c>
      <c r="J168" s="1042">
        <v>1</v>
      </c>
      <c r="K168" s="1042">
        <v>0</v>
      </c>
      <c r="L168" s="1042">
        <f>SUMIFS('사업계획(매출 확정본)'!$T$12:$T$160,'사업계획(매출 확정본)'!$M$12:$M$160,'매출액 분석'!$B168,'사업계획(매출 확정본)'!$Q$12:$Q$160,'사업계획(매출 확정본)'!$Q$12)</f>
        <v>0</v>
      </c>
      <c r="M168" s="1042">
        <f>SUMIFS('사업계획(매출 확정본)'!$T$12:$T$113,'사업계획(매출 확정본)'!$M$12:$M$113,'매출액 분석'!$B168,'사업계획(매출 확정본)'!$Q$12:$Q$113,'사업계획(매출 확정본)'!$Q$12)</f>
        <v>0</v>
      </c>
      <c r="N168" s="823">
        <f t="shared" si="0"/>
        <v>0</v>
      </c>
    </row>
    <row r="169" spans="2:14" x14ac:dyDescent="0.3">
      <c r="B169" s="1042" t="s">
        <v>2820</v>
      </c>
      <c r="C169" s="1042"/>
      <c r="D169" s="1042"/>
      <c r="E169" s="1042">
        <v>183210911</v>
      </c>
      <c r="F169" s="1042">
        <v>0</v>
      </c>
      <c r="G169" s="1042">
        <v>0</v>
      </c>
      <c r="H169" s="1042">
        <v>0</v>
      </c>
      <c r="I169" s="1042">
        <v>73736365</v>
      </c>
      <c r="J169" s="1042">
        <v>2</v>
      </c>
      <c r="K169" s="1042">
        <v>298000000</v>
      </c>
      <c r="L169" s="1042">
        <f>SUMIFS('사업계획(매출 확정본)'!$T$12:$T$160,'사업계획(매출 확정본)'!$M$12:$M$160,'매출액 분석'!$B169,'사업계획(매출 확정본)'!$Q$12:$Q$160,'사업계획(매출 확정본)'!$Q$12)</f>
        <v>10</v>
      </c>
      <c r="M169" s="1042">
        <f>SUMIFS('사업계획(매출 확정본)'!$T$12:$T$113,'사업계획(매출 확정본)'!$M$12:$M$113,'매출액 분석'!$B169,'사업계획(매출 확정본)'!$Q$12:$Q$113,'사업계획(매출 확정본)'!$Q$12)</f>
        <v>10</v>
      </c>
      <c r="N169" s="823">
        <f t="shared" si="0"/>
        <v>0</v>
      </c>
    </row>
    <row r="170" spans="2:14" x14ac:dyDescent="0.3">
      <c r="B170" s="1042" t="s">
        <v>2838</v>
      </c>
      <c r="C170" s="1042"/>
      <c r="D170" s="1042"/>
      <c r="E170" s="1042">
        <v>25150000</v>
      </c>
      <c r="F170" s="1042">
        <v>0</v>
      </c>
      <c r="G170" s="1042">
        <v>0</v>
      </c>
      <c r="H170" s="1042">
        <v>0</v>
      </c>
      <c r="I170" s="1042">
        <v>73500000</v>
      </c>
      <c r="J170" s="1042">
        <v>3</v>
      </c>
      <c r="K170" s="1042">
        <v>0</v>
      </c>
      <c r="L170" s="1042">
        <f>SUMIFS('사업계획(매출 확정본)'!$T$12:$T$160,'사업계획(매출 확정본)'!$M$12:$M$160,'매출액 분석'!$B170,'사업계획(매출 확정본)'!$Q$12:$Q$160,'사업계획(매출 확정본)'!$Q$12)</f>
        <v>0</v>
      </c>
      <c r="M170" s="1042">
        <f>SUMIFS('사업계획(매출 확정본)'!$T$12:$T$113,'사업계획(매출 확정본)'!$M$12:$M$113,'매출액 분석'!$B170,'사업계획(매출 확정본)'!$Q$12:$Q$113,'사업계획(매출 확정본)'!$Q$12)</f>
        <v>0</v>
      </c>
      <c r="N170" s="823">
        <f t="shared" si="0"/>
        <v>0</v>
      </c>
    </row>
    <row r="171" spans="2:14" x14ac:dyDescent="0.3">
      <c r="B171" s="1042" t="s">
        <v>2050</v>
      </c>
      <c r="C171" s="1042"/>
      <c r="D171" s="1042"/>
      <c r="E171" s="1042">
        <v>0</v>
      </c>
      <c r="F171" s="1042">
        <v>0</v>
      </c>
      <c r="G171" s="1042">
        <v>0</v>
      </c>
      <c r="H171" s="1042">
        <v>81943200</v>
      </c>
      <c r="I171" s="1042">
        <v>68487300</v>
      </c>
      <c r="J171" s="1042">
        <v>1</v>
      </c>
      <c r="K171" s="1042">
        <v>0</v>
      </c>
      <c r="L171" s="1042">
        <f>SUMIFS('사업계획(매출 확정본)'!$T$12:$T$160,'사업계획(매출 확정본)'!$M$12:$M$160,'매출액 분석'!$B171,'사업계획(매출 확정본)'!$Q$12:$Q$160,'사업계획(매출 확정본)'!$Q$12)</f>
        <v>0</v>
      </c>
      <c r="M171" s="1042">
        <f>SUMIFS('사업계획(매출 확정본)'!$T$12:$T$113,'사업계획(매출 확정본)'!$M$12:$M$113,'매출액 분석'!$B171,'사업계획(매출 확정본)'!$Q$12:$Q$113,'사업계획(매출 확정본)'!$Q$12)</f>
        <v>0</v>
      </c>
      <c r="N171" s="823">
        <f t="shared" si="0"/>
        <v>0</v>
      </c>
    </row>
    <row r="172" spans="2:14" x14ac:dyDescent="0.3">
      <c r="B172" s="1042" t="s">
        <v>7450</v>
      </c>
      <c r="C172" s="1042"/>
      <c r="D172" s="1042"/>
      <c r="E172" s="1042">
        <v>0</v>
      </c>
      <c r="F172" s="1042">
        <v>0</v>
      </c>
      <c r="G172" s="1042">
        <v>0</v>
      </c>
      <c r="H172" s="1042">
        <v>0</v>
      </c>
      <c r="I172" s="1042">
        <v>50640535</v>
      </c>
      <c r="J172" s="1042">
        <v>1</v>
      </c>
      <c r="K172" s="1042">
        <v>0</v>
      </c>
      <c r="L172" s="1042">
        <f>SUMIFS('사업계획(매출 확정본)'!$T$12:$T$160,'사업계획(매출 확정본)'!$M$12:$M$160,'매출액 분석'!$B172,'사업계획(매출 확정본)'!$Q$12:$Q$160,'사업계획(매출 확정본)'!$Q$12)</f>
        <v>0</v>
      </c>
      <c r="M172" s="1042">
        <f>SUMIFS('사업계획(매출 확정본)'!$T$12:$T$113,'사업계획(매출 확정본)'!$M$12:$M$113,'매출액 분석'!$B172,'사업계획(매출 확정본)'!$Q$12:$Q$113,'사업계획(매출 확정본)'!$Q$12)</f>
        <v>0</v>
      </c>
      <c r="N172" s="823">
        <f t="shared" si="0"/>
        <v>0</v>
      </c>
    </row>
    <row r="173" spans="2:14" x14ac:dyDescent="0.3">
      <c r="B173" s="1042" t="s">
        <v>7376</v>
      </c>
      <c r="C173" s="1042"/>
      <c r="D173" s="1042"/>
      <c r="E173" s="1042">
        <v>0</v>
      </c>
      <c r="F173" s="1042">
        <v>0</v>
      </c>
      <c r="G173" s="1042">
        <v>0</v>
      </c>
      <c r="H173" s="1042">
        <v>0</v>
      </c>
      <c r="I173" s="1042">
        <v>49527273</v>
      </c>
      <c r="J173" s="1042">
        <v>1</v>
      </c>
      <c r="K173" s="1042">
        <v>0</v>
      </c>
      <c r="L173" s="1042">
        <f>SUMIFS('사업계획(매출 확정본)'!$T$12:$T$160,'사업계획(매출 확정본)'!$M$12:$M$160,'매출액 분석'!$B173,'사업계획(매출 확정본)'!$Q$12:$Q$160,'사업계획(매출 확정본)'!$Q$12)</f>
        <v>0</v>
      </c>
      <c r="M173" s="1042">
        <f>SUMIFS('사업계획(매출 확정본)'!$T$12:$T$113,'사업계획(매출 확정본)'!$M$12:$M$113,'매출액 분석'!$B173,'사업계획(매출 확정본)'!$Q$12:$Q$113,'사업계획(매출 확정본)'!$Q$12)</f>
        <v>0</v>
      </c>
      <c r="N173" s="823">
        <f t="shared" si="0"/>
        <v>0</v>
      </c>
    </row>
    <row r="174" spans="2:14" x14ac:dyDescent="0.3">
      <c r="B174" s="1042" t="s">
        <v>2823</v>
      </c>
      <c r="C174" s="1042"/>
      <c r="D174" s="1042"/>
      <c r="E174" s="1042">
        <v>45000000</v>
      </c>
      <c r="F174" s="1042">
        <v>0</v>
      </c>
      <c r="G174" s="1042">
        <v>0</v>
      </c>
      <c r="H174" s="1042">
        <v>0</v>
      </c>
      <c r="I174" s="1042">
        <v>42000000</v>
      </c>
      <c r="J174" s="1042">
        <v>2</v>
      </c>
      <c r="K174" s="1042">
        <v>0</v>
      </c>
      <c r="L174" s="1042">
        <f>SUMIFS('사업계획(매출 확정본)'!$T$12:$T$160,'사업계획(매출 확정본)'!$M$12:$M$160,'매출액 분석'!$B174,'사업계획(매출 확정본)'!$Q$12:$Q$160,'사업계획(매출 확정본)'!$Q$12)</f>
        <v>0</v>
      </c>
      <c r="M174" s="1042">
        <f>SUMIFS('사업계획(매출 확정본)'!$T$12:$T$113,'사업계획(매출 확정본)'!$M$12:$M$113,'매출액 분석'!$B174,'사업계획(매출 확정본)'!$Q$12:$Q$113,'사업계획(매출 확정본)'!$Q$12)</f>
        <v>0</v>
      </c>
      <c r="N174" s="823">
        <f t="shared" si="0"/>
        <v>0</v>
      </c>
    </row>
    <row r="175" spans="2:14" x14ac:dyDescent="0.3">
      <c r="B175" s="1042" t="s">
        <v>7454</v>
      </c>
      <c r="C175" s="1042"/>
      <c r="D175" s="1042"/>
      <c r="E175" s="1042">
        <v>0</v>
      </c>
      <c r="F175" s="1042">
        <v>0</v>
      </c>
      <c r="G175" s="1042">
        <v>0</v>
      </c>
      <c r="H175" s="1042">
        <v>0</v>
      </c>
      <c r="I175" s="1042">
        <v>38008432</v>
      </c>
      <c r="J175" s="1042">
        <v>1</v>
      </c>
      <c r="K175" s="1042">
        <v>0</v>
      </c>
      <c r="L175" s="1042">
        <f>SUMIFS('사업계획(매출 확정본)'!$T$12:$T$160,'사업계획(매출 확정본)'!$M$12:$M$160,'매출액 분석'!$B175,'사업계획(매출 확정본)'!$Q$12:$Q$160,'사업계획(매출 확정본)'!$Q$12)</f>
        <v>0</v>
      </c>
      <c r="M175" s="1042">
        <f>SUMIFS('사업계획(매출 확정본)'!$T$12:$T$113,'사업계획(매출 확정본)'!$M$12:$M$113,'매출액 분석'!$B175,'사업계획(매출 확정본)'!$Q$12:$Q$113,'사업계획(매출 확정본)'!$Q$12)</f>
        <v>0</v>
      </c>
      <c r="N175" s="823">
        <f t="shared" si="0"/>
        <v>0</v>
      </c>
    </row>
    <row r="176" spans="2:14" x14ac:dyDescent="0.3">
      <c r="B176" s="1042" t="s">
        <v>6321</v>
      </c>
      <c r="C176" s="1042"/>
      <c r="D176" s="1042"/>
      <c r="E176" s="1042">
        <v>0</v>
      </c>
      <c r="F176" s="1042">
        <v>0</v>
      </c>
      <c r="G176" s="1042">
        <v>0</v>
      </c>
      <c r="H176" s="1042">
        <v>0</v>
      </c>
      <c r="I176" s="1042">
        <v>37150000</v>
      </c>
      <c r="J176" s="1042">
        <v>1</v>
      </c>
      <c r="K176" s="1042">
        <v>0</v>
      </c>
      <c r="L176" s="1042">
        <f>SUMIFS('사업계획(매출 확정본)'!$T$12:$T$160,'사업계획(매출 확정본)'!$M$12:$M$160,'매출액 분석'!$B176,'사업계획(매출 확정본)'!$Q$12:$Q$160,'사업계획(매출 확정본)'!$Q$12)</f>
        <v>0</v>
      </c>
      <c r="M176" s="1042">
        <f>SUMIFS('사업계획(매출 확정본)'!$T$12:$T$113,'사업계획(매출 확정본)'!$M$12:$M$113,'매출액 분석'!$B176,'사업계획(매출 확정본)'!$Q$12:$Q$113,'사업계획(매출 확정본)'!$Q$12)</f>
        <v>0</v>
      </c>
      <c r="N176" s="823">
        <f t="shared" si="0"/>
        <v>0</v>
      </c>
    </row>
    <row r="177" spans="2:14" x14ac:dyDescent="0.3">
      <c r="B177" s="1042" t="s">
        <v>2846</v>
      </c>
      <c r="C177" s="1042"/>
      <c r="D177" s="1042"/>
      <c r="E177" s="1042">
        <v>0</v>
      </c>
      <c r="F177" s="1042">
        <v>0</v>
      </c>
      <c r="G177" s="1042">
        <v>0</v>
      </c>
      <c r="H177" s="1042">
        <v>0</v>
      </c>
      <c r="I177" s="1042">
        <v>36900000</v>
      </c>
      <c r="J177" s="1042">
        <v>1</v>
      </c>
      <c r="K177" s="1042">
        <v>553500000</v>
      </c>
      <c r="L177" s="1042">
        <f>SUMIFS('사업계획(매출 확정본)'!$T$12:$T$160,'사업계획(매출 확정본)'!$M$12:$M$160,'매출액 분석'!$B177,'사업계획(매출 확정본)'!$Q$12:$Q$160,'사업계획(매출 확정본)'!$Q$12)</f>
        <v>25</v>
      </c>
      <c r="M177" s="1042">
        <f>SUMIFS('사업계획(매출 확정본)'!$T$12:$T$113,'사업계획(매출 확정본)'!$M$12:$M$113,'매출액 분석'!$B177,'사업계획(매출 확정본)'!$Q$12:$Q$113,'사업계획(매출 확정본)'!$Q$12)</f>
        <v>25</v>
      </c>
      <c r="N177" s="823">
        <f t="shared" si="0"/>
        <v>0</v>
      </c>
    </row>
    <row r="178" spans="2:14" x14ac:dyDescent="0.3">
      <c r="B178" s="1042" t="s">
        <v>7363</v>
      </c>
      <c r="C178" s="1042"/>
      <c r="D178" s="1042"/>
      <c r="E178" s="1042">
        <v>0</v>
      </c>
      <c r="F178" s="1042">
        <v>0</v>
      </c>
      <c r="G178" s="1042">
        <v>0</v>
      </c>
      <c r="H178" s="1042">
        <v>0</v>
      </c>
      <c r="I178" s="1042">
        <v>34142000</v>
      </c>
      <c r="J178" s="1042">
        <v>1</v>
      </c>
      <c r="K178" s="1042">
        <v>0</v>
      </c>
      <c r="L178" s="1042">
        <f>SUMIFS('사업계획(매출 확정본)'!$T$12:$T$160,'사업계획(매출 확정본)'!$M$12:$M$160,'매출액 분석'!$B178,'사업계획(매출 확정본)'!$Q$12:$Q$160,'사업계획(매출 확정본)'!$Q$12)</f>
        <v>0</v>
      </c>
      <c r="M178" s="1042">
        <f>SUMIFS('사업계획(매출 확정본)'!$T$12:$T$113,'사업계획(매출 확정본)'!$M$12:$M$113,'매출액 분석'!$B178,'사업계획(매출 확정본)'!$Q$12:$Q$113,'사업계획(매출 확정본)'!$Q$12)</f>
        <v>0</v>
      </c>
      <c r="N178" s="823">
        <f t="shared" si="0"/>
        <v>0</v>
      </c>
    </row>
    <row r="179" spans="2:14" x14ac:dyDescent="0.3">
      <c r="B179" s="1042" t="s">
        <v>7360</v>
      </c>
      <c r="C179" s="1042"/>
      <c r="D179" s="1042"/>
      <c r="E179" s="1042">
        <v>0</v>
      </c>
      <c r="F179" s="1042">
        <v>0</v>
      </c>
      <c r="G179" s="1042">
        <v>0</v>
      </c>
      <c r="H179" s="1042">
        <v>0</v>
      </c>
      <c r="I179" s="1042">
        <v>33420000</v>
      </c>
      <c r="J179" s="1042">
        <v>1</v>
      </c>
      <c r="K179" s="1042">
        <v>0</v>
      </c>
      <c r="L179" s="1042">
        <f>SUMIFS('사업계획(매출 확정본)'!$T$12:$T$160,'사업계획(매출 확정본)'!$M$12:$M$160,'매출액 분석'!$B179,'사업계획(매출 확정본)'!$Q$12:$Q$160,'사업계획(매출 확정본)'!$Q$12)</f>
        <v>0</v>
      </c>
      <c r="M179" s="1042">
        <f>SUMIFS('사업계획(매출 확정본)'!$T$12:$T$113,'사업계획(매출 확정본)'!$M$12:$M$113,'매출액 분석'!$B179,'사업계획(매출 확정본)'!$Q$12:$Q$113,'사업계획(매출 확정본)'!$Q$12)</f>
        <v>0</v>
      </c>
      <c r="N179" s="823">
        <f t="shared" si="0"/>
        <v>0</v>
      </c>
    </row>
    <row r="180" spans="2:14" x14ac:dyDescent="0.3">
      <c r="B180" s="1042" t="s">
        <v>7362</v>
      </c>
      <c r="C180" s="1042"/>
      <c r="D180" s="1042"/>
      <c r="E180" s="1042">
        <v>0</v>
      </c>
      <c r="F180" s="1042">
        <v>0</v>
      </c>
      <c r="G180" s="1042">
        <v>0</v>
      </c>
      <c r="H180" s="1042">
        <v>0</v>
      </c>
      <c r="I180" s="1042">
        <v>33015000</v>
      </c>
      <c r="J180" s="1042">
        <v>1</v>
      </c>
      <c r="K180" s="1042">
        <v>0</v>
      </c>
      <c r="L180" s="1042">
        <f>SUMIFS('사업계획(매출 확정본)'!$T$12:$T$160,'사업계획(매출 확정본)'!$M$12:$M$160,'매출액 분석'!$B180,'사업계획(매출 확정본)'!$Q$12:$Q$160,'사업계획(매출 확정본)'!$Q$12)</f>
        <v>0</v>
      </c>
      <c r="M180" s="1042">
        <f>SUMIFS('사업계획(매출 확정본)'!$T$12:$T$113,'사업계획(매출 확정본)'!$M$12:$M$113,'매출액 분석'!$B180,'사업계획(매출 확정본)'!$Q$12:$Q$113,'사업계획(매출 확정본)'!$Q$12)</f>
        <v>0</v>
      </c>
      <c r="N180" s="823">
        <f t="shared" si="0"/>
        <v>0</v>
      </c>
    </row>
    <row r="181" spans="2:14" x14ac:dyDescent="0.3">
      <c r="B181" s="1042" t="s">
        <v>2030</v>
      </c>
      <c r="C181" s="1042"/>
      <c r="D181" s="1042"/>
      <c r="E181" s="1042">
        <v>0</v>
      </c>
      <c r="F181" s="1042">
        <v>19813236</v>
      </c>
      <c r="G181" s="1042">
        <v>57160050</v>
      </c>
      <c r="H181" s="1042">
        <v>53399007</v>
      </c>
      <c r="I181" s="1042">
        <v>27562428</v>
      </c>
      <c r="J181" s="1042">
        <v>1</v>
      </c>
      <c r="K181" s="1042">
        <v>0</v>
      </c>
      <c r="L181" s="1042">
        <f>SUMIFS('사업계획(매출 확정본)'!$T$12:$T$160,'사업계획(매출 확정본)'!$M$12:$M$160,'매출액 분석'!$B181,'사업계획(매출 확정본)'!$Q$12:$Q$160,'사업계획(매출 확정본)'!$Q$12)</f>
        <v>0</v>
      </c>
      <c r="M181" s="1042">
        <f>SUMIFS('사업계획(매출 확정본)'!$T$12:$T$113,'사업계획(매출 확정본)'!$M$12:$M$113,'매출액 분석'!$B181,'사업계획(매출 확정본)'!$Q$12:$Q$113,'사업계획(매출 확정본)'!$Q$12)</f>
        <v>0</v>
      </c>
      <c r="N181" s="823">
        <f t="shared" si="0"/>
        <v>0</v>
      </c>
    </row>
    <row r="182" spans="2:14" x14ac:dyDescent="0.3">
      <c r="B182" s="1042" t="s">
        <v>2891</v>
      </c>
      <c r="C182" s="1042"/>
      <c r="D182" s="1042"/>
      <c r="E182" s="1042">
        <v>0</v>
      </c>
      <c r="F182" s="1042">
        <v>0</v>
      </c>
      <c r="G182" s="1042">
        <v>0</v>
      </c>
      <c r="H182" s="1042">
        <v>0</v>
      </c>
      <c r="I182" s="1042">
        <v>17727273</v>
      </c>
      <c r="J182" s="1042">
        <v>1</v>
      </c>
      <c r="K182" s="1042">
        <v>0</v>
      </c>
      <c r="L182" s="1042">
        <f>SUMIFS('사업계획(매출 확정본)'!$T$12:$T$160,'사업계획(매출 확정본)'!$M$12:$M$160,'매출액 분석'!$B182,'사업계획(매출 확정본)'!$Q$12:$Q$160,'사업계획(매출 확정본)'!$Q$12)</f>
        <v>0</v>
      </c>
      <c r="M182" s="1042">
        <f>SUMIFS('사업계획(매출 확정본)'!$T$12:$T$113,'사업계획(매출 확정본)'!$M$12:$M$113,'매출액 분석'!$B182,'사업계획(매출 확정본)'!$Q$12:$Q$113,'사업계획(매출 확정본)'!$Q$12)</f>
        <v>0</v>
      </c>
      <c r="N182" s="823">
        <f t="shared" si="0"/>
        <v>0</v>
      </c>
    </row>
    <row r="183" spans="2:14" x14ac:dyDescent="0.3">
      <c r="B183" s="1042" t="s">
        <v>7379</v>
      </c>
      <c r="C183" s="1042"/>
      <c r="D183" s="1042"/>
      <c r="E183" s="1042">
        <v>0</v>
      </c>
      <c r="F183" s="1042">
        <v>0</v>
      </c>
      <c r="G183" s="1042">
        <v>0</v>
      </c>
      <c r="H183" s="1042">
        <v>0</v>
      </c>
      <c r="I183" s="1042">
        <v>17558880</v>
      </c>
      <c r="J183" s="1042">
        <v>1</v>
      </c>
      <c r="K183" s="1042">
        <v>0</v>
      </c>
      <c r="L183" s="1042">
        <f>SUMIFS('사업계획(매출 확정본)'!$T$12:$T$160,'사업계획(매출 확정본)'!$M$12:$M$160,'매출액 분석'!$B183,'사업계획(매출 확정본)'!$Q$12:$Q$160,'사업계획(매출 확정본)'!$Q$12)</f>
        <v>0</v>
      </c>
      <c r="M183" s="1042">
        <f>SUMIFS('사업계획(매출 확정본)'!$T$12:$T$113,'사업계획(매출 확정본)'!$M$12:$M$113,'매출액 분석'!$B183,'사업계획(매출 확정본)'!$Q$12:$Q$113,'사업계획(매출 확정본)'!$Q$12)</f>
        <v>0</v>
      </c>
      <c r="N183" s="823">
        <f t="shared" ref="N183:N210" si="1">L183-M183</f>
        <v>0</v>
      </c>
    </row>
    <row r="184" spans="2:14" x14ac:dyDescent="0.3">
      <c r="B184" s="1042" t="s">
        <v>2052</v>
      </c>
      <c r="C184" s="1042"/>
      <c r="D184" s="1042"/>
      <c r="E184" s="1042">
        <v>0</v>
      </c>
      <c r="F184" s="1042">
        <v>0</v>
      </c>
      <c r="G184" s="1042">
        <v>0</v>
      </c>
      <c r="H184" s="1042">
        <v>0</v>
      </c>
      <c r="I184" s="1042">
        <v>16800000</v>
      </c>
      <c r="J184" s="1042">
        <v>2</v>
      </c>
      <c r="K184" s="1042">
        <v>0</v>
      </c>
      <c r="L184" s="1042">
        <f>SUMIFS('사업계획(매출 확정본)'!$T$12:$T$160,'사업계획(매출 확정본)'!$M$12:$M$160,'매출액 분석'!$B184,'사업계획(매출 확정본)'!$Q$12:$Q$160,'사업계획(매출 확정본)'!$Q$12)</f>
        <v>0</v>
      </c>
      <c r="M184" s="1042">
        <f>SUMIFS('사업계획(매출 확정본)'!$T$12:$T$113,'사업계획(매출 확정본)'!$M$12:$M$113,'매출액 분석'!$B184,'사업계획(매출 확정본)'!$Q$12:$Q$113,'사업계획(매출 확정본)'!$Q$12)</f>
        <v>0</v>
      </c>
      <c r="N184" s="823">
        <f t="shared" si="1"/>
        <v>0</v>
      </c>
    </row>
    <row r="185" spans="2:14" x14ac:dyDescent="0.3">
      <c r="B185" s="1042" t="s">
        <v>7467</v>
      </c>
      <c r="C185" s="1042"/>
      <c r="D185" s="1042"/>
      <c r="E185" s="1042">
        <v>0</v>
      </c>
      <c r="F185" s="1042">
        <v>0</v>
      </c>
      <c r="G185" s="1042">
        <v>0</v>
      </c>
      <c r="H185" s="1042">
        <v>0</v>
      </c>
      <c r="I185" s="1042">
        <v>15475500</v>
      </c>
      <c r="J185" s="1042">
        <v>1</v>
      </c>
      <c r="K185" s="1042">
        <v>0</v>
      </c>
      <c r="L185" s="1042">
        <f>SUMIFS('사업계획(매출 확정본)'!$T$12:$T$160,'사업계획(매출 확정본)'!$M$12:$M$160,'매출액 분석'!$B185,'사업계획(매출 확정본)'!$Q$12:$Q$160,'사업계획(매출 확정본)'!$Q$12)</f>
        <v>0</v>
      </c>
      <c r="M185" s="1042">
        <f>SUMIFS('사업계획(매출 확정본)'!$T$12:$T$113,'사업계획(매출 확정본)'!$M$12:$M$113,'매출액 분석'!$B185,'사업계획(매출 확정본)'!$Q$12:$Q$113,'사업계획(매출 확정본)'!$Q$12)</f>
        <v>0</v>
      </c>
      <c r="N185" s="823">
        <f t="shared" si="1"/>
        <v>0</v>
      </c>
    </row>
    <row r="186" spans="2:14" x14ac:dyDescent="0.3">
      <c r="B186" s="1042" t="s">
        <v>7469</v>
      </c>
      <c r="C186" s="1042"/>
      <c r="D186" s="1042"/>
      <c r="E186" s="1042">
        <v>0</v>
      </c>
      <c r="F186" s="1042">
        <v>0</v>
      </c>
      <c r="G186" s="1042">
        <v>0</v>
      </c>
      <c r="H186" s="1042">
        <v>0</v>
      </c>
      <c r="I186" s="1042">
        <v>14909091</v>
      </c>
      <c r="J186" s="1042">
        <v>1</v>
      </c>
      <c r="K186" s="1042">
        <v>0</v>
      </c>
      <c r="L186" s="1042">
        <f>SUMIFS('사업계획(매출 확정본)'!$T$12:$T$160,'사업계획(매출 확정본)'!$M$12:$M$160,'매출액 분석'!$B186,'사업계획(매출 확정본)'!$Q$12:$Q$160,'사업계획(매출 확정본)'!$Q$12)</f>
        <v>0</v>
      </c>
      <c r="M186" s="1042">
        <f>SUMIFS('사업계획(매출 확정본)'!$T$12:$T$113,'사업계획(매출 확정본)'!$M$12:$M$113,'매출액 분석'!$B186,'사업계획(매출 확정본)'!$Q$12:$Q$113,'사업계획(매출 확정본)'!$Q$12)</f>
        <v>0</v>
      </c>
      <c r="N186" s="823">
        <f t="shared" si="1"/>
        <v>0</v>
      </c>
    </row>
    <row r="187" spans="2:14" x14ac:dyDescent="0.3">
      <c r="B187" s="1042" t="s">
        <v>2826</v>
      </c>
      <c r="C187" s="1042"/>
      <c r="D187" s="1042"/>
      <c r="E187" s="1042">
        <v>0</v>
      </c>
      <c r="F187" s="1042">
        <v>0</v>
      </c>
      <c r="G187" s="1042">
        <v>0</v>
      </c>
      <c r="H187" s="1042">
        <v>0</v>
      </c>
      <c r="I187" s="1042">
        <v>13954545</v>
      </c>
      <c r="J187" s="1042">
        <v>1</v>
      </c>
      <c r="K187" s="1042">
        <v>0</v>
      </c>
      <c r="L187" s="1042">
        <f>SUMIFS('사업계획(매출 확정본)'!$T$12:$T$160,'사업계획(매출 확정본)'!$M$12:$M$160,'매출액 분석'!$B187,'사업계획(매출 확정본)'!$Q$12:$Q$160,'사업계획(매출 확정본)'!$Q$12)</f>
        <v>0</v>
      </c>
      <c r="M187" s="1042">
        <f>SUMIFS('사업계획(매출 확정본)'!$T$12:$T$113,'사업계획(매출 확정본)'!$M$12:$M$113,'매출액 분석'!$B187,'사업계획(매출 확정본)'!$Q$12:$Q$113,'사업계획(매출 확정본)'!$Q$12)</f>
        <v>0</v>
      </c>
      <c r="N187" s="823">
        <f t="shared" si="1"/>
        <v>0</v>
      </c>
    </row>
    <row r="188" spans="2:14" x14ac:dyDescent="0.3">
      <c r="B188" s="1042" t="s">
        <v>7089</v>
      </c>
      <c r="C188" s="1042"/>
      <c r="D188" s="1042"/>
      <c r="E188" s="1042">
        <v>0</v>
      </c>
      <c r="F188" s="1042">
        <v>0</v>
      </c>
      <c r="G188" s="1042">
        <v>0</v>
      </c>
      <c r="H188" s="1042">
        <v>0</v>
      </c>
      <c r="I188" s="1042">
        <v>12265000</v>
      </c>
      <c r="J188" s="1042">
        <v>1</v>
      </c>
      <c r="K188" s="1042">
        <v>0</v>
      </c>
      <c r="L188" s="1042">
        <f>SUMIFS('사업계획(매출 확정본)'!$T$12:$T$160,'사업계획(매출 확정본)'!$M$12:$M$160,'매출액 분석'!$B188,'사업계획(매출 확정본)'!$Q$12:$Q$160,'사업계획(매출 확정본)'!$Q$12)</f>
        <v>0</v>
      </c>
      <c r="M188" s="1042">
        <f>SUMIFS('사업계획(매출 확정본)'!$T$12:$T$113,'사업계획(매출 확정본)'!$M$12:$M$113,'매출액 분석'!$B188,'사업계획(매출 확정본)'!$Q$12:$Q$113,'사업계획(매출 확정본)'!$Q$12)</f>
        <v>0</v>
      </c>
      <c r="N188" s="823">
        <f t="shared" si="1"/>
        <v>0</v>
      </c>
    </row>
    <row r="189" spans="2:14" x14ac:dyDescent="0.3">
      <c r="B189" s="1042" t="s">
        <v>7377</v>
      </c>
      <c r="C189" s="1042"/>
      <c r="D189" s="1042"/>
      <c r="E189" s="1042">
        <v>0</v>
      </c>
      <c r="F189" s="1042">
        <v>0</v>
      </c>
      <c r="G189" s="1042">
        <v>0</v>
      </c>
      <c r="H189" s="1042">
        <v>0</v>
      </c>
      <c r="I189" s="1042">
        <v>9090909</v>
      </c>
      <c r="J189" s="1042">
        <v>1</v>
      </c>
      <c r="K189" s="1042">
        <v>11000000000</v>
      </c>
      <c r="L189" s="1042">
        <f>SUMIFS('사업계획(매출 확정본)'!$T$12:$T$160,'사업계획(매출 확정본)'!$M$12:$M$160,'매출액 분석'!$B189,'사업계획(매출 확정본)'!$Q$12:$Q$160,'사업계획(매출 확정본)'!$Q$12)</f>
        <v>110</v>
      </c>
      <c r="M189" s="1042">
        <f>SUMIFS('사업계획(매출 확정본)'!$T$12:$T$113,'사업계획(매출 확정본)'!$M$12:$M$113,'매출액 분석'!$B189,'사업계획(매출 확정본)'!$Q$12:$Q$113,'사업계획(매출 확정본)'!$Q$12)</f>
        <v>110</v>
      </c>
      <c r="N189" s="823">
        <f t="shared" si="1"/>
        <v>0</v>
      </c>
    </row>
    <row r="190" spans="2:14" x14ac:dyDescent="0.3">
      <c r="B190" s="1042" t="s">
        <v>2882</v>
      </c>
      <c r="C190" s="1042"/>
      <c r="D190" s="1042"/>
      <c r="E190" s="1042">
        <v>0</v>
      </c>
      <c r="F190" s="1042">
        <v>0</v>
      </c>
      <c r="G190" s="1042">
        <v>0</v>
      </c>
      <c r="H190" s="1042">
        <v>0</v>
      </c>
      <c r="I190" s="1042">
        <v>8636363</v>
      </c>
      <c r="J190" s="1042">
        <v>1</v>
      </c>
      <c r="K190" s="1042">
        <v>0</v>
      </c>
      <c r="L190" s="1042">
        <f>SUMIFS('사업계획(매출 확정본)'!$T$12:$T$160,'사업계획(매출 확정본)'!$M$12:$M$160,'매출액 분석'!$B190,'사업계획(매출 확정본)'!$Q$12:$Q$160,'사업계획(매출 확정본)'!$Q$12)</f>
        <v>0</v>
      </c>
      <c r="M190" s="1042">
        <f>SUMIFS('사업계획(매출 확정본)'!$T$12:$T$113,'사업계획(매출 확정본)'!$M$12:$M$113,'매출액 분석'!$B190,'사업계획(매출 확정본)'!$Q$12:$Q$113,'사업계획(매출 확정본)'!$Q$12)</f>
        <v>0</v>
      </c>
      <c r="N190" s="823">
        <f t="shared" si="1"/>
        <v>0</v>
      </c>
    </row>
    <row r="191" spans="2:14" x14ac:dyDescent="0.3">
      <c r="B191" s="1042" t="s">
        <v>2026</v>
      </c>
      <c r="C191" s="1042"/>
      <c r="D191" s="1042"/>
      <c r="E191" s="1042">
        <v>283533640</v>
      </c>
      <c r="F191" s="1042">
        <v>138096363</v>
      </c>
      <c r="G191" s="1042">
        <v>0</v>
      </c>
      <c r="H191" s="1042">
        <v>0</v>
      </c>
      <c r="I191" s="1042">
        <v>6575800</v>
      </c>
      <c r="J191" s="1042">
        <v>1</v>
      </c>
      <c r="K191" s="1042">
        <v>0</v>
      </c>
      <c r="L191" s="1042">
        <f>SUMIFS('사업계획(매출 확정본)'!$T$12:$T$160,'사업계획(매출 확정본)'!$M$12:$M$160,'매출액 분석'!$B191,'사업계획(매출 확정본)'!$Q$12:$Q$160,'사업계획(매출 확정본)'!$Q$12)</f>
        <v>0</v>
      </c>
      <c r="M191" s="1042">
        <f>SUMIFS('사업계획(매출 확정본)'!$T$12:$T$113,'사업계획(매출 확정본)'!$M$12:$M$113,'매출액 분석'!$B191,'사업계획(매출 확정본)'!$Q$12:$Q$113,'사업계획(매출 확정본)'!$Q$12)</f>
        <v>0</v>
      </c>
      <c r="N191" s="823">
        <f t="shared" si="1"/>
        <v>0</v>
      </c>
    </row>
    <row r="192" spans="2:14" x14ac:dyDescent="0.3">
      <c r="B192" s="1042" t="s">
        <v>7355</v>
      </c>
      <c r="C192" s="1042"/>
      <c r="D192" s="1042"/>
      <c r="E192" s="1042">
        <v>0</v>
      </c>
      <c r="F192" s="1042">
        <v>0</v>
      </c>
      <c r="G192" s="1042">
        <v>0</v>
      </c>
      <c r="H192" s="1042">
        <v>0</v>
      </c>
      <c r="I192" s="1042">
        <v>6242940</v>
      </c>
      <c r="J192" s="1042">
        <v>1</v>
      </c>
      <c r="K192" s="1042">
        <v>0</v>
      </c>
      <c r="L192" s="1042">
        <f>SUMIFS('사업계획(매출 확정본)'!$T$12:$T$160,'사업계획(매출 확정본)'!$M$12:$M$160,'매출액 분석'!$B192,'사업계획(매출 확정본)'!$Q$12:$Q$160,'사업계획(매출 확정본)'!$Q$12)</f>
        <v>0</v>
      </c>
      <c r="M192" s="1042">
        <f>SUMIFS('사업계획(매출 확정본)'!$T$12:$T$113,'사업계획(매출 확정본)'!$M$12:$M$113,'매출액 분석'!$B192,'사업계획(매출 확정본)'!$Q$12:$Q$113,'사업계획(매출 확정본)'!$Q$12)</f>
        <v>0</v>
      </c>
      <c r="N192" s="823">
        <f t="shared" si="1"/>
        <v>0</v>
      </c>
    </row>
    <row r="193" spans="2:14" x14ac:dyDescent="0.3">
      <c r="B193" s="1042" t="s">
        <v>2830</v>
      </c>
      <c r="C193" s="1042"/>
      <c r="D193" s="1042"/>
      <c r="E193" s="1042">
        <v>0</v>
      </c>
      <c r="F193" s="1042">
        <v>0</v>
      </c>
      <c r="G193" s="1042">
        <v>0</v>
      </c>
      <c r="H193" s="1042">
        <v>0</v>
      </c>
      <c r="I193" s="1042">
        <v>2681818</v>
      </c>
      <c r="J193" s="1042">
        <v>2</v>
      </c>
      <c r="K193" s="1042">
        <v>0</v>
      </c>
      <c r="L193" s="1042">
        <f>SUMIFS('사업계획(매출 확정본)'!$T$12:$T$160,'사업계획(매출 확정본)'!$M$12:$M$160,'매출액 분석'!$B193,'사업계획(매출 확정본)'!$Q$12:$Q$160,'사업계획(매출 확정본)'!$Q$12)</f>
        <v>0</v>
      </c>
      <c r="M193" s="1042">
        <f>SUMIFS('사업계획(매출 확정본)'!$T$12:$T$113,'사업계획(매출 확정본)'!$M$12:$M$113,'매출액 분석'!$B193,'사업계획(매출 확정본)'!$Q$12:$Q$113,'사업계획(매출 확정본)'!$Q$12)</f>
        <v>0</v>
      </c>
      <c r="N193" s="823">
        <f t="shared" si="1"/>
        <v>0</v>
      </c>
    </row>
    <row r="194" spans="2:14" x14ac:dyDescent="0.3">
      <c r="B194" s="1042" t="s">
        <v>6219</v>
      </c>
      <c r="C194" s="1042"/>
      <c r="D194" s="1042"/>
      <c r="E194" s="1042">
        <v>0</v>
      </c>
      <c r="F194" s="1042">
        <v>0</v>
      </c>
      <c r="G194" s="1042">
        <v>0</v>
      </c>
      <c r="H194" s="1042">
        <v>0</v>
      </c>
      <c r="I194" s="1042">
        <v>2396700</v>
      </c>
      <c r="J194" s="1042">
        <v>1</v>
      </c>
      <c r="K194" s="1042">
        <v>0</v>
      </c>
      <c r="L194" s="1042">
        <f>SUMIFS('사업계획(매출 확정본)'!$T$12:$T$160,'사업계획(매출 확정본)'!$M$12:$M$160,'매출액 분석'!$B194,'사업계획(매출 확정본)'!$Q$12:$Q$160,'사업계획(매출 확정본)'!$Q$12)</f>
        <v>0</v>
      </c>
      <c r="M194" s="1042">
        <f>SUMIFS('사업계획(매출 확정본)'!$T$12:$T$113,'사업계획(매출 확정본)'!$M$12:$M$113,'매출액 분석'!$B194,'사업계획(매출 확정본)'!$Q$12:$Q$113,'사업계획(매출 확정본)'!$Q$12)</f>
        <v>0</v>
      </c>
      <c r="N194" s="823">
        <f t="shared" si="1"/>
        <v>0</v>
      </c>
    </row>
    <row r="195" spans="2:14" x14ac:dyDescent="0.3">
      <c r="B195" s="1042" t="s">
        <v>7479</v>
      </c>
      <c r="C195" s="1042"/>
      <c r="D195" s="1042"/>
      <c r="E195" s="1042">
        <v>0</v>
      </c>
      <c r="F195" s="1042">
        <v>0</v>
      </c>
      <c r="G195" s="1042">
        <v>0</v>
      </c>
      <c r="H195" s="1042">
        <v>0</v>
      </c>
      <c r="I195" s="1042">
        <v>2281800</v>
      </c>
      <c r="J195" s="1042">
        <v>1</v>
      </c>
      <c r="K195" s="1042">
        <v>0</v>
      </c>
      <c r="L195" s="1042">
        <f>SUMIFS('사업계획(매출 확정본)'!$T$12:$T$160,'사업계획(매출 확정본)'!$M$12:$M$160,'매출액 분석'!$B195,'사업계획(매출 확정본)'!$Q$12:$Q$160,'사업계획(매출 확정본)'!$Q$12)</f>
        <v>0</v>
      </c>
      <c r="M195" s="1042">
        <f>SUMIFS('사업계획(매출 확정본)'!$T$12:$T$113,'사업계획(매출 확정본)'!$M$12:$M$113,'매출액 분석'!$B195,'사업계획(매출 확정본)'!$Q$12:$Q$113,'사업계획(매출 확정본)'!$Q$12)</f>
        <v>0</v>
      </c>
      <c r="N195" s="823">
        <f t="shared" si="1"/>
        <v>0</v>
      </c>
    </row>
    <row r="196" spans="2:14" x14ac:dyDescent="0.3">
      <c r="B196" s="1042" t="s">
        <v>7481</v>
      </c>
      <c r="C196" s="1042"/>
      <c r="D196" s="1042"/>
      <c r="E196" s="1042">
        <v>0</v>
      </c>
      <c r="F196" s="1042">
        <v>0</v>
      </c>
      <c r="G196" s="1042">
        <v>0</v>
      </c>
      <c r="H196" s="1042">
        <v>0</v>
      </c>
      <c r="I196" s="1042">
        <v>1774812</v>
      </c>
      <c r="J196" s="1042">
        <v>1</v>
      </c>
      <c r="K196" s="1042">
        <v>0</v>
      </c>
      <c r="L196" s="1042">
        <f>SUMIFS('사업계획(매출 확정본)'!$T$12:$T$160,'사업계획(매출 확정본)'!$M$12:$M$160,'매출액 분석'!$B196,'사업계획(매출 확정본)'!$Q$12:$Q$160,'사업계획(매출 확정본)'!$Q$12)</f>
        <v>0</v>
      </c>
      <c r="M196" s="1042">
        <f>SUMIFS('사업계획(매출 확정본)'!$T$12:$T$113,'사업계획(매출 확정본)'!$M$12:$M$113,'매출액 분석'!$B196,'사업계획(매출 확정본)'!$Q$12:$Q$113,'사업계획(매출 확정본)'!$Q$12)</f>
        <v>0</v>
      </c>
      <c r="N196" s="823">
        <f t="shared" si="1"/>
        <v>0</v>
      </c>
    </row>
    <row r="197" spans="2:14" x14ac:dyDescent="0.3">
      <c r="B197" s="1042" t="s">
        <v>7366</v>
      </c>
      <c r="C197" s="1042"/>
      <c r="D197" s="1042"/>
      <c r="E197" s="1042">
        <v>0</v>
      </c>
      <c r="F197" s="1042">
        <v>0</v>
      </c>
      <c r="G197" s="1042">
        <v>0</v>
      </c>
      <c r="H197" s="1042">
        <v>0</v>
      </c>
      <c r="I197" s="1042">
        <v>1681818</v>
      </c>
      <c r="J197" s="1042">
        <v>1</v>
      </c>
      <c r="K197" s="1042">
        <v>0</v>
      </c>
      <c r="L197" s="1042">
        <f>SUMIFS('사업계획(매출 확정본)'!$T$12:$T$160,'사업계획(매출 확정본)'!$M$12:$M$160,'매출액 분석'!$B197,'사업계획(매출 확정본)'!$Q$12:$Q$160,'사업계획(매출 확정본)'!$Q$12)</f>
        <v>0</v>
      </c>
      <c r="M197" s="1042">
        <f>SUMIFS('사업계획(매출 확정본)'!$T$12:$T$113,'사업계획(매출 확정본)'!$M$12:$M$113,'매출액 분석'!$B197,'사업계획(매출 확정본)'!$Q$12:$Q$113,'사업계획(매출 확정본)'!$Q$12)</f>
        <v>0</v>
      </c>
      <c r="N197" s="823">
        <f t="shared" si="1"/>
        <v>0</v>
      </c>
    </row>
    <row r="198" spans="2:14" x14ac:dyDescent="0.3">
      <c r="B198" s="1042" t="s">
        <v>7484</v>
      </c>
      <c r="C198" s="1042"/>
      <c r="D198" s="1042"/>
      <c r="E198" s="1042">
        <v>0</v>
      </c>
      <c r="F198" s="1042">
        <v>0</v>
      </c>
      <c r="G198" s="1042">
        <v>0</v>
      </c>
      <c r="H198" s="1042">
        <v>0</v>
      </c>
      <c r="I198" s="1042">
        <v>1277935</v>
      </c>
      <c r="J198" s="1042">
        <v>1</v>
      </c>
      <c r="K198" s="1042">
        <v>0</v>
      </c>
      <c r="L198" s="1042">
        <f>SUMIFS('사업계획(매출 확정본)'!$T$12:$T$160,'사업계획(매출 확정본)'!$M$12:$M$160,'매출액 분석'!$B198,'사업계획(매출 확정본)'!$Q$12:$Q$160,'사업계획(매출 확정본)'!$Q$12)</f>
        <v>0</v>
      </c>
      <c r="M198" s="1042">
        <f>SUMIFS('사업계획(매출 확정본)'!$T$12:$T$113,'사업계획(매출 확정본)'!$M$12:$M$113,'매출액 분석'!$B198,'사업계획(매출 확정본)'!$Q$12:$Q$113,'사업계획(매출 확정본)'!$Q$12)</f>
        <v>0</v>
      </c>
      <c r="N198" s="823">
        <f t="shared" si="1"/>
        <v>0</v>
      </c>
    </row>
    <row r="199" spans="2:14" x14ac:dyDescent="0.3">
      <c r="B199" s="1042" t="s">
        <v>7370</v>
      </c>
      <c r="C199" s="1042"/>
      <c r="D199" s="1042"/>
      <c r="E199" s="1042">
        <v>0</v>
      </c>
      <c r="F199" s="1042">
        <v>0</v>
      </c>
      <c r="G199" s="1042">
        <v>0</v>
      </c>
      <c r="H199" s="1042">
        <v>0</v>
      </c>
      <c r="I199" s="1042">
        <v>1270000</v>
      </c>
      <c r="J199" s="1042">
        <v>1</v>
      </c>
      <c r="K199" s="1042">
        <v>0</v>
      </c>
      <c r="L199" s="1042">
        <f>SUMIFS('사업계획(매출 확정본)'!$T$12:$T$160,'사업계획(매출 확정본)'!$M$12:$M$160,'매출액 분석'!$B199,'사업계획(매출 확정본)'!$Q$12:$Q$160,'사업계획(매출 확정본)'!$Q$12)</f>
        <v>0</v>
      </c>
      <c r="M199" s="1042">
        <f>SUMIFS('사업계획(매출 확정본)'!$T$12:$T$113,'사업계획(매출 확정본)'!$M$12:$M$113,'매출액 분석'!$B199,'사업계획(매출 확정본)'!$Q$12:$Q$113,'사업계획(매출 확정본)'!$Q$12)</f>
        <v>0</v>
      </c>
      <c r="N199" s="823">
        <f t="shared" si="1"/>
        <v>0</v>
      </c>
    </row>
    <row r="200" spans="2:14" x14ac:dyDescent="0.3">
      <c r="B200" s="1042" t="s">
        <v>7487</v>
      </c>
      <c r="C200" s="1042"/>
      <c r="D200" s="1042"/>
      <c r="E200" s="1042">
        <v>0</v>
      </c>
      <c r="F200" s="1042">
        <v>0</v>
      </c>
      <c r="G200" s="1042">
        <v>0</v>
      </c>
      <c r="H200" s="1042">
        <v>0</v>
      </c>
      <c r="I200" s="1042">
        <v>824976</v>
      </c>
      <c r="J200" s="1042">
        <v>1</v>
      </c>
      <c r="K200" s="1042">
        <v>0</v>
      </c>
      <c r="L200" s="1042">
        <f>SUMIFS('사업계획(매출 확정본)'!$T$12:$T$160,'사업계획(매출 확정본)'!$M$12:$M$160,'매출액 분석'!$B200,'사업계획(매출 확정본)'!$Q$12:$Q$160,'사업계획(매출 확정본)'!$Q$12)</f>
        <v>0</v>
      </c>
      <c r="M200" s="1042">
        <f>SUMIFS('사업계획(매출 확정본)'!$T$12:$T$113,'사업계획(매출 확정본)'!$M$12:$M$113,'매출액 분석'!$B200,'사업계획(매출 확정본)'!$Q$12:$Q$113,'사업계획(매출 확정본)'!$Q$12)</f>
        <v>0</v>
      </c>
      <c r="N200" s="823">
        <f t="shared" si="1"/>
        <v>0</v>
      </c>
    </row>
    <row r="201" spans="2:14" x14ac:dyDescent="0.3">
      <c r="B201" s="1042" t="s">
        <v>7302</v>
      </c>
      <c r="C201" s="1042"/>
      <c r="D201" s="1042"/>
      <c r="E201" s="1042">
        <v>0</v>
      </c>
      <c r="F201" s="1042">
        <v>0</v>
      </c>
      <c r="G201" s="1042">
        <v>909091</v>
      </c>
      <c r="H201" s="1042">
        <v>0</v>
      </c>
      <c r="I201" s="1042">
        <v>670000</v>
      </c>
      <c r="J201" s="1042">
        <v>1</v>
      </c>
      <c r="K201" s="1042">
        <v>0</v>
      </c>
      <c r="L201" s="1042">
        <f>SUMIFS('사업계획(매출 확정본)'!$T$12:$T$160,'사업계획(매출 확정본)'!$M$12:$M$160,'매출액 분석'!$B201,'사업계획(매출 확정본)'!$Q$12:$Q$160,'사업계획(매출 확정본)'!$Q$12)</f>
        <v>0</v>
      </c>
      <c r="M201" s="1042">
        <f>SUMIFS('사업계획(매출 확정본)'!$T$12:$T$113,'사업계획(매출 확정본)'!$M$12:$M$113,'매출액 분석'!$B201,'사업계획(매출 확정본)'!$Q$12:$Q$113,'사업계획(매출 확정본)'!$Q$12)</f>
        <v>0</v>
      </c>
      <c r="N201" s="823">
        <f t="shared" si="1"/>
        <v>0</v>
      </c>
    </row>
    <row r="202" spans="2:14" x14ac:dyDescent="0.3">
      <c r="B202" s="1042" t="s">
        <v>7490</v>
      </c>
      <c r="C202" s="1042"/>
      <c r="D202" s="1042"/>
      <c r="E202" s="1042">
        <v>0</v>
      </c>
      <c r="F202" s="1042">
        <v>0</v>
      </c>
      <c r="G202" s="1042">
        <v>0</v>
      </c>
      <c r="H202" s="1042">
        <v>0</v>
      </c>
      <c r="I202" s="1042">
        <v>610400</v>
      </c>
      <c r="J202" s="1042">
        <v>1</v>
      </c>
      <c r="K202" s="1042">
        <v>0</v>
      </c>
      <c r="L202" s="1042">
        <f>SUMIFS('사업계획(매출 확정본)'!$T$12:$T$160,'사업계획(매출 확정본)'!$M$12:$M$160,'매출액 분석'!$B202,'사업계획(매출 확정본)'!$Q$12:$Q$160,'사업계획(매출 확정본)'!$Q$12)</f>
        <v>0</v>
      </c>
      <c r="M202" s="1042">
        <f>SUMIFS('사업계획(매출 확정본)'!$T$12:$T$113,'사업계획(매출 확정본)'!$M$12:$M$113,'매출액 분석'!$B202,'사업계획(매출 확정본)'!$Q$12:$Q$113,'사업계획(매출 확정본)'!$Q$12)</f>
        <v>0</v>
      </c>
      <c r="N202" s="823">
        <f t="shared" si="1"/>
        <v>0</v>
      </c>
    </row>
    <row r="203" spans="2:14" x14ac:dyDescent="0.3">
      <c r="B203" s="1042" t="s">
        <v>2850</v>
      </c>
      <c r="C203" s="1042"/>
      <c r="D203" s="1042"/>
      <c r="E203" s="1042">
        <v>0</v>
      </c>
      <c r="F203" s="1042">
        <v>0</v>
      </c>
      <c r="G203" s="1042">
        <v>0</v>
      </c>
      <c r="H203" s="1042">
        <v>0</v>
      </c>
      <c r="I203" s="1042">
        <v>500000</v>
      </c>
      <c r="J203" s="1042">
        <v>1</v>
      </c>
      <c r="K203" s="1042">
        <v>0</v>
      </c>
      <c r="L203" s="1042">
        <f>SUMIFS('사업계획(매출 확정본)'!$T$12:$T$160,'사업계획(매출 확정본)'!$M$12:$M$160,'매출액 분석'!$B203,'사업계획(매출 확정본)'!$Q$12:$Q$160,'사업계획(매출 확정본)'!$Q$12)</f>
        <v>0</v>
      </c>
      <c r="M203" s="1042">
        <f>SUMIFS('사업계획(매출 확정본)'!$T$12:$T$113,'사업계획(매출 확정본)'!$M$12:$M$113,'매출액 분석'!$B203,'사업계획(매출 확정본)'!$Q$12:$Q$113,'사업계획(매출 확정본)'!$Q$12)</f>
        <v>0</v>
      </c>
      <c r="N203" s="823">
        <f t="shared" si="1"/>
        <v>0</v>
      </c>
    </row>
    <row r="204" spans="2:14" x14ac:dyDescent="0.3">
      <c r="B204" s="1042" t="s">
        <v>7493</v>
      </c>
      <c r="C204" s="1042"/>
      <c r="D204" s="1042"/>
      <c r="E204" s="1042">
        <v>0</v>
      </c>
      <c r="F204" s="1042">
        <v>0</v>
      </c>
      <c r="G204" s="1042">
        <v>0</v>
      </c>
      <c r="H204" s="1042">
        <v>0</v>
      </c>
      <c r="I204" s="1042">
        <v>358948</v>
      </c>
      <c r="J204" s="1042">
        <v>1</v>
      </c>
      <c r="K204" s="1042">
        <v>0</v>
      </c>
      <c r="L204" s="1042">
        <f>SUMIFS('사업계획(매출 확정본)'!$T$12:$T$160,'사업계획(매출 확정본)'!$M$12:$M$160,'매출액 분석'!$B204,'사업계획(매출 확정본)'!$Q$12:$Q$160,'사업계획(매출 확정본)'!$Q$12)</f>
        <v>0</v>
      </c>
      <c r="M204" s="1042">
        <f>SUMIFS('사업계획(매출 확정본)'!$T$12:$T$113,'사업계획(매출 확정본)'!$M$12:$M$113,'매출액 분석'!$B204,'사업계획(매출 확정본)'!$Q$12:$Q$113,'사업계획(매출 확정본)'!$Q$12)</f>
        <v>0</v>
      </c>
      <c r="N204" s="823">
        <f t="shared" si="1"/>
        <v>0</v>
      </c>
    </row>
    <row r="205" spans="2:14" x14ac:dyDescent="0.3">
      <c r="B205" s="1042" t="s">
        <v>7392</v>
      </c>
      <c r="C205" s="1042"/>
      <c r="D205" s="1042"/>
      <c r="E205" s="1042">
        <v>0</v>
      </c>
      <c r="F205" s="1042">
        <v>0</v>
      </c>
      <c r="G205" s="1042">
        <v>0</v>
      </c>
      <c r="H205" s="1042">
        <v>0</v>
      </c>
      <c r="I205" s="1042"/>
      <c r="J205" s="1042"/>
      <c r="K205" s="1042">
        <v>1250000000</v>
      </c>
      <c r="L205" s="1042">
        <f>SUMIFS('사업계획(매출 확정본)'!$T$12:$T$160,'사업계획(매출 확정본)'!$M$12:$M$160,'매출액 분석'!$B205,'사업계획(매출 확정본)'!$Q$12:$Q$160,'사업계획(매출 확정본)'!$Q$12)</f>
        <v>20</v>
      </c>
      <c r="M205" s="1042">
        <f>SUMIFS('사업계획(매출 확정본)'!$T$12:$T$113,'사업계획(매출 확정본)'!$M$12:$M$113,'매출액 분석'!$B205,'사업계획(매출 확정본)'!$Q$12:$Q$113,'사업계획(매출 확정본)'!$Q$12)</f>
        <v>20</v>
      </c>
      <c r="N205" s="823">
        <f t="shared" si="1"/>
        <v>0</v>
      </c>
    </row>
    <row r="206" spans="2:14" x14ac:dyDescent="0.3">
      <c r="B206" s="1042" t="s">
        <v>2031</v>
      </c>
      <c r="C206" s="1042"/>
      <c r="D206" s="1042"/>
      <c r="E206" s="1042">
        <v>0</v>
      </c>
      <c r="F206" s="1042">
        <v>0</v>
      </c>
      <c r="G206" s="1042">
        <v>0</v>
      </c>
      <c r="H206" s="1042">
        <v>0</v>
      </c>
      <c r="I206" s="1042"/>
      <c r="J206" s="1042"/>
      <c r="K206" s="1042">
        <v>270000000</v>
      </c>
      <c r="L206" s="1042">
        <f>SUMIFS('사업계획(매출 확정본)'!$T$12:$T$160,'사업계획(매출 확정본)'!$M$12:$M$160,'매출액 분석'!$B206,'사업계획(매출 확정본)'!$Q$12:$Q$160,'사업계획(매출 확정본)'!$Q$12)</f>
        <v>5</v>
      </c>
      <c r="M206" s="1042">
        <f>SUMIFS('사업계획(매출 확정본)'!$T$12:$T$113,'사업계획(매출 확정본)'!$M$12:$M$113,'매출액 분석'!$B206,'사업계획(매출 확정본)'!$Q$12:$Q$113,'사업계획(매출 확정본)'!$Q$12)</f>
        <v>5</v>
      </c>
      <c r="N206" s="823">
        <f t="shared" si="1"/>
        <v>0</v>
      </c>
    </row>
    <row r="207" spans="2:14" x14ac:dyDescent="0.3">
      <c r="B207" s="1042" t="s">
        <v>2064</v>
      </c>
      <c r="C207" s="1042"/>
      <c r="D207" s="1042"/>
      <c r="E207" s="1042">
        <v>0</v>
      </c>
      <c r="F207" s="1042">
        <v>0</v>
      </c>
      <c r="G207" s="1042">
        <v>0</v>
      </c>
      <c r="H207" s="1042">
        <v>0</v>
      </c>
      <c r="I207" s="1042"/>
      <c r="J207" s="1042"/>
      <c r="K207" s="1042">
        <v>21850000000</v>
      </c>
      <c r="L207" s="1042">
        <f>SUMIFS('사업계획(매출 확정본)'!$T$12:$T$160,'사업계획(매출 확정본)'!$M$12:$M$160,'매출액 분석'!$B207,'사업계획(매출 확정본)'!$Q$12:$Q$160,'사업계획(매출 확정본)'!$Q$12)</f>
        <v>205</v>
      </c>
      <c r="M207" s="1042">
        <f>SUMIFS('사업계획(매출 확정본)'!$T$12:$T$113,'사업계획(매출 확정본)'!$M$12:$M$113,'매출액 분석'!$B207,'사업계획(매출 확정본)'!$Q$12:$Q$113,'사업계획(매출 확정본)'!$Q$12)</f>
        <v>25</v>
      </c>
      <c r="N207" s="823">
        <f t="shared" si="1"/>
        <v>180</v>
      </c>
    </row>
    <row r="208" spans="2:14" x14ac:dyDescent="0.3">
      <c r="B208" s="1042" t="s">
        <v>7393</v>
      </c>
      <c r="C208" s="1042"/>
      <c r="D208" s="1042"/>
      <c r="E208" s="1042">
        <v>0</v>
      </c>
      <c r="F208" s="1042">
        <v>0</v>
      </c>
      <c r="G208" s="1042">
        <v>0</v>
      </c>
      <c r="H208" s="1042">
        <v>0</v>
      </c>
      <c r="I208" s="1042"/>
      <c r="J208" s="1042"/>
      <c r="K208" s="1042">
        <v>2050000000</v>
      </c>
      <c r="L208" s="1042">
        <f>SUMIFS('사업계획(매출 확정본)'!$T$12:$T$160,'사업계획(매출 확정본)'!$M$12:$M$160,'매출액 분석'!$B208,'사업계획(매출 확정본)'!$Q$12:$Q$160,'사업계획(매출 확정본)'!$Q$12)</f>
        <v>12</v>
      </c>
      <c r="M208" s="1042">
        <f>SUMIFS('사업계획(매출 확정본)'!$T$12:$T$113,'사업계획(매출 확정본)'!$M$12:$M$113,'매출액 분석'!$B208,'사업계획(매출 확정본)'!$Q$12:$Q$113,'사업계획(매출 확정본)'!$Q$12)</f>
        <v>0</v>
      </c>
      <c r="N208" s="823">
        <f t="shared" si="1"/>
        <v>12</v>
      </c>
    </row>
    <row r="209" spans="2:14" x14ac:dyDescent="0.3">
      <c r="B209" s="1042" t="s">
        <v>3627</v>
      </c>
      <c r="C209" s="1042"/>
      <c r="D209" s="1042"/>
      <c r="E209" s="1042">
        <v>1218887274</v>
      </c>
      <c r="F209" s="1042">
        <v>370709092</v>
      </c>
      <c r="G209" s="1042">
        <v>0</v>
      </c>
      <c r="H209" s="1042">
        <v>0</v>
      </c>
      <c r="I209" s="1042"/>
      <c r="J209" s="1042"/>
      <c r="K209" s="1042"/>
      <c r="L209" s="1042">
        <f>SUMIFS('사업계획(매출 확정본)'!$T$12:$T$160,'사업계획(매출 확정본)'!$M$12:$M$160,'매출액 분석'!$B209,'사업계획(매출 확정본)'!$Q$12:$Q$160,'사업계획(매출 확정본)'!$Q$12)</f>
        <v>0</v>
      </c>
      <c r="M209" s="1042">
        <f>SUMIFS('사업계획(매출 확정본)'!$T$12:$T$113,'사업계획(매출 확정본)'!$M$12:$M$113,'매출액 분석'!$B209,'사업계획(매출 확정본)'!$Q$12:$Q$113,'사업계획(매출 확정본)'!$Q$12)</f>
        <v>0</v>
      </c>
      <c r="N209" s="823">
        <f t="shared" si="1"/>
        <v>0</v>
      </c>
    </row>
    <row r="210" spans="2:14" x14ac:dyDescent="0.3">
      <c r="B210" s="1042" t="s">
        <v>3666</v>
      </c>
      <c r="C210" s="1042"/>
      <c r="D210" s="1042"/>
      <c r="E210" s="1042">
        <v>901290909</v>
      </c>
      <c r="F210" s="1042">
        <v>0</v>
      </c>
      <c r="G210" s="1042">
        <v>0</v>
      </c>
      <c r="H210" s="1042">
        <v>0</v>
      </c>
      <c r="I210" s="1042"/>
      <c r="J210" s="1042"/>
      <c r="K210" s="1042"/>
      <c r="L210" s="1042">
        <f>SUMIFS('사업계획(매출 확정본)'!$T$12:$T$160,'사업계획(매출 확정본)'!$M$12:$M$160,'매출액 분석'!$B210,'사업계획(매출 확정본)'!$Q$12:$Q$160,'사업계획(매출 확정본)'!$Q$12)</f>
        <v>0</v>
      </c>
      <c r="M210" s="1042">
        <f>SUMIFS('사업계획(매출 확정본)'!$T$12:$T$113,'사업계획(매출 확정본)'!$M$12:$M$113,'매출액 분석'!$B210,'사업계획(매출 확정본)'!$Q$12:$Q$113,'사업계획(매출 확정본)'!$Q$12)</f>
        <v>0</v>
      </c>
      <c r="N210" s="823">
        <f t="shared" si="1"/>
        <v>0</v>
      </c>
    </row>
    <row r="211" spans="2:14" x14ac:dyDescent="0.3">
      <c r="E211" s="823">
        <f>SUM(E118:E210)</f>
        <v>25425227592</v>
      </c>
      <c r="F211" s="823">
        <f t="shared" ref="F211:K211" si="2">SUM(F118:F210)</f>
        <v>31661165710</v>
      </c>
      <c r="G211" s="823">
        <f t="shared" si="2"/>
        <v>46598957816</v>
      </c>
      <c r="H211" s="823">
        <f t="shared" si="2"/>
        <v>69725527815</v>
      </c>
      <c r="I211" s="823">
        <f t="shared" si="2"/>
        <v>88429795106</v>
      </c>
      <c r="J211" s="823">
        <f t="shared" si="2"/>
        <v>1548</v>
      </c>
      <c r="K211" s="823">
        <f t="shared" si="2"/>
        <v>133241300000</v>
      </c>
    </row>
    <row r="212" spans="2:14" x14ac:dyDescent="0.3">
      <c r="E212" s="1042">
        <f>SUMIFS(계정별원장!$F$3:$F$5997,계정별원장!$A$3:$A$5997,"13")</f>
        <v>32125375450</v>
      </c>
      <c r="F212" s="1042">
        <f>SUMIFS(계정별원장!$F$3:$F$5997,계정별원장!$A$3:$A$5997,"14")</f>
        <v>37735445080</v>
      </c>
      <c r="G212" s="1042">
        <f>SUMIFS(계정별원장!$F$3:$F$5997,계정별원장!$A$3:$A$5997,"15")</f>
        <v>58302450848</v>
      </c>
      <c r="H212" s="1042">
        <f>SUMIFS(계정별원장!$F$3:$F$5997,계정별원장!$A$3:$A$5997,"16")</f>
        <v>78125032016</v>
      </c>
    </row>
    <row r="213" spans="2:14" x14ac:dyDescent="0.3">
      <c r="E213" s="823">
        <f>E212-E211</f>
        <v>6700147858</v>
      </c>
      <c r="F213" s="823">
        <f t="shared" ref="F213:H213" si="3">F212-F211</f>
        <v>6074279370</v>
      </c>
      <c r="G213" s="823">
        <f t="shared" si="3"/>
        <v>11703493032</v>
      </c>
      <c r="H213" s="823">
        <f t="shared" si="3"/>
        <v>8399504201</v>
      </c>
    </row>
  </sheetData>
  <dataConsolidate topLabels="1">
    <dataRefs count="1">
      <dataRef ref="B2:K114" sheet="매출액 분석"/>
    </dataRefs>
  </dataConsolidate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AQ1461"/>
  <sheetViews>
    <sheetView topLeftCell="C1" zoomScale="70" zoomScaleNormal="70" workbookViewId="0">
      <selection activeCell="AB160" sqref="AB160:AD295"/>
    </sheetView>
  </sheetViews>
  <sheetFormatPr defaultColWidth="9" defaultRowHeight="16.5" x14ac:dyDescent="0.3"/>
  <cols>
    <col min="1" max="1" width="9" style="153"/>
    <col min="2" max="2" width="30.375" style="153" customWidth="1"/>
    <col min="3" max="3" width="9" style="153"/>
    <col min="4" max="4" width="13" style="1042" bestFit="1" customWidth="1"/>
    <col min="5" max="5" width="16.75" style="1042" customWidth="1"/>
    <col min="6" max="6" width="14.25" style="1042" customWidth="1"/>
    <col min="7" max="7" width="18" style="1042" customWidth="1"/>
    <col min="8" max="8" width="17.75" style="1042" customWidth="1"/>
    <col min="9" max="18" width="9" style="153"/>
    <col min="19" max="19" width="11.75" style="153" bestFit="1" customWidth="1"/>
    <col min="20" max="16384" width="9" style="153"/>
  </cols>
  <sheetData>
    <row r="2" spans="2:43" x14ac:dyDescent="0.3">
      <c r="B2" s="888" t="s">
        <v>3047</v>
      </c>
    </row>
    <row r="4" spans="2:43" x14ac:dyDescent="0.3">
      <c r="B4" s="968" t="s">
        <v>2804</v>
      </c>
      <c r="C4" s="968" t="s">
        <v>3048</v>
      </c>
      <c r="D4" s="1043">
        <v>2017</v>
      </c>
      <c r="E4" s="1043">
        <v>2018</v>
      </c>
      <c r="F4" s="1043">
        <v>2019</v>
      </c>
      <c r="G4" s="1043">
        <v>2020</v>
      </c>
      <c r="H4" s="1043">
        <v>2021</v>
      </c>
      <c r="O4" s="153" t="s">
        <v>3049</v>
      </c>
      <c r="P4" s="153" t="s">
        <v>3050</v>
      </c>
      <c r="Q4" s="153" t="s">
        <v>3051</v>
      </c>
      <c r="R4" s="153" t="s">
        <v>2091</v>
      </c>
      <c r="S4" s="153">
        <v>2017</v>
      </c>
      <c r="T4" s="153">
        <v>2018</v>
      </c>
      <c r="U4" s="153">
        <v>2019</v>
      </c>
      <c r="V4" s="153">
        <v>2020</v>
      </c>
      <c r="W4" s="153">
        <v>2021</v>
      </c>
      <c r="Z4" s="153" t="s">
        <v>3049</v>
      </c>
      <c r="AA4" s="153" t="s">
        <v>3052</v>
      </c>
      <c r="AB4" s="153" t="s">
        <v>3053</v>
      </c>
      <c r="AC4" s="153" t="s">
        <v>2091</v>
      </c>
      <c r="AD4" s="153">
        <v>2017</v>
      </c>
      <c r="AE4" s="153">
        <v>2018</v>
      </c>
      <c r="AF4" s="153">
        <v>2019</v>
      </c>
      <c r="AG4" s="153">
        <v>2020</v>
      </c>
      <c r="AH4" s="153">
        <v>2021</v>
      </c>
      <c r="AM4" s="153" t="s">
        <v>2061</v>
      </c>
      <c r="AN4" s="153" t="s">
        <v>3041</v>
      </c>
      <c r="AP4" s="153" t="s">
        <v>3049</v>
      </c>
      <c r="AQ4" s="153" t="s">
        <v>3054</v>
      </c>
    </row>
    <row r="5" spans="2:43" x14ac:dyDescent="0.3">
      <c r="B5" s="968" t="s">
        <v>2067</v>
      </c>
      <c r="C5" s="968" t="s">
        <v>3048</v>
      </c>
      <c r="D5" s="973">
        <v>70445540</v>
      </c>
      <c r="E5" s="973">
        <f>ROUND(D5*1.05,-1)</f>
        <v>73967820</v>
      </c>
      <c r="F5" s="973">
        <f>ROUND(E5*1.05,-1)</f>
        <v>77666210</v>
      </c>
      <c r="G5" s="973">
        <f t="shared" ref="G5:H5" si="0">ROUND(F5*1.05,-1)</f>
        <v>81549520</v>
      </c>
      <c r="H5" s="973">
        <f t="shared" si="0"/>
        <v>85627000</v>
      </c>
      <c r="O5" s="153" t="s">
        <v>2067</v>
      </c>
      <c r="P5" s="153" t="s">
        <v>3040</v>
      </c>
      <c r="Q5" s="153" t="s">
        <v>2024</v>
      </c>
      <c r="R5" s="153" t="s">
        <v>2091</v>
      </c>
      <c r="S5" s="819">
        <v>70445540</v>
      </c>
      <c r="T5" s="153">
        <v>73967820</v>
      </c>
      <c r="U5" s="153">
        <v>77666210</v>
      </c>
      <c r="V5" s="153">
        <v>81549520</v>
      </c>
      <c r="W5" s="153">
        <v>85627000</v>
      </c>
      <c r="Z5" s="153" t="s">
        <v>2067</v>
      </c>
      <c r="AA5" s="153" t="e">
        <f>VLOOKUP(Z5,$AM$4:$AN$47,2,FALSE)</f>
        <v>#N/A</v>
      </c>
      <c r="AB5" s="153" t="str">
        <f>VLOOKUP(Z5,$AP$5:$AQ$1461,2,FALSE)</f>
        <v>크레인</v>
      </c>
      <c r="AC5" s="153" t="s">
        <v>2091</v>
      </c>
      <c r="AD5" s="153">
        <v>70445540</v>
      </c>
      <c r="AE5" s="153">
        <v>73967820</v>
      </c>
      <c r="AF5" s="153">
        <v>77666210</v>
      </c>
      <c r="AG5" s="153">
        <v>81549520</v>
      </c>
      <c r="AH5" s="153">
        <v>85627000</v>
      </c>
      <c r="AM5" s="153" t="s">
        <v>2028</v>
      </c>
      <c r="AN5" s="153" t="s">
        <v>3039</v>
      </c>
      <c r="AP5" s="153" t="s">
        <v>2037</v>
      </c>
      <c r="AQ5" s="153" t="s">
        <v>2802</v>
      </c>
    </row>
    <row r="6" spans="2:43" x14ac:dyDescent="0.3">
      <c r="B6" s="968" t="s">
        <v>2820</v>
      </c>
      <c r="C6" s="968" t="s">
        <v>3048</v>
      </c>
      <c r="D6" s="973">
        <v>53444640</v>
      </c>
      <c r="E6" s="973">
        <f t="shared" ref="E6:H48" si="1">ROUND(D6*1.05,-1)</f>
        <v>56116870</v>
      </c>
      <c r="F6" s="973">
        <f t="shared" si="1"/>
        <v>58922710</v>
      </c>
      <c r="G6" s="973">
        <f t="shared" si="1"/>
        <v>61868850</v>
      </c>
      <c r="H6" s="973">
        <f t="shared" si="1"/>
        <v>64962290</v>
      </c>
      <c r="O6" s="153" t="s">
        <v>2820</v>
      </c>
      <c r="P6" s="153" t="s">
        <v>3040</v>
      </c>
      <c r="Q6" s="153" t="s">
        <v>2024</v>
      </c>
      <c r="R6" s="153" t="s">
        <v>2091</v>
      </c>
      <c r="S6" s="819">
        <v>53444640</v>
      </c>
      <c r="T6" s="153">
        <v>56116870</v>
      </c>
      <c r="U6" s="153">
        <v>58922710</v>
      </c>
      <c r="V6" s="153">
        <v>61868850</v>
      </c>
      <c r="W6" s="153">
        <v>64962290</v>
      </c>
      <c r="Z6" s="153" t="s">
        <v>2820</v>
      </c>
      <c r="AA6" s="153" t="str">
        <f>VLOOKUP(Z6,$AM$4:$AN$47,2,FALSE)</f>
        <v>관공서</v>
      </c>
      <c r="AB6" s="153" t="s">
        <v>2892</v>
      </c>
      <c r="AC6" s="153" t="s">
        <v>2091</v>
      </c>
      <c r="AD6" s="153">
        <v>53444640</v>
      </c>
      <c r="AE6" s="153">
        <v>56116870</v>
      </c>
      <c r="AF6" s="153">
        <v>58922710</v>
      </c>
      <c r="AG6" s="153">
        <v>61868850</v>
      </c>
      <c r="AH6" s="153">
        <v>64962290</v>
      </c>
      <c r="AM6" s="153" t="s">
        <v>2032</v>
      </c>
      <c r="AN6" s="153" t="s">
        <v>3042</v>
      </c>
      <c r="AP6" s="153" t="s">
        <v>2054</v>
      </c>
      <c r="AQ6" s="153" t="s">
        <v>2802</v>
      </c>
    </row>
    <row r="7" spans="2:43" x14ac:dyDescent="0.3">
      <c r="B7" s="968" t="s">
        <v>2031</v>
      </c>
      <c r="C7" s="968" t="s">
        <v>3048</v>
      </c>
      <c r="D7" s="973">
        <v>113100000</v>
      </c>
      <c r="E7" s="973">
        <f t="shared" si="1"/>
        <v>118755000</v>
      </c>
      <c r="F7" s="973">
        <f t="shared" si="1"/>
        <v>124692750</v>
      </c>
      <c r="G7" s="973">
        <f t="shared" si="1"/>
        <v>130927390</v>
      </c>
      <c r="H7" s="973">
        <f t="shared" si="1"/>
        <v>137473760</v>
      </c>
      <c r="O7" s="153" t="s">
        <v>2031</v>
      </c>
      <c r="P7" s="153" t="s">
        <v>3042</v>
      </c>
      <c r="Q7" s="153" t="s">
        <v>2024</v>
      </c>
      <c r="R7" s="153" t="s">
        <v>2091</v>
      </c>
      <c r="S7" s="819">
        <v>113100000</v>
      </c>
      <c r="T7" s="153">
        <v>118755000</v>
      </c>
      <c r="U7" s="153">
        <v>124692750</v>
      </c>
      <c r="V7" s="153">
        <v>130927390</v>
      </c>
      <c r="W7" s="153">
        <v>137473760</v>
      </c>
      <c r="Z7" s="153" t="s">
        <v>2031</v>
      </c>
      <c r="AA7" s="153" t="str">
        <f>VLOOKUP(Z7,$AM$4:$AN$47,2,FALSE)</f>
        <v>통신</v>
      </c>
      <c r="AB7" s="153" t="str">
        <f>VLOOKUP(Z7,$AP$5:$AQ$1461,2,FALSE)</f>
        <v>크레인</v>
      </c>
      <c r="AC7" s="153" t="s">
        <v>2091</v>
      </c>
      <c r="AD7" s="153">
        <v>113100000</v>
      </c>
      <c r="AE7" s="153">
        <v>118755000</v>
      </c>
      <c r="AF7" s="153">
        <v>124692750</v>
      </c>
      <c r="AG7" s="153">
        <v>130927390</v>
      </c>
      <c r="AH7" s="153">
        <v>137473760</v>
      </c>
      <c r="AM7" s="153" t="s">
        <v>2037</v>
      </c>
      <c r="AN7" s="153" t="s">
        <v>3042</v>
      </c>
      <c r="AP7" s="153" t="s">
        <v>2060</v>
      </c>
      <c r="AQ7" s="153" t="s">
        <v>2023</v>
      </c>
    </row>
    <row r="8" spans="2:43" hidden="1" x14ac:dyDescent="0.3">
      <c r="B8" s="968" t="s">
        <v>2029</v>
      </c>
      <c r="C8" s="968" t="s">
        <v>3048</v>
      </c>
      <c r="D8" s="973">
        <v>60049580</v>
      </c>
      <c r="E8" s="973">
        <f t="shared" si="1"/>
        <v>63052060</v>
      </c>
      <c r="F8" s="973">
        <f t="shared" si="1"/>
        <v>66204660</v>
      </c>
      <c r="G8" s="973">
        <f t="shared" si="1"/>
        <v>69514890</v>
      </c>
      <c r="H8" s="973">
        <f t="shared" si="1"/>
        <v>72990630</v>
      </c>
      <c r="O8" s="153" t="s">
        <v>2029</v>
      </c>
      <c r="P8" s="153" t="s">
        <v>3042</v>
      </c>
      <c r="Q8" s="153" t="s">
        <v>2802</v>
      </c>
      <c r="R8" s="153" t="s">
        <v>2091</v>
      </c>
      <c r="S8" s="819">
        <v>60049580</v>
      </c>
      <c r="T8" s="153">
        <v>63052060</v>
      </c>
      <c r="U8" s="153">
        <v>66204660</v>
      </c>
      <c r="V8" s="153">
        <v>69514890</v>
      </c>
      <c r="W8" s="153">
        <v>72990630</v>
      </c>
      <c r="Z8" s="153" t="s">
        <v>2029</v>
      </c>
      <c r="AA8" s="153" t="s">
        <v>3055</v>
      </c>
      <c r="AB8" s="153" t="s">
        <v>2888</v>
      </c>
      <c r="AC8" s="153" t="s">
        <v>2091</v>
      </c>
      <c r="AD8" s="153">
        <v>60049580</v>
      </c>
      <c r="AE8" s="153">
        <v>63052060</v>
      </c>
      <c r="AF8" s="153">
        <v>66204660</v>
      </c>
      <c r="AG8" s="153">
        <v>69514890</v>
      </c>
      <c r="AH8" s="153">
        <v>72990630</v>
      </c>
      <c r="AM8" s="153" t="s">
        <v>2039</v>
      </c>
      <c r="AN8" s="153" t="s">
        <v>3042</v>
      </c>
      <c r="AP8" s="153" t="s">
        <v>2037</v>
      </c>
      <c r="AQ8" s="153" t="s">
        <v>2802</v>
      </c>
    </row>
    <row r="9" spans="2:43" hidden="1" x14ac:dyDescent="0.3">
      <c r="B9" s="968" t="s">
        <v>2033</v>
      </c>
      <c r="C9" s="968" t="s">
        <v>3048</v>
      </c>
      <c r="D9" s="973">
        <v>23308990</v>
      </c>
      <c r="E9" s="973">
        <f t="shared" si="1"/>
        <v>24474440</v>
      </c>
      <c r="F9" s="973">
        <f t="shared" si="1"/>
        <v>25698160</v>
      </c>
      <c r="G9" s="973">
        <f t="shared" si="1"/>
        <v>26983070</v>
      </c>
      <c r="H9" s="973">
        <f t="shared" si="1"/>
        <v>28332220</v>
      </c>
      <c r="O9" s="153" t="s">
        <v>2033</v>
      </c>
      <c r="P9" s="153" t="s">
        <v>3042</v>
      </c>
      <c r="Q9" s="153" t="s">
        <v>2802</v>
      </c>
      <c r="R9" s="153" t="s">
        <v>2091</v>
      </c>
      <c r="S9" s="819">
        <v>23308990</v>
      </c>
      <c r="T9" s="153">
        <v>24474440</v>
      </c>
      <c r="U9" s="153">
        <v>25698160</v>
      </c>
      <c r="V9" s="153">
        <v>26983070</v>
      </c>
      <c r="W9" s="153">
        <v>28332220</v>
      </c>
      <c r="Z9" s="153" t="s">
        <v>2033</v>
      </c>
      <c r="AA9" s="153" t="str">
        <f>VLOOKUP(Z9,$AM$4:$AN$47,2,FALSE)</f>
        <v>통신</v>
      </c>
      <c r="AB9" s="153" t="str">
        <f>VLOOKUP(Z9,$AP$5:$AQ$1461,2,FALSE)</f>
        <v>고소작업차</v>
      </c>
      <c r="AC9" s="153" t="s">
        <v>2091</v>
      </c>
      <c r="AD9" s="153">
        <v>23308990</v>
      </c>
      <c r="AE9" s="153">
        <v>24474440</v>
      </c>
      <c r="AF9" s="153">
        <v>25698160</v>
      </c>
      <c r="AG9" s="153">
        <v>26983070</v>
      </c>
      <c r="AH9" s="153">
        <v>28332220</v>
      </c>
      <c r="AM9" s="153" t="s">
        <v>2058</v>
      </c>
      <c r="AN9" s="153" t="s">
        <v>3042</v>
      </c>
      <c r="AP9" s="153" t="s">
        <v>2041</v>
      </c>
      <c r="AQ9" s="153" t="s">
        <v>2802</v>
      </c>
    </row>
    <row r="10" spans="2:43" x14ac:dyDescent="0.3">
      <c r="B10" s="968" t="s">
        <v>2842</v>
      </c>
      <c r="C10" s="968" t="s">
        <v>3048</v>
      </c>
      <c r="D10" s="973">
        <v>23991660</v>
      </c>
      <c r="E10" s="973">
        <f t="shared" si="1"/>
        <v>25191240</v>
      </c>
      <c r="F10" s="973">
        <f t="shared" si="1"/>
        <v>26450800</v>
      </c>
      <c r="G10" s="973">
        <f t="shared" si="1"/>
        <v>27773340</v>
      </c>
      <c r="H10" s="973">
        <f t="shared" si="1"/>
        <v>29162010</v>
      </c>
      <c r="O10" s="153" t="s">
        <v>2842</v>
      </c>
      <c r="P10" s="153" t="s">
        <v>3042</v>
      </c>
      <c r="Q10" s="153" t="s">
        <v>2024</v>
      </c>
      <c r="R10" s="153" t="s">
        <v>2091</v>
      </c>
      <c r="S10" s="1466">
        <v>23991660</v>
      </c>
      <c r="T10" s="153">
        <v>25191240</v>
      </c>
      <c r="U10" s="153">
        <v>26450800</v>
      </c>
      <c r="V10" s="153">
        <v>27773340</v>
      </c>
      <c r="W10" s="153">
        <v>29162010</v>
      </c>
      <c r="Z10" s="153" t="s">
        <v>2842</v>
      </c>
      <c r="AA10" s="153" t="e">
        <f>VLOOKUP(Z10,$AM$4:$AN$47,2,FALSE)</f>
        <v>#N/A</v>
      </c>
      <c r="AB10" s="153" t="s">
        <v>2892</v>
      </c>
      <c r="AC10" s="153" t="s">
        <v>2091</v>
      </c>
      <c r="AD10" s="153">
        <v>23991660</v>
      </c>
      <c r="AE10" s="153">
        <v>25191240</v>
      </c>
      <c r="AF10" s="153">
        <v>26450800</v>
      </c>
      <c r="AG10" s="153">
        <v>27773340</v>
      </c>
      <c r="AH10" s="153">
        <v>29162010</v>
      </c>
      <c r="AM10" s="153" t="s">
        <v>2060</v>
      </c>
      <c r="AN10" s="153" t="s">
        <v>3041</v>
      </c>
      <c r="AP10" s="153" t="s">
        <v>2028</v>
      </c>
      <c r="AQ10" s="153" t="s">
        <v>2023</v>
      </c>
    </row>
    <row r="11" spans="2:43" hidden="1" x14ac:dyDescent="0.3">
      <c r="B11" s="968" t="s">
        <v>2042</v>
      </c>
      <c r="C11" s="968" t="s">
        <v>3048</v>
      </c>
      <c r="D11" s="973">
        <v>25163520</v>
      </c>
      <c r="E11" s="973">
        <f t="shared" si="1"/>
        <v>26421700</v>
      </c>
      <c r="F11" s="973">
        <f t="shared" si="1"/>
        <v>27742790</v>
      </c>
      <c r="G11" s="973">
        <f t="shared" si="1"/>
        <v>29129930</v>
      </c>
      <c r="H11" s="973">
        <f t="shared" si="1"/>
        <v>30586430</v>
      </c>
      <c r="O11" s="153" t="s">
        <v>2042</v>
      </c>
      <c r="P11" s="153" t="s">
        <v>2025</v>
      </c>
      <c r="Q11" s="153" t="s">
        <v>2802</v>
      </c>
      <c r="R11" s="153" t="s">
        <v>2091</v>
      </c>
      <c r="S11" s="819">
        <v>25163520</v>
      </c>
      <c r="T11" s="153">
        <v>26421700</v>
      </c>
      <c r="U11" s="153">
        <v>27742790</v>
      </c>
      <c r="V11" s="153">
        <v>29129930</v>
      </c>
      <c r="W11" s="153">
        <v>30586430</v>
      </c>
      <c r="Z11" s="153" t="s">
        <v>2042</v>
      </c>
      <c r="AA11" s="153" t="str">
        <f>VLOOKUP(Z11,$AM$4:$AN$47,2,FALSE)</f>
        <v>기타</v>
      </c>
      <c r="AB11" s="153" t="str">
        <f>VLOOKUP(Z11,$AP$5:$AQ$1461,2,FALSE)</f>
        <v>고소작업차</v>
      </c>
      <c r="AC11" s="153" t="s">
        <v>2091</v>
      </c>
      <c r="AD11" s="153">
        <v>25163520</v>
      </c>
      <c r="AE11" s="153">
        <v>26421700</v>
      </c>
      <c r="AF11" s="153">
        <v>27742790</v>
      </c>
      <c r="AG11" s="153">
        <v>29129930</v>
      </c>
      <c r="AH11" s="153">
        <v>30586430</v>
      </c>
      <c r="AM11" s="153" t="s">
        <v>2063</v>
      </c>
      <c r="AN11" s="153" t="s">
        <v>3041</v>
      </c>
      <c r="AP11" s="153" t="s">
        <v>2028</v>
      </c>
      <c r="AQ11" s="153" t="s">
        <v>2023</v>
      </c>
    </row>
    <row r="12" spans="2:43" x14ac:dyDescent="0.3">
      <c r="B12" s="968" t="s">
        <v>2823</v>
      </c>
      <c r="C12" s="968" t="s">
        <v>3048</v>
      </c>
      <c r="D12" s="973">
        <v>9915320</v>
      </c>
      <c r="E12" s="973">
        <f t="shared" si="1"/>
        <v>10411090</v>
      </c>
      <c r="F12" s="973">
        <f t="shared" si="1"/>
        <v>10931640</v>
      </c>
      <c r="G12" s="973">
        <f t="shared" si="1"/>
        <v>11478220</v>
      </c>
      <c r="H12" s="973">
        <f t="shared" si="1"/>
        <v>12052130</v>
      </c>
      <c r="O12" s="153" t="s">
        <v>2823</v>
      </c>
      <c r="P12" s="153" t="s">
        <v>2025</v>
      </c>
      <c r="Q12" s="153" t="s">
        <v>2024</v>
      </c>
      <c r="R12" s="153" t="s">
        <v>2091</v>
      </c>
      <c r="S12" s="819">
        <v>9915320</v>
      </c>
      <c r="T12" s="153">
        <v>10411090</v>
      </c>
      <c r="U12" s="153">
        <v>10931640</v>
      </c>
      <c r="V12" s="153">
        <v>11478220</v>
      </c>
      <c r="W12" s="153">
        <v>12052130</v>
      </c>
      <c r="Z12" s="153" t="s">
        <v>2823</v>
      </c>
      <c r="AA12" s="153" t="str">
        <f>VLOOKUP(Z12,$AM$4:$AN$47,2,FALSE)</f>
        <v>기타</v>
      </c>
      <c r="AB12" s="153" t="s">
        <v>2892</v>
      </c>
      <c r="AC12" s="153" t="s">
        <v>2091</v>
      </c>
      <c r="AD12" s="153">
        <v>9915320</v>
      </c>
      <c r="AE12" s="153">
        <v>10411090</v>
      </c>
      <c r="AF12" s="153">
        <v>10931640</v>
      </c>
      <c r="AG12" s="153">
        <v>11478220</v>
      </c>
      <c r="AH12" s="153">
        <v>12052130</v>
      </c>
      <c r="AM12" s="153" t="s">
        <v>2055</v>
      </c>
      <c r="AN12" s="153" t="s">
        <v>2025</v>
      </c>
      <c r="AP12" s="153" t="s">
        <v>2032</v>
      </c>
      <c r="AQ12" s="153" t="s">
        <v>2802</v>
      </c>
    </row>
    <row r="13" spans="2:43" x14ac:dyDescent="0.3">
      <c r="B13" s="968" t="s">
        <v>2838</v>
      </c>
      <c r="C13" s="968" t="s">
        <v>3048</v>
      </c>
      <c r="D13" s="973">
        <v>10411090</v>
      </c>
      <c r="E13" s="973">
        <f t="shared" si="1"/>
        <v>10931640</v>
      </c>
      <c r="F13" s="973">
        <f t="shared" si="1"/>
        <v>11478220</v>
      </c>
      <c r="G13" s="973">
        <f t="shared" si="1"/>
        <v>12052130</v>
      </c>
      <c r="H13" s="973">
        <f t="shared" si="1"/>
        <v>12654740</v>
      </c>
      <c r="O13" s="153" t="s">
        <v>2838</v>
      </c>
      <c r="P13" s="153" t="s">
        <v>2025</v>
      </c>
      <c r="Q13" s="153" t="s">
        <v>2024</v>
      </c>
      <c r="R13" s="153" t="s">
        <v>2091</v>
      </c>
      <c r="S13" s="819">
        <v>10411090</v>
      </c>
      <c r="T13" s="153">
        <v>10931640</v>
      </c>
      <c r="U13" s="153">
        <v>11478220</v>
      </c>
      <c r="V13" s="153">
        <v>12052130</v>
      </c>
      <c r="W13" s="153">
        <v>12654740</v>
      </c>
      <c r="Z13" s="153" t="s">
        <v>2838</v>
      </c>
      <c r="AA13" s="153" t="str">
        <f>VLOOKUP(Z13,$AM$4:$AN$47,2,FALSE)</f>
        <v>기타</v>
      </c>
      <c r="AB13" s="153" t="s">
        <v>2892</v>
      </c>
      <c r="AC13" s="153" t="s">
        <v>2091</v>
      </c>
      <c r="AD13" s="153">
        <v>10411090</v>
      </c>
      <c r="AE13" s="153">
        <v>10931640</v>
      </c>
      <c r="AF13" s="153">
        <v>11478220</v>
      </c>
      <c r="AG13" s="153">
        <v>12052130</v>
      </c>
      <c r="AH13" s="153">
        <v>12654740</v>
      </c>
      <c r="AM13" s="153" t="s">
        <v>2059</v>
      </c>
      <c r="AN13" s="153" t="s">
        <v>3042</v>
      </c>
      <c r="AP13" s="153" t="s">
        <v>2037</v>
      </c>
      <c r="AQ13" s="153" t="s">
        <v>2802</v>
      </c>
    </row>
    <row r="14" spans="2:43" hidden="1" x14ac:dyDescent="0.3">
      <c r="B14" s="968" t="s">
        <v>3056</v>
      </c>
      <c r="C14" s="968" t="s">
        <v>3048</v>
      </c>
      <c r="D14" s="973">
        <v>23308990</v>
      </c>
      <c r="E14" s="973">
        <f t="shared" si="1"/>
        <v>24474440</v>
      </c>
      <c r="F14" s="973">
        <f t="shared" si="1"/>
        <v>25698160</v>
      </c>
      <c r="G14" s="973">
        <f t="shared" si="1"/>
        <v>26983070</v>
      </c>
      <c r="H14" s="973">
        <f t="shared" si="1"/>
        <v>28332220</v>
      </c>
      <c r="O14" s="153" t="s">
        <v>3056</v>
      </c>
      <c r="P14" s="153" t="s">
        <v>3042</v>
      </c>
      <c r="Q14" s="153" t="s">
        <v>2802</v>
      </c>
      <c r="R14" s="153" t="s">
        <v>2091</v>
      </c>
      <c r="S14" s="819">
        <v>23308990</v>
      </c>
      <c r="T14" s="153">
        <v>24474440</v>
      </c>
      <c r="U14" s="153">
        <v>25698160</v>
      </c>
      <c r="V14" s="153">
        <v>26983070</v>
      </c>
      <c r="W14" s="153">
        <v>28332220</v>
      </c>
      <c r="Z14" s="153" t="s">
        <v>3056</v>
      </c>
      <c r="AA14" s="153" t="s">
        <v>3055</v>
      </c>
      <c r="AB14" s="153" t="s">
        <v>2888</v>
      </c>
      <c r="AC14" s="153" t="s">
        <v>2091</v>
      </c>
      <c r="AD14" s="153">
        <v>23308990</v>
      </c>
      <c r="AE14" s="153">
        <v>24474440</v>
      </c>
      <c r="AF14" s="153">
        <v>25698160</v>
      </c>
      <c r="AG14" s="153">
        <v>26983070</v>
      </c>
      <c r="AH14" s="153">
        <v>28332220</v>
      </c>
      <c r="AM14" s="153" t="s">
        <v>2062</v>
      </c>
      <c r="AN14" s="153" t="s">
        <v>3041</v>
      </c>
      <c r="AP14" s="153" t="s">
        <v>2037</v>
      </c>
      <c r="AQ14" s="153" t="s">
        <v>2802</v>
      </c>
    </row>
    <row r="15" spans="2:43" hidden="1" x14ac:dyDescent="0.3">
      <c r="B15" s="968" t="s">
        <v>2038</v>
      </c>
      <c r="C15" s="968" t="s">
        <v>3048</v>
      </c>
      <c r="D15" s="973">
        <v>24094390</v>
      </c>
      <c r="E15" s="973">
        <f t="shared" si="1"/>
        <v>25299110</v>
      </c>
      <c r="F15" s="973">
        <f t="shared" si="1"/>
        <v>26564070</v>
      </c>
      <c r="G15" s="973">
        <f t="shared" si="1"/>
        <v>27892270</v>
      </c>
      <c r="H15" s="973">
        <f t="shared" si="1"/>
        <v>29286880</v>
      </c>
      <c r="O15" s="153" t="s">
        <v>2038</v>
      </c>
      <c r="P15" s="153" t="s">
        <v>3042</v>
      </c>
      <c r="Q15" s="153" t="s">
        <v>2802</v>
      </c>
      <c r="R15" s="153" t="s">
        <v>2091</v>
      </c>
      <c r="S15" s="819">
        <v>24094390</v>
      </c>
      <c r="T15" s="153">
        <v>25299110</v>
      </c>
      <c r="U15" s="153">
        <v>26564070</v>
      </c>
      <c r="V15" s="153">
        <v>27892270</v>
      </c>
      <c r="W15" s="153">
        <v>29286880</v>
      </c>
      <c r="Z15" s="153" t="s">
        <v>2038</v>
      </c>
      <c r="AA15" s="153" t="e">
        <f>VLOOKUP(Z15,$AM$4:$AN$47,2,FALSE)</f>
        <v>#N/A</v>
      </c>
      <c r="AB15" s="153" t="str">
        <f>VLOOKUP(Z15,$AP$5:$AQ$1461,2,FALSE)</f>
        <v>고소작업차</v>
      </c>
      <c r="AC15" s="153" t="s">
        <v>2091</v>
      </c>
      <c r="AD15" s="153">
        <v>24094390</v>
      </c>
      <c r="AE15" s="153">
        <v>25299110</v>
      </c>
      <c r="AF15" s="153">
        <v>26564070</v>
      </c>
      <c r="AG15" s="153">
        <v>27892270</v>
      </c>
      <c r="AH15" s="153">
        <v>29286880</v>
      </c>
      <c r="AM15" s="153" t="s">
        <v>2834</v>
      </c>
      <c r="AN15" s="153" t="s">
        <v>3034</v>
      </c>
      <c r="AP15" s="153" t="s">
        <v>2037</v>
      </c>
      <c r="AQ15" s="153" t="s">
        <v>2802</v>
      </c>
    </row>
    <row r="16" spans="2:43" hidden="1" x14ac:dyDescent="0.3">
      <c r="B16" s="968" t="s">
        <v>2039</v>
      </c>
      <c r="C16" s="968" t="s">
        <v>3048</v>
      </c>
      <c r="D16" s="973">
        <v>25563300</v>
      </c>
      <c r="E16" s="973">
        <f t="shared" si="1"/>
        <v>26841470</v>
      </c>
      <c r="F16" s="973">
        <f t="shared" si="1"/>
        <v>28183540</v>
      </c>
      <c r="G16" s="973">
        <f t="shared" si="1"/>
        <v>29592720</v>
      </c>
      <c r="H16" s="973">
        <f t="shared" si="1"/>
        <v>31072360</v>
      </c>
      <c r="O16" s="153" t="s">
        <v>2039</v>
      </c>
      <c r="P16" s="153" t="s">
        <v>3042</v>
      </c>
      <c r="Q16" s="153" t="s">
        <v>2802</v>
      </c>
      <c r="R16" s="153" t="s">
        <v>2091</v>
      </c>
      <c r="S16" s="819">
        <v>25563300</v>
      </c>
      <c r="T16" s="153">
        <v>26841470</v>
      </c>
      <c r="U16" s="153">
        <v>28183540</v>
      </c>
      <c r="V16" s="153">
        <v>29592720</v>
      </c>
      <c r="W16" s="153">
        <v>31072360</v>
      </c>
      <c r="Z16" s="153" t="s">
        <v>2039</v>
      </c>
      <c r="AA16" s="153" t="str">
        <f>VLOOKUP(Z16,$AM$4:$AN$47,2,FALSE)</f>
        <v>통신</v>
      </c>
      <c r="AB16" s="153" t="str">
        <f>VLOOKUP(Z16,$AP$5:$AQ$1461,2,FALSE)</f>
        <v>고소작업차</v>
      </c>
      <c r="AC16" s="153" t="s">
        <v>2091</v>
      </c>
      <c r="AD16" s="153">
        <v>25563300</v>
      </c>
      <c r="AE16" s="153">
        <v>26841470</v>
      </c>
      <c r="AF16" s="153">
        <v>28183540</v>
      </c>
      <c r="AG16" s="153">
        <v>29592720</v>
      </c>
      <c r="AH16" s="153">
        <v>31072360</v>
      </c>
      <c r="AM16" s="153" t="s">
        <v>2044</v>
      </c>
      <c r="AN16" s="153" t="s">
        <v>2025</v>
      </c>
      <c r="AP16" s="153" t="s">
        <v>2054</v>
      </c>
      <c r="AQ16" s="153" t="s">
        <v>2802</v>
      </c>
    </row>
    <row r="17" spans="2:43" hidden="1" x14ac:dyDescent="0.3">
      <c r="B17" s="968" t="s">
        <v>2878</v>
      </c>
      <c r="C17" s="968" t="s">
        <v>3048</v>
      </c>
      <c r="D17" s="973">
        <v>27143850</v>
      </c>
      <c r="E17" s="973">
        <f t="shared" si="1"/>
        <v>28501040</v>
      </c>
      <c r="F17" s="973">
        <f t="shared" si="1"/>
        <v>29926090</v>
      </c>
      <c r="G17" s="973">
        <f t="shared" si="1"/>
        <v>31422390</v>
      </c>
      <c r="H17" s="973">
        <f t="shared" si="1"/>
        <v>32993510</v>
      </c>
      <c r="O17" s="153" t="s">
        <v>2878</v>
      </c>
      <c r="P17" s="153" t="s">
        <v>3042</v>
      </c>
      <c r="Q17" s="153" t="s">
        <v>2802</v>
      </c>
      <c r="R17" s="153" t="s">
        <v>2091</v>
      </c>
      <c r="S17" s="819">
        <v>27143850</v>
      </c>
      <c r="T17" s="153">
        <v>28501040</v>
      </c>
      <c r="U17" s="153">
        <v>29926090</v>
      </c>
      <c r="V17" s="153">
        <v>31422390</v>
      </c>
      <c r="W17" s="153">
        <v>32993510</v>
      </c>
      <c r="Z17" s="153" t="s">
        <v>2878</v>
      </c>
      <c r="AA17" s="153" t="str">
        <f>VLOOKUP(Z17,$AM$4:$AN$47,2,FALSE)</f>
        <v>통신</v>
      </c>
      <c r="AB17" s="153" t="s">
        <v>2888</v>
      </c>
      <c r="AC17" s="153" t="s">
        <v>2091</v>
      </c>
      <c r="AD17" s="153">
        <v>27143850</v>
      </c>
      <c r="AE17" s="153">
        <v>28501040</v>
      </c>
      <c r="AF17" s="153">
        <v>29926090</v>
      </c>
      <c r="AG17" s="153">
        <v>31422390</v>
      </c>
      <c r="AH17" s="153">
        <v>32993510</v>
      </c>
      <c r="AM17" s="153" t="s">
        <v>2048</v>
      </c>
      <c r="AN17" s="153" t="s">
        <v>3042</v>
      </c>
      <c r="AP17" s="153" t="s">
        <v>2052</v>
      </c>
      <c r="AQ17" s="153" t="s">
        <v>2802</v>
      </c>
    </row>
    <row r="18" spans="2:43" hidden="1" x14ac:dyDescent="0.3">
      <c r="B18" s="968" t="s">
        <v>3057</v>
      </c>
      <c r="C18" s="968" t="s">
        <v>3048</v>
      </c>
      <c r="D18" s="973">
        <v>23772620</v>
      </c>
      <c r="E18" s="973">
        <f t="shared" si="1"/>
        <v>24961250</v>
      </c>
      <c r="F18" s="973">
        <f t="shared" si="1"/>
        <v>26209310</v>
      </c>
      <c r="G18" s="973">
        <f t="shared" si="1"/>
        <v>27519780</v>
      </c>
      <c r="H18" s="973">
        <f t="shared" si="1"/>
        <v>28895770</v>
      </c>
      <c r="I18" s="153" t="s">
        <v>3058</v>
      </c>
      <c r="O18" s="153" t="s">
        <v>3059</v>
      </c>
      <c r="P18" s="153" t="s">
        <v>3042</v>
      </c>
      <c r="Q18" s="153" t="s">
        <v>2802</v>
      </c>
      <c r="R18" s="153" t="s">
        <v>2091</v>
      </c>
      <c r="S18" s="819">
        <v>23772620</v>
      </c>
      <c r="T18" s="153">
        <v>24961250</v>
      </c>
      <c r="U18" s="153">
        <v>26209310</v>
      </c>
      <c r="V18" s="153">
        <v>27519780</v>
      </c>
      <c r="W18" s="153">
        <v>28895770</v>
      </c>
      <c r="Z18" s="153" t="s">
        <v>3059</v>
      </c>
      <c r="AA18" s="153" t="s">
        <v>3055</v>
      </c>
      <c r="AB18" s="153" t="s">
        <v>2888</v>
      </c>
      <c r="AC18" s="153" t="s">
        <v>2091</v>
      </c>
      <c r="AD18" s="153">
        <v>23772620</v>
      </c>
      <c r="AE18" s="153">
        <v>24961250</v>
      </c>
      <c r="AF18" s="153">
        <v>26209310</v>
      </c>
      <c r="AG18" s="153">
        <v>27519780</v>
      </c>
      <c r="AH18" s="153">
        <v>28895770</v>
      </c>
      <c r="AM18" s="153" t="s">
        <v>2836</v>
      </c>
      <c r="AN18" s="153" t="s">
        <v>3042</v>
      </c>
      <c r="AP18" s="153" t="s">
        <v>2052</v>
      </c>
      <c r="AQ18" s="153" t="s">
        <v>2802</v>
      </c>
    </row>
    <row r="19" spans="2:43" hidden="1" x14ac:dyDescent="0.3">
      <c r="B19" s="968" t="s">
        <v>2048</v>
      </c>
      <c r="C19" s="968" t="s">
        <v>3048</v>
      </c>
      <c r="D19" s="973">
        <v>28315250</v>
      </c>
      <c r="E19" s="973">
        <f t="shared" si="1"/>
        <v>29731010</v>
      </c>
      <c r="F19" s="973">
        <f t="shared" si="1"/>
        <v>31217560</v>
      </c>
      <c r="G19" s="973">
        <f t="shared" si="1"/>
        <v>32778440</v>
      </c>
      <c r="H19" s="973">
        <f t="shared" si="1"/>
        <v>34417360</v>
      </c>
      <c r="I19" s="153" t="s">
        <v>3058</v>
      </c>
      <c r="O19" s="153" t="s">
        <v>2048</v>
      </c>
      <c r="P19" s="153" t="s">
        <v>3042</v>
      </c>
      <c r="Q19" s="153" t="s">
        <v>2802</v>
      </c>
      <c r="R19" s="153" t="s">
        <v>2091</v>
      </c>
      <c r="S19" s="819">
        <v>28315250</v>
      </c>
      <c r="T19" s="153">
        <v>29731010</v>
      </c>
      <c r="U19" s="153">
        <v>31217560</v>
      </c>
      <c r="V19" s="153">
        <v>32778440</v>
      </c>
      <c r="W19" s="153">
        <v>34417360</v>
      </c>
      <c r="Z19" s="153" t="s">
        <v>2048</v>
      </c>
      <c r="AA19" s="153" t="str">
        <f>VLOOKUP(Z19,$AM$4:$AN$47,2,FALSE)</f>
        <v>통신</v>
      </c>
      <c r="AB19" s="153" t="str">
        <f t="shared" ref="AB19:AB48" si="2">VLOOKUP(Z19,$AP$5:$AQ$1461,2,FALSE)</f>
        <v>고소작업차</v>
      </c>
      <c r="AC19" s="153" t="s">
        <v>2091</v>
      </c>
      <c r="AD19" s="153">
        <v>28315250</v>
      </c>
      <c r="AE19" s="153">
        <v>29731010</v>
      </c>
      <c r="AF19" s="153">
        <v>31217560</v>
      </c>
      <c r="AG19" s="153">
        <v>32778440</v>
      </c>
      <c r="AH19" s="153">
        <v>34417360</v>
      </c>
      <c r="AM19" s="153" t="s">
        <v>2033</v>
      </c>
      <c r="AN19" s="153" t="s">
        <v>3042</v>
      </c>
      <c r="AP19" s="153" t="s">
        <v>2054</v>
      </c>
      <c r="AQ19" s="153" t="s">
        <v>2802</v>
      </c>
    </row>
    <row r="20" spans="2:43" hidden="1" x14ac:dyDescent="0.3">
      <c r="B20" s="968" t="s">
        <v>2050</v>
      </c>
      <c r="C20" s="968" t="s">
        <v>3048</v>
      </c>
      <c r="D20" s="973">
        <v>37481250</v>
      </c>
      <c r="E20" s="973">
        <f t="shared" si="1"/>
        <v>39355310</v>
      </c>
      <c r="F20" s="973">
        <f t="shared" si="1"/>
        <v>41323080</v>
      </c>
      <c r="G20" s="973">
        <f t="shared" si="1"/>
        <v>43389230</v>
      </c>
      <c r="H20" s="973">
        <f t="shared" si="1"/>
        <v>45558690</v>
      </c>
      <c r="J20" s="153" t="s">
        <v>3060</v>
      </c>
      <c r="O20" s="153" t="s">
        <v>2050</v>
      </c>
      <c r="P20" s="153" t="s">
        <v>3041</v>
      </c>
      <c r="Q20" s="153" t="s">
        <v>2802</v>
      </c>
      <c r="R20" s="153" t="s">
        <v>2091</v>
      </c>
      <c r="S20" s="819">
        <v>37481250</v>
      </c>
      <c r="T20" s="153">
        <v>39355310</v>
      </c>
      <c r="U20" s="153">
        <v>41323080</v>
      </c>
      <c r="V20" s="153">
        <v>43389230</v>
      </c>
      <c r="W20" s="153">
        <v>45558690</v>
      </c>
      <c r="Z20" s="153" t="s">
        <v>2050</v>
      </c>
      <c r="AA20" s="153" t="str">
        <f>VLOOKUP(Z20,$AM$4:$AN$47,2,FALSE)</f>
        <v>전기</v>
      </c>
      <c r="AB20" s="153" t="str">
        <f t="shared" si="2"/>
        <v>고소작업차</v>
      </c>
      <c r="AC20" s="153" t="s">
        <v>2091</v>
      </c>
      <c r="AD20" s="153">
        <v>37481250</v>
      </c>
      <c r="AE20" s="153">
        <v>39355310</v>
      </c>
      <c r="AF20" s="153">
        <v>41323080</v>
      </c>
      <c r="AG20" s="153">
        <v>43389230</v>
      </c>
      <c r="AH20" s="153">
        <v>45558690</v>
      </c>
      <c r="AM20" s="153" t="s">
        <v>2047</v>
      </c>
      <c r="AN20" s="153" t="s">
        <v>2025</v>
      </c>
      <c r="AP20" s="153" t="s">
        <v>2039</v>
      </c>
      <c r="AQ20" s="153" t="s">
        <v>2802</v>
      </c>
    </row>
    <row r="21" spans="2:43" hidden="1" x14ac:dyDescent="0.3">
      <c r="B21" s="968" t="s">
        <v>2041</v>
      </c>
      <c r="C21" s="968" t="s">
        <v>3048</v>
      </c>
      <c r="D21" s="973">
        <v>30287980</v>
      </c>
      <c r="E21" s="973">
        <f t="shared" si="1"/>
        <v>31802380</v>
      </c>
      <c r="F21" s="973">
        <f t="shared" si="1"/>
        <v>33392500</v>
      </c>
      <c r="G21" s="973">
        <f t="shared" si="1"/>
        <v>35062130</v>
      </c>
      <c r="H21" s="973">
        <f t="shared" si="1"/>
        <v>36815240</v>
      </c>
      <c r="O21" s="153" t="s">
        <v>2041</v>
      </c>
      <c r="P21" s="153" t="s">
        <v>2024</v>
      </c>
      <c r="Q21" s="153" t="s">
        <v>2802</v>
      </c>
      <c r="R21" s="153" t="s">
        <v>2091</v>
      </c>
      <c r="S21" s="819">
        <v>30287980</v>
      </c>
      <c r="T21" s="153">
        <v>31802380</v>
      </c>
      <c r="U21" s="153">
        <v>33392500</v>
      </c>
      <c r="V21" s="153">
        <v>35062130</v>
      </c>
      <c r="W21" s="153">
        <v>36815240</v>
      </c>
      <c r="Z21" s="153" t="s">
        <v>2041</v>
      </c>
      <c r="AA21" s="153" t="s">
        <v>2892</v>
      </c>
      <c r="AB21" s="153" t="str">
        <f t="shared" si="2"/>
        <v>고소작업차</v>
      </c>
      <c r="AC21" s="153" t="s">
        <v>2091</v>
      </c>
      <c r="AD21" s="153">
        <v>30287980</v>
      </c>
      <c r="AE21" s="153">
        <v>31802380</v>
      </c>
      <c r="AF21" s="153">
        <v>33392500</v>
      </c>
      <c r="AG21" s="153">
        <v>35062130</v>
      </c>
      <c r="AH21" s="153">
        <v>36815240</v>
      </c>
      <c r="AM21" s="153" t="s">
        <v>2837</v>
      </c>
      <c r="AN21" s="153" t="s">
        <v>3042</v>
      </c>
      <c r="AP21" s="153" t="s">
        <v>2037</v>
      </c>
      <c r="AQ21" s="153" t="s">
        <v>2802</v>
      </c>
    </row>
    <row r="22" spans="2:43" hidden="1" x14ac:dyDescent="0.3">
      <c r="B22" s="968" t="s">
        <v>2043</v>
      </c>
      <c r="C22" s="968" t="s">
        <v>3048</v>
      </c>
      <c r="D22" s="973">
        <v>31446680</v>
      </c>
      <c r="E22" s="973">
        <f t="shared" si="1"/>
        <v>33019010</v>
      </c>
      <c r="F22" s="973">
        <f t="shared" si="1"/>
        <v>34669960</v>
      </c>
      <c r="G22" s="973">
        <f t="shared" si="1"/>
        <v>36403460</v>
      </c>
      <c r="H22" s="973">
        <f t="shared" si="1"/>
        <v>38223630</v>
      </c>
      <c r="O22" s="153" t="s">
        <v>2043</v>
      </c>
      <c r="P22" s="153" t="s">
        <v>3041</v>
      </c>
      <c r="Q22" s="153" t="s">
        <v>2802</v>
      </c>
      <c r="R22" s="153" t="s">
        <v>2091</v>
      </c>
      <c r="S22" s="819">
        <v>31446680</v>
      </c>
      <c r="T22" s="153">
        <v>33019010</v>
      </c>
      <c r="U22" s="153">
        <v>34669960</v>
      </c>
      <c r="V22" s="153">
        <v>36403460</v>
      </c>
      <c r="W22" s="153">
        <v>38223630</v>
      </c>
      <c r="Z22" s="153" t="s">
        <v>2043</v>
      </c>
      <c r="AA22" s="153" t="e">
        <f>VLOOKUP(Z22,$AM$4:$AN$47,2,FALSE)</f>
        <v>#N/A</v>
      </c>
      <c r="AB22" s="153" t="str">
        <f t="shared" si="2"/>
        <v>고소작업차</v>
      </c>
      <c r="AC22" s="153" t="s">
        <v>2091</v>
      </c>
      <c r="AD22" s="153">
        <v>31446680</v>
      </c>
      <c r="AE22" s="153">
        <v>33019010</v>
      </c>
      <c r="AF22" s="153">
        <v>34669960</v>
      </c>
      <c r="AG22" s="153">
        <v>36403460</v>
      </c>
      <c r="AH22" s="153">
        <v>38223630</v>
      </c>
      <c r="AM22" s="153" t="s">
        <v>2054</v>
      </c>
      <c r="AN22" s="153" t="s">
        <v>3039</v>
      </c>
      <c r="AP22" s="153" t="s">
        <v>2037</v>
      </c>
      <c r="AQ22" s="153" t="s">
        <v>2802</v>
      </c>
    </row>
    <row r="23" spans="2:43" hidden="1" x14ac:dyDescent="0.3">
      <c r="B23" s="968" t="s">
        <v>2045</v>
      </c>
      <c r="C23" s="968" t="s">
        <v>3048</v>
      </c>
      <c r="D23" s="973">
        <v>48520560</v>
      </c>
      <c r="E23" s="973">
        <f t="shared" si="1"/>
        <v>50946590</v>
      </c>
      <c r="F23" s="973">
        <f t="shared" si="1"/>
        <v>53493920</v>
      </c>
      <c r="G23" s="973">
        <f t="shared" si="1"/>
        <v>56168620</v>
      </c>
      <c r="H23" s="973">
        <f t="shared" si="1"/>
        <v>58977050</v>
      </c>
      <c r="O23" s="153" t="s">
        <v>2045</v>
      </c>
      <c r="P23" s="153" t="s">
        <v>3040</v>
      </c>
      <c r="Q23" s="153" t="s">
        <v>2802</v>
      </c>
      <c r="R23" s="153" t="s">
        <v>2091</v>
      </c>
      <c r="S23" s="819">
        <v>48520560</v>
      </c>
      <c r="T23" s="153">
        <v>50946590</v>
      </c>
      <c r="U23" s="153">
        <v>53493920</v>
      </c>
      <c r="V23" s="153">
        <v>56168620</v>
      </c>
      <c r="W23" s="153">
        <v>58977050</v>
      </c>
      <c r="Z23" s="153" t="s">
        <v>2045</v>
      </c>
      <c r="AA23" s="153" t="e">
        <f>VLOOKUP(Z23,$AM$4:$AN$47,2,FALSE)</f>
        <v>#N/A</v>
      </c>
      <c r="AB23" s="153" t="str">
        <f t="shared" si="2"/>
        <v>고소작업차</v>
      </c>
      <c r="AC23" s="153" t="s">
        <v>2091</v>
      </c>
      <c r="AD23" s="153">
        <v>48520560</v>
      </c>
      <c r="AE23" s="153">
        <v>50946590</v>
      </c>
      <c r="AF23" s="153">
        <v>53493920</v>
      </c>
      <c r="AG23" s="153">
        <v>56168620</v>
      </c>
      <c r="AH23" s="153">
        <v>58977050</v>
      </c>
      <c r="AM23" s="153" t="s">
        <v>2838</v>
      </c>
      <c r="AN23" s="153" t="s">
        <v>2025</v>
      </c>
      <c r="AP23" s="153" t="s">
        <v>2032</v>
      </c>
      <c r="AQ23" s="153" t="s">
        <v>2802</v>
      </c>
    </row>
    <row r="24" spans="2:43" hidden="1" x14ac:dyDescent="0.3">
      <c r="B24" s="968" t="s">
        <v>2055</v>
      </c>
      <c r="C24" s="968" t="s">
        <v>3048</v>
      </c>
      <c r="D24" s="973">
        <v>31951070</v>
      </c>
      <c r="E24" s="973">
        <f t="shared" si="1"/>
        <v>33548620</v>
      </c>
      <c r="F24" s="973">
        <f t="shared" si="1"/>
        <v>35226050</v>
      </c>
      <c r="G24" s="973">
        <f t="shared" si="1"/>
        <v>36987350</v>
      </c>
      <c r="H24" s="973">
        <f t="shared" si="1"/>
        <v>38836720</v>
      </c>
      <c r="O24" s="153" t="s">
        <v>2055</v>
      </c>
      <c r="P24" s="153" t="s">
        <v>2025</v>
      </c>
      <c r="Q24" s="153" t="s">
        <v>2802</v>
      </c>
      <c r="R24" s="153" t="s">
        <v>2091</v>
      </c>
      <c r="S24" s="819">
        <v>31951070</v>
      </c>
      <c r="T24" s="153">
        <v>33548620</v>
      </c>
      <c r="U24" s="153">
        <v>35226050</v>
      </c>
      <c r="V24" s="153">
        <v>36987350</v>
      </c>
      <c r="W24" s="153">
        <v>38836720</v>
      </c>
      <c r="Z24" s="153" t="s">
        <v>2055</v>
      </c>
      <c r="AA24" s="153" t="str">
        <f>VLOOKUP(Z24,$AM$4:$AN$47,2,FALSE)</f>
        <v>기타</v>
      </c>
      <c r="AB24" s="153" t="str">
        <f t="shared" si="2"/>
        <v>고소작업차</v>
      </c>
      <c r="AC24" s="153" t="s">
        <v>2091</v>
      </c>
      <c r="AD24" s="153">
        <v>31951070</v>
      </c>
      <c r="AE24" s="153">
        <v>33548620</v>
      </c>
      <c r="AF24" s="153">
        <v>35226050</v>
      </c>
      <c r="AG24" s="153">
        <v>36987350</v>
      </c>
      <c r="AH24" s="153">
        <v>38836720</v>
      </c>
      <c r="AM24" s="153" t="s">
        <v>2839</v>
      </c>
      <c r="AN24" s="153" t="s">
        <v>3042</v>
      </c>
      <c r="AP24" s="153" t="s">
        <v>2032</v>
      </c>
      <c r="AQ24" s="153" t="s">
        <v>2802</v>
      </c>
    </row>
    <row r="25" spans="2:43" hidden="1" x14ac:dyDescent="0.3">
      <c r="B25" s="968" t="s">
        <v>2046</v>
      </c>
      <c r="C25" s="968" t="s">
        <v>3048</v>
      </c>
      <c r="D25" s="973">
        <v>72218890</v>
      </c>
      <c r="E25" s="973">
        <f t="shared" si="1"/>
        <v>75829830</v>
      </c>
      <c r="F25" s="973">
        <f t="shared" si="1"/>
        <v>79621320</v>
      </c>
      <c r="G25" s="973">
        <f t="shared" si="1"/>
        <v>83602390</v>
      </c>
      <c r="H25" s="973">
        <f t="shared" si="1"/>
        <v>87782510</v>
      </c>
      <c r="O25" s="153" t="s">
        <v>2046</v>
      </c>
      <c r="P25" s="153" t="s">
        <v>3041</v>
      </c>
      <c r="Q25" s="153" t="s">
        <v>2802</v>
      </c>
      <c r="R25" s="153" t="s">
        <v>2091</v>
      </c>
      <c r="S25" s="819">
        <v>72218890</v>
      </c>
      <c r="T25" s="153">
        <v>75829830</v>
      </c>
      <c r="U25" s="153">
        <v>79621320</v>
      </c>
      <c r="V25" s="153">
        <v>83602390</v>
      </c>
      <c r="W25" s="153">
        <v>87782510</v>
      </c>
      <c r="Z25" s="153" t="s">
        <v>2046</v>
      </c>
      <c r="AA25" s="153" t="s">
        <v>3061</v>
      </c>
      <c r="AB25" s="153" t="str">
        <f t="shared" si="2"/>
        <v>고소작업차</v>
      </c>
      <c r="AC25" s="153" t="s">
        <v>2091</v>
      </c>
      <c r="AD25" s="153">
        <v>72218890</v>
      </c>
      <c r="AE25" s="153">
        <v>75829830</v>
      </c>
      <c r="AF25" s="153">
        <v>79621320</v>
      </c>
      <c r="AG25" s="153">
        <v>83602390</v>
      </c>
      <c r="AH25" s="153">
        <v>87782510</v>
      </c>
      <c r="AM25" s="153" t="s">
        <v>2042</v>
      </c>
      <c r="AN25" s="153" t="s">
        <v>2025</v>
      </c>
      <c r="AP25" s="153" t="s">
        <v>2037</v>
      </c>
      <c r="AQ25" s="153" t="s">
        <v>2802</v>
      </c>
    </row>
    <row r="26" spans="2:43" hidden="1" x14ac:dyDescent="0.3">
      <c r="B26" s="968" t="s">
        <v>3062</v>
      </c>
      <c r="C26" s="968" t="s">
        <v>3048</v>
      </c>
      <c r="D26" s="973">
        <v>73155400</v>
      </c>
      <c r="E26" s="973">
        <f t="shared" si="1"/>
        <v>76813170</v>
      </c>
      <c r="F26" s="973">
        <f t="shared" si="1"/>
        <v>80653830</v>
      </c>
      <c r="G26" s="973">
        <f t="shared" si="1"/>
        <v>84686520</v>
      </c>
      <c r="H26" s="973">
        <f t="shared" si="1"/>
        <v>88920850</v>
      </c>
      <c r="O26" s="153" t="s">
        <v>2047</v>
      </c>
      <c r="P26" s="153" t="s">
        <v>2025</v>
      </c>
      <c r="Q26" s="153" t="s">
        <v>2802</v>
      </c>
      <c r="R26" s="153" t="s">
        <v>2091</v>
      </c>
      <c r="S26" s="819">
        <v>73155400</v>
      </c>
      <c r="T26" s="153">
        <v>76813170</v>
      </c>
      <c r="U26" s="153">
        <v>80653830</v>
      </c>
      <c r="V26" s="153">
        <v>84686520</v>
      </c>
      <c r="W26" s="153">
        <v>88920850</v>
      </c>
      <c r="Z26" s="153" t="s">
        <v>2047</v>
      </c>
      <c r="AA26" s="153" t="str">
        <f>VLOOKUP(Z26,$AM$4:$AN$47,2,FALSE)</f>
        <v>기타</v>
      </c>
      <c r="AB26" s="153" t="str">
        <f t="shared" si="2"/>
        <v>고소작업차</v>
      </c>
      <c r="AC26" s="153" t="s">
        <v>2091</v>
      </c>
      <c r="AD26" s="153">
        <v>73155400</v>
      </c>
      <c r="AE26" s="153">
        <v>76813170</v>
      </c>
      <c r="AF26" s="153">
        <v>80653830</v>
      </c>
      <c r="AG26" s="153">
        <v>84686520</v>
      </c>
      <c r="AH26" s="153">
        <v>88920850</v>
      </c>
      <c r="AM26" s="153" t="s">
        <v>2065</v>
      </c>
      <c r="AN26" s="153" t="s">
        <v>2025</v>
      </c>
      <c r="AP26" s="153" t="s">
        <v>2037</v>
      </c>
      <c r="AQ26" s="153" t="s">
        <v>2802</v>
      </c>
    </row>
    <row r="27" spans="2:43" x14ac:dyDescent="0.3">
      <c r="B27" s="968" t="s">
        <v>3063</v>
      </c>
      <c r="C27" s="968" t="s">
        <v>3064</v>
      </c>
      <c r="D27" s="973">
        <v>4625400</v>
      </c>
      <c r="E27" s="973">
        <f t="shared" si="1"/>
        <v>4856670</v>
      </c>
      <c r="F27" s="973">
        <f t="shared" si="1"/>
        <v>5099500</v>
      </c>
      <c r="G27" s="973">
        <f t="shared" si="1"/>
        <v>5354480</v>
      </c>
      <c r="H27" s="973">
        <f t="shared" si="1"/>
        <v>5622200</v>
      </c>
      <c r="O27" s="153" t="s">
        <v>3063</v>
      </c>
      <c r="P27" s="153" t="s">
        <v>3039</v>
      </c>
      <c r="Q27" s="153" t="s">
        <v>3065</v>
      </c>
      <c r="R27" s="153" t="s">
        <v>2091</v>
      </c>
      <c r="S27" s="819">
        <v>4625400</v>
      </c>
      <c r="T27" s="153">
        <v>4856670</v>
      </c>
      <c r="U27" s="153">
        <v>5099500</v>
      </c>
      <c r="V27" s="153">
        <v>5354480</v>
      </c>
      <c r="W27" s="153">
        <v>5622200</v>
      </c>
      <c r="Z27" s="153" t="s">
        <v>3063</v>
      </c>
      <c r="AA27" s="153" t="s">
        <v>3066</v>
      </c>
      <c r="AB27" s="153" t="e">
        <f t="shared" si="2"/>
        <v>#N/A</v>
      </c>
      <c r="AC27" s="153" t="s">
        <v>2091</v>
      </c>
      <c r="AD27" s="153">
        <v>4625400</v>
      </c>
      <c r="AE27" s="153">
        <v>4856670</v>
      </c>
      <c r="AF27" s="153">
        <v>5099500</v>
      </c>
      <c r="AG27" s="153">
        <v>5354480</v>
      </c>
      <c r="AH27" s="153">
        <v>5622200</v>
      </c>
      <c r="AM27" s="153" t="s">
        <v>2823</v>
      </c>
      <c r="AN27" s="153" t="s">
        <v>2025</v>
      </c>
      <c r="AP27" s="153" t="s">
        <v>2037</v>
      </c>
      <c r="AQ27" s="153" t="s">
        <v>2802</v>
      </c>
    </row>
    <row r="28" spans="2:43" hidden="1" x14ac:dyDescent="0.3">
      <c r="B28" s="968" t="s">
        <v>2052</v>
      </c>
      <c r="C28" s="968" t="s">
        <v>3064</v>
      </c>
      <c r="D28" s="973">
        <v>4005500</v>
      </c>
      <c r="E28" s="973">
        <f t="shared" si="1"/>
        <v>4205780</v>
      </c>
      <c r="F28" s="973">
        <f t="shared" si="1"/>
        <v>4416070</v>
      </c>
      <c r="G28" s="973">
        <f t="shared" si="1"/>
        <v>4636870</v>
      </c>
      <c r="H28" s="973">
        <f t="shared" si="1"/>
        <v>4868710</v>
      </c>
      <c r="O28" s="153" t="s">
        <v>2052</v>
      </c>
      <c r="P28" s="153" t="s">
        <v>3039</v>
      </c>
      <c r="Q28" s="153" t="s">
        <v>2802</v>
      </c>
      <c r="R28" s="153" t="s">
        <v>2091</v>
      </c>
      <c r="S28" s="819">
        <v>4005500</v>
      </c>
      <c r="T28" s="153">
        <v>4205780</v>
      </c>
      <c r="U28" s="153">
        <v>4416070</v>
      </c>
      <c r="V28" s="153">
        <v>4636870</v>
      </c>
      <c r="W28" s="153">
        <v>4868710</v>
      </c>
      <c r="Z28" s="153" t="s">
        <v>2052</v>
      </c>
      <c r="AA28" s="153" t="str">
        <f>VLOOKUP(Z28,$AM$4:$AN$47,2,FALSE)</f>
        <v>건설</v>
      </c>
      <c r="AB28" s="153" t="str">
        <f t="shared" si="2"/>
        <v>고소작업차</v>
      </c>
      <c r="AC28" s="153" t="s">
        <v>2091</v>
      </c>
      <c r="AD28" s="153">
        <v>4005500</v>
      </c>
      <c r="AE28" s="153">
        <v>4205780</v>
      </c>
      <c r="AF28" s="153">
        <v>4416070</v>
      </c>
      <c r="AG28" s="153">
        <v>4636870</v>
      </c>
      <c r="AH28" s="153">
        <v>4868710</v>
      </c>
      <c r="AM28" s="153" t="s">
        <v>2826</v>
      </c>
      <c r="AN28" s="153" t="s">
        <v>3034</v>
      </c>
      <c r="AP28" s="153" t="s">
        <v>2028</v>
      </c>
      <c r="AQ28" s="153" t="s">
        <v>2023</v>
      </c>
    </row>
    <row r="29" spans="2:43" hidden="1" x14ac:dyDescent="0.3">
      <c r="B29" s="968" t="s">
        <v>2028</v>
      </c>
      <c r="C29" s="968" t="s">
        <v>3048</v>
      </c>
      <c r="D29" s="973">
        <v>4403610</v>
      </c>
      <c r="E29" s="973">
        <f t="shared" si="1"/>
        <v>4623790</v>
      </c>
      <c r="F29" s="973">
        <f t="shared" si="1"/>
        <v>4854980</v>
      </c>
      <c r="G29" s="973">
        <f t="shared" si="1"/>
        <v>5097730</v>
      </c>
      <c r="H29" s="973">
        <f t="shared" si="1"/>
        <v>5352620</v>
      </c>
      <c r="O29" s="153" t="s">
        <v>2028</v>
      </c>
      <c r="P29" s="153" t="s">
        <v>3039</v>
      </c>
      <c r="Q29" s="153" t="s">
        <v>2023</v>
      </c>
      <c r="R29" s="153" t="s">
        <v>2091</v>
      </c>
      <c r="S29" s="819">
        <v>4403610</v>
      </c>
      <c r="T29" s="153">
        <v>4623790</v>
      </c>
      <c r="U29" s="153">
        <v>4854980</v>
      </c>
      <c r="V29" s="153">
        <v>5097730</v>
      </c>
      <c r="W29" s="153">
        <v>5352620</v>
      </c>
      <c r="Z29" s="153" t="s">
        <v>2028</v>
      </c>
      <c r="AA29" s="153" t="str">
        <f>VLOOKUP(Z29,$AM$4:$AN$47,2,FALSE)</f>
        <v>건설</v>
      </c>
      <c r="AB29" s="153" t="str">
        <f t="shared" si="2"/>
        <v>활선차</v>
      </c>
      <c r="AC29" s="153" t="s">
        <v>2091</v>
      </c>
      <c r="AD29" s="153">
        <v>4403610</v>
      </c>
      <c r="AE29" s="153">
        <v>4623790</v>
      </c>
      <c r="AF29" s="153">
        <v>4854980</v>
      </c>
      <c r="AG29" s="153">
        <v>5097730</v>
      </c>
      <c r="AH29" s="153">
        <v>5352620</v>
      </c>
      <c r="AM29" s="153" t="s">
        <v>2031</v>
      </c>
      <c r="AN29" s="153" t="s">
        <v>3042</v>
      </c>
      <c r="AP29" s="153" t="s">
        <v>2037</v>
      </c>
      <c r="AQ29" s="153" t="s">
        <v>2802</v>
      </c>
    </row>
    <row r="30" spans="2:43" hidden="1" x14ac:dyDescent="0.3">
      <c r="B30" s="968" t="s">
        <v>2027</v>
      </c>
      <c r="C30" s="968" t="s">
        <v>3048</v>
      </c>
      <c r="D30" s="973">
        <v>19325000</v>
      </c>
      <c r="E30" s="973">
        <f t="shared" si="1"/>
        <v>20291250</v>
      </c>
      <c r="F30" s="973">
        <f t="shared" si="1"/>
        <v>21305810</v>
      </c>
      <c r="G30" s="973">
        <f t="shared" si="1"/>
        <v>22371100</v>
      </c>
      <c r="H30" s="973">
        <f t="shared" si="1"/>
        <v>23489660</v>
      </c>
      <c r="O30" s="153" t="s">
        <v>2027</v>
      </c>
      <c r="P30" s="153" t="s">
        <v>3042</v>
      </c>
      <c r="Q30" s="153" t="s">
        <v>2885</v>
      </c>
      <c r="R30" s="153" t="s">
        <v>2091</v>
      </c>
      <c r="S30" s="819">
        <v>19325000</v>
      </c>
      <c r="T30" s="153">
        <v>20291250</v>
      </c>
      <c r="U30" s="153">
        <v>21305810</v>
      </c>
      <c r="V30" s="153">
        <v>22371100</v>
      </c>
      <c r="W30" s="153">
        <v>23489660</v>
      </c>
      <c r="Z30" s="153" t="s">
        <v>2027</v>
      </c>
      <c r="AA30" s="153" t="s">
        <v>3055</v>
      </c>
      <c r="AB30" s="153" t="e">
        <f t="shared" si="2"/>
        <v>#N/A</v>
      </c>
      <c r="AC30" s="153" t="s">
        <v>2091</v>
      </c>
      <c r="AD30" s="153">
        <v>19325000</v>
      </c>
      <c r="AE30" s="153">
        <v>20291250</v>
      </c>
      <c r="AF30" s="153">
        <v>21305810</v>
      </c>
      <c r="AG30" s="153">
        <v>22371100</v>
      </c>
      <c r="AH30" s="153">
        <v>23489660</v>
      </c>
      <c r="AM30" s="153" t="s">
        <v>2051</v>
      </c>
      <c r="AN30" s="153" t="s">
        <v>3041</v>
      </c>
      <c r="AP30" s="153" t="s">
        <v>2037</v>
      </c>
      <c r="AQ30" s="153" t="s">
        <v>2802</v>
      </c>
    </row>
    <row r="31" spans="2:43" hidden="1" x14ac:dyDescent="0.3">
      <c r="B31" s="968" t="s">
        <v>2054</v>
      </c>
      <c r="C31" s="968" t="s">
        <v>3048</v>
      </c>
      <c r="D31" s="973">
        <v>6425980</v>
      </c>
      <c r="E31" s="973">
        <f t="shared" si="1"/>
        <v>6747280</v>
      </c>
      <c r="F31" s="973">
        <f t="shared" si="1"/>
        <v>7084640</v>
      </c>
      <c r="G31" s="973">
        <f t="shared" si="1"/>
        <v>7438870</v>
      </c>
      <c r="H31" s="973">
        <f t="shared" si="1"/>
        <v>7810810</v>
      </c>
      <c r="O31" s="153" t="s">
        <v>2054</v>
      </c>
      <c r="P31" s="153" t="s">
        <v>3039</v>
      </c>
      <c r="Q31" s="153" t="s">
        <v>2802</v>
      </c>
      <c r="R31" s="153" t="s">
        <v>2091</v>
      </c>
      <c r="S31" s="819">
        <v>6425980</v>
      </c>
      <c r="T31" s="153">
        <v>6747280</v>
      </c>
      <c r="U31" s="153">
        <v>7084640</v>
      </c>
      <c r="V31" s="153">
        <v>7438870</v>
      </c>
      <c r="W31" s="153">
        <v>7810810</v>
      </c>
      <c r="Z31" s="153" t="s">
        <v>2054</v>
      </c>
      <c r="AA31" s="153" t="str">
        <f>VLOOKUP(Z31,$AM$4:$AN$47,2,FALSE)</f>
        <v>건설</v>
      </c>
      <c r="AB31" s="153" t="str">
        <f t="shared" si="2"/>
        <v>고소작업차</v>
      </c>
      <c r="AC31" s="153" t="s">
        <v>2091</v>
      </c>
      <c r="AD31" s="153">
        <v>6425980</v>
      </c>
      <c r="AE31" s="153">
        <v>6747280</v>
      </c>
      <c r="AF31" s="153">
        <v>7084640</v>
      </c>
      <c r="AG31" s="153">
        <v>7438870</v>
      </c>
      <c r="AH31" s="153">
        <v>7810810</v>
      </c>
      <c r="AM31" s="153" t="s">
        <v>2030</v>
      </c>
      <c r="AN31" s="153" t="s">
        <v>3042</v>
      </c>
      <c r="AP31" s="153" t="s">
        <v>2032</v>
      </c>
      <c r="AQ31" s="153" t="s">
        <v>2802</v>
      </c>
    </row>
    <row r="32" spans="2:43" hidden="1" x14ac:dyDescent="0.3">
      <c r="B32" s="968" t="s">
        <v>2836</v>
      </c>
      <c r="C32" s="968" t="s">
        <v>3064</v>
      </c>
      <c r="D32" s="973">
        <v>21725500</v>
      </c>
      <c r="E32" s="973">
        <f t="shared" si="1"/>
        <v>22811780</v>
      </c>
      <c r="F32" s="973">
        <f t="shared" si="1"/>
        <v>23952370</v>
      </c>
      <c r="G32" s="973">
        <f t="shared" si="1"/>
        <v>25149990</v>
      </c>
      <c r="H32" s="973">
        <f t="shared" si="1"/>
        <v>26407490</v>
      </c>
      <c r="O32" s="153" t="s">
        <v>2836</v>
      </c>
      <c r="P32" s="153" t="s">
        <v>3042</v>
      </c>
      <c r="Q32" s="153" t="s">
        <v>2802</v>
      </c>
      <c r="R32" s="153" t="s">
        <v>2091</v>
      </c>
      <c r="S32" s="819">
        <v>21725500</v>
      </c>
      <c r="T32" s="153">
        <v>22811780</v>
      </c>
      <c r="U32" s="153">
        <v>23952370</v>
      </c>
      <c r="V32" s="153">
        <v>25149990</v>
      </c>
      <c r="W32" s="153">
        <v>26407490</v>
      </c>
      <c r="Z32" s="153" t="s">
        <v>2836</v>
      </c>
      <c r="AA32" s="153" t="str">
        <f>VLOOKUP(Z32,$AM$4:$AN$47,2,FALSE)</f>
        <v>통신</v>
      </c>
      <c r="AB32" s="153" t="str">
        <f t="shared" si="2"/>
        <v>고소작업차</v>
      </c>
      <c r="AC32" s="153" t="s">
        <v>2091</v>
      </c>
      <c r="AD32" s="153">
        <v>21725500</v>
      </c>
      <c r="AE32" s="153">
        <v>22811780</v>
      </c>
      <c r="AF32" s="153">
        <v>23952370</v>
      </c>
      <c r="AG32" s="153">
        <v>25149990</v>
      </c>
      <c r="AH32" s="153">
        <v>26407490</v>
      </c>
      <c r="AM32" s="153" t="s">
        <v>2049</v>
      </c>
      <c r="AN32" s="153" t="s">
        <v>3041</v>
      </c>
      <c r="AP32" s="153" t="s">
        <v>2037</v>
      </c>
      <c r="AQ32" s="153" t="s">
        <v>2802</v>
      </c>
    </row>
    <row r="33" spans="2:43" x14ac:dyDescent="0.3">
      <c r="B33" s="968" t="s">
        <v>2846</v>
      </c>
      <c r="C33" s="968" t="s">
        <v>3048</v>
      </c>
      <c r="D33" s="973">
        <v>24849500</v>
      </c>
      <c r="E33" s="973">
        <f t="shared" si="1"/>
        <v>26091980</v>
      </c>
      <c r="F33" s="973">
        <f t="shared" si="1"/>
        <v>27396580</v>
      </c>
      <c r="G33" s="973">
        <f t="shared" si="1"/>
        <v>28766410</v>
      </c>
      <c r="H33" s="973">
        <f t="shared" si="1"/>
        <v>30204730</v>
      </c>
      <c r="O33" s="153" t="s">
        <v>2846</v>
      </c>
      <c r="P33" s="153" t="s">
        <v>3039</v>
      </c>
      <c r="Q33" s="153" t="s">
        <v>2892</v>
      </c>
      <c r="R33" s="153" t="s">
        <v>2091</v>
      </c>
      <c r="S33" s="819">
        <v>24849500</v>
      </c>
      <c r="T33" s="153">
        <v>26091980</v>
      </c>
      <c r="U33" s="153">
        <v>27396580</v>
      </c>
      <c r="V33" s="153">
        <v>28766410</v>
      </c>
      <c r="W33" s="153">
        <v>30204730</v>
      </c>
      <c r="Z33" s="153" t="s">
        <v>2846</v>
      </c>
      <c r="AA33" s="153" t="e">
        <f>VLOOKUP(Z33,$AM$4:$AN$47,2,FALSE)</f>
        <v>#N/A</v>
      </c>
      <c r="AB33" s="153" t="e">
        <f t="shared" si="2"/>
        <v>#N/A</v>
      </c>
      <c r="AC33" s="153" t="s">
        <v>2091</v>
      </c>
      <c r="AD33" s="153">
        <v>24849500</v>
      </c>
      <c r="AE33" s="153">
        <v>26091980</v>
      </c>
      <c r="AF33" s="153">
        <v>27396580</v>
      </c>
      <c r="AG33" s="153">
        <v>28766410</v>
      </c>
      <c r="AH33" s="153">
        <v>30204730</v>
      </c>
      <c r="AM33" s="153" t="s">
        <v>2850</v>
      </c>
      <c r="AN33" s="153" t="s">
        <v>3042</v>
      </c>
      <c r="AP33" s="153" t="s">
        <v>2037</v>
      </c>
      <c r="AQ33" s="153" t="s">
        <v>2802</v>
      </c>
    </row>
    <row r="34" spans="2:43" x14ac:dyDescent="0.3">
      <c r="B34" s="968" t="s">
        <v>2053</v>
      </c>
      <c r="C34" s="968" t="s">
        <v>3048</v>
      </c>
      <c r="D34" s="973">
        <v>30877360</v>
      </c>
      <c r="E34" s="973">
        <f t="shared" si="1"/>
        <v>32421230</v>
      </c>
      <c r="F34" s="973">
        <f t="shared" si="1"/>
        <v>34042290</v>
      </c>
      <c r="G34" s="973">
        <f t="shared" si="1"/>
        <v>35744400</v>
      </c>
      <c r="H34" s="973">
        <f t="shared" si="1"/>
        <v>37531620</v>
      </c>
      <c r="O34" s="153" t="s">
        <v>2053</v>
      </c>
      <c r="P34" s="153" t="s">
        <v>3039</v>
      </c>
      <c r="Q34" s="153" t="s">
        <v>2024</v>
      </c>
      <c r="R34" s="153" t="s">
        <v>2091</v>
      </c>
      <c r="S34" s="819">
        <v>30877360</v>
      </c>
      <c r="T34" s="153">
        <v>32421230</v>
      </c>
      <c r="U34" s="153">
        <v>34042290</v>
      </c>
      <c r="V34" s="153">
        <v>35744400</v>
      </c>
      <c r="W34" s="153">
        <v>37531620</v>
      </c>
      <c r="Z34" s="153" t="s">
        <v>2053</v>
      </c>
      <c r="AA34" s="153" t="s">
        <v>3067</v>
      </c>
      <c r="AB34" s="153" t="str">
        <f t="shared" si="2"/>
        <v>크레인</v>
      </c>
      <c r="AC34" s="153" t="s">
        <v>2091</v>
      </c>
      <c r="AD34" s="153">
        <v>30877360</v>
      </c>
      <c r="AE34" s="153">
        <v>32421230</v>
      </c>
      <c r="AF34" s="153">
        <v>34042290</v>
      </c>
      <c r="AG34" s="153">
        <v>35744400</v>
      </c>
      <c r="AH34" s="153">
        <v>37531620</v>
      </c>
      <c r="AM34" s="153" t="s">
        <v>2820</v>
      </c>
      <c r="AN34" s="153" t="s">
        <v>3040</v>
      </c>
      <c r="AP34" s="153" t="s">
        <v>2037</v>
      </c>
      <c r="AQ34" s="153" t="s">
        <v>2802</v>
      </c>
    </row>
    <row r="35" spans="2:43" hidden="1" x14ac:dyDescent="0.3">
      <c r="B35" s="968" t="s">
        <v>2030</v>
      </c>
      <c r="C35" s="968" t="s">
        <v>3048</v>
      </c>
      <c r="D35" s="973">
        <v>19343210</v>
      </c>
      <c r="E35" s="973">
        <f t="shared" si="1"/>
        <v>20310370</v>
      </c>
      <c r="F35" s="973">
        <f t="shared" si="1"/>
        <v>21325890</v>
      </c>
      <c r="G35" s="973">
        <f t="shared" si="1"/>
        <v>22392180</v>
      </c>
      <c r="H35" s="973">
        <f t="shared" si="1"/>
        <v>23511790</v>
      </c>
      <c r="O35" s="153" t="s">
        <v>2030</v>
      </c>
      <c r="P35" s="153" t="s">
        <v>3042</v>
      </c>
      <c r="Q35" s="153" t="s">
        <v>2802</v>
      </c>
      <c r="R35" s="153" t="s">
        <v>2091</v>
      </c>
      <c r="S35" s="819">
        <v>19343210</v>
      </c>
      <c r="T35" s="153">
        <v>20310370</v>
      </c>
      <c r="U35" s="153">
        <v>21325890</v>
      </c>
      <c r="V35" s="153">
        <v>22392180</v>
      </c>
      <c r="W35" s="153">
        <v>23511790</v>
      </c>
      <c r="Z35" s="153" t="s">
        <v>2030</v>
      </c>
      <c r="AA35" s="153" t="str">
        <f t="shared" ref="AA35:AA46" si="3">VLOOKUP(Z35,$AM$4:$AN$47,2,FALSE)</f>
        <v>통신</v>
      </c>
      <c r="AB35" s="153" t="str">
        <f t="shared" si="2"/>
        <v>고소작업차</v>
      </c>
      <c r="AC35" s="153" t="s">
        <v>2091</v>
      </c>
      <c r="AD35" s="153">
        <v>19343210</v>
      </c>
      <c r="AE35" s="153">
        <v>20310370</v>
      </c>
      <c r="AF35" s="153">
        <v>21325890</v>
      </c>
      <c r="AG35" s="153">
        <v>22392180</v>
      </c>
      <c r="AH35" s="153">
        <v>23511790</v>
      </c>
      <c r="AM35" s="153" t="s">
        <v>2068</v>
      </c>
      <c r="AN35" s="153" t="s">
        <v>3042</v>
      </c>
      <c r="AP35" s="153" t="s">
        <v>2037</v>
      </c>
      <c r="AQ35" s="153" t="s">
        <v>2802</v>
      </c>
    </row>
    <row r="36" spans="2:43" hidden="1" x14ac:dyDescent="0.3">
      <c r="B36" s="968" t="s">
        <v>2034</v>
      </c>
      <c r="C36" s="968" t="s">
        <v>3064</v>
      </c>
      <c r="D36" s="973">
        <v>22294160</v>
      </c>
      <c r="E36" s="973">
        <f t="shared" si="1"/>
        <v>23408870</v>
      </c>
      <c r="F36" s="973">
        <f t="shared" si="1"/>
        <v>24579310</v>
      </c>
      <c r="G36" s="973">
        <f t="shared" si="1"/>
        <v>25808280</v>
      </c>
      <c r="H36" s="973">
        <f t="shared" si="1"/>
        <v>27098690</v>
      </c>
      <c r="O36" s="153" t="s">
        <v>2034</v>
      </c>
      <c r="P36" s="153" t="s">
        <v>3042</v>
      </c>
      <c r="Q36" s="153" t="s">
        <v>2802</v>
      </c>
      <c r="R36" s="153" t="s">
        <v>2091</v>
      </c>
      <c r="S36" s="819">
        <v>22294160</v>
      </c>
      <c r="T36" s="153">
        <v>23408870</v>
      </c>
      <c r="U36" s="153">
        <v>24579310</v>
      </c>
      <c r="V36" s="153">
        <v>25808280</v>
      </c>
      <c r="W36" s="153">
        <v>27098690</v>
      </c>
      <c r="Z36" s="153" t="s">
        <v>2034</v>
      </c>
      <c r="AA36" s="153" t="e">
        <f t="shared" si="3"/>
        <v>#N/A</v>
      </c>
      <c r="AB36" s="153" t="str">
        <f t="shared" si="2"/>
        <v>고소작업차</v>
      </c>
      <c r="AC36" s="153" t="s">
        <v>2091</v>
      </c>
      <c r="AD36" s="153">
        <v>22294160</v>
      </c>
      <c r="AE36" s="153">
        <v>23408870</v>
      </c>
      <c r="AF36" s="153">
        <v>24579310</v>
      </c>
      <c r="AG36" s="153">
        <v>25808280</v>
      </c>
      <c r="AH36" s="153">
        <v>27098690</v>
      </c>
      <c r="AM36" s="153" t="s">
        <v>2830</v>
      </c>
      <c r="AN36" s="153" t="s">
        <v>3040</v>
      </c>
      <c r="AP36" s="153" t="s">
        <v>2037</v>
      </c>
      <c r="AQ36" s="153" t="s">
        <v>2802</v>
      </c>
    </row>
    <row r="37" spans="2:43" hidden="1" x14ac:dyDescent="0.3">
      <c r="B37" s="968" t="s">
        <v>2032</v>
      </c>
      <c r="C37" s="968" t="s">
        <v>3048</v>
      </c>
      <c r="D37" s="973">
        <v>22704380</v>
      </c>
      <c r="E37" s="973">
        <f t="shared" si="1"/>
        <v>23839600</v>
      </c>
      <c r="F37" s="973">
        <f t="shared" si="1"/>
        <v>25031580</v>
      </c>
      <c r="G37" s="973">
        <f t="shared" si="1"/>
        <v>26283160</v>
      </c>
      <c r="H37" s="973">
        <f t="shared" si="1"/>
        <v>27597320</v>
      </c>
      <c r="O37" s="153" t="s">
        <v>2032</v>
      </c>
      <c r="P37" s="153" t="s">
        <v>3042</v>
      </c>
      <c r="Q37" s="153" t="s">
        <v>2802</v>
      </c>
      <c r="R37" s="153" t="s">
        <v>2091</v>
      </c>
      <c r="S37" s="819">
        <v>22704380</v>
      </c>
      <c r="T37" s="153">
        <v>23839600</v>
      </c>
      <c r="U37" s="153">
        <v>25031580</v>
      </c>
      <c r="V37" s="153">
        <v>26283160</v>
      </c>
      <c r="W37" s="153">
        <v>27597320</v>
      </c>
      <c r="Z37" s="153" t="s">
        <v>2032</v>
      </c>
      <c r="AA37" s="153" t="str">
        <f t="shared" si="3"/>
        <v>통신</v>
      </c>
      <c r="AB37" s="153" t="str">
        <f t="shared" si="2"/>
        <v>고소작업차</v>
      </c>
      <c r="AC37" s="153" t="s">
        <v>2091</v>
      </c>
      <c r="AD37" s="153">
        <v>22704380</v>
      </c>
      <c r="AE37" s="153">
        <v>23839600</v>
      </c>
      <c r="AF37" s="153">
        <v>25031580</v>
      </c>
      <c r="AG37" s="153">
        <v>26283160</v>
      </c>
      <c r="AH37" s="153">
        <v>27597320</v>
      </c>
      <c r="AM37" s="153" t="s">
        <v>2833</v>
      </c>
      <c r="AN37" s="153" t="s">
        <v>3040</v>
      </c>
      <c r="AP37" s="153" t="s">
        <v>2039</v>
      </c>
      <c r="AQ37" s="153" t="s">
        <v>2802</v>
      </c>
    </row>
    <row r="38" spans="2:43" hidden="1" x14ac:dyDescent="0.3">
      <c r="B38" s="968" t="s">
        <v>2037</v>
      </c>
      <c r="C38" s="968" t="s">
        <v>3068</v>
      </c>
      <c r="D38" s="973">
        <v>23863850</v>
      </c>
      <c r="E38" s="973">
        <f t="shared" si="1"/>
        <v>25057040</v>
      </c>
      <c r="F38" s="973">
        <f t="shared" si="1"/>
        <v>26309890</v>
      </c>
      <c r="G38" s="973">
        <f t="shared" si="1"/>
        <v>27625380</v>
      </c>
      <c r="H38" s="973">
        <f t="shared" si="1"/>
        <v>29006650</v>
      </c>
      <c r="O38" s="153" t="s">
        <v>2037</v>
      </c>
      <c r="P38" s="153" t="s">
        <v>3042</v>
      </c>
      <c r="Q38" s="153" t="s">
        <v>2802</v>
      </c>
      <c r="R38" s="153" t="s">
        <v>2091</v>
      </c>
      <c r="S38" s="819">
        <v>23863850</v>
      </c>
      <c r="T38" s="153">
        <v>25057040</v>
      </c>
      <c r="U38" s="153">
        <v>26309890</v>
      </c>
      <c r="V38" s="153">
        <v>27625380</v>
      </c>
      <c r="W38" s="153">
        <v>29006650</v>
      </c>
      <c r="Z38" s="153" t="s">
        <v>2037</v>
      </c>
      <c r="AA38" s="153" t="str">
        <f t="shared" si="3"/>
        <v>통신</v>
      </c>
      <c r="AB38" s="153" t="str">
        <f t="shared" si="2"/>
        <v>고소작업차</v>
      </c>
      <c r="AC38" s="153" t="s">
        <v>2091</v>
      </c>
      <c r="AD38" s="153">
        <v>23863850</v>
      </c>
      <c r="AE38" s="153">
        <v>25057040</v>
      </c>
      <c r="AF38" s="153">
        <v>26309890</v>
      </c>
      <c r="AG38" s="153">
        <v>27625380</v>
      </c>
      <c r="AH38" s="153">
        <v>29006650</v>
      </c>
      <c r="AM38" s="153" t="s">
        <v>2878</v>
      </c>
      <c r="AN38" s="153" t="s">
        <v>3042</v>
      </c>
      <c r="AP38" s="153" t="s">
        <v>2028</v>
      </c>
      <c r="AQ38" s="153" t="s">
        <v>2023</v>
      </c>
    </row>
    <row r="39" spans="2:43" x14ac:dyDescent="0.3">
      <c r="B39" s="968" t="s">
        <v>2049</v>
      </c>
      <c r="C39" s="968" t="s">
        <v>3068</v>
      </c>
      <c r="D39" s="973">
        <v>74118280</v>
      </c>
      <c r="E39" s="973">
        <f t="shared" si="1"/>
        <v>77824190</v>
      </c>
      <c r="F39" s="973">
        <f t="shared" si="1"/>
        <v>81715400</v>
      </c>
      <c r="G39" s="973">
        <f t="shared" si="1"/>
        <v>85801170</v>
      </c>
      <c r="H39" s="973">
        <f t="shared" si="1"/>
        <v>90091230</v>
      </c>
      <c r="O39" s="153" t="s">
        <v>2049</v>
      </c>
      <c r="P39" s="153" t="s">
        <v>3041</v>
      </c>
      <c r="Q39" s="153" t="s">
        <v>2024</v>
      </c>
      <c r="R39" s="153" t="s">
        <v>2091</v>
      </c>
      <c r="S39" s="819">
        <v>74118280</v>
      </c>
      <c r="T39" s="153">
        <v>77824190</v>
      </c>
      <c r="U39" s="153">
        <v>81715400</v>
      </c>
      <c r="V39" s="153">
        <v>85801170</v>
      </c>
      <c r="W39" s="153">
        <v>90091230</v>
      </c>
      <c r="Z39" s="153" t="s">
        <v>2049</v>
      </c>
      <c r="AA39" s="153" t="str">
        <f t="shared" si="3"/>
        <v>전기</v>
      </c>
      <c r="AB39" s="153" t="str">
        <f t="shared" si="2"/>
        <v>크레인</v>
      </c>
      <c r="AC39" s="153" t="s">
        <v>2091</v>
      </c>
      <c r="AD39" s="153">
        <v>74118280</v>
      </c>
      <c r="AE39" s="153">
        <v>77824190</v>
      </c>
      <c r="AF39" s="153">
        <v>81715400</v>
      </c>
      <c r="AG39" s="153">
        <v>85801170</v>
      </c>
      <c r="AH39" s="153">
        <v>90091230</v>
      </c>
      <c r="AM39" s="153" t="s">
        <v>2040</v>
      </c>
      <c r="AN39" s="153" t="s">
        <v>3042</v>
      </c>
      <c r="AP39" s="153" t="s">
        <v>2058</v>
      </c>
      <c r="AQ39" s="153" t="s">
        <v>2802</v>
      </c>
    </row>
    <row r="40" spans="2:43" hidden="1" x14ac:dyDescent="0.3">
      <c r="B40" s="968" t="s">
        <v>2051</v>
      </c>
      <c r="C40" s="968" t="s">
        <v>3068</v>
      </c>
      <c r="D40" s="973">
        <v>84208180</v>
      </c>
      <c r="E40" s="973">
        <f t="shared" si="1"/>
        <v>88418590</v>
      </c>
      <c r="F40" s="973">
        <f t="shared" si="1"/>
        <v>92839520</v>
      </c>
      <c r="G40" s="973">
        <f t="shared" si="1"/>
        <v>97481500</v>
      </c>
      <c r="H40" s="973">
        <f t="shared" si="1"/>
        <v>102355580</v>
      </c>
      <c r="O40" s="153" t="s">
        <v>2051</v>
      </c>
      <c r="P40" s="153" t="s">
        <v>3041</v>
      </c>
      <c r="Q40" s="153" t="s">
        <v>2841</v>
      </c>
      <c r="R40" s="153" t="s">
        <v>2091</v>
      </c>
      <c r="S40" s="819">
        <v>84208180</v>
      </c>
      <c r="T40" s="153">
        <v>88418590</v>
      </c>
      <c r="U40" s="153">
        <v>92839520</v>
      </c>
      <c r="V40" s="153">
        <v>97481500</v>
      </c>
      <c r="W40" s="153">
        <v>102355580</v>
      </c>
      <c r="Z40" s="153" t="s">
        <v>2051</v>
      </c>
      <c r="AA40" s="153" t="str">
        <f t="shared" si="3"/>
        <v>전기</v>
      </c>
      <c r="AB40" s="153" t="e">
        <f t="shared" si="2"/>
        <v>#N/A</v>
      </c>
      <c r="AC40" s="153" t="s">
        <v>2091</v>
      </c>
      <c r="AD40" s="153">
        <v>84208180</v>
      </c>
      <c r="AE40" s="153">
        <v>88418590</v>
      </c>
      <c r="AF40" s="153">
        <v>92839520</v>
      </c>
      <c r="AG40" s="153">
        <v>97481500</v>
      </c>
      <c r="AH40" s="153">
        <v>102355580</v>
      </c>
      <c r="AM40" s="153" t="s">
        <v>2880</v>
      </c>
      <c r="AN40" s="153" t="s">
        <v>3034</v>
      </c>
      <c r="AP40" s="153" t="s">
        <v>2037</v>
      </c>
      <c r="AQ40" s="153" t="s">
        <v>2802</v>
      </c>
    </row>
    <row r="41" spans="2:43" hidden="1" x14ac:dyDescent="0.3">
      <c r="B41" s="968" t="s">
        <v>2060</v>
      </c>
      <c r="C41" s="968" t="s">
        <v>3068</v>
      </c>
      <c r="D41" s="973">
        <v>97181750</v>
      </c>
      <c r="E41" s="973">
        <f t="shared" si="1"/>
        <v>102040840</v>
      </c>
      <c r="F41" s="973">
        <f t="shared" si="1"/>
        <v>107142880</v>
      </c>
      <c r="G41" s="973">
        <f t="shared" si="1"/>
        <v>112500020</v>
      </c>
      <c r="H41" s="973">
        <f t="shared" si="1"/>
        <v>118125020</v>
      </c>
      <c r="O41" s="153" t="s">
        <v>2060</v>
      </c>
      <c r="P41" s="153" t="s">
        <v>3041</v>
      </c>
      <c r="Q41" s="153" t="s">
        <v>2023</v>
      </c>
      <c r="R41" s="153" t="s">
        <v>2091</v>
      </c>
      <c r="S41" s="819">
        <v>97181750</v>
      </c>
      <c r="T41" s="153">
        <v>102040840</v>
      </c>
      <c r="U41" s="153">
        <v>107142880</v>
      </c>
      <c r="V41" s="153">
        <v>112500020</v>
      </c>
      <c r="W41" s="153">
        <v>118125020</v>
      </c>
      <c r="Z41" s="153" t="s">
        <v>2060</v>
      </c>
      <c r="AA41" s="153" t="str">
        <f t="shared" si="3"/>
        <v>전기</v>
      </c>
      <c r="AB41" s="153" t="str">
        <f t="shared" si="2"/>
        <v>활선차</v>
      </c>
      <c r="AC41" s="153" t="s">
        <v>2091</v>
      </c>
      <c r="AD41" s="153">
        <v>97181750</v>
      </c>
      <c r="AE41" s="153">
        <v>102040840</v>
      </c>
      <c r="AF41" s="153">
        <v>107142880</v>
      </c>
      <c r="AG41" s="153">
        <v>112500020</v>
      </c>
      <c r="AH41" s="153">
        <v>118125020</v>
      </c>
      <c r="AM41" s="153" t="s">
        <v>2883</v>
      </c>
      <c r="AN41" s="153" t="s">
        <v>3041</v>
      </c>
      <c r="AP41" s="153" t="s">
        <v>2037</v>
      </c>
      <c r="AQ41" s="153" t="s">
        <v>2802</v>
      </c>
    </row>
    <row r="42" spans="2:43" hidden="1" x14ac:dyDescent="0.3">
      <c r="B42" s="968" t="s">
        <v>2061</v>
      </c>
      <c r="C42" s="968" t="s">
        <v>3068</v>
      </c>
      <c r="D42" s="973">
        <v>91981250</v>
      </c>
      <c r="E42" s="973">
        <f t="shared" si="1"/>
        <v>96580310</v>
      </c>
      <c r="F42" s="973">
        <f t="shared" si="1"/>
        <v>101409330</v>
      </c>
      <c r="G42" s="973">
        <f t="shared" si="1"/>
        <v>106479800</v>
      </c>
      <c r="H42" s="973">
        <f t="shared" si="1"/>
        <v>111803790</v>
      </c>
      <c r="O42" s="153" t="s">
        <v>2061</v>
      </c>
      <c r="P42" s="153" t="s">
        <v>3041</v>
      </c>
      <c r="Q42" s="153" t="s">
        <v>2802</v>
      </c>
      <c r="R42" s="153" t="s">
        <v>2091</v>
      </c>
      <c r="S42" s="819">
        <v>91981250</v>
      </c>
      <c r="T42" s="153">
        <v>96580310</v>
      </c>
      <c r="U42" s="153">
        <v>101409330</v>
      </c>
      <c r="V42" s="153">
        <v>106479800</v>
      </c>
      <c r="W42" s="153">
        <v>111803790</v>
      </c>
      <c r="Z42" s="153" t="s">
        <v>2061</v>
      </c>
      <c r="AA42" s="153" t="str">
        <f t="shared" si="3"/>
        <v>전기</v>
      </c>
      <c r="AB42" s="153" t="str">
        <f t="shared" si="2"/>
        <v>고소작업차</v>
      </c>
      <c r="AC42" s="153" t="s">
        <v>2091</v>
      </c>
      <c r="AD42" s="153">
        <v>91981250</v>
      </c>
      <c r="AE42" s="153">
        <v>96580310</v>
      </c>
      <c r="AF42" s="153">
        <v>101409330</v>
      </c>
      <c r="AG42" s="153">
        <v>106479800</v>
      </c>
      <c r="AH42" s="153">
        <v>111803790</v>
      </c>
      <c r="AM42" s="153" t="s">
        <v>2886</v>
      </c>
      <c r="AN42" s="153" t="s">
        <v>3040</v>
      </c>
      <c r="AP42" s="153" t="s">
        <v>2060</v>
      </c>
      <c r="AQ42" s="153" t="s">
        <v>2023</v>
      </c>
    </row>
    <row r="43" spans="2:43" hidden="1" x14ac:dyDescent="0.3">
      <c r="B43" s="968" t="s">
        <v>2062</v>
      </c>
      <c r="C43" s="968" t="s">
        <v>3068</v>
      </c>
      <c r="D43" s="973">
        <v>99785645</v>
      </c>
      <c r="E43" s="973">
        <f t="shared" si="1"/>
        <v>104774930</v>
      </c>
      <c r="F43" s="973">
        <f t="shared" si="1"/>
        <v>110013680</v>
      </c>
      <c r="G43" s="973">
        <f t="shared" si="1"/>
        <v>115514360</v>
      </c>
      <c r="H43" s="973">
        <f t="shared" si="1"/>
        <v>121290080</v>
      </c>
      <c r="O43" s="153" t="s">
        <v>2062</v>
      </c>
      <c r="P43" s="153" t="s">
        <v>3041</v>
      </c>
      <c r="Q43" s="153" t="s">
        <v>2023</v>
      </c>
      <c r="R43" s="153" t="s">
        <v>2091</v>
      </c>
      <c r="S43" s="819">
        <v>99785645</v>
      </c>
      <c r="T43" s="153">
        <v>104774930</v>
      </c>
      <c r="U43" s="153">
        <v>110013680</v>
      </c>
      <c r="V43" s="153">
        <v>115514360</v>
      </c>
      <c r="W43" s="153">
        <v>121290080</v>
      </c>
      <c r="Z43" s="153" t="s">
        <v>2062</v>
      </c>
      <c r="AA43" s="153" t="str">
        <f t="shared" si="3"/>
        <v>전기</v>
      </c>
      <c r="AB43" s="153" t="str">
        <f t="shared" si="2"/>
        <v>활선차</v>
      </c>
      <c r="AC43" s="153" t="s">
        <v>2091</v>
      </c>
      <c r="AD43" s="153">
        <v>99785645</v>
      </c>
      <c r="AE43" s="153">
        <v>104774930</v>
      </c>
      <c r="AF43" s="153">
        <v>110013680</v>
      </c>
      <c r="AG43" s="153">
        <v>115514360</v>
      </c>
      <c r="AH43" s="153">
        <v>121290080</v>
      </c>
      <c r="AM43" s="153" t="s">
        <v>2052</v>
      </c>
      <c r="AN43" s="153" t="s">
        <v>3039</v>
      </c>
      <c r="AP43" s="153" t="s">
        <v>2062</v>
      </c>
      <c r="AQ43" s="153" t="s">
        <v>2023</v>
      </c>
    </row>
    <row r="44" spans="2:43" hidden="1" x14ac:dyDescent="0.3">
      <c r="B44" s="968" t="s">
        <v>2063</v>
      </c>
      <c r="C44" s="968" t="s">
        <v>3068</v>
      </c>
      <c r="D44" s="973">
        <v>96479540</v>
      </c>
      <c r="E44" s="973">
        <f t="shared" si="1"/>
        <v>101303520</v>
      </c>
      <c r="F44" s="973">
        <f t="shared" si="1"/>
        <v>106368700</v>
      </c>
      <c r="G44" s="973">
        <f t="shared" si="1"/>
        <v>111687140</v>
      </c>
      <c r="H44" s="973">
        <f t="shared" si="1"/>
        <v>117271500</v>
      </c>
      <c r="O44" s="153" t="s">
        <v>2063</v>
      </c>
      <c r="P44" s="153" t="s">
        <v>3041</v>
      </c>
      <c r="Q44" s="153" t="s">
        <v>2802</v>
      </c>
      <c r="R44" s="153" t="s">
        <v>2091</v>
      </c>
      <c r="S44" s="819">
        <v>96479540</v>
      </c>
      <c r="T44" s="153">
        <v>101303520</v>
      </c>
      <c r="U44" s="153">
        <v>106368700</v>
      </c>
      <c r="V44" s="153">
        <v>111687140</v>
      </c>
      <c r="W44" s="153">
        <v>117271500</v>
      </c>
      <c r="Z44" s="153" t="s">
        <v>2063</v>
      </c>
      <c r="AA44" s="153" t="str">
        <f t="shared" si="3"/>
        <v>전기</v>
      </c>
      <c r="AB44" s="153" t="str">
        <f t="shared" si="2"/>
        <v>고소작업차</v>
      </c>
      <c r="AC44" s="153" t="s">
        <v>2091</v>
      </c>
      <c r="AD44" s="153">
        <v>96479540</v>
      </c>
      <c r="AE44" s="153">
        <v>101303520</v>
      </c>
      <c r="AF44" s="153">
        <v>106368700</v>
      </c>
      <c r="AG44" s="153">
        <v>111687140</v>
      </c>
      <c r="AH44" s="153">
        <v>117271500</v>
      </c>
      <c r="AM44" s="153" t="s">
        <v>2050</v>
      </c>
      <c r="AN44" s="153" t="s">
        <v>3041</v>
      </c>
      <c r="AP44" s="153" t="s">
        <v>2037</v>
      </c>
      <c r="AQ44" s="153" t="s">
        <v>2802</v>
      </c>
    </row>
    <row r="45" spans="2:43" hidden="1" x14ac:dyDescent="0.3">
      <c r="B45" s="968" t="s">
        <v>2840</v>
      </c>
      <c r="C45" s="968" t="s">
        <v>3048</v>
      </c>
      <c r="D45" s="973">
        <v>124742770</v>
      </c>
      <c r="E45" s="973">
        <f t="shared" si="1"/>
        <v>130979910</v>
      </c>
      <c r="F45" s="973">
        <f t="shared" si="1"/>
        <v>137528910</v>
      </c>
      <c r="G45" s="973">
        <f t="shared" si="1"/>
        <v>144405360</v>
      </c>
      <c r="H45" s="973">
        <f t="shared" si="1"/>
        <v>151625630</v>
      </c>
      <c r="O45" s="153" t="s">
        <v>2840</v>
      </c>
      <c r="P45" s="153" t="s">
        <v>3041</v>
      </c>
      <c r="Q45" s="153" t="s">
        <v>2802</v>
      </c>
      <c r="R45" s="153" t="s">
        <v>2091</v>
      </c>
      <c r="S45" s="819">
        <v>124742770</v>
      </c>
      <c r="T45" s="153">
        <v>130979910</v>
      </c>
      <c r="U45" s="153">
        <v>137528910</v>
      </c>
      <c r="V45" s="153">
        <v>144405360</v>
      </c>
      <c r="W45" s="153">
        <v>151625630</v>
      </c>
      <c r="Z45" s="153" t="s">
        <v>2840</v>
      </c>
      <c r="AA45" s="153" t="e">
        <f t="shared" si="3"/>
        <v>#N/A</v>
      </c>
      <c r="AB45" s="153" t="str">
        <f t="shared" si="2"/>
        <v>고소작업차</v>
      </c>
      <c r="AC45" s="153" t="s">
        <v>2091</v>
      </c>
      <c r="AD45" s="153">
        <v>124742770</v>
      </c>
      <c r="AE45" s="153">
        <v>130979910</v>
      </c>
      <c r="AF45" s="153">
        <v>137528910</v>
      </c>
      <c r="AG45" s="153">
        <v>144405360</v>
      </c>
      <c r="AH45" s="153">
        <v>151625630</v>
      </c>
      <c r="AM45" s="153" t="s">
        <v>2026</v>
      </c>
      <c r="AN45" s="153" t="s">
        <v>3039</v>
      </c>
      <c r="AP45" s="153" t="s">
        <v>2049</v>
      </c>
      <c r="AQ45" s="153" t="s">
        <v>2024</v>
      </c>
    </row>
    <row r="46" spans="2:43" hidden="1" x14ac:dyDescent="0.3">
      <c r="B46" s="968" t="s">
        <v>2064</v>
      </c>
      <c r="C46" s="968" t="s">
        <v>3064</v>
      </c>
      <c r="D46" s="973">
        <v>107965000</v>
      </c>
      <c r="E46" s="973">
        <f t="shared" si="1"/>
        <v>113363250</v>
      </c>
      <c r="F46" s="973">
        <f t="shared" si="1"/>
        <v>119031410</v>
      </c>
      <c r="G46" s="973">
        <f t="shared" si="1"/>
        <v>124982980</v>
      </c>
      <c r="H46" s="973">
        <f t="shared" si="1"/>
        <v>131232130</v>
      </c>
      <c r="O46" s="153" t="s">
        <v>2064</v>
      </c>
      <c r="P46" s="153" t="s">
        <v>3041</v>
      </c>
      <c r="Q46" s="153" t="s">
        <v>2802</v>
      </c>
      <c r="R46" s="153" t="s">
        <v>2091</v>
      </c>
      <c r="S46" s="819">
        <v>107965000</v>
      </c>
      <c r="T46" s="153">
        <v>113363250</v>
      </c>
      <c r="U46" s="153">
        <v>119031410</v>
      </c>
      <c r="V46" s="153">
        <v>124982980</v>
      </c>
      <c r="W46" s="153">
        <v>131232130</v>
      </c>
      <c r="Z46" s="153" t="s">
        <v>2064</v>
      </c>
      <c r="AA46" s="153" t="e">
        <f t="shared" si="3"/>
        <v>#N/A</v>
      </c>
      <c r="AB46" s="153" t="str">
        <f t="shared" si="2"/>
        <v>고소작업차</v>
      </c>
      <c r="AC46" s="153" t="s">
        <v>2091</v>
      </c>
      <c r="AD46" s="153">
        <v>107965000</v>
      </c>
      <c r="AE46" s="153">
        <v>113363250</v>
      </c>
      <c r="AF46" s="153">
        <v>119031410</v>
      </c>
      <c r="AG46" s="153">
        <v>124982980</v>
      </c>
      <c r="AH46" s="153">
        <v>131232130</v>
      </c>
      <c r="AM46" s="153" t="s">
        <v>2890</v>
      </c>
      <c r="AN46" s="153" t="s">
        <v>3034</v>
      </c>
      <c r="AP46" s="153" t="s">
        <v>2049</v>
      </c>
      <c r="AQ46" s="153" t="s">
        <v>2024</v>
      </c>
    </row>
    <row r="47" spans="2:43" hidden="1" x14ac:dyDescent="0.3">
      <c r="B47" s="968" t="s">
        <v>3069</v>
      </c>
      <c r="C47" s="968" t="s">
        <v>3048</v>
      </c>
      <c r="D47" s="973">
        <v>1813460</v>
      </c>
      <c r="E47" s="973">
        <f t="shared" si="1"/>
        <v>1904130</v>
      </c>
      <c r="F47" s="973">
        <f t="shared" si="1"/>
        <v>1999340</v>
      </c>
      <c r="G47" s="973">
        <f t="shared" si="1"/>
        <v>2099310</v>
      </c>
      <c r="H47" s="973">
        <f t="shared" si="1"/>
        <v>2204280</v>
      </c>
      <c r="O47" s="153" t="s">
        <v>3069</v>
      </c>
      <c r="P47" s="153" t="s">
        <v>3041</v>
      </c>
      <c r="Q47" s="153" t="s">
        <v>2888</v>
      </c>
      <c r="R47" s="153" t="s">
        <v>2091</v>
      </c>
      <c r="S47" s="819">
        <v>1813460</v>
      </c>
      <c r="T47" s="153">
        <v>1904130</v>
      </c>
      <c r="U47" s="153">
        <v>1999340</v>
      </c>
      <c r="V47" s="153">
        <v>2099310</v>
      </c>
      <c r="W47" s="153">
        <v>2204280</v>
      </c>
      <c r="Z47" s="153" t="s">
        <v>3069</v>
      </c>
      <c r="AA47" s="153" t="s">
        <v>3061</v>
      </c>
      <c r="AB47" s="153" t="e">
        <f t="shared" si="2"/>
        <v>#N/A</v>
      </c>
      <c r="AC47" s="153" t="s">
        <v>2091</v>
      </c>
      <c r="AD47" s="153">
        <v>1813460</v>
      </c>
      <c r="AE47" s="153">
        <v>1904130</v>
      </c>
      <c r="AF47" s="153">
        <v>1999340</v>
      </c>
      <c r="AG47" s="153">
        <v>2099310</v>
      </c>
      <c r="AH47" s="153">
        <v>2204280</v>
      </c>
      <c r="AM47" s="153" t="s">
        <v>2894</v>
      </c>
      <c r="AP47" s="153" t="s">
        <v>2049</v>
      </c>
      <c r="AQ47" s="153" t="s">
        <v>2024</v>
      </c>
    </row>
    <row r="48" spans="2:43" hidden="1" x14ac:dyDescent="0.3">
      <c r="B48" s="968" t="s">
        <v>2065</v>
      </c>
      <c r="C48" s="968" t="s">
        <v>3048</v>
      </c>
      <c r="D48" s="973">
        <v>21903610</v>
      </c>
      <c r="E48" s="973">
        <f t="shared" si="1"/>
        <v>22998790</v>
      </c>
      <c r="F48" s="973">
        <f t="shared" si="1"/>
        <v>24148730</v>
      </c>
      <c r="G48" s="973">
        <f t="shared" si="1"/>
        <v>25356170</v>
      </c>
      <c r="H48" s="973">
        <f t="shared" si="1"/>
        <v>26623980</v>
      </c>
      <c r="O48" s="153" t="s">
        <v>2065</v>
      </c>
      <c r="P48" s="153" t="s">
        <v>2025</v>
      </c>
      <c r="Q48" s="153" t="s">
        <v>2025</v>
      </c>
      <c r="R48" s="153" t="s">
        <v>2091</v>
      </c>
      <c r="S48" s="819">
        <v>21903610</v>
      </c>
      <c r="T48" s="153">
        <v>22998790</v>
      </c>
      <c r="U48" s="153">
        <v>24148730</v>
      </c>
      <c r="V48" s="153">
        <v>25356170</v>
      </c>
      <c r="W48" s="153">
        <v>26623980</v>
      </c>
      <c r="Z48" s="153" t="s">
        <v>2065</v>
      </c>
      <c r="AA48" s="153" t="str">
        <f>VLOOKUP(Z48,$AM$4:$AN$47,2,FALSE)</f>
        <v>기타</v>
      </c>
      <c r="AB48" s="153" t="str">
        <f t="shared" si="2"/>
        <v>기타</v>
      </c>
      <c r="AC48" s="153" t="s">
        <v>2091</v>
      </c>
      <c r="AD48" s="153">
        <v>21903610</v>
      </c>
      <c r="AE48" s="153">
        <v>22998790</v>
      </c>
      <c r="AF48" s="153">
        <v>24148730</v>
      </c>
      <c r="AG48" s="153">
        <v>25356170</v>
      </c>
      <c r="AH48" s="153">
        <v>26623980</v>
      </c>
      <c r="AP48" s="153" t="s">
        <v>2049</v>
      </c>
      <c r="AQ48" s="153" t="s">
        <v>2024</v>
      </c>
    </row>
    <row r="49" spans="42:43" x14ac:dyDescent="0.3">
      <c r="AP49" s="153" t="s">
        <v>2049</v>
      </c>
      <c r="AQ49" s="153" t="s">
        <v>2024</v>
      </c>
    </row>
    <row r="50" spans="42:43" x14ac:dyDescent="0.3">
      <c r="AP50" s="153" t="s">
        <v>2049</v>
      </c>
      <c r="AQ50" s="153" t="s">
        <v>2024</v>
      </c>
    </row>
    <row r="51" spans="42:43" x14ac:dyDescent="0.3">
      <c r="AP51" s="153" t="s">
        <v>2049</v>
      </c>
      <c r="AQ51" s="153" t="s">
        <v>2024</v>
      </c>
    </row>
    <row r="52" spans="42:43" x14ac:dyDescent="0.3">
      <c r="AP52" s="153" t="s">
        <v>2049</v>
      </c>
      <c r="AQ52" s="153" t="s">
        <v>2024</v>
      </c>
    </row>
    <row r="53" spans="42:43" x14ac:dyDescent="0.3">
      <c r="AP53" s="153" t="s">
        <v>2049</v>
      </c>
      <c r="AQ53" s="153" t="s">
        <v>2024</v>
      </c>
    </row>
    <row r="54" spans="42:43" x14ac:dyDescent="0.3">
      <c r="AP54" s="153" t="s">
        <v>2049</v>
      </c>
      <c r="AQ54" s="153" t="s">
        <v>2024</v>
      </c>
    </row>
    <row r="55" spans="42:43" x14ac:dyDescent="0.3">
      <c r="AP55" s="153" t="s">
        <v>2049</v>
      </c>
      <c r="AQ55" s="153" t="s">
        <v>2024</v>
      </c>
    </row>
    <row r="56" spans="42:43" x14ac:dyDescent="0.3">
      <c r="AP56" s="153" t="s">
        <v>2049</v>
      </c>
      <c r="AQ56" s="153" t="s">
        <v>2024</v>
      </c>
    </row>
    <row r="57" spans="42:43" x14ac:dyDescent="0.3">
      <c r="AP57" s="153" t="s">
        <v>2049</v>
      </c>
      <c r="AQ57" s="153" t="s">
        <v>2024</v>
      </c>
    </row>
    <row r="58" spans="42:43" x14ac:dyDescent="0.3">
      <c r="AP58" s="153" t="s">
        <v>2049</v>
      </c>
      <c r="AQ58" s="153" t="s">
        <v>2024</v>
      </c>
    </row>
    <row r="59" spans="42:43" x14ac:dyDescent="0.3">
      <c r="AP59" s="153" t="s">
        <v>2049</v>
      </c>
      <c r="AQ59" s="153" t="s">
        <v>2024</v>
      </c>
    </row>
    <row r="60" spans="42:43" x14ac:dyDescent="0.3">
      <c r="AP60" s="153" t="s">
        <v>2049</v>
      </c>
      <c r="AQ60" s="153" t="s">
        <v>2024</v>
      </c>
    </row>
    <row r="61" spans="42:43" x14ac:dyDescent="0.3">
      <c r="AP61" s="153" t="s">
        <v>2049</v>
      </c>
      <c r="AQ61" s="153" t="s">
        <v>2024</v>
      </c>
    </row>
    <row r="62" spans="42:43" x14ac:dyDescent="0.3">
      <c r="AP62" s="153" t="s">
        <v>2049</v>
      </c>
      <c r="AQ62" s="153" t="s">
        <v>2024</v>
      </c>
    </row>
    <row r="63" spans="42:43" x14ac:dyDescent="0.3">
      <c r="AP63" s="153" t="s">
        <v>2061</v>
      </c>
      <c r="AQ63" s="153" t="s">
        <v>2802</v>
      </c>
    </row>
    <row r="64" spans="42:43" x14ac:dyDescent="0.3">
      <c r="AP64" s="153" t="s">
        <v>2041</v>
      </c>
      <c r="AQ64" s="153" t="s">
        <v>2802</v>
      </c>
    </row>
    <row r="65" spans="42:43" x14ac:dyDescent="0.3">
      <c r="AP65" s="153" t="s">
        <v>2041</v>
      </c>
      <c r="AQ65" s="153" t="s">
        <v>2802</v>
      </c>
    </row>
    <row r="66" spans="42:43" x14ac:dyDescent="0.3">
      <c r="AP66" s="153" t="s">
        <v>2037</v>
      </c>
      <c r="AQ66" s="153" t="s">
        <v>2802</v>
      </c>
    </row>
    <row r="67" spans="42:43" x14ac:dyDescent="0.3">
      <c r="AP67" s="153" t="s">
        <v>2037</v>
      </c>
      <c r="AQ67" s="153" t="s">
        <v>2802</v>
      </c>
    </row>
    <row r="68" spans="42:43" x14ac:dyDescent="0.3">
      <c r="AP68" s="153" t="s">
        <v>2037</v>
      </c>
      <c r="AQ68" s="153" t="s">
        <v>2802</v>
      </c>
    </row>
    <row r="69" spans="42:43" x14ac:dyDescent="0.3">
      <c r="AP69" s="153" t="s">
        <v>2037</v>
      </c>
      <c r="AQ69" s="153" t="s">
        <v>2802</v>
      </c>
    </row>
    <row r="70" spans="42:43" x14ac:dyDescent="0.3">
      <c r="AP70" s="153" t="s">
        <v>2041</v>
      </c>
      <c r="AQ70" s="153" t="s">
        <v>2802</v>
      </c>
    </row>
    <row r="71" spans="42:43" x14ac:dyDescent="0.3">
      <c r="AP71" s="153" t="s">
        <v>2041</v>
      </c>
      <c r="AQ71" s="153" t="s">
        <v>2802</v>
      </c>
    </row>
    <row r="72" spans="42:43" x14ac:dyDescent="0.3">
      <c r="AP72" s="153" t="s">
        <v>2041</v>
      </c>
      <c r="AQ72" s="153" t="s">
        <v>2802</v>
      </c>
    </row>
    <row r="73" spans="42:43" x14ac:dyDescent="0.3">
      <c r="AP73" s="153" t="s">
        <v>2028</v>
      </c>
      <c r="AQ73" s="153" t="s">
        <v>2023</v>
      </c>
    </row>
    <row r="74" spans="42:43" x14ac:dyDescent="0.3">
      <c r="AP74" s="153" t="s">
        <v>2028</v>
      </c>
      <c r="AQ74" s="153" t="s">
        <v>2023</v>
      </c>
    </row>
    <row r="75" spans="42:43" x14ac:dyDescent="0.3">
      <c r="AP75" s="153" t="s">
        <v>2037</v>
      </c>
      <c r="AQ75" s="153" t="s">
        <v>2802</v>
      </c>
    </row>
    <row r="76" spans="42:43" x14ac:dyDescent="0.3">
      <c r="AP76" s="153" t="s">
        <v>2037</v>
      </c>
      <c r="AQ76" s="153" t="s">
        <v>2802</v>
      </c>
    </row>
    <row r="77" spans="42:43" x14ac:dyDescent="0.3">
      <c r="AP77" s="153" t="s">
        <v>2037</v>
      </c>
      <c r="AQ77" s="153" t="s">
        <v>2802</v>
      </c>
    </row>
    <row r="78" spans="42:43" x14ac:dyDescent="0.3">
      <c r="AP78" s="153" t="s">
        <v>2037</v>
      </c>
      <c r="AQ78" s="153" t="s">
        <v>2802</v>
      </c>
    </row>
    <row r="79" spans="42:43" x14ac:dyDescent="0.3">
      <c r="AP79" s="153" t="s">
        <v>2037</v>
      </c>
      <c r="AQ79" s="153" t="s">
        <v>2802</v>
      </c>
    </row>
    <row r="80" spans="42:43" x14ac:dyDescent="0.3">
      <c r="AP80" s="153" t="s">
        <v>2037</v>
      </c>
      <c r="AQ80" s="153" t="s">
        <v>2802</v>
      </c>
    </row>
    <row r="81" spans="42:43" x14ac:dyDescent="0.3">
      <c r="AP81" s="153" t="s">
        <v>2037</v>
      </c>
      <c r="AQ81" s="153" t="s">
        <v>2802</v>
      </c>
    </row>
    <row r="82" spans="42:43" x14ac:dyDescent="0.3">
      <c r="AP82" s="153" t="s">
        <v>2037</v>
      </c>
      <c r="AQ82" s="153" t="s">
        <v>2802</v>
      </c>
    </row>
    <row r="83" spans="42:43" x14ac:dyDescent="0.3">
      <c r="AP83" s="153" t="s">
        <v>2037</v>
      </c>
      <c r="AQ83" s="153" t="s">
        <v>2802</v>
      </c>
    </row>
    <row r="84" spans="42:43" x14ac:dyDescent="0.3">
      <c r="AP84" s="153" t="s">
        <v>2037</v>
      </c>
      <c r="AQ84" s="153" t="s">
        <v>2802</v>
      </c>
    </row>
    <row r="85" spans="42:43" x14ac:dyDescent="0.3">
      <c r="AP85" s="153" t="s">
        <v>2037</v>
      </c>
      <c r="AQ85" s="153" t="s">
        <v>2802</v>
      </c>
    </row>
    <row r="86" spans="42:43" x14ac:dyDescent="0.3">
      <c r="AP86" s="153" t="s">
        <v>2037</v>
      </c>
      <c r="AQ86" s="153" t="s">
        <v>2802</v>
      </c>
    </row>
    <row r="87" spans="42:43" x14ac:dyDescent="0.3">
      <c r="AP87" s="153" t="s">
        <v>2037</v>
      </c>
      <c r="AQ87" s="153" t="s">
        <v>2802</v>
      </c>
    </row>
    <row r="88" spans="42:43" x14ac:dyDescent="0.3">
      <c r="AP88" s="153" t="s">
        <v>2037</v>
      </c>
      <c r="AQ88" s="153" t="s">
        <v>2802</v>
      </c>
    </row>
    <row r="89" spans="42:43" x14ac:dyDescent="0.3">
      <c r="AP89" s="153" t="s">
        <v>2037</v>
      </c>
      <c r="AQ89" s="153" t="s">
        <v>2802</v>
      </c>
    </row>
    <row r="90" spans="42:43" x14ac:dyDescent="0.3">
      <c r="AP90" s="153" t="s">
        <v>2037</v>
      </c>
      <c r="AQ90" s="153" t="s">
        <v>2802</v>
      </c>
    </row>
    <row r="91" spans="42:43" x14ac:dyDescent="0.3">
      <c r="AP91" s="153" t="s">
        <v>2037</v>
      </c>
      <c r="AQ91" s="153" t="s">
        <v>2802</v>
      </c>
    </row>
    <row r="92" spans="42:43" x14ac:dyDescent="0.3">
      <c r="AP92" s="153" t="s">
        <v>2037</v>
      </c>
      <c r="AQ92" s="153" t="s">
        <v>2802</v>
      </c>
    </row>
    <row r="93" spans="42:43" x14ac:dyDescent="0.3">
      <c r="AP93" s="153" t="s">
        <v>2039</v>
      </c>
      <c r="AQ93" s="153" t="s">
        <v>2802</v>
      </c>
    </row>
    <row r="94" spans="42:43" x14ac:dyDescent="0.3">
      <c r="AP94" s="153" t="s">
        <v>2032</v>
      </c>
      <c r="AQ94" s="153" t="s">
        <v>2802</v>
      </c>
    </row>
    <row r="95" spans="42:43" x14ac:dyDescent="0.3">
      <c r="AP95" s="153" t="s">
        <v>2032</v>
      </c>
      <c r="AQ95" s="153" t="s">
        <v>2802</v>
      </c>
    </row>
    <row r="96" spans="42:43" x14ac:dyDescent="0.3">
      <c r="AP96" s="153" t="s">
        <v>2032</v>
      </c>
      <c r="AQ96" s="153" t="s">
        <v>2802</v>
      </c>
    </row>
    <row r="97" spans="42:43" x14ac:dyDescent="0.3">
      <c r="AP97" s="153" t="s">
        <v>2032</v>
      </c>
      <c r="AQ97" s="153" t="s">
        <v>2802</v>
      </c>
    </row>
    <row r="98" spans="42:43" x14ac:dyDescent="0.3">
      <c r="AP98" s="153" t="s">
        <v>2058</v>
      </c>
      <c r="AQ98" s="153" t="s">
        <v>2802</v>
      </c>
    </row>
    <row r="99" spans="42:43" x14ac:dyDescent="0.3">
      <c r="AP99" s="153" t="s">
        <v>2033</v>
      </c>
      <c r="AQ99" s="153" t="s">
        <v>2802</v>
      </c>
    </row>
    <row r="100" spans="42:43" x14ac:dyDescent="0.3">
      <c r="AP100" s="153" t="s">
        <v>2032</v>
      </c>
      <c r="AQ100" s="153" t="s">
        <v>2802</v>
      </c>
    </row>
    <row r="101" spans="42:43" x14ac:dyDescent="0.3">
      <c r="AP101" s="153" t="s">
        <v>2037</v>
      </c>
      <c r="AQ101" s="153" t="s">
        <v>2802</v>
      </c>
    </row>
    <row r="102" spans="42:43" x14ac:dyDescent="0.3">
      <c r="AP102" s="153" t="s">
        <v>2037</v>
      </c>
      <c r="AQ102" s="153" t="s">
        <v>2802</v>
      </c>
    </row>
    <row r="103" spans="42:43" x14ac:dyDescent="0.3">
      <c r="AP103" s="153" t="s">
        <v>2040</v>
      </c>
      <c r="AQ103" s="153" t="s">
        <v>2802</v>
      </c>
    </row>
    <row r="104" spans="42:43" x14ac:dyDescent="0.3">
      <c r="AP104" s="153" t="s">
        <v>2038</v>
      </c>
      <c r="AQ104" s="153" t="s">
        <v>2802</v>
      </c>
    </row>
    <row r="105" spans="42:43" x14ac:dyDescent="0.3">
      <c r="AP105" s="153" t="s">
        <v>2037</v>
      </c>
      <c r="AQ105" s="153" t="s">
        <v>2802</v>
      </c>
    </row>
    <row r="106" spans="42:43" x14ac:dyDescent="0.3">
      <c r="AP106" s="153" t="s">
        <v>2037</v>
      </c>
      <c r="AQ106" s="153" t="s">
        <v>2802</v>
      </c>
    </row>
    <row r="107" spans="42:43" x14ac:dyDescent="0.3">
      <c r="AP107" s="153" t="s">
        <v>2037</v>
      </c>
      <c r="AQ107" s="153" t="s">
        <v>2802</v>
      </c>
    </row>
    <row r="108" spans="42:43" x14ac:dyDescent="0.3">
      <c r="AP108" s="153" t="s">
        <v>2040</v>
      </c>
      <c r="AQ108" s="153" t="s">
        <v>2802</v>
      </c>
    </row>
    <row r="109" spans="42:43" x14ac:dyDescent="0.3">
      <c r="AP109" s="153" t="s">
        <v>2028</v>
      </c>
      <c r="AQ109" s="153" t="s">
        <v>2023</v>
      </c>
    </row>
    <row r="110" spans="42:43" x14ac:dyDescent="0.3">
      <c r="AP110" s="153" t="s">
        <v>2055</v>
      </c>
      <c r="AQ110" s="153" t="s">
        <v>2802</v>
      </c>
    </row>
    <row r="111" spans="42:43" x14ac:dyDescent="0.3">
      <c r="AP111" s="153" t="s">
        <v>2858</v>
      </c>
      <c r="AQ111" s="153" t="s">
        <v>2025</v>
      </c>
    </row>
    <row r="112" spans="42:43" x14ac:dyDescent="0.3">
      <c r="AP112" s="153" t="s">
        <v>2039</v>
      </c>
      <c r="AQ112" s="153" t="s">
        <v>2802</v>
      </c>
    </row>
    <row r="113" spans="42:43" x14ac:dyDescent="0.3">
      <c r="AP113" s="153" t="s">
        <v>2039</v>
      </c>
      <c r="AQ113" s="153" t="s">
        <v>2802</v>
      </c>
    </row>
    <row r="114" spans="42:43" x14ac:dyDescent="0.3">
      <c r="AP114" s="153" t="s">
        <v>2041</v>
      </c>
      <c r="AQ114" s="153" t="s">
        <v>2802</v>
      </c>
    </row>
    <row r="115" spans="42:43" x14ac:dyDescent="0.3">
      <c r="AP115" s="153" t="s">
        <v>2028</v>
      </c>
      <c r="AQ115" s="153" t="s">
        <v>2023</v>
      </c>
    </row>
    <row r="116" spans="42:43" x14ac:dyDescent="0.3">
      <c r="AP116" s="153" t="s">
        <v>2037</v>
      </c>
      <c r="AQ116" s="153" t="s">
        <v>2802</v>
      </c>
    </row>
    <row r="117" spans="42:43" x14ac:dyDescent="0.3">
      <c r="AP117" s="153" t="s">
        <v>2037</v>
      </c>
      <c r="AQ117" s="153" t="s">
        <v>2802</v>
      </c>
    </row>
    <row r="118" spans="42:43" x14ac:dyDescent="0.3">
      <c r="AP118" s="153" t="s">
        <v>2041</v>
      </c>
      <c r="AQ118" s="153" t="s">
        <v>2802</v>
      </c>
    </row>
    <row r="119" spans="42:43" x14ac:dyDescent="0.3">
      <c r="AP119" s="153" t="s">
        <v>2039</v>
      </c>
      <c r="AQ119" s="153" t="s">
        <v>2802</v>
      </c>
    </row>
    <row r="120" spans="42:43" x14ac:dyDescent="0.3">
      <c r="AP120" s="153" t="s">
        <v>2041</v>
      </c>
      <c r="AQ120" s="153" t="s">
        <v>2802</v>
      </c>
    </row>
    <row r="121" spans="42:43" x14ac:dyDescent="0.3">
      <c r="AP121" s="153" t="s">
        <v>2041</v>
      </c>
      <c r="AQ121" s="153" t="s">
        <v>2802</v>
      </c>
    </row>
    <row r="122" spans="42:43" x14ac:dyDescent="0.3">
      <c r="AP122" s="153" t="s">
        <v>2037</v>
      </c>
      <c r="AQ122" s="153" t="s">
        <v>2802</v>
      </c>
    </row>
    <row r="123" spans="42:43" x14ac:dyDescent="0.3">
      <c r="AP123" s="153" t="s">
        <v>2037</v>
      </c>
      <c r="AQ123" s="153" t="s">
        <v>2802</v>
      </c>
    </row>
    <row r="124" spans="42:43" x14ac:dyDescent="0.3">
      <c r="AP124" s="153" t="s">
        <v>2037</v>
      </c>
      <c r="AQ124" s="153" t="s">
        <v>2802</v>
      </c>
    </row>
    <row r="125" spans="42:43" x14ac:dyDescent="0.3">
      <c r="AP125" s="153" t="s">
        <v>2041</v>
      </c>
      <c r="AQ125" s="153" t="s">
        <v>2802</v>
      </c>
    </row>
    <row r="126" spans="42:43" x14ac:dyDescent="0.3">
      <c r="AP126" s="153" t="s">
        <v>2041</v>
      </c>
      <c r="AQ126" s="153" t="s">
        <v>2802</v>
      </c>
    </row>
    <row r="127" spans="42:43" x14ac:dyDescent="0.3">
      <c r="AP127" s="153" t="s">
        <v>2058</v>
      </c>
      <c r="AQ127" s="153" t="s">
        <v>2802</v>
      </c>
    </row>
    <row r="128" spans="42:43" x14ac:dyDescent="0.3">
      <c r="AP128" s="153" t="s">
        <v>2049</v>
      </c>
      <c r="AQ128" s="153" t="s">
        <v>2024</v>
      </c>
    </row>
    <row r="129" spans="42:43" x14ac:dyDescent="0.3">
      <c r="AP129" s="153" t="s">
        <v>2049</v>
      </c>
      <c r="AQ129" s="153" t="s">
        <v>2024</v>
      </c>
    </row>
    <row r="130" spans="42:43" x14ac:dyDescent="0.3">
      <c r="AP130" s="153" t="s">
        <v>2049</v>
      </c>
      <c r="AQ130" s="153" t="s">
        <v>2024</v>
      </c>
    </row>
    <row r="131" spans="42:43" x14ac:dyDescent="0.3">
      <c r="AP131" s="153" t="s">
        <v>2049</v>
      </c>
      <c r="AQ131" s="153" t="s">
        <v>2024</v>
      </c>
    </row>
    <row r="132" spans="42:43" x14ac:dyDescent="0.3">
      <c r="AP132" s="153" t="s">
        <v>2049</v>
      </c>
      <c r="AQ132" s="153" t="s">
        <v>2024</v>
      </c>
    </row>
    <row r="133" spans="42:43" x14ac:dyDescent="0.3">
      <c r="AP133" s="153" t="s">
        <v>2049</v>
      </c>
      <c r="AQ133" s="153" t="s">
        <v>2024</v>
      </c>
    </row>
    <row r="134" spans="42:43" x14ac:dyDescent="0.3">
      <c r="AP134" s="153" t="s">
        <v>2049</v>
      </c>
      <c r="AQ134" s="153" t="s">
        <v>2024</v>
      </c>
    </row>
    <row r="135" spans="42:43" x14ac:dyDescent="0.3">
      <c r="AP135" s="153" t="s">
        <v>2049</v>
      </c>
      <c r="AQ135" s="153" t="s">
        <v>2024</v>
      </c>
    </row>
    <row r="136" spans="42:43" x14ac:dyDescent="0.3">
      <c r="AP136" s="153" t="s">
        <v>2049</v>
      </c>
      <c r="AQ136" s="153" t="s">
        <v>2024</v>
      </c>
    </row>
    <row r="137" spans="42:43" x14ac:dyDescent="0.3">
      <c r="AP137" s="153" t="s">
        <v>2049</v>
      </c>
      <c r="AQ137" s="153" t="s">
        <v>2024</v>
      </c>
    </row>
    <row r="138" spans="42:43" x14ac:dyDescent="0.3">
      <c r="AP138" s="153" t="s">
        <v>2049</v>
      </c>
      <c r="AQ138" s="153" t="s">
        <v>2024</v>
      </c>
    </row>
    <row r="139" spans="42:43" x14ac:dyDescent="0.3">
      <c r="AP139" s="153" t="s">
        <v>2049</v>
      </c>
      <c r="AQ139" s="153" t="s">
        <v>2024</v>
      </c>
    </row>
    <row r="140" spans="42:43" x14ac:dyDescent="0.3">
      <c r="AP140" s="153" t="s">
        <v>2049</v>
      </c>
      <c r="AQ140" s="153" t="s">
        <v>2024</v>
      </c>
    </row>
    <row r="141" spans="42:43" x14ac:dyDescent="0.3">
      <c r="AP141" s="153" t="s">
        <v>2049</v>
      </c>
      <c r="AQ141" s="153" t="s">
        <v>2024</v>
      </c>
    </row>
    <row r="142" spans="42:43" x14ac:dyDescent="0.3">
      <c r="AP142" s="153" t="s">
        <v>2049</v>
      </c>
      <c r="AQ142" s="153" t="s">
        <v>2024</v>
      </c>
    </row>
    <row r="143" spans="42:43" x14ac:dyDescent="0.3">
      <c r="AP143" s="153" t="s">
        <v>2049</v>
      </c>
      <c r="AQ143" s="153" t="s">
        <v>2024</v>
      </c>
    </row>
    <row r="144" spans="42:43" x14ac:dyDescent="0.3">
      <c r="AP144" s="153" t="s">
        <v>2049</v>
      </c>
      <c r="AQ144" s="153" t="s">
        <v>2024</v>
      </c>
    </row>
    <row r="145" spans="42:43" x14ac:dyDescent="0.3">
      <c r="AP145" s="153" t="s">
        <v>2049</v>
      </c>
      <c r="AQ145" s="153" t="s">
        <v>2024</v>
      </c>
    </row>
    <row r="146" spans="42:43" x14ac:dyDescent="0.3">
      <c r="AP146" s="153" t="s">
        <v>2049</v>
      </c>
      <c r="AQ146" s="153" t="s">
        <v>2024</v>
      </c>
    </row>
    <row r="147" spans="42:43" x14ac:dyDescent="0.3">
      <c r="AP147" s="153" t="s">
        <v>2049</v>
      </c>
      <c r="AQ147" s="153" t="s">
        <v>2024</v>
      </c>
    </row>
    <row r="148" spans="42:43" x14ac:dyDescent="0.3">
      <c r="AP148" s="153" t="s">
        <v>2028</v>
      </c>
      <c r="AQ148" s="153" t="s">
        <v>2023</v>
      </c>
    </row>
    <row r="149" spans="42:43" x14ac:dyDescent="0.3">
      <c r="AP149" s="153" t="s">
        <v>2039</v>
      </c>
      <c r="AQ149" s="153" t="s">
        <v>2802</v>
      </c>
    </row>
    <row r="150" spans="42:43" x14ac:dyDescent="0.3">
      <c r="AP150" s="153" t="s">
        <v>2028</v>
      </c>
      <c r="AQ150" s="153" t="s">
        <v>2023</v>
      </c>
    </row>
    <row r="151" spans="42:43" x14ac:dyDescent="0.3">
      <c r="AP151" s="153" t="s">
        <v>2058</v>
      </c>
      <c r="AQ151" s="153" t="s">
        <v>2802</v>
      </c>
    </row>
    <row r="152" spans="42:43" x14ac:dyDescent="0.3">
      <c r="AP152" s="153" t="s">
        <v>2028</v>
      </c>
      <c r="AQ152" s="153" t="s">
        <v>2023</v>
      </c>
    </row>
    <row r="153" spans="42:43" x14ac:dyDescent="0.3">
      <c r="AP153" s="153" t="s">
        <v>2037</v>
      </c>
      <c r="AQ153" s="153" t="s">
        <v>2802</v>
      </c>
    </row>
    <row r="154" spans="42:43" x14ac:dyDescent="0.3">
      <c r="AP154" s="153" t="s">
        <v>2038</v>
      </c>
      <c r="AQ154" s="153" t="s">
        <v>2802</v>
      </c>
    </row>
    <row r="155" spans="42:43" x14ac:dyDescent="0.3">
      <c r="AP155" s="153" t="s">
        <v>2037</v>
      </c>
      <c r="AQ155" s="153" t="s">
        <v>2802</v>
      </c>
    </row>
    <row r="156" spans="42:43" x14ac:dyDescent="0.3">
      <c r="AP156" s="153" t="s">
        <v>2028</v>
      </c>
      <c r="AQ156" s="153" t="s">
        <v>2023</v>
      </c>
    </row>
    <row r="157" spans="42:43" x14ac:dyDescent="0.3">
      <c r="AP157" s="153" t="s">
        <v>2039</v>
      </c>
      <c r="AQ157" s="153" t="s">
        <v>2802</v>
      </c>
    </row>
    <row r="158" spans="42:43" x14ac:dyDescent="0.3">
      <c r="AP158" s="153" t="s">
        <v>2059</v>
      </c>
      <c r="AQ158" s="153" t="s">
        <v>2024</v>
      </c>
    </row>
    <row r="159" spans="42:43" x14ac:dyDescent="0.3">
      <c r="AP159" s="153" t="s">
        <v>2059</v>
      </c>
      <c r="AQ159" s="153" t="s">
        <v>2024</v>
      </c>
    </row>
    <row r="160" spans="42:43" x14ac:dyDescent="0.3">
      <c r="AP160" s="153" t="s">
        <v>2059</v>
      </c>
      <c r="AQ160" s="153" t="s">
        <v>2024</v>
      </c>
    </row>
    <row r="161" spans="42:43" x14ac:dyDescent="0.3">
      <c r="AP161" s="153" t="s">
        <v>2059</v>
      </c>
      <c r="AQ161" s="153" t="s">
        <v>2024</v>
      </c>
    </row>
    <row r="162" spans="42:43" x14ac:dyDescent="0.3">
      <c r="AP162" s="153" t="s">
        <v>2059</v>
      </c>
      <c r="AQ162" s="153" t="s">
        <v>2024</v>
      </c>
    </row>
    <row r="163" spans="42:43" x14ac:dyDescent="0.3">
      <c r="AP163" s="153" t="s">
        <v>2059</v>
      </c>
      <c r="AQ163" s="153" t="s">
        <v>2024</v>
      </c>
    </row>
    <row r="164" spans="42:43" x14ac:dyDescent="0.3">
      <c r="AP164" s="153" t="s">
        <v>2059</v>
      </c>
      <c r="AQ164" s="153" t="s">
        <v>2024</v>
      </c>
    </row>
    <row r="165" spans="42:43" x14ac:dyDescent="0.3">
      <c r="AP165" s="153" t="s">
        <v>2059</v>
      </c>
      <c r="AQ165" s="153" t="s">
        <v>2024</v>
      </c>
    </row>
    <row r="166" spans="42:43" x14ac:dyDescent="0.3">
      <c r="AP166" s="153" t="s">
        <v>2058</v>
      </c>
      <c r="AQ166" s="153" t="s">
        <v>2802</v>
      </c>
    </row>
    <row r="167" spans="42:43" x14ac:dyDescent="0.3">
      <c r="AP167" s="153" t="s">
        <v>2039</v>
      </c>
      <c r="AQ167" s="153" t="s">
        <v>2802</v>
      </c>
    </row>
    <row r="168" spans="42:43" x14ac:dyDescent="0.3">
      <c r="AP168" s="153" t="s">
        <v>2041</v>
      </c>
      <c r="AQ168" s="153" t="s">
        <v>2802</v>
      </c>
    </row>
    <row r="169" spans="42:43" x14ac:dyDescent="0.3">
      <c r="AP169" s="153" t="s">
        <v>2037</v>
      </c>
      <c r="AQ169" s="153" t="s">
        <v>2802</v>
      </c>
    </row>
    <row r="170" spans="42:43" x14ac:dyDescent="0.3">
      <c r="AP170" s="153" t="s">
        <v>2037</v>
      </c>
      <c r="AQ170" s="153" t="s">
        <v>2802</v>
      </c>
    </row>
    <row r="171" spans="42:43" x14ac:dyDescent="0.3">
      <c r="AP171" s="153" t="s">
        <v>2037</v>
      </c>
      <c r="AQ171" s="153" t="s">
        <v>2802</v>
      </c>
    </row>
    <row r="172" spans="42:43" x14ac:dyDescent="0.3">
      <c r="AP172" s="153" t="s">
        <v>2058</v>
      </c>
      <c r="AQ172" s="153" t="s">
        <v>2802</v>
      </c>
    </row>
    <row r="173" spans="42:43" x14ac:dyDescent="0.3">
      <c r="AP173" s="153" t="s">
        <v>2037</v>
      </c>
      <c r="AQ173" s="153" t="s">
        <v>2802</v>
      </c>
    </row>
    <row r="174" spans="42:43" x14ac:dyDescent="0.3">
      <c r="AP174" s="153" t="s">
        <v>2032</v>
      </c>
      <c r="AQ174" s="153" t="s">
        <v>2802</v>
      </c>
    </row>
    <row r="175" spans="42:43" x14ac:dyDescent="0.3">
      <c r="AP175" s="153" t="s">
        <v>2041</v>
      </c>
      <c r="AQ175" s="153" t="s">
        <v>2802</v>
      </c>
    </row>
    <row r="176" spans="42:43" x14ac:dyDescent="0.3">
      <c r="AP176" s="153" t="s">
        <v>2032</v>
      </c>
      <c r="AQ176" s="153" t="s">
        <v>2802</v>
      </c>
    </row>
    <row r="177" spans="42:43" x14ac:dyDescent="0.3">
      <c r="AP177" s="153" t="s">
        <v>2061</v>
      </c>
      <c r="AQ177" s="153" t="s">
        <v>2802</v>
      </c>
    </row>
    <row r="178" spans="42:43" x14ac:dyDescent="0.3">
      <c r="AP178" s="153" t="s">
        <v>2037</v>
      </c>
      <c r="AQ178" s="153" t="s">
        <v>2802</v>
      </c>
    </row>
    <row r="179" spans="42:43" x14ac:dyDescent="0.3">
      <c r="AP179" s="153" t="s">
        <v>2037</v>
      </c>
      <c r="AQ179" s="153" t="s">
        <v>2802</v>
      </c>
    </row>
    <row r="180" spans="42:43" x14ac:dyDescent="0.3">
      <c r="AP180" s="153" t="s">
        <v>2037</v>
      </c>
      <c r="AQ180" s="153" t="s">
        <v>2802</v>
      </c>
    </row>
    <row r="181" spans="42:43" x14ac:dyDescent="0.3">
      <c r="AP181" s="153" t="s">
        <v>2037</v>
      </c>
      <c r="AQ181" s="153" t="s">
        <v>2802</v>
      </c>
    </row>
    <row r="182" spans="42:43" x14ac:dyDescent="0.3">
      <c r="AP182" s="153" t="s">
        <v>2059</v>
      </c>
      <c r="AQ182" s="153" t="s">
        <v>2024</v>
      </c>
    </row>
    <row r="183" spans="42:43" x14ac:dyDescent="0.3">
      <c r="AP183" s="153" t="s">
        <v>2059</v>
      </c>
      <c r="AQ183" s="153" t="s">
        <v>2024</v>
      </c>
    </row>
    <row r="184" spans="42:43" x14ac:dyDescent="0.3">
      <c r="AP184" s="153" t="s">
        <v>2059</v>
      </c>
      <c r="AQ184" s="153" t="s">
        <v>2024</v>
      </c>
    </row>
    <row r="185" spans="42:43" x14ac:dyDescent="0.3">
      <c r="AP185" s="153" t="s">
        <v>2059</v>
      </c>
      <c r="AQ185" s="153" t="s">
        <v>2024</v>
      </c>
    </row>
    <row r="186" spans="42:43" x14ac:dyDescent="0.3">
      <c r="AP186" s="153" t="s">
        <v>2059</v>
      </c>
      <c r="AQ186" s="153" t="s">
        <v>2024</v>
      </c>
    </row>
    <row r="187" spans="42:43" x14ac:dyDescent="0.3">
      <c r="AP187" s="153" t="s">
        <v>2037</v>
      </c>
      <c r="AQ187" s="153" t="s">
        <v>2802</v>
      </c>
    </row>
    <row r="188" spans="42:43" x14ac:dyDescent="0.3">
      <c r="AP188" s="153" t="s">
        <v>2037</v>
      </c>
      <c r="AQ188" s="153" t="s">
        <v>2802</v>
      </c>
    </row>
    <row r="189" spans="42:43" x14ac:dyDescent="0.3">
      <c r="AP189" s="153" t="s">
        <v>2041</v>
      </c>
      <c r="AQ189" s="153" t="s">
        <v>2802</v>
      </c>
    </row>
    <row r="190" spans="42:43" x14ac:dyDescent="0.3">
      <c r="AP190" s="153" t="s">
        <v>2041</v>
      </c>
      <c r="AQ190" s="153" t="s">
        <v>2802</v>
      </c>
    </row>
    <row r="191" spans="42:43" x14ac:dyDescent="0.3">
      <c r="AP191" s="153" t="s">
        <v>2049</v>
      </c>
      <c r="AQ191" s="153" t="s">
        <v>2024</v>
      </c>
    </row>
    <row r="192" spans="42:43" x14ac:dyDescent="0.3">
      <c r="AP192" s="153" t="s">
        <v>2049</v>
      </c>
      <c r="AQ192" s="153" t="s">
        <v>2024</v>
      </c>
    </row>
    <row r="193" spans="42:43" x14ac:dyDescent="0.3">
      <c r="AP193" s="153" t="s">
        <v>2049</v>
      </c>
      <c r="AQ193" s="153" t="s">
        <v>2024</v>
      </c>
    </row>
    <row r="194" spans="42:43" x14ac:dyDescent="0.3">
      <c r="AP194" s="153" t="s">
        <v>2049</v>
      </c>
      <c r="AQ194" s="153" t="s">
        <v>2024</v>
      </c>
    </row>
    <row r="195" spans="42:43" x14ac:dyDescent="0.3">
      <c r="AP195" s="153" t="s">
        <v>2049</v>
      </c>
      <c r="AQ195" s="153" t="s">
        <v>2024</v>
      </c>
    </row>
    <row r="196" spans="42:43" x14ac:dyDescent="0.3">
      <c r="AP196" s="153" t="s">
        <v>2049</v>
      </c>
      <c r="AQ196" s="153" t="s">
        <v>2024</v>
      </c>
    </row>
    <row r="197" spans="42:43" x14ac:dyDescent="0.3">
      <c r="AP197" s="153" t="s">
        <v>2049</v>
      </c>
      <c r="AQ197" s="153" t="s">
        <v>2024</v>
      </c>
    </row>
    <row r="198" spans="42:43" x14ac:dyDescent="0.3">
      <c r="AP198" s="153" t="s">
        <v>2049</v>
      </c>
      <c r="AQ198" s="153" t="s">
        <v>2024</v>
      </c>
    </row>
    <row r="199" spans="42:43" x14ac:dyDescent="0.3">
      <c r="AP199" s="153" t="s">
        <v>2049</v>
      </c>
      <c r="AQ199" s="153" t="s">
        <v>2024</v>
      </c>
    </row>
    <row r="200" spans="42:43" x14ac:dyDescent="0.3">
      <c r="AP200" s="153" t="s">
        <v>2049</v>
      </c>
      <c r="AQ200" s="153" t="s">
        <v>2024</v>
      </c>
    </row>
    <row r="201" spans="42:43" x14ac:dyDescent="0.3">
      <c r="AP201" s="153" t="s">
        <v>2049</v>
      </c>
      <c r="AQ201" s="153" t="s">
        <v>2024</v>
      </c>
    </row>
    <row r="202" spans="42:43" x14ac:dyDescent="0.3">
      <c r="AP202" s="153" t="s">
        <v>2049</v>
      </c>
      <c r="AQ202" s="153" t="s">
        <v>2024</v>
      </c>
    </row>
    <row r="203" spans="42:43" x14ac:dyDescent="0.3">
      <c r="AP203" s="153" t="s">
        <v>2049</v>
      </c>
      <c r="AQ203" s="153" t="s">
        <v>2024</v>
      </c>
    </row>
    <row r="204" spans="42:43" x14ac:dyDescent="0.3">
      <c r="AP204" s="153" t="s">
        <v>2049</v>
      </c>
      <c r="AQ204" s="153" t="s">
        <v>2024</v>
      </c>
    </row>
    <row r="205" spans="42:43" x14ac:dyDescent="0.3">
      <c r="AP205" s="153" t="s">
        <v>2049</v>
      </c>
      <c r="AQ205" s="153" t="s">
        <v>2024</v>
      </c>
    </row>
    <row r="206" spans="42:43" x14ac:dyDescent="0.3">
      <c r="AP206" s="153" t="s">
        <v>2049</v>
      </c>
      <c r="AQ206" s="153" t="s">
        <v>2024</v>
      </c>
    </row>
    <row r="207" spans="42:43" x14ac:dyDescent="0.3">
      <c r="AP207" s="153" t="s">
        <v>2049</v>
      </c>
      <c r="AQ207" s="153" t="s">
        <v>2024</v>
      </c>
    </row>
    <row r="208" spans="42:43" x14ac:dyDescent="0.3">
      <c r="AP208" s="153" t="s">
        <v>2049</v>
      </c>
      <c r="AQ208" s="153" t="s">
        <v>2024</v>
      </c>
    </row>
    <row r="209" spans="42:43" x14ac:dyDescent="0.3">
      <c r="AP209" s="153" t="s">
        <v>2049</v>
      </c>
      <c r="AQ209" s="153" t="s">
        <v>2024</v>
      </c>
    </row>
    <row r="210" spans="42:43" x14ac:dyDescent="0.3">
      <c r="AP210" s="153" t="s">
        <v>2049</v>
      </c>
      <c r="AQ210" s="153" t="s">
        <v>2024</v>
      </c>
    </row>
    <row r="211" spans="42:43" x14ac:dyDescent="0.3">
      <c r="AP211" s="153" t="s">
        <v>2049</v>
      </c>
      <c r="AQ211" s="153" t="s">
        <v>2024</v>
      </c>
    </row>
    <row r="212" spans="42:43" x14ac:dyDescent="0.3">
      <c r="AP212" s="153" t="s">
        <v>2049</v>
      </c>
      <c r="AQ212" s="153" t="s">
        <v>2024</v>
      </c>
    </row>
    <row r="213" spans="42:43" x14ac:dyDescent="0.3">
      <c r="AP213" s="153" t="s">
        <v>2049</v>
      </c>
      <c r="AQ213" s="153" t="s">
        <v>2024</v>
      </c>
    </row>
    <row r="214" spans="42:43" x14ac:dyDescent="0.3">
      <c r="AP214" s="153" t="s">
        <v>2049</v>
      </c>
      <c r="AQ214" s="153" t="s">
        <v>2024</v>
      </c>
    </row>
    <row r="215" spans="42:43" x14ac:dyDescent="0.3">
      <c r="AP215" s="153" t="s">
        <v>2049</v>
      </c>
      <c r="AQ215" s="153" t="s">
        <v>2024</v>
      </c>
    </row>
    <row r="216" spans="42:43" x14ac:dyDescent="0.3">
      <c r="AP216" s="153" t="s">
        <v>2049</v>
      </c>
      <c r="AQ216" s="153" t="s">
        <v>2024</v>
      </c>
    </row>
    <row r="217" spans="42:43" x14ac:dyDescent="0.3">
      <c r="AP217" s="153" t="s">
        <v>2049</v>
      </c>
      <c r="AQ217" s="153" t="s">
        <v>2024</v>
      </c>
    </row>
    <row r="218" spans="42:43" x14ac:dyDescent="0.3">
      <c r="AP218" s="153" t="s">
        <v>2049</v>
      </c>
      <c r="AQ218" s="153" t="s">
        <v>2024</v>
      </c>
    </row>
    <row r="219" spans="42:43" x14ac:dyDescent="0.3">
      <c r="AP219" s="153" t="s">
        <v>2049</v>
      </c>
      <c r="AQ219" s="153" t="s">
        <v>2024</v>
      </c>
    </row>
    <row r="220" spans="42:43" x14ac:dyDescent="0.3">
      <c r="AP220" s="153" t="s">
        <v>2058</v>
      </c>
      <c r="AQ220" s="153" t="s">
        <v>2802</v>
      </c>
    </row>
    <row r="221" spans="42:43" x14ac:dyDescent="0.3">
      <c r="AP221" s="153" t="s">
        <v>2058</v>
      </c>
      <c r="AQ221" s="153" t="s">
        <v>2802</v>
      </c>
    </row>
    <row r="222" spans="42:43" x14ac:dyDescent="0.3">
      <c r="AP222" s="153" t="s">
        <v>2058</v>
      </c>
      <c r="AQ222" s="153" t="s">
        <v>2802</v>
      </c>
    </row>
    <row r="223" spans="42:43" x14ac:dyDescent="0.3">
      <c r="AP223" s="153" t="s">
        <v>2058</v>
      </c>
      <c r="AQ223" s="153" t="s">
        <v>2802</v>
      </c>
    </row>
    <row r="224" spans="42:43" x14ac:dyDescent="0.3">
      <c r="AP224" s="153" t="s">
        <v>2037</v>
      </c>
      <c r="AQ224" s="153" t="s">
        <v>2802</v>
      </c>
    </row>
    <row r="225" spans="42:43" x14ac:dyDescent="0.3">
      <c r="AP225" s="153" t="s">
        <v>2039</v>
      </c>
      <c r="AQ225" s="153" t="s">
        <v>2802</v>
      </c>
    </row>
    <row r="226" spans="42:43" x14ac:dyDescent="0.3">
      <c r="AP226" s="153" t="s">
        <v>2039</v>
      </c>
      <c r="AQ226" s="153" t="s">
        <v>2802</v>
      </c>
    </row>
    <row r="227" spans="42:43" x14ac:dyDescent="0.3">
      <c r="AP227" s="153" t="s">
        <v>2060</v>
      </c>
      <c r="AQ227" s="153" t="s">
        <v>2023</v>
      </c>
    </row>
    <row r="228" spans="42:43" x14ac:dyDescent="0.3">
      <c r="AP228" s="153" t="s">
        <v>2037</v>
      </c>
      <c r="AQ228" s="153" t="s">
        <v>2802</v>
      </c>
    </row>
    <row r="229" spans="42:43" x14ac:dyDescent="0.3">
      <c r="AP229" s="153" t="s">
        <v>2058</v>
      </c>
      <c r="AQ229" s="153" t="s">
        <v>2802</v>
      </c>
    </row>
    <row r="230" spans="42:43" x14ac:dyDescent="0.3">
      <c r="AP230" s="153" t="s">
        <v>2058</v>
      </c>
      <c r="AQ230" s="153" t="s">
        <v>2802</v>
      </c>
    </row>
    <row r="231" spans="42:43" x14ac:dyDescent="0.3">
      <c r="AP231" s="153" t="s">
        <v>2058</v>
      </c>
      <c r="AQ231" s="153" t="s">
        <v>2802</v>
      </c>
    </row>
    <row r="232" spans="42:43" x14ac:dyDescent="0.3">
      <c r="AP232" s="153" t="s">
        <v>2039</v>
      </c>
      <c r="AQ232" s="153" t="s">
        <v>2802</v>
      </c>
    </row>
    <row r="233" spans="42:43" x14ac:dyDescent="0.3">
      <c r="AP233" s="153" t="s">
        <v>2039</v>
      </c>
      <c r="AQ233" s="153" t="s">
        <v>2802</v>
      </c>
    </row>
    <row r="234" spans="42:43" x14ac:dyDescent="0.3">
      <c r="AP234" s="153" t="s">
        <v>2039</v>
      </c>
      <c r="AQ234" s="153" t="s">
        <v>2802</v>
      </c>
    </row>
    <row r="235" spans="42:43" x14ac:dyDescent="0.3">
      <c r="AP235" s="153" t="s">
        <v>2059</v>
      </c>
      <c r="AQ235" s="153" t="s">
        <v>2024</v>
      </c>
    </row>
    <row r="236" spans="42:43" x14ac:dyDescent="0.3">
      <c r="AP236" s="153" t="s">
        <v>2059</v>
      </c>
      <c r="AQ236" s="153" t="s">
        <v>2024</v>
      </c>
    </row>
    <row r="237" spans="42:43" x14ac:dyDescent="0.3">
      <c r="AP237" s="153" t="s">
        <v>2059</v>
      </c>
      <c r="AQ237" s="153" t="s">
        <v>2024</v>
      </c>
    </row>
    <row r="238" spans="42:43" x14ac:dyDescent="0.3">
      <c r="AP238" s="153" t="s">
        <v>2059</v>
      </c>
      <c r="AQ238" s="153" t="s">
        <v>2024</v>
      </c>
    </row>
    <row r="239" spans="42:43" x14ac:dyDescent="0.3">
      <c r="AP239" s="153" t="s">
        <v>2059</v>
      </c>
      <c r="AQ239" s="153" t="s">
        <v>2024</v>
      </c>
    </row>
    <row r="240" spans="42:43" x14ac:dyDescent="0.3">
      <c r="AP240" s="153" t="s">
        <v>2059</v>
      </c>
      <c r="AQ240" s="153" t="s">
        <v>2024</v>
      </c>
    </row>
    <row r="241" spans="42:43" x14ac:dyDescent="0.3">
      <c r="AP241" s="153" t="s">
        <v>2059</v>
      </c>
      <c r="AQ241" s="153" t="s">
        <v>2024</v>
      </c>
    </row>
    <row r="242" spans="42:43" x14ac:dyDescent="0.3">
      <c r="AP242" s="153" t="s">
        <v>2059</v>
      </c>
      <c r="AQ242" s="153" t="s">
        <v>2024</v>
      </c>
    </row>
    <row r="243" spans="42:43" x14ac:dyDescent="0.3">
      <c r="AP243" s="153" t="s">
        <v>2059</v>
      </c>
      <c r="AQ243" s="153" t="s">
        <v>2024</v>
      </c>
    </row>
    <row r="244" spans="42:43" x14ac:dyDescent="0.3">
      <c r="AP244" s="153" t="s">
        <v>2059</v>
      </c>
      <c r="AQ244" s="153" t="s">
        <v>2024</v>
      </c>
    </row>
    <row r="245" spans="42:43" x14ac:dyDescent="0.3">
      <c r="AP245" s="153" t="s">
        <v>2037</v>
      </c>
      <c r="AQ245" s="153" t="s">
        <v>2802</v>
      </c>
    </row>
    <row r="246" spans="42:43" x14ac:dyDescent="0.3">
      <c r="AP246" s="153" t="s">
        <v>2028</v>
      </c>
      <c r="AQ246" s="153" t="s">
        <v>2023</v>
      </c>
    </row>
    <row r="247" spans="42:43" x14ac:dyDescent="0.3">
      <c r="AP247" s="153" t="s">
        <v>2037</v>
      </c>
      <c r="AQ247" s="153" t="s">
        <v>2802</v>
      </c>
    </row>
    <row r="248" spans="42:43" x14ac:dyDescent="0.3">
      <c r="AP248" s="153" t="s">
        <v>2037</v>
      </c>
      <c r="AQ248" s="153" t="s">
        <v>2802</v>
      </c>
    </row>
    <row r="249" spans="42:43" x14ac:dyDescent="0.3">
      <c r="AP249" s="153" t="s">
        <v>2037</v>
      </c>
      <c r="AQ249" s="153" t="s">
        <v>2802</v>
      </c>
    </row>
    <row r="250" spans="42:43" x14ac:dyDescent="0.3">
      <c r="AP250" s="153" t="s">
        <v>2041</v>
      </c>
      <c r="AQ250" s="153" t="s">
        <v>2802</v>
      </c>
    </row>
    <row r="251" spans="42:43" x14ac:dyDescent="0.3">
      <c r="AP251" s="153" t="s">
        <v>2028</v>
      </c>
      <c r="AQ251" s="153" t="s">
        <v>2023</v>
      </c>
    </row>
    <row r="252" spans="42:43" x14ac:dyDescent="0.3">
      <c r="AP252" s="153" t="s">
        <v>2037</v>
      </c>
      <c r="AQ252" s="153" t="s">
        <v>2802</v>
      </c>
    </row>
    <row r="253" spans="42:43" x14ac:dyDescent="0.3">
      <c r="AP253" s="153" t="s">
        <v>2037</v>
      </c>
      <c r="AQ253" s="153" t="s">
        <v>2802</v>
      </c>
    </row>
    <row r="254" spans="42:43" x14ac:dyDescent="0.3">
      <c r="AP254" s="153" t="s">
        <v>2037</v>
      </c>
      <c r="AQ254" s="153" t="s">
        <v>2802</v>
      </c>
    </row>
    <row r="255" spans="42:43" x14ac:dyDescent="0.3">
      <c r="AP255" s="153" t="s">
        <v>2037</v>
      </c>
      <c r="AQ255" s="153" t="s">
        <v>2802</v>
      </c>
    </row>
    <row r="256" spans="42:43" x14ac:dyDescent="0.3">
      <c r="AP256" s="153" t="s">
        <v>2028</v>
      </c>
      <c r="AQ256" s="153" t="s">
        <v>2023</v>
      </c>
    </row>
    <row r="257" spans="42:43" x14ac:dyDescent="0.3">
      <c r="AP257" s="153" t="s">
        <v>2037</v>
      </c>
      <c r="AQ257" s="153" t="s">
        <v>2802</v>
      </c>
    </row>
    <row r="258" spans="42:43" x14ac:dyDescent="0.3">
      <c r="AP258" s="153" t="s">
        <v>2037</v>
      </c>
      <c r="AQ258" s="153" t="s">
        <v>2802</v>
      </c>
    </row>
    <row r="259" spans="42:43" x14ac:dyDescent="0.3">
      <c r="AP259" s="153" t="s">
        <v>2037</v>
      </c>
      <c r="AQ259" s="153" t="s">
        <v>2802</v>
      </c>
    </row>
    <row r="260" spans="42:43" x14ac:dyDescent="0.3">
      <c r="AP260" s="153" t="s">
        <v>2037</v>
      </c>
      <c r="AQ260" s="153" t="s">
        <v>2802</v>
      </c>
    </row>
    <row r="261" spans="42:43" x14ac:dyDescent="0.3">
      <c r="AP261" s="153" t="s">
        <v>2037</v>
      </c>
      <c r="AQ261" s="153" t="s">
        <v>2802</v>
      </c>
    </row>
    <row r="262" spans="42:43" x14ac:dyDescent="0.3">
      <c r="AP262" s="153" t="s">
        <v>2039</v>
      </c>
      <c r="AQ262" s="153" t="s">
        <v>2802</v>
      </c>
    </row>
    <row r="263" spans="42:43" x14ac:dyDescent="0.3">
      <c r="AP263" s="153" t="s">
        <v>2041</v>
      </c>
      <c r="AQ263" s="153" t="s">
        <v>2802</v>
      </c>
    </row>
    <row r="264" spans="42:43" x14ac:dyDescent="0.3">
      <c r="AP264" s="153" t="s">
        <v>2037</v>
      </c>
      <c r="AQ264" s="153" t="s">
        <v>2802</v>
      </c>
    </row>
    <row r="265" spans="42:43" x14ac:dyDescent="0.3">
      <c r="AP265" s="153" t="s">
        <v>2037</v>
      </c>
      <c r="AQ265" s="153" t="s">
        <v>2802</v>
      </c>
    </row>
    <row r="266" spans="42:43" x14ac:dyDescent="0.3">
      <c r="AP266" s="153" t="s">
        <v>2059</v>
      </c>
      <c r="AQ266" s="153" t="s">
        <v>2024</v>
      </c>
    </row>
    <row r="267" spans="42:43" x14ac:dyDescent="0.3">
      <c r="AP267" s="153" t="s">
        <v>2059</v>
      </c>
      <c r="AQ267" s="153" t="s">
        <v>2024</v>
      </c>
    </row>
    <row r="268" spans="42:43" x14ac:dyDescent="0.3">
      <c r="AP268" s="153" t="s">
        <v>2059</v>
      </c>
      <c r="AQ268" s="153" t="s">
        <v>2024</v>
      </c>
    </row>
    <row r="269" spans="42:43" x14ac:dyDescent="0.3">
      <c r="AP269" s="153" t="s">
        <v>2059</v>
      </c>
      <c r="AQ269" s="153" t="s">
        <v>2024</v>
      </c>
    </row>
    <row r="270" spans="42:43" x14ac:dyDescent="0.3">
      <c r="AP270" s="153" t="s">
        <v>2059</v>
      </c>
      <c r="AQ270" s="153" t="s">
        <v>2024</v>
      </c>
    </row>
    <row r="271" spans="42:43" x14ac:dyDescent="0.3">
      <c r="AP271" s="153" t="s">
        <v>2059</v>
      </c>
      <c r="AQ271" s="153" t="s">
        <v>2024</v>
      </c>
    </row>
    <row r="272" spans="42:43" x14ac:dyDescent="0.3">
      <c r="AP272" s="153" t="s">
        <v>2059</v>
      </c>
      <c r="AQ272" s="153" t="s">
        <v>2024</v>
      </c>
    </row>
    <row r="273" spans="42:43" x14ac:dyDescent="0.3">
      <c r="AP273" s="153" t="s">
        <v>2059</v>
      </c>
      <c r="AQ273" s="153" t="s">
        <v>2024</v>
      </c>
    </row>
    <row r="274" spans="42:43" x14ac:dyDescent="0.3">
      <c r="AP274" s="153" t="s">
        <v>2059</v>
      </c>
      <c r="AQ274" s="153" t="s">
        <v>2024</v>
      </c>
    </row>
    <row r="275" spans="42:43" x14ac:dyDescent="0.3">
      <c r="AP275" s="153" t="s">
        <v>2059</v>
      </c>
      <c r="AQ275" s="153" t="s">
        <v>2024</v>
      </c>
    </row>
    <row r="276" spans="42:43" x14ac:dyDescent="0.3">
      <c r="AP276" s="153" t="s">
        <v>2041</v>
      </c>
      <c r="AQ276" s="153" t="s">
        <v>2802</v>
      </c>
    </row>
    <row r="277" spans="42:43" x14ac:dyDescent="0.3">
      <c r="AP277" s="153" t="s">
        <v>2037</v>
      </c>
      <c r="AQ277" s="153" t="s">
        <v>2802</v>
      </c>
    </row>
    <row r="278" spans="42:43" x14ac:dyDescent="0.3">
      <c r="AP278" s="153" t="s">
        <v>2032</v>
      </c>
      <c r="AQ278" s="153" t="s">
        <v>2802</v>
      </c>
    </row>
    <row r="279" spans="42:43" x14ac:dyDescent="0.3">
      <c r="AP279" s="153" t="s">
        <v>2032</v>
      </c>
      <c r="AQ279" s="153" t="s">
        <v>2802</v>
      </c>
    </row>
    <row r="280" spans="42:43" x14ac:dyDescent="0.3">
      <c r="AP280" s="153" t="s">
        <v>2032</v>
      </c>
      <c r="AQ280" s="153" t="s">
        <v>2802</v>
      </c>
    </row>
    <row r="281" spans="42:43" x14ac:dyDescent="0.3">
      <c r="AP281" s="153" t="s">
        <v>2037</v>
      </c>
      <c r="AQ281" s="153" t="s">
        <v>2802</v>
      </c>
    </row>
    <row r="282" spans="42:43" x14ac:dyDescent="0.3">
      <c r="AP282" s="153" t="s">
        <v>2037</v>
      </c>
      <c r="AQ282" s="153" t="s">
        <v>2802</v>
      </c>
    </row>
    <row r="283" spans="42:43" x14ac:dyDescent="0.3">
      <c r="AP283" s="153" t="s">
        <v>2037</v>
      </c>
      <c r="AQ283" s="153" t="s">
        <v>2802</v>
      </c>
    </row>
    <row r="284" spans="42:43" x14ac:dyDescent="0.3">
      <c r="AP284" s="153" t="s">
        <v>2032</v>
      </c>
      <c r="AQ284" s="153" t="s">
        <v>2802</v>
      </c>
    </row>
    <row r="285" spans="42:43" x14ac:dyDescent="0.3">
      <c r="AP285" s="153" t="s">
        <v>2037</v>
      </c>
      <c r="AQ285" s="153" t="s">
        <v>2802</v>
      </c>
    </row>
    <row r="286" spans="42:43" x14ac:dyDescent="0.3">
      <c r="AP286" s="153" t="s">
        <v>2062</v>
      </c>
      <c r="AQ286" s="153" t="s">
        <v>2023</v>
      </c>
    </row>
    <row r="287" spans="42:43" x14ac:dyDescent="0.3">
      <c r="AP287" s="153" t="s">
        <v>2041</v>
      </c>
      <c r="AQ287" s="153" t="s">
        <v>2802</v>
      </c>
    </row>
    <row r="288" spans="42:43" x14ac:dyDescent="0.3">
      <c r="AP288" s="153" t="s">
        <v>2041</v>
      </c>
      <c r="AQ288" s="153" t="s">
        <v>2802</v>
      </c>
    </row>
    <row r="289" spans="42:43" x14ac:dyDescent="0.3">
      <c r="AP289" s="153" t="s">
        <v>2059</v>
      </c>
      <c r="AQ289" s="153" t="s">
        <v>2024</v>
      </c>
    </row>
    <row r="290" spans="42:43" x14ac:dyDescent="0.3">
      <c r="AP290" s="153" t="s">
        <v>2059</v>
      </c>
      <c r="AQ290" s="153" t="s">
        <v>2024</v>
      </c>
    </row>
    <row r="291" spans="42:43" x14ac:dyDescent="0.3">
      <c r="AP291" s="153" t="s">
        <v>2059</v>
      </c>
      <c r="AQ291" s="153" t="s">
        <v>2024</v>
      </c>
    </row>
    <row r="292" spans="42:43" x14ac:dyDescent="0.3">
      <c r="AP292" s="153" t="s">
        <v>2059</v>
      </c>
      <c r="AQ292" s="153" t="s">
        <v>2024</v>
      </c>
    </row>
    <row r="293" spans="42:43" x14ac:dyDescent="0.3">
      <c r="AP293" s="153" t="s">
        <v>2059</v>
      </c>
      <c r="AQ293" s="153" t="s">
        <v>2024</v>
      </c>
    </row>
    <row r="294" spans="42:43" x14ac:dyDescent="0.3">
      <c r="AP294" s="153" t="s">
        <v>2059</v>
      </c>
      <c r="AQ294" s="153" t="s">
        <v>2024</v>
      </c>
    </row>
    <row r="295" spans="42:43" x14ac:dyDescent="0.3">
      <c r="AP295" s="153" t="s">
        <v>2059</v>
      </c>
      <c r="AQ295" s="153" t="s">
        <v>2024</v>
      </c>
    </row>
    <row r="296" spans="42:43" x14ac:dyDescent="0.3">
      <c r="AP296" s="153" t="s">
        <v>2059</v>
      </c>
      <c r="AQ296" s="153" t="s">
        <v>2024</v>
      </c>
    </row>
    <row r="297" spans="42:43" x14ac:dyDescent="0.3">
      <c r="AP297" s="153" t="s">
        <v>2059</v>
      </c>
      <c r="AQ297" s="153" t="s">
        <v>2024</v>
      </c>
    </row>
    <row r="298" spans="42:43" x14ac:dyDescent="0.3">
      <c r="AP298" s="153" t="s">
        <v>2059</v>
      </c>
      <c r="AQ298" s="153" t="s">
        <v>2024</v>
      </c>
    </row>
    <row r="299" spans="42:43" x14ac:dyDescent="0.3">
      <c r="AP299" s="153" t="s">
        <v>2037</v>
      </c>
      <c r="AQ299" s="153" t="s">
        <v>2802</v>
      </c>
    </row>
    <row r="300" spans="42:43" x14ac:dyDescent="0.3">
      <c r="AP300" s="153" t="s">
        <v>2045</v>
      </c>
      <c r="AQ300" s="153" t="s">
        <v>2802</v>
      </c>
    </row>
    <row r="301" spans="42:43" x14ac:dyDescent="0.3">
      <c r="AP301" s="153" t="s">
        <v>2063</v>
      </c>
      <c r="AQ301" s="153" t="s">
        <v>2802</v>
      </c>
    </row>
    <row r="302" spans="42:43" x14ac:dyDescent="0.3">
      <c r="AP302" s="153" t="s">
        <v>2041</v>
      </c>
      <c r="AQ302" s="153" t="s">
        <v>2802</v>
      </c>
    </row>
    <row r="303" spans="42:43" x14ac:dyDescent="0.3">
      <c r="AP303" s="153" t="s">
        <v>2041</v>
      </c>
      <c r="AQ303" s="153" t="s">
        <v>2802</v>
      </c>
    </row>
    <row r="304" spans="42:43" x14ac:dyDescent="0.3">
      <c r="AP304" s="153" t="s">
        <v>2041</v>
      </c>
      <c r="AQ304" s="153" t="s">
        <v>2802</v>
      </c>
    </row>
    <row r="305" spans="42:43" x14ac:dyDescent="0.3">
      <c r="AP305" s="153" t="s">
        <v>2039</v>
      </c>
      <c r="AQ305" s="153" t="s">
        <v>2802</v>
      </c>
    </row>
    <row r="306" spans="42:43" x14ac:dyDescent="0.3">
      <c r="AP306" s="153" t="s">
        <v>2037</v>
      </c>
      <c r="AQ306" s="153" t="s">
        <v>2802</v>
      </c>
    </row>
    <row r="307" spans="42:43" x14ac:dyDescent="0.3">
      <c r="AP307" s="153" t="s">
        <v>2037</v>
      </c>
      <c r="AQ307" s="153" t="s">
        <v>2802</v>
      </c>
    </row>
    <row r="308" spans="42:43" x14ac:dyDescent="0.3">
      <c r="AP308" s="153" t="s">
        <v>2945</v>
      </c>
      <c r="AQ308" s="153" t="s">
        <v>2025</v>
      </c>
    </row>
    <row r="309" spans="42:43" x14ac:dyDescent="0.3">
      <c r="AP309" s="153" t="s">
        <v>2037</v>
      </c>
      <c r="AQ309" s="153" t="s">
        <v>2802</v>
      </c>
    </row>
    <row r="310" spans="42:43" x14ac:dyDescent="0.3">
      <c r="AP310" s="153" t="s">
        <v>2039</v>
      </c>
      <c r="AQ310" s="153" t="s">
        <v>2802</v>
      </c>
    </row>
    <row r="311" spans="42:43" x14ac:dyDescent="0.3">
      <c r="AP311" s="153" t="s">
        <v>2039</v>
      </c>
      <c r="AQ311" s="153" t="s">
        <v>2802</v>
      </c>
    </row>
    <row r="312" spans="42:43" x14ac:dyDescent="0.3">
      <c r="AP312" s="153" t="s">
        <v>2039</v>
      </c>
      <c r="AQ312" s="153" t="s">
        <v>2802</v>
      </c>
    </row>
    <row r="313" spans="42:43" x14ac:dyDescent="0.3">
      <c r="AP313" s="153" t="s">
        <v>2039</v>
      </c>
      <c r="AQ313" s="153" t="s">
        <v>2802</v>
      </c>
    </row>
    <row r="314" spans="42:43" x14ac:dyDescent="0.3">
      <c r="AP314" s="153" t="s">
        <v>2037</v>
      </c>
      <c r="AQ314" s="153" t="s">
        <v>2802</v>
      </c>
    </row>
    <row r="315" spans="42:43" x14ac:dyDescent="0.3">
      <c r="AP315" s="153" t="s">
        <v>2037</v>
      </c>
      <c r="AQ315" s="153" t="s">
        <v>2802</v>
      </c>
    </row>
    <row r="316" spans="42:43" x14ac:dyDescent="0.3">
      <c r="AP316" s="153" t="s">
        <v>2037</v>
      </c>
      <c r="AQ316" s="153" t="s">
        <v>2802</v>
      </c>
    </row>
    <row r="317" spans="42:43" x14ac:dyDescent="0.3">
      <c r="AP317" s="153" t="s">
        <v>2037</v>
      </c>
      <c r="AQ317" s="153" t="s">
        <v>2802</v>
      </c>
    </row>
    <row r="318" spans="42:43" x14ac:dyDescent="0.3">
      <c r="AP318" s="153" t="s">
        <v>2037</v>
      </c>
      <c r="AQ318" s="153" t="s">
        <v>2802</v>
      </c>
    </row>
    <row r="319" spans="42:43" x14ac:dyDescent="0.3">
      <c r="AP319" s="153" t="s">
        <v>2037</v>
      </c>
      <c r="AQ319" s="153" t="s">
        <v>2802</v>
      </c>
    </row>
    <row r="320" spans="42:43" x14ac:dyDescent="0.3">
      <c r="AP320" s="153" t="s">
        <v>2037</v>
      </c>
      <c r="AQ320" s="153" t="s">
        <v>2802</v>
      </c>
    </row>
    <row r="321" spans="42:43" x14ac:dyDescent="0.3">
      <c r="AP321" s="153" t="s">
        <v>2037</v>
      </c>
      <c r="AQ321" s="153" t="s">
        <v>2802</v>
      </c>
    </row>
    <row r="322" spans="42:43" x14ac:dyDescent="0.3">
      <c r="AP322" s="153" t="s">
        <v>2037</v>
      </c>
      <c r="AQ322" s="153" t="s">
        <v>2802</v>
      </c>
    </row>
    <row r="323" spans="42:43" x14ac:dyDescent="0.3">
      <c r="AP323" s="153" t="s">
        <v>2037</v>
      </c>
      <c r="AQ323" s="153" t="s">
        <v>2802</v>
      </c>
    </row>
    <row r="324" spans="42:43" x14ac:dyDescent="0.3">
      <c r="AP324" s="153" t="s">
        <v>2037</v>
      </c>
      <c r="AQ324" s="153" t="s">
        <v>2802</v>
      </c>
    </row>
    <row r="325" spans="42:43" x14ac:dyDescent="0.3">
      <c r="AP325" s="153" t="s">
        <v>2037</v>
      </c>
      <c r="AQ325" s="153" t="s">
        <v>2802</v>
      </c>
    </row>
    <row r="326" spans="42:43" x14ac:dyDescent="0.3">
      <c r="AP326" s="153" t="s">
        <v>2028</v>
      </c>
      <c r="AQ326" s="153" t="s">
        <v>2023</v>
      </c>
    </row>
    <row r="327" spans="42:43" x14ac:dyDescent="0.3">
      <c r="AP327" s="153" t="s">
        <v>2028</v>
      </c>
      <c r="AQ327" s="153" t="s">
        <v>2023</v>
      </c>
    </row>
    <row r="328" spans="42:43" x14ac:dyDescent="0.3">
      <c r="AP328" s="153" t="s">
        <v>2041</v>
      </c>
      <c r="AQ328" s="153" t="s">
        <v>2802</v>
      </c>
    </row>
    <row r="329" spans="42:43" x14ac:dyDescent="0.3">
      <c r="AP329" s="153" t="s">
        <v>2041</v>
      </c>
      <c r="AQ329" s="153" t="s">
        <v>2802</v>
      </c>
    </row>
    <row r="330" spans="42:43" x14ac:dyDescent="0.3">
      <c r="AP330" s="153" t="s">
        <v>2037</v>
      </c>
      <c r="AQ330" s="153" t="s">
        <v>2802</v>
      </c>
    </row>
    <row r="331" spans="42:43" x14ac:dyDescent="0.3">
      <c r="AP331" s="153" t="s">
        <v>2037</v>
      </c>
      <c r="AQ331" s="153" t="s">
        <v>2802</v>
      </c>
    </row>
    <row r="332" spans="42:43" x14ac:dyDescent="0.3">
      <c r="AP332" s="153" t="s">
        <v>2037</v>
      </c>
      <c r="AQ332" s="153" t="s">
        <v>2802</v>
      </c>
    </row>
    <row r="333" spans="42:43" x14ac:dyDescent="0.3">
      <c r="AP333" s="153" t="s">
        <v>2039</v>
      </c>
      <c r="AQ333" s="153" t="s">
        <v>2802</v>
      </c>
    </row>
    <row r="334" spans="42:43" x14ac:dyDescent="0.3">
      <c r="AP334" s="153" t="s">
        <v>2039</v>
      </c>
      <c r="AQ334" s="153" t="s">
        <v>2802</v>
      </c>
    </row>
    <row r="335" spans="42:43" x14ac:dyDescent="0.3">
      <c r="AP335" s="153" t="s">
        <v>2037</v>
      </c>
      <c r="AQ335" s="153" t="s">
        <v>2802</v>
      </c>
    </row>
    <row r="336" spans="42:43" x14ac:dyDescent="0.3">
      <c r="AP336" s="153" t="s">
        <v>2041</v>
      </c>
      <c r="AQ336" s="153" t="s">
        <v>2802</v>
      </c>
    </row>
    <row r="337" spans="42:43" x14ac:dyDescent="0.3">
      <c r="AP337" s="153" t="s">
        <v>2039</v>
      </c>
      <c r="AQ337" s="153" t="s">
        <v>2802</v>
      </c>
    </row>
    <row r="338" spans="42:43" x14ac:dyDescent="0.3">
      <c r="AP338" s="153" t="s">
        <v>2061</v>
      </c>
      <c r="AQ338" s="153" t="s">
        <v>2802</v>
      </c>
    </row>
    <row r="339" spans="42:43" x14ac:dyDescent="0.3">
      <c r="AP339" s="153" t="s">
        <v>2061</v>
      </c>
      <c r="AQ339" s="153" t="s">
        <v>2802</v>
      </c>
    </row>
    <row r="340" spans="42:43" x14ac:dyDescent="0.3">
      <c r="AP340" s="153" t="s">
        <v>2061</v>
      </c>
      <c r="AQ340" s="153" t="s">
        <v>2802</v>
      </c>
    </row>
    <row r="341" spans="42:43" x14ac:dyDescent="0.3">
      <c r="AP341" s="153" t="s">
        <v>2028</v>
      </c>
      <c r="AQ341" s="153" t="s">
        <v>2023</v>
      </c>
    </row>
    <row r="342" spans="42:43" x14ac:dyDescent="0.3">
      <c r="AP342" s="153" t="s">
        <v>2037</v>
      </c>
      <c r="AQ342" s="153" t="s">
        <v>2802</v>
      </c>
    </row>
    <row r="343" spans="42:43" x14ac:dyDescent="0.3">
      <c r="AP343" s="153" t="s">
        <v>2061</v>
      </c>
      <c r="AQ343" s="153" t="s">
        <v>2802</v>
      </c>
    </row>
    <row r="344" spans="42:43" x14ac:dyDescent="0.3">
      <c r="AP344" s="153" t="s">
        <v>2060</v>
      </c>
      <c r="AQ344" s="153" t="s">
        <v>2023</v>
      </c>
    </row>
    <row r="345" spans="42:43" x14ac:dyDescent="0.3">
      <c r="AP345" s="153" t="s">
        <v>2060</v>
      </c>
      <c r="AQ345" s="153" t="s">
        <v>2023</v>
      </c>
    </row>
    <row r="346" spans="42:43" x14ac:dyDescent="0.3">
      <c r="AP346" s="153" t="s">
        <v>2037</v>
      </c>
      <c r="AQ346" s="153" t="s">
        <v>2802</v>
      </c>
    </row>
    <row r="347" spans="42:43" x14ac:dyDescent="0.3">
      <c r="AP347" s="153" t="s">
        <v>2037</v>
      </c>
      <c r="AQ347" s="153" t="s">
        <v>2802</v>
      </c>
    </row>
    <row r="348" spans="42:43" x14ac:dyDescent="0.3">
      <c r="AP348" s="153" t="s">
        <v>2037</v>
      </c>
      <c r="AQ348" s="153" t="s">
        <v>2802</v>
      </c>
    </row>
    <row r="349" spans="42:43" x14ac:dyDescent="0.3">
      <c r="AP349" s="153" t="s">
        <v>2068</v>
      </c>
      <c r="AQ349" s="153" t="s">
        <v>2024</v>
      </c>
    </row>
    <row r="350" spans="42:43" x14ac:dyDescent="0.3">
      <c r="AP350" s="153" t="s">
        <v>2068</v>
      </c>
      <c r="AQ350" s="153" t="s">
        <v>2024</v>
      </c>
    </row>
    <row r="351" spans="42:43" x14ac:dyDescent="0.3">
      <c r="AP351" s="153" t="s">
        <v>2068</v>
      </c>
      <c r="AQ351" s="153" t="s">
        <v>2024</v>
      </c>
    </row>
    <row r="352" spans="42:43" x14ac:dyDescent="0.3">
      <c r="AP352" s="153" t="s">
        <v>2068</v>
      </c>
      <c r="AQ352" s="153" t="s">
        <v>2024</v>
      </c>
    </row>
    <row r="353" spans="42:43" x14ac:dyDescent="0.3">
      <c r="AP353" s="153" t="s">
        <v>2068</v>
      </c>
      <c r="AQ353" s="153" t="s">
        <v>2024</v>
      </c>
    </row>
    <row r="354" spans="42:43" x14ac:dyDescent="0.3">
      <c r="AP354" s="153" t="s">
        <v>2068</v>
      </c>
      <c r="AQ354" s="153" t="s">
        <v>2024</v>
      </c>
    </row>
    <row r="355" spans="42:43" x14ac:dyDescent="0.3">
      <c r="AP355" s="153" t="s">
        <v>2068</v>
      </c>
      <c r="AQ355" s="153" t="s">
        <v>2024</v>
      </c>
    </row>
    <row r="356" spans="42:43" x14ac:dyDescent="0.3">
      <c r="AP356" s="153" t="s">
        <v>2068</v>
      </c>
      <c r="AQ356" s="153" t="s">
        <v>2024</v>
      </c>
    </row>
    <row r="357" spans="42:43" x14ac:dyDescent="0.3">
      <c r="AP357" s="153" t="s">
        <v>2068</v>
      </c>
      <c r="AQ357" s="153" t="s">
        <v>2024</v>
      </c>
    </row>
    <row r="358" spans="42:43" x14ac:dyDescent="0.3">
      <c r="AP358" s="153" t="s">
        <v>2068</v>
      </c>
      <c r="AQ358" s="153" t="s">
        <v>2024</v>
      </c>
    </row>
    <row r="359" spans="42:43" x14ac:dyDescent="0.3">
      <c r="AP359" s="153" t="s">
        <v>2037</v>
      </c>
      <c r="AQ359" s="153" t="s">
        <v>2802</v>
      </c>
    </row>
    <row r="360" spans="42:43" x14ac:dyDescent="0.3">
      <c r="AP360" s="153" t="s">
        <v>2061</v>
      </c>
      <c r="AQ360" s="153" t="s">
        <v>2802</v>
      </c>
    </row>
    <row r="361" spans="42:43" x14ac:dyDescent="0.3">
      <c r="AP361" s="153" t="s">
        <v>2062</v>
      </c>
      <c r="AQ361" s="153" t="s">
        <v>2023</v>
      </c>
    </row>
    <row r="362" spans="42:43" x14ac:dyDescent="0.3">
      <c r="AP362" s="153" t="s">
        <v>2062</v>
      </c>
      <c r="AQ362" s="153" t="s">
        <v>2023</v>
      </c>
    </row>
    <row r="363" spans="42:43" x14ac:dyDescent="0.3">
      <c r="AP363" s="153" t="s">
        <v>2945</v>
      </c>
      <c r="AQ363" s="153" t="s">
        <v>2025</v>
      </c>
    </row>
    <row r="364" spans="42:43" x14ac:dyDescent="0.3">
      <c r="AP364" s="153" t="s">
        <v>2037</v>
      </c>
      <c r="AQ364" s="153" t="s">
        <v>2802</v>
      </c>
    </row>
    <row r="365" spans="42:43" x14ac:dyDescent="0.3">
      <c r="AP365" s="153" t="s">
        <v>2037</v>
      </c>
      <c r="AQ365" s="153" t="s">
        <v>2802</v>
      </c>
    </row>
    <row r="366" spans="42:43" x14ac:dyDescent="0.3">
      <c r="AP366" s="153" t="s">
        <v>2037</v>
      </c>
      <c r="AQ366" s="153" t="s">
        <v>2802</v>
      </c>
    </row>
    <row r="367" spans="42:43" x14ac:dyDescent="0.3">
      <c r="AP367" s="153" t="s">
        <v>2037</v>
      </c>
      <c r="AQ367" s="153" t="s">
        <v>2802</v>
      </c>
    </row>
    <row r="368" spans="42:43" x14ac:dyDescent="0.3">
      <c r="AP368" s="153" t="s">
        <v>2039</v>
      </c>
      <c r="AQ368" s="153" t="s">
        <v>2802</v>
      </c>
    </row>
    <row r="369" spans="42:43" x14ac:dyDescent="0.3">
      <c r="AP369" s="153" t="s">
        <v>2037</v>
      </c>
      <c r="AQ369" s="153" t="s">
        <v>2802</v>
      </c>
    </row>
    <row r="370" spans="42:43" x14ac:dyDescent="0.3">
      <c r="AP370" s="153" t="s">
        <v>2037</v>
      </c>
      <c r="AQ370" s="153" t="s">
        <v>2802</v>
      </c>
    </row>
    <row r="371" spans="42:43" x14ac:dyDescent="0.3">
      <c r="AP371" s="153" t="s">
        <v>2060</v>
      </c>
      <c r="AQ371" s="153" t="s">
        <v>2023</v>
      </c>
    </row>
    <row r="372" spans="42:43" x14ac:dyDescent="0.3">
      <c r="AP372" s="153" t="s">
        <v>2062</v>
      </c>
      <c r="AQ372" s="153" t="s">
        <v>2023</v>
      </c>
    </row>
    <row r="373" spans="42:43" x14ac:dyDescent="0.3">
      <c r="AP373" s="153" t="s">
        <v>2028</v>
      </c>
      <c r="AQ373" s="153" t="s">
        <v>2023</v>
      </c>
    </row>
    <row r="374" spans="42:43" x14ac:dyDescent="0.3">
      <c r="AP374" s="153" t="s">
        <v>2032</v>
      </c>
      <c r="AQ374" s="153" t="s">
        <v>2802</v>
      </c>
    </row>
    <row r="375" spans="42:43" x14ac:dyDescent="0.3">
      <c r="AP375" s="153" t="s">
        <v>2039</v>
      </c>
      <c r="AQ375" s="153" t="s">
        <v>2802</v>
      </c>
    </row>
    <row r="376" spans="42:43" x14ac:dyDescent="0.3">
      <c r="AP376" s="153" t="s">
        <v>2028</v>
      </c>
      <c r="AQ376" s="153" t="s">
        <v>2023</v>
      </c>
    </row>
    <row r="377" spans="42:43" x14ac:dyDescent="0.3">
      <c r="AP377" s="153" t="s">
        <v>2037</v>
      </c>
      <c r="AQ377" s="153" t="s">
        <v>2802</v>
      </c>
    </row>
    <row r="378" spans="42:43" x14ac:dyDescent="0.3">
      <c r="AP378" s="153" t="s">
        <v>2032</v>
      </c>
      <c r="AQ378" s="153" t="s">
        <v>2802</v>
      </c>
    </row>
    <row r="379" spans="42:43" x14ac:dyDescent="0.3">
      <c r="AP379" s="153" t="s">
        <v>2032</v>
      </c>
      <c r="AQ379" s="153" t="s">
        <v>2802</v>
      </c>
    </row>
    <row r="380" spans="42:43" x14ac:dyDescent="0.3">
      <c r="AP380" s="153" t="s">
        <v>2041</v>
      </c>
      <c r="AQ380" s="153" t="s">
        <v>2802</v>
      </c>
    </row>
    <row r="381" spans="42:43" x14ac:dyDescent="0.3">
      <c r="AP381" s="153" t="s">
        <v>2068</v>
      </c>
      <c r="AQ381" s="153" t="s">
        <v>2024</v>
      </c>
    </row>
    <row r="382" spans="42:43" x14ac:dyDescent="0.3">
      <c r="AP382" s="153" t="s">
        <v>2068</v>
      </c>
      <c r="AQ382" s="153" t="s">
        <v>2024</v>
      </c>
    </row>
    <row r="383" spans="42:43" x14ac:dyDescent="0.3">
      <c r="AP383" s="153" t="s">
        <v>2068</v>
      </c>
      <c r="AQ383" s="153" t="s">
        <v>2024</v>
      </c>
    </row>
    <row r="384" spans="42:43" x14ac:dyDescent="0.3">
      <c r="AP384" s="153" t="s">
        <v>2068</v>
      </c>
      <c r="AQ384" s="153" t="s">
        <v>2024</v>
      </c>
    </row>
    <row r="385" spans="42:43" x14ac:dyDescent="0.3">
      <c r="AP385" s="153" t="s">
        <v>2068</v>
      </c>
      <c r="AQ385" s="153" t="s">
        <v>2024</v>
      </c>
    </row>
    <row r="386" spans="42:43" x14ac:dyDescent="0.3">
      <c r="AP386" s="153" t="s">
        <v>2068</v>
      </c>
      <c r="AQ386" s="153" t="s">
        <v>2024</v>
      </c>
    </row>
    <row r="387" spans="42:43" x14ac:dyDescent="0.3">
      <c r="AP387" s="153" t="s">
        <v>2068</v>
      </c>
      <c r="AQ387" s="153" t="s">
        <v>2024</v>
      </c>
    </row>
    <row r="388" spans="42:43" x14ac:dyDescent="0.3">
      <c r="AP388" s="153" t="s">
        <v>2068</v>
      </c>
      <c r="AQ388" s="153" t="s">
        <v>2024</v>
      </c>
    </row>
    <row r="389" spans="42:43" x14ac:dyDescent="0.3">
      <c r="AP389" s="153" t="s">
        <v>2068</v>
      </c>
      <c r="AQ389" s="153" t="s">
        <v>2024</v>
      </c>
    </row>
    <row r="390" spans="42:43" x14ac:dyDescent="0.3">
      <c r="AP390" s="153" t="s">
        <v>2068</v>
      </c>
      <c r="AQ390" s="153" t="s">
        <v>2024</v>
      </c>
    </row>
    <row r="391" spans="42:43" x14ac:dyDescent="0.3">
      <c r="AP391" s="153" t="s">
        <v>2028</v>
      </c>
      <c r="AQ391" s="153" t="s">
        <v>2023</v>
      </c>
    </row>
    <row r="392" spans="42:43" x14ac:dyDescent="0.3">
      <c r="AP392" s="153" t="s">
        <v>2041</v>
      </c>
      <c r="AQ392" s="153" t="s">
        <v>2802</v>
      </c>
    </row>
    <row r="393" spans="42:43" x14ac:dyDescent="0.3">
      <c r="AP393" s="153" t="s">
        <v>2061</v>
      </c>
      <c r="AQ393" s="153" t="s">
        <v>2802</v>
      </c>
    </row>
    <row r="394" spans="42:43" x14ac:dyDescent="0.3">
      <c r="AP394" s="153" t="s">
        <v>2028</v>
      </c>
      <c r="AQ394" s="153" t="s">
        <v>2023</v>
      </c>
    </row>
    <row r="395" spans="42:43" x14ac:dyDescent="0.3">
      <c r="AP395" s="153" t="s">
        <v>2945</v>
      </c>
      <c r="AQ395" s="153" t="s">
        <v>2025</v>
      </c>
    </row>
    <row r="396" spans="42:43" x14ac:dyDescent="0.3">
      <c r="AP396" s="153" t="s">
        <v>2037</v>
      </c>
      <c r="AQ396" s="153" t="s">
        <v>2802</v>
      </c>
    </row>
    <row r="397" spans="42:43" x14ac:dyDescent="0.3">
      <c r="AP397" s="153" t="s">
        <v>2037</v>
      </c>
      <c r="AQ397" s="153" t="s">
        <v>2802</v>
      </c>
    </row>
    <row r="398" spans="42:43" x14ac:dyDescent="0.3">
      <c r="AP398" s="153" t="s">
        <v>2059</v>
      </c>
      <c r="AQ398" s="153" t="s">
        <v>2024</v>
      </c>
    </row>
    <row r="399" spans="42:43" x14ac:dyDescent="0.3">
      <c r="AP399" s="153" t="s">
        <v>2058</v>
      </c>
      <c r="AQ399" s="153" t="s">
        <v>2802</v>
      </c>
    </row>
    <row r="400" spans="42:43" x14ac:dyDescent="0.3">
      <c r="AP400" s="153" t="s">
        <v>2062</v>
      </c>
      <c r="AQ400" s="153" t="s">
        <v>2023</v>
      </c>
    </row>
    <row r="401" spans="42:43" x14ac:dyDescent="0.3">
      <c r="AP401" s="153" t="s">
        <v>2040</v>
      </c>
      <c r="AQ401" s="153" t="s">
        <v>2802</v>
      </c>
    </row>
    <row r="402" spans="42:43" x14ac:dyDescent="0.3">
      <c r="AP402" s="153" t="s">
        <v>2037</v>
      </c>
      <c r="AQ402" s="153" t="s">
        <v>2802</v>
      </c>
    </row>
    <row r="403" spans="42:43" x14ac:dyDescent="0.3">
      <c r="AP403" s="153" t="s">
        <v>2037</v>
      </c>
      <c r="AQ403" s="153" t="s">
        <v>2802</v>
      </c>
    </row>
    <row r="404" spans="42:43" x14ac:dyDescent="0.3">
      <c r="AP404" s="153" t="s">
        <v>2037</v>
      </c>
      <c r="AQ404" s="153" t="s">
        <v>2802</v>
      </c>
    </row>
    <row r="405" spans="42:43" x14ac:dyDescent="0.3">
      <c r="AP405" s="153" t="s">
        <v>2061</v>
      </c>
      <c r="AQ405" s="153" t="s">
        <v>2802</v>
      </c>
    </row>
    <row r="406" spans="42:43" x14ac:dyDescent="0.3">
      <c r="AP406" s="153" t="s">
        <v>2063</v>
      </c>
      <c r="AQ406" s="153" t="s">
        <v>2802</v>
      </c>
    </row>
    <row r="407" spans="42:43" x14ac:dyDescent="0.3">
      <c r="AP407" s="153" t="s">
        <v>2062</v>
      </c>
      <c r="AQ407" s="153" t="s">
        <v>2023</v>
      </c>
    </row>
    <row r="408" spans="42:43" x14ac:dyDescent="0.3">
      <c r="AP408" s="153" t="s">
        <v>2037</v>
      </c>
      <c r="AQ408" s="153" t="s">
        <v>2802</v>
      </c>
    </row>
    <row r="409" spans="42:43" x14ac:dyDescent="0.3">
      <c r="AP409" s="153" t="s">
        <v>2054</v>
      </c>
      <c r="AQ409" s="153" t="s">
        <v>2802</v>
      </c>
    </row>
    <row r="410" spans="42:43" x14ac:dyDescent="0.3">
      <c r="AP410" s="153" t="s">
        <v>2040</v>
      </c>
      <c r="AQ410" s="153" t="s">
        <v>2802</v>
      </c>
    </row>
    <row r="411" spans="42:43" x14ac:dyDescent="0.3">
      <c r="AP411" s="153" t="s">
        <v>2037</v>
      </c>
      <c r="AQ411" s="153" t="s">
        <v>2802</v>
      </c>
    </row>
    <row r="412" spans="42:43" x14ac:dyDescent="0.3">
      <c r="AP412" s="153" t="s">
        <v>2037</v>
      </c>
      <c r="AQ412" s="153" t="s">
        <v>2802</v>
      </c>
    </row>
    <row r="413" spans="42:43" x14ac:dyDescent="0.3">
      <c r="AP413" s="153" t="s">
        <v>2037</v>
      </c>
      <c r="AQ413" s="153" t="s">
        <v>2802</v>
      </c>
    </row>
    <row r="414" spans="42:43" x14ac:dyDescent="0.3">
      <c r="AP414" s="153" t="s">
        <v>2037</v>
      </c>
      <c r="AQ414" s="153" t="s">
        <v>2802</v>
      </c>
    </row>
    <row r="415" spans="42:43" x14ac:dyDescent="0.3">
      <c r="AP415" s="153" t="s">
        <v>2041</v>
      </c>
      <c r="AQ415" s="153" t="s">
        <v>2802</v>
      </c>
    </row>
    <row r="416" spans="42:43" x14ac:dyDescent="0.3">
      <c r="AP416" s="153" t="s">
        <v>2039</v>
      </c>
      <c r="AQ416" s="153" t="s">
        <v>2802</v>
      </c>
    </row>
    <row r="417" spans="42:43" x14ac:dyDescent="0.3">
      <c r="AP417" s="153" t="s">
        <v>2037</v>
      </c>
      <c r="AQ417" s="153" t="s">
        <v>2802</v>
      </c>
    </row>
    <row r="418" spans="42:43" x14ac:dyDescent="0.3">
      <c r="AP418" s="153" t="s">
        <v>2037</v>
      </c>
      <c r="AQ418" s="153" t="s">
        <v>2802</v>
      </c>
    </row>
    <row r="419" spans="42:43" x14ac:dyDescent="0.3">
      <c r="AP419" s="153" t="s">
        <v>2037</v>
      </c>
      <c r="AQ419" s="153" t="s">
        <v>2802</v>
      </c>
    </row>
    <row r="420" spans="42:43" x14ac:dyDescent="0.3">
      <c r="AP420" s="153" t="s">
        <v>2028</v>
      </c>
      <c r="AQ420" s="153" t="s">
        <v>2023</v>
      </c>
    </row>
    <row r="421" spans="42:43" x14ac:dyDescent="0.3">
      <c r="AP421" s="153" t="s">
        <v>2058</v>
      </c>
      <c r="AQ421" s="153" t="s">
        <v>2802</v>
      </c>
    </row>
    <row r="422" spans="42:43" x14ac:dyDescent="0.3">
      <c r="AP422" s="153" t="s">
        <v>2032</v>
      </c>
      <c r="AQ422" s="153" t="s">
        <v>2802</v>
      </c>
    </row>
    <row r="423" spans="42:43" x14ac:dyDescent="0.3">
      <c r="AP423" s="153" t="s">
        <v>2039</v>
      </c>
      <c r="AQ423" s="153" t="s">
        <v>2802</v>
      </c>
    </row>
    <row r="424" spans="42:43" x14ac:dyDescent="0.3">
      <c r="AP424" s="153" t="s">
        <v>2037</v>
      </c>
      <c r="AQ424" s="153" t="s">
        <v>2802</v>
      </c>
    </row>
    <row r="425" spans="42:43" x14ac:dyDescent="0.3">
      <c r="AP425" s="153" t="s">
        <v>2059</v>
      </c>
      <c r="AQ425" s="153" t="s">
        <v>2024</v>
      </c>
    </row>
    <row r="426" spans="42:43" x14ac:dyDescent="0.3">
      <c r="AP426" s="153" t="s">
        <v>2039</v>
      </c>
      <c r="AQ426" s="153" t="s">
        <v>2802</v>
      </c>
    </row>
    <row r="427" spans="42:43" x14ac:dyDescent="0.3">
      <c r="AP427" s="153" t="s">
        <v>2039</v>
      </c>
      <c r="AQ427" s="153" t="s">
        <v>2802</v>
      </c>
    </row>
    <row r="428" spans="42:43" x14ac:dyDescent="0.3">
      <c r="AP428" s="153" t="s">
        <v>2045</v>
      </c>
      <c r="AQ428" s="153" t="s">
        <v>2802</v>
      </c>
    </row>
    <row r="429" spans="42:43" x14ac:dyDescent="0.3">
      <c r="AP429" s="153" t="s">
        <v>2045</v>
      </c>
      <c r="AQ429" s="153" t="s">
        <v>2802</v>
      </c>
    </row>
    <row r="430" spans="42:43" x14ac:dyDescent="0.3">
      <c r="AP430" s="153" t="s">
        <v>2058</v>
      </c>
      <c r="AQ430" s="153" t="s">
        <v>2802</v>
      </c>
    </row>
    <row r="431" spans="42:43" x14ac:dyDescent="0.3">
      <c r="AP431" s="153" t="s">
        <v>2037</v>
      </c>
      <c r="AQ431" s="153" t="s">
        <v>2802</v>
      </c>
    </row>
    <row r="432" spans="42:43" x14ac:dyDescent="0.3">
      <c r="AP432" s="153" t="s">
        <v>2037</v>
      </c>
      <c r="AQ432" s="153" t="s">
        <v>2802</v>
      </c>
    </row>
    <row r="433" spans="42:43" x14ac:dyDescent="0.3">
      <c r="AP433" s="153" t="s">
        <v>2058</v>
      </c>
      <c r="AQ433" s="153" t="s">
        <v>2802</v>
      </c>
    </row>
    <row r="434" spans="42:43" x14ac:dyDescent="0.3">
      <c r="AP434" s="153" t="s">
        <v>2059</v>
      </c>
      <c r="AQ434" s="153" t="s">
        <v>2024</v>
      </c>
    </row>
    <row r="435" spans="42:43" x14ac:dyDescent="0.3">
      <c r="AP435" s="153" t="s">
        <v>2058</v>
      </c>
      <c r="AQ435" s="153" t="s">
        <v>2802</v>
      </c>
    </row>
    <row r="436" spans="42:43" x14ac:dyDescent="0.3">
      <c r="AP436" s="153" t="s">
        <v>2028</v>
      </c>
      <c r="AQ436" s="153" t="s">
        <v>2023</v>
      </c>
    </row>
    <row r="437" spans="42:43" x14ac:dyDescent="0.3">
      <c r="AP437" s="153" t="s">
        <v>2058</v>
      </c>
      <c r="AQ437" s="153" t="s">
        <v>2802</v>
      </c>
    </row>
    <row r="438" spans="42:43" x14ac:dyDescent="0.3">
      <c r="AP438" s="153" t="s">
        <v>2058</v>
      </c>
      <c r="AQ438" s="153" t="s">
        <v>2802</v>
      </c>
    </row>
    <row r="439" spans="42:43" x14ac:dyDescent="0.3">
      <c r="AP439" s="153" t="s">
        <v>2058</v>
      </c>
      <c r="AQ439" s="153" t="s">
        <v>2802</v>
      </c>
    </row>
    <row r="440" spans="42:43" x14ac:dyDescent="0.3">
      <c r="AP440" s="153" t="s">
        <v>2062</v>
      </c>
      <c r="AQ440" s="153" t="s">
        <v>2023</v>
      </c>
    </row>
    <row r="441" spans="42:43" x14ac:dyDescent="0.3">
      <c r="AP441" s="153" t="s">
        <v>2060</v>
      </c>
      <c r="AQ441" s="153" t="s">
        <v>2023</v>
      </c>
    </row>
    <row r="442" spans="42:43" x14ac:dyDescent="0.3">
      <c r="AP442" s="153" t="s">
        <v>2028</v>
      </c>
      <c r="AQ442" s="153" t="s">
        <v>2023</v>
      </c>
    </row>
    <row r="443" spans="42:43" x14ac:dyDescent="0.3">
      <c r="AP443" s="153" t="s">
        <v>2068</v>
      </c>
      <c r="AQ443" s="153" t="s">
        <v>2024</v>
      </c>
    </row>
    <row r="444" spans="42:43" x14ac:dyDescent="0.3">
      <c r="AP444" s="153" t="s">
        <v>2068</v>
      </c>
      <c r="AQ444" s="153" t="s">
        <v>2024</v>
      </c>
    </row>
    <row r="445" spans="42:43" x14ac:dyDescent="0.3">
      <c r="AP445" s="153" t="s">
        <v>2068</v>
      </c>
      <c r="AQ445" s="153" t="s">
        <v>2024</v>
      </c>
    </row>
    <row r="446" spans="42:43" x14ac:dyDescent="0.3">
      <c r="AP446" s="153" t="s">
        <v>2068</v>
      </c>
      <c r="AQ446" s="153" t="s">
        <v>2024</v>
      </c>
    </row>
    <row r="447" spans="42:43" x14ac:dyDescent="0.3">
      <c r="AP447" s="153" t="s">
        <v>2068</v>
      </c>
      <c r="AQ447" s="153" t="s">
        <v>2024</v>
      </c>
    </row>
    <row r="448" spans="42:43" x14ac:dyDescent="0.3">
      <c r="AP448" s="153" t="s">
        <v>2068</v>
      </c>
      <c r="AQ448" s="153" t="s">
        <v>2024</v>
      </c>
    </row>
    <row r="449" spans="42:43" x14ac:dyDescent="0.3">
      <c r="AP449" s="153" t="s">
        <v>2068</v>
      </c>
      <c r="AQ449" s="153" t="s">
        <v>2024</v>
      </c>
    </row>
    <row r="450" spans="42:43" x14ac:dyDescent="0.3">
      <c r="AP450" s="153" t="s">
        <v>2068</v>
      </c>
      <c r="AQ450" s="153" t="s">
        <v>2024</v>
      </c>
    </row>
    <row r="451" spans="42:43" x14ac:dyDescent="0.3">
      <c r="AP451" s="153" t="s">
        <v>2068</v>
      </c>
      <c r="AQ451" s="153" t="s">
        <v>2024</v>
      </c>
    </row>
    <row r="452" spans="42:43" x14ac:dyDescent="0.3">
      <c r="AP452" s="153" t="s">
        <v>2068</v>
      </c>
      <c r="AQ452" s="153" t="s">
        <v>2024</v>
      </c>
    </row>
    <row r="453" spans="42:43" x14ac:dyDescent="0.3">
      <c r="AP453" s="153" t="s">
        <v>2062</v>
      </c>
      <c r="AQ453" s="153" t="s">
        <v>2023</v>
      </c>
    </row>
    <row r="454" spans="42:43" x14ac:dyDescent="0.3">
      <c r="AP454" s="153" t="s">
        <v>2060</v>
      </c>
      <c r="AQ454" s="153" t="s">
        <v>2023</v>
      </c>
    </row>
    <row r="455" spans="42:43" x14ac:dyDescent="0.3">
      <c r="AP455" s="153" t="s">
        <v>2028</v>
      </c>
      <c r="AQ455" s="153" t="s">
        <v>2023</v>
      </c>
    </row>
    <row r="456" spans="42:43" x14ac:dyDescent="0.3">
      <c r="AP456" s="153" t="s">
        <v>2037</v>
      </c>
      <c r="AQ456" s="153" t="s">
        <v>2802</v>
      </c>
    </row>
    <row r="457" spans="42:43" x14ac:dyDescent="0.3">
      <c r="AP457" s="153" t="s">
        <v>2041</v>
      </c>
      <c r="AQ457" s="153" t="s">
        <v>2802</v>
      </c>
    </row>
    <row r="458" spans="42:43" x14ac:dyDescent="0.3">
      <c r="AP458" s="153" t="s">
        <v>2041</v>
      </c>
      <c r="AQ458" s="153" t="s">
        <v>2802</v>
      </c>
    </row>
    <row r="459" spans="42:43" x14ac:dyDescent="0.3">
      <c r="AP459" s="153" t="s">
        <v>2041</v>
      </c>
      <c r="AQ459" s="153" t="s">
        <v>2802</v>
      </c>
    </row>
    <row r="460" spans="42:43" x14ac:dyDescent="0.3">
      <c r="AP460" s="153" t="s">
        <v>2041</v>
      </c>
      <c r="AQ460" s="153" t="s">
        <v>2802</v>
      </c>
    </row>
    <row r="461" spans="42:43" x14ac:dyDescent="0.3">
      <c r="AP461" s="153" t="s">
        <v>2028</v>
      </c>
      <c r="AQ461" s="153" t="s">
        <v>2023</v>
      </c>
    </row>
    <row r="462" spans="42:43" x14ac:dyDescent="0.3">
      <c r="AP462" s="153" t="s">
        <v>2037</v>
      </c>
      <c r="AQ462" s="153" t="s">
        <v>2802</v>
      </c>
    </row>
    <row r="463" spans="42:43" x14ac:dyDescent="0.3">
      <c r="AP463" s="153" t="s">
        <v>2028</v>
      </c>
      <c r="AQ463" s="153" t="s">
        <v>2023</v>
      </c>
    </row>
    <row r="464" spans="42:43" x14ac:dyDescent="0.3">
      <c r="AP464" s="153" t="s">
        <v>2041</v>
      </c>
      <c r="AQ464" s="153" t="s">
        <v>2802</v>
      </c>
    </row>
    <row r="465" spans="42:43" x14ac:dyDescent="0.3">
      <c r="AP465" s="153" t="s">
        <v>2063</v>
      </c>
      <c r="AQ465" s="153" t="s">
        <v>2802</v>
      </c>
    </row>
    <row r="466" spans="42:43" x14ac:dyDescent="0.3">
      <c r="AP466" s="153" t="s">
        <v>2063</v>
      </c>
      <c r="AQ466" s="153" t="s">
        <v>2802</v>
      </c>
    </row>
    <row r="467" spans="42:43" x14ac:dyDescent="0.3">
      <c r="AP467" s="153" t="s">
        <v>2062</v>
      </c>
      <c r="AQ467" s="153" t="s">
        <v>2023</v>
      </c>
    </row>
    <row r="468" spans="42:43" x14ac:dyDescent="0.3">
      <c r="AP468" s="153" t="s">
        <v>2028</v>
      </c>
      <c r="AQ468" s="153" t="s">
        <v>2023</v>
      </c>
    </row>
    <row r="469" spans="42:43" x14ac:dyDescent="0.3">
      <c r="AP469" s="153" t="s">
        <v>2047</v>
      </c>
      <c r="AQ469" s="153" t="s">
        <v>2802</v>
      </c>
    </row>
    <row r="470" spans="42:43" x14ac:dyDescent="0.3">
      <c r="AP470" s="153" t="s">
        <v>2058</v>
      </c>
      <c r="AQ470" s="153" t="s">
        <v>2802</v>
      </c>
    </row>
    <row r="471" spans="42:43" x14ac:dyDescent="0.3">
      <c r="AP471" s="153" t="s">
        <v>2037</v>
      </c>
      <c r="AQ471" s="153" t="s">
        <v>2802</v>
      </c>
    </row>
    <row r="472" spans="42:43" x14ac:dyDescent="0.3">
      <c r="AP472" s="153" t="s">
        <v>2032</v>
      </c>
      <c r="AQ472" s="153" t="s">
        <v>2802</v>
      </c>
    </row>
    <row r="473" spans="42:43" x14ac:dyDescent="0.3">
      <c r="AP473" s="153" t="s">
        <v>2032</v>
      </c>
      <c r="AQ473" s="153" t="s">
        <v>2802</v>
      </c>
    </row>
    <row r="474" spans="42:43" x14ac:dyDescent="0.3">
      <c r="AP474" s="153" t="s">
        <v>2041</v>
      </c>
      <c r="AQ474" s="153" t="s">
        <v>2802</v>
      </c>
    </row>
    <row r="475" spans="42:43" x14ac:dyDescent="0.3">
      <c r="AP475" s="153" t="s">
        <v>2037</v>
      </c>
      <c r="AQ475" s="153" t="s">
        <v>2802</v>
      </c>
    </row>
    <row r="476" spans="42:43" x14ac:dyDescent="0.3">
      <c r="AP476" s="153" t="s">
        <v>2068</v>
      </c>
      <c r="AQ476" s="153" t="s">
        <v>2024</v>
      </c>
    </row>
    <row r="477" spans="42:43" x14ac:dyDescent="0.3">
      <c r="AP477" s="153" t="s">
        <v>2068</v>
      </c>
      <c r="AQ477" s="153" t="s">
        <v>2024</v>
      </c>
    </row>
    <row r="478" spans="42:43" x14ac:dyDescent="0.3">
      <c r="AP478" s="153" t="s">
        <v>2068</v>
      </c>
      <c r="AQ478" s="153" t="s">
        <v>2024</v>
      </c>
    </row>
    <row r="479" spans="42:43" x14ac:dyDescent="0.3">
      <c r="AP479" s="153" t="s">
        <v>2068</v>
      </c>
      <c r="AQ479" s="153" t="s">
        <v>2024</v>
      </c>
    </row>
    <row r="480" spans="42:43" x14ac:dyDescent="0.3">
      <c r="AP480" s="153" t="s">
        <v>2068</v>
      </c>
      <c r="AQ480" s="153" t="s">
        <v>2024</v>
      </c>
    </row>
    <row r="481" spans="42:43" x14ac:dyDescent="0.3">
      <c r="AP481" s="153" t="s">
        <v>2068</v>
      </c>
      <c r="AQ481" s="153" t="s">
        <v>2024</v>
      </c>
    </row>
    <row r="482" spans="42:43" x14ac:dyDescent="0.3">
      <c r="AP482" s="153" t="s">
        <v>2068</v>
      </c>
      <c r="AQ482" s="153" t="s">
        <v>2024</v>
      </c>
    </row>
    <row r="483" spans="42:43" x14ac:dyDescent="0.3">
      <c r="AP483" s="153" t="s">
        <v>2068</v>
      </c>
      <c r="AQ483" s="153" t="s">
        <v>2024</v>
      </c>
    </row>
    <row r="484" spans="42:43" x14ac:dyDescent="0.3">
      <c r="AP484" s="153" t="s">
        <v>2068</v>
      </c>
      <c r="AQ484" s="153" t="s">
        <v>2024</v>
      </c>
    </row>
    <row r="485" spans="42:43" x14ac:dyDescent="0.3">
      <c r="AP485" s="153" t="s">
        <v>2068</v>
      </c>
      <c r="AQ485" s="153" t="s">
        <v>2024</v>
      </c>
    </row>
    <row r="486" spans="42:43" x14ac:dyDescent="0.3">
      <c r="AP486" s="153" t="s">
        <v>2068</v>
      </c>
      <c r="AQ486" s="153" t="s">
        <v>2024</v>
      </c>
    </row>
    <row r="487" spans="42:43" x14ac:dyDescent="0.3">
      <c r="AP487" s="153" t="s">
        <v>2068</v>
      </c>
      <c r="AQ487" s="153" t="s">
        <v>2024</v>
      </c>
    </row>
    <row r="488" spans="42:43" x14ac:dyDescent="0.3">
      <c r="AP488" s="153" t="s">
        <v>2060</v>
      </c>
      <c r="AQ488" s="153" t="s">
        <v>2023</v>
      </c>
    </row>
    <row r="489" spans="42:43" x14ac:dyDescent="0.3">
      <c r="AP489" s="153" t="s">
        <v>2055</v>
      </c>
      <c r="AQ489" s="153" t="s">
        <v>2802</v>
      </c>
    </row>
    <row r="490" spans="42:43" x14ac:dyDescent="0.3">
      <c r="AP490" s="153" t="s">
        <v>2037</v>
      </c>
      <c r="AQ490" s="153" t="s">
        <v>2802</v>
      </c>
    </row>
    <row r="491" spans="42:43" x14ac:dyDescent="0.3">
      <c r="AP491" s="153" t="s">
        <v>2037</v>
      </c>
      <c r="AQ491" s="153" t="s">
        <v>2802</v>
      </c>
    </row>
    <row r="492" spans="42:43" x14ac:dyDescent="0.3">
      <c r="AP492" s="153" t="s">
        <v>2037</v>
      </c>
      <c r="AQ492" s="153" t="s">
        <v>2802</v>
      </c>
    </row>
    <row r="493" spans="42:43" x14ac:dyDescent="0.3">
      <c r="AP493" s="153" t="s">
        <v>2037</v>
      </c>
      <c r="AQ493" s="153" t="s">
        <v>2802</v>
      </c>
    </row>
    <row r="494" spans="42:43" x14ac:dyDescent="0.3">
      <c r="AP494" s="153" t="s">
        <v>2037</v>
      </c>
      <c r="AQ494" s="153" t="s">
        <v>2802</v>
      </c>
    </row>
    <row r="495" spans="42:43" x14ac:dyDescent="0.3">
      <c r="AP495" s="153" t="s">
        <v>2037</v>
      </c>
      <c r="AQ495" s="153" t="s">
        <v>2802</v>
      </c>
    </row>
    <row r="496" spans="42:43" x14ac:dyDescent="0.3">
      <c r="AP496" s="153" t="s">
        <v>2037</v>
      </c>
      <c r="AQ496" s="153" t="s">
        <v>2802</v>
      </c>
    </row>
    <row r="497" spans="42:43" x14ac:dyDescent="0.3">
      <c r="AP497" s="153" t="s">
        <v>2037</v>
      </c>
      <c r="AQ497" s="153" t="s">
        <v>2802</v>
      </c>
    </row>
    <row r="498" spans="42:43" x14ac:dyDescent="0.3">
      <c r="AP498" s="153" t="s">
        <v>2041</v>
      </c>
      <c r="AQ498" s="153" t="s">
        <v>2802</v>
      </c>
    </row>
    <row r="499" spans="42:43" x14ac:dyDescent="0.3">
      <c r="AP499" s="153" t="s">
        <v>2041</v>
      </c>
      <c r="AQ499" s="153" t="s">
        <v>2802</v>
      </c>
    </row>
    <row r="500" spans="42:43" x14ac:dyDescent="0.3">
      <c r="AP500" s="153" t="s">
        <v>2058</v>
      </c>
      <c r="AQ500" s="153" t="s">
        <v>2802</v>
      </c>
    </row>
    <row r="501" spans="42:43" x14ac:dyDescent="0.3">
      <c r="AP501" s="153" t="s">
        <v>2058</v>
      </c>
      <c r="AQ501" s="153" t="s">
        <v>2802</v>
      </c>
    </row>
    <row r="502" spans="42:43" x14ac:dyDescent="0.3">
      <c r="AP502" s="153" t="s">
        <v>2037</v>
      </c>
      <c r="AQ502" s="153" t="s">
        <v>2802</v>
      </c>
    </row>
    <row r="503" spans="42:43" x14ac:dyDescent="0.3">
      <c r="AP503" s="153" t="s">
        <v>2039</v>
      </c>
      <c r="AQ503" s="153" t="s">
        <v>2802</v>
      </c>
    </row>
    <row r="504" spans="42:43" x14ac:dyDescent="0.3">
      <c r="AP504" s="153" t="s">
        <v>2054</v>
      </c>
      <c r="AQ504" s="153" t="s">
        <v>2802</v>
      </c>
    </row>
    <row r="505" spans="42:43" x14ac:dyDescent="0.3">
      <c r="AP505" s="153" t="s">
        <v>2037</v>
      </c>
      <c r="AQ505" s="153" t="s">
        <v>2802</v>
      </c>
    </row>
    <row r="506" spans="42:43" x14ac:dyDescent="0.3">
      <c r="AP506" s="153" t="s">
        <v>2041</v>
      </c>
      <c r="AQ506" s="153" t="s">
        <v>2802</v>
      </c>
    </row>
    <row r="507" spans="42:43" x14ac:dyDescent="0.3">
      <c r="AP507" s="153" t="s">
        <v>2043</v>
      </c>
      <c r="AQ507" s="153" t="s">
        <v>2802</v>
      </c>
    </row>
    <row r="508" spans="42:43" x14ac:dyDescent="0.3">
      <c r="AP508" s="153" t="s">
        <v>2060</v>
      </c>
      <c r="AQ508" s="153" t="s">
        <v>2023</v>
      </c>
    </row>
    <row r="509" spans="42:43" x14ac:dyDescent="0.3">
      <c r="AP509" s="153" t="s">
        <v>2039</v>
      </c>
      <c r="AQ509" s="153" t="s">
        <v>2802</v>
      </c>
    </row>
    <row r="510" spans="42:43" x14ac:dyDescent="0.3">
      <c r="AP510" s="153" t="s">
        <v>2037</v>
      </c>
      <c r="AQ510" s="153" t="s">
        <v>2802</v>
      </c>
    </row>
    <row r="511" spans="42:43" x14ac:dyDescent="0.3">
      <c r="AP511" s="153" t="s">
        <v>2028</v>
      </c>
      <c r="AQ511" s="153" t="s">
        <v>2023</v>
      </c>
    </row>
    <row r="512" spans="42:43" x14ac:dyDescent="0.3">
      <c r="AP512" s="153" t="s">
        <v>2037</v>
      </c>
      <c r="AQ512" s="153" t="s">
        <v>2802</v>
      </c>
    </row>
    <row r="513" spans="42:43" x14ac:dyDescent="0.3">
      <c r="AP513" s="153" t="s">
        <v>2032</v>
      </c>
      <c r="AQ513" s="153" t="s">
        <v>2802</v>
      </c>
    </row>
    <row r="514" spans="42:43" x14ac:dyDescent="0.3">
      <c r="AP514" s="153" t="s">
        <v>2032</v>
      </c>
      <c r="AQ514" s="153" t="s">
        <v>2802</v>
      </c>
    </row>
    <row r="515" spans="42:43" x14ac:dyDescent="0.3">
      <c r="AP515" s="153" t="s">
        <v>2032</v>
      </c>
      <c r="AQ515" s="153" t="s">
        <v>2802</v>
      </c>
    </row>
    <row r="516" spans="42:43" x14ac:dyDescent="0.3">
      <c r="AP516" s="153" t="s">
        <v>2032</v>
      </c>
      <c r="AQ516" s="153" t="s">
        <v>2802</v>
      </c>
    </row>
    <row r="517" spans="42:43" x14ac:dyDescent="0.3">
      <c r="AP517" s="153" t="s">
        <v>2032</v>
      </c>
      <c r="AQ517" s="153" t="s">
        <v>2802</v>
      </c>
    </row>
    <row r="518" spans="42:43" x14ac:dyDescent="0.3">
      <c r="AP518" s="153" t="s">
        <v>2032</v>
      </c>
      <c r="AQ518" s="153" t="s">
        <v>2802</v>
      </c>
    </row>
    <row r="519" spans="42:43" x14ac:dyDescent="0.3">
      <c r="AP519" s="153" t="s">
        <v>2032</v>
      </c>
      <c r="AQ519" s="153" t="s">
        <v>2802</v>
      </c>
    </row>
    <row r="520" spans="42:43" x14ac:dyDescent="0.3">
      <c r="AP520" s="153" t="s">
        <v>2032</v>
      </c>
      <c r="AQ520" s="153" t="s">
        <v>2802</v>
      </c>
    </row>
    <row r="521" spans="42:43" x14ac:dyDescent="0.3">
      <c r="AP521" s="153" t="s">
        <v>2032</v>
      </c>
      <c r="AQ521" s="153" t="s">
        <v>2802</v>
      </c>
    </row>
    <row r="522" spans="42:43" x14ac:dyDescent="0.3">
      <c r="AP522" s="153" t="s">
        <v>2032</v>
      </c>
      <c r="AQ522" s="153" t="s">
        <v>2802</v>
      </c>
    </row>
    <row r="523" spans="42:43" x14ac:dyDescent="0.3">
      <c r="AP523" s="153" t="s">
        <v>2032</v>
      </c>
      <c r="AQ523" s="153" t="s">
        <v>2802</v>
      </c>
    </row>
    <row r="524" spans="42:43" x14ac:dyDescent="0.3">
      <c r="AP524" s="153" t="s">
        <v>2032</v>
      </c>
      <c r="AQ524" s="153" t="s">
        <v>2802</v>
      </c>
    </row>
    <row r="525" spans="42:43" x14ac:dyDescent="0.3">
      <c r="AP525" s="153" t="s">
        <v>2032</v>
      </c>
      <c r="AQ525" s="153" t="s">
        <v>2802</v>
      </c>
    </row>
    <row r="526" spans="42:43" x14ac:dyDescent="0.3">
      <c r="AP526" s="153" t="s">
        <v>2032</v>
      </c>
      <c r="AQ526" s="153" t="s">
        <v>2802</v>
      </c>
    </row>
    <row r="527" spans="42:43" x14ac:dyDescent="0.3">
      <c r="AP527" s="153" t="s">
        <v>2032</v>
      </c>
      <c r="AQ527" s="153" t="s">
        <v>2802</v>
      </c>
    </row>
    <row r="528" spans="42:43" x14ac:dyDescent="0.3">
      <c r="AP528" s="153" t="s">
        <v>2032</v>
      </c>
      <c r="AQ528" s="153" t="s">
        <v>2802</v>
      </c>
    </row>
    <row r="529" spans="42:43" x14ac:dyDescent="0.3">
      <c r="AP529" s="153" t="s">
        <v>2032</v>
      </c>
      <c r="AQ529" s="153" t="s">
        <v>2802</v>
      </c>
    </row>
    <row r="530" spans="42:43" x14ac:dyDescent="0.3">
      <c r="AP530" s="153" t="s">
        <v>2032</v>
      </c>
      <c r="AQ530" s="153" t="s">
        <v>2802</v>
      </c>
    </row>
    <row r="531" spans="42:43" x14ac:dyDescent="0.3">
      <c r="AP531" s="153" t="s">
        <v>2032</v>
      </c>
      <c r="AQ531" s="153" t="s">
        <v>2802</v>
      </c>
    </row>
    <row r="532" spans="42:43" x14ac:dyDescent="0.3">
      <c r="AP532" s="153" t="s">
        <v>2032</v>
      </c>
      <c r="AQ532" s="153" t="s">
        <v>2802</v>
      </c>
    </row>
    <row r="533" spans="42:43" x14ac:dyDescent="0.3">
      <c r="AP533" s="153" t="s">
        <v>2032</v>
      </c>
      <c r="AQ533" s="153" t="s">
        <v>2802</v>
      </c>
    </row>
    <row r="534" spans="42:43" x14ac:dyDescent="0.3">
      <c r="AP534" s="153" t="s">
        <v>2032</v>
      </c>
      <c r="AQ534" s="153" t="s">
        <v>2802</v>
      </c>
    </row>
    <row r="535" spans="42:43" x14ac:dyDescent="0.3">
      <c r="AP535" s="153" t="s">
        <v>2032</v>
      </c>
      <c r="AQ535" s="153" t="s">
        <v>2802</v>
      </c>
    </row>
    <row r="536" spans="42:43" x14ac:dyDescent="0.3">
      <c r="AP536" s="153" t="s">
        <v>2032</v>
      </c>
      <c r="AQ536" s="153" t="s">
        <v>2802</v>
      </c>
    </row>
    <row r="537" spans="42:43" x14ac:dyDescent="0.3">
      <c r="AP537" s="153" t="s">
        <v>2032</v>
      </c>
      <c r="AQ537" s="153" t="s">
        <v>2802</v>
      </c>
    </row>
    <row r="538" spans="42:43" x14ac:dyDescent="0.3">
      <c r="AP538" s="153" t="s">
        <v>2032</v>
      </c>
      <c r="AQ538" s="153" t="s">
        <v>2802</v>
      </c>
    </row>
    <row r="539" spans="42:43" x14ac:dyDescent="0.3">
      <c r="AP539" s="153" t="s">
        <v>2032</v>
      </c>
      <c r="AQ539" s="153" t="s">
        <v>2802</v>
      </c>
    </row>
    <row r="540" spans="42:43" x14ac:dyDescent="0.3">
      <c r="AP540" s="153" t="s">
        <v>2032</v>
      </c>
      <c r="AQ540" s="153" t="s">
        <v>2802</v>
      </c>
    </row>
    <row r="541" spans="42:43" x14ac:dyDescent="0.3">
      <c r="AP541" s="153" t="s">
        <v>2032</v>
      </c>
      <c r="AQ541" s="153" t="s">
        <v>2802</v>
      </c>
    </row>
    <row r="542" spans="42:43" x14ac:dyDescent="0.3">
      <c r="AP542" s="153" t="s">
        <v>2032</v>
      </c>
      <c r="AQ542" s="153" t="s">
        <v>2802</v>
      </c>
    </row>
    <row r="543" spans="42:43" x14ac:dyDescent="0.3">
      <c r="AP543" s="153" t="s">
        <v>2032</v>
      </c>
      <c r="AQ543" s="153" t="s">
        <v>2802</v>
      </c>
    </row>
    <row r="544" spans="42:43" x14ac:dyDescent="0.3">
      <c r="AP544" s="153" t="s">
        <v>2032</v>
      </c>
      <c r="AQ544" s="153" t="s">
        <v>2802</v>
      </c>
    </row>
    <row r="545" spans="42:43" x14ac:dyDescent="0.3">
      <c r="AP545" s="153" t="s">
        <v>2032</v>
      </c>
      <c r="AQ545" s="153" t="s">
        <v>2802</v>
      </c>
    </row>
    <row r="546" spans="42:43" x14ac:dyDescent="0.3">
      <c r="AP546" s="153" t="s">
        <v>2032</v>
      </c>
      <c r="AQ546" s="153" t="s">
        <v>2802</v>
      </c>
    </row>
    <row r="547" spans="42:43" x14ac:dyDescent="0.3">
      <c r="AP547" s="153" t="s">
        <v>2032</v>
      </c>
      <c r="AQ547" s="153" t="s">
        <v>2802</v>
      </c>
    </row>
    <row r="548" spans="42:43" x14ac:dyDescent="0.3">
      <c r="AP548" s="153" t="s">
        <v>2032</v>
      </c>
      <c r="AQ548" s="153" t="s">
        <v>2802</v>
      </c>
    </row>
    <row r="549" spans="42:43" x14ac:dyDescent="0.3">
      <c r="AP549" s="153" t="s">
        <v>2032</v>
      </c>
      <c r="AQ549" s="153" t="s">
        <v>2802</v>
      </c>
    </row>
    <row r="550" spans="42:43" x14ac:dyDescent="0.3">
      <c r="AP550" s="153" t="s">
        <v>2032</v>
      </c>
      <c r="AQ550" s="153" t="s">
        <v>2802</v>
      </c>
    </row>
    <row r="551" spans="42:43" x14ac:dyDescent="0.3">
      <c r="AP551" s="153" t="s">
        <v>2032</v>
      </c>
      <c r="AQ551" s="153" t="s">
        <v>2802</v>
      </c>
    </row>
    <row r="552" spans="42:43" x14ac:dyDescent="0.3">
      <c r="AP552" s="153" t="s">
        <v>2032</v>
      </c>
      <c r="AQ552" s="153" t="s">
        <v>2802</v>
      </c>
    </row>
    <row r="553" spans="42:43" x14ac:dyDescent="0.3">
      <c r="AP553" s="153" t="s">
        <v>2043</v>
      </c>
      <c r="AQ553" s="153" t="s">
        <v>2802</v>
      </c>
    </row>
    <row r="554" spans="42:43" x14ac:dyDescent="0.3">
      <c r="AP554" s="153" t="s">
        <v>2060</v>
      </c>
      <c r="AQ554" s="153" t="s">
        <v>2023</v>
      </c>
    </row>
    <row r="555" spans="42:43" x14ac:dyDescent="0.3">
      <c r="AP555" s="153" t="s">
        <v>2063</v>
      </c>
      <c r="AQ555" s="153" t="s">
        <v>2802</v>
      </c>
    </row>
    <row r="556" spans="42:43" x14ac:dyDescent="0.3">
      <c r="AP556" s="153" t="s">
        <v>2039</v>
      </c>
      <c r="AQ556" s="153" t="s">
        <v>2802</v>
      </c>
    </row>
    <row r="557" spans="42:43" x14ac:dyDescent="0.3">
      <c r="AP557" s="153" t="s">
        <v>2039</v>
      </c>
      <c r="AQ557" s="153" t="s">
        <v>2802</v>
      </c>
    </row>
    <row r="558" spans="42:43" x14ac:dyDescent="0.3">
      <c r="AP558" s="153" t="s">
        <v>2039</v>
      </c>
      <c r="AQ558" s="153" t="s">
        <v>2802</v>
      </c>
    </row>
    <row r="559" spans="42:43" x14ac:dyDescent="0.3">
      <c r="AP559" s="153" t="s">
        <v>2036</v>
      </c>
      <c r="AQ559" s="153" t="s">
        <v>2024</v>
      </c>
    </row>
    <row r="560" spans="42:43" x14ac:dyDescent="0.3">
      <c r="AP560" s="153" t="s">
        <v>2036</v>
      </c>
      <c r="AQ560" s="153" t="s">
        <v>2024</v>
      </c>
    </row>
    <row r="561" spans="42:43" x14ac:dyDescent="0.3">
      <c r="AP561" s="153" t="s">
        <v>2036</v>
      </c>
      <c r="AQ561" s="153" t="s">
        <v>2024</v>
      </c>
    </row>
    <row r="562" spans="42:43" x14ac:dyDescent="0.3">
      <c r="AP562" s="153" t="s">
        <v>2036</v>
      </c>
      <c r="AQ562" s="153" t="s">
        <v>2024</v>
      </c>
    </row>
    <row r="563" spans="42:43" x14ac:dyDescent="0.3">
      <c r="AP563" s="153" t="s">
        <v>2036</v>
      </c>
      <c r="AQ563" s="153" t="s">
        <v>2024</v>
      </c>
    </row>
    <row r="564" spans="42:43" x14ac:dyDescent="0.3">
      <c r="AP564" s="153" t="s">
        <v>2036</v>
      </c>
      <c r="AQ564" s="153" t="s">
        <v>2024</v>
      </c>
    </row>
    <row r="565" spans="42:43" x14ac:dyDescent="0.3">
      <c r="AP565" s="153" t="s">
        <v>2036</v>
      </c>
      <c r="AQ565" s="153" t="s">
        <v>2024</v>
      </c>
    </row>
    <row r="566" spans="42:43" x14ac:dyDescent="0.3">
      <c r="AP566" s="153" t="s">
        <v>2036</v>
      </c>
      <c r="AQ566" s="153" t="s">
        <v>2024</v>
      </c>
    </row>
    <row r="567" spans="42:43" x14ac:dyDescent="0.3">
      <c r="AP567" s="153" t="s">
        <v>2036</v>
      </c>
      <c r="AQ567" s="153" t="s">
        <v>2024</v>
      </c>
    </row>
    <row r="568" spans="42:43" x14ac:dyDescent="0.3">
      <c r="AP568" s="153" t="s">
        <v>2036</v>
      </c>
      <c r="AQ568" s="153" t="s">
        <v>2024</v>
      </c>
    </row>
    <row r="569" spans="42:43" x14ac:dyDescent="0.3">
      <c r="AP569" s="153" t="s">
        <v>2055</v>
      </c>
      <c r="AQ569" s="153" t="s">
        <v>2802</v>
      </c>
    </row>
    <row r="570" spans="42:43" x14ac:dyDescent="0.3">
      <c r="AP570" s="153" t="s">
        <v>2032</v>
      </c>
      <c r="AQ570" s="153" t="s">
        <v>2802</v>
      </c>
    </row>
    <row r="571" spans="42:43" x14ac:dyDescent="0.3">
      <c r="AP571" s="153" t="s">
        <v>2032</v>
      </c>
      <c r="AQ571" s="153" t="s">
        <v>2802</v>
      </c>
    </row>
    <row r="572" spans="42:43" x14ac:dyDescent="0.3">
      <c r="AP572" s="153" t="s">
        <v>2039</v>
      </c>
      <c r="AQ572" s="153" t="s">
        <v>2802</v>
      </c>
    </row>
    <row r="573" spans="42:43" x14ac:dyDescent="0.3">
      <c r="AP573" s="153" t="s">
        <v>2039</v>
      </c>
      <c r="AQ573" s="153" t="s">
        <v>2802</v>
      </c>
    </row>
    <row r="574" spans="42:43" x14ac:dyDescent="0.3">
      <c r="AP574" s="153" t="s">
        <v>2039</v>
      </c>
      <c r="AQ574" s="153" t="s">
        <v>2802</v>
      </c>
    </row>
    <row r="575" spans="42:43" x14ac:dyDescent="0.3">
      <c r="AP575" s="153" t="s">
        <v>2035</v>
      </c>
      <c r="AQ575" s="153" t="s">
        <v>2802</v>
      </c>
    </row>
    <row r="576" spans="42:43" x14ac:dyDescent="0.3">
      <c r="AP576" s="153" t="s">
        <v>2035</v>
      </c>
      <c r="AQ576" s="153" t="s">
        <v>2802</v>
      </c>
    </row>
    <row r="577" spans="42:43" x14ac:dyDescent="0.3">
      <c r="AP577" s="153" t="s">
        <v>2028</v>
      </c>
      <c r="AQ577" s="153" t="s">
        <v>2023</v>
      </c>
    </row>
    <row r="578" spans="42:43" x14ac:dyDescent="0.3">
      <c r="AP578" s="153" t="s">
        <v>2036</v>
      </c>
      <c r="AQ578" s="153" t="s">
        <v>2024</v>
      </c>
    </row>
    <row r="579" spans="42:43" x14ac:dyDescent="0.3">
      <c r="AP579" s="153" t="s">
        <v>2036</v>
      </c>
      <c r="AQ579" s="153" t="s">
        <v>2024</v>
      </c>
    </row>
    <row r="580" spans="42:43" x14ac:dyDescent="0.3">
      <c r="AP580" s="153" t="s">
        <v>2036</v>
      </c>
      <c r="AQ580" s="153" t="s">
        <v>2024</v>
      </c>
    </row>
    <row r="581" spans="42:43" x14ac:dyDescent="0.3">
      <c r="AP581" s="153" t="s">
        <v>2036</v>
      </c>
      <c r="AQ581" s="153" t="s">
        <v>2024</v>
      </c>
    </row>
    <row r="582" spans="42:43" x14ac:dyDescent="0.3">
      <c r="AP582" s="153" t="s">
        <v>2036</v>
      </c>
      <c r="AQ582" s="153" t="s">
        <v>2024</v>
      </c>
    </row>
    <row r="583" spans="42:43" x14ac:dyDescent="0.3">
      <c r="AP583" s="153" t="s">
        <v>2036</v>
      </c>
      <c r="AQ583" s="153" t="s">
        <v>2024</v>
      </c>
    </row>
    <row r="584" spans="42:43" x14ac:dyDescent="0.3">
      <c r="AP584" s="153" t="s">
        <v>2036</v>
      </c>
      <c r="AQ584" s="153" t="s">
        <v>2024</v>
      </c>
    </row>
    <row r="585" spans="42:43" x14ac:dyDescent="0.3">
      <c r="AP585" s="153" t="s">
        <v>2036</v>
      </c>
      <c r="AQ585" s="153" t="s">
        <v>2024</v>
      </c>
    </row>
    <row r="586" spans="42:43" x14ac:dyDescent="0.3">
      <c r="AP586" s="153" t="s">
        <v>2036</v>
      </c>
      <c r="AQ586" s="153" t="s">
        <v>2024</v>
      </c>
    </row>
    <row r="587" spans="42:43" x14ac:dyDescent="0.3">
      <c r="AP587" s="153" t="s">
        <v>2036</v>
      </c>
      <c r="AQ587" s="153" t="s">
        <v>2024</v>
      </c>
    </row>
    <row r="588" spans="42:43" x14ac:dyDescent="0.3">
      <c r="AP588" s="153" t="s">
        <v>2060</v>
      </c>
      <c r="AQ588" s="153" t="s">
        <v>2023</v>
      </c>
    </row>
    <row r="589" spans="42:43" x14ac:dyDescent="0.3">
      <c r="AP589" s="153" t="s">
        <v>2059</v>
      </c>
      <c r="AQ589" s="153" t="s">
        <v>2024</v>
      </c>
    </row>
    <row r="590" spans="42:43" x14ac:dyDescent="0.3">
      <c r="AP590" s="153" t="s">
        <v>2055</v>
      </c>
      <c r="AQ590" s="153" t="s">
        <v>2802</v>
      </c>
    </row>
    <row r="591" spans="42:43" x14ac:dyDescent="0.3">
      <c r="AP591" s="153" t="s">
        <v>2037</v>
      </c>
      <c r="AQ591" s="153" t="s">
        <v>2802</v>
      </c>
    </row>
    <row r="592" spans="42:43" x14ac:dyDescent="0.3">
      <c r="AP592" s="153" t="s">
        <v>2050</v>
      </c>
      <c r="AQ592" s="153" t="s">
        <v>2802</v>
      </c>
    </row>
    <row r="593" spans="42:43" x14ac:dyDescent="0.3">
      <c r="AP593" s="153" t="s">
        <v>2037</v>
      </c>
      <c r="AQ593" s="153" t="s">
        <v>2802</v>
      </c>
    </row>
    <row r="594" spans="42:43" x14ac:dyDescent="0.3">
      <c r="AP594" s="153" t="s">
        <v>2062</v>
      </c>
      <c r="AQ594" s="153" t="s">
        <v>2023</v>
      </c>
    </row>
    <row r="595" spans="42:43" x14ac:dyDescent="0.3">
      <c r="AP595" s="153" t="s">
        <v>2038</v>
      </c>
      <c r="AQ595" s="153" t="s">
        <v>2802</v>
      </c>
    </row>
    <row r="596" spans="42:43" x14ac:dyDescent="0.3">
      <c r="AP596" s="153" t="s">
        <v>2062</v>
      </c>
      <c r="AQ596" s="153" t="s">
        <v>2023</v>
      </c>
    </row>
    <row r="597" spans="42:43" x14ac:dyDescent="0.3">
      <c r="AP597" s="153" t="s">
        <v>2037</v>
      </c>
      <c r="AQ597" s="153" t="s">
        <v>2802</v>
      </c>
    </row>
    <row r="598" spans="42:43" x14ac:dyDescent="0.3">
      <c r="AP598" s="153" t="s">
        <v>2037</v>
      </c>
      <c r="AQ598" s="153" t="s">
        <v>2802</v>
      </c>
    </row>
    <row r="599" spans="42:43" x14ac:dyDescent="0.3">
      <c r="AP599" s="153" t="s">
        <v>2039</v>
      </c>
      <c r="AQ599" s="153" t="s">
        <v>2802</v>
      </c>
    </row>
    <row r="600" spans="42:43" x14ac:dyDescent="0.3">
      <c r="AP600" s="153" t="s">
        <v>2039</v>
      </c>
      <c r="AQ600" s="153" t="s">
        <v>2802</v>
      </c>
    </row>
    <row r="601" spans="42:43" x14ac:dyDescent="0.3">
      <c r="AP601" s="153" t="s">
        <v>2039</v>
      </c>
      <c r="AQ601" s="153" t="s">
        <v>2802</v>
      </c>
    </row>
    <row r="602" spans="42:43" x14ac:dyDescent="0.3">
      <c r="AP602" s="153" t="s">
        <v>2041</v>
      </c>
      <c r="AQ602" s="153" t="s">
        <v>2802</v>
      </c>
    </row>
    <row r="603" spans="42:43" x14ac:dyDescent="0.3">
      <c r="AP603" s="153" t="s">
        <v>2063</v>
      </c>
      <c r="AQ603" s="153" t="s">
        <v>2802</v>
      </c>
    </row>
    <row r="604" spans="42:43" x14ac:dyDescent="0.3">
      <c r="AP604" s="153" t="s">
        <v>2039</v>
      </c>
      <c r="AQ604" s="153" t="s">
        <v>2802</v>
      </c>
    </row>
    <row r="605" spans="42:43" x14ac:dyDescent="0.3">
      <c r="AP605" s="153" t="s">
        <v>2039</v>
      </c>
      <c r="AQ605" s="153" t="s">
        <v>2802</v>
      </c>
    </row>
    <row r="606" spans="42:43" x14ac:dyDescent="0.3">
      <c r="AP606" s="153" t="s">
        <v>2039</v>
      </c>
      <c r="AQ606" s="153" t="s">
        <v>2802</v>
      </c>
    </row>
    <row r="607" spans="42:43" x14ac:dyDescent="0.3">
      <c r="AP607" s="153" t="s">
        <v>2039</v>
      </c>
      <c r="AQ607" s="153" t="s">
        <v>2802</v>
      </c>
    </row>
    <row r="608" spans="42:43" x14ac:dyDescent="0.3">
      <c r="AP608" s="153" t="s">
        <v>2039</v>
      </c>
      <c r="AQ608" s="153" t="s">
        <v>2802</v>
      </c>
    </row>
    <row r="609" spans="42:43" x14ac:dyDescent="0.3">
      <c r="AP609" s="153" t="s">
        <v>2043</v>
      </c>
      <c r="AQ609" s="153" t="s">
        <v>2802</v>
      </c>
    </row>
    <row r="610" spans="42:43" x14ac:dyDescent="0.3">
      <c r="AP610" s="153" t="s">
        <v>2043</v>
      </c>
      <c r="AQ610" s="153" t="s">
        <v>2802</v>
      </c>
    </row>
    <row r="611" spans="42:43" x14ac:dyDescent="0.3">
      <c r="AP611" s="153" t="s">
        <v>2036</v>
      </c>
      <c r="AQ611" s="153" t="s">
        <v>2024</v>
      </c>
    </row>
    <row r="612" spans="42:43" x14ac:dyDescent="0.3">
      <c r="AP612" s="153" t="s">
        <v>2036</v>
      </c>
      <c r="AQ612" s="153" t="s">
        <v>2024</v>
      </c>
    </row>
    <row r="613" spans="42:43" x14ac:dyDescent="0.3">
      <c r="AP613" s="153" t="s">
        <v>2036</v>
      </c>
      <c r="AQ613" s="153" t="s">
        <v>2024</v>
      </c>
    </row>
    <row r="614" spans="42:43" x14ac:dyDescent="0.3">
      <c r="AP614" s="153" t="s">
        <v>2036</v>
      </c>
      <c r="AQ614" s="153" t="s">
        <v>2024</v>
      </c>
    </row>
    <row r="615" spans="42:43" x14ac:dyDescent="0.3">
      <c r="AP615" s="153" t="s">
        <v>2036</v>
      </c>
      <c r="AQ615" s="153" t="s">
        <v>2024</v>
      </c>
    </row>
    <row r="616" spans="42:43" x14ac:dyDescent="0.3">
      <c r="AP616" s="153" t="s">
        <v>2036</v>
      </c>
      <c r="AQ616" s="153" t="s">
        <v>2024</v>
      </c>
    </row>
    <row r="617" spans="42:43" x14ac:dyDescent="0.3">
      <c r="AP617" s="153" t="s">
        <v>2036</v>
      </c>
      <c r="AQ617" s="153" t="s">
        <v>2024</v>
      </c>
    </row>
    <row r="618" spans="42:43" x14ac:dyDescent="0.3">
      <c r="AP618" s="153" t="s">
        <v>2036</v>
      </c>
      <c r="AQ618" s="153" t="s">
        <v>2024</v>
      </c>
    </row>
    <row r="619" spans="42:43" x14ac:dyDescent="0.3">
      <c r="AP619" s="153" t="s">
        <v>2036</v>
      </c>
      <c r="AQ619" s="153" t="s">
        <v>2024</v>
      </c>
    </row>
    <row r="620" spans="42:43" x14ac:dyDescent="0.3">
      <c r="AP620" s="153" t="s">
        <v>2036</v>
      </c>
      <c r="AQ620" s="153" t="s">
        <v>2024</v>
      </c>
    </row>
    <row r="621" spans="42:43" x14ac:dyDescent="0.3">
      <c r="AP621" s="153" t="s">
        <v>2060</v>
      </c>
      <c r="AQ621" s="153" t="s">
        <v>2023</v>
      </c>
    </row>
    <row r="622" spans="42:43" x14ac:dyDescent="0.3">
      <c r="AP622" s="153" t="s">
        <v>2037</v>
      </c>
      <c r="AQ622" s="153" t="s">
        <v>2802</v>
      </c>
    </row>
    <row r="623" spans="42:43" x14ac:dyDescent="0.3">
      <c r="AP623" s="153" t="s">
        <v>2032</v>
      </c>
      <c r="AQ623" s="153" t="s">
        <v>2802</v>
      </c>
    </row>
    <row r="624" spans="42:43" x14ac:dyDescent="0.3">
      <c r="AP624" s="153" t="s">
        <v>2945</v>
      </c>
      <c r="AQ624" s="153" t="s">
        <v>2025</v>
      </c>
    </row>
    <row r="625" spans="42:43" x14ac:dyDescent="0.3">
      <c r="AP625" s="153" t="s">
        <v>2037</v>
      </c>
      <c r="AQ625" s="153" t="s">
        <v>2802</v>
      </c>
    </row>
    <row r="626" spans="42:43" x14ac:dyDescent="0.3">
      <c r="AP626" s="153" t="s">
        <v>2037</v>
      </c>
      <c r="AQ626" s="153" t="s">
        <v>2802</v>
      </c>
    </row>
    <row r="627" spans="42:43" x14ac:dyDescent="0.3">
      <c r="AP627" s="153" t="s">
        <v>2037</v>
      </c>
      <c r="AQ627" s="153" t="s">
        <v>2802</v>
      </c>
    </row>
    <row r="628" spans="42:43" x14ac:dyDescent="0.3">
      <c r="AP628" s="153" t="s">
        <v>2041</v>
      </c>
      <c r="AQ628" s="153" t="s">
        <v>2802</v>
      </c>
    </row>
    <row r="629" spans="42:43" x14ac:dyDescent="0.3">
      <c r="AP629" s="153" t="s">
        <v>2032</v>
      </c>
      <c r="AQ629" s="153" t="s">
        <v>2802</v>
      </c>
    </row>
    <row r="630" spans="42:43" x14ac:dyDescent="0.3">
      <c r="AP630" s="153" t="s">
        <v>2032</v>
      </c>
      <c r="AQ630" s="153" t="s">
        <v>2802</v>
      </c>
    </row>
    <row r="631" spans="42:43" x14ac:dyDescent="0.3">
      <c r="AP631" s="153" t="s">
        <v>2032</v>
      </c>
      <c r="AQ631" s="153" t="s">
        <v>2802</v>
      </c>
    </row>
    <row r="632" spans="42:43" x14ac:dyDescent="0.3">
      <c r="AP632" s="153" t="s">
        <v>2032</v>
      </c>
      <c r="AQ632" s="153" t="s">
        <v>2802</v>
      </c>
    </row>
    <row r="633" spans="42:43" x14ac:dyDescent="0.3">
      <c r="AP633" s="153" t="s">
        <v>2032</v>
      </c>
      <c r="AQ633" s="153" t="s">
        <v>2802</v>
      </c>
    </row>
    <row r="634" spans="42:43" x14ac:dyDescent="0.3">
      <c r="AP634" s="153" t="s">
        <v>2032</v>
      </c>
      <c r="AQ634" s="153" t="s">
        <v>2802</v>
      </c>
    </row>
    <row r="635" spans="42:43" x14ac:dyDescent="0.3">
      <c r="AP635" s="153" t="s">
        <v>2032</v>
      </c>
      <c r="AQ635" s="153" t="s">
        <v>2802</v>
      </c>
    </row>
    <row r="636" spans="42:43" x14ac:dyDescent="0.3">
      <c r="AP636" s="153" t="s">
        <v>2032</v>
      </c>
      <c r="AQ636" s="153" t="s">
        <v>2802</v>
      </c>
    </row>
    <row r="637" spans="42:43" x14ac:dyDescent="0.3">
      <c r="AP637" s="153" t="s">
        <v>2032</v>
      </c>
      <c r="AQ637" s="153" t="s">
        <v>2802</v>
      </c>
    </row>
    <row r="638" spans="42:43" x14ac:dyDescent="0.3">
      <c r="AP638" s="153" t="s">
        <v>2032</v>
      </c>
      <c r="AQ638" s="153" t="s">
        <v>2802</v>
      </c>
    </row>
    <row r="639" spans="42:43" x14ac:dyDescent="0.3">
      <c r="AP639" s="153" t="s">
        <v>2032</v>
      </c>
      <c r="AQ639" s="153" t="s">
        <v>2802</v>
      </c>
    </row>
    <row r="640" spans="42:43" x14ac:dyDescent="0.3">
      <c r="AP640" s="153" t="s">
        <v>2032</v>
      </c>
      <c r="AQ640" s="153" t="s">
        <v>2802</v>
      </c>
    </row>
    <row r="641" spans="42:43" x14ac:dyDescent="0.3">
      <c r="AP641" s="153" t="s">
        <v>2032</v>
      </c>
      <c r="AQ641" s="153" t="s">
        <v>2802</v>
      </c>
    </row>
    <row r="642" spans="42:43" x14ac:dyDescent="0.3">
      <c r="AP642" s="153" t="s">
        <v>2032</v>
      </c>
      <c r="AQ642" s="153" t="s">
        <v>2802</v>
      </c>
    </row>
    <row r="643" spans="42:43" x14ac:dyDescent="0.3">
      <c r="AP643" s="153" t="s">
        <v>2032</v>
      </c>
      <c r="AQ643" s="153" t="s">
        <v>2802</v>
      </c>
    </row>
    <row r="644" spans="42:43" x14ac:dyDescent="0.3">
      <c r="AP644" s="153" t="s">
        <v>2032</v>
      </c>
      <c r="AQ644" s="153" t="s">
        <v>2802</v>
      </c>
    </row>
    <row r="645" spans="42:43" x14ac:dyDescent="0.3">
      <c r="AP645" s="153" t="s">
        <v>2032</v>
      </c>
      <c r="AQ645" s="153" t="s">
        <v>2802</v>
      </c>
    </row>
    <row r="646" spans="42:43" x14ac:dyDescent="0.3">
      <c r="AP646" s="153" t="s">
        <v>2039</v>
      </c>
      <c r="AQ646" s="153" t="s">
        <v>2802</v>
      </c>
    </row>
    <row r="647" spans="42:43" x14ac:dyDescent="0.3">
      <c r="AP647" s="153" t="s">
        <v>2039</v>
      </c>
      <c r="AQ647" s="153" t="s">
        <v>2802</v>
      </c>
    </row>
    <row r="648" spans="42:43" x14ac:dyDescent="0.3">
      <c r="AP648" s="153" t="s">
        <v>2039</v>
      </c>
      <c r="AQ648" s="153" t="s">
        <v>2802</v>
      </c>
    </row>
    <row r="649" spans="42:43" x14ac:dyDescent="0.3">
      <c r="AP649" s="153" t="s">
        <v>2032</v>
      </c>
      <c r="AQ649" s="153" t="s">
        <v>2802</v>
      </c>
    </row>
    <row r="650" spans="42:43" x14ac:dyDescent="0.3">
      <c r="AP650" s="153" t="s">
        <v>2032</v>
      </c>
      <c r="AQ650" s="153" t="s">
        <v>2802</v>
      </c>
    </row>
    <row r="651" spans="42:43" x14ac:dyDescent="0.3">
      <c r="AP651" s="153" t="s">
        <v>2032</v>
      </c>
      <c r="AQ651" s="153" t="s">
        <v>2802</v>
      </c>
    </row>
    <row r="652" spans="42:43" x14ac:dyDescent="0.3">
      <c r="AP652" s="153" t="s">
        <v>2032</v>
      </c>
      <c r="AQ652" s="153" t="s">
        <v>2802</v>
      </c>
    </row>
    <row r="653" spans="42:43" x14ac:dyDescent="0.3">
      <c r="AP653" s="153" t="s">
        <v>2032</v>
      </c>
      <c r="AQ653" s="153" t="s">
        <v>2802</v>
      </c>
    </row>
    <row r="654" spans="42:43" x14ac:dyDescent="0.3">
      <c r="AP654" s="153" t="s">
        <v>2032</v>
      </c>
      <c r="AQ654" s="153" t="s">
        <v>2802</v>
      </c>
    </row>
    <row r="655" spans="42:43" x14ac:dyDescent="0.3">
      <c r="AP655" s="153" t="s">
        <v>2032</v>
      </c>
      <c r="AQ655" s="153" t="s">
        <v>2802</v>
      </c>
    </row>
    <row r="656" spans="42:43" x14ac:dyDescent="0.3">
      <c r="AP656" s="153" t="s">
        <v>2032</v>
      </c>
      <c r="AQ656" s="153" t="s">
        <v>2802</v>
      </c>
    </row>
    <row r="657" spans="42:43" x14ac:dyDescent="0.3">
      <c r="AP657" s="153" t="s">
        <v>2032</v>
      </c>
      <c r="AQ657" s="153" t="s">
        <v>2802</v>
      </c>
    </row>
    <row r="658" spans="42:43" x14ac:dyDescent="0.3">
      <c r="AP658" s="153" t="s">
        <v>2032</v>
      </c>
      <c r="AQ658" s="153" t="s">
        <v>2802</v>
      </c>
    </row>
    <row r="659" spans="42:43" x14ac:dyDescent="0.3">
      <c r="AP659" s="153" t="s">
        <v>2032</v>
      </c>
      <c r="AQ659" s="153" t="s">
        <v>2802</v>
      </c>
    </row>
    <row r="660" spans="42:43" x14ac:dyDescent="0.3">
      <c r="AP660" s="153" t="s">
        <v>2032</v>
      </c>
      <c r="AQ660" s="153" t="s">
        <v>2802</v>
      </c>
    </row>
    <row r="661" spans="42:43" x14ac:dyDescent="0.3">
      <c r="AP661" s="153" t="s">
        <v>2036</v>
      </c>
      <c r="AQ661" s="153" t="s">
        <v>2024</v>
      </c>
    </row>
    <row r="662" spans="42:43" x14ac:dyDescent="0.3">
      <c r="AP662" s="153" t="s">
        <v>2036</v>
      </c>
      <c r="AQ662" s="153" t="s">
        <v>2024</v>
      </c>
    </row>
    <row r="663" spans="42:43" x14ac:dyDescent="0.3">
      <c r="AP663" s="153" t="s">
        <v>2036</v>
      </c>
      <c r="AQ663" s="153" t="s">
        <v>2024</v>
      </c>
    </row>
    <row r="664" spans="42:43" x14ac:dyDescent="0.3">
      <c r="AP664" s="153" t="s">
        <v>2036</v>
      </c>
      <c r="AQ664" s="153" t="s">
        <v>2024</v>
      </c>
    </row>
    <row r="665" spans="42:43" x14ac:dyDescent="0.3">
      <c r="AP665" s="153" t="s">
        <v>2036</v>
      </c>
      <c r="AQ665" s="153" t="s">
        <v>2024</v>
      </c>
    </row>
    <row r="666" spans="42:43" x14ac:dyDescent="0.3">
      <c r="AP666" s="153" t="s">
        <v>2036</v>
      </c>
      <c r="AQ666" s="153" t="s">
        <v>2024</v>
      </c>
    </row>
    <row r="667" spans="42:43" x14ac:dyDescent="0.3">
      <c r="AP667" s="153" t="s">
        <v>2036</v>
      </c>
      <c r="AQ667" s="153" t="s">
        <v>2024</v>
      </c>
    </row>
    <row r="668" spans="42:43" x14ac:dyDescent="0.3">
      <c r="AP668" s="153" t="s">
        <v>2036</v>
      </c>
      <c r="AQ668" s="153" t="s">
        <v>2024</v>
      </c>
    </row>
    <row r="669" spans="42:43" x14ac:dyDescent="0.3">
      <c r="AP669" s="153" t="s">
        <v>2036</v>
      </c>
      <c r="AQ669" s="153" t="s">
        <v>2024</v>
      </c>
    </row>
    <row r="670" spans="42:43" x14ac:dyDescent="0.3">
      <c r="AP670" s="153" t="s">
        <v>2036</v>
      </c>
      <c r="AQ670" s="153" t="s">
        <v>2024</v>
      </c>
    </row>
    <row r="671" spans="42:43" x14ac:dyDescent="0.3">
      <c r="AP671" s="153" t="s">
        <v>2037</v>
      </c>
      <c r="AQ671" s="153" t="s">
        <v>2802</v>
      </c>
    </row>
    <row r="672" spans="42:43" x14ac:dyDescent="0.3">
      <c r="AP672" s="153" t="s">
        <v>2037</v>
      </c>
      <c r="AQ672" s="153" t="s">
        <v>2802</v>
      </c>
    </row>
    <row r="673" spans="42:43" x14ac:dyDescent="0.3">
      <c r="AP673" s="153" t="s">
        <v>2037</v>
      </c>
      <c r="AQ673" s="153" t="s">
        <v>2802</v>
      </c>
    </row>
    <row r="674" spans="42:43" x14ac:dyDescent="0.3">
      <c r="AP674" s="153" t="s">
        <v>2037</v>
      </c>
      <c r="AQ674" s="153" t="s">
        <v>2802</v>
      </c>
    </row>
    <row r="675" spans="42:43" x14ac:dyDescent="0.3">
      <c r="AP675" s="153" t="s">
        <v>2038</v>
      </c>
      <c r="AQ675" s="153" t="s">
        <v>2802</v>
      </c>
    </row>
    <row r="676" spans="42:43" x14ac:dyDescent="0.3">
      <c r="AP676" s="153" t="s">
        <v>2037</v>
      </c>
      <c r="AQ676" s="153" t="s">
        <v>2802</v>
      </c>
    </row>
    <row r="677" spans="42:43" x14ac:dyDescent="0.3">
      <c r="AP677" s="153" t="s">
        <v>2032</v>
      </c>
      <c r="AQ677" s="153" t="s">
        <v>2802</v>
      </c>
    </row>
    <row r="678" spans="42:43" x14ac:dyDescent="0.3">
      <c r="AP678" s="153" t="s">
        <v>2040</v>
      </c>
      <c r="AQ678" s="153" t="s">
        <v>2802</v>
      </c>
    </row>
    <row r="679" spans="42:43" x14ac:dyDescent="0.3">
      <c r="AP679" s="153" t="s">
        <v>2037</v>
      </c>
      <c r="AQ679" s="153" t="s">
        <v>2802</v>
      </c>
    </row>
    <row r="680" spans="42:43" x14ac:dyDescent="0.3">
      <c r="AP680" s="153" t="s">
        <v>2063</v>
      </c>
      <c r="AQ680" s="153" t="s">
        <v>2802</v>
      </c>
    </row>
    <row r="681" spans="42:43" x14ac:dyDescent="0.3">
      <c r="AP681" s="153" t="s">
        <v>2028</v>
      </c>
      <c r="AQ681" s="153" t="s">
        <v>2023</v>
      </c>
    </row>
    <row r="682" spans="42:43" x14ac:dyDescent="0.3">
      <c r="AP682" s="153" t="s">
        <v>2041</v>
      </c>
      <c r="AQ682" s="153" t="s">
        <v>2802</v>
      </c>
    </row>
    <row r="683" spans="42:43" x14ac:dyDescent="0.3">
      <c r="AP683" s="153" t="s">
        <v>2036</v>
      </c>
      <c r="AQ683" s="153" t="s">
        <v>2024</v>
      </c>
    </row>
    <row r="684" spans="42:43" x14ac:dyDescent="0.3">
      <c r="AP684" s="153" t="s">
        <v>2036</v>
      </c>
      <c r="AQ684" s="153" t="s">
        <v>2024</v>
      </c>
    </row>
    <row r="685" spans="42:43" x14ac:dyDescent="0.3">
      <c r="AP685" s="153" t="s">
        <v>2036</v>
      </c>
      <c r="AQ685" s="153" t="s">
        <v>2024</v>
      </c>
    </row>
    <row r="686" spans="42:43" x14ac:dyDescent="0.3">
      <c r="AP686" s="153" t="s">
        <v>2036</v>
      </c>
      <c r="AQ686" s="153" t="s">
        <v>2024</v>
      </c>
    </row>
    <row r="687" spans="42:43" x14ac:dyDescent="0.3">
      <c r="AP687" s="153" t="s">
        <v>2036</v>
      </c>
      <c r="AQ687" s="153" t="s">
        <v>2024</v>
      </c>
    </row>
    <row r="688" spans="42:43" x14ac:dyDescent="0.3">
      <c r="AP688" s="153" t="s">
        <v>2036</v>
      </c>
      <c r="AQ688" s="153" t="s">
        <v>2024</v>
      </c>
    </row>
    <row r="689" spans="42:43" x14ac:dyDescent="0.3">
      <c r="AP689" s="153" t="s">
        <v>2036</v>
      </c>
      <c r="AQ689" s="153" t="s">
        <v>2024</v>
      </c>
    </row>
    <row r="690" spans="42:43" x14ac:dyDescent="0.3">
      <c r="AP690" s="153" t="s">
        <v>2036</v>
      </c>
      <c r="AQ690" s="153" t="s">
        <v>2024</v>
      </c>
    </row>
    <row r="691" spans="42:43" x14ac:dyDescent="0.3">
      <c r="AP691" s="153" t="s">
        <v>2036</v>
      </c>
      <c r="AQ691" s="153" t="s">
        <v>2024</v>
      </c>
    </row>
    <row r="692" spans="42:43" x14ac:dyDescent="0.3">
      <c r="AP692" s="153" t="s">
        <v>2036</v>
      </c>
      <c r="AQ692" s="153" t="s">
        <v>2024</v>
      </c>
    </row>
    <row r="693" spans="42:43" x14ac:dyDescent="0.3">
      <c r="AP693" s="153" t="s">
        <v>2041</v>
      </c>
      <c r="AQ693" s="153" t="s">
        <v>2802</v>
      </c>
    </row>
    <row r="694" spans="42:43" x14ac:dyDescent="0.3">
      <c r="AP694" s="153" t="s">
        <v>2030</v>
      </c>
      <c r="AQ694" s="153" t="s">
        <v>2802</v>
      </c>
    </row>
    <row r="695" spans="42:43" x14ac:dyDescent="0.3">
      <c r="AP695" s="153" t="s">
        <v>2032</v>
      </c>
      <c r="AQ695" s="153" t="s">
        <v>2802</v>
      </c>
    </row>
    <row r="696" spans="42:43" x14ac:dyDescent="0.3">
      <c r="AP696" s="153" t="s">
        <v>2032</v>
      </c>
      <c r="AQ696" s="153" t="s">
        <v>2802</v>
      </c>
    </row>
    <row r="697" spans="42:43" x14ac:dyDescent="0.3">
      <c r="AP697" s="153" t="s">
        <v>2032</v>
      </c>
      <c r="AQ697" s="153" t="s">
        <v>2802</v>
      </c>
    </row>
    <row r="698" spans="42:43" x14ac:dyDescent="0.3">
      <c r="AP698" s="153" t="s">
        <v>2032</v>
      </c>
      <c r="AQ698" s="153" t="s">
        <v>2802</v>
      </c>
    </row>
    <row r="699" spans="42:43" x14ac:dyDescent="0.3">
      <c r="AP699" s="153" t="s">
        <v>2032</v>
      </c>
      <c r="AQ699" s="153" t="s">
        <v>2802</v>
      </c>
    </row>
    <row r="700" spans="42:43" x14ac:dyDescent="0.3">
      <c r="AP700" s="153" t="s">
        <v>2041</v>
      </c>
      <c r="AQ700" s="153" t="s">
        <v>2802</v>
      </c>
    </row>
    <row r="701" spans="42:43" x14ac:dyDescent="0.3">
      <c r="AP701" s="153" t="s">
        <v>2041</v>
      </c>
      <c r="AQ701" s="153" t="s">
        <v>2802</v>
      </c>
    </row>
    <row r="702" spans="42:43" x14ac:dyDescent="0.3">
      <c r="AP702" s="153" t="s">
        <v>2041</v>
      </c>
      <c r="AQ702" s="153" t="s">
        <v>2802</v>
      </c>
    </row>
    <row r="703" spans="42:43" x14ac:dyDescent="0.3">
      <c r="AP703" s="153" t="s">
        <v>2061</v>
      </c>
      <c r="AQ703" s="153" t="s">
        <v>2802</v>
      </c>
    </row>
    <row r="704" spans="42:43" x14ac:dyDescent="0.3">
      <c r="AP704" s="153" t="s">
        <v>2028</v>
      </c>
      <c r="AQ704" s="153" t="s">
        <v>2023</v>
      </c>
    </row>
    <row r="705" spans="42:43" x14ac:dyDescent="0.3">
      <c r="AP705" s="153" t="s">
        <v>2061</v>
      </c>
      <c r="AQ705" s="153" t="s">
        <v>2802</v>
      </c>
    </row>
    <row r="706" spans="42:43" x14ac:dyDescent="0.3">
      <c r="AP706" s="153" t="s">
        <v>2034</v>
      </c>
      <c r="AQ706" s="153" t="s">
        <v>2802</v>
      </c>
    </row>
    <row r="707" spans="42:43" x14ac:dyDescent="0.3">
      <c r="AP707" s="153" t="s">
        <v>2037</v>
      </c>
      <c r="AQ707" s="153" t="s">
        <v>2802</v>
      </c>
    </row>
    <row r="708" spans="42:43" x14ac:dyDescent="0.3">
      <c r="AP708" s="153" t="s">
        <v>2039</v>
      </c>
      <c r="AQ708" s="153" t="s">
        <v>2802</v>
      </c>
    </row>
    <row r="709" spans="42:43" x14ac:dyDescent="0.3">
      <c r="AP709" s="153" t="s">
        <v>2038</v>
      </c>
      <c r="AQ709" s="153" t="s">
        <v>2802</v>
      </c>
    </row>
    <row r="710" spans="42:43" x14ac:dyDescent="0.3">
      <c r="AP710" s="153" t="s">
        <v>2028</v>
      </c>
      <c r="AQ710" s="153" t="s">
        <v>2023</v>
      </c>
    </row>
    <row r="711" spans="42:43" x14ac:dyDescent="0.3">
      <c r="AP711" s="153" t="s">
        <v>2041</v>
      </c>
      <c r="AQ711" s="153" t="s">
        <v>2802</v>
      </c>
    </row>
    <row r="712" spans="42:43" x14ac:dyDescent="0.3">
      <c r="AP712" s="153" t="s">
        <v>2032</v>
      </c>
      <c r="AQ712" s="153" t="s">
        <v>2802</v>
      </c>
    </row>
    <row r="713" spans="42:43" x14ac:dyDescent="0.3">
      <c r="AP713" s="153" t="s">
        <v>2035</v>
      </c>
      <c r="AQ713" s="153" t="s">
        <v>2802</v>
      </c>
    </row>
    <row r="714" spans="42:43" x14ac:dyDescent="0.3">
      <c r="AP714" s="153" t="s">
        <v>2035</v>
      </c>
      <c r="AQ714" s="153" t="s">
        <v>2802</v>
      </c>
    </row>
    <row r="715" spans="42:43" x14ac:dyDescent="0.3">
      <c r="AP715" s="153" t="s">
        <v>2028</v>
      </c>
      <c r="AQ715" s="153" t="s">
        <v>2023</v>
      </c>
    </row>
    <row r="716" spans="42:43" x14ac:dyDescent="0.3">
      <c r="AP716" s="153" t="s">
        <v>2065</v>
      </c>
      <c r="AQ716" s="153" t="s">
        <v>2025</v>
      </c>
    </row>
    <row r="717" spans="42:43" x14ac:dyDescent="0.3">
      <c r="AP717" s="153" t="s">
        <v>2065</v>
      </c>
      <c r="AQ717" s="153" t="s">
        <v>2025</v>
      </c>
    </row>
    <row r="718" spans="42:43" x14ac:dyDescent="0.3">
      <c r="AP718" s="153" t="s">
        <v>2065</v>
      </c>
      <c r="AQ718" s="153" t="s">
        <v>2025</v>
      </c>
    </row>
    <row r="719" spans="42:43" x14ac:dyDescent="0.3">
      <c r="AP719" s="153" t="s">
        <v>2065</v>
      </c>
      <c r="AQ719" s="153" t="s">
        <v>2025</v>
      </c>
    </row>
    <row r="720" spans="42:43" x14ac:dyDescent="0.3">
      <c r="AP720" s="153" t="s">
        <v>2065</v>
      </c>
      <c r="AQ720" s="153" t="s">
        <v>2025</v>
      </c>
    </row>
    <row r="721" spans="42:43" x14ac:dyDescent="0.3">
      <c r="AP721" s="153" t="s">
        <v>2065</v>
      </c>
      <c r="AQ721" s="153" t="s">
        <v>2025</v>
      </c>
    </row>
    <row r="722" spans="42:43" x14ac:dyDescent="0.3">
      <c r="AP722" s="153" t="s">
        <v>2065</v>
      </c>
      <c r="AQ722" s="153" t="s">
        <v>2025</v>
      </c>
    </row>
    <row r="723" spans="42:43" x14ac:dyDescent="0.3">
      <c r="AP723" s="153" t="s">
        <v>2065</v>
      </c>
      <c r="AQ723" s="153" t="s">
        <v>2025</v>
      </c>
    </row>
    <row r="724" spans="42:43" x14ac:dyDescent="0.3">
      <c r="AP724" s="153" t="s">
        <v>2065</v>
      </c>
      <c r="AQ724" s="153" t="s">
        <v>2025</v>
      </c>
    </row>
    <row r="725" spans="42:43" x14ac:dyDescent="0.3">
      <c r="AP725" s="153" t="s">
        <v>2065</v>
      </c>
      <c r="AQ725" s="153" t="s">
        <v>2025</v>
      </c>
    </row>
    <row r="726" spans="42:43" x14ac:dyDescent="0.3">
      <c r="AP726" s="153" t="s">
        <v>2065</v>
      </c>
      <c r="AQ726" s="153" t="s">
        <v>2025</v>
      </c>
    </row>
    <row r="727" spans="42:43" x14ac:dyDescent="0.3">
      <c r="AP727" s="153" t="s">
        <v>2065</v>
      </c>
      <c r="AQ727" s="153" t="s">
        <v>2025</v>
      </c>
    </row>
    <row r="728" spans="42:43" x14ac:dyDescent="0.3">
      <c r="AP728" s="153" t="s">
        <v>2049</v>
      </c>
      <c r="AQ728" s="153" t="s">
        <v>2024</v>
      </c>
    </row>
    <row r="729" spans="42:43" x14ac:dyDescent="0.3">
      <c r="AP729" s="153" t="s">
        <v>2036</v>
      </c>
      <c r="AQ729" s="153" t="s">
        <v>2024</v>
      </c>
    </row>
    <row r="730" spans="42:43" x14ac:dyDescent="0.3">
      <c r="AP730" s="153" t="s">
        <v>2036</v>
      </c>
      <c r="AQ730" s="153" t="s">
        <v>2024</v>
      </c>
    </row>
    <row r="731" spans="42:43" x14ac:dyDescent="0.3">
      <c r="AP731" s="153" t="s">
        <v>2036</v>
      </c>
      <c r="AQ731" s="153" t="s">
        <v>2024</v>
      </c>
    </row>
    <row r="732" spans="42:43" x14ac:dyDescent="0.3">
      <c r="AP732" s="153" t="s">
        <v>2036</v>
      </c>
      <c r="AQ732" s="153" t="s">
        <v>2024</v>
      </c>
    </row>
    <row r="733" spans="42:43" x14ac:dyDescent="0.3">
      <c r="AP733" s="153" t="s">
        <v>2036</v>
      </c>
      <c r="AQ733" s="153" t="s">
        <v>2024</v>
      </c>
    </row>
    <row r="734" spans="42:43" x14ac:dyDescent="0.3">
      <c r="AP734" s="153" t="s">
        <v>2036</v>
      </c>
      <c r="AQ734" s="153" t="s">
        <v>2024</v>
      </c>
    </row>
    <row r="735" spans="42:43" x14ac:dyDescent="0.3">
      <c r="AP735" s="153" t="s">
        <v>2036</v>
      </c>
      <c r="AQ735" s="153" t="s">
        <v>2024</v>
      </c>
    </row>
    <row r="736" spans="42:43" x14ac:dyDescent="0.3">
      <c r="AP736" s="153" t="s">
        <v>2036</v>
      </c>
      <c r="AQ736" s="153" t="s">
        <v>2024</v>
      </c>
    </row>
    <row r="737" spans="42:43" x14ac:dyDescent="0.3">
      <c r="AP737" s="153" t="s">
        <v>2036</v>
      </c>
      <c r="AQ737" s="153" t="s">
        <v>2024</v>
      </c>
    </row>
    <row r="738" spans="42:43" x14ac:dyDescent="0.3">
      <c r="AP738" s="153" t="s">
        <v>2036</v>
      </c>
      <c r="AQ738" s="153" t="s">
        <v>2024</v>
      </c>
    </row>
    <row r="739" spans="42:43" x14ac:dyDescent="0.3">
      <c r="AP739" s="153" t="s">
        <v>2041</v>
      </c>
      <c r="AQ739" s="153" t="s">
        <v>2802</v>
      </c>
    </row>
    <row r="740" spans="42:43" x14ac:dyDescent="0.3">
      <c r="AP740" s="153" t="s">
        <v>2028</v>
      </c>
      <c r="AQ740" s="153" t="s">
        <v>2023</v>
      </c>
    </row>
    <row r="741" spans="42:43" x14ac:dyDescent="0.3">
      <c r="AP741" s="153" t="s">
        <v>2028</v>
      </c>
      <c r="AQ741" s="153" t="s">
        <v>2023</v>
      </c>
    </row>
    <row r="742" spans="42:43" x14ac:dyDescent="0.3">
      <c r="AP742" s="153" t="s">
        <v>2028</v>
      </c>
      <c r="AQ742" s="153" t="s">
        <v>2023</v>
      </c>
    </row>
    <row r="743" spans="42:43" x14ac:dyDescent="0.3">
      <c r="AP743" s="153" t="s">
        <v>2028</v>
      </c>
      <c r="AQ743" s="153" t="s">
        <v>2023</v>
      </c>
    </row>
    <row r="744" spans="42:43" x14ac:dyDescent="0.3">
      <c r="AP744" s="153" t="s">
        <v>2028</v>
      </c>
      <c r="AQ744" s="153" t="s">
        <v>2023</v>
      </c>
    </row>
    <row r="745" spans="42:43" x14ac:dyDescent="0.3">
      <c r="AP745" s="153" t="s">
        <v>2032</v>
      </c>
      <c r="AQ745" s="153" t="s">
        <v>2802</v>
      </c>
    </row>
    <row r="746" spans="42:43" x14ac:dyDescent="0.3">
      <c r="AP746" s="153" t="s">
        <v>2032</v>
      </c>
      <c r="AQ746" s="153" t="s">
        <v>2802</v>
      </c>
    </row>
    <row r="747" spans="42:43" x14ac:dyDescent="0.3">
      <c r="AP747" s="153" t="s">
        <v>2032</v>
      </c>
      <c r="AQ747" s="153" t="s">
        <v>2802</v>
      </c>
    </row>
    <row r="748" spans="42:43" x14ac:dyDescent="0.3">
      <c r="AP748" s="153" t="s">
        <v>2032</v>
      </c>
      <c r="AQ748" s="153" t="s">
        <v>2802</v>
      </c>
    </row>
    <row r="749" spans="42:43" x14ac:dyDescent="0.3">
      <c r="AP749" s="153" t="s">
        <v>2032</v>
      </c>
      <c r="AQ749" s="153" t="s">
        <v>2802</v>
      </c>
    </row>
    <row r="750" spans="42:43" x14ac:dyDescent="0.3">
      <c r="AP750" s="153" t="s">
        <v>2034</v>
      </c>
      <c r="AQ750" s="153" t="s">
        <v>2802</v>
      </c>
    </row>
    <row r="751" spans="42:43" x14ac:dyDescent="0.3">
      <c r="AP751" s="153" t="s">
        <v>2037</v>
      </c>
      <c r="AQ751" s="153" t="s">
        <v>2802</v>
      </c>
    </row>
    <row r="752" spans="42:43" x14ac:dyDescent="0.3">
      <c r="AP752" s="153" t="s">
        <v>2061</v>
      </c>
      <c r="AQ752" s="153" t="s">
        <v>2802</v>
      </c>
    </row>
    <row r="753" spans="42:43" x14ac:dyDescent="0.3">
      <c r="AP753" s="153" t="s">
        <v>2061</v>
      </c>
      <c r="AQ753" s="153" t="s">
        <v>2802</v>
      </c>
    </row>
    <row r="754" spans="42:43" x14ac:dyDescent="0.3">
      <c r="AP754" s="153" t="s">
        <v>2028</v>
      </c>
      <c r="AQ754" s="153" t="s">
        <v>2023</v>
      </c>
    </row>
    <row r="755" spans="42:43" x14ac:dyDescent="0.3">
      <c r="AP755" s="153" t="s">
        <v>2037</v>
      </c>
      <c r="AQ755" s="153" t="s">
        <v>2802</v>
      </c>
    </row>
    <row r="756" spans="42:43" x14ac:dyDescent="0.3">
      <c r="AP756" s="153" t="s">
        <v>2037</v>
      </c>
      <c r="AQ756" s="153" t="s">
        <v>2802</v>
      </c>
    </row>
    <row r="757" spans="42:43" x14ac:dyDescent="0.3">
      <c r="AP757" s="153" t="s">
        <v>2037</v>
      </c>
      <c r="AQ757" s="153" t="s">
        <v>2802</v>
      </c>
    </row>
    <row r="758" spans="42:43" x14ac:dyDescent="0.3">
      <c r="AP758" s="153" t="s">
        <v>2037</v>
      </c>
      <c r="AQ758" s="153" t="s">
        <v>2802</v>
      </c>
    </row>
    <row r="759" spans="42:43" x14ac:dyDescent="0.3">
      <c r="AP759" s="153" t="s">
        <v>2037</v>
      </c>
      <c r="AQ759" s="153" t="s">
        <v>2802</v>
      </c>
    </row>
    <row r="760" spans="42:43" x14ac:dyDescent="0.3">
      <c r="AP760" s="153" t="s">
        <v>2037</v>
      </c>
      <c r="AQ760" s="153" t="s">
        <v>2802</v>
      </c>
    </row>
    <row r="761" spans="42:43" x14ac:dyDescent="0.3">
      <c r="AP761" s="153" t="s">
        <v>2037</v>
      </c>
      <c r="AQ761" s="153" t="s">
        <v>2802</v>
      </c>
    </row>
    <row r="762" spans="42:43" x14ac:dyDescent="0.3">
      <c r="AP762" s="153" t="s">
        <v>2037</v>
      </c>
      <c r="AQ762" s="153" t="s">
        <v>2802</v>
      </c>
    </row>
    <row r="763" spans="42:43" x14ac:dyDescent="0.3">
      <c r="AP763" s="153" t="s">
        <v>2037</v>
      </c>
      <c r="AQ763" s="153" t="s">
        <v>2802</v>
      </c>
    </row>
    <row r="764" spans="42:43" x14ac:dyDescent="0.3">
      <c r="AP764" s="153" t="s">
        <v>2037</v>
      </c>
      <c r="AQ764" s="153" t="s">
        <v>2802</v>
      </c>
    </row>
    <row r="765" spans="42:43" x14ac:dyDescent="0.3">
      <c r="AP765" s="153" t="s">
        <v>2037</v>
      </c>
      <c r="AQ765" s="153" t="s">
        <v>2802</v>
      </c>
    </row>
    <row r="766" spans="42:43" x14ac:dyDescent="0.3">
      <c r="AP766" s="153" t="s">
        <v>2037</v>
      </c>
      <c r="AQ766" s="153" t="s">
        <v>2802</v>
      </c>
    </row>
    <row r="767" spans="42:43" x14ac:dyDescent="0.3">
      <c r="AP767" s="153" t="s">
        <v>2037</v>
      </c>
      <c r="AQ767" s="153" t="s">
        <v>2802</v>
      </c>
    </row>
    <row r="768" spans="42:43" x14ac:dyDescent="0.3">
      <c r="AP768" s="153" t="s">
        <v>2037</v>
      </c>
      <c r="AQ768" s="153" t="s">
        <v>2802</v>
      </c>
    </row>
    <row r="769" spans="42:43" x14ac:dyDescent="0.3">
      <c r="AP769" s="153" t="s">
        <v>2037</v>
      </c>
      <c r="AQ769" s="153" t="s">
        <v>2802</v>
      </c>
    </row>
    <row r="770" spans="42:43" x14ac:dyDescent="0.3">
      <c r="AP770" s="153" t="s">
        <v>2037</v>
      </c>
      <c r="AQ770" s="153" t="s">
        <v>2802</v>
      </c>
    </row>
    <row r="771" spans="42:43" x14ac:dyDescent="0.3">
      <c r="AP771" s="153" t="s">
        <v>2037</v>
      </c>
      <c r="AQ771" s="153" t="s">
        <v>2802</v>
      </c>
    </row>
    <row r="772" spans="42:43" x14ac:dyDescent="0.3">
      <c r="AP772" s="153" t="s">
        <v>2037</v>
      </c>
      <c r="AQ772" s="153" t="s">
        <v>2802</v>
      </c>
    </row>
    <row r="773" spans="42:43" x14ac:dyDescent="0.3">
      <c r="AP773" s="153" t="s">
        <v>2037</v>
      </c>
      <c r="AQ773" s="153" t="s">
        <v>2802</v>
      </c>
    </row>
    <row r="774" spans="42:43" x14ac:dyDescent="0.3">
      <c r="AP774" s="153" t="s">
        <v>2037</v>
      </c>
      <c r="AQ774" s="153" t="s">
        <v>2802</v>
      </c>
    </row>
    <row r="775" spans="42:43" x14ac:dyDescent="0.3">
      <c r="AP775" s="153" t="s">
        <v>2039</v>
      </c>
      <c r="AQ775" s="153" t="s">
        <v>2802</v>
      </c>
    </row>
    <row r="776" spans="42:43" x14ac:dyDescent="0.3">
      <c r="AP776" s="153" t="s">
        <v>2028</v>
      </c>
      <c r="AQ776" s="153" t="s">
        <v>2023</v>
      </c>
    </row>
    <row r="777" spans="42:43" x14ac:dyDescent="0.3">
      <c r="AP777" s="153" t="s">
        <v>2036</v>
      </c>
      <c r="AQ777" s="153" t="s">
        <v>2024</v>
      </c>
    </row>
    <row r="778" spans="42:43" x14ac:dyDescent="0.3">
      <c r="AP778" s="153" t="s">
        <v>2036</v>
      </c>
      <c r="AQ778" s="153" t="s">
        <v>2024</v>
      </c>
    </row>
    <row r="779" spans="42:43" x14ac:dyDescent="0.3">
      <c r="AP779" s="153" t="s">
        <v>2036</v>
      </c>
      <c r="AQ779" s="153" t="s">
        <v>2024</v>
      </c>
    </row>
    <row r="780" spans="42:43" x14ac:dyDescent="0.3">
      <c r="AP780" s="153" t="s">
        <v>2036</v>
      </c>
      <c r="AQ780" s="153" t="s">
        <v>2024</v>
      </c>
    </row>
    <row r="781" spans="42:43" x14ac:dyDescent="0.3">
      <c r="AP781" s="153" t="s">
        <v>2036</v>
      </c>
      <c r="AQ781" s="153" t="s">
        <v>2024</v>
      </c>
    </row>
    <row r="782" spans="42:43" x14ac:dyDescent="0.3">
      <c r="AP782" s="153" t="s">
        <v>2036</v>
      </c>
      <c r="AQ782" s="153" t="s">
        <v>2024</v>
      </c>
    </row>
    <row r="783" spans="42:43" x14ac:dyDescent="0.3">
      <c r="AP783" s="153" t="s">
        <v>2036</v>
      </c>
      <c r="AQ783" s="153" t="s">
        <v>2024</v>
      </c>
    </row>
    <row r="784" spans="42:43" x14ac:dyDescent="0.3">
      <c r="AP784" s="153" t="s">
        <v>2036</v>
      </c>
      <c r="AQ784" s="153" t="s">
        <v>2024</v>
      </c>
    </row>
    <row r="785" spans="42:43" x14ac:dyDescent="0.3">
      <c r="AP785" s="153" t="s">
        <v>2036</v>
      </c>
      <c r="AQ785" s="153" t="s">
        <v>2024</v>
      </c>
    </row>
    <row r="786" spans="42:43" x14ac:dyDescent="0.3">
      <c r="AP786" s="153" t="s">
        <v>2036</v>
      </c>
      <c r="AQ786" s="153" t="s">
        <v>2024</v>
      </c>
    </row>
    <row r="787" spans="42:43" x14ac:dyDescent="0.3">
      <c r="AP787" s="153" t="s">
        <v>2036</v>
      </c>
      <c r="AQ787" s="153" t="s">
        <v>2024</v>
      </c>
    </row>
    <row r="788" spans="42:43" x14ac:dyDescent="0.3">
      <c r="AP788" s="153" t="s">
        <v>2036</v>
      </c>
      <c r="AQ788" s="153" t="s">
        <v>2024</v>
      </c>
    </row>
    <row r="789" spans="42:43" x14ac:dyDescent="0.3">
      <c r="AP789" s="153" t="s">
        <v>2038</v>
      </c>
      <c r="AQ789" s="153" t="s">
        <v>2802</v>
      </c>
    </row>
    <row r="790" spans="42:43" x14ac:dyDescent="0.3">
      <c r="AP790" s="153" t="s">
        <v>2037</v>
      </c>
      <c r="AQ790" s="153" t="s">
        <v>2802</v>
      </c>
    </row>
    <row r="791" spans="42:43" x14ac:dyDescent="0.3">
      <c r="AP791" s="153" t="s">
        <v>2037</v>
      </c>
      <c r="AQ791" s="153" t="s">
        <v>2802</v>
      </c>
    </row>
    <row r="792" spans="42:43" x14ac:dyDescent="0.3">
      <c r="AP792" s="153" t="s">
        <v>2041</v>
      </c>
      <c r="AQ792" s="153" t="s">
        <v>2802</v>
      </c>
    </row>
    <row r="793" spans="42:43" x14ac:dyDescent="0.3">
      <c r="AP793" s="153" t="s">
        <v>2032</v>
      </c>
      <c r="AQ793" s="153" t="s">
        <v>2802</v>
      </c>
    </row>
    <row r="794" spans="42:43" x14ac:dyDescent="0.3">
      <c r="AP794" s="153" t="s">
        <v>2032</v>
      </c>
      <c r="AQ794" s="153" t="s">
        <v>2802</v>
      </c>
    </row>
    <row r="795" spans="42:43" x14ac:dyDescent="0.3">
      <c r="AP795" s="153" t="s">
        <v>2032</v>
      </c>
      <c r="AQ795" s="153" t="s">
        <v>2802</v>
      </c>
    </row>
    <row r="796" spans="42:43" x14ac:dyDescent="0.3">
      <c r="AP796" s="153" t="s">
        <v>2039</v>
      </c>
      <c r="AQ796" s="153" t="s">
        <v>2802</v>
      </c>
    </row>
    <row r="797" spans="42:43" x14ac:dyDescent="0.3">
      <c r="AP797" s="153" t="s">
        <v>2039</v>
      </c>
      <c r="AQ797" s="153" t="s">
        <v>2802</v>
      </c>
    </row>
    <row r="798" spans="42:43" x14ac:dyDescent="0.3">
      <c r="AP798" s="153" t="s">
        <v>2038</v>
      </c>
      <c r="AQ798" s="153" t="s">
        <v>2802</v>
      </c>
    </row>
    <row r="799" spans="42:43" x14ac:dyDescent="0.3">
      <c r="AP799" s="153" t="s">
        <v>2041</v>
      </c>
      <c r="AQ799" s="153" t="s">
        <v>2802</v>
      </c>
    </row>
    <row r="800" spans="42:43" x14ac:dyDescent="0.3">
      <c r="AP800" s="153" t="s">
        <v>2041</v>
      </c>
      <c r="AQ800" s="153" t="s">
        <v>2802</v>
      </c>
    </row>
    <row r="801" spans="42:43" x14ac:dyDescent="0.3">
      <c r="AP801" s="153" t="s">
        <v>2041</v>
      </c>
      <c r="AQ801" s="153" t="s">
        <v>2802</v>
      </c>
    </row>
    <row r="802" spans="42:43" x14ac:dyDescent="0.3">
      <c r="AP802" s="153" t="s">
        <v>2028</v>
      </c>
      <c r="AQ802" s="153" t="s">
        <v>2023</v>
      </c>
    </row>
    <row r="803" spans="42:43" x14ac:dyDescent="0.3">
      <c r="AP803" s="153" t="s">
        <v>2037</v>
      </c>
      <c r="AQ803" s="153" t="s">
        <v>2802</v>
      </c>
    </row>
    <row r="804" spans="42:43" x14ac:dyDescent="0.3">
      <c r="AP804" s="153" t="s">
        <v>2039</v>
      </c>
      <c r="AQ804" s="153" t="s">
        <v>2802</v>
      </c>
    </row>
    <row r="805" spans="42:43" x14ac:dyDescent="0.3">
      <c r="AP805" s="153" t="s">
        <v>2035</v>
      </c>
      <c r="AQ805" s="153" t="s">
        <v>2802</v>
      </c>
    </row>
    <row r="806" spans="42:43" x14ac:dyDescent="0.3">
      <c r="AP806" s="153" t="s">
        <v>2039</v>
      </c>
      <c r="AQ806" s="153" t="s">
        <v>2802</v>
      </c>
    </row>
    <row r="807" spans="42:43" x14ac:dyDescent="0.3">
      <c r="AP807" s="153" t="s">
        <v>2039</v>
      </c>
      <c r="AQ807" s="153" t="s">
        <v>2802</v>
      </c>
    </row>
    <row r="808" spans="42:43" x14ac:dyDescent="0.3">
      <c r="AP808" s="153" t="s">
        <v>2041</v>
      </c>
      <c r="AQ808" s="153" t="s">
        <v>2802</v>
      </c>
    </row>
    <row r="809" spans="42:43" x14ac:dyDescent="0.3">
      <c r="AP809" s="153" t="s">
        <v>2946</v>
      </c>
      <c r="AQ809" s="153" t="s">
        <v>2802</v>
      </c>
    </row>
    <row r="810" spans="42:43" x14ac:dyDescent="0.3">
      <c r="AP810" s="153" t="s">
        <v>2041</v>
      </c>
      <c r="AQ810" s="153" t="s">
        <v>2802</v>
      </c>
    </row>
    <row r="811" spans="42:43" x14ac:dyDescent="0.3">
      <c r="AP811" s="153" t="s">
        <v>2037</v>
      </c>
      <c r="AQ811" s="153" t="s">
        <v>2802</v>
      </c>
    </row>
    <row r="812" spans="42:43" x14ac:dyDescent="0.3">
      <c r="AP812" s="153" t="s">
        <v>2039</v>
      </c>
      <c r="AQ812" s="153" t="s">
        <v>2802</v>
      </c>
    </row>
    <row r="813" spans="42:43" x14ac:dyDescent="0.3">
      <c r="AP813" s="153" t="s">
        <v>2028</v>
      </c>
      <c r="AQ813" s="153" t="s">
        <v>2023</v>
      </c>
    </row>
    <row r="814" spans="42:43" x14ac:dyDescent="0.3">
      <c r="AP814" s="153" t="s">
        <v>2037</v>
      </c>
      <c r="AQ814" s="153" t="s">
        <v>2802</v>
      </c>
    </row>
    <row r="815" spans="42:43" x14ac:dyDescent="0.3">
      <c r="AP815" s="153" t="s">
        <v>2037</v>
      </c>
      <c r="AQ815" s="153" t="s">
        <v>2802</v>
      </c>
    </row>
    <row r="816" spans="42:43" x14ac:dyDescent="0.3">
      <c r="AP816" s="153" t="s">
        <v>2037</v>
      </c>
      <c r="AQ816" s="153" t="s">
        <v>2802</v>
      </c>
    </row>
    <row r="817" spans="42:43" x14ac:dyDescent="0.3">
      <c r="AP817" s="153" t="s">
        <v>2037</v>
      </c>
      <c r="AQ817" s="153" t="s">
        <v>2802</v>
      </c>
    </row>
    <row r="818" spans="42:43" x14ac:dyDescent="0.3">
      <c r="AP818" s="153" t="s">
        <v>2037</v>
      </c>
      <c r="AQ818" s="153" t="s">
        <v>2802</v>
      </c>
    </row>
    <row r="819" spans="42:43" x14ac:dyDescent="0.3">
      <c r="AP819" s="153" t="s">
        <v>2037</v>
      </c>
      <c r="AQ819" s="153" t="s">
        <v>2802</v>
      </c>
    </row>
    <row r="820" spans="42:43" x14ac:dyDescent="0.3">
      <c r="AP820" s="153" t="s">
        <v>2037</v>
      </c>
      <c r="AQ820" s="153" t="s">
        <v>2802</v>
      </c>
    </row>
    <row r="821" spans="42:43" x14ac:dyDescent="0.3">
      <c r="AP821" s="153" t="s">
        <v>2037</v>
      </c>
      <c r="AQ821" s="153" t="s">
        <v>2802</v>
      </c>
    </row>
    <row r="822" spans="42:43" x14ac:dyDescent="0.3">
      <c r="AP822" s="153" t="s">
        <v>2037</v>
      </c>
      <c r="AQ822" s="153" t="s">
        <v>2802</v>
      </c>
    </row>
    <row r="823" spans="42:43" x14ac:dyDescent="0.3">
      <c r="AP823" s="153" t="s">
        <v>2037</v>
      </c>
      <c r="AQ823" s="153" t="s">
        <v>2802</v>
      </c>
    </row>
    <row r="824" spans="42:43" x14ac:dyDescent="0.3">
      <c r="AP824" s="153" t="s">
        <v>2037</v>
      </c>
      <c r="AQ824" s="153" t="s">
        <v>2802</v>
      </c>
    </row>
    <row r="825" spans="42:43" x14ac:dyDescent="0.3">
      <c r="AP825" s="153" t="s">
        <v>2037</v>
      </c>
      <c r="AQ825" s="153" t="s">
        <v>2802</v>
      </c>
    </row>
    <row r="826" spans="42:43" x14ac:dyDescent="0.3">
      <c r="AP826" s="153" t="s">
        <v>2037</v>
      </c>
      <c r="AQ826" s="153" t="s">
        <v>2802</v>
      </c>
    </row>
    <row r="827" spans="42:43" x14ac:dyDescent="0.3">
      <c r="AP827" s="153" t="s">
        <v>2037</v>
      </c>
      <c r="AQ827" s="153" t="s">
        <v>2802</v>
      </c>
    </row>
    <row r="828" spans="42:43" x14ac:dyDescent="0.3">
      <c r="AP828" s="153" t="s">
        <v>2037</v>
      </c>
      <c r="AQ828" s="153" t="s">
        <v>2802</v>
      </c>
    </row>
    <row r="829" spans="42:43" x14ac:dyDescent="0.3">
      <c r="AP829" s="153" t="s">
        <v>2037</v>
      </c>
      <c r="AQ829" s="153" t="s">
        <v>2802</v>
      </c>
    </row>
    <row r="830" spans="42:43" x14ac:dyDescent="0.3">
      <c r="AP830" s="153" t="s">
        <v>2037</v>
      </c>
      <c r="AQ830" s="153" t="s">
        <v>2802</v>
      </c>
    </row>
    <row r="831" spans="42:43" x14ac:dyDescent="0.3">
      <c r="AP831" s="153" t="s">
        <v>2037</v>
      </c>
      <c r="AQ831" s="153" t="s">
        <v>2802</v>
      </c>
    </row>
    <row r="832" spans="42:43" x14ac:dyDescent="0.3">
      <c r="AP832" s="153" t="s">
        <v>2037</v>
      </c>
      <c r="AQ832" s="153" t="s">
        <v>2802</v>
      </c>
    </row>
    <row r="833" spans="42:43" x14ac:dyDescent="0.3">
      <c r="AP833" s="153" t="s">
        <v>2037</v>
      </c>
      <c r="AQ833" s="153" t="s">
        <v>2802</v>
      </c>
    </row>
    <row r="834" spans="42:43" x14ac:dyDescent="0.3">
      <c r="AP834" s="153" t="s">
        <v>2039</v>
      </c>
      <c r="AQ834" s="153" t="s">
        <v>2802</v>
      </c>
    </row>
    <row r="835" spans="42:43" x14ac:dyDescent="0.3">
      <c r="AP835" s="153" t="s">
        <v>2032</v>
      </c>
      <c r="AQ835" s="153" t="s">
        <v>2802</v>
      </c>
    </row>
    <row r="836" spans="42:43" x14ac:dyDescent="0.3">
      <c r="AP836" s="153" t="s">
        <v>2032</v>
      </c>
      <c r="AQ836" s="153" t="s">
        <v>2802</v>
      </c>
    </row>
    <row r="837" spans="42:43" x14ac:dyDescent="0.3">
      <c r="AP837" s="153" t="s">
        <v>2039</v>
      </c>
      <c r="AQ837" s="153" t="s">
        <v>2802</v>
      </c>
    </row>
    <row r="838" spans="42:43" x14ac:dyDescent="0.3">
      <c r="AP838" s="153" t="s">
        <v>2906</v>
      </c>
      <c r="AQ838" s="153" t="s">
        <v>2802</v>
      </c>
    </row>
    <row r="839" spans="42:43" x14ac:dyDescent="0.3">
      <c r="AP839" s="153" t="s">
        <v>2037</v>
      </c>
      <c r="AQ839" s="153" t="s">
        <v>2802</v>
      </c>
    </row>
    <row r="840" spans="42:43" x14ac:dyDescent="0.3">
      <c r="AP840" s="153" t="s">
        <v>2037</v>
      </c>
      <c r="AQ840" s="153" t="s">
        <v>2802</v>
      </c>
    </row>
    <row r="841" spans="42:43" x14ac:dyDescent="0.3">
      <c r="AP841" s="153" t="s">
        <v>2037</v>
      </c>
      <c r="AQ841" s="153" t="s">
        <v>2802</v>
      </c>
    </row>
    <row r="842" spans="42:43" x14ac:dyDescent="0.3">
      <c r="AP842" s="153" t="s">
        <v>2054</v>
      </c>
      <c r="AQ842" s="153" t="s">
        <v>2802</v>
      </c>
    </row>
    <row r="843" spans="42:43" x14ac:dyDescent="0.3">
      <c r="AP843" s="153" t="s">
        <v>2038</v>
      </c>
      <c r="AQ843" s="153" t="s">
        <v>2802</v>
      </c>
    </row>
    <row r="844" spans="42:43" x14ac:dyDescent="0.3">
      <c r="AP844" s="153" t="s">
        <v>2037</v>
      </c>
      <c r="AQ844" s="153" t="s">
        <v>2802</v>
      </c>
    </row>
    <row r="845" spans="42:43" x14ac:dyDescent="0.3">
      <c r="AP845" s="153" t="s">
        <v>2063</v>
      </c>
      <c r="AQ845" s="153" t="s">
        <v>2802</v>
      </c>
    </row>
    <row r="846" spans="42:43" x14ac:dyDescent="0.3">
      <c r="AP846" s="153" t="s">
        <v>2037</v>
      </c>
      <c r="AQ846" s="153" t="s">
        <v>2802</v>
      </c>
    </row>
    <row r="847" spans="42:43" x14ac:dyDescent="0.3">
      <c r="AP847" s="153" t="s">
        <v>2041</v>
      </c>
      <c r="AQ847" s="153" t="s">
        <v>2802</v>
      </c>
    </row>
    <row r="848" spans="42:43" x14ac:dyDescent="0.3">
      <c r="AP848" s="153" t="s">
        <v>2028</v>
      </c>
      <c r="AQ848" s="153" t="s">
        <v>2023</v>
      </c>
    </row>
    <row r="849" spans="42:43" x14ac:dyDescent="0.3">
      <c r="AP849" s="153" t="s">
        <v>2037</v>
      </c>
      <c r="AQ849" s="153" t="s">
        <v>2802</v>
      </c>
    </row>
    <row r="850" spans="42:43" x14ac:dyDescent="0.3">
      <c r="AP850" s="153" t="s">
        <v>2037</v>
      </c>
      <c r="AQ850" s="153" t="s">
        <v>2802</v>
      </c>
    </row>
    <row r="851" spans="42:43" x14ac:dyDescent="0.3">
      <c r="AP851" s="153" t="s">
        <v>2037</v>
      </c>
      <c r="AQ851" s="153" t="s">
        <v>2802</v>
      </c>
    </row>
    <row r="852" spans="42:43" x14ac:dyDescent="0.3">
      <c r="AP852" s="153" t="s">
        <v>2028</v>
      </c>
      <c r="AQ852" s="153" t="s">
        <v>2023</v>
      </c>
    </row>
    <row r="853" spans="42:43" x14ac:dyDescent="0.3">
      <c r="AP853" s="153" t="s">
        <v>2041</v>
      </c>
      <c r="AQ853" s="153" t="s">
        <v>2802</v>
      </c>
    </row>
    <row r="854" spans="42:43" x14ac:dyDescent="0.3">
      <c r="AP854" s="153" t="s">
        <v>2057</v>
      </c>
      <c r="AQ854" s="153" t="s">
        <v>2024</v>
      </c>
    </row>
    <row r="855" spans="42:43" x14ac:dyDescent="0.3">
      <c r="AP855" s="153" t="s">
        <v>2062</v>
      </c>
      <c r="AQ855" s="153" t="s">
        <v>2023</v>
      </c>
    </row>
    <row r="856" spans="42:43" x14ac:dyDescent="0.3">
      <c r="AP856" s="153" t="s">
        <v>2039</v>
      </c>
      <c r="AQ856" s="153" t="s">
        <v>2802</v>
      </c>
    </row>
    <row r="857" spans="42:43" x14ac:dyDescent="0.3">
      <c r="AP857" s="153" t="s">
        <v>2062</v>
      </c>
      <c r="AQ857" s="153" t="s">
        <v>2023</v>
      </c>
    </row>
    <row r="858" spans="42:43" x14ac:dyDescent="0.3">
      <c r="AP858" s="153" t="s">
        <v>2037</v>
      </c>
      <c r="AQ858" s="153" t="s">
        <v>2802</v>
      </c>
    </row>
    <row r="859" spans="42:43" x14ac:dyDescent="0.3">
      <c r="AP859" s="153" t="s">
        <v>2037</v>
      </c>
      <c r="AQ859" s="153" t="s">
        <v>2802</v>
      </c>
    </row>
    <row r="860" spans="42:43" x14ac:dyDescent="0.3">
      <c r="AP860" s="153" t="s">
        <v>2067</v>
      </c>
      <c r="AQ860" s="153" t="s">
        <v>2024</v>
      </c>
    </row>
    <row r="861" spans="42:43" x14ac:dyDescent="0.3">
      <c r="AP861" s="153" t="s">
        <v>2034</v>
      </c>
      <c r="AQ861" s="153" t="s">
        <v>2802</v>
      </c>
    </row>
    <row r="862" spans="42:43" x14ac:dyDescent="0.3">
      <c r="AP862" s="153" t="s">
        <v>2046</v>
      </c>
      <c r="AQ862" s="153" t="s">
        <v>2802</v>
      </c>
    </row>
    <row r="863" spans="42:43" x14ac:dyDescent="0.3">
      <c r="AP863" s="153" t="s">
        <v>2046</v>
      </c>
      <c r="AQ863" s="153" t="s">
        <v>2802</v>
      </c>
    </row>
    <row r="864" spans="42:43" x14ac:dyDescent="0.3">
      <c r="AP864" s="153" t="s">
        <v>2037</v>
      </c>
      <c r="AQ864" s="153" t="s">
        <v>2802</v>
      </c>
    </row>
    <row r="865" spans="42:43" x14ac:dyDescent="0.3">
      <c r="AP865" s="153" t="s">
        <v>2037</v>
      </c>
      <c r="AQ865" s="153" t="s">
        <v>2802</v>
      </c>
    </row>
    <row r="866" spans="42:43" x14ac:dyDescent="0.3">
      <c r="AP866" s="153" t="s">
        <v>2061</v>
      </c>
      <c r="AQ866" s="153" t="s">
        <v>2802</v>
      </c>
    </row>
    <row r="867" spans="42:43" x14ac:dyDescent="0.3">
      <c r="AP867" s="153" t="s">
        <v>2028</v>
      </c>
      <c r="AQ867" s="153" t="s">
        <v>2023</v>
      </c>
    </row>
    <row r="868" spans="42:43" x14ac:dyDescent="0.3">
      <c r="AP868" s="153" t="s">
        <v>2037</v>
      </c>
      <c r="AQ868" s="153" t="s">
        <v>2802</v>
      </c>
    </row>
    <row r="869" spans="42:43" x14ac:dyDescent="0.3">
      <c r="AP869" s="153" t="s">
        <v>2061</v>
      </c>
      <c r="AQ869" s="153" t="s">
        <v>2802</v>
      </c>
    </row>
    <row r="870" spans="42:43" x14ac:dyDescent="0.3">
      <c r="AP870" s="153" t="s">
        <v>2041</v>
      </c>
      <c r="AQ870" s="153" t="s">
        <v>2802</v>
      </c>
    </row>
    <row r="871" spans="42:43" x14ac:dyDescent="0.3">
      <c r="AP871" s="153" t="s">
        <v>2037</v>
      </c>
      <c r="AQ871" s="153" t="s">
        <v>2802</v>
      </c>
    </row>
    <row r="872" spans="42:43" x14ac:dyDescent="0.3">
      <c r="AP872" s="153" t="s">
        <v>2059</v>
      </c>
      <c r="AQ872" s="153" t="s">
        <v>2024</v>
      </c>
    </row>
    <row r="873" spans="42:43" x14ac:dyDescent="0.3">
      <c r="AP873" s="153" t="s">
        <v>2028</v>
      </c>
      <c r="AQ873" s="153" t="s">
        <v>2023</v>
      </c>
    </row>
    <row r="874" spans="42:43" x14ac:dyDescent="0.3">
      <c r="AP874" s="153" t="s">
        <v>2037</v>
      </c>
      <c r="AQ874" s="153" t="s">
        <v>2802</v>
      </c>
    </row>
    <row r="875" spans="42:43" x14ac:dyDescent="0.3">
      <c r="AP875" s="153" t="s">
        <v>2037</v>
      </c>
      <c r="AQ875" s="153" t="s">
        <v>2802</v>
      </c>
    </row>
    <row r="876" spans="42:43" x14ac:dyDescent="0.3">
      <c r="AP876" s="153" t="s">
        <v>2037</v>
      </c>
      <c r="AQ876" s="153" t="s">
        <v>2802</v>
      </c>
    </row>
    <row r="877" spans="42:43" x14ac:dyDescent="0.3">
      <c r="AP877" s="153" t="s">
        <v>2061</v>
      </c>
      <c r="AQ877" s="153" t="s">
        <v>2802</v>
      </c>
    </row>
    <row r="878" spans="42:43" x14ac:dyDescent="0.3">
      <c r="AP878" s="153" t="s">
        <v>2037</v>
      </c>
      <c r="AQ878" s="153" t="s">
        <v>2802</v>
      </c>
    </row>
    <row r="879" spans="42:43" x14ac:dyDescent="0.3">
      <c r="AP879" s="153" t="s">
        <v>2037</v>
      </c>
      <c r="AQ879" s="153" t="s">
        <v>2802</v>
      </c>
    </row>
    <row r="880" spans="42:43" x14ac:dyDescent="0.3">
      <c r="AP880" s="153" t="s">
        <v>2037</v>
      </c>
      <c r="AQ880" s="153" t="s">
        <v>2802</v>
      </c>
    </row>
    <row r="881" spans="42:43" x14ac:dyDescent="0.3">
      <c r="AP881" s="153" t="s">
        <v>2037</v>
      </c>
      <c r="AQ881" s="153" t="s">
        <v>2802</v>
      </c>
    </row>
    <row r="882" spans="42:43" x14ac:dyDescent="0.3">
      <c r="AP882" s="153" t="s">
        <v>2037</v>
      </c>
      <c r="AQ882" s="153" t="s">
        <v>2802</v>
      </c>
    </row>
    <row r="883" spans="42:43" x14ac:dyDescent="0.3">
      <c r="AP883" s="153" t="s">
        <v>2037</v>
      </c>
      <c r="AQ883" s="153" t="s">
        <v>2802</v>
      </c>
    </row>
    <row r="884" spans="42:43" x14ac:dyDescent="0.3">
      <c r="AP884" s="153" t="s">
        <v>2037</v>
      </c>
      <c r="AQ884" s="153" t="s">
        <v>2802</v>
      </c>
    </row>
    <row r="885" spans="42:43" x14ac:dyDescent="0.3">
      <c r="AP885" s="153" t="s">
        <v>2037</v>
      </c>
      <c r="AQ885" s="153" t="s">
        <v>2802</v>
      </c>
    </row>
    <row r="886" spans="42:43" x14ac:dyDescent="0.3">
      <c r="AP886" s="153" t="s">
        <v>2037</v>
      </c>
      <c r="AQ886" s="153" t="s">
        <v>2802</v>
      </c>
    </row>
    <row r="887" spans="42:43" x14ac:dyDescent="0.3">
      <c r="AP887" s="153" t="s">
        <v>2037</v>
      </c>
      <c r="AQ887" s="153" t="s">
        <v>2802</v>
      </c>
    </row>
    <row r="888" spans="42:43" x14ac:dyDescent="0.3">
      <c r="AP888" s="153" t="s">
        <v>2037</v>
      </c>
      <c r="AQ888" s="153" t="s">
        <v>2802</v>
      </c>
    </row>
    <row r="889" spans="42:43" x14ac:dyDescent="0.3">
      <c r="AP889" s="153" t="s">
        <v>2037</v>
      </c>
      <c r="AQ889" s="153" t="s">
        <v>2802</v>
      </c>
    </row>
    <row r="890" spans="42:43" x14ac:dyDescent="0.3">
      <c r="AP890" s="153" t="s">
        <v>2037</v>
      </c>
      <c r="AQ890" s="153" t="s">
        <v>2802</v>
      </c>
    </row>
    <row r="891" spans="42:43" x14ac:dyDescent="0.3">
      <c r="AP891" s="153" t="s">
        <v>2037</v>
      </c>
      <c r="AQ891" s="153" t="s">
        <v>2802</v>
      </c>
    </row>
    <row r="892" spans="42:43" x14ac:dyDescent="0.3">
      <c r="AP892" s="153" t="s">
        <v>2037</v>
      </c>
      <c r="AQ892" s="153" t="s">
        <v>2802</v>
      </c>
    </row>
    <row r="893" spans="42:43" x14ac:dyDescent="0.3">
      <c r="AP893" s="153" t="s">
        <v>2037</v>
      </c>
      <c r="AQ893" s="153" t="s">
        <v>2802</v>
      </c>
    </row>
    <row r="894" spans="42:43" x14ac:dyDescent="0.3">
      <c r="AP894" s="153" t="s">
        <v>2037</v>
      </c>
      <c r="AQ894" s="153" t="s">
        <v>2802</v>
      </c>
    </row>
    <row r="895" spans="42:43" x14ac:dyDescent="0.3">
      <c r="AP895" s="153" t="s">
        <v>2037</v>
      </c>
      <c r="AQ895" s="153" t="s">
        <v>2802</v>
      </c>
    </row>
    <row r="896" spans="42:43" x14ac:dyDescent="0.3">
      <c r="AP896" s="153" t="s">
        <v>2037</v>
      </c>
      <c r="AQ896" s="153" t="s">
        <v>2802</v>
      </c>
    </row>
    <row r="897" spans="42:43" x14ac:dyDescent="0.3">
      <c r="AP897" s="153" t="s">
        <v>2037</v>
      </c>
      <c r="AQ897" s="153" t="s">
        <v>2802</v>
      </c>
    </row>
    <row r="898" spans="42:43" x14ac:dyDescent="0.3">
      <c r="AP898" s="153" t="s">
        <v>2040</v>
      </c>
      <c r="AQ898" s="153" t="s">
        <v>2802</v>
      </c>
    </row>
    <row r="899" spans="42:43" x14ac:dyDescent="0.3">
      <c r="AP899" s="153" t="s">
        <v>2059</v>
      </c>
      <c r="AQ899" s="153" t="s">
        <v>2024</v>
      </c>
    </row>
    <row r="900" spans="42:43" x14ac:dyDescent="0.3">
      <c r="AP900" s="153" t="s">
        <v>2028</v>
      </c>
      <c r="AQ900" s="153" t="s">
        <v>2023</v>
      </c>
    </row>
    <row r="901" spans="42:43" x14ac:dyDescent="0.3">
      <c r="AP901" s="153" t="s">
        <v>2028</v>
      </c>
      <c r="AQ901" s="153" t="s">
        <v>2023</v>
      </c>
    </row>
    <row r="902" spans="42:43" x14ac:dyDescent="0.3">
      <c r="AP902" s="153" t="s">
        <v>2028</v>
      </c>
      <c r="AQ902" s="153" t="s">
        <v>2023</v>
      </c>
    </row>
    <row r="903" spans="42:43" x14ac:dyDescent="0.3">
      <c r="AP903" s="153" t="s">
        <v>2028</v>
      </c>
      <c r="AQ903" s="153" t="s">
        <v>2023</v>
      </c>
    </row>
    <row r="904" spans="42:43" x14ac:dyDescent="0.3">
      <c r="AP904" s="153" t="s">
        <v>2028</v>
      </c>
      <c r="AQ904" s="153" t="s">
        <v>2023</v>
      </c>
    </row>
    <row r="905" spans="42:43" x14ac:dyDescent="0.3">
      <c r="AP905" s="153" t="s">
        <v>2028</v>
      </c>
      <c r="AQ905" s="153" t="s">
        <v>2023</v>
      </c>
    </row>
    <row r="906" spans="42:43" x14ac:dyDescent="0.3">
      <c r="AP906" s="153" t="s">
        <v>2028</v>
      </c>
      <c r="AQ906" s="153" t="s">
        <v>2023</v>
      </c>
    </row>
    <row r="907" spans="42:43" x14ac:dyDescent="0.3">
      <c r="AP907" s="153" t="s">
        <v>2028</v>
      </c>
      <c r="AQ907" s="153" t="s">
        <v>2023</v>
      </c>
    </row>
    <row r="908" spans="42:43" x14ac:dyDescent="0.3">
      <c r="AP908" s="153" t="s">
        <v>2028</v>
      </c>
      <c r="AQ908" s="153" t="s">
        <v>2023</v>
      </c>
    </row>
    <row r="909" spans="42:43" x14ac:dyDescent="0.3">
      <c r="AP909" s="153" t="s">
        <v>2028</v>
      </c>
      <c r="AQ909" s="153" t="s">
        <v>2023</v>
      </c>
    </row>
    <row r="910" spans="42:43" x14ac:dyDescent="0.3">
      <c r="AP910" s="153" t="s">
        <v>2065</v>
      </c>
      <c r="AQ910" s="153" t="s">
        <v>2025</v>
      </c>
    </row>
    <row r="911" spans="42:43" x14ac:dyDescent="0.3">
      <c r="AP911" s="153" t="s">
        <v>2065</v>
      </c>
      <c r="AQ911" s="153" t="s">
        <v>2025</v>
      </c>
    </row>
    <row r="912" spans="42:43" x14ac:dyDescent="0.3">
      <c r="AP912" s="153" t="s">
        <v>2065</v>
      </c>
      <c r="AQ912" s="153" t="s">
        <v>2025</v>
      </c>
    </row>
    <row r="913" spans="42:43" x14ac:dyDescent="0.3">
      <c r="AP913" s="153" t="s">
        <v>2065</v>
      </c>
      <c r="AQ913" s="153" t="s">
        <v>2025</v>
      </c>
    </row>
    <row r="914" spans="42:43" x14ac:dyDescent="0.3">
      <c r="AP914" s="153" t="s">
        <v>2065</v>
      </c>
      <c r="AQ914" s="153" t="s">
        <v>2025</v>
      </c>
    </row>
    <row r="915" spans="42:43" x14ac:dyDescent="0.3">
      <c r="AP915" s="153" t="s">
        <v>2065</v>
      </c>
      <c r="AQ915" s="153" t="s">
        <v>2025</v>
      </c>
    </row>
    <row r="916" spans="42:43" x14ac:dyDescent="0.3">
      <c r="AP916" s="153" t="s">
        <v>2065</v>
      </c>
      <c r="AQ916" s="153" t="s">
        <v>2025</v>
      </c>
    </row>
    <row r="917" spans="42:43" x14ac:dyDescent="0.3">
      <c r="AP917" s="153" t="s">
        <v>2066</v>
      </c>
      <c r="AQ917" s="153" t="s">
        <v>2025</v>
      </c>
    </row>
    <row r="918" spans="42:43" x14ac:dyDescent="0.3">
      <c r="AP918" s="153" t="s">
        <v>2066</v>
      </c>
      <c r="AQ918" s="153" t="s">
        <v>2025</v>
      </c>
    </row>
    <row r="919" spans="42:43" x14ac:dyDescent="0.3">
      <c r="AP919" s="153" t="s">
        <v>2066</v>
      </c>
      <c r="AQ919" s="153" t="s">
        <v>2025</v>
      </c>
    </row>
    <row r="920" spans="42:43" x14ac:dyDescent="0.3">
      <c r="AP920" s="153" t="s">
        <v>2067</v>
      </c>
      <c r="AQ920" s="153" t="s">
        <v>2024</v>
      </c>
    </row>
    <row r="921" spans="42:43" x14ac:dyDescent="0.3">
      <c r="AP921" s="153" t="s">
        <v>2037</v>
      </c>
      <c r="AQ921" s="153" t="s">
        <v>2802</v>
      </c>
    </row>
    <row r="922" spans="42:43" x14ac:dyDescent="0.3">
      <c r="AP922" s="153" t="s">
        <v>2028</v>
      </c>
      <c r="AQ922" s="153" t="s">
        <v>2023</v>
      </c>
    </row>
    <row r="923" spans="42:43" x14ac:dyDescent="0.3">
      <c r="AP923" s="153" t="s">
        <v>2028</v>
      </c>
      <c r="AQ923" s="153" t="s">
        <v>2023</v>
      </c>
    </row>
    <row r="924" spans="42:43" x14ac:dyDescent="0.3">
      <c r="AP924" s="153" t="s">
        <v>2039</v>
      </c>
      <c r="AQ924" s="153" t="s">
        <v>2802</v>
      </c>
    </row>
    <row r="925" spans="42:43" x14ac:dyDescent="0.3">
      <c r="AP925" s="153" t="s">
        <v>2041</v>
      </c>
      <c r="AQ925" s="153" t="s">
        <v>2802</v>
      </c>
    </row>
    <row r="926" spans="42:43" x14ac:dyDescent="0.3">
      <c r="AP926" s="153" t="s">
        <v>2059</v>
      </c>
      <c r="AQ926" s="153" t="s">
        <v>2024</v>
      </c>
    </row>
    <row r="927" spans="42:43" x14ac:dyDescent="0.3">
      <c r="AP927" s="153" t="s">
        <v>2063</v>
      </c>
      <c r="AQ927" s="153" t="s">
        <v>2802</v>
      </c>
    </row>
    <row r="928" spans="42:43" x14ac:dyDescent="0.3">
      <c r="AP928" s="153" t="s">
        <v>2028</v>
      </c>
      <c r="AQ928" s="153" t="s">
        <v>2023</v>
      </c>
    </row>
    <row r="929" spans="42:43" x14ac:dyDescent="0.3">
      <c r="AP929" s="153" t="s">
        <v>2039</v>
      </c>
      <c r="AQ929" s="153" t="s">
        <v>2802</v>
      </c>
    </row>
    <row r="930" spans="42:43" x14ac:dyDescent="0.3">
      <c r="AP930" s="153" t="s">
        <v>2041</v>
      </c>
      <c r="AQ930" s="153" t="s">
        <v>2802</v>
      </c>
    </row>
    <row r="931" spans="42:43" x14ac:dyDescent="0.3">
      <c r="AP931" s="153" t="s">
        <v>2039</v>
      </c>
      <c r="AQ931" s="153" t="s">
        <v>2802</v>
      </c>
    </row>
    <row r="932" spans="42:43" x14ac:dyDescent="0.3">
      <c r="AP932" s="153" t="s">
        <v>2028</v>
      </c>
      <c r="AQ932" s="153" t="s">
        <v>2023</v>
      </c>
    </row>
    <row r="933" spans="42:43" x14ac:dyDescent="0.3">
      <c r="AP933" s="153" t="s">
        <v>2039</v>
      </c>
      <c r="AQ933" s="153" t="s">
        <v>2802</v>
      </c>
    </row>
    <row r="934" spans="42:43" x14ac:dyDescent="0.3">
      <c r="AP934" s="153" t="s">
        <v>2041</v>
      </c>
      <c r="AQ934" s="153" t="s">
        <v>2802</v>
      </c>
    </row>
    <row r="935" spans="42:43" x14ac:dyDescent="0.3">
      <c r="AP935" s="153" t="s">
        <v>2041</v>
      </c>
      <c r="AQ935" s="153" t="s">
        <v>2802</v>
      </c>
    </row>
    <row r="936" spans="42:43" x14ac:dyDescent="0.3">
      <c r="AP936" s="153" t="s">
        <v>2041</v>
      </c>
      <c r="AQ936" s="153" t="s">
        <v>2802</v>
      </c>
    </row>
    <row r="937" spans="42:43" x14ac:dyDescent="0.3">
      <c r="AP937" s="153" t="s">
        <v>2041</v>
      </c>
      <c r="AQ937" s="153" t="s">
        <v>2802</v>
      </c>
    </row>
    <row r="938" spans="42:43" x14ac:dyDescent="0.3">
      <c r="AP938" s="153" t="s">
        <v>2028</v>
      </c>
      <c r="AQ938" s="153" t="s">
        <v>2023</v>
      </c>
    </row>
    <row r="939" spans="42:43" x14ac:dyDescent="0.3">
      <c r="AP939" s="153" t="s">
        <v>2054</v>
      </c>
      <c r="AQ939" s="153" t="s">
        <v>2802</v>
      </c>
    </row>
    <row r="940" spans="42:43" x14ac:dyDescent="0.3">
      <c r="AP940" s="153" t="s">
        <v>2028</v>
      </c>
      <c r="AQ940" s="153" t="s">
        <v>2023</v>
      </c>
    </row>
    <row r="941" spans="42:43" x14ac:dyDescent="0.3">
      <c r="AP941" s="153" t="s">
        <v>2034</v>
      </c>
      <c r="AQ941" s="153" t="s">
        <v>2802</v>
      </c>
    </row>
    <row r="942" spans="42:43" x14ac:dyDescent="0.3">
      <c r="AP942" s="153" t="s">
        <v>2037</v>
      </c>
      <c r="AQ942" s="153" t="s">
        <v>2802</v>
      </c>
    </row>
    <row r="943" spans="42:43" x14ac:dyDescent="0.3">
      <c r="AP943" s="153" t="s">
        <v>2037</v>
      </c>
      <c r="AQ943" s="153" t="s">
        <v>2802</v>
      </c>
    </row>
    <row r="944" spans="42:43" x14ac:dyDescent="0.3">
      <c r="AP944" s="153" t="s">
        <v>2039</v>
      </c>
      <c r="AQ944" s="153" t="s">
        <v>2802</v>
      </c>
    </row>
    <row r="945" spans="42:43" x14ac:dyDescent="0.3">
      <c r="AP945" s="153" t="s">
        <v>2039</v>
      </c>
      <c r="AQ945" s="153" t="s">
        <v>2802</v>
      </c>
    </row>
    <row r="946" spans="42:43" x14ac:dyDescent="0.3">
      <c r="AP946" s="153" t="s">
        <v>2059</v>
      </c>
      <c r="AQ946" s="153" t="s">
        <v>2024</v>
      </c>
    </row>
    <row r="947" spans="42:43" x14ac:dyDescent="0.3">
      <c r="AP947" s="153" t="s">
        <v>2039</v>
      </c>
      <c r="AQ947" s="153" t="s">
        <v>2802</v>
      </c>
    </row>
    <row r="948" spans="42:43" x14ac:dyDescent="0.3">
      <c r="AP948" s="153" t="s">
        <v>2039</v>
      </c>
      <c r="AQ948" s="153" t="s">
        <v>2802</v>
      </c>
    </row>
    <row r="949" spans="42:43" x14ac:dyDescent="0.3">
      <c r="AP949" s="153" t="s">
        <v>2039</v>
      </c>
      <c r="AQ949" s="153" t="s">
        <v>2802</v>
      </c>
    </row>
    <row r="950" spans="42:43" x14ac:dyDescent="0.3">
      <c r="AP950" s="153" t="s">
        <v>2041</v>
      </c>
      <c r="AQ950" s="153" t="s">
        <v>2802</v>
      </c>
    </row>
    <row r="951" spans="42:43" x14ac:dyDescent="0.3">
      <c r="AP951" s="153" t="s">
        <v>2037</v>
      </c>
      <c r="AQ951" s="153" t="s">
        <v>2802</v>
      </c>
    </row>
    <row r="952" spans="42:43" x14ac:dyDescent="0.3">
      <c r="AP952" s="153" t="s">
        <v>2037</v>
      </c>
      <c r="AQ952" s="153" t="s">
        <v>2802</v>
      </c>
    </row>
    <row r="953" spans="42:43" x14ac:dyDescent="0.3">
      <c r="AP953" s="153" t="s">
        <v>2040</v>
      </c>
      <c r="AQ953" s="153" t="s">
        <v>2802</v>
      </c>
    </row>
    <row r="954" spans="42:43" x14ac:dyDescent="0.3">
      <c r="AP954" s="153" t="s">
        <v>2040</v>
      </c>
      <c r="AQ954" s="153" t="s">
        <v>2802</v>
      </c>
    </row>
    <row r="955" spans="42:43" x14ac:dyDescent="0.3">
      <c r="AP955" s="153" t="s">
        <v>2032</v>
      </c>
      <c r="AQ955" s="153" t="s">
        <v>2802</v>
      </c>
    </row>
    <row r="956" spans="42:43" x14ac:dyDescent="0.3">
      <c r="AP956" s="153" t="s">
        <v>2037</v>
      </c>
      <c r="AQ956" s="153" t="s">
        <v>2802</v>
      </c>
    </row>
    <row r="957" spans="42:43" x14ac:dyDescent="0.3">
      <c r="AP957" s="153" t="s">
        <v>2037</v>
      </c>
      <c r="AQ957" s="153" t="s">
        <v>2802</v>
      </c>
    </row>
    <row r="958" spans="42:43" x14ac:dyDescent="0.3">
      <c r="AP958" s="153" t="s">
        <v>2061</v>
      </c>
      <c r="AQ958" s="153" t="s">
        <v>2802</v>
      </c>
    </row>
    <row r="959" spans="42:43" x14ac:dyDescent="0.3">
      <c r="AP959" s="153" t="s">
        <v>2028</v>
      </c>
      <c r="AQ959" s="153" t="s">
        <v>2023</v>
      </c>
    </row>
    <row r="960" spans="42:43" x14ac:dyDescent="0.3">
      <c r="AP960" s="153" t="s">
        <v>2037</v>
      </c>
      <c r="AQ960" s="153" t="s">
        <v>2802</v>
      </c>
    </row>
    <row r="961" spans="42:43" x14ac:dyDescent="0.3">
      <c r="AP961" s="153" t="s">
        <v>2056</v>
      </c>
      <c r="AQ961" s="153" t="s">
        <v>2802</v>
      </c>
    </row>
    <row r="962" spans="42:43" x14ac:dyDescent="0.3">
      <c r="AP962" s="153" t="s">
        <v>2047</v>
      </c>
      <c r="AQ962" s="153" t="s">
        <v>2802</v>
      </c>
    </row>
    <row r="963" spans="42:43" x14ac:dyDescent="0.3">
      <c r="AP963" s="153" t="s">
        <v>2047</v>
      </c>
      <c r="AQ963" s="153" t="s">
        <v>2802</v>
      </c>
    </row>
    <row r="964" spans="42:43" x14ac:dyDescent="0.3">
      <c r="AP964" s="153" t="s">
        <v>2041</v>
      </c>
      <c r="AQ964" s="153" t="s">
        <v>2802</v>
      </c>
    </row>
    <row r="965" spans="42:43" x14ac:dyDescent="0.3">
      <c r="AP965" s="153" t="s">
        <v>2041</v>
      </c>
      <c r="AQ965" s="153" t="s">
        <v>2802</v>
      </c>
    </row>
    <row r="966" spans="42:43" x14ac:dyDescent="0.3">
      <c r="AP966" s="153" t="s">
        <v>2041</v>
      </c>
      <c r="AQ966" s="153" t="s">
        <v>2802</v>
      </c>
    </row>
    <row r="967" spans="42:43" x14ac:dyDescent="0.3">
      <c r="AP967" s="153" t="s">
        <v>2039</v>
      </c>
      <c r="AQ967" s="153" t="s">
        <v>2802</v>
      </c>
    </row>
    <row r="968" spans="42:43" x14ac:dyDescent="0.3">
      <c r="AP968" s="153" t="s">
        <v>2041</v>
      </c>
      <c r="AQ968" s="153" t="s">
        <v>2802</v>
      </c>
    </row>
    <row r="969" spans="42:43" x14ac:dyDescent="0.3">
      <c r="AP969" s="153" t="s">
        <v>2041</v>
      </c>
      <c r="AQ969" s="153" t="s">
        <v>2802</v>
      </c>
    </row>
    <row r="970" spans="42:43" x14ac:dyDescent="0.3">
      <c r="AP970" s="153" t="s">
        <v>2037</v>
      </c>
      <c r="AQ970" s="153" t="s">
        <v>2802</v>
      </c>
    </row>
    <row r="971" spans="42:43" x14ac:dyDescent="0.3">
      <c r="AP971" s="153" t="s">
        <v>2037</v>
      </c>
      <c r="AQ971" s="153" t="s">
        <v>2802</v>
      </c>
    </row>
    <row r="972" spans="42:43" x14ac:dyDescent="0.3">
      <c r="AP972" s="153" t="s">
        <v>2037</v>
      </c>
      <c r="AQ972" s="153" t="s">
        <v>2802</v>
      </c>
    </row>
    <row r="973" spans="42:43" x14ac:dyDescent="0.3">
      <c r="AP973" s="153" t="s">
        <v>2041</v>
      </c>
      <c r="AQ973" s="153" t="s">
        <v>2802</v>
      </c>
    </row>
    <row r="974" spans="42:43" x14ac:dyDescent="0.3">
      <c r="AP974" s="153" t="s">
        <v>2028</v>
      </c>
      <c r="AQ974" s="153" t="s">
        <v>2023</v>
      </c>
    </row>
    <row r="975" spans="42:43" x14ac:dyDescent="0.3">
      <c r="AP975" s="153" t="s">
        <v>2059</v>
      </c>
      <c r="AQ975" s="153" t="s">
        <v>2024</v>
      </c>
    </row>
    <row r="976" spans="42:43" x14ac:dyDescent="0.3">
      <c r="AP976" s="153" t="s">
        <v>2055</v>
      </c>
      <c r="AQ976" s="153" t="s">
        <v>2802</v>
      </c>
    </row>
    <row r="977" spans="42:43" x14ac:dyDescent="0.3">
      <c r="AP977" s="153" t="s">
        <v>2947</v>
      </c>
      <c r="AQ977" s="153" t="s">
        <v>2802</v>
      </c>
    </row>
    <row r="978" spans="42:43" x14ac:dyDescent="0.3">
      <c r="AP978" s="153" t="s">
        <v>2059</v>
      </c>
      <c r="AQ978" s="153" t="s">
        <v>2024</v>
      </c>
    </row>
    <row r="979" spans="42:43" x14ac:dyDescent="0.3">
      <c r="AP979" s="153" t="s">
        <v>2947</v>
      </c>
      <c r="AQ979" s="153" t="s">
        <v>2802</v>
      </c>
    </row>
    <row r="980" spans="42:43" x14ac:dyDescent="0.3">
      <c r="AP980" s="153" t="s">
        <v>2039</v>
      </c>
      <c r="AQ980" s="153" t="s">
        <v>2802</v>
      </c>
    </row>
    <row r="981" spans="42:43" x14ac:dyDescent="0.3">
      <c r="AP981" s="153" t="s">
        <v>2028</v>
      </c>
      <c r="AQ981" s="153" t="s">
        <v>2023</v>
      </c>
    </row>
    <row r="982" spans="42:43" x14ac:dyDescent="0.3">
      <c r="AP982" s="153" t="s">
        <v>2039</v>
      </c>
      <c r="AQ982" s="153" t="s">
        <v>2802</v>
      </c>
    </row>
    <row r="983" spans="42:43" x14ac:dyDescent="0.3">
      <c r="AP983" s="153" t="s">
        <v>2043</v>
      </c>
      <c r="AQ983" s="153" t="s">
        <v>2802</v>
      </c>
    </row>
    <row r="984" spans="42:43" x14ac:dyDescent="0.3">
      <c r="AP984" s="153" t="s">
        <v>2039</v>
      </c>
      <c r="AQ984" s="153" t="s">
        <v>2802</v>
      </c>
    </row>
    <row r="985" spans="42:43" x14ac:dyDescent="0.3">
      <c r="AP985" s="153" t="s">
        <v>2028</v>
      </c>
      <c r="AQ985" s="153" t="s">
        <v>2023</v>
      </c>
    </row>
    <row r="986" spans="42:43" x14ac:dyDescent="0.3">
      <c r="AP986" s="153" t="s">
        <v>2039</v>
      </c>
      <c r="AQ986" s="153" t="s">
        <v>2802</v>
      </c>
    </row>
    <row r="987" spans="42:43" x14ac:dyDescent="0.3">
      <c r="AP987" s="153" t="s">
        <v>2062</v>
      </c>
      <c r="AQ987" s="153" t="s">
        <v>2023</v>
      </c>
    </row>
    <row r="988" spans="42:43" x14ac:dyDescent="0.3">
      <c r="AP988" s="153" t="s">
        <v>2062</v>
      </c>
      <c r="AQ988" s="153" t="s">
        <v>2023</v>
      </c>
    </row>
    <row r="989" spans="42:43" x14ac:dyDescent="0.3">
      <c r="AP989" s="153" t="s">
        <v>2035</v>
      </c>
      <c r="AQ989" s="153" t="s">
        <v>2802</v>
      </c>
    </row>
    <row r="990" spans="42:43" x14ac:dyDescent="0.3">
      <c r="AP990" s="153" t="s">
        <v>2028</v>
      </c>
      <c r="AQ990" s="153" t="s">
        <v>2023</v>
      </c>
    </row>
    <row r="991" spans="42:43" x14ac:dyDescent="0.3">
      <c r="AP991" s="153" t="s">
        <v>2039</v>
      </c>
      <c r="AQ991" s="153" t="s">
        <v>2802</v>
      </c>
    </row>
    <row r="992" spans="42:43" x14ac:dyDescent="0.3">
      <c r="AP992" s="153" t="s">
        <v>2039</v>
      </c>
      <c r="AQ992" s="153" t="s">
        <v>2802</v>
      </c>
    </row>
    <row r="993" spans="42:43" x14ac:dyDescent="0.3">
      <c r="AP993" s="153" t="s">
        <v>2028</v>
      </c>
      <c r="AQ993" s="153" t="s">
        <v>2023</v>
      </c>
    </row>
    <row r="994" spans="42:43" x14ac:dyDescent="0.3">
      <c r="AP994" s="153" t="s">
        <v>2028</v>
      </c>
      <c r="AQ994" s="153" t="s">
        <v>2023</v>
      </c>
    </row>
    <row r="995" spans="42:43" x14ac:dyDescent="0.3">
      <c r="AP995" s="153" t="s">
        <v>2039</v>
      </c>
      <c r="AQ995" s="153" t="s">
        <v>2802</v>
      </c>
    </row>
    <row r="996" spans="42:43" x14ac:dyDescent="0.3">
      <c r="AP996" s="153" t="s">
        <v>2028</v>
      </c>
      <c r="AQ996" s="153" t="s">
        <v>2023</v>
      </c>
    </row>
    <row r="997" spans="42:43" x14ac:dyDescent="0.3">
      <c r="AP997" s="153" t="s">
        <v>2062</v>
      </c>
      <c r="AQ997" s="153" t="s">
        <v>2023</v>
      </c>
    </row>
    <row r="998" spans="42:43" x14ac:dyDescent="0.3">
      <c r="AP998" s="153" t="s">
        <v>2041</v>
      </c>
      <c r="AQ998" s="153" t="s">
        <v>2802</v>
      </c>
    </row>
    <row r="999" spans="42:43" x14ac:dyDescent="0.3">
      <c r="AP999" s="153" t="s">
        <v>2039</v>
      </c>
      <c r="AQ999" s="153" t="s">
        <v>2802</v>
      </c>
    </row>
    <row r="1000" spans="42:43" x14ac:dyDescent="0.3">
      <c r="AP1000" s="153" t="s">
        <v>2041</v>
      </c>
      <c r="AQ1000" s="153" t="s">
        <v>2802</v>
      </c>
    </row>
    <row r="1001" spans="42:43" x14ac:dyDescent="0.3">
      <c r="AP1001" s="153" t="s">
        <v>2067</v>
      </c>
      <c r="AQ1001" s="153" t="s">
        <v>2024</v>
      </c>
    </row>
    <row r="1002" spans="42:43" x14ac:dyDescent="0.3">
      <c r="AP1002" s="153" t="s">
        <v>2028</v>
      </c>
      <c r="AQ1002" s="153" t="s">
        <v>2023</v>
      </c>
    </row>
    <row r="1003" spans="42:43" x14ac:dyDescent="0.3">
      <c r="AP1003" s="153" t="s">
        <v>2039</v>
      </c>
      <c r="AQ1003" s="153" t="s">
        <v>2802</v>
      </c>
    </row>
    <row r="1004" spans="42:43" x14ac:dyDescent="0.3">
      <c r="AP1004" s="153" t="s">
        <v>2037</v>
      </c>
      <c r="AQ1004" s="153" t="s">
        <v>2802</v>
      </c>
    </row>
    <row r="1005" spans="42:43" x14ac:dyDescent="0.3">
      <c r="AP1005" s="153" t="s">
        <v>2063</v>
      </c>
      <c r="AQ1005" s="153" t="s">
        <v>2802</v>
      </c>
    </row>
    <row r="1006" spans="42:43" x14ac:dyDescent="0.3">
      <c r="AP1006" s="153" t="s">
        <v>2035</v>
      </c>
      <c r="AQ1006" s="153" t="s">
        <v>2802</v>
      </c>
    </row>
    <row r="1007" spans="42:43" x14ac:dyDescent="0.3">
      <c r="AP1007" s="153" t="s">
        <v>2037</v>
      </c>
      <c r="AQ1007" s="153" t="s">
        <v>2802</v>
      </c>
    </row>
    <row r="1008" spans="42:43" x14ac:dyDescent="0.3">
      <c r="AP1008" s="153" t="s">
        <v>2037</v>
      </c>
      <c r="AQ1008" s="153" t="s">
        <v>2802</v>
      </c>
    </row>
    <row r="1009" spans="42:43" x14ac:dyDescent="0.3">
      <c r="AP1009" s="153" t="s">
        <v>2059</v>
      </c>
      <c r="AQ1009" s="153" t="s">
        <v>2024</v>
      </c>
    </row>
    <row r="1010" spans="42:43" x14ac:dyDescent="0.3">
      <c r="AP1010" s="153" t="s">
        <v>2059</v>
      </c>
      <c r="AQ1010" s="153" t="s">
        <v>2024</v>
      </c>
    </row>
    <row r="1011" spans="42:43" x14ac:dyDescent="0.3">
      <c r="AP1011" s="153" t="s">
        <v>2041</v>
      </c>
      <c r="AQ1011" s="153" t="s">
        <v>2802</v>
      </c>
    </row>
    <row r="1012" spans="42:43" x14ac:dyDescent="0.3">
      <c r="AP1012" s="153" t="s">
        <v>2033</v>
      </c>
      <c r="AQ1012" s="153" t="s">
        <v>2802</v>
      </c>
    </row>
    <row r="1013" spans="42:43" x14ac:dyDescent="0.3">
      <c r="AP1013" s="153" t="s">
        <v>2045</v>
      </c>
      <c r="AQ1013" s="153" t="s">
        <v>2802</v>
      </c>
    </row>
    <row r="1014" spans="42:43" x14ac:dyDescent="0.3">
      <c r="AP1014" s="153" t="s">
        <v>2047</v>
      </c>
      <c r="AQ1014" s="153" t="s">
        <v>2802</v>
      </c>
    </row>
    <row r="1015" spans="42:43" x14ac:dyDescent="0.3">
      <c r="AP1015" s="153" t="s">
        <v>2041</v>
      </c>
      <c r="AQ1015" s="153" t="s">
        <v>2802</v>
      </c>
    </row>
    <row r="1016" spans="42:43" x14ac:dyDescent="0.3">
      <c r="AP1016" s="153" t="s">
        <v>2037</v>
      </c>
      <c r="AQ1016" s="153" t="s">
        <v>2802</v>
      </c>
    </row>
    <row r="1017" spans="42:43" x14ac:dyDescent="0.3">
      <c r="AP1017" s="153" t="s">
        <v>2037</v>
      </c>
      <c r="AQ1017" s="153" t="s">
        <v>2802</v>
      </c>
    </row>
    <row r="1018" spans="42:43" x14ac:dyDescent="0.3">
      <c r="AP1018" s="153" t="s">
        <v>2032</v>
      </c>
      <c r="AQ1018" s="153" t="s">
        <v>2802</v>
      </c>
    </row>
    <row r="1019" spans="42:43" x14ac:dyDescent="0.3">
      <c r="AP1019" s="153" t="s">
        <v>2039</v>
      </c>
      <c r="AQ1019" s="153" t="s">
        <v>2802</v>
      </c>
    </row>
    <row r="1020" spans="42:43" x14ac:dyDescent="0.3">
      <c r="AP1020" s="153" t="s">
        <v>2038</v>
      </c>
      <c r="AQ1020" s="153" t="s">
        <v>2802</v>
      </c>
    </row>
    <row r="1021" spans="42:43" x14ac:dyDescent="0.3">
      <c r="AP1021" s="153" t="s">
        <v>2039</v>
      </c>
      <c r="AQ1021" s="153" t="s">
        <v>2802</v>
      </c>
    </row>
    <row r="1022" spans="42:43" x14ac:dyDescent="0.3">
      <c r="AP1022" s="153" t="s">
        <v>2039</v>
      </c>
      <c r="AQ1022" s="153" t="s">
        <v>2802</v>
      </c>
    </row>
    <row r="1023" spans="42:43" x14ac:dyDescent="0.3">
      <c r="AP1023" s="153" t="s">
        <v>2037</v>
      </c>
      <c r="AQ1023" s="153" t="s">
        <v>2802</v>
      </c>
    </row>
    <row r="1024" spans="42:43" x14ac:dyDescent="0.3">
      <c r="AP1024" s="153" t="s">
        <v>2037</v>
      </c>
      <c r="AQ1024" s="153" t="s">
        <v>2802</v>
      </c>
    </row>
    <row r="1025" spans="42:43" x14ac:dyDescent="0.3">
      <c r="AP1025" s="153" t="s">
        <v>2037</v>
      </c>
      <c r="AQ1025" s="153" t="s">
        <v>2802</v>
      </c>
    </row>
    <row r="1026" spans="42:43" x14ac:dyDescent="0.3">
      <c r="AP1026" s="153" t="s">
        <v>2037</v>
      </c>
      <c r="AQ1026" s="153" t="s">
        <v>2802</v>
      </c>
    </row>
    <row r="1027" spans="42:43" x14ac:dyDescent="0.3">
      <c r="AP1027" s="153" t="s">
        <v>2037</v>
      </c>
      <c r="AQ1027" s="153" t="s">
        <v>2802</v>
      </c>
    </row>
    <row r="1028" spans="42:43" x14ac:dyDescent="0.3">
      <c r="AP1028" s="153" t="s">
        <v>2037</v>
      </c>
      <c r="AQ1028" s="153" t="s">
        <v>2802</v>
      </c>
    </row>
    <row r="1029" spans="42:43" x14ac:dyDescent="0.3">
      <c r="AP1029" s="153" t="s">
        <v>2058</v>
      </c>
      <c r="AQ1029" s="153" t="s">
        <v>2802</v>
      </c>
    </row>
    <row r="1030" spans="42:43" x14ac:dyDescent="0.3">
      <c r="AP1030" s="153" t="s">
        <v>2058</v>
      </c>
      <c r="AQ1030" s="153" t="s">
        <v>2802</v>
      </c>
    </row>
    <row r="1031" spans="42:43" x14ac:dyDescent="0.3">
      <c r="AP1031" s="153" t="s">
        <v>2058</v>
      </c>
      <c r="AQ1031" s="153" t="s">
        <v>2802</v>
      </c>
    </row>
    <row r="1032" spans="42:43" x14ac:dyDescent="0.3">
      <c r="AP1032" s="153" t="s">
        <v>2948</v>
      </c>
      <c r="AQ1032" s="153" t="s">
        <v>2025</v>
      </c>
    </row>
    <row r="1033" spans="42:43" x14ac:dyDescent="0.3">
      <c r="AP1033" s="153" t="s">
        <v>2948</v>
      </c>
      <c r="AQ1033" s="153" t="s">
        <v>2025</v>
      </c>
    </row>
    <row r="1034" spans="42:43" x14ac:dyDescent="0.3">
      <c r="AP1034" s="153" t="s">
        <v>2039</v>
      </c>
      <c r="AQ1034" s="153" t="s">
        <v>2802</v>
      </c>
    </row>
    <row r="1035" spans="42:43" x14ac:dyDescent="0.3">
      <c r="AP1035" s="153" t="s">
        <v>2039</v>
      </c>
      <c r="AQ1035" s="153" t="s">
        <v>2802</v>
      </c>
    </row>
    <row r="1036" spans="42:43" x14ac:dyDescent="0.3">
      <c r="AP1036" s="153" t="s">
        <v>2039</v>
      </c>
      <c r="AQ1036" s="153" t="s">
        <v>2802</v>
      </c>
    </row>
    <row r="1037" spans="42:43" x14ac:dyDescent="0.3">
      <c r="AP1037" s="153" t="s">
        <v>2037</v>
      </c>
      <c r="AQ1037" s="153" t="s">
        <v>2802</v>
      </c>
    </row>
    <row r="1038" spans="42:43" x14ac:dyDescent="0.3">
      <c r="AP1038" s="153" t="s">
        <v>2037</v>
      </c>
      <c r="AQ1038" s="153" t="s">
        <v>2802</v>
      </c>
    </row>
    <row r="1039" spans="42:43" x14ac:dyDescent="0.3">
      <c r="AP1039" s="153" t="s">
        <v>2037</v>
      </c>
      <c r="AQ1039" s="153" t="s">
        <v>2802</v>
      </c>
    </row>
    <row r="1040" spans="42:43" x14ac:dyDescent="0.3">
      <c r="AP1040" s="153" t="s">
        <v>2041</v>
      </c>
      <c r="AQ1040" s="153" t="s">
        <v>2802</v>
      </c>
    </row>
    <row r="1041" spans="42:43" x14ac:dyDescent="0.3">
      <c r="AP1041" s="153" t="s">
        <v>2041</v>
      </c>
      <c r="AQ1041" s="153" t="s">
        <v>2802</v>
      </c>
    </row>
    <row r="1042" spans="42:43" x14ac:dyDescent="0.3">
      <c r="AP1042" s="153" t="s">
        <v>2041</v>
      </c>
      <c r="AQ1042" s="153" t="s">
        <v>2802</v>
      </c>
    </row>
    <row r="1043" spans="42:43" x14ac:dyDescent="0.3">
      <c r="AP1043" s="153" t="s">
        <v>2037</v>
      </c>
      <c r="AQ1043" s="153" t="s">
        <v>2802</v>
      </c>
    </row>
    <row r="1044" spans="42:43" x14ac:dyDescent="0.3">
      <c r="AP1044" s="153" t="s">
        <v>2037</v>
      </c>
      <c r="AQ1044" s="153" t="s">
        <v>2802</v>
      </c>
    </row>
    <row r="1045" spans="42:43" x14ac:dyDescent="0.3">
      <c r="AP1045" s="153" t="s">
        <v>2037</v>
      </c>
      <c r="AQ1045" s="153" t="s">
        <v>2802</v>
      </c>
    </row>
    <row r="1046" spans="42:43" x14ac:dyDescent="0.3">
      <c r="AP1046" s="153" t="s">
        <v>2033</v>
      </c>
      <c r="AQ1046" s="153" t="s">
        <v>2802</v>
      </c>
    </row>
    <row r="1047" spans="42:43" x14ac:dyDescent="0.3">
      <c r="AP1047" s="153" t="s">
        <v>2037</v>
      </c>
      <c r="AQ1047" s="153" t="s">
        <v>2802</v>
      </c>
    </row>
    <row r="1048" spans="42:43" x14ac:dyDescent="0.3">
      <c r="AP1048" s="153" t="s">
        <v>2037</v>
      </c>
      <c r="AQ1048" s="153" t="s">
        <v>2802</v>
      </c>
    </row>
    <row r="1049" spans="42:43" x14ac:dyDescent="0.3">
      <c r="AP1049" s="153" t="s">
        <v>2032</v>
      </c>
      <c r="AQ1049" s="153" t="s">
        <v>2802</v>
      </c>
    </row>
    <row r="1050" spans="42:43" x14ac:dyDescent="0.3">
      <c r="AP1050" s="153" t="s">
        <v>2028</v>
      </c>
      <c r="AQ1050" s="153" t="s">
        <v>2023</v>
      </c>
    </row>
    <row r="1051" spans="42:43" x14ac:dyDescent="0.3">
      <c r="AP1051" s="153" t="s">
        <v>2063</v>
      </c>
      <c r="AQ1051" s="153" t="s">
        <v>2802</v>
      </c>
    </row>
    <row r="1052" spans="42:43" x14ac:dyDescent="0.3">
      <c r="AP1052" s="153" t="s">
        <v>2028</v>
      </c>
      <c r="AQ1052" s="153" t="s">
        <v>2023</v>
      </c>
    </row>
    <row r="1053" spans="42:43" x14ac:dyDescent="0.3">
      <c r="AP1053" s="153" t="s">
        <v>2037</v>
      </c>
      <c r="AQ1053" s="153" t="s">
        <v>2802</v>
      </c>
    </row>
    <row r="1054" spans="42:43" x14ac:dyDescent="0.3">
      <c r="AP1054" s="153" t="s">
        <v>2037</v>
      </c>
      <c r="AQ1054" s="153" t="s">
        <v>2802</v>
      </c>
    </row>
    <row r="1055" spans="42:43" x14ac:dyDescent="0.3">
      <c r="AP1055" s="153" t="s">
        <v>2028</v>
      </c>
      <c r="AQ1055" s="153" t="s">
        <v>2023</v>
      </c>
    </row>
    <row r="1056" spans="42:43" x14ac:dyDescent="0.3">
      <c r="AP1056" s="153" t="s">
        <v>2041</v>
      </c>
      <c r="AQ1056" s="153" t="s">
        <v>2802</v>
      </c>
    </row>
    <row r="1057" spans="42:43" x14ac:dyDescent="0.3">
      <c r="AP1057" s="153" t="s">
        <v>2041</v>
      </c>
      <c r="AQ1057" s="153" t="s">
        <v>2802</v>
      </c>
    </row>
    <row r="1058" spans="42:43" x14ac:dyDescent="0.3">
      <c r="AP1058" s="153" t="s">
        <v>2055</v>
      </c>
      <c r="AQ1058" s="153" t="s">
        <v>2802</v>
      </c>
    </row>
    <row r="1059" spans="42:43" x14ac:dyDescent="0.3">
      <c r="AP1059" s="153" t="s">
        <v>2037</v>
      </c>
      <c r="AQ1059" s="153" t="s">
        <v>2802</v>
      </c>
    </row>
    <row r="1060" spans="42:43" x14ac:dyDescent="0.3">
      <c r="AP1060" s="153" t="s">
        <v>2041</v>
      </c>
      <c r="AQ1060" s="153" t="s">
        <v>2802</v>
      </c>
    </row>
    <row r="1061" spans="42:43" x14ac:dyDescent="0.3">
      <c r="AP1061" s="153" t="s">
        <v>2039</v>
      </c>
      <c r="AQ1061" s="153" t="s">
        <v>2802</v>
      </c>
    </row>
    <row r="1062" spans="42:43" x14ac:dyDescent="0.3">
      <c r="AP1062" s="153" t="s">
        <v>2037</v>
      </c>
      <c r="AQ1062" s="153" t="s">
        <v>2802</v>
      </c>
    </row>
    <row r="1063" spans="42:43" x14ac:dyDescent="0.3">
      <c r="AP1063" s="153" t="s">
        <v>2041</v>
      </c>
      <c r="AQ1063" s="153" t="s">
        <v>2802</v>
      </c>
    </row>
    <row r="1064" spans="42:43" x14ac:dyDescent="0.3">
      <c r="AP1064" s="153" t="s">
        <v>2043</v>
      </c>
      <c r="AQ1064" s="153" t="s">
        <v>2802</v>
      </c>
    </row>
    <row r="1065" spans="42:43" x14ac:dyDescent="0.3">
      <c r="AP1065" s="153" t="s">
        <v>2055</v>
      </c>
      <c r="AQ1065" s="153" t="s">
        <v>2802</v>
      </c>
    </row>
    <row r="1066" spans="42:43" x14ac:dyDescent="0.3">
      <c r="AP1066" s="153" t="s">
        <v>2039</v>
      </c>
      <c r="AQ1066" s="153" t="s">
        <v>2802</v>
      </c>
    </row>
    <row r="1067" spans="42:43" x14ac:dyDescent="0.3">
      <c r="AP1067" s="153" t="s">
        <v>2041</v>
      </c>
      <c r="AQ1067" s="153" t="s">
        <v>2802</v>
      </c>
    </row>
    <row r="1068" spans="42:43" x14ac:dyDescent="0.3">
      <c r="AP1068" s="153" t="s">
        <v>2043</v>
      </c>
      <c r="AQ1068" s="153" t="s">
        <v>2802</v>
      </c>
    </row>
    <row r="1069" spans="42:43" x14ac:dyDescent="0.3">
      <c r="AP1069" s="153" t="s">
        <v>2032</v>
      </c>
      <c r="AQ1069" s="153" t="s">
        <v>2802</v>
      </c>
    </row>
    <row r="1070" spans="42:43" x14ac:dyDescent="0.3">
      <c r="AP1070" s="153" t="s">
        <v>2037</v>
      </c>
      <c r="AQ1070" s="153" t="s">
        <v>2802</v>
      </c>
    </row>
    <row r="1071" spans="42:43" x14ac:dyDescent="0.3">
      <c r="AP1071" s="153" t="s">
        <v>2039</v>
      </c>
      <c r="AQ1071" s="153" t="s">
        <v>2802</v>
      </c>
    </row>
    <row r="1072" spans="42:43" x14ac:dyDescent="0.3">
      <c r="AP1072" s="153" t="s">
        <v>2039</v>
      </c>
      <c r="AQ1072" s="153" t="s">
        <v>2802</v>
      </c>
    </row>
    <row r="1073" spans="42:43" x14ac:dyDescent="0.3">
      <c r="AP1073" s="153" t="s">
        <v>2039</v>
      </c>
      <c r="AQ1073" s="153" t="s">
        <v>2802</v>
      </c>
    </row>
    <row r="1074" spans="42:43" x14ac:dyDescent="0.3">
      <c r="AP1074" s="153" t="s">
        <v>2039</v>
      </c>
      <c r="AQ1074" s="153" t="s">
        <v>2802</v>
      </c>
    </row>
    <row r="1075" spans="42:43" x14ac:dyDescent="0.3">
      <c r="AP1075" s="153" t="s">
        <v>2049</v>
      </c>
      <c r="AQ1075" s="153" t="s">
        <v>2024</v>
      </c>
    </row>
    <row r="1076" spans="42:43" x14ac:dyDescent="0.3">
      <c r="AP1076" s="153" t="s">
        <v>2039</v>
      </c>
      <c r="AQ1076" s="153" t="s">
        <v>2802</v>
      </c>
    </row>
    <row r="1077" spans="42:43" x14ac:dyDescent="0.3">
      <c r="AP1077" s="153" t="s">
        <v>2037</v>
      </c>
      <c r="AQ1077" s="153" t="s">
        <v>2802</v>
      </c>
    </row>
    <row r="1078" spans="42:43" x14ac:dyDescent="0.3">
      <c r="AP1078" s="153" t="s">
        <v>2038</v>
      </c>
      <c r="AQ1078" s="153" t="s">
        <v>2802</v>
      </c>
    </row>
    <row r="1079" spans="42:43" x14ac:dyDescent="0.3">
      <c r="AP1079" s="153" t="s">
        <v>2037</v>
      </c>
      <c r="AQ1079" s="153" t="s">
        <v>2802</v>
      </c>
    </row>
    <row r="1080" spans="42:43" x14ac:dyDescent="0.3">
      <c r="AP1080" s="153" t="s">
        <v>2049</v>
      </c>
      <c r="AQ1080" s="153" t="s">
        <v>2024</v>
      </c>
    </row>
    <row r="1081" spans="42:43" x14ac:dyDescent="0.3">
      <c r="AP1081" s="153" t="s">
        <v>2037</v>
      </c>
      <c r="AQ1081" s="153" t="s">
        <v>2802</v>
      </c>
    </row>
    <row r="1082" spans="42:43" x14ac:dyDescent="0.3">
      <c r="AP1082" s="153" t="s">
        <v>2028</v>
      </c>
      <c r="AQ1082" s="153" t="s">
        <v>2023</v>
      </c>
    </row>
    <row r="1083" spans="42:43" x14ac:dyDescent="0.3">
      <c r="AP1083" s="153" t="s">
        <v>2037</v>
      </c>
      <c r="AQ1083" s="153" t="s">
        <v>2802</v>
      </c>
    </row>
    <row r="1084" spans="42:43" x14ac:dyDescent="0.3">
      <c r="AP1084" s="153" t="s">
        <v>2028</v>
      </c>
      <c r="AQ1084" s="153" t="s">
        <v>2023</v>
      </c>
    </row>
    <row r="1085" spans="42:43" x14ac:dyDescent="0.3">
      <c r="AP1085" s="153" t="s">
        <v>2049</v>
      </c>
      <c r="AQ1085" s="153" t="s">
        <v>2024</v>
      </c>
    </row>
    <row r="1086" spans="42:43" x14ac:dyDescent="0.3">
      <c r="AP1086" s="153" t="s">
        <v>2049</v>
      </c>
      <c r="AQ1086" s="153" t="s">
        <v>2024</v>
      </c>
    </row>
    <row r="1087" spans="42:43" x14ac:dyDescent="0.3">
      <c r="AP1087" s="153" t="s">
        <v>2049</v>
      </c>
      <c r="AQ1087" s="153" t="s">
        <v>2024</v>
      </c>
    </row>
    <row r="1088" spans="42:43" x14ac:dyDescent="0.3">
      <c r="AP1088" s="153" t="s">
        <v>2049</v>
      </c>
      <c r="AQ1088" s="153" t="s">
        <v>2024</v>
      </c>
    </row>
    <row r="1089" spans="42:43" x14ac:dyDescent="0.3">
      <c r="AP1089" s="153" t="s">
        <v>2049</v>
      </c>
      <c r="AQ1089" s="153" t="s">
        <v>2024</v>
      </c>
    </row>
    <row r="1090" spans="42:43" x14ac:dyDescent="0.3">
      <c r="AP1090" s="153" t="s">
        <v>2053</v>
      </c>
      <c r="AQ1090" s="153" t="s">
        <v>2024</v>
      </c>
    </row>
    <row r="1091" spans="42:43" x14ac:dyDescent="0.3">
      <c r="AP1091" s="153" t="s">
        <v>2053</v>
      </c>
      <c r="AQ1091" s="153" t="s">
        <v>2024</v>
      </c>
    </row>
    <row r="1092" spans="42:43" x14ac:dyDescent="0.3">
      <c r="AP1092" s="153" t="s">
        <v>2053</v>
      </c>
      <c r="AQ1092" s="153" t="s">
        <v>2024</v>
      </c>
    </row>
    <row r="1093" spans="42:43" x14ac:dyDescent="0.3">
      <c r="AP1093" s="153" t="s">
        <v>2053</v>
      </c>
      <c r="AQ1093" s="153" t="s">
        <v>2024</v>
      </c>
    </row>
    <row r="1094" spans="42:43" x14ac:dyDescent="0.3">
      <c r="AP1094" s="153" t="s">
        <v>2030</v>
      </c>
      <c r="AQ1094" s="153" t="s">
        <v>2802</v>
      </c>
    </row>
    <row r="1095" spans="42:43" x14ac:dyDescent="0.3">
      <c r="AP1095" s="153" t="s">
        <v>2062</v>
      </c>
      <c r="AQ1095" s="153" t="s">
        <v>2023</v>
      </c>
    </row>
    <row r="1096" spans="42:43" x14ac:dyDescent="0.3">
      <c r="AP1096" s="153" t="s">
        <v>2067</v>
      </c>
      <c r="AQ1096" s="153" t="s">
        <v>2024</v>
      </c>
    </row>
    <row r="1097" spans="42:43" x14ac:dyDescent="0.3">
      <c r="AP1097" s="153" t="s">
        <v>2035</v>
      </c>
      <c r="AQ1097" s="153" t="s">
        <v>2802</v>
      </c>
    </row>
    <row r="1098" spans="42:43" x14ac:dyDescent="0.3">
      <c r="AP1098" s="153" t="s">
        <v>2049</v>
      </c>
      <c r="AQ1098" s="153" t="s">
        <v>2024</v>
      </c>
    </row>
    <row r="1099" spans="42:43" x14ac:dyDescent="0.3">
      <c r="AP1099" s="153" t="s">
        <v>2037</v>
      </c>
      <c r="AQ1099" s="153" t="s">
        <v>2802</v>
      </c>
    </row>
    <row r="1100" spans="42:43" x14ac:dyDescent="0.3">
      <c r="AP1100" s="153" t="s">
        <v>2039</v>
      </c>
      <c r="AQ1100" s="153" t="s">
        <v>2802</v>
      </c>
    </row>
    <row r="1101" spans="42:43" x14ac:dyDescent="0.3">
      <c r="AP1101" s="153" t="s">
        <v>2037</v>
      </c>
      <c r="AQ1101" s="153" t="s">
        <v>2802</v>
      </c>
    </row>
    <row r="1102" spans="42:43" x14ac:dyDescent="0.3">
      <c r="AP1102" s="153" t="s">
        <v>2039</v>
      </c>
      <c r="AQ1102" s="153" t="s">
        <v>2802</v>
      </c>
    </row>
    <row r="1103" spans="42:43" x14ac:dyDescent="0.3">
      <c r="AP1103" s="153" t="s">
        <v>2028</v>
      </c>
      <c r="AQ1103" s="153" t="s">
        <v>2023</v>
      </c>
    </row>
    <row r="1104" spans="42:43" x14ac:dyDescent="0.3">
      <c r="AP1104" s="153" t="s">
        <v>2032</v>
      </c>
      <c r="AQ1104" s="153" t="s">
        <v>2802</v>
      </c>
    </row>
    <row r="1105" spans="42:43" x14ac:dyDescent="0.3">
      <c r="AP1105" s="153" t="s">
        <v>2037</v>
      </c>
      <c r="AQ1105" s="153" t="s">
        <v>2802</v>
      </c>
    </row>
    <row r="1106" spans="42:43" x14ac:dyDescent="0.3">
      <c r="AP1106" s="153" t="s">
        <v>2028</v>
      </c>
      <c r="AQ1106" s="153" t="s">
        <v>2023</v>
      </c>
    </row>
    <row r="1107" spans="42:43" x14ac:dyDescent="0.3">
      <c r="AP1107" s="153" t="s">
        <v>2037</v>
      </c>
      <c r="AQ1107" s="153" t="s">
        <v>2802</v>
      </c>
    </row>
    <row r="1108" spans="42:43" x14ac:dyDescent="0.3">
      <c r="AP1108" s="153" t="s">
        <v>2032</v>
      </c>
      <c r="AQ1108" s="153" t="s">
        <v>2802</v>
      </c>
    </row>
    <row r="1109" spans="42:43" x14ac:dyDescent="0.3">
      <c r="AP1109" s="153" t="s">
        <v>2055</v>
      </c>
      <c r="AQ1109" s="153" t="s">
        <v>2802</v>
      </c>
    </row>
    <row r="1110" spans="42:43" x14ac:dyDescent="0.3">
      <c r="AP1110" s="153" t="s">
        <v>2037</v>
      </c>
      <c r="AQ1110" s="153" t="s">
        <v>2802</v>
      </c>
    </row>
    <row r="1111" spans="42:43" x14ac:dyDescent="0.3">
      <c r="AP1111" s="153" t="s">
        <v>2026</v>
      </c>
      <c r="AQ1111" s="153" t="s">
        <v>2802</v>
      </c>
    </row>
    <row r="1112" spans="42:43" x14ac:dyDescent="0.3">
      <c r="AP1112" s="153" t="s">
        <v>2059</v>
      </c>
      <c r="AQ1112" s="153" t="s">
        <v>2024</v>
      </c>
    </row>
    <row r="1113" spans="42:43" x14ac:dyDescent="0.3">
      <c r="AP1113" s="153" t="s">
        <v>2037</v>
      </c>
      <c r="AQ1113" s="153" t="s">
        <v>2802</v>
      </c>
    </row>
    <row r="1114" spans="42:43" x14ac:dyDescent="0.3">
      <c r="AP1114" s="153" t="s">
        <v>2028</v>
      </c>
      <c r="AQ1114" s="153" t="s">
        <v>2023</v>
      </c>
    </row>
    <row r="1115" spans="42:43" x14ac:dyDescent="0.3">
      <c r="AP1115" s="153" t="s">
        <v>2949</v>
      </c>
      <c r="AQ1115" s="153" t="s">
        <v>2025</v>
      </c>
    </row>
    <row r="1116" spans="42:43" x14ac:dyDescent="0.3">
      <c r="AP1116" s="153" t="s">
        <v>2028</v>
      </c>
      <c r="AQ1116" s="153" t="s">
        <v>2023</v>
      </c>
    </row>
    <row r="1117" spans="42:43" x14ac:dyDescent="0.3">
      <c r="AP1117" s="153" t="s">
        <v>2041</v>
      </c>
      <c r="AQ1117" s="153" t="s">
        <v>2802</v>
      </c>
    </row>
    <row r="1118" spans="42:43" x14ac:dyDescent="0.3">
      <c r="AP1118" s="153" t="s">
        <v>2028</v>
      </c>
      <c r="AQ1118" s="153" t="s">
        <v>2023</v>
      </c>
    </row>
    <row r="1119" spans="42:43" x14ac:dyDescent="0.3">
      <c r="AP1119" s="153" t="s">
        <v>2950</v>
      </c>
      <c r="AQ1119" s="153" t="s">
        <v>2025</v>
      </c>
    </row>
    <row r="1120" spans="42:43" x14ac:dyDescent="0.3">
      <c r="AP1120" s="153" t="s">
        <v>2951</v>
      </c>
      <c r="AQ1120" s="153" t="s">
        <v>2025</v>
      </c>
    </row>
    <row r="1121" spans="42:43" x14ac:dyDescent="0.3">
      <c r="AP1121" s="153" t="s">
        <v>2041</v>
      </c>
      <c r="AQ1121" s="153" t="s">
        <v>2802</v>
      </c>
    </row>
    <row r="1122" spans="42:43" x14ac:dyDescent="0.3">
      <c r="AP1122" s="153" t="s">
        <v>2028</v>
      </c>
      <c r="AQ1122" s="153" t="s">
        <v>2023</v>
      </c>
    </row>
    <row r="1123" spans="42:43" x14ac:dyDescent="0.3">
      <c r="AP1123" s="153" t="s">
        <v>2028</v>
      </c>
      <c r="AQ1123" s="153" t="s">
        <v>2023</v>
      </c>
    </row>
    <row r="1124" spans="42:43" x14ac:dyDescent="0.3">
      <c r="AP1124" s="153" t="s">
        <v>2039</v>
      </c>
      <c r="AQ1124" s="153" t="s">
        <v>2802</v>
      </c>
    </row>
    <row r="1125" spans="42:43" x14ac:dyDescent="0.3">
      <c r="AP1125" s="153" t="s">
        <v>2037</v>
      </c>
      <c r="AQ1125" s="153" t="s">
        <v>2802</v>
      </c>
    </row>
    <row r="1126" spans="42:43" x14ac:dyDescent="0.3">
      <c r="AP1126" s="153" t="s">
        <v>2037</v>
      </c>
      <c r="AQ1126" s="153" t="s">
        <v>2802</v>
      </c>
    </row>
    <row r="1127" spans="42:43" x14ac:dyDescent="0.3">
      <c r="AP1127" s="153" t="s">
        <v>2058</v>
      </c>
      <c r="AQ1127" s="153" t="s">
        <v>2802</v>
      </c>
    </row>
    <row r="1128" spans="42:43" x14ac:dyDescent="0.3">
      <c r="AP1128" s="153" t="s">
        <v>2058</v>
      </c>
      <c r="AQ1128" s="153" t="s">
        <v>2802</v>
      </c>
    </row>
    <row r="1129" spans="42:43" x14ac:dyDescent="0.3">
      <c r="AP1129" s="153" t="s">
        <v>2058</v>
      </c>
      <c r="AQ1129" s="153" t="s">
        <v>2802</v>
      </c>
    </row>
    <row r="1130" spans="42:43" x14ac:dyDescent="0.3">
      <c r="AP1130" s="153" t="s">
        <v>2028</v>
      </c>
      <c r="AQ1130" s="153" t="s">
        <v>2023</v>
      </c>
    </row>
    <row r="1131" spans="42:43" x14ac:dyDescent="0.3">
      <c r="AP1131" s="153" t="s">
        <v>2039</v>
      </c>
      <c r="AQ1131" s="153" t="s">
        <v>2802</v>
      </c>
    </row>
    <row r="1132" spans="42:43" x14ac:dyDescent="0.3">
      <c r="AP1132" s="153" t="s">
        <v>2039</v>
      </c>
      <c r="AQ1132" s="153" t="s">
        <v>2802</v>
      </c>
    </row>
    <row r="1133" spans="42:43" x14ac:dyDescent="0.3">
      <c r="AP1133" s="153" t="s">
        <v>2039</v>
      </c>
      <c r="AQ1133" s="153" t="s">
        <v>2802</v>
      </c>
    </row>
    <row r="1134" spans="42:43" x14ac:dyDescent="0.3">
      <c r="AP1134" s="153" t="s">
        <v>2039</v>
      </c>
      <c r="AQ1134" s="153" t="s">
        <v>2802</v>
      </c>
    </row>
    <row r="1135" spans="42:43" x14ac:dyDescent="0.3">
      <c r="AP1135" s="153" t="s">
        <v>2039</v>
      </c>
      <c r="AQ1135" s="153" t="s">
        <v>2802</v>
      </c>
    </row>
    <row r="1136" spans="42:43" x14ac:dyDescent="0.3">
      <c r="AP1136" s="153" t="s">
        <v>2039</v>
      </c>
      <c r="AQ1136" s="153" t="s">
        <v>2802</v>
      </c>
    </row>
    <row r="1137" spans="42:43" x14ac:dyDescent="0.3">
      <c r="AP1137" s="153" t="s">
        <v>2039</v>
      </c>
      <c r="AQ1137" s="153" t="s">
        <v>2802</v>
      </c>
    </row>
    <row r="1138" spans="42:43" x14ac:dyDescent="0.3">
      <c r="AP1138" s="153" t="s">
        <v>2039</v>
      </c>
      <c r="AQ1138" s="153" t="s">
        <v>2802</v>
      </c>
    </row>
    <row r="1139" spans="42:43" x14ac:dyDescent="0.3">
      <c r="AP1139" s="153" t="s">
        <v>2039</v>
      </c>
      <c r="AQ1139" s="153" t="s">
        <v>2802</v>
      </c>
    </row>
    <row r="1140" spans="42:43" x14ac:dyDescent="0.3">
      <c r="AP1140" s="153" t="s">
        <v>2039</v>
      </c>
      <c r="AQ1140" s="153" t="s">
        <v>2802</v>
      </c>
    </row>
    <row r="1141" spans="42:43" x14ac:dyDescent="0.3">
      <c r="AP1141" s="153" t="s">
        <v>2039</v>
      </c>
      <c r="AQ1141" s="153" t="s">
        <v>2802</v>
      </c>
    </row>
    <row r="1142" spans="42:43" x14ac:dyDescent="0.3">
      <c r="AP1142" s="153" t="s">
        <v>2039</v>
      </c>
      <c r="AQ1142" s="153" t="s">
        <v>2802</v>
      </c>
    </row>
    <row r="1143" spans="42:43" x14ac:dyDescent="0.3">
      <c r="AP1143" s="153" t="s">
        <v>2039</v>
      </c>
      <c r="AQ1143" s="153" t="s">
        <v>2802</v>
      </c>
    </row>
    <row r="1144" spans="42:43" x14ac:dyDescent="0.3">
      <c r="AP1144" s="153" t="s">
        <v>2039</v>
      </c>
      <c r="AQ1144" s="153" t="s">
        <v>2802</v>
      </c>
    </row>
    <row r="1145" spans="42:43" x14ac:dyDescent="0.3">
      <c r="AP1145" s="153" t="s">
        <v>2039</v>
      </c>
      <c r="AQ1145" s="153" t="s">
        <v>2802</v>
      </c>
    </row>
    <row r="1146" spans="42:43" x14ac:dyDescent="0.3">
      <c r="AP1146" s="153" t="s">
        <v>2039</v>
      </c>
      <c r="AQ1146" s="153" t="s">
        <v>2802</v>
      </c>
    </row>
    <row r="1147" spans="42:43" x14ac:dyDescent="0.3">
      <c r="AP1147" s="153" t="s">
        <v>2039</v>
      </c>
      <c r="AQ1147" s="153" t="s">
        <v>2802</v>
      </c>
    </row>
    <row r="1148" spans="42:43" x14ac:dyDescent="0.3">
      <c r="AP1148" s="153" t="s">
        <v>2039</v>
      </c>
      <c r="AQ1148" s="153" t="s">
        <v>2802</v>
      </c>
    </row>
    <row r="1149" spans="42:43" x14ac:dyDescent="0.3">
      <c r="AP1149" s="153" t="s">
        <v>2039</v>
      </c>
      <c r="AQ1149" s="153" t="s">
        <v>2802</v>
      </c>
    </row>
    <row r="1150" spans="42:43" x14ac:dyDescent="0.3">
      <c r="AP1150" s="153" t="s">
        <v>2039</v>
      </c>
      <c r="AQ1150" s="153" t="s">
        <v>2802</v>
      </c>
    </row>
    <row r="1151" spans="42:43" x14ac:dyDescent="0.3">
      <c r="AP1151" s="153" t="s">
        <v>2039</v>
      </c>
      <c r="AQ1151" s="153" t="s">
        <v>2802</v>
      </c>
    </row>
    <row r="1152" spans="42:43" x14ac:dyDescent="0.3">
      <c r="AP1152" s="153" t="s">
        <v>2039</v>
      </c>
      <c r="AQ1152" s="153" t="s">
        <v>2802</v>
      </c>
    </row>
    <row r="1153" spans="42:43" x14ac:dyDescent="0.3">
      <c r="AP1153" s="153" t="s">
        <v>2039</v>
      </c>
      <c r="AQ1153" s="153" t="s">
        <v>2802</v>
      </c>
    </row>
    <row r="1154" spans="42:43" x14ac:dyDescent="0.3">
      <c r="AP1154" s="153" t="s">
        <v>2039</v>
      </c>
      <c r="AQ1154" s="153" t="s">
        <v>2802</v>
      </c>
    </row>
    <row r="1155" spans="42:43" x14ac:dyDescent="0.3">
      <c r="AP1155" s="153" t="s">
        <v>2039</v>
      </c>
      <c r="AQ1155" s="153" t="s">
        <v>2802</v>
      </c>
    </row>
    <row r="1156" spans="42:43" x14ac:dyDescent="0.3">
      <c r="AP1156" s="153" t="s">
        <v>2039</v>
      </c>
      <c r="AQ1156" s="153" t="s">
        <v>2802</v>
      </c>
    </row>
    <row r="1157" spans="42:43" x14ac:dyDescent="0.3">
      <c r="AP1157" s="153" t="s">
        <v>2028</v>
      </c>
      <c r="AQ1157" s="153" t="s">
        <v>2023</v>
      </c>
    </row>
    <row r="1158" spans="42:43" x14ac:dyDescent="0.3">
      <c r="AP1158" s="153" t="s">
        <v>2028</v>
      </c>
      <c r="AQ1158" s="153" t="s">
        <v>2023</v>
      </c>
    </row>
    <row r="1159" spans="42:43" x14ac:dyDescent="0.3">
      <c r="AP1159" s="153" t="s">
        <v>2028</v>
      </c>
      <c r="AQ1159" s="153" t="s">
        <v>2023</v>
      </c>
    </row>
    <row r="1160" spans="42:43" x14ac:dyDescent="0.3">
      <c r="AP1160" s="153" t="s">
        <v>2061</v>
      </c>
      <c r="AQ1160" s="153" t="s">
        <v>2802</v>
      </c>
    </row>
    <row r="1161" spans="42:43" x14ac:dyDescent="0.3">
      <c r="AP1161" s="153" t="s">
        <v>2037</v>
      </c>
      <c r="AQ1161" s="153" t="s">
        <v>2802</v>
      </c>
    </row>
    <row r="1162" spans="42:43" x14ac:dyDescent="0.3">
      <c r="AP1162" s="153" t="s">
        <v>2032</v>
      </c>
      <c r="AQ1162" s="153" t="s">
        <v>2802</v>
      </c>
    </row>
    <row r="1163" spans="42:43" x14ac:dyDescent="0.3">
      <c r="AP1163" s="153" t="s">
        <v>2032</v>
      </c>
      <c r="AQ1163" s="153" t="s">
        <v>2802</v>
      </c>
    </row>
    <row r="1164" spans="42:43" x14ac:dyDescent="0.3">
      <c r="AP1164" s="153" t="s">
        <v>2032</v>
      </c>
      <c r="AQ1164" s="153" t="s">
        <v>2802</v>
      </c>
    </row>
    <row r="1165" spans="42:43" x14ac:dyDescent="0.3">
      <c r="AP1165" s="153" t="s">
        <v>2039</v>
      </c>
      <c r="AQ1165" s="153" t="s">
        <v>2802</v>
      </c>
    </row>
    <row r="1166" spans="42:43" x14ac:dyDescent="0.3">
      <c r="AP1166" s="153" t="s">
        <v>2039</v>
      </c>
      <c r="AQ1166" s="153" t="s">
        <v>2802</v>
      </c>
    </row>
    <row r="1167" spans="42:43" x14ac:dyDescent="0.3">
      <c r="AP1167" s="153" t="s">
        <v>2041</v>
      </c>
      <c r="AQ1167" s="153" t="s">
        <v>2802</v>
      </c>
    </row>
    <row r="1168" spans="42:43" x14ac:dyDescent="0.3">
      <c r="AP1168" s="153" t="s">
        <v>2039</v>
      </c>
      <c r="AQ1168" s="153" t="s">
        <v>2802</v>
      </c>
    </row>
    <row r="1169" spans="42:43" x14ac:dyDescent="0.3">
      <c r="AP1169" s="153" t="s">
        <v>2028</v>
      </c>
      <c r="AQ1169" s="153" t="s">
        <v>2023</v>
      </c>
    </row>
    <row r="1170" spans="42:43" x14ac:dyDescent="0.3">
      <c r="AP1170" s="153" t="s">
        <v>2028</v>
      </c>
      <c r="AQ1170" s="153" t="s">
        <v>2023</v>
      </c>
    </row>
    <row r="1171" spans="42:43" x14ac:dyDescent="0.3">
      <c r="AP1171" s="153" t="s">
        <v>2028</v>
      </c>
      <c r="AQ1171" s="153" t="s">
        <v>2023</v>
      </c>
    </row>
    <row r="1172" spans="42:43" x14ac:dyDescent="0.3">
      <c r="AP1172" s="153" t="s">
        <v>2028</v>
      </c>
      <c r="AQ1172" s="153" t="s">
        <v>2023</v>
      </c>
    </row>
    <row r="1173" spans="42:43" x14ac:dyDescent="0.3">
      <c r="AP1173" s="153" t="s">
        <v>2028</v>
      </c>
      <c r="AQ1173" s="153" t="s">
        <v>2023</v>
      </c>
    </row>
    <row r="1174" spans="42:43" x14ac:dyDescent="0.3">
      <c r="AP1174" s="153" t="s">
        <v>2028</v>
      </c>
      <c r="AQ1174" s="153" t="s">
        <v>2023</v>
      </c>
    </row>
    <row r="1175" spans="42:43" x14ac:dyDescent="0.3">
      <c r="AP1175" s="153" t="s">
        <v>2028</v>
      </c>
      <c r="AQ1175" s="153" t="s">
        <v>2023</v>
      </c>
    </row>
    <row r="1176" spans="42:43" x14ac:dyDescent="0.3">
      <c r="AP1176" s="153" t="s">
        <v>2065</v>
      </c>
      <c r="AQ1176" s="153" t="s">
        <v>2025</v>
      </c>
    </row>
    <row r="1177" spans="42:43" x14ac:dyDescent="0.3">
      <c r="AP1177" s="153" t="s">
        <v>2065</v>
      </c>
      <c r="AQ1177" s="153" t="s">
        <v>2025</v>
      </c>
    </row>
    <row r="1178" spans="42:43" x14ac:dyDescent="0.3">
      <c r="AP1178" s="153" t="s">
        <v>2065</v>
      </c>
      <c r="AQ1178" s="153" t="s">
        <v>2025</v>
      </c>
    </row>
    <row r="1179" spans="42:43" x14ac:dyDescent="0.3">
      <c r="AP1179" s="153" t="s">
        <v>2065</v>
      </c>
      <c r="AQ1179" s="153" t="s">
        <v>2025</v>
      </c>
    </row>
    <row r="1180" spans="42:43" x14ac:dyDescent="0.3">
      <c r="AP1180" s="153" t="s">
        <v>2065</v>
      </c>
      <c r="AQ1180" s="153" t="s">
        <v>2025</v>
      </c>
    </row>
    <row r="1181" spans="42:43" x14ac:dyDescent="0.3">
      <c r="AP1181" s="153" t="s">
        <v>2065</v>
      </c>
      <c r="AQ1181" s="153" t="s">
        <v>2025</v>
      </c>
    </row>
    <row r="1182" spans="42:43" x14ac:dyDescent="0.3">
      <c r="AP1182" s="153" t="s">
        <v>2028</v>
      </c>
      <c r="AQ1182" s="153" t="s">
        <v>2023</v>
      </c>
    </row>
    <row r="1183" spans="42:43" x14ac:dyDescent="0.3">
      <c r="AP1183" s="153" t="s">
        <v>2044</v>
      </c>
      <c r="AQ1183" s="153" t="s">
        <v>2802</v>
      </c>
    </row>
    <row r="1184" spans="42:43" x14ac:dyDescent="0.3">
      <c r="AP1184" s="153" t="s">
        <v>2066</v>
      </c>
      <c r="AQ1184" s="153" t="s">
        <v>2025</v>
      </c>
    </row>
    <row r="1185" spans="42:43" x14ac:dyDescent="0.3">
      <c r="AP1185" s="153" t="s">
        <v>2066</v>
      </c>
      <c r="AQ1185" s="153" t="s">
        <v>2025</v>
      </c>
    </row>
    <row r="1186" spans="42:43" x14ac:dyDescent="0.3">
      <c r="AP1186" s="153" t="s">
        <v>2066</v>
      </c>
      <c r="AQ1186" s="153" t="s">
        <v>2025</v>
      </c>
    </row>
    <row r="1187" spans="42:43" x14ac:dyDescent="0.3">
      <c r="AP1187" s="153" t="s">
        <v>2946</v>
      </c>
      <c r="AQ1187" s="153" t="s">
        <v>2802</v>
      </c>
    </row>
    <row r="1188" spans="42:43" x14ac:dyDescent="0.3">
      <c r="AP1188" s="153" t="s">
        <v>2058</v>
      </c>
      <c r="AQ1188" s="153" t="s">
        <v>2802</v>
      </c>
    </row>
    <row r="1189" spans="42:43" x14ac:dyDescent="0.3">
      <c r="AP1189" s="153" t="s">
        <v>2039</v>
      </c>
      <c r="AQ1189" s="153" t="s">
        <v>2802</v>
      </c>
    </row>
    <row r="1190" spans="42:43" x14ac:dyDescent="0.3">
      <c r="AP1190" s="153" t="s">
        <v>2039</v>
      </c>
      <c r="AQ1190" s="153" t="s">
        <v>2802</v>
      </c>
    </row>
    <row r="1191" spans="42:43" x14ac:dyDescent="0.3">
      <c r="AP1191" s="153" t="s">
        <v>2028</v>
      </c>
      <c r="AQ1191" s="153" t="s">
        <v>2023</v>
      </c>
    </row>
    <row r="1192" spans="42:43" x14ac:dyDescent="0.3">
      <c r="AP1192" s="153" t="s">
        <v>2043</v>
      </c>
      <c r="AQ1192" s="153" t="s">
        <v>2802</v>
      </c>
    </row>
    <row r="1193" spans="42:43" x14ac:dyDescent="0.3">
      <c r="AP1193" s="153" t="s">
        <v>2946</v>
      </c>
      <c r="AQ1193" s="153" t="s">
        <v>2802</v>
      </c>
    </row>
    <row r="1194" spans="42:43" x14ac:dyDescent="0.3">
      <c r="AP1194" s="153" t="s">
        <v>2037</v>
      </c>
      <c r="AQ1194" s="153" t="s">
        <v>2802</v>
      </c>
    </row>
    <row r="1195" spans="42:43" x14ac:dyDescent="0.3">
      <c r="AP1195" s="153" t="s">
        <v>2041</v>
      </c>
      <c r="AQ1195" s="153" t="s">
        <v>2802</v>
      </c>
    </row>
    <row r="1196" spans="42:43" x14ac:dyDescent="0.3">
      <c r="AP1196" s="153" t="s">
        <v>2043</v>
      </c>
      <c r="AQ1196" s="153" t="s">
        <v>2802</v>
      </c>
    </row>
    <row r="1197" spans="42:43" x14ac:dyDescent="0.3">
      <c r="AP1197" s="153" t="s">
        <v>2048</v>
      </c>
      <c r="AQ1197" s="153" t="s">
        <v>2802</v>
      </c>
    </row>
    <row r="1198" spans="42:43" x14ac:dyDescent="0.3">
      <c r="AP1198" s="153" t="s">
        <v>2039</v>
      </c>
      <c r="AQ1198" s="153" t="s">
        <v>2802</v>
      </c>
    </row>
    <row r="1199" spans="42:43" x14ac:dyDescent="0.3">
      <c r="AP1199" s="153" t="s">
        <v>2041</v>
      </c>
      <c r="AQ1199" s="153" t="s">
        <v>2802</v>
      </c>
    </row>
    <row r="1200" spans="42:43" x14ac:dyDescent="0.3">
      <c r="AP1200" s="153" t="s">
        <v>2041</v>
      </c>
      <c r="AQ1200" s="153" t="s">
        <v>2802</v>
      </c>
    </row>
    <row r="1201" spans="42:43" x14ac:dyDescent="0.3">
      <c r="AP1201" s="153" t="s">
        <v>2062</v>
      </c>
      <c r="AQ1201" s="153" t="s">
        <v>2023</v>
      </c>
    </row>
    <row r="1202" spans="42:43" x14ac:dyDescent="0.3">
      <c r="AP1202" s="153" t="s">
        <v>2028</v>
      </c>
      <c r="AQ1202" s="153" t="s">
        <v>2023</v>
      </c>
    </row>
    <row r="1203" spans="42:43" x14ac:dyDescent="0.3">
      <c r="AP1203" s="153" t="s">
        <v>2028</v>
      </c>
      <c r="AQ1203" s="153" t="s">
        <v>2023</v>
      </c>
    </row>
    <row r="1204" spans="42:43" x14ac:dyDescent="0.3">
      <c r="AP1204" s="153" t="s">
        <v>2028</v>
      </c>
      <c r="AQ1204" s="153" t="s">
        <v>2023</v>
      </c>
    </row>
    <row r="1205" spans="42:43" x14ac:dyDescent="0.3">
      <c r="AP1205" s="153" t="s">
        <v>2028</v>
      </c>
      <c r="AQ1205" s="153" t="s">
        <v>2023</v>
      </c>
    </row>
    <row r="1206" spans="42:43" x14ac:dyDescent="0.3">
      <c r="AP1206" s="153" t="s">
        <v>2037</v>
      </c>
      <c r="AQ1206" s="153" t="s">
        <v>2802</v>
      </c>
    </row>
    <row r="1207" spans="42:43" x14ac:dyDescent="0.3">
      <c r="AP1207" s="153" t="s">
        <v>2039</v>
      </c>
      <c r="AQ1207" s="153" t="s">
        <v>2802</v>
      </c>
    </row>
    <row r="1208" spans="42:43" x14ac:dyDescent="0.3">
      <c r="AP1208" s="153" t="s">
        <v>2039</v>
      </c>
      <c r="AQ1208" s="153" t="s">
        <v>2802</v>
      </c>
    </row>
    <row r="1209" spans="42:43" x14ac:dyDescent="0.3">
      <c r="AP1209" s="153" t="s">
        <v>2039</v>
      </c>
      <c r="AQ1209" s="153" t="s">
        <v>2802</v>
      </c>
    </row>
    <row r="1210" spans="42:43" x14ac:dyDescent="0.3">
      <c r="AP1210" s="153" t="s">
        <v>2945</v>
      </c>
      <c r="AQ1210" s="153" t="s">
        <v>2025</v>
      </c>
    </row>
    <row r="1211" spans="42:43" x14ac:dyDescent="0.3">
      <c r="AP1211" s="153" t="s">
        <v>2039</v>
      </c>
      <c r="AQ1211" s="153" t="s">
        <v>2802</v>
      </c>
    </row>
    <row r="1212" spans="42:43" x14ac:dyDescent="0.3">
      <c r="AP1212" s="153" t="s">
        <v>2037</v>
      </c>
      <c r="AQ1212" s="153" t="s">
        <v>2802</v>
      </c>
    </row>
    <row r="1213" spans="42:43" x14ac:dyDescent="0.3">
      <c r="AP1213" s="153" t="s">
        <v>2037</v>
      </c>
      <c r="AQ1213" s="153" t="s">
        <v>2802</v>
      </c>
    </row>
    <row r="1214" spans="42:43" x14ac:dyDescent="0.3">
      <c r="AP1214" s="153" t="s">
        <v>2039</v>
      </c>
      <c r="AQ1214" s="153" t="s">
        <v>2802</v>
      </c>
    </row>
    <row r="1215" spans="42:43" x14ac:dyDescent="0.3">
      <c r="AP1215" s="153" t="s">
        <v>2039</v>
      </c>
      <c r="AQ1215" s="153" t="s">
        <v>2802</v>
      </c>
    </row>
    <row r="1216" spans="42:43" x14ac:dyDescent="0.3">
      <c r="AP1216" s="153" t="s">
        <v>2041</v>
      </c>
      <c r="AQ1216" s="153" t="s">
        <v>2802</v>
      </c>
    </row>
    <row r="1217" spans="42:43" x14ac:dyDescent="0.3">
      <c r="AP1217" s="153" t="s">
        <v>2032</v>
      </c>
      <c r="AQ1217" s="153" t="s">
        <v>2802</v>
      </c>
    </row>
    <row r="1218" spans="42:43" x14ac:dyDescent="0.3">
      <c r="AP1218" s="153" t="s">
        <v>2041</v>
      </c>
      <c r="AQ1218" s="153" t="s">
        <v>2802</v>
      </c>
    </row>
    <row r="1219" spans="42:43" x14ac:dyDescent="0.3">
      <c r="AP1219" s="153" t="s">
        <v>2039</v>
      </c>
      <c r="AQ1219" s="153" t="s">
        <v>2802</v>
      </c>
    </row>
    <row r="1220" spans="42:43" x14ac:dyDescent="0.3">
      <c r="AP1220" s="153" t="s">
        <v>2039</v>
      </c>
      <c r="AQ1220" s="153" t="s">
        <v>2802</v>
      </c>
    </row>
    <row r="1221" spans="42:43" x14ac:dyDescent="0.3">
      <c r="AP1221" s="153" t="s">
        <v>2039</v>
      </c>
      <c r="AQ1221" s="153" t="s">
        <v>2802</v>
      </c>
    </row>
    <row r="1222" spans="42:43" x14ac:dyDescent="0.3">
      <c r="AP1222" s="153" t="s">
        <v>2039</v>
      </c>
      <c r="AQ1222" s="153" t="s">
        <v>2802</v>
      </c>
    </row>
    <row r="1223" spans="42:43" x14ac:dyDescent="0.3">
      <c r="AP1223" s="153" t="s">
        <v>2028</v>
      </c>
      <c r="AQ1223" s="153" t="s">
        <v>2023</v>
      </c>
    </row>
    <row r="1224" spans="42:43" x14ac:dyDescent="0.3">
      <c r="AP1224" s="153" t="s">
        <v>2028</v>
      </c>
      <c r="AQ1224" s="153" t="s">
        <v>2023</v>
      </c>
    </row>
    <row r="1225" spans="42:43" x14ac:dyDescent="0.3">
      <c r="AP1225" s="153" t="s">
        <v>2028</v>
      </c>
      <c r="AQ1225" s="153" t="s">
        <v>2023</v>
      </c>
    </row>
    <row r="1226" spans="42:43" x14ac:dyDescent="0.3">
      <c r="AP1226" s="153" t="s">
        <v>2028</v>
      </c>
      <c r="AQ1226" s="153" t="s">
        <v>2023</v>
      </c>
    </row>
    <row r="1227" spans="42:43" x14ac:dyDescent="0.3">
      <c r="AP1227" s="153" t="s">
        <v>2028</v>
      </c>
      <c r="AQ1227" s="153" t="s">
        <v>2023</v>
      </c>
    </row>
    <row r="1228" spans="42:43" x14ac:dyDescent="0.3">
      <c r="AP1228" s="153" t="s">
        <v>2028</v>
      </c>
      <c r="AQ1228" s="153" t="s">
        <v>2023</v>
      </c>
    </row>
    <row r="1229" spans="42:43" x14ac:dyDescent="0.3">
      <c r="AP1229" s="153" t="s">
        <v>2028</v>
      </c>
      <c r="AQ1229" s="153" t="s">
        <v>2023</v>
      </c>
    </row>
    <row r="1230" spans="42:43" x14ac:dyDescent="0.3">
      <c r="AP1230" s="153" t="s">
        <v>2039</v>
      </c>
      <c r="AQ1230" s="153" t="s">
        <v>2802</v>
      </c>
    </row>
    <row r="1231" spans="42:43" x14ac:dyDescent="0.3">
      <c r="AP1231" s="153" t="s">
        <v>2059</v>
      </c>
      <c r="AQ1231" s="153" t="s">
        <v>2024</v>
      </c>
    </row>
    <row r="1232" spans="42:43" x14ac:dyDescent="0.3">
      <c r="AP1232" s="153" t="s">
        <v>2028</v>
      </c>
      <c r="AQ1232" s="153" t="s">
        <v>2023</v>
      </c>
    </row>
    <row r="1233" spans="42:43" x14ac:dyDescent="0.3">
      <c r="AP1233" s="153" t="s">
        <v>2041</v>
      </c>
      <c r="AQ1233" s="153" t="s">
        <v>2802</v>
      </c>
    </row>
    <row r="1234" spans="42:43" x14ac:dyDescent="0.3">
      <c r="AP1234" s="153" t="s">
        <v>2039</v>
      </c>
      <c r="AQ1234" s="153" t="s">
        <v>2802</v>
      </c>
    </row>
    <row r="1235" spans="42:43" x14ac:dyDescent="0.3">
      <c r="AP1235" s="153" t="s">
        <v>2059</v>
      </c>
      <c r="AQ1235" s="153" t="s">
        <v>2024</v>
      </c>
    </row>
    <row r="1236" spans="42:43" x14ac:dyDescent="0.3">
      <c r="AP1236" s="153" t="s">
        <v>2037</v>
      </c>
      <c r="AQ1236" s="153" t="s">
        <v>2802</v>
      </c>
    </row>
    <row r="1237" spans="42:43" x14ac:dyDescent="0.3">
      <c r="AP1237" s="153" t="s">
        <v>2063</v>
      </c>
      <c r="AQ1237" s="153" t="s">
        <v>2802</v>
      </c>
    </row>
    <row r="1238" spans="42:43" x14ac:dyDescent="0.3">
      <c r="AP1238" s="153" t="s">
        <v>2028</v>
      </c>
      <c r="AQ1238" s="153" t="s">
        <v>2023</v>
      </c>
    </row>
    <row r="1239" spans="42:43" x14ac:dyDescent="0.3">
      <c r="AP1239" s="153" t="s">
        <v>2055</v>
      </c>
      <c r="AQ1239" s="153" t="s">
        <v>2802</v>
      </c>
    </row>
    <row r="1240" spans="42:43" x14ac:dyDescent="0.3">
      <c r="AP1240" s="153" t="s">
        <v>2037</v>
      </c>
      <c r="AQ1240" s="153" t="s">
        <v>2802</v>
      </c>
    </row>
    <row r="1241" spans="42:43" x14ac:dyDescent="0.3">
      <c r="AP1241" s="153" t="s">
        <v>2039</v>
      </c>
      <c r="AQ1241" s="153" t="s">
        <v>2802</v>
      </c>
    </row>
    <row r="1242" spans="42:43" x14ac:dyDescent="0.3">
      <c r="AP1242" s="153" t="s">
        <v>2039</v>
      </c>
      <c r="AQ1242" s="153" t="s">
        <v>2802</v>
      </c>
    </row>
    <row r="1243" spans="42:43" x14ac:dyDescent="0.3">
      <c r="AP1243" s="153" t="s">
        <v>2041</v>
      </c>
      <c r="AQ1243" s="153" t="s">
        <v>2802</v>
      </c>
    </row>
    <row r="1244" spans="42:43" x14ac:dyDescent="0.3">
      <c r="AP1244" s="153" t="s">
        <v>2041</v>
      </c>
      <c r="AQ1244" s="153" t="s">
        <v>2802</v>
      </c>
    </row>
    <row r="1245" spans="42:43" x14ac:dyDescent="0.3">
      <c r="AP1245" s="153" t="s">
        <v>2032</v>
      </c>
      <c r="AQ1245" s="153" t="s">
        <v>2802</v>
      </c>
    </row>
    <row r="1246" spans="42:43" x14ac:dyDescent="0.3">
      <c r="AP1246" s="153" t="s">
        <v>2041</v>
      </c>
      <c r="AQ1246" s="153" t="s">
        <v>2802</v>
      </c>
    </row>
    <row r="1247" spans="42:43" x14ac:dyDescent="0.3">
      <c r="AP1247" s="153" t="s">
        <v>2065</v>
      </c>
      <c r="AQ1247" s="153" t="s">
        <v>2025</v>
      </c>
    </row>
    <row r="1248" spans="42:43" x14ac:dyDescent="0.3">
      <c r="AP1248" s="153" t="s">
        <v>2065</v>
      </c>
      <c r="AQ1248" s="153" t="s">
        <v>2025</v>
      </c>
    </row>
    <row r="1249" spans="42:43" x14ac:dyDescent="0.3">
      <c r="AP1249" s="153" t="s">
        <v>2065</v>
      </c>
      <c r="AQ1249" s="153" t="s">
        <v>2025</v>
      </c>
    </row>
    <row r="1250" spans="42:43" x14ac:dyDescent="0.3">
      <c r="AP1250" s="153" t="s">
        <v>2065</v>
      </c>
      <c r="AQ1250" s="153" t="s">
        <v>2025</v>
      </c>
    </row>
    <row r="1251" spans="42:43" x14ac:dyDescent="0.3">
      <c r="AP1251" s="153" t="s">
        <v>2037</v>
      </c>
      <c r="AQ1251" s="153" t="s">
        <v>2802</v>
      </c>
    </row>
    <row r="1252" spans="42:43" x14ac:dyDescent="0.3">
      <c r="AP1252" s="153" t="s">
        <v>2050</v>
      </c>
      <c r="AQ1252" s="153" t="s">
        <v>2802</v>
      </c>
    </row>
    <row r="1253" spans="42:43" x14ac:dyDescent="0.3">
      <c r="AP1253" s="153" t="s">
        <v>2061</v>
      </c>
      <c r="AQ1253" s="153" t="s">
        <v>2802</v>
      </c>
    </row>
    <row r="1254" spans="42:43" x14ac:dyDescent="0.3">
      <c r="AP1254" s="153" t="s">
        <v>2037</v>
      </c>
      <c r="AQ1254" s="153" t="s">
        <v>2802</v>
      </c>
    </row>
    <row r="1255" spans="42:43" x14ac:dyDescent="0.3">
      <c r="AP1255" s="153" t="s">
        <v>2032</v>
      </c>
      <c r="AQ1255" s="153" t="s">
        <v>2802</v>
      </c>
    </row>
    <row r="1256" spans="42:43" x14ac:dyDescent="0.3">
      <c r="AP1256" s="153" t="s">
        <v>2037</v>
      </c>
      <c r="AQ1256" s="153" t="s">
        <v>2802</v>
      </c>
    </row>
    <row r="1257" spans="42:43" x14ac:dyDescent="0.3">
      <c r="AP1257" s="153" t="s">
        <v>2037</v>
      </c>
      <c r="AQ1257" s="153" t="s">
        <v>2802</v>
      </c>
    </row>
    <row r="1258" spans="42:43" x14ac:dyDescent="0.3">
      <c r="AP1258" s="153" t="s">
        <v>2039</v>
      </c>
      <c r="AQ1258" s="153" t="s">
        <v>2802</v>
      </c>
    </row>
    <row r="1259" spans="42:43" x14ac:dyDescent="0.3">
      <c r="AP1259" s="153" t="s">
        <v>2037</v>
      </c>
      <c r="AQ1259" s="153" t="s">
        <v>2802</v>
      </c>
    </row>
    <row r="1260" spans="42:43" x14ac:dyDescent="0.3">
      <c r="AP1260" s="153" t="s">
        <v>2037</v>
      </c>
      <c r="AQ1260" s="153" t="s">
        <v>2802</v>
      </c>
    </row>
    <row r="1261" spans="42:43" x14ac:dyDescent="0.3">
      <c r="AP1261" s="153" t="s">
        <v>2041</v>
      </c>
      <c r="AQ1261" s="153" t="s">
        <v>2802</v>
      </c>
    </row>
    <row r="1262" spans="42:43" x14ac:dyDescent="0.3">
      <c r="AP1262" s="153" t="s">
        <v>2032</v>
      </c>
      <c r="AQ1262" s="153" t="s">
        <v>2802</v>
      </c>
    </row>
    <row r="1263" spans="42:43" x14ac:dyDescent="0.3">
      <c r="AP1263" s="153" t="s">
        <v>2028</v>
      </c>
      <c r="AQ1263" s="153" t="s">
        <v>2023</v>
      </c>
    </row>
    <row r="1264" spans="42:43" x14ac:dyDescent="0.3">
      <c r="AP1264" s="153" t="s">
        <v>2062</v>
      </c>
      <c r="AQ1264" s="153" t="s">
        <v>2023</v>
      </c>
    </row>
    <row r="1265" spans="42:43" x14ac:dyDescent="0.3">
      <c r="AP1265" s="153" t="s">
        <v>2039</v>
      </c>
      <c r="AQ1265" s="153" t="s">
        <v>2802</v>
      </c>
    </row>
    <row r="1266" spans="42:43" x14ac:dyDescent="0.3">
      <c r="AP1266" s="153" t="s">
        <v>2037</v>
      </c>
      <c r="AQ1266" s="153" t="s">
        <v>2802</v>
      </c>
    </row>
    <row r="1267" spans="42:43" x14ac:dyDescent="0.3">
      <c r="AP1267" s="153" t="s">
        <v>2041</v>
      </c>
      <c r="AQ1267" s="153" t="s">
        <v>2802</v>
      </c>
    </row>
    <row r="1268" spans="42:43" x14ac:dyDescent="0.3">
      <c r="AP1268" s="153" t="s">
        <v>2037</v>
      </c>
      <c r="AQ1268" s="153" t="s">
        <v>2802</v>
      </c>
    </row>
    <row r="1269" spans="42:43" x14ac:dyDescent="0.3">
      <c r="AP1269" s="153" t="s">
        <v>2028</v>
      </c>
      <c r="AQ1269" s="153" t="s">
        <v>2023</v>
      </c>
    </row>
    <row r="1270" spans="42:43" x14ac:dyDescent="0.3">
      <c r="AP1270" s="153" t="s">
        <v>2042</v>
      </c>
      <c r="AQ1270" s="153" t="s">
        <v>2802</v>
      </c>
    </row>
    <row r="1271" spans="42:43" x14ac:dyDescent="0.3">
      <c r="AP1271" s="153" t="s">
        <v>2028</v>
      </c>
      <c r="AQ1271" s="153" t="s">
        <v>2023</v>
      </c>
    </row>
    <row r="1272" spans="42:43" x14ac:dyDescent="0.3">
      <c r="AP1272" s="153" t="s">
        <v>2952</v>
      </c>
      <c r="AQ1272" s="153" t="s">
        <v>2025</v>
      </c>
    </row>
    <row r="1273" spans="42:43" x14ac:dyDescent="0.3">
      <c r="AP1273" s="153" t="s">
        <v>2039</v>
      </c>
      <c r="AQ1273" s="153" t="s">
        <v>2802</v>
      </c>
    </row>
    <row r="1274" spans="42:43" x14ac:dyDescent="0.3">
      <c r="AP1274" s="153" t="s">
        <v>2945</v>
      </c>
      <c r="AQ1274" s="153" t="s">
        <v>2025</v>
      </c>
    </row>
    <row r="1275" spans="42:43" x14ac:dyDescent="0.3">
      <c r="AP1275" s="153" t="s">
        <v>2059</v>
      </c>
      <c r="AQ1275" s="153" t="s">
        <v>2024</v>
      </c>
    </row>
    <row r="1276" spans="42:43" x14ac:dyDescent="0.3">
      <c r="AP1276" s="153" t="s">
        <v>2039</v>
      </c>
      <c r="AQ1276" s="153" t="s">
        <v>2802</v>
      </c>
    </row>
    <row r="1277" spans="42:43" x14ac:dyDescent="0.3">
      <c r="AP1277" s="153" t="s">
        <v>2039</v>
      </c>
      <c r="AQ1277" s="153" t="s">
        <v>2802</v>
      </c>
    </row>
    <row r="1278" spans="42:43" x14ac:dyDescent="0.3">
      <c r="AP1278" s="153" t="s">
        <v>2039</v>
      </c>
      <c r="AQ1278" s="153" t="s">
        <v>2802</v>
      </c>
    </row>
    <row r="1279" spans="42:43" x14ac:dyDescent="0.3">
      <c r="AP1279" s="153" t="s">
        <v>2037</v>
      </c>
      <c r="AQ1279" s="153" t="s">
        <v>2802</v>
      </c>
    </row>
    <row r="1280" spans="42:43" x14ac:dyDescent="0.3">
      <c r="AP1280" s="153" t="s">
        <v>2037</v>
      </c>
      <c r="AQ1280" s="153" t="s">
        <v>2802</v>
      </c>
    </row>
    <row r="1281" spans="42:43" x14ac:dyDescent="0.3">
      <c r="AP1281" s="153" t="s">
        <v>2028</v>
      </c>
      <c r="AQ1281" s="153" t="s">
        <v>2023</v>
      </c>
    </row>
    <row r="1282" spans="42:43" x14ac:dyDescent="0.3">
      <c r="AP1282" s="153" t="s">
        <v>2039</v>
      </c>
      <c r="AQ1282" s="153" t="s">
        <v>2802</v>
      </c>
    </row>
    <row r="1283" spans="42:43" x14ac:dyDescent="0.3">
      <c r="AP1283" s="153" t="s">
        <v>2037</v>
      </c>
      <c r="AQ1283" s="153" t="s">
        <v>2802</v>
      </c>
    </row>
    <row r="1284" spans="42:43" x14ac:dyDescent="0.3">
      <c r="AP1284" s="153" t="s">
        <v>2037</v>
      </c>
      <c r="AQ1284" s="153" t="s">
        <v>2802</v>
      </c>
    </row>
    <row r="1285" spans="42:43" x14ac:dyDescent="0.3">
      <c r="AP1285" s="153" t="s">
        <v>2058</v>
      </c>
      <c r="AQ1285" s="153" t="s">
        <v>2802</v>
      </c>
    </row>
    <row r="1286" spans="42:43" x14ac:dyDescent="0.3">
      <c r="AP1286" s="153" t="s">
        <v>2041</v>
      </c>
      <c r="AQ1286" s="153" t="s">
        <v>2802</v>
      </c>
    </row>
    <row r="1287" spans="42:43" x14ac:dyDescent="0.3">
      <c r="AP1287" s="153" t="s">
        <v>2037</v>
      </c>
      <c r="AQ1287" s="153" t="s">
        <v>2802</v>
      </c>
    </row>
    <row r="1288" spans="42:43" x14ac:dyDescent="0.3">
      <c r="AP1288" s="153" t="s">
        <v>2028</v>
      </c>
      <c r="AQ1288" s="153" t="s">
        <v>2023</v>
      </c>
    </row>
    <row r="1289" spans="42:43" x14ac:dyDescent="0.3">
      <c r="AP1289" s="153" t="s">
        <v>2037</v>
      </c>
      <c r="AQ1289" s="153" t="s">
        <v>2802</v>
      </c>
    </row>
    <row r="1290" spans="42:43" x14ac:dyDescent="0.3">
      <c r="AP1290" s="153" t="s">
        <v>2059</v>
      </c>
      <c r="AQ1290" s="153" t="s">
        <v>2024</v>
      </c>
    </row>
    <row r="1291" spans="42:43" x14ac:dyDescent="0.3">
      <c r="AP1291" s="153" t="s">
        <v>2060</v>
      </c>
      <c r="AQ1291" s="153" t="s">
        <v>2023</v>
      </c>
    </row>
    <row r="1292" spans="42:43" x14ac:dyDescent="0.3">
      <c r="AP1292" s="153" t="s">
        <v>2039</v>
      </c>
      <c r="AQ1292" s="153" t="s">
        <v>2802</v>
      </c>
    </row>
    <row r="1293" spans="42:43" x14ac:dyDescent="0.3">
      <c r="AP1293" s="153" t="s">
        <v>2041</v>
      </c>
      <c r="AQ1293" s="153" t="s">
        <v>2802</v>
      </c>
    </row>
    <row r="1294" spans="42:43" x14ac:dyDescent="0.3">
      <c r="AP1294" s="153" t="s">
        <v>2032</v>
      </c>
      <c r="AQ1294" s="153" t="s">
        <v>2802</v>
      </c>
    </row>
    <row r="1295" spans="42:43" x14ac:dyDescent="0.3">
      <c r="AP1295" s="153" t="s">
        <v>2054</v>
      </c>
      <c r="AQ1295" s="153" t="s">
        <v>2802</v>
      </c>
    </row>
    <row r="1296" spans="42:43" x14ac:dyDescent="0.3">
      <c r="AP1296" s="153" t="s">
        <v>2059</v>
      </c>
      <c r="AQ1296" s="153" t="s">
        <v>2024</v>
      </c>
    </row>
    <row r="1297" spans="42:43" x14ac:dyDescent="0.3">
      <c r="AP1297" s="153" t="s">
        <v>2063</v>
      </c>
      <c r="AQ1297" s="153" t="s">
        <v>2802</v>
      </c>
    </row>
    <row r="1298" spans="42:43" x14ac:dyDescent="0.3">
      <c r="AP1298" s="153" t="s">
        <v>2063</v>
      </c>
      <c r="AQ1298" s="153" t="s">
        <v>2802</v>
      </c>
    </row>
    <row r="1299" spans="42:43" x14ac:dyDescent="0.3">
      <c r="AP1299" s="153" t="s">
        <v>2062</v>
      </c>
      <c r="AQ1299" s="153" t="s">
        <v>2023</v>
      </c>
    </row>
    <row r="1300" spans="42:43" x14ac:dyDescent="0.3">
      <c r="AP1300" s="153" t="s">
        <v>2062</v>
      </c>
      <c r="AQ1300" s="153" t="s">
        <v>2023</v>
      </c>
    </row>
    <row r="1301" spans="42:43" x14ac:dyDescent="0.3">
      <c r="AP1301" s="153" t="s">
        <v>2028</v>
      </c>
      <c r="AQ1301" s="153" t="s">
        <v>2023</v>
      </c>
    </row>
    <row r="1302" spans="42:43" x14ac:dyDescent="0.3">
      <c r="AP1302" s="153" t="s">
        <v>2054</v>
      </c>
      <c r="AQ1302" s="153" t="s">
        <v>2802</v>
      </c>
    </row>
    <row r="1303" spans="42:43" x14ac:dyDescent="0.3">
      <c r="AP1303" s="153" t="s">
        <v>2037</v>
      </c>
      <c r="AQ1303" s="153" t="s">
        <v>2802</v>
      </c>
    </row>
    <row r="1304" spans="42:43" x14ac:dyDescent="0.3">
      <c r="AP1304" s="153" t="s">
        <v>2059</v>
      </c>
      <c r="AQ1304" s="153" t="s">
        <v>2024</v>
      </c>
    </row>
    <row r="1305" spans="42:43" x14ac:dyDescent="0.3">
      <c r="AP1305" s="153" t="s">
        <v>2037</v>
      </c>
      <c r="AQ1305" s="153" t="s">
        <v>2802</v>
      </c>
    </row>
    <row r="1306" spans="42:43" x14ac:dyDescent="0.3">
      <c r="AP1306" s="153" t="s">
        <v>2059</v>
      </c>
      <c r="AQ1306" s="153" t="s">
        <v>2024</v>
      </c>
    </row>
    <row r="1307" spans="42:43" x14ac:dyDescent="0.3">
      <c r="AP1307" s="153" t="s">
        <v>2028</v>
      </c>
      <c r="AQ1307" s="153" t="s">
        <v>2023</v>
      </c>
    </row>
    <row r="1308" spans="42:43" x14ac:dyDescent="0.3">
      <c r="AP1308" s="153" t="s">
        <v>2054</v>
      </c>
      <c r="AQ1308" s="153" t="s">
        <v>2802</v>
      </c>
    </row>
    <row r="1309" spans="42:43" x14ac:dyDescent="0.3">
      <c r="AP1309" s="153" t="s">
        <v>2945</v>
      </c>
      <c r="AQ1309" s="153" t="s">
        <v>2025</v>
      </c>
    </row>
    <row r="1310" spans="42:43" x14ac:dyDescent="0.3">
      <c r="AP1310" s="153" t="s">
        <v>2061</v>
      </c>
      <c r="AQ1310" s="153" t="s">
        <v>2802</v>
      </c>
    </row>
    <row r="1311" spans="42:43" x14ac:dyDescent="0.3">
      <c r="AP1311" s="153" t="s">
        <v>2037</v>
      </c>
      <c r="AQ1311" s="153" t="s">
        <v>2802</v>
      </c>
    </row>
    <row r="1312" spans="42:43" x14ac:dyDescent="0.3">
      <c r="AP1312" s="153" t="s">
        <v>2041</v>
      </c>
      <c r="AQ1312" s="153" t="s">
        <v>2802</v>
      </c>
    </row>
    <row r="1313" spans="42:43" x14ac:dyDescent="0.3">
      <c r="AP1313" s="153" t="s">
        <v>2039</v>
      </c>
      <c r="AQ1313" s="153" t="s">
        <v>2802</v>
      </c>
    </row>
    <row r="1314" spans="42:43" x14ac:dyDescent="0.3">
      <c r="AP1314" s="153" t="s">
        <v>2028</v>
      </c>
      <c r="AQ1314" s="153" t="s">
        <v>2023</v>
      </c>
    </row>
    <row r="1315" spans="42:43" x14ac:dyDescent="0.3">
      <c r="AP1315" s="153" t="s">
        <v>2054</v>
      </c>
      <c r="AQ1315" s="153" t="s">
        <v>2802</v>
      </c>
    </row>
    <row r="1316" spans="42:43" x14ac:dyDescent="0.3">
      <c r="AP1316" s="153" t="s">
        <v>2059</v>
      </c>
      <c r="AQ1316" s="153" t="s">
        <v>2024</v>
      </c>
    </row>
    <row r="1317" spans="42:43" x14ac:dyDescent="0.3">
      <c r="AP1317" s="153" t="s">
        <v>2059</v>
      </c>
      <c r="AQ1317" s="153" t="s">
        <v>2024</v>
      </c>
    </row>
    <row r="1318" spans="42:43" x14ac:dyDescent="0.3">
      <c r="AP1318" s="153" t="s">
        <v>2039</v>
      </c>
      <c r="AQ1318" s="153" t="s">
        <v>2802</v>
      </c>
    </row>
    <row r="1319" spans="42:43" x14ac:dyDescent="0.3">
      <c r="AP1319" s="153" t="s">
        <v>2028</v>
      </c>
      <c r="AQ1319" s="153" t="s">
        <v>2023</v>
      </c>
    </row>
    <row r="1320" spans="42:43" x14ac:dyDescent="0.3">
      <c r="AP1320" s="153" t="s">
        <v>2028</v>
      </c>
      <c r="AQ1320" s="153" t="s">
        <v>2023</v>
      </c>
    </row>
    <row r="1321" spans="42:43" x14ac:dyDescent="0.3">
      <c r="AP1321" s="153" t="s">
        <v>2041</v>
      </c>
      <c r="AQ1321" s="153" t="s">
        <v>2802</v>
      </c>
    </row>
    <row r="1322" spans="42:43" x14ac:dyDescent="0.3">
      <c r="AP1322" s="153" t="s">
        <v>2028</v>
      </c>
      <c r="AQ1322" s="153" t="s">
        <v>2023</v>
      </c>
    </row>
    <row r="1323" spans="42:43" x14ac:dyDescent="0.3">
      <c r="AP1323" s="153" t="s">
        <v>2059</v>
      </c>
      <c r="AQ1323" s="153" t="s">
        <v>2024</v>
      </c>
    </row>
    <row r="1324" spans="42:43" x14ac:dyDescent="0.3">
      <c r="AP1324" s="153" t="s">
        <v>2061</v>
      </c>
      <c r="AQ1324" s="153" t="s">
        <v>2802</v>
      </c>
    </row>
    <row r="1325" spans="42:43" x14ac:dyDescent="0.3">
      <c r="AP1325" s="153" t="s">
        <v>2062</v>
      </c>
      <c r="AQ1325" s="153" t="s">
        <v>2023</v>
      </c>
    </row>
    <row r="1326" spans="42:43" x14ac:dyDescent="0.3">
      <c r="AP1326" s="153" t="s">
        <v>2062</v>
      </c>
      <c r="AQ1326" s="153" t="s">
        <v>2023</v>
      </c>
    </row>
    <row r="1327" spans="42:43" x14ac:dyDescent="0.3">
      <c r="AP1327" s="153" t="s">
        <v>2037</v>
      </c>
      <c r="AQ1327" s="153" t="s">
        <v>2802</v>
      </c>
    </row>
    <row r="1328" spans="42:43" x14ac:dyDescent="0.3">
      <c r="AP1328" s="153" t="s">
        <v>2055</v>
      </c>
      <c r="AQ1328" s="153" t="s">
        <v>2802</v>
      </c>
    </row>
    <row r="1329" spans="42:43" x14ac:dyDescent="0.3">
      <c r="AP1329" s="153" t="s">
        <v>2037</v>
      </c>
      <c r="AQ1329" s="153" t="s">
        <v>2802</v>
      </c>
    </row>
    <row r="1330" spans="42:43" x14ac:dyDescent="0.3">
      <c r="AP1330" s="153" t="s">
        <v>2037</v>
      </c>
      <c r="AQ1330" s="153" t="s">
        <v>2802</v>
      </c>
    </row>
    <row r="1331" spans="42:43" x14ac:dyDescent="0.3">
      <c r="AP1331" s="153" t="s">
        <v>2041</v>
      </c>
      <c r="AQ1331" s="153" t="s">
        <v>2802</v>
      </c>
    </row>
    <row r="1332" spans="42:43" x14ac:dyDescent="0.3">
      <c r="AP1332" s="153" t="s">
        <v>2028</v>
      </c>
      <c r="AQ1332" s="153" t="s">
        <v>2023</v>
      </c>
    </row>
    <row r="1333" spans="42:43" x14ac:dyDescent="0.3">
      <c r="AP1333" s="153" t="s">
        <v>2041</v>
      </c>
      <c r="AQ1333" s="153" t="s">
        <v>2802</v>
      </c>
    </row>
    <row r="1334" spans="42:43" x14ac:dyDescent="0.3">
      <c r="AP1334" s="153" t="s">
        <v>2061</v>
      </c>
      <c r="AQ1334" s="153" t="s">
        <v>2802</v>
      </c>
    </row>
    <row r="1335" spans="42:43" x14ac:dyDescent="0.3">
      <c r="AP1335" s="153" t="s">
        <v>2041</v>
      </c>
      <c r="AQ1335" s="153" t="s">
        <v>2802</v>
      </c>
    </row>
    <row r="1336" spans="42:43" x14ac:dyDescent="0.3">
      <c r="AP1336" s="153" t="s">
        <v>2059</v>
      </c>
      <c r="AQ1336" s="153" t="s">
        <v>2024</v>
      </c>
    </row>
    <row r="1337" spans="42:43" x14ac:dyDescent="0.3">
      <c r="AP1337" s="153" t="s">
        <v>2059</v>
      </c>
      <c r="AQ1337" s="153" t="s">
        <v>2024</v>
      </c>
    </row>
    <row r="1338" spans="42:43" x14ac:dyDescent="0.3">
      <c r="AP1338" s="153" t="s">
        <v>2059</v>
      </c>
      <c r="AQ1338" s="153" t="s">
        <v>2024</v>
      </c>
    </row>
    <row r="1339" spans="42:43" x14ac:dyDescent="0.3">
      <c r="AP1339" s="153" t="s">
        <v>2037</v>
      </c>
      <c r="AQ1339" s="153" t="s">
        <v>2802</v>
      </c>
    </row>
    <row r="1340" spans="42:43" x14ac:dyDescent="0.3">
      <c r="AP1340" s="153" t="s">
        <v>2037</v>
      </c>
      <c r="AQ1340" s="153" t="s">
        <v>2802</v>
      </c>
    </row>
    <row r="1341" spans="42:43" x14ac:dyDescent="0.3">
      <c r="AP1341" s="153" t="s">
        <v>2039</v>
      </c>
      <c r="AQ1341" s="153" t="s">
        <v>2802</v>
      </c>
    </row>
    <row r="1342" spans="42:43" x14ac:dyDescent="0.3">
      <c r="AP1342" s="153" t="s">
        <v>2028</v>
      </c>
      <c r="AQ1342" s="153" t="s">
        <v>2023</v>
      </c>
    </row>
    <row r="1343" spans="42:43" x14ac:dyDescent="0.3">
      <c r="AP1343" s="153" t="s">
        <v>2028</v>
      </c>
      <c r="AQ1343" s="153" t="s">
        <v>2023</v>
      </c>
    </row>
    <row r="1344" spans="42:43" x14ac:dyDescent="0.3">
      <c r="AP1344" s="153" t="s">
        <v>2037</v>
      </c>
      <c r="AQ1344" s="153" t="s">
        <v>2802</v>
      </c>
    </row>
    <row r="1345" spans="42:43" x14ac:dyDescent="0.3">
      <c r="AP1345" s="153" t="s">
        <v>2048</v>
      </c>
      <c r="AQ1345" s="153" t="s">
        <v>2802</v>
      </c>
    </row>
    <row r="1346" spans="42:43" x14ac:dyDescent="0.3">
      <c r="AP1346" s="153" t="s">
        <v>2041</v>
      </c>
      <c r="AQ1346" s="153" t="s">
        <v>2802</v>
      </c>
    </row>
    <row r="1347" spans="42:43" x14ac:dyDescent="0.3">
      <c r="AP1347" s="153" t="s">
        <v>2039</v>
      </c>
      <c r="AQ1347" s="153" t="s">
        <v>2802</v>
      </c>
    </row>
    <row r="1348" spans="42:43" x14ac:dyDescent="0.3">
      <c r="AP1348" s="153" t="s">
        <v>2043</v>
      </c>
      <c r="AQ1348" s="153" t="s">
        <v>2802</v>
      </c>
    </row>
    <row r="1349" spans="42:43" x14ac:dyDescent="0.3">
      <c r="AP1349" s="153" t="s">
        <v>2059</v>
      </c>
      <c r="AQ1349" s="153" t="s">
        <v>2024</v>
      </c>
    </row>
    <row r="1350" spans="42:43" x14ac:dyDescent="0.3">
      <c r="AP1350" s="153" t="s">
        <v>2037</v>
      </c>
      <c r="AQ1350" s="153" t="s">
        <v>2802</v>
      </c>
    </row>
    <row r="1351" spans="42:43" x14ac:dyDescent="0.3">
      <c r="AP1351" s="153" t="s">
        <v>2953</v>
      </c>
      <c r="AQ1351" s="153" t="s">
        <v>2025</v>
      </c>
    </row>
    <row r="1352" spans="42:43" x14ac:dyDescent="0.3">
      <c r="AP1352" s="153" t="s">
        <v>2028</v>
      </c>
      <c r="AQ1352" s="153" t="s">
        <v>2023</v>
      </c>
    </row>
    <row r="1353" spans="42:43" x14ac:dyDescent="0.3">
      <c r="AP1353" s="153" t="s">
        <v>2059</v>
      </c>
      <c r="AQ1353" s="153" t="s">
        <v>2024</v>
      </c>
    </row>
    <row r="1354" spans="42:43" x14ac:dyDescent="0.3">
      <c r="AP1354" s="153" t="s">
        <v>2059</v>
      </c>
      <c r="AQ1354" s="153" t="s">
        <v>2024</v>
      </c>
    </row>
    <row r="1355" spans="42:43" x14ac:dyDescent="0.3">
      <c r="AP1355" s="153" t="s">
        <v>2060</v>
      </c>
      <c r="AQ1355" s="153" t="s">
        <v>2023</v>
      </c>
    </row>
    <row r="1356" spans="42:43" x14ac:dyDescent="0.3">
      <c r="AP1356" s="153" t="s">
        <v>2032</v>
      </c>
      <c r="AQ1356" s="153" t="s">
        <v>2802</v>
      </c>
    </row>
    <row r="1357" spans="42:43" x14ac:dyDescent="0.3">
      <c r="AP1357" s="153" t="s">
        <v>2037</v>
      </c>
      <c r="AQ1357" s="153" t="s">
        <v>2802</v>
      </c>
    </row>
    <row r="1358" spans="42:43" x14ac:dyDescent="0.3">
      <c r="AP1358" s="153" t="s">
        <v>2059</v>
      </c>
      <c r="AQ1358" s="153" t="s">
        <v>2024</v>
      </c>
    </row>
    <row r="1359" spans="42:43" x14ac:dyDescent="0.3">
      <c r="AP1359" s="153" t="s">
        <v>2037</v>
      </c>
      <c r="AQ1359" s="153" t="s">
        <v>2802</v>
      </c>
    </row>
    <row r="1360" spans="42:43" x14ac:dyDescent="0.3">
      <c r="AP1360" s="153" t="s">
        <v>2063</v>
      </c>
      <c r="AQ1360" s="153" t="s">
        <v>2802</v>
      </c>
    </row>
    <row r="1361" spans="42:43" x14ac:dyDescent="0.3">
      <c r="AP1361" s="153" t="s">
        <v>2028</v>
      </c>
      <c r="AQ1361" s="153" t="s">
        <v>2023</v>
      </c>
    </row>
    <row r="1362" spans="42:43" x14ac:dyDescent="0.3">
      <c r="AP1362" s="153" t="s">
        <v>2028</v>
      </c>
      <c r="AQ1362" s="153" t="s">
        <v>2023</v>
      </c>
    </row>
    <row r="1363" spans="42:43" x14ac:dyDescent="0.3">
      <c r="AP1363" s="153" t="s">
        <v>2028</v>
      </c>
      <c r="AQ1363" s="153" t="s">
        <v>2023</v>
      </c>
    </row>
    <row r="1364" spans="42:43" x14ac:dyDescent="0.3">
      <c r="AP1364" s="153" t="s">
        <v>2028</v>
      </c>
      <c r="AQ1364" s="153" t="s">
        <v>2023</v>
      </c>
    </row>
    <row r="1365" spans="42:43" x14ac:dyDescent="0.3">
      <c r="AP1365" s="153" t="s">
        <v>2028</v>
      </c>
      <c r="AQ1365" s="153" t="s">
        <v>2023</v>
      </c>
    </row>
    <row r="1366" spans="42:43" x14ac:dyDescent="0.3">
      <c r="AP1366" s="153" t="s">
        <v>2062</v>
      </c>
      <c r="AQ1366" s="153" t="s">
        <v>2023</v>
      </c>
    </row>
    <row r="1367" spans="42:43" x14ac:dyDescent="0.3">
      <c r="AP1367" s="153" t="s">
        <v>2041</v>
      </c>
      <c r="AQ1367" s="153" t="s">
        <v>2802</v>
      </c>
    </row>
    <row r="1368" spans="42:43" x14ac:dyDescent="0.3">
      <c r="AP1368" s="153" t="s">
        <v>2041</v>
      </c>
      <c r="AQ1368" s="153" t="s">
        <v>2802</v>
      </c>
    </row>
    <row r="1369" spans="42:43" x14ac:dyDescent="0.3">
      <c r="AP1369" s="153" t="s">
        <v>2028</v>
      </c>
      <c r="AQ1369" s="153" t="s">
        <v>2023</v>
      </c>
    </row>
    <row r="1370" spans="42:43" x14ac:dyDescent="0.3">
      <c r="AP1370" s="153" t="s">
        <v>2048</v>
      </c>
      <c r="AQ1370" s="153" t="s">
        <v>2802</v>
      </c>
    </row>
    <row r="1371" spans="42:43" x14ac:dyDescent="0.3">
      <c r="AP1371" s="153" t="s">
        <v>2037</v>
      </c>
      <c r="AQ1371" s="153" t="s">
        <v>2802</v>
      </c>
    </row>
    <row r="1372" spans="42:43" x14ac:dyDescent="0.3">
      <c r="AP1372" s="153" t="s">
        <v>2039</v>
      </c>
      <c r="AQ1372" s="153" t="s">
        <v>2802</v>
      </c>
    </row>
    <row r="1373" spans="42:43" x14ac:dyDescent="0.3">
      <c r="AP1373" s="153" t="s">
        <v>2041</v>
      </c>
      <c r="AQ1373" s="153" t="s">
        <v>2802</v>
      </c>
    </row>
    <row r="1374" spans="42:43" x14ac:dyDescent="0.3">
      <c r="AP1374" s="153" t="s">
        <v>2028</v>
      </c>
      <c r="AQ1374" s="153" t="s">
        <v>2023</v>
      </c>
    </row>
    <row r="1375" spans="42:43" x14ac:dyDescent="0.3">
      <c r="AP1375" s="153" t="s">
        <v>2060</v>
      </c>
      <c r="AQ1375" s="153" t="s">
        <v>2023</v>
      </c>
    </row>
    <row r="1376" spans="42:43" x14ac:dyDescent="0.3">
      <c r="AP1376" s="153" t="s">
        <v>2041</v>
      </c>
      <c r="AQ1376" s="153" t="s">
        <v>2802</v>
      </c>
    </row>
    <row r="1377" spans="42:43" x14ac:dyDescent="0.3">
      <c r="AP1377" s="153" t="s">
        <v>2061</v>
      </c>
      <c r="AQ1377" s="153" t="s">
        <v>2802</v>
      </c>
    </row>
    <row r="1378" spans="42:43" x14ac:dyDescent="0.3">
      <c r="AP1378" s="153" t="s">
        <v>2064</v>
      </c>
      <c r="AQ1378" s="153" t="s">
        <v>2802</v>
      </c>
    </row>
    <row r="1379" spans="42:43" x14ac:dyDescent="0.3">
      <c r="AP1379" s="153" t="s">
        <v>2064</v>
      </c>
      <c r="AQ1379" s="153" t="s">
        <v>2802</v>
      </c>
    </row>
    <row r="1380" spans="42:43" x14ac:dyDescent="0.3">
      <c r="AP1380" s="153" t="s">
        <v>2064</v>
      </c>
      <c r="AQ1380" s="153" t="s">
        <v>2802</v>
      </c>
    </row>
    <row r="1381" spans="42:43" x14ac:dyDescent="0.3">
      <c r="AP1381" s="153" t="s">
        <v>2064</v>
      </c>
      <c r="AQ1381" s="153" t="s">
        <v>2802</v>
      </c>
    </row>
    <row r="1382" spans="42:43" x14ac:dyDescent="0.3">
      <c r="AP1382" s="153" t="s">
        <v>2064</v>
      </c>
      <c r="AQ1382" s="153" t="s">
        <v>2802</v>
      </c>
    </row>
    <row r="1383" spans="42:43" x14ac:dyDescent="0.3">
      <c r="AP1383" s="153" t="s">
        <v>2064</v>
      </c>
      <c r="AQ1383" s="153" t="s">
        <v>2802</v>
      </c>
    </row>
    <row r="1384" spans="42:43" x14ac:dyDescent="0.3">
      <c r="AP1384" s="153" t="s">
        <v>2059</v>
      </c>
      <c r="AQ1384" s="153" t="s">
        <v>2024</v>
      </c>
    </row>
    <row r="1385" spans="42:43" x14ac:dyDescent="0.3">
      <c r="AP1385" s="153" t="s">
        <v>2039</v>
      </c>
      <c r="AQ1385" s="153" t="s">
        <v>2802</v>
      </c>
    </row>
    <row r="1386" spans="42:43" x14ac:dyDescent="0.3">
      <c r="AP1386" s="153" t="s">
        <v>2039</v>
      </c>
      <c r="AQ1386" s="153" t="s">
        <v>2802</v>
      </c>
    </row>
    <row r="1387" spans="42:43" x14ac:dyDescent="0.3">
      <c r="AP1387" s="153" t="s">
        <v>2040</v>
      </c>
      <c r="AQ1387" s="153" t="s">
        <v>2802</v>
      </c>
    </row>
    <row r="1388" spans="42:43" x14ac:dyDescent="0.3">
      <c r="AP1388" s="153" t="s">
        <v>2059</v>
      </c>
      <c r="AQ1388" s="153" t="s">
        <v>2024</v>
      </c>
    </row>
    <row r="1389" spans="42:43" x14ac:dyDescent="0.3">
      <c r="AP1389" s="153" t="s">
        <v>2037</v>
      </c>
      <c r="AQ1389" s="153" t="s">
        <v>2802</v>
      </c>
    </row>
    <row r="1390" spans="42:43" x14ac:dyDescent="0.3">
      <c r="AP1390" s="153" t="s">
        <v>2039</v>
      </c>
      <c r="AQ1390" s="153" t="s">
        <v>2802</v>
      </c>
    </row>
    <row r="1391" spans="42:43" x14ac:dyDescent="0.3">
      <c r="AP1391" s="153" t="s">
        <v>2063</v>
      </c>
      <c r="AQ1391" s="153" t="s">
        <v>2802</v>
      </c>
    </row>
    <row r="1392" spans="42:43" x14ac:dyDescent="0.3">
      <c r="AP1392" s="153" t="s">
        <v>2032</v>
      </c>
      <c r="AQ1392" s="153" t="s">
        <v>2802</v>
      </c>
    </row>
    <row r="1393" spans="42:43" x14ac:dyDescent="0.3">
      <c r="AP1393" s="153" t="s">
        <v>2037</v>
      </c>
      <c r="AQ1393" s="153" t="s">
        <v>2802</v>
      </c>
    </row>
    <row r="1394" spans="42:43" x14ac:dyDescent="0.3">
      <c r="AP1394" s="153" t="s">
        <v>2061</v>
      </c>
      <c r="AQ1394" s="153" t="s">
        <v>2802</v>
      </c>
    </row>
    <row r="1395" spans="42:43" x14ac:dyDescent="0.3">
      <c r="AP1395" s="153" t="s">
        <v>2060</v>
      </c>
      <c r="AQ1395" s="153" t="s">
        <v>2023</v>
      </c>
    </row>
    <row r="1396" spans="42:43" x14ac:dyDescent="0.3">
      <c r="AP1396" s="153" t="s">
        <v>2061</v>
      </c>
      <c r="AQ1396" s="153" t="s">
        <v>2802</v>
      </c>
    </row>
    <row r="1397" spans="42:43" x14ac:dyDescent="0.3">
      <c r="AP1397" s="153" t="s">
        <v>2028</v>
      </c>
      <c r="AQ1397" s="153" t="s">
        <v>2023</v>
      </c>
    </row>
    <row r="1398" spans="42:43" x14ac:dyDescent="0.3">
      <c r="AP1398" s="153" t="s">
        <v>2028</v>
      </c>
      <c r="AQ1398" s="153" t="s">
        <v>2023</v>
      </c>
    </row>
    <row r="1399" spans="42:43" x14ac:dyDescent="0.3">
      <c r="AP1399" s="153" t="s">
        <v>2028</v>
      </c>
      <c r="AQ1399" s="153" t="s">
        <v>2023</v>
      </c>
    </row>
    <row r="1400" spans="42:43" x14ac:dyDescent="0.3">
      <c r="AP1400" s="153" t="s">
        <v>2037</v>
      </c>
      <c r="AQ1400" s="153" t="s">
        <v>2802</v>
      </c>
    </row>
    <row r="1401" spans="42:43" x14ac:dyDescent="0.3">
      <c r="AP1401" s="153" t="s">
        <v>2945</v>
      </c>
      <c r="AQ1401" s="153" t="s">
        <v>2025</v>
      </c>
    </row>
    <row r="1402" spans="42:43" x14ac:dyDescent="0.3">
      <c r="AP1402" s="153" t="s">
        <v>2062</v>
      </c>
      <c r="AQ1402" s="153" t="s">
        <v>2023</v>
      </c>
    </row>
    <row r="1403" spans="42:43" x14ac:dyDescent="0.3">
      <c r="AP1403" s="153" t="s">
        <v>2061</v>
      </c>
      <c r="AQ1403" s="153" t="s">
        <v>2802</v>
      </c>
    </row>
    <row r="1404" spans="42:43" x14ac:dyDescent="0.3">
      <c r="AP1404" s="153" t="s">
        <v>2039</v>
      </c>
      <c r="AQ1404" s="153" t="s">
        <v>2802</v>
      </c>
    </row>
    <row r="1405" spans="42:43" x14ac:dyDescent="0.3">
      <c r="AP1405" s="153" t="s">
        <v>2060</v>
      </c>
      <c r="AQ1405" s="153" t="s">
        <v>2023</v>
      </c>
    </row>
    <row r="1406" spans="42:43" x14ac:dyDescent="0.3">
      <c r="AP1406" s="153" t="s">
        <v>2039</v>
      </c>
      <c r="AQ1406" s="153" t="s">
        <v>2802</v>
      </c>
    </row>
    <row r="1407" spans="42:43" x14ac:dyDescent="0.3">
      <c r="AP1407" s="153" t="s">
        <v>2058</v>
      </c>
      <c r="AQ1407" s="153" t="s">
        <v>2802</v>
      </c>
    </row>
    <row r="1408" spans="42:43" x14ac:dyDescent="0.3">
      <c r="AP1408" s="153" t="s">
        <v>2058</v>
      </c>
      <c r="AQ1408" s="153" t="s">
        <v>2802</v>
      </c>
    </row>
    <row r="1409" spans="42:43" x14ac:dyDescent="0.3">
      <c r="AP1409" s="153" t="s">
        <v>2041</v>
      </c>
      <c r="AQ1409" s="153" t="s">
        <v>2802</v>
      </c>
    </row>
    <row r="1410" spans="42:43" x14ac:dyDescent="0.3">
      <c r="AP1410" s="153" t="s">
        <v>2037</v>
      </c>
      <c r="AQ1410" s="153" t="s">
        <v>2802</v>
      </c>
    </row>
    <row r="1411" spans="42:43" x14ac:dyDescent="0.3">
      <c r="AP1411" s="153" t="s">
        <v>2063</v>
      </c>
      <c r="AQ1411" s="153" t="s">
        <v>2802</v>
      </c>
    </row>
    <row r="1412" spans="42:43" x14ac:dyDescent="0.3">
      <c r="AP1412" s="153" t="s">
        <v>2062</v>
      </c>
      <c r="AQ1412" s="153" t="s">
        <v>2023</v>
      </c>
    </row>
    <row r="1413" spans="42:43" x14ac:dyDescent="0.3">
      <c r="AP1413" s="153" t="s">
        <v>2037</v>
      </c>
      <c r="AQ1413" s="153" t="s">
        <v>2802</v>
      </c>
    </row>
    <row r="1414" spans="42:43" x14ac:dyDescent="0.3">
      <c r="AP1414" s="153" t="s">
        <v>2039</v>
      </c>
      <c r="AQ1414" s="153" t="s">
        <v>2802</v>
      </c>
    </row>
    <row r="1415" spans="42:43" x14ac:dyDescent="0.3">
      <c r="AP1415" s="153" t="s">
        <v>2037</v>
      </c>
      <c r="AQ1415" s="153" t="s">
        <v>2802</v>
      </c>
    </row>
    <row r="1416" spans="42:43" x14ac:dyDescent="0.3">
      <c r="AP1416" s="153" t="s">
        <v>2058</v>
      </c>
      <c r="AQ1416" s="153" t="s">
        <v>2802</v>
      </c>
    </row>
    <row r="1417" spans="42:43" x14ac:dyDescent="0.3">
      <c r="AP1417" s="153" t="s">
        <v>2054</v>
      </c>
      <c r="AQ1417" s="153" t="s">
        <v>2802</v>
      </c>
    </row>
    <row r="1418" spans="42:43" x14ac:dyDescent="0.3">
      <c r="AP1418" s="153" t="s">
        <v>2041</v>
      </c>
      <c r="AQ1418" s="153" t="s">
        <v>2802</v>
      </c>
    </row>
    <row r="1419" spans="42:43" x14ac:dyDescent="0.3">
      <c r="AP1419" s="153" t="s">
        <v>2037</v>
      </c>
      <c r="AQ1419" s="153" t="s">
        <v>2802</v>
      </c>
    </row>
    <row r="1420" spans="42:43" x14ac:dyDescent="0.3">
      <c r="AP1420" s="153" t="s">
        <v>2062</v>
      </c>
      <c r="AQ1420" s="153" t="s">
        <v>2023</v>
      </c>
    </row>
    <row r="1421" spans="42:43" x14ac:dyDescent="0.3">
      <c r="AP1421" s="153" t="s">
        <v>2041</v>
      </c>
      <c r="AQ1421" s="153" t="s">
        <v>2802</v>
      </c>
    </row>
    <row r="1422" spans="42:43" x14ac:dyDescent="0.3">
      <c r="AP1422" s="153" t="s">
        <v>2041</v>
      </c>
      <c r="AQ1422" s="153" t="s">
        <v>2802</v>
      </c>
    </row>
    <row r="1423" spans="42:43" x14ac:dyDescent="0.3">
      <c r="AP1423" s="153" t="s">
        <v>2954</v>
      </c>
      <c r="AQ1423" s="153" t="s">
        <v>2802</v>
      </c>
    </row>
    <row r="1424" spans="42:43" x14ac:dyDescent="0.3">
      <c r="AP1424" s="153" t="s">
        <v>2049</v>
      </c>
      <c r="AQ1424" s="153" t="s">
        <v>2024</v>
      </c>
    </row>
    <row r="1425" spans="42:43" x14ac:dyDescent="0.3">
      <c r="AP1425" s="153" t="s">
        <v>2049</v>
      </c>
      <c r="AQ1425" s="153" t="s">
        <v>2024</v>
      </c>
    </row>
    <row r="1426" spans="42:43" x14ac:dyDescent="0.3">
      <c r="AP1426" s="153" t="s">
        <v>2049</v>
      </c>
      <c r="AQ1426" s="153" t="s">
        <v>2024</v>
      </c>
    </row>
    <row r="1427" spans="42:43" x14ac:dyDescent="0.3">
      <c r="AP1427" s="153" t="s">
        <v>2060</v>
      </c>
      <c r="AQ1427" s="153" t="s">
        <v>2023</v>
      </c>
    </row>
    <row r="1428" spans="42:43" x14ac:dyDescent="0.3">
      <c r="AP1428" s="153" t="s">
        <v>2060</v>
      </c>
      <c r="AQ1428" s="153" t="s">
        <v>2023</v>
      </c>
    </row>
    <row r="1429" spans="42:43" x14ac:dyDescent="0.3">
      <c r="AP1429" s="153" t="s">
        <v>2032</v>
      </c>
      <c r="AQ1429" s="153" t="s">
        <v>2802</v>
      </c>
    </row>
    <row r="1430" spans="42:43" x14ac:dyDescent="0.3">
      <c r="AP1430" s="153" t="s">
        <v>2037</v>
      </c>
      <c r="AQ1430" s="153" t="s">
        <v>2802</v>
      </c>
    </row>
    <row r="1431" spans="42:43" x14ac:dyDescent="0.3">
      <c r="AP1431" s="153" t="s">
        <v>2043</v>
      </c>
      <c r="AQ1431" s="153" t="s">
        <v>2802</v>
      </c>
    </row>
    <row r="1432" spans="42:43" x14ac:dyDescent="0.3">
      <c r="AP1432" s="153" t="s">
        <v>2037</v>
      </c>
      <c r="AQ1432" s="153" t="s">
        <v>2802</v>
      </c>
    </row>
    <row r="1433" spans="42:43" x14ac:dyDescent="0.3">
      <c r="AP1433" s="153" t="s">
        <v>2061</v>
      </c>
      <c r="AQ1433" s="153" t="s">
        <v>2802</v>
      </c>
    </row>
    <row r="1434" spans="42:43" x14ac:dyDescent="0.3">
      <c r="AP1434" s="153" t="s">
        <v>2037</v>
      </c>
      <c r="AQ1434" s="153" t="s">
        <v>2802</v>
      </c>
    </row>
    <row r="1435" spans="42:43" x14ac:dyDescent="0.3">
      <c r="AP1435" s="153" t="s">
        <v>2033</v>
      </c>
      <c r="AQ1435" s="153" t="s">
        <v>2802</v>
      </c>
    </row>
    <row r="1436" spans="42:43" x14ac:dyDescent="0.3">
      <c r="AP1436" s="153" t="s">
        <v>2055</v>
      </c>
      <c r="AQ1436" s="153" t="s">
        <v>2802</v>
      </c>
    </row>
    <row r="1437" spans="42:43" x14ac:dyDescent="0.3">
      <c r="AP1437" s="153" t="s">
        <v>2028</v>
      </c>
      <c r="AQ1437" s="153" t="s">
        <v>2023</v>
      </c>
    </row>
    <row r="1438" spans="42:43" x14ac:dyDescent="0.3">
      <c r="AP1438" s="153" t="s">
        <v>2040</v>
      </c>
      <c r="AQ1438" s="153" t="s">
        <v>2802</v>
      </c>
    </row>
    <row r="1439" spans="42:43" x14ac:dyDescent="0.3">
      <c r="AP1439" s="153" t="s">
        <v>2945</v>
      </c>
      <c r="AQ1439" s="153" t="s">
        <v>2025</v>
      </c>
    </row>
    <row r="1440" spans="42:43" x14ac:dyDescent="0.3">
      <c r="AP1440" s="153" t="s">
        <v>2039</v>
      </c>
      <c r="AQ1440" s="153" t="s">
        <v>2802</v>
      </c>
    </row>
    <row r="1441" spans="42:43" x14ac:dyDescent="0.3">
      <c r="AP1441" s="153" t="s">
        <v>2063</v>
      </c>
      <c r="AQ1441" s="153" t="s">
        <v>2802</v>
      </c>
    </row>
    <row r="1442" spans="42:43" x14ac:dyDescent="0.3">
      <c r="AP1442" s="153" t="s">
        <v>2041</v>
      </c>
      <c r="AQ1442" s="153" t="s">
        <v>2802</v>
      </c>
    </row>
    <row r="1443" spans="42:43" x14ac:dyDescent="0.3">
      <c r="AP1443" s="153" t="s">
        <v>2041</v>
      </c>
      <c r="AQ1443" s="153" t="s">
        <v>2802</v>
      </c>
    </row>
    <row r="1444" spans="42:43" x14ac:dyDescent="0.3">
      <c r="AP1444" s="153" t="s">
        <v>2032</v>
      </c>
      <c r="AQ1444" s="153" t="s">
        <v>2802</v>
      </c>
    </row>
    <row r="1445" spans="42:43" x14ac:dyDescent="0.3">
      <c r="AP1445" s="153" t="s">
        <v>2039</v>
      </c>
      <c r="AQ1445" s="153" t="s">
        <v>2802</v>
      </c>
    </row>
    <row r="1446" spans="42:43" x14ac:dyDescent="0.3">
      <c r="AP1446" s="153" t="s">
        <v>2060</v>
      </c>
      <c r="AQ1446" s="153" t="s">
        <v>2023</v>
      </c>
    </row>
    <row r="1447" spans="42:43" x14ac:dyDescent="0.3">
      <c r="AP1447" s="153" t="s">
        <v>2061</v>
      </c>
      <c r="AQ1447" s="153" t="s">
        <v>2802</v>
      </c>
    </row>
    <row r="1448" spans="42:43" x14ac:dyDescent="0.3">
      <c r="AP1448" s="153" t="s">
        <v>2031</v>
      </c>
      <c r="AQ1448" s="153" t="s">
        <v>2024</v>
      </c>
    </row>
    <row r="1449" spans="42:43" x14ac:dyDescent="0.3">
      <c r="AP1449" s="153" t="s">
        <v>2037</v>
      </c>
      <c r="AQ1449" s="153" t="s">
        <v>2802</v>
      </c>
    </row>
    <row r="1450" spans="42:43" x14ac:dyDescent="0.3">
      <c r="AP1450" s="153" t="s">
        <v>2039</v>
      </c>
      <c r="AQ1450" s="153" t="s">
        <v>2802</v>
      </c>
    </row>
    <row r="1451" spans="42:43" x14ac:dyDescent="0.3">
      <c r="AP1451" s="153" t="s">
        <v>2059</v>
      </c>
      <c r="AQ1451" s="153" t="s">
        <v>2024</v>
      </c>
    </row>
    <row r="1452" spans="42:43" x14ac:dyDescent="0.3">
      <c r="AP1452" s="153" t="s">
        <v>2028</v>
      </c>
      <c r="AQ1452" s="153" t="s">
        <v>2023</v>
      </c>
    </row>
    <row r="1453" spans="42:43" x14ac:dyDescent="0.3">
      <c r="AP1453" s="153" t="s">
        <v>2062</v>
      </c>
      <c r="AQ1453" s="153" t="s">
        <v>2023</v>
      </c>
    </row>
    <row r="1454" spans="42:43" x14ac:dyDescent="0.3">
      <c r="AP1454" s="153" t="s">
        <v>2032</v>
      </c>
      <c r="AQ1454" s="153" t="s">
        <v>2802</v>
      </c>
    </row>
    <row r="1455" spans="42:43" x14ac:dyDescent="0.3">
      <c r="AP1455" s="153" t="s">
        <v>2836</v>
      </c>
      <c r="AQ1455" s="153" t="s">
        <v>2802</v>
      </c>
    </row>
    <row r="1456" spans="42:43" x14ac:dyDescent="0.3">
      <c r="AP1456" s="153" t="s">
        <v>2039</v>
      </c>
      <c r="AQ1456" s="153" t="s">
        <v>2802</v>
      </c>
    </row>
    <row r="1457" spans="42:43" x14ac:dyDescent="0.3">
      <c r="AP1457" s="153" t="s">
        <v>2041</v>
      </c>
      <c r="AQ1457" s="153" t="s">
        <v>2802</v>
      </c>
    </row>
    <row r="1458" spans="42:43" x14ac:dyDescent="0.3">
      <c r="AP1458" s="153" t="s">
        <v>2840</v>
      </c>
      <c r="AQ1458" s="153" t="s">
        <v>2802</v>
      </c>
    </row>
    <row r="1459" spans="42:43" x14ac:dyDescent="0.3">
      <c r="AP1459" s="153" t="s">
        <v>2048</v>
      </c>
      <c r="AQ1459" s="153" t="s">
        <v>2802</v>
      </c>
    </row>
    <row r="1460" spans="42:43" x14ac:dyDescent="0.3">
      <c r="AP1460" s="153" t="s">
        <v>2945</v>
      </c>
      <c r="AQ1460" s="153" t="s">
        <v>2025</v>
      </c>
    </row>
    <row r="1461" spans="42:43" x14ac:dyDescent="0.3">
      <c r="AP1461" s="153" t="s">
        <v>2043</v>
      </c>
      <c r="AQ1461" s="153" t="s">
        <v>2802</v>
      </c>
    </row>
  </sheetData>
  <autoFilter ref="O4:W48">
    <filterColumn colId="2">
      <filters>
        <filter val="크레인"/>
      </filters>
    </filterColumn>
  </autoFilter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61"/>
  <sheetViews>
    <sheetView topLeftCell="B1" zoomScale="85" zoomScaleNormal="85" workbookViewId="0">
      <selection activeCell="AB160" sqref="AB160:AD295"/>
    </sheetView>
  </sheetViews>
  <sheetFormatPr defaultColWidth="9" defaultRowHeight="16.5" x14ac:dyDescent="0.3"/>
  <cols>
    <col min="1" max="1" width="15.25" style="153" bestFit="1" customWidth="1"/>
    <col min="2" max="2" width="11.875" style="153" customWidth="1"/>
    <col min="3" max="3" width="5.5" style="153" customWidth="1"/>
    <col min="4" max="6" width="7.375" style="153" customWidth="1"/>
    <col min="7" max="8" width="9" style="153"/>
    <col min="9" max="9" width="14" style="153" bestFit="1" customWidth="1"/>
    <col min="10" max="10" width="12.875" style="153" bestFit="1" customWidth="1"/>
    <col min="11" max="13" width="14" style="153" bestFit="1" customWidth="1"/>
    <col min="14" max="22" width="9" style="153"/>
    <col min="23" max="23" width="11.75" style="153" bestFit="1" customWidth="1"/>
    <col min="24" max="27" width="11.375" style="153" bestFit="1" customWidth="1"/>
    <col min="28" max="16384" width="9" style="153"/>
  </cols>
  <sheetData>
    <row r="3" spans="1:27" x14ac:dyDescent="0.3">
      <c r="A3" s="1041" t="s">
        <v>3292</v>
      </c>
      <c r="B3" s="1041" t="s">
        <v>3036</v>
      </c>
      <c r="H3" s="819" t="s">
        <v>3292</v>
      </c>
      <c r="I3" s="819" t="s">
        <v>3036</v>
      </c>
      <c r="J3" s="819"/>
      <c r="K3" s="819"/>
      <c r="L3" s="819"/>
      <c r="M3" s="819"/>
      <c r="O3" s="153" t="s">
        <v>3300</v>
      </c>
      <c r="P3" s="153" t="s">
        <v>3036</v>
      </c>
      <c r="V3" s="153" t="s">
        <v>3309</v>
      </c>
      <c r="W3" s="153" t="s">
        <v>3036</v>
      </c>
    </row>
    <row r="4" spans="1:27" x14ac:dyDescent="0.3">
      <c r="A4" s="1041" t="s">
        <v>3037</v>
      </c>
      <c r="B4" s="153" t="s">
        <v>2802</v>
      </c>
      <c r="C4" s="153" t="s">
        <v>2025</v>
      </c>
      <c r="D4" s="153" t="s">
        <v>2024</v>
      </c>
      <c r="E4" s="153" t="s">
        <v>2023</v>
      </c>
      <c r="F4" s="153" t="s">
        <v>3038</v>
      </c>
      <c r="H4" s="819" t="s">
        <v>3037</v>
      </c>
      <c r="I4" s="819" t="s">
        <v>2802</v>
      </c>
      <c r="J4" s="819" t="s">
        <v>2025</v>
      </c>
      <c r="K4" s="819" t="s">
        <v>2024</v>
      </c>
      <c r="L4" s="819" t="s">
        <v>2023</v>
      </c>
      <c r="M4" s="819" t="s">
        <v>3038</v>
      </c>
      <c r="O4" s="153" t="s">
        <v>3037</v>
      </c>
      <c r="P4" s="153" t="s">
        <v>2802</v>
      </c>
      <c r="Q4" s="153" t="s">
        <v>2025</v>
      </c>
      <c r="R4" s="153" t="s">
        <v>2024</v>
      </c>
      <c r="S4" s="153" t="s">
        <v>2023</v>
      </c>
      <c r="T4" s="153" t="s">
        <v>3038</v>
      </c>
      <c r="V4" s="153" t="s">
        <v>3037</v>
      </c>
      <c r="W4" s="153" t="s">
        <v>2802</v>
      </c>
      <c r="X4" s="153" t="s">
        <v>2025</v>
      </c>
      <c r="Y4" s="153" t="s">
        <v>2024</v>
      </c>
      <c r="Z4" s="153" t="s">
        <v>2023</v>
      </c>
      <c r="AA4" s="153" t="s">
        <v>3038</v>
      </c>
    </row>
    <row r="5" spans="1:27" x14ac:dyDescent="0.3">
      <c r="A5" s="1040" t="s">
        <v>3293</v>
      </c>
      <c r="B5" s="976">
        <v>43593833152</v>
      </c>
      <c r="C5" s="976">
        <v>1788264230</v>
      </c>
      <c r="D5" s="976">
        <v>10386593374</v>
      </c>
      <c r="E5" s="976">
        <v>19174654919.545456</v>
      </c>
      <c r="F5" s="976">
        <v>74943345675.545456</v>
      </c>
      <c r="H5" s="819" t="s">
        <v>3293</v>
      </c>
      <c r="I5" s="819">
        <f>SUM(I7:I12)</f>
        <v>43593833152</v>
      </c>
      <c r="J5" s="819">
        <f t="shared" ref="J5:M5" si="0">SUM(J7:J12)</f>
        <v>1788264230</v>
      </c>
      <c r="K5" s="819">
        <f t="shared" si="0"/>
        <v>10386593374</v>
      </c>
      <c r="L5" s="819">
        <f t="shared" si="0"/>
        <v>19174654919.545456</v>
      </c>
      <c r="M5" s="819">
        <f t="shared" si="0"/>
        <v>74943345675.545456</v>
      </c>
      <c r="O5" s="153" t="s">
        <v>3293</v>
      </c>
      <c r="P5" s="153">
        <v>1001</v>
      </c>
      <c r="Q5" s="153">
        <v>45</v>
      </c>
      <c r="R5" s="153">
        <v>119</v>
      </c>
      <c r="S5" s="153">
        <v>269</v>
      </c>
      <c r="T5" s="153">
        <v>1434</v>
      </c>
      <c r="V5" s="153" t="s">
        <v>3293</v>
      </c>
      <c r="W5" s="819">
        <f>I5/P5</f>
        <v>43550282.869130872</v>
      </c>
      <c r="X5" s="819">
        <f t="shared" ref="X5:X31" si="1">J5/Q5</f>
        <v>39739205.111111112</v>
      </c>
      <c r="Y5" s="819">
        <f t="shared" ref="Y5:Y31" si="2">K5/R5</f>
        <v>87282297.260504201</v>
      </c>
      <c r="Z5" s="819">
        <f t="shared" ref="Z5:Z31" si="3">L5/S5</f>
        <v>71281245.05407232</v>
      </c>
      <c r="AA5" s="819">
        <f t="shared" ref="AA5:AA31" si="4">M5/T5</f>
        <v>52261747.333016358</v>
      </c>
    </row>
    <row r="6" spans="1:27" x14ac:dyDescent="0.3">
      <c r="A6" s="1555" t="s">
        <v>3293</v>
      </c>
      <c r="B6" s="976">
        <v>43593833152</v>
      </c>
      <c r="C6" s="976">
        <v>1788264230</v>
      </c>
      <c r="D6" s="976">
        <v>10386593374</v>
      </c>
      <c r="E6" s="976">
        <v>19174654919.545456</v>
      </c>
      <c r="F6" s="976">
        <v>74943345675.545456</v>
      </c>
      <c r="H6" s="819" t="s">
        <v>3293</v>
      </c>
      <c r="I6" s="819"/>
      <c r="J6" s="819"/>
      <c r="K6" s="819"/>
      <c r="L6" s="819"/>
      <c r="M6" s="819"/>
      <c r="O6" s="153" t="s">
        <v>3293</v>
      </c>
      <c r="V6" s="153" t="s">
        <v>3293</v>
      </c>
      <c r="W6" s="819" t="e">
        <f t="shared" ref="W6:W31" si="5">I6/P6</f>
        <v>#DIV/0!</v>
      </c>
      <c r="X6" s="819" t="e">
        <f t="shared" si="1"/>
        <v>#DIV/0!</v>
      </c>
      <c r="Y6" s="819" t="e">
        <f t="shared" si="2"/>
        <v>#DIV/0!</v>
      </c>
      <c r="Z6" s="819" t="e">
        <f t="shared" si="3"/>
        <v>#DIV/0!</v>
      </c>
      <c r="AA6" s="819" t="e">
        <f t="shared" si="4"/>
        <v>#DIV/0!</v>
      </c>
    </row>
    <row r="7" spans="1:27" x14ac:dyDescent="0.3">
      <c r="A7" s="1556" t="s">
        <v>3039</v>
      </c>
      <c r="B7" s="976">
        <v>539003454</v>
      </c>
      <c r="C7" s="976">
        <v>49288546</v>
      </c>
      <c r="D7" s="976"/>
      <c r="E7" s="976">
        <v>3046945910.5454545</v>
      </c>
      <c r="F7" s="976">
        <v>3635237910.5454545</v>
      </c>
      <c r="H7" s="1557" t="s">
        <v>3039</v>
      </c>
      <c r="I7" s="819">
        <v>539003454</v>
      </c>
      <c r="J7" s="819">
        <v>49288546</v>
      </c>
      <c r="K7" s="819"/>
      <c r="L7" s="819">
        <v>3046945910.5454545</v>
      </c>
      <c r="M7" s="819">
        <v>3635237910.5454545</v>
      </c>
      <c r="O7" s="1555" t="s">
        <v>3039</v>
      </c>
      <c r="P7" s="153">
        <v>20</v>
      </c>
      <c r="Q7" s="153">
        <v>8</v>
      </c>
      <c r="S7" s="153">
        <v>138</v>
      </c>
      <c r="T7" s="153">
        <v>166</v>
      </c>
      <c r="V7" s="1555" t="s">
        <v>3039</v>
      </c>
      <c r="W7" s="819">
        <f t="shared" si="5"/>
        <v>26950172.699999999</v>
      </c>
      <c r="X7" s="819">
        <f t="shared" si="1"/>
        <v>6161068.25</v>
      </c>
      <c r="Y7" s="819" t="e">
        <f t="shared" si="2"/>
        <v>#DIV/0!</v>
      </c>
      <c r="Z7" s="819">
        <f t="shared" si="3"/>
        <v>22079318.192358367</v>
      </c>
      <c r="AA7" s="819">
        <f t="shared" si="4"/>
        <v>21899023.557502739</v>
      </c>
    </row>
    <row r="8" spans="1:27" x14ac:dyDescent="0.3">
      <c r="A8" s="1556" t="s">
        <v>3040</v>
      </c>
      <c r="B8" s="976">
        <v>195693637</v>
      </c>
      <c r="C8" s="976"/>
      <c r="D8" s="976">
        <v>407566366</v>
      </c>
      <c r="E8" s="976"/>
      <c r="F8" s="976">
        <v>603260003</v>
      </c>
      <c r="H8" s="1557" t="s">
        <v>3040</v>
      </c>
      <c r="I8" s="819">
        <v>195693637</v>
      </c>
      <c r="J8" s="819"/>
      <c r="K8" s="819">
        <v>407566366</v>
      </c>
      <c r="L8" s="819"/>
      <c r="M8" s="819">
        <v>603260003</v>
      </c>
      <c r="O8" s="1555" t="s">
        <v>3040</v>
      </c>
      <c r="P8" s="153">
        <v>2</v>
      </c>
      <c r="R8" s="153">
        <v>4</v>
      </c>
      <c r="T8" s="153">
        <v>6</v>
      </c>
      <c r="V8" s="1555" t="s">
        <v>3040</v>
      </c>
      <c r="W8" s="819">
        <f t="shared" si="5"/>
        <v>97846818.5</v>
      </c>
      <c r="X8" s="819" t="e">
        <f t="shared" si="1"/>
        <v>#DIV/0!</v>
      </c>
      <c r="Y8" s="819">
        <f t="shared" si="2"/>
        <v>101891591.5</v>
      </c>
      <c r="Z8" s="819" t="e">
        <f t="shared" si="3"/>
        <v>#DIV/0!</v>
      </c>
      <c r="AA8" s="819">
        <f t="shared" si="4"/>
        <v>100543333.83333333</v>
      </c>
    </row>
    <row r="9" spans="1:27" x14ac:dyDescent="0.3">
      <c r="A9" s="1556" t="s">
        <v>2025</v>
      </c>
      <c r="B9" s="976">
        <v>1229971252</v>
      </c>
      <c r="C9" s="976">
        <v>928176057</v>
      </c>
      <c r="D9" s="976"/>
      <c r="E9" s="976"/>
      <c r="F9" s="976">
        <v>2158147309</v>
      </c>
      <c r="H9" s="1557" t="s">
        <v>2025</v>
      </c>
      <c r="I9" s="819">
        <v>1229971252</v>
      </c>
      <c r="J9" s="819">
        <v>928176057</v>
      </c>
      <c r="K9" s="819"/>
      <c r="L9" s="819"/>
      <c r="M9" s="819">
        <v>2158147309</v>
      </c>
      <c r="O9" s="1555" t="s">
        <v>2025</v>
      </c>
      <c r="P9" s="153">
        <v>23</v>
      </c>
      <c r="Q9" s="153">
        <v>32</v>
      </c>
      <c r="T9" s="153">
        <v>55</v>
      </c>
      <c r="V9" s="1555" t="s">
        <v>2025</v>
      </c>
      <c r="W9" s="819">
        <f t="shared" si="5"/>
        <v>53477010.956521742</v>
      </c>
      <c r="X9" s="819">
        <f t="shared" si="1"/>
        <v>29005501.78125</v>
      </c>
      <c r="Y9" s="819" t="e">
        <f t="shared" si="2"/>
        <v>#DIV/0!</v>
      </c>
      <c r="Z9" s="819" t="e">
        <f t="shared" si="3"/>
        <v>#DIV/0!</v>
      </c>
      <c r="AA9" s="819">
        <f t="shared" si="4"/>
        <v>39239041.981818184</v>
      </c>
    </row>
    <row r="10" spans="1:27" x14ac:dyDescent="0.3">
      <c r="A10" s="1556" t="s">
        <v>3041</v>
      </c>
      <c r="B10" s="976">
        <v>13364806884</v>
      </c>
      <c r="C10" s="976">
        <v>230000000</v>
      </c>
      <c r="D10" s="976">
        <v>39000000</v>
      </c>
      <c r="E10" s="976">
        <v>16127709009</v>
      </c>
      <c r="F10" s="976">
        <v>29761515893</v>
      </c>
      <c r="H10" s="1557" t="s">
        <v>3041</v>
      </c>
      <c r="I10" s="819">
        <v>13364806884</v>
      </c>
      <c r="J10" s="819">
        <v>230000000</v>
      </c>
      <c r="K10" s="819">
        <v>39000000</v>
      </c>
      <c r="L10" s="819">
        <v>16127709009</v>
      </c>
      <c r="M10" s="819">
        <v>29761515893</v>
      </c>
      <c r="O10" s="1555" t="s">
        <v>3041</v>
      </c>
      <c r="P10" s="153">
        <v>175</v>
      </c>
      <c r="Q10" s="153">
        <v>1</v>
      </c>
      <c r="R10" s="153">
        <v>1</v>
      </c>
      <c r="S10" s="153">
        <v>131</v>
      </c>
      <c r="T10" s="153">
        <v>308</v>
      </c>
      <c r="V10" s="1555" t="s">
        <v>3041</v>
      </c>
      <c r="W10" s="819">
        <f t="shared" si="5"/>
        <v>76370325.051428571</v>
      </c>
      <c r="X10" s="819">
        <f t="shared" si="1"/>
        <v>230000000</v>
      </c>
      <c r="Y10" s="819">
        <f t="shared" si="2"/>
        <v>39000000</v>
      </c>
      <c r="Z10" s="819">
        <f t="shared" si="3"/>
        <v>123112282.51145038</v>
      </c>
      <c r="AA10" s="819">
        <f t="shared" si="4"/>
        <v>96628298.353896111</v>
      </c>
    </row>
    <row r="11" spans="1:27" x14ac:dyDescent="0.3">
      <c r="A11" s="1556" t="s">
        <v>3042</v>
      </c>
      <c r="B11" s="976">
        <v>28258785198</v>
      </c>
      <c r="C11" s="976">
        <v>35816000</v>
      </c>
      <c r="D11" s="976">
        <v>9940027008</v>
      </c>
      <c r="E11" s="976"/>
      <c r="F11" s="976">
        <v>38234628206</v>
      </c>
      <c r="H11" s="1557" t="s">
        <v>3042</v>
      </c>
      <c r="I11" s="819">
        <v>28258785198</v>
      </c>
      <c r="J11" s="819">
        <v>35816000</v>
      </c>
      <c r="K11" s="819">
        <v>9940027008</v>
      </c>
      <c r="L11" s="819"/>
      <c r="M11" s="819">
        <v>38234628206</v>
      </c>
      <c r="O11" s="1555" t="s">
        <v>3042</v>
      </c>
      <c r="P11" s="153">
        <v>780</v>
      </c>
      <c r="Q11" s="153">
        <v>1</v>
      </c>
      <c r="R11" s="153">
        <v>114</v>
      </c>
      <c r="T11" s="153">
        <v>895</v>
      </c>
      <c r="V11" s="1555" t="s">
        <v>3042</v>
      </c>
      <c r="W11" s="819">
        <f t="shared" si="5"/>
        <v>36229211.79230769</v>
      </c>
      <c r="X11" s="819">
        <f t="shared" si="1"/>
        <v>35816000</v>
      </c>
      <c r="Y11" s="819">
        <f t="shared" si="2"/>
        <v>87193219.368421048</v>
      </c>
      <c r="Z11" s="819" t="e">
        <f t="shared" si="3"/>
        <v>#DIV/0!</v>
      </c>
      <c r="AA11" s="819">
        <f t="shared" si="4"/>
        <v>42720254.978770949</v>
      </c>
    </row>
    <row r="12" spans="1:27" x14ac:dyDescent="0.3">
      <c r="A12" s="1556" t="s">
        <v>3034</v>
      </c>
      <c r="B12" s="976">
        <v>5572727</v>
      </c>
      <c r="C12" s="976">
        <v>544983627</v>
      </c>
      <c r="D12" s="976"/>
      <c r="E12" s="976"/>
      <c r="F12" s="976">
        <v>550556354</v>
      </c>
      <c r="H12" s="1557" t="s">
        <v>3034</v>
      </c>
      <c r="I12" s="819">
        <v>5572727</v>
      </c>
      <c r="J12" s="819">
        <v>544983627</v>
      </c>
      <c r="K12" s="819"/>
      <c r="L12" s="819"/>
      <c r="M12" s="819">
        <v>550556354</v>
      </c>
      <c r="O12" s="1555" t="s">
        <v>3034</v>
      </c>
      <c r="P12" s="153">
        <v>1</v>
      </c>
      <c r="Q12" s="153">
        <v>3</v>
      </c>
      <c r="T12" s="153">
        <v>4</v>
      </c>
      <c r="V12" s="1555" t="s">
        <v>3034</v>
      </c>
      <c r="W12" s="819">
        <f t="shared" si="5"/>
        <v>5572727</v>
      </c>
      <c r="X12" s="819">
        <f t="shared" si="1"/>
        <v>181661209</v>
      </c>
      <c r="Y12" s="819" t="e">
        <f t="shared" si="2"/>
        <v>#DIV/0!</v>
      </c>
      <c r="Z12" s="819" t="e">
        <f t="shared" si="3"/>
        <v>#DIV/0!</v>
      </c>
      <c r="AA12" s="819">
        <f t="shared" si="4"/>
        <v>137639088.5</v>
      </c>
    </row>
    <row r="13" spans="1:27" x14ac:dyDescent="0.3">
      <c r="A13" s="1040" t="s">
        <v>3294</v>
      </c>
      <c r="B13" s="976">
        <v>2713116004</v>
      </c>
      <c r="C13" s="976">
        <v>18799718</v>
      </c>
      <c r="D13" s="976">
        <v>209322540</v>
      </c>
      <c r="E13" s="976">
        <v>237591178</v>
      </c>
      <c r="F13" s="976">
        <v>3178829440</v>
      </c>
      <c r="H13" s="819" t="s">
        <v>3294</v>
      </c>
      <c r="I13" s="819">
        <f>SUM(I14,I16,I18,I20,I23,I25,I27,I29)</f>
        <v>2713116004</v>
      </c>
      <c r="J13" s="819">
        <f t="shared" ref="J13:M13" si="6">SUM(J14,J16,J18,J20,J23,J25,J27,J29)</f>
        <v>18799718</v>
      </c>
      <c r="K13" s="819">
        <f t="shared" si="6"/>
        <v>209322540</v>
      </c>
      <c r="L13" s="819">
        <f t="shared" si="6"/>
        <v>237591178</v>
      </c>
      <c r="M13" s="819">
        <f t="shared" si="6"/>
        <v>3178829440</v>
      </c>
      <c r="O13" s="1555" t="s">
        <v>3294</v>
      </c>
      <c r="P13" s="819">
        <f>SUM(P14,P16,P18,P20,P23,P25,P27,P29)</f>
        <v>25</v>
      </c>
      <c r="Q13" s="819">
        <f t="shared" ref="Q13" si="7">SUM(Q14,Q16,Q18,Q20,Q23,Q25,Q27,Q29)</f>
        <v>8</v>
      </c>
      <c r="R13" s="819">
        <f t="shared" ref="R13" si="8">SUM(R14,R16,R18,R20,R23,R25,R27,R29)</f>
        <v>5</v>
      </c>
      <c r="S13" s="819">
        <f t="shared" ref="S13" si="9">SUM(S14,S16,S18,S20,S23,S25,S27,S29)</f>
        <v>2</v>
      </c>
      <c r="T13" s="819">
        <f t="shared" ref="T13" si="10">SUM(T14,T16,T18,T20,T23,T25,T27,T29)</f>
        <v>40</v>
      </c>
      <c r="V13" s="1555" t="s">
        <v>3294</v>
      </c>
      <c r="W13" s="819">
        <f t="shared" si="5"/>
        <v>108524640.16</v>
      </c>
      <c r="X13" s="819">
        <f t="shared" si="1"/>
        <v>2349964.75</v>
      </c>
      <c r="Y13" s="819">
        <f t="shared" si="2"/>
        <v>41864508</v>
      </c>
      <c r="Z13" s="819">
        <f t="shared" si="3"/>
        <v>118795589</v>
      </c>
      <c r="AA13" s="819">
        <f t="shared" si="4"/>
        <v>79470736</v>
      </c>
    </row>
    <row r="14" spans="1:27" x14ac:dyDescent="0.3">
      <c r="A14" s="1555" t="s">
        <v>3295</v>
      </c>
      <c r="B14" s="976">
        <v>254711632</v>
      </c>
      <c r="C14" s="976">
        <v>3190318</v>
      </c>
      <c r="D14" s="976"/>
      <c r="E14" s="976">
        <v>237591178</v>
      </c>
      <c r="F14" s="976">
        <v>495493128</v>
      </c>
      <c r="H14" s="819" t="s">
        <v>3295</v>
      </c>
      <c r="I14" s="819">
        <v>254711632</v>
      </c>
      <c r="J14" s="819">
        <v>3190318</v>
      </c>
      <c r="K14" s="819"/>
      <c r="L14" s="819">
        <v>237591178</v>
      </c>
      <c r="M14" s="819">
        <v>495493128</v>
      </c>
      <c r="O14" s="153" t="s">
        <v>3295</v>
      </c>
      <c r="P14" s="153">
        <v>3</v>
      </c>
      <c r="Q14" s="153">
        <v>1</v>
      </c>
      <c r="S14" s="153">
        <v>2</v>
      </c>
      <c r="T14" s="153">
        <v>6</v>
      </c>
      <c r="V14" s="153" t="s">
        <v>3295</v>
      </c>
      <c r="W14" s="819">
        <f t="shared" si="5"/>
        <v>84903877.333333328</v>
      </c>
      <c r="X14" s="819">
        <f t="shared" si="1"/>
        <v>3190318</v>
      </c>
      <c r="Y14" s="819" t="e">
        <f t="shared" si="2"/>
        <v>#DIV/0!</v>
      </c>
      <c r="Z14" s="819">
        <f t="shared" si="3"/>
        <v>118795589</v>
      </c>
      <c r="AA14" s="819">
        <f t="shared" si="4"/>
        <v>82582188</v>
      </c>
    </row>
    <row r="15" spans="1:27" x14ac:dyDescent="0.3">
      <c r="A15" s="1556" t="s">
        <v>3041</v>
      </c>
      <c r="B15" s="976">
        <v>254711632</v>
      </c>
      <c r="C15" s="976">
        <v>3190318</v>
      </c>
      <c r="D15" s="976"/>
      <c r="E15" s="976">
        <v>237591178</v>
      </c>
      <c r="F15" s="976">
        <v>495493128</v>
      </c>
      <c r="H15" s="819"/>
      <c r="I15" s="819"/>
      <c r="J15" s="819"/>
      <c r="K15" s="819"/>
      <c r="L15" s="819"/>
      <c r="M15" s="819"/>
      <c r="W15" s="819" t="e">
        <f t="shared" si="5"/>
        <v>#DIV/0!</v>
      </c>
      <c r="X15" s="819" t="e">
        <f t="shared" si="1"/>
        <v>#DIV/0!</v>
      </c>
      <c r="Y15" s="819" t="e">
        <f t="shared" si="2"/>
        <v>#DIV/0!</v>
      </c>
      <c r="Z15" s="819" t="e">
        <f t="shared" si="3"/>
        <v>#DIV/0!</v>
      </c>
      <c r="AA15" s="819" t="e">
        <f t="shared" si="4"/>
        <v>#DIV/0!</v>
      </c>
    </row>
    <row r="16" spans="1:27" x14ac:dyDescent="0.3">
      <c r="A16" s="1555" t="s">
        <v>3305</v>
      </c>
      <c r="B16" s="976"/>
      <c r="C16" s="976"/>
      <c r="D16" s="976">
        <v>80532000</v>
      </c>
      <c r="E16" s="976"/>
      <c r="F16" s="976">
        <v>80532000</v>
      </c>
      <c r="H16" s="819" t="s">
        <v>3305</v>
      </c>
      <c r="I16" s="819"/>
      <c r="J16" s="819"/>
      <c r="K16" s="819">
        <v>80532000</v>
      </c>
      <c r="L16" s="819"/>
      <c r="M16" s="819">
        <v>80532000</v>
      </c>
      <c r="O16" s="153" t="s">
        <v>3305</v>
      </c>
      <c r="R16" s="153">
        <v>4</v>
      </c>
      <c r="T16" s="153">
        <v>4</v>
      </c>
      <c r="V16" s="153" t="s">
        <v>3305</v>
      </c>
      <c r="W16" s="819" t="e">
        <f t="shared" si="5"/>
        <v>#DIV/0!</v>
      </c>
      <c r="X16" s="819" t="e">
        <f t="shared" si="1"/>
        <v>#DIV/0!</v>
      </c>
      <c r="Y16" s="819">
        <f t="shared" si="2"/>
        <v>20133000</v>
      </c>
      <c r="Z16" s="819" t="e">
        <f t="shared" si="3"/>
        <v>#DIV/0!</v>
      </c>
      <c r="AA16" s="819">
        <f t="shared" si="4"/>
        <v>20133000</v>
      </c>
    </row>
    <row r="17" spans="1:27" x14ac:dyDescent="0.3">
      <c r="A17" s="1556" t="s">
        <v>3041</v>
      </c>
      <c r="B17" s="976"/>
      <c r="C17" s="976"/>
      <c r="D17" s="976">
        <v>80532000</v>
      </c>
      <c r="E17" s="976"/>
      <c r="F17" s="976">
        <v>80532000</v>
      </c>
      <c r="H17" s="819"/>
      <c r="I17" s="819"/>
      <c r="J17" s="819"/>
      <c r="K17" s="819"/>
      <c r="L17" s="819"/>
      <c r="M17" s="819"/>
      <c r="W17" s="819" t="e">
        <f t="shared" si="5"/>
        <v>#DIV/0!</v>
      </c>
      <c r="X17" s="819" t="e">
        <f t="shared" si="1"/>
        <v>#DIV/0!</v>
      </c>
      <c r="Y17" s="819" t="e">
        <f t="shared" si="2"/>
        <v>#DIV/0!</v>
      </c>
      <c r="Z17" s="819" t="e">
        <f t="shared" si="3"/>
        <v>#DIV/0!</v>
      </c>
      <c r="AA17" s="819" t="e">
        <f t="shared" si="4"/>
        <v>#DIV/0!</v>
      </c>
    </row>
    <row r="18" spans="1:27" x14ac:dyDescent="0.3">
      <c r="A18" s="1555" t="s">
        <v>3306</v>
      </c>
      <c r="B18" s="976">
        <v>14863530</v>
      </c>
      <c r="C18" s="976"/>
      <c r="D18" s="976"/>
      <c r="E18" s="976"/>
      <c r="F18" s="976">
        <v>14863530</v>
      </c>
      <c r="H18" s="819" t="s">
        <v>3306</v>
      </c>
      <c r="I18" s="819">
        <v>14863530</v>
      </c>
      <c r="J18" s="819"/>
      <c r="K18" s="819"/>
      <c r="L18" s="819"/>
      <c r="M18" s="819">
        <v>14863530</v>
      </c>
      <c r="O18" s="153" t="s">
        <v>3306</v>
      </c>
      <c r="P18" s="153">
        <v>1</v>
      </c>
      <c r="T18" s="153">
        <v>1</v>
      </c>
      <c r="V18" s="153" t="s">
        <v>3306</v>
      </c>
      <c r="W18" s="819">
        <f t="shared" si="5"/>
        <v>14863530</v>
      </c>
      <c r="X18" s="819" t="e">
        <f t="shared" si="1"/>
        <v>#DIV/0!</v>
      </c>
      <c r="Y18" s="819" t="e">
        <f t="shared" si="2"/>
        <v>#DIV/0!</v>
      </c>
      <c r="Z18" s="819" t="e">
        <f t="shared" si="3"/>
        <v>#DIV/0!</v>
      </c>
      <c r="AA18" s="819">
        <f t="shared" si="4"/>
        <v>14863530</v>
      </c>
    </row>
    <row r="19" spans="1:27" x14ac:dyDescent="0.3">
      <c r="A19" s="1556" t="s">
        <v>3042</v>
      </c>
      <c r="B19" s="976">
        <v>14863530</v>
      </c>
      <c r="C19" s="976"/>
      <c r="D19" s="976"/>
      <c r="E19" s="976"/>
      <c r="F19" s="976">
        <v>14863530</v>
      </c>
      <c r="H19" s="819"/>
      <c r="I19" s="819"/>
      <c r="J19" s="819"/>
      <c r="K19" s="819"/>
      <c r="L19" s="819"/>
      <c r="M19" s="819"/>
      <c r="W19" s="819" t="e">
        <f t="shared" si="5"/>
        <v>#DIV/0!</v>
      </c>
      <c r="X19" s="819" t="e">
        <f t="shared" si="1"/>
        <v>#DIV/0!</v>
      </c>
      <c r="Y19" s="819" t="e">
        <f t="shared" si="2"/>
        <v>#DIV/0!</v>
      </c>
      <c r="Z19" s="819" t="e">
        <f t="shared" si="3"/>
        <v>#DIV/0!</v>
      </c>
      <c r="AA19" s="819" t="e">
        <f t="shared" si="4"/>
        <v>#DIV/0!</v>
      </c>
    </row>
    <row r="20" spans="1:27" x14ac:dyDescent="0.3">
      <c r="A20" s="1555" t="s">
        <v>3296</v>
      </c>
      <c r="B20" s="976">
        <v>2210878550</v>
      </c>
      <c r="C20" s="976">
        <v>15254366</v>
      </c>
      <c r="D20" s="976"/>
      <c r="E20" s="976"/>
      <c r="F20" s="976">
        <v>2226132916</v>
      </c>
      <c r="H20" s="819" t="s">
        <v>3296</v>
      </c>
      <c r="I20" s="819">
        <v>2210878550</v>
      </c>
      <c r="J20" s="819">
        <v>15254366</v>
      </c>
      <c r="K20" s="819"/>
      <c r="L20" s="819"/>
      <c r="M20" s="819">
        <v>2226132916</v>
      </c>
      <c r="O20" s="153" t="s">
        <v>3296</v>
      </c>
      <c r="P20" s="153">
        <v>16</v>
      </c>
      <c r="Q20" s="153">
        <v>6</v>
      </c>
      <c r="T20" s="153">
        <v>22</v>
      </c>
      <c r="V20" s="153" t="s">
        <v>3296</v>
      </c>
      <c r="W20" s="819">
        <f t="shared" si="5"/>
        <v>138179909.375</v>
      </c>
      <c r="X20" s="819">
        <f t="shared" si="1"/>
        <v>2542394.3333333335</v>
      </c>
      <c r="Y20" s="819" t="e">
        <f t="shared" si="2"/>
        <v>#DIV/0!</v>
      </c>
      <c r="Z20" s="819" t="e">
        <f t="shared" si="3"/>
        <v>#DIV/0!</v>
      </c>
      <c r="AA20" s="819">
        <f t="shared" si="4"/>
        <v>101187859.81818181</v>
      </c>
    </row>
    <row r="21" spans="1:27" x14ac:dyDescent="0.3">
      <c r="A21" s="1556" t="s">
        <v>3041</v>
      </c>
      <c r="B21" s="976">
        <v>1678066800</v>
      </c>
      <c r="C21" s="976">
        <v>15254366</v>
      </c>
      <c r="D21" s="976"/>
      <c r="E21" s="976"/>
      <c r="F21" s="976">
        <v>1693321166</v>
      </c>
      <c r="H21" s="1557" t="s">
        <v>3041</v>
      </c>
      <c r="I21" s="819">
        <v>1678066800</v>
      </c>
      <c r="J21" s="819">
        <v>15254366</v>
      </c>
      <c r="K21" s="819"/>
      <c r="L21" s="819"/>
      <c r="M21" s="819">
        <v>1693321166</v>
      </c>
      <c r="O21" s="153" t="s">
        <v>3041</v>
      </c>
      <c r="P21" s="153">
        <v>6</v>
      </c>
      <c r="Q21" s="153">
        <v>6</v>
      </c>
      <c r="T21" s="153">
        <v>12</v>
      </c>
      <c r="V21" s="153" t="s">
        <v>3041</v>
      </c>
      <c r="W21" s="819">
        <f t="shared" si="5"/>
        <v>279677800</v>
      </c>
      <c r="X21" s="819">
        <f t="shared" si="1"/>
        <v>2542394.3333333335</v>
      </c>
      <c r="Y21" s="819" t="e">
        <f t="shared" si="2"/>
        <v>#DIV/0!</v>
      </c>
      <c r="Z21" s="819" t="e">
        <f t="shared" si="3"/>
        <v>#DIV/0!</v>
      </c>
      <c r="AA21" s="819">
        <f t="shared" si="4"/>
        <v>141110097.16666666</v>
      </c>
    </row>
    <row r="22" spans="1:27" x14ac:dyDescent="0.3">
      <c r="A22" s="1556" t="s">
        <v>3042</v>
      </c>
      <c r="B22" s="976">
        <v>532811750</v>
      </c>
      <c r="C22" s="976"/>
      <c r="D22" s="976"/>
      <c r="E22" s="976"/>
      <c r="F22" s="976">
        <v>532811750</v>
      </c>
      <c r="H22" s="1557" t="s">
        <v>3042</v>
      </c>
      <c r="I22" s="819">
        <v>532811750</v>
      </c>
      <c r="J22" s="819"/>
      <c r="K22" s="819"/>
      <c r="L22" s="819"/>
      <c r="M22" s="819">
        <v>532811750</v>
      </c>
      <c r="O22" s="153" t="s">
        <v>3042</v>
      </c>
      <c r="P22" s="153">
        <v>10</v>
      </c>
      <c r="T22" s="153">
        <v>10</v>
      </c>
      <c r="V22" s="153" t="s">
        <v>3042</v>
      </c>
      <c r="W22" s="819">
        <f t="shared" si="5"/>
        <v>53281175</v>
      </c>
      <c r="X22" s="819" t="e">
        <f t="shared" si="1"/>
        <v>#DIV/0!</v>
      </c>
      <c r="Y22" s="819" t="e">
        <f t="shared" si="2"/>
        <v>#DIV/0!</v>
      </c>
      <c r="Z22" s="819" t="e">
        <f t="shared" si="3"/>
        <v>#DIV/0!</v>
      </c>
      <c r="AA22" s="819">
        <f t="shared" si="4"/>
        <v>53281175</v>
      </c>
    </row>
    <row r="23" spans="1:27" x14ac:dyDescent="0.3">
      <c r="A23" s="1555" t="s">
        <v>3307</v>
      </c>
      <c r="B23" s="976"/>
      <c r="C23" s="976">
        <v>355034</v>
      </c>
      <c r="D23" s="976"/>
      <c r="E23" s="976"/>
      <c r="F23" s="976">
        <v>355034</v>
      </c>
      <c r="H23" s="819" t="s">
        <v>3307</v>
      </c>
      <c r="I23" s="819"/>
      <c r="J23" s="819">
        <v>355034</v>
      </c>
      <c r="K23" s="819"/>
      <c r="L23" s="819"/>
      <c r="M23" s="819">
        <v>355034</v>
      </c>
      <c r="O23" s="153" t="s">
        <v>3307</v>
      </c>
      <c r="Q23" s="153">
        <v>1</v>
      </c>
      <c r="T23" s="153">
        <v>1</v>
      </c>
      <c r="V23" s="153" t="s">
        <v>3307</v>
      </c>
      <c r="W23" s="819" t="e">
        <f t="shared" si="5"/>
        <v>#DIV/0!</v>
      </c>
      <c r="X23" s="819">
        <f t="shared" si="1"/>
        <v>355034</v>
      </c>
      <c r="Y23" s="819" t="e">
        <f t="shared" si="2"/>
        <v>#DIV/0!</v>
      </c>
      <c r="Z23" s="819" t="e">
        <f t="shared" si="3"/>
        <v>#DIV/0!</v>
      </c>
      <c r="AA23" s="819">
        <f t="shared" si="4"/>
        <v>355034</v>
      </c>
    </row>
    <row r="24" spans="1:27" x14ac:dyDescent="0.3">
      <c r="A24" s="1556" t="s">
        <v>3041</v>
      </c>
      <c r="B24" s="976"/>
      <c r="C24" s="976">
        <v>355034</v>
      </c>
      <c r="D24" s="976"/>
      <c r="E24" s="976"/>
      <c r="F24" s="976">
        <v>355034</v>
      </c>
      <c r="H24" s="819"/>
      <c r="I24" s="819"/>
      <c r="J24" s="819"/>
      <c r="K24" s="819"/>
      <c r="L24" s="819"/>
      <c r="M24" s="819"/>
      <c r="O24" s="153" t="s">
        <v>3041</v>
      </c>
      <c r="Q24" s="153">
        <v>1</v>
      </c>
      <c r="T24" s="153">
        <v>1</v>
      </c>
      <c r="V24" s="153" t="s">
        <v>3041</v>
      </c>
      <c r="W24" s="819" t="e">
        <f t="shared" si="5"/>
        <v>#DIV/0!</v>
      </c>
      <c r="X24" s="819">
        <f t="shared" si="1"/>
        <v>0</v>
      </c>
      <c r="Y24" s="819" t="e">
        <f t="shared" si="2"/>
        <v>#DIV/0!</v>
      </c>
      <c r="Z24" s="819" t="e">
        <f t="shared" si="3"/>
        <v>#DIV/0!</v>
      </c>
      <c r="AA24" s="819">
        <f t="shared" si="4"/>
        <v>0</v>
      </c>
    </row>
    <row r="25" spans="1:27" x14ac:dyDescent="0.3">
      <c r="A25" s="1555" t="s">
        <v>3308</v>
      </c>
      <c r="B25" s="976">
        <v>130778340</v>
      </c>
      <c r="C25" s="976"/>
      <c r="D25" s="976"/>
      <c r="E25" s="976"/>
      <c r="F25" s="976">
        <v>130778340</v>
      </c>
      <c r="H25" s="819" t="s">
        <v>3308</v>
      </c>
      <c r="I25" s="819">
        <v>130778340</v>
      </c>
      <c r="J25" s="819"/>
      <c r="K25" s="819"/>
      <c r="L25" s="819"/>
      <c r="M25" s="819">
        <v>130778340</v>
      </c>
      <c r="O25" s="153" t="s">
        <v>3308</v>
      </c>
      <c r="P25" s="153">
        <v>2</v>
      </c>
      <c r="T25" s="153">
        <v>2</v>
      </c>
      <c r="V25" s="153" t="s">
        <v>3308</v>
      </c>
      <c r="W25" s="819">
        <f t="shared" si="5"/>
        <v>65389170</v>
      </c>
      <c r="X25" s="819" t="e">
        <f t="shared" si="1"/>
        <v>#DIV/0!</v>
      </c>
      <c r="Y25" s="819" t="e">
        <f t="shared" si="2"/>
        <v>#DIV/0!</v>
      </c>
      <c r="Z25" s="819" t="e">
        <f t="shared" si="3"/>
        <v>#DIV/0!</v>
      </c>
      <c r="AA25" s="819">
        <f t="shared" si="4"/>
        <v>65389170</v>
      </c>
    </row>
    <row r="26" spans="1:27" x14ac:dyDescent="0.3">
      <c r="A26" s="1556" t="s">
        <v>3040</v>
      </c>
      <c r="B26" s="976">
        <v>130778340</v>
      </c>
      <c r="C26" s="976"/>
      <c r="D26" s="976"/>
      <c r="E26" s="976"/>
      <c r="F26" s="976">
        <v>130778340</v>
      </c>
      <c r="H26" s="819"/>
      <c r="I26" s="819"/>
      <c r="J26" s="819"/>
      <c r="K26" s="819"/>
      <c r="L26" s="819"/>
      <c r="M26" s="819"/>
      <c r="O26" s="153" t="s">
        <v>3040</v>
      </c>
      <c r="P26" s="153">
        <v>2</v>
      </c>
      <c r="T26" s="153">
        <v>2</v>
      </c>
      <c r="V26" s="153" t="s">
        <v>3040</v>
      </c>
      <c r="W26" s="819">
        <f t="shared" si="5"/>
        <v>0</v>
      </c>
      <c r="X26" s="819" t="e">
        <f t="shared" si="1"/>
        <v>#DIV/0!</v>
      </c>
      <c r="Y26" s="819" t="e">
        <f t="shared" si="2"/>
        <v>#DIV/0!</v>
      </c>
      <c r="Z26" s="819" t="e">
        <f t="shared" si="3"/>
        <v>#DIV/0!</v>
      </c>
      <c r="AA26" s="819">
        <f t="shared" si="4"/>
        <v>0</v>
      </c>
    </row>
    <row r="27" spans="1:27" x14ac:dyDescent="0.3">
      <c r="A27" s="1555" t="s">
        <v>3298</v>
      </c>
      <c r="B27" s="976">
        <v>31038079</v>
      </c>
      <c r="C27" s="976"/>
      <c r="D27" s="976"/>
      <c r="E27" s="976"/>
      <c r="F27" s="976">
        <v>31038079</v>
      </c>
      <c r="H27" s="819" t="s">
        <v>3298</v>
      </c>
      <c r="I27" s="819">
        <v>31038079</v>
      </c>
      <c r="J27" s="819"/>
      <c r="K27" s="819"/>
      <c r="L27" s="819"/>
      <c r="M27" s="819">
        <v>31038079</v>
      </c>
      <c r="O27" s="153" t="s">
        <v>3298</v>
      </c>
      <c r="P27" s="153">
        <v>1</v>
      </c>
      <c r="T27" s="153">
        <v>1</v>
      </c>
      <c r="V27" s="153" t="s">
        <v>3298</v>
      </c>
      <c r="W27" s="819">
        <f t="shared" si="5"/>
        <v>31038079</v>
      </c>
      <c r="X27" s="819" t="e">
        <f t="shared" si="1"/>
        <v>#DIV/0!</v>
      </c>
      <c r="Y27" s="819" t="e">
        <f t="shared" si="2"/>
        <v>#DIV/0!</v>
      </c>
      <c r="Z27" s="819" t="e">
        <f t="shared" si="3"/>
        <v>#DIV/0!</v>
      </c>
      <c r="AA27" s="819">
        <f t="shared" si="4"/>
        <v>31038079</v>
      </c>
    </row>
    <row r="28" spans="1:27" x14ac:dyDescent="0.3">
      <c r="A28" s="1556" t="s">
        <v>3041</v>
      </c>
      <c r="B28" s="976">
        <v>31038079</v>
      </c>
      <c r="C28" s="976"/>
      <c r="D28" s="976"/>
      <c r="E28" s="976"/>
      <c r="F28" s="976">
        <v>31038079</v>
      </c>
      <c r="H28" s="819"/>
      <c r="I28" s="819"/>
      <c r="J28" s="819"/>
      <c r="K28" s="819"/>
      <c r="L28" s="819"/>
      <c r="M28" s="819"/>
      <c r="O28" s="153" t="s">
        <v>3041</v>
      </c>
      <c r="P28" s="153">
        <v>1</v>
      </c>
      <c r="T28" s="153">
        <v>1</v>
      </c>
      <c r="V28" s="153" t="s">
        <v>3041</v>
      </c>
      <c r="W28" s="819">
        <f t="shared" si="5"/>
        <v>0</v>
      </c>
      <c r="X28" s="819" t="e">
        <f t="shared" si="1"/>
        <v>#DIV/0!</v>
      </c>
      <c r="Y28" s="819" t="e">
        <f t="shared" si="2"/>
        <v>#DIV/0!</v>
      </c>
      <c r="Z28" s="819" t="e">
        <f t="shared" si="3"/>
        <v>#DIV/0!</v>
      </c>
      <c r="AA28" s="819">
        <f t="shared" si="4"/>
        <v>0</v>
      </c>
    </row>
    <row r="29" spans="1:27" x14ac:dyDescent="0.3">
      <c r="A29" s="1555" t="s">
        <v>3299</v>
      </c>
      <c r="B29" s="976">
        <v>70845873</v>
      </c>
      <c r="C29" s="976"/>
      <c r="D29" s="976">
        <v>128790540</v>
      </c>
      <c r="E29" s="976"/>
      <c r="F29" s="976">
        <v>199636413</v>
      </c>
      <c r="H29" s="819" t="s">
        <v>3299</v>
      </c>
      <c r="I29" s="819">
        <v>70845873</v>
      </c>
      <c r="J29" s="819"/>
      <c r="K29" s="819">
        <v>128790540</v>
      </c>
      <c r="L29" s="819"/>
      <c r="M29" s="819">
        <v>199636413</v>
      </c>
      <c r="O29" s="153" t="s">
        <v>3299</v>
      </c>
      <c r="P29" s="153">
        <v>2</v>
      </c>
      <c r="R29" s="153">
        <v>1</v>
      </c>
      <c r="T29" s="153">
        <v>3</v>
      </c>
      <c r="V29" s="153" t="s">
        <v>3299</v>
      </c>
      <c r="W29" s="819">
        <f t="shared" si="5"/>
        <v>35422936.5</v>
      </c>
      <c r="X29" s="819" t="e">
        <f t="shared" si="1"/>
        <v>#DIV/0!</v>
      </c>
      <c r="Y29" s="819">
        <f t="shared" si="2"/>
        <v>128790540</v>
      </c>
      <c r="Z29" s="819" t="e">
        <f t="shared" si="3"/>
        <v>#DIV/0!</v>
      </c>
      <c r="AA29" s="819">
        <f t="shared" si="4"/>
        <v>66545471</v>
      </c>
    </row>
    <row r="30" spans="1:27" x14ac:dyDescent="0.3">
      <c r="A30" s="1556" t="s">
        <v>3042</v>
      </c>
      <c r="B30" s="976">
        <v>70845873</v>
      </c>
      <c r="C30" s="976"/>
      <c r="D30" s="976">
        <v>128790540</v>
      </c>
      <c r="E30" s="976"/>
      <c r="F30" s="976">
        <v>199636413</v>
      </c>
      <c r="H30" s="819"/>
      <c r="I30" s="819"/>
      <c r="J30" s="819"/>
      <c r="K30" s="819"/>
      <c r="L30" s="819"/>
      <c r="M30" s="819"/>
      <c r="O30" s="153" t="s">
        <v>3042</v>
      </c>
      <c r="P30" s="153">
        <v>2</v>
      </c>
      <c r="R30" s="153">
        <v>1</v>
      </c>
      <c r="T30" s="153">
        <v>3</v>
      </c>
      <c r="V30" s="153" t="s">
        <v>3042</v>
      </c>
      <c r="W30" s="819">
        <f t="shared" si="5"/>
        <v>0</v>
      </c>
      <c r="X30" s="819" t="e">
        <f t="shared" si="1"/>
        <v>#DIV/0!</v>
      </c>
      <c r="Y30" s="819">
        <f t="shared" si="2"/>
        <v>0</v>
      </c>
      <c r="Z30" s="819" t="e">
        <f t="shared" si="3"/>
        <v>#DIV/0!</v>
      </c>
      <c r="AA30" s="819">
        <f t="shared" si="4"/>
        <v>0</v>
      </c>
    </row>
    <row r="31" spans="1:27" x14ac:dyDescent="0.3">
      <c r="A31" s="1040" t="s">
        <v>3038</v>
      </c>
      <c r="B31" s="976">
        <v>46306949156</v>
      </c>
      <c r="C31" s="976">
        <v>1807063948</v>
      </c>
      <c r="D31" s="976">
        <v>10595915914</v>
      </c>
      <c r="E31" s="976">
        <v>19412246097.545456</v>
      </c>
      <c r="F31" s="976">
        <v>78122175115.545456</v>
      </c>
      <c r="H31" s="819" t="s">
        <v>3038</v>
      </c>
      <c r="I31" s="819">
        <f>I5+I13</f>
        <v>46306949156</v>
      </c>
      <c r="J31" s="819">
        <f t="shared" ref="J31:M31" si="11">J5+J13</f>
        <v>1807063948</v>
      </c>
      <c r="K31" s="819">
        <f t="shared" si="11"/>
        <v>10595915914</v>
      </c>
      <c r="L31" s="819">
        <f t="shared" si="11"/>
        <v>19412246097.545456</v>
      </c>
      <c r="M31" s="819">
        <f t="shared" si="11"/>
        <v>78122175115.545456</v>
      </c>
      <c r="O31" s="153" t="s">
        <v>3038</v>
      </c>
      <c r="P31" s="819">
        <f>P5+P13</f>
        <v>1026</v>
      </c>
      <c r="Q31" s="819">
        <f t="shared" ref="Q31:T31" si="12">Q5+Q13</f>
        <v>53</v>
      </c>
      <c r="R31" s="819">
        <f t="shared" si="12"/>
        <v>124</v>
      </c>
      <c r="S31" s="819">
        <f t="shared" si="12"/>
        <v>271</v>
      </c>
      <c r="T31" s="819">
        <f t="shared" si="12"/>
        <v>1474</v>
      </c>
      <c r="V31" s="153" t="s">
        <v>3038</v>
      </c>
      <c r="W31" s="819">
        <f t="shared" si="5"/>
        <v>45133478.709551655</v>
      </c>
      <c r="X31" s="819">
        <f t="shared" si="1"/>
        <v>34095546.188679248</v>
      </c>
      <c r="Y31" s="819">
        <f t="shared" si="2"/>
        <v>85450934.790322587</v>
      </c>
      <c r="Z31" s="819">
        <f t="shared" si="3"/>
        <v>71631904.418986917</v>
      </c>
      <c r="AA31" s="819">
        <f t="shared" si="4"/>
        <v>53000118.802948073</v>
      </c>
    </row>
    <row r="33" spans="1:13" x14ac:dyDescent="0.3">
      <c r="A33" s="1041" t="s">
        <v>3300</v>
      </c>
      <c r="B33" s="1041" t="s">
        <v>3036</v>
      </c>
      <c r="H33" s="153" t="s">
        <v>3300</v>
      </c>
      <c r="I33" s="153" t="s">
        <v>3036</v>
      </c>
    </row>
    <row r="34" spans="1:13" x14ac:dyDescent="0.3">
      <c r="A34" s="1041" t="s">
        <v>3037</v>
      </c>
      <c r="B34" s="153" t="s">
        <v>2802</v>
      </c>
      <c r="C34" s="153" t="s">
        <v>2025</v>
      </c>
      <c r="D34" s="153" t="s">
        <v>2024</v>
      </c>
      <c r="E34" s="153" t="s">
        <v>2023</v>
      </c>
      <c r="F34" s="153" t="s">
        <v>3038</v>
      </c>
      <c r="H34" s="153" t="s">
        <v>3037</v>
      </c>
      <c r="I34" s="153" t="s">
        <v>2802</v>
      </c>
      <c r="J34" s="153" t="s">
        <v>2025</v>
      </c>
      <c r="K34" s="153" t="s">
        <v>2024</v>
      </c>
      <c r="L34" s="153" t="s">
        <v>2023</v>
      </c>
      <c r="M34" s="153" t="s">
        <v>3038</v>
      </c>
    </row>
    <row r="35" spans="1:13" x14ac:dyDescent="0.3">
      <c r="A35" s="1040" t="s">
        <v>3293</v>
      </c>
      <c r="B35" s="976">
        <v>1001</v>
      </c>
      <c r="C35" s="976">
        <v>45</v>
      </c>
      <c r="D35" s="976">
        <v>119</v>
      </c>
      <c r="E35" s="976">
        <v>269</v>
      </c>
      <c r="F35" s="976">
        <v>1434</v>
      </c>
      <c r="H35" s="153" t="s">
        <v>3293</v>
      </c>
      <c r="I35" s="153">
        <v>1001</v>
      </c>
      <c r="J35" s="153">
        <v>45</v>
      </c>
      <c r="K35" s="153">
        <v>119</v>
      </c>
      <c r="L35" s="153">
        <v>269</v>
      </c>
      <c r="M35" s="153">
        <v>1434</v>
      </c>
    </row>
    <row r="36" spans="1:13" x14ac:dyDescent="0.3">
      <c r="A36" s="1555" t="s">
        <v>3293</v>
      </c>
      <c r="B36" s="976">
        <v>1001</v>
      </c>
      <c r="C36" s="976">
        <v>45</v>
      </c>
      <c r="D36" s="976">
        <v>119</v>
      </c>
      <c r="E36" s="976">
        <v>269</v>
      </c>
      <c r="F36" s="976">
        <v>1434</v>
      </c>
      <c r="H36" s="153" t="s">
        <v>3293</v>
      </c>
      <c r="I36" s="153">
        <v>1001</v>
      </c>
      <c r="J36" s="153">
        <v>45</v>
      </c>
      <c r="K36" s="153">
        <v>119</v>
      </c>
      <c r="L36" s="153">
        <v>269</v>
      </c>
      <c r="M36" s="153">
        <v>1434</v>
      </c>
    </row>
    <row r="37" spans="1:13" x14ac:dyDescent="0.3">
      <c r="A37" s="1556" t="s">
        <v>3039</v>
      </c>
      <c r="B37" s="976">
        <v>20</v>
      </c>
      <c r="C37" s="976">
        <v>8</v>
      </c>
      <c r="D37" s="976"/>
      <c r="E37" s="976">
        <v>138</v>
      </c>
      <c r="F37" s="976">
        <v>166</v>
      </c>
      <c r="H37" s="153" t="s">
        <v>3039</v>
      </c>
      <c r="I37" s="153">
        <v>20</v>
      </c>
      <c r="J37" s="153">
        <v>8</v>
      </c>
      <c r="L37" s="153">
        <v>138</v>
      </c>
      <c r="M37" s="153">
        <v>166</v>
      </c>
    </row>
    <row r="38" spans="1:13" x14ac:dyDescent="0.3">
      <c r="A38" s="1556" t="s">
        <v>3040</v>
      </c>
      <c r="B38" s="976">
        <v>2</v>
      </c>
      <c r="C38" s="976"/>
      <c r="D38" s="976">
        <v>4</v>
      </c>
      <c r="E38" s="976"/>
      <c r="F38" s="976">
        <v>6</v>
      </c>
      <c r="H38" s="153" t="s">
        <v>3040</v>
      </c>
      <c r="I38" s="153">
        <v>2</v>
      </c>
      <c r="K38" s="153">
        <v>4</v>
      </c>
      <c r="M38" s="153">
        <v>6</v>
      </c>
    </row>
    <row r="39" spans="1:13" x14ac:dyDescent="0.3">
      <c r="A39" s="1556" t="s">
        <v>2025</v>
      </c>
      <c r="B39" s="976">
        <v>23</v>
      </c>
      <c r="C39" s="976">
        <v>32</v>
      </c>
      <c r="D39" s="976"/>
      <c r="E39" s="976"/>
      <c r="F39" s="976">
        <v>55</v>
      </c>
      <c r="H39" s="153" t="s">
        <v>2025</v>
      </c>
      <c r="I39" s="153">
        <v>23</v>
      </c>
      <c r="J39" s="153">
        <v>32</v>
      </c>
      <c r="M39" s="153">
        <v>55</v>
      </c>
    </row>
    <row r="40" spans="1:13" x14ac:dyDescent="0.3">
      <c r="A40" s="1556" t="s">
        <v>3041</v>
      </c>
      <c r="B40" s="976">
        <v>175</v>
      </c>
      <c r="C40" s="976">
        <v>1</v>
      </c>
      <c r="D40" s="976">
        <v>1</v>
      </c>
      <c r="E40" s="976">
        <v>131</v>
      </c>
      <c r="F40" s="976">
        <v>308</v>
      </c>
      <c r="H40" s="153" t="s">
        <v>3041</v>
      </c>
      <c r="I40" s="153">
        <v>175</v>
      </c>
      <c r="J40" s="153">
        <v>1</v>
      </c>
      <c r="K40" s="153">
        <v>1</v>
      </c>
      <c r="L40" s="153">
        <v>131</v>
      </c>
      <c r="M40" s="153">
        <v>308</v>
      </c>
    </row>
    <row r="41" spans="1:13" x14ac:dyDescent="0.3">
      <c r="A41" s="1556" t="s">
        <v>3042</v>
      </c>
      <c r="B41" s="976">
        <v>780</v>
      </c>
      <c r="C41" s="976">
        <v>1</v>
      </c>
      <c r="D41" s="976">
        <v>114</v>
      </c>
      <c r="E41" s="976"/>
      <c r="F41" s="976">
        <v>895</v>
      </c>
      <c r="H41" s="153" t="s">
        <v>3042</v>
      </c>
      <c r="I41" s="153">
        <v>780</v>
      </c>
      <c r="J41" s="153">
        <v>1</v>
      </c>
      <c r="K41" s="153">
        <v>114</v>
      </c>
      <c r="M41" s="153">
        <v>895</v>
      </c>
    </row>
    <row r="42" spans="1:13" x14ac:dyDescent="0.3">
      <c r="A42" s="1556" t="s">
        <v>3034</v>
      </c>
      <c r="B42" s="976">
        <v>1</v>
      </c>
      <c r="C42" s="976">
        <v>3</v>
      </c>
      <c r="D42" s="976"/>
      <c r="E42" s="976"/>
      <c r="F42" s="976">
        <v>4</v>
      </c>
      <c r="H42" s="153" t="s">
        <v>3034</v>
      </c>
      <c r="I42" s="153">
        <v>1</v>
      </c>
      <c r="J42" s="153">
        <v>3</v>
      </c>
      <c r="M42" s="153">
        <v>4</v>
      </c>
    </row>
    <row r="43" spans="1:13" x14ac:dyDescent="0.3">
      <c r="A43" s="1040" t="s">
        <v>3294</v>
      </c>
      <c r="B43" s="976">
        <v>25</v>
      </c>
      <c r="C43" s="976">
        <v>8</v>
      </c>
      <c r="D43" s="976">
        <v>5</v>
      </c>
      <c r="E43" s="976">
        <v>2</v>
      </c>
      <c r="F43" s="976">
        <v>40</v>
      </c>
      <c r="H43" s="153" t="s">
        <v>3294</v>
      </c>
      <c r="I43" s="153">
        <v>25</v>
      </c>
      <c r="J43" s="153">
        <v>8</v>
      </c>
      <c r="K43" s="153">
        <v>5</v>
      </c>
      <c r="L43" s="153">
        <v>2</v>
      </c>
      <c r="M43" s="153">
        <v>40</v>
      </c>
    </row>
    <row r="44" spans="1:13" x14ac:dyDescent="0.3">
      <c r="A44" s="1555" t="s">
        <v>3295</v>
      </c>
      <c r="B44" s="976">
        <v>3</v>
      </c>
      <c r="C44" s="976">
        <v>1</v>
      </c>
      <c r="D44" s="976"/>
      <c r="E44" s="976">
        <v>2</v>
      </c>
      <c r="F44" s="976">
        <v>6</v>
      </c>
      <c r="H44" s="153" t="s">
        <v>3295</v>
      </c>
      <c r="I44" s="153">
        <v>3</v>
      </c>
      <c r="J44" s="153">
        <v>1</v>
      </c>
      <c r="L44" s="153">
        <v>2</v>
      </c>
      <c r="M44" s="153">
        <v>6</v>
      </c>
    </row>
    <row r="45" spans="1:13" x14ac:dyDescent="0.3">
      <c r="A45" s="1556" t="s">
        <v>3041</v>
      </c>
      <c r="B45" s="976">
        <v>3</v>
      </c>
      <c r="C45" s="976">
        <v>1</v>
      </c>
      <c r="D45" s="976"/>
      <c r="E45" s="976">
        <v>2</v>
      </c>
      <c r="F45" s="976">
        <v>6</v>
      </c>
      <c r="H45" s="153" t="s">
        <v>3041</v>
      </c>
      <c r="I45" s="153">
        <v>3</v>
      </c>
      <c r="J45" s="153">
        <v>1</v>
      </c>
      <c r="L45" s="153">
        <v>2</v>
      </c>
      <c r="M45" s="153">
        <v>6</v>
      </c>
    </row>
    <row r="46" spans="1:13" x14ac:dyDescent="0.3">
      <c r="A46" s="1555" t="s">
        <v>3305</v>
      </c>
      <c r="B46" s="976"/>
      <c r="C46" s="976"/>
      <c r="D46" s="976">
        <v>4</v>
      </c>
      <c r="E46" s="976"/>
      <c r="F46" s="976">
        <v>4</v>
      </c>
      <c r="H46" s="153" t="s">
        <v>3305</v>
      </c>
      <c r="K46" s="153">
        <v>4</v>
      </c>
      <c r="M46" s="153">
        <v>4</v>
      </c>
    </row>
    <row r="47" spans="1:13" x14ac:dyDescent="0.3">
      <c r="A47" s="1556" t="s">
        <v>3041</v>
      </c>
      <c r="B47" s="976"/>
      <c r="C47" s="976"/>
      <c r="D47" s="976">
        <v>4</v>
      </c>
      <c r="E47" s="976"/>
      <c r="F47" s="976">
        <v>4</v>
      </c>
      <c r="H47" s="153" t="s">
        <v>3041</v>
      </c>
      <c r="K47" s="153">
        <v>4</v>
      </c>
      <c r="M47" s="153">
        <v>4</v>
      </c>
    </row>
    <row r="48" spans="1:13" x14ac:dyDescent="0.3">
      <c r="A48" s="1555" t="s">
        <v>3306</v>
      </c>
      <c r="B48" s="976">
        <v>1</v>
      </c>
      <c r="C48" s="976"/>
      <c r="D48" s="976"/>
      <c r="E48" s="976"/>
      <c r="F48" s="976">
        <v>1</v>
      </c>
      <c r="H48" s="153" t="s">
        <v>3306</v>
      </c>
      <c r="I48" s="153">
        <v>1</v>
      </c>
      <c r="M48" s="153">
        <v>1</v>
      </c>
    </row>
    <row r="49" spans="1:13" x14ac:dyDescent="0.3">
      <c r="A49" s="1556" t="s">
        <v>3042</v>
      </c>
      <c r="B49" s="976">
        <v>1</v>
      </c>
      <c r="C49" s="976"/>
      <c r="D49" s="976"/>
      <c r="E49" s="976"/>
      <c r="F49" s="976">
        <v>1</v>
      </c>
      <c r="H49" s="153" t="s">
        <v>3042</v>
      </c>
      <c r="I49" s="153">
        <v>1</v>
      </c>
      <c r="M49" s="153">
        <v>1</v>
      </c>
    </row>
    <row r="50" spans="1:13" x14ac:dyDescent="0.3">
      <c r="A50" s="1555" t="s">
        <v>3296</v>
      </c>
      <c r="B50" s="976">
        <v>16</v>
      </c>
      <c r="C50" s="976">
        <v>6</v>
      </c>
      <c r="D50" s="976"/>
      <c r="E50" s="976"/>
      <c r="F50" s="976">
        <v>22</v>
      </c>
      <c r="H50" s="153" t="s">
        <v>3296</v>
      </c>
      <c r="I50" s="153">
        <v>16</v>
      </c>
      <c r="J50" s="153">
        <v>6</v>
      </c>
      <c r="M50" s="153">
        <v>22</v>
      </c>
    </row>
    <row r="51" spans="1:13" x14ac:dyDescent="0.3">
      <c r="A51" s="1556" t="s">
        <v>3041</v>
      </c>
      <c r="B51" s="976">
        <v>6</v>
      </c>
      <c r="C51" s="976">
        <v>6</v>
      </c>
      <c r="D51" s="976"/>
      <c r="E51" s="976"/>
      <c r="F51" s="976">
        <v>12</v>
      </c>
      <c r="H51" s="153" t="s">
        <v>3041</v>
      </c>
      <c r="I51" s="153">
        <v>6</v>
      </c>
      <c r="J51" s="153">
        <v>6</v>
      </c>
      <c r="M51" s="153">
        <v>12</v>
      </c>
    </row>
    <row r="52" spans="1:13" x14ac:dyDescent="0.3">
      <c r="A52" s="1556" t="s">
        <v>3042</v>
      </c>
      <c r="B52" s="976">
        <v>10</v>
      </c>
      <c r="C52" s="976"/>
      <c r="D52" s="976"/>
      <c r="E52" s="976"/>
      <c r="F52" s="976">
        <v>10</v>
      </c>
      <c r="H52" s="153" t="s">
        <v>3042</v>
      </c>
      <c r="I52" s="153">
        <v>10</v>
      </c>
      <c r="M52" s="153">
        <v>10</v>
      </c>
    </row>
    <row r="53" spans="1:13" x14ac:dyDescent="0.3">
      <c r="A53" s="1555" t="s">
        <v>3307</v>
      </c>
      <c r="B53" s="976"/>
      <c r="C53" s="976">
        <v>1</v>
      </c>
      <c r="D53" s="976"/>
      <c r="E53" s="976"/>
      <c r="F53" s="976">
        <v>1</v>
      </c>
      <c r="H53" s="153" t="s">
        <v>3307</v>
      </c>
      <c r="J53" s="153">
        <v>1</v>
      </c>
      <c r="M53" s="153">
        <v>1</v>
      </c>
    </row>
    <row r="54" spans="1:13" x14ac:dyDescent="0.3">
      <c r="A54" s="1556" t="s">
        <v>3041</v>
      </c>
      <c r="B54" s="976"/>
      <c r="C54" s="976">
        <v>1</v>
      </c>
      <c r="D54" s="976"/>
      <c r="E54" s="976"/>
      <c r="F54" s="976">
        <v>1</v>
      </c>
      <c r="H54" s="153" t="s">
        <v>3041</v>
      </c>
      <c r="J54" s="153">
        <v>1</v>
      </c>
      <c r="M54" s="153">
        <v>1</v>
      </c>
    </row>
    <row r="55" spans="1:13" x14ac:dyDescent="0.3">
      <c r="A55" s="1555" t="s">
        <v>3308</v>
      </c>
      <c r="B55" s="976">
        <v>2</v>
      </c>
      <c r="C55" s="976"/>
      <c r="D55" s="976"/>
      <c r="E55" s="976"/>
      <c r="F55" s="976">
        <v>2</v>
      </c>
      <c r="H55" s="153" t="s">
        <v>3308</v>
      </c>
      <c r="I55" s="153">
        <v>2</v>
      </c>
      <c r="M55" s="153">
        <v>2</v>
      </c>
    </row>
    <row r="56" spans="1:13" x14ac:dyDescent="0.3">
      <c r="A56" s="1556" t="s">
        <v>3040</v>
      </c>
      <c r="B56" s="976">
        <v>2</v>
      </c>
      <c r="C56" s="976"/>
      <c r="D56" s="976"/>
      <c r="E56" s="976"/>
      <c r="F56" s="976">
        <v>2</v>
      </c>
      <c r="H56" s="153" t="s">
        <v>3040</v>
      </c>
      <c r="I56" s="153">
        <v>2</v>
      </c>
      <c r="M56" s="153">
        <v>2</v>
      </c>
    </row>
    <row r="57" spans="1:13" x14ac:dyDescent="0.3">
      <c r="A57" s="1555" t="s">
        <v>3298</v>
      </c>
      <c r="B57" s="976">
        <v>1</v>
      </c>
      <c r="C57" s="976"/>
      <c r="D57" s="976"/>
      <c r="E57" s="976"/>
      <c r="F57" s="976">
        <v>1</v>
      </c>
      <c r="H57" s="153" t="s">
        <v>3298</v>
      </c>
      <c r="I57" s="153">
        <v>1</v>
      </c>
      <c r="M57" s="153">
        <v>1</v>
      </c>
    </row>
    <row r="58" spans="1:13" x14ac:dyDescent="0.3">
      <c r="A58" s="1556" t="s">
        <v>3041</v>
      </c>
      <c r="B58" s="976">
        <v>1</v>
      </c>
      <c r="C58" s="976"/>
      <c r="D58" s="976"/>
      <c r="E58" s="976"/>
      <c r="F58" s="976">
        <v>1</v>
      </c>
      <c r="H58" s="153" t="s">
        <v>3041</v>
      </c>
      <c r="I58" s="153">
        <v>1</v>
      </c>
      <c r="M58" s="153">
        <v>1</v>
      </c>
    </row>
    <row r="59" spans="1:13" x14ac:dyDescent="0.3">
      <c r="A59" s="1555" t="s">
        <v>3299</v>
      </c>
      <c r="B59" s="976">
        <v>2</v>
      </c>
      <c r="C59" s="976"/>
      <c r="D59" s="976">
        <v>1</v>
      </c>
      <c r="E59" s="976"/>
      <c r="F59" s="976">
        <v>3</v>
      </c>
      <c r="H59" s="153" t="s">
        <v>3299</v>
      </c>
      <c r="I59" s="153">
        <v>2</v>
      </c>
      <c r="K59" s="153">
        <v>1</v>
      </c>
      <c r="M59" s="153">
        <v>3</v>
      </c>
    </row>
    <row r="60" spans="1:13" x14ac:dyDescent="0.3">
      <c r="A60" s="1556" t="s">
        <v>3042</v>
      </c>
      <c r="B60" s="976">
        <v>2</v>
      </c>
      <c r="C60" s="976"/>
      <c r="D60" s="976">
        <v>1</v>
      </c>
      <c r="E60" s="976"/>
      <c r="F60" s="976">
        <v>3</v>
      </c>
      <c r="H60" s="153" t="s">
        <v>3042</v>
      </c>
      <c r="I60" s="153">
        <v>2</v>
      </c>
      <c r="K60" s="153">
        <v>1</v>
      </c>
      <c r="M60" s="153">
        <v>3</v>
      </c>
    </row>
    <row r="61" spans="1:13" x14ac:dyDescent="0.3">
      <c r="A61" s="1040" t="s">
        <v>3038</v>
      </c>
      <c r="B61" s="976">
        <v>1026</v>
      </c>
      <c r="C61" s="976">
        <v>53</v>
      </c>
      <c r="D61" s="976">
        <v>124</v>
      </c>
      <c r="E61" s="976">
        <v>271</v>
      </c>
      <c r="F61" s="976">
        <v>1474</v>
      </c>
      <c r="H61" s="153" t="s">
        <v>3038</v>
      </c>
      <c r="I61" s="153">
        <v>1026</v>
      </c>
      <c r="J61" s="153">
        <v>53</v>
      </c>
      <c r="K61" s="153">
        <v>124</v>
      </c>
      <c r="L61" s="153">
        <v>271</v>
      </c>
      <c r="M61" s="153">
        <v>1474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2:AA55"/>
  <sheetViews>
    <sheetView topLeftCell="U5" workbookViewId="0">
      <selection activeCell="AB160" sqref="AB160:AD295"/>
    </sheetView>
  </sheetViews>
  <sheetFormatPr defaultColWidth="9" defaultRowHeight="16.5" x14ac:dyDescent="0.3"/>
  <cols>
    <col min="1" max="1" width="16" style="153" bestFit="1" customWidth="1"/>
    <col min="2" max="2" width="11.875" style="153" customWidth="1"/>
    <col min="3" max="3" width="5.5" style="153" customWidth="1"/>
    <col min="4" max="6" width="7.375" style="153" customWidth="1"/>
    <col min="7" max="8" width="9" style="153"/>
    <col min="9" max="9" width="14" style="153" bestFit="1" customWidth="1"/>
    <col min="10" max="10" width="12.875" style="153" bestFit="1" customWidth="1"/>
    <col min="11" max="11" width="11.375" style="153" bestFit="1" customWidth="1"/>
    <col min="12" max="13" width="14" style="153" bestFit="1" customWidth="1"/>
    <col min="14" max="22" width="9" style="153"/>
    <col min="23" max="23" width="11.75" style="153" bestFit="1" customWidth="1"/>
    <col min="24" max="24" width="11.375" style="153" bestFit="1" customWidth="1"/>
    <col min="25" max="25" width="10.25" style="153" bestFit="1" customWidth="1"/>
    <col min="26" max="27" width="11.375" style="153" bestFit="1" customWidth="1"/>
    <col min="28" max="16384" width="9" style="153"/>
  </cols>
  <sheetData>
    <row r="2" spans="1:27" x14ac:dyDescent="0.3">
      <c r="H2" s="888" t="s">
        <v>3301</v>
      </c>
      <c r="O2" s="888" t="s">
        <v>3302</v>
      </c>
      <c r="V2" s="888" t="s">
        <v>3303</v>
      </c>
    </row>
    <row r="3" spans="1:27" x14ac:dyDescent="0.3">
      <c r="A3" s="1041" t="s">
        <v>3292</v>
      </c>
      <c r="B3" s="1041" t="s">
        <v>3036</v>
      </c>
      <c r="H3" s="153" t="s">
        <v>3292</v>
      </c>
      <c r="I3" s="153" t="s">
        <v>3036</v>
      </c>
      <c r="O3" s="153" t="s">
        <v>3300</v>
      </c>
      <c r="P3" s="153" t="s">
        <v>3036</v>
      </c>
    </row>
    <row r="4" spans="1:27" x14ac:dyDescent="0.3">
      <c r="A4" s="1041" t="s">
        <v>3037</v>
      </c>
      <c r="B4" s="153" t="s">
        <v>2802</v>
      </c>
      <c r="C4" s="153" t="s">
        <v>2025</v>
      </c>
      <c r="D4" s="153" t="s">
        <v>2024</v>
      </c>
      <c r="E4" s="153" t="s">
        <v>2023</v>
      </c>
      <c r="F4" s="153" t="s">
        <v>3038</v>
      </c>
      <c r="H4" s="153" t="s">
        <v>3037</v>
      </c>
      <c r="I4" s="153" t="s">
        <v>2802</v>
      </c>
      <c r="J4" s="153" t="s">
        <v>2025</v>
      </c>
      <c r="K4" s="153" t="s">
        <v>2024</v>
      </c>
      <c r="L4" s="153" t="s">
        <v>2023</v>
      </c>
      <c r="M4" s="153" t="s">
        <v>3038</v>
      </c>
      <c r="O4" s="153" t="s">
        <v>3037</v>
      </c>
      <c r="P4" s="153" t="s">
        <v>2802</v>
      </c>
      <c r="Q4" s="153" t="s">
        <v>2025</v>
      </c>
      <c r="R4" s="153" t="s">
        <v>2024</v>
      </c>
      <c r="S4" s="153" t="s">
        <v>2023</v>
      </c>
      <c r="T4" s="153" t="s">
        <v>3038</v>
      </c>
      <c r="V4" s="153" t="s">
        <v>3037</v>
      </c>
      <c r="W4" s="153" t="s">
        <v>2802</v>
      </c>
      <c r="X4" s="153" t="s">
        <v>2025</v>
      </c>
      <c r="Y4" s="153" t="s">
        <v>2024</v>
      </c>
      <c r="Z4" s="153" t="s">
        <v>2023</v>
      </c>
      <c r="AA4" s="153" t="s">
        <v>3038</v>
      </c>
    </row>
    <row r="5" spans="1:27" x14ac:dyDescent="0.3">
      <c r="A5" s="1040" t="s">
        <v>3293</v>
      </c>
      <c r="B5" s="976">
        <v>34316995394</v>
      </c>
      <c r="C5" s="976">
        <v>1769189618</v>
      </c>
      <c r="D5" s="976">
        <v>870979546</v>
      </c>
      <c r="E5" s="976">
        <v>18172158093</v>
      </c>
      <c r="F5" s="976">
        <v>55129322651</v>
      </c>
      <c r="H5" s="153" t="s">
        <v>3293</v>
      </c>
      <c r="I5" s="819">
        <f>SUM(I7:I12)</f>
        <v>34316995394</v>
      </c>
      <c r="J5" s="819">
        <f t="shared" ref="J5:M5" si="0">SUM(J7:J12)</f>
        <v>1769189618</v>
      </c>
      <c r="K5" s="819">
        <f t="shared" si="0"/>
        <v>870979546</v>
      </c>
      <c r="L5" s="819">
        <f t="shared" si="0"/>
        <v>18172158093</v>
      </c>
      <c r="M5" s="819">
        <f t="shared" si="0"/>
        <v>55129322651</v>
      </c>
      <c r="O5" s="153" t="s">
        <v>3293</v>
      </c>
      <c r="P5" s="153">
        <f>SUM(P7:P12)</f>
        <v>807</v>
      </c>
      <c r="Q5" s="153">
        <f t="shared" ref="Q5:T5" si="1">SUM(Q7:Q12)</f>
        <v>14</v>
      </c>
      <c r="R5" s="153">
        <f t="shared" si="1"/>
        <v>29</v>
      </c>
      <c r="S5" s="153">
        <f t="shared" si="1"/>
        <v>230</v>
      </c>
      <c r="T5" s="153">
        <f t="shared" si="1"/>
        <v>1080</v>
      </c>
      <c r="V5" s="153" t="s">
        <v>3304</v>
      </c>
    </row>
    <row r="6" spans="1:27" x14ac:dyDescent="0.3">
      <c r="A6" s="1555" t="s">
        <v>3293</v>
      </c>
      <c r="B6" s="976">
        <v>34316995394</v>
      </c>
      <c r="C6" s="976">
        <v>1769189618</v>
      </c>
      <c r="D6" s="976">
        <v>870979546</v>
      </c>
      <c r="E6" s="976">
        <v>18172158093</v>
      </c>
      <c r="F6" s="976">
        <v>55129322651</v>
      </c>
      <c r="I6" s="819"/>
      <c r="J6" s="819"/>
      <c r="K6" s="819"/>
      <c r="L6" s="819"/>
      <c r="M6" s="819"/>
    </row>
    <row r="7" spans="1:27" x14ac:dyDescent="0.3">
      <c r="A7" s="1556" t="s">
        <v>3039</v>
      </c>
      <c r="B7" s="976">
        <v>646664227</v>
      </c>
      <c r="C7" s="976">
        <v>240297600</v>
      </c>
      <c r="D7" s="976"/>
      <c r="E7" s="976">
        <v>2312803452</v>
      </c>
      <c r="F7" s="976">
        <v>3199765279</v>
      </c>
      <c r="H7" s="1555" t="s">
        <v>3039</v>
      </c>
      <c r="I7" s="819">
        <v>646664227</v>
      </c>
      <c r="J7" s="819">
        <v>240297600</v>
      </c>
      <c r="K7" s="819"/>
      <c r="L7" s="819">
        <v>2312803452</v>
      </c>
      <c r="M7" s="819">
        <v>3199765279</v>
      </c>
      <c r="O7" s="1555" t="s">
        <v>3039</v>
      </c>
      <c r="P7" s="153">
        <v>32</v>
      </c>
      <c r="Q7" s="153">
        <v>4</v>
      </c>
      <c r="S7" s="153">
        <v>114</v>
      </c>
      <c r="T7" s="153">
        <v>150</v>
      </c>
      <c r="V7" s="153" t="s">
        <v>3039</v>
      </c>
      <c r="W7" s="819">
        <f>I7/P7</f>
        <v>20208257.09375</v>
      </c>
      <c r="X7" s="819">
        <f t="shared" ref="X7:X28" si="2">J7/Q7</f>
        <v>60074400</v>
      </c>
      <c r="Y7" s="819" t="e">
        <f t="shared" ref="Y7:Y28" si="3">K7/R7</f>
        <v>#DIV/0!</v>
      </c>
      <c r="Z7" s="819">
        <f t="shared" ref="Z7:Z28" si="4">L7/S7</f>
        <v>20287749.578947369</v>
      </c>
      <c r="AA7" s="819">
        <f t="shared" ref="AA7:AA28" si="5">M7/T7</f>
        <v>21331768.526666667</v>
      </c>
    </row>
    <row r="8" spans="1:27" x14ac:dyDescent="0.3">
      <c r="A8" s="1556" t="s">
        <v>3040</v>
      </c>
      <c r="B8" s="976">
        <v>354477627</v>
      </c>
      <c r="C8" s="976">
        <v>19081818</v>
      </c>
      <c r="D8" s="976">
        <v>462526183</v>
      </c>
      <c r="E8" s="976"/>
      <c r="F8" s="976">
        <v>836085628</v>
      </c>
      <c r="H8" s="1555" t="s">
        <v>3040</v>
      </c>
      <c r="I8" s="819">
        <v>354477627</v>
      </c>
      <c r="J8" s="819">
        <v>19081818</v>
      </c>
      <c r="K8" s="819">
        <v>462526183</v>
      </c>
      <c r="L8" s="819"/>
      <c r="M8" s="819">
        <v>836085628</v>
      </c>
      <c r="O8" s="1555" t="s">
        <v>3040</v>
      </c>
      <c r="P8" s="153">
        <v>7</v>
      </c>
      <c r="Q8" s="153">
        <v>2</v>
      </c>
      <c r="R8" s="153">
        <v>7</v>
      </c>
      <c r="T8" s="153">
        <v>16</v>
      </c>
      <c r="V8" s="1555" t="s">
        <v>3040</v>
      </c>
      <c r="W8" s="819">
        <f t="shared" ref="W8:W28" si="6">I8/P8</f>
        <v>50639661</v>
      </c>
      <c r="X8" s="819">
        <f t="shared" si="2"/>
        <v>9540909</v>
      </c>
      <c r="Y8" s="819">
        <f t="shared" si="3"/>
        <v>66075169</v>
      </c>
      <c r="Z8" s="819" t="e">
        <f t="shared" si="4"/>
        <v>#DIV/0!</v>
      </c>
      <c r="AA8" s="819">
        <f t="shared" si="5"/>
        <v>52255351.75</v>
      </c>
    </row>
    <row r="9" spans="1:27" x14ac:dyDescent="0.3">
      <c r="A9" s="1556" t="s">
        <v>2025</v>
      </c>
      <c r="B9" s="976">
        <v>2438807274</v>
      </c>
      <c r="C9" s="976">
        <v>35960000</v>
      </c>
      <c r="D9" s="976">
        <v>152853363</v>
      </c>
      <c r="E9" s="976">
        <v>20500000</v>
      </c>
      <c r="F9" s="976">
        <v>2648120637</v>
      </c>
      <c r="H9" s="1555" t="s">
        <v>2025</v>
      </c>
      <c r="I9" s="819">
        <v>2438807274</v>
      </c>
      <c r="J9" s="819">
        <v>35960000</v>
      </c>
      <c r="K9" s="819">
        <v>152853363</v>
      </c>
      <c r="L9" s="819">
        <v>20500000</v>
      </c>
      <c r="M9" s="819">
        <v>2648120637</v>
      </c>
      <c r="O9" s="1555" t="s">
        <v>2025</v>
      </c>
      <c r="P9" s="153">
        <v>22</v>
      </c>
      <c r="Q9" s="153">
        <v>3</v>
      </c>
      <c r="R9" s="153">
        <v>8</v>
      </c>
      <c r="S9" s="153">
        <v>2</v>
      </c>
      <c r="T9" s="153">
        <v>35</v>
      </c>
      <c r="V9" s="1555" t="s">
        <v>2025</v>
      </c>
      <c r="W9" s="819">
        <f t="shared" si="6"/>
        <v>110854876.09090909</v>
      </c>
      <c r="X9" s="819">
        <f t="shared" si="2"/>
        <v>11986666.666666666</v>
      </c>
      <c r="Y9" s="819">
        <f t="shared" si="3"/>
        <v>19106670.375</v>
      </c>
      <c r="Z9" s="819">
        <f t="shared" si="4"/>
        <v>10250000</v>
      </c>
      <c r="AA9" s="819">
        <f t="shared" si="5"/>
        <v>75660589.628571436</v>
      </c>
    </row>
    <row r="10" spans="1:27" x14ac:dyDescent="0.3">
      <c r="A10" s="1556" t="s">
        <v>3041</v>
      </c>
      <c r="B10" s="976">
        <v>5284022890</v>
      </c>
      <c r="C10" s="976">
        <v>161843000</v>
      </c>
      <c r="D10" s="976">
        <v>48000000</v>
      </c>
      <c r="E10" s="976">
        <v>15758238277</v>
      </c>
      <c r="F10" s="976">
        <v>21252104167</v>
      </c>
      <c r="H10" s="1555" t="s">
        <v>3041</v>
      </c>
      <c r="I10" s="819">
        <v>5284022890</v>
      </c>
      <c r="J10" s="819">
        <v>161843000</v>
      </c>
      <c r="K10" s="819">
        <v>48000000</v>
      </c>
      <c r="L10" s="819">
        <v>15758238277</v>
      </c>
      <c r="M10" s="819">
        <v>21252104167</v>
      </c>
      <c r="O10" s="1555" t="s">
        <v>3041</v>
      </c>
      <c r="P10" s="153">
        <v>103</v>
      </c>
      <c r="Q10" s="153">
        <v>3</v>
      </c>
      <c r="R10" s="153">
        <v>2</v>
      </c>
      <c r="S10" s="153">
        <v>108</v>
      </c>
      <c r="T10" s="153">
        <v>216</v>
      </c>
      <c r="V10" s="1555" t="s">
        <v>3041</v>
      </c>
      <c r="W10" s="819">
        <f t="shared" si="6"/>
        <v>51301193.106796116</v>
      </c>
      <c r="X10" s="819">
        <f t="shared" si="2"/>
        <v>53947666.666666664</v>
      </c>
      <c r="Y10" s="819">
        <f t="shared" si="3"/>
        <v>24000000</v>
      </c>
      <c r="Z10" s="819">
        <f t="shared" si="4"/>
        <v>145909613.67592594</v>
      </c>
      <c r="AA10" s="819">
        <f t="shared" si="5"/>
        <v>98389371.143518522</v>
      </c>
    </row>
    <row r="11" spans="1:27" x14ac:dyDescent="0.3">
      <c r="A11" s="1556" t="s">
        <v>3042</v>
      </c>
      <c r="B11" s="976">
        <v>24950094631</v>
      </c>
      <c r="C11" s="976">
        <v>766740000</v>
      </c>
      <c r="D11" s="976">
        <v>207600000</v>
      </c>
      <c r="E11" s="976">
        <v>80616364</v>
      </c>
      <c r="F11" s="976">
        <v>26005050995</v>
      </c>
      <c r="H11" s="1555" t="s">
        <v>3042</v>
      </c>
      <c r="I11" s="819">
        <v>24950094631</v>
      </c>
      <c r="J11" s="819">
        <v>766740000</v>
      </c>
      <c r="K11" s="819">
        <v>207600000</v>
      </c>
      <c r="L11" s="819">
        <v>80616364</v>
      </c>
      <c r="M11" s="819">
        <v>26005050995</v>
      </c>
      <c r="O11" s="1555" t="s">
        <v>3042</v>
      </c>
      <c r="P11" s="153">
        <v>642</v>
      </c>
      <c r="Q11" s="153">
        <v>1</v>
      </c>
      <c r="R11" s="153">
        <v>12</v>
      </c>
      <c r="S11" s="153">
        <v>6</v>
      </c>
      <c r="T11" s="153">
        <v>661</v>
      </c>
      <c r="V11" s="1555" t="s">
        <v>3042</v>
      </c>
      <c r="W11" s="819">
        <f t="shared" si="6"/>
        <v>38863075.749221183</v>
      </c>
      <c r="X11" s="819">
        <f t="shared" si="2"/>
        <v>766740000</v>
      </c>
      <c r="Y11" s="819">
        <f t="shared" si="3"/>
        <v>17300000</v>
      </c>
      <c r="Z11" s="819">
        <f t="shared" si="4"/>
        <v>13436060.666666666</v>
      </c>
      <c r="AA11" s="819">
        <f t="shared" si="5"/>
        <v>39341983.350983359</v>
      </c>
    </row>
    <row r="12" spans="1:27" x14ac:dyDescent="0.3">
      <c r="A12" s="1556" t="s">
        <v>3034</v>
      </c>
      <c r="B12" s="976">
        <v>642928745</v>
      </c>
      <c r="C12" s="976">
        <v>545267200</v>
      </c>
      <c r="D12" s="976"/>
      <c r="E12" s="976"/>
      <c r="F12" s="976">
        <v>1188195945</v>
      </c>
      <c r="H12" s="1555" t="s">
        <v>3034</v>
      </c>
      <c r="I12" s="819">
        <v>642928745</v>
      </c>
      <c r="J12" s="819">
        <v>545267200</v>
      </c>
      <c r="K12" s="819"/>
      <c r="L12" s="819"/>
      <c r="M12" s="819">
        <v>1188195945</v>
      </c>
      <c r="O12" s="1555" t="s">
        <v>3034</v>
      </c>
      <c r="P12" s="153">
        <v>1</v>
      </c>
      <c r="Q12" s="153">
        <v>1</v>
      </c>
      <c r="T12" s="153">
        <v>2</v>
      </c>
      <c r="V12" s="1555" t="s">
        <v>3034</v>
      </c>
      <c r="W12" s="819">
        <f t="shared" si="6"/>
        <v>642928745</v>
      </c>
      <c r="X12" s="819">
        <f t="shared" si="2"/>
        <v>545267200</v>
      </c>
      <c r="Y12" s="819" t="e">
        <f t="shared" si="3"/>
        <v>#DIV/0!</v>
      </c>
      <c r="Z12" s="819" t="e">
        <f t="shared" si="4"/>
        <v>#DIV/0!</v>
      </c>
      <c r="AA12" s="819">
        <f t="shared" si="5"/>
        <v>594097972.5</v>
      </c>
    </row>
    <row r="13" spans="1:27" x14ac:dyDescent="0.3">
      <c r="A13" s="1040" t="s">
        <v>3294</v>
      </c>
      <c r="B13" s="976">
        <v>2173116200</v>
      </c>
      <c r="C13" s="976"/>
      <c r="D13" s="976"/>
      <c r="E13" s="976">
        <v>742283366</v>
      </c>
      <c r="F13" s="976">
        <v>2915399566</v>
      </c>
      <c r="H13" s="153" t="s">
        <v>3294</v>
      </c>
      <c r="I13" s="819">
        <f>SUM(I14,I16,I18,I21,I23,I26)</f>
        <v>2173116200</v>
      </c>
      <c r="J13" s="819">
        <f t="shared" ref="J13:M13" si="7">SUM(J14,J16,J18,J21,J23,J26)</f>
        <v>0</v>
      </c>
      <c r="K13" s="819">
        <f t="shared" si="7"/>
        <v>0</v>
      </c>
      <c r="L13" s="819">
        <f t="shared" si="7"/>
        <v>742283366</v>
      </c>
      <c r="M13" s="819">
        <f t="shared" si="7"/>
        <v>2915399566</v>
      </c>
      <c r="O13" s="153" t="s">
        <v>3294</v>
      </c>
      <c r="P13" s="153">
        <f>SUM(P14,P16,P18,P21,P23,P26)</f>
        <v>65</v>
      </c>
      <c r="Q13" s="153">
        <f t="shared" ref="Q13:T13" si="8">SUM(Q14,Q16,Q18,Q21,Q23,Q26)</f>
        <v>0</v>
      </c>
      <c r="R13" s="153">
        <f t="shared" si="8"/>
        <v>0</v>
      </c>
      <c r="S13" s="153">
        <f t="shared" si="8"/>
        <v>5</v>
      </c>
      <c r="T13" s="153">
        <f t="shared" si="8"/>
        <v>70</v>
      </c>
      <c r="V13" s="153" t="s">
        <v>3294</v>
      </c>
      <c r="W13" s="819">
        <f t="shared" si="6"/>
        <v>33432556.923076924</v>
      </c>
      <c r="X13" s="819" t="e">
        <f t="shared" si="2"/>
        <v>#DIV/0!</v>
      </c>
      <c r="Y13" s="819" t="e">
        <f t="shared" si="3"/>
        <v>#DIV/0!</v>
      </c>
      <c r="Z13" s="819">
        <f t="shared" si="4"/>
        <v>148456673.19999999</v>
      </c>
      <c r="AA13" s="819">
        <f t="shared" si="5"/>
        <v>41648565.22857143</v>
      </c>
    </row>
    <row r="14" spans="1:27" x14ac:dyDescent="0.3">
      <c r="A14" s="1555" t="s">
        <v>2025</v>
      </c>
      <c r="B14" s="976">
        <v>69889263</v>
      </c>
      <c r="C14" s="976"/>
      <c r="D14" s="976"/>
      <c r="E14" s="976">
        <v>315573720</v>
      </c>
      <c r="F14" s="976">
        <v>385462983</v>
      </c>
      <c r="H14" s="153" t="s">
        <v>2025</v>
      </c>
      <c r="I14" s="819">
        <v>69889263</v>
      </c>
      <c r="J14" s="819"/>
      <c r="K14" s="819"/>
      <c r="L14" s="819">
        <v>315573720</v>
      </c>
      <c r="M14" s="819">
        <v>385462983</v>
      </c>
      <c r="O14" s="153" t="s">
        <v>2025</v>
      </c>
      <c r="P14" s="153">
        <v>2</v>
      </c>
      <c r="S14" s="153">
        <v>1</v>
      </c>
      <c r="T14" s="153">
        <v>3</v>
      </c>
      <c r="V14" s="153" t="s">
        <v>2025</v>
      </c>
      <c r="W14" s="819">
        <f t="shared" si="6"/>
        <v>34944631.5</v>
      </c>
      <c r="X14" s="819" t="e">
        <f t="shared" si="2"/>
        <v>#DIV/0!</v>
      </c>
      <c r="Y14" s="819" t="e">
        <f t="shared" si="3"/>
        <v>#DIV/0!</v>
      </c>
      <c r="Z14" s="819">
        <f t="shared" si="4"/>
        <v>315573720</v>
      </c>
      <c r="AA14" s="819">
        <f t="shared" si="5"/>
        <v>128487661</v>
      </c>
    </row>
    <row r="15" spans="1:27" x14ac:dyDescent="0.3">
      <c r="A15" s="1556" t="s">
        <v>3041</v>
      </c>
      <c r="B15" s="976">
        <v>69889263</v>
      </c>
      <c r="C15" s="976"/>
      <c r="D15" s="976"/>
      <c r="E15" s="976">
        <v>315573720</v>
      </c>
      <c r="F15" s="976">
        <v>385462983</v>
      </c>
      <c r="I15" s="819"/>
      <c r="J15" s="819"/>
      <c r="K15" s="819"/>
      <c r="L15" s="819"/>
      <c r="M15" s="819"/>
      <c r="O15" s="153" t="s">
        <v>3041</v>
      </c>
      <c r="W15" s="819"/>
      <c r="X15" s="819"/>
      <c r="Y15" s="819"/>
      <c r="Z15" s="819"/>
      <c r="AA15" s="819"/>
    </row>
    <row r="16" spans="1:27" x14ac:dyDescent="0.3">
      <c r="A16" s="1555" t="s">
        <v>3295</v>
      </c>
      <c r="B16" s="976">
        <v>2867011</v>
      </c>
      <c r="C16" s="976"/>
      <c r="D16" s="976"/>
      <c r="E16" s="976">
        <v>426709646</v>
      </c>
      <c r="F16" s="976">
        <v>429576657</v>
      </c>
      <c r="H16" s="153" t="s">
        <v>3295</v>
      </c>
      <c r="I16" s="819">
        <v>2867011</v>
      </c>
      <c r="J16" s="819"/>
      <c r="K16" s="819"/>
      <c r="L16" s="819">
        <v>426709646</v>
      </c>
      <c r="M16" s="819">
        <v>429576657</v>
      </c>
      <c r="O16" s="153" t="s">
        <v>3295</v>
      </c>
      <c r="P16" s="153">
        <v>1</v>
      </c>
      <c r="S16" s="153">
        <v>4</v>
      </c>
      <c r="T16" s="153">
        <v>5</v>
      </c>
      <c r="V16" s="153" t="s">
        <v>3295</v>
      </c>
      <c r="W16" s="819">
        <f t="shared" si="6"/>
        <v>2867011</v>
      </c>
      <c r="X16" s="819" t="e">
        <f t="shared" si="2"/>
        <v>#DIV/0!</v>
      </c>
      <c r="Y16" s="819" t="e">
        <f t="shared" si="3"/>
        <v>#DIV/0!</v>
      </c>
      <c r="Z16" s="819">
        <f t="shared" si="4"/>
        <v>106677411.5</v>
      </c>
      <c r="AA16" s="819">
        <f t="shared" si="5"/>
        <v>85915331.400000006</v>
      </c>
    </row>
    <row r="17" spans="1:27" x14ac:dyDescent="0.3">
      <c r="A17" s="1556" t="s">
        <v>3041</v>
      </c>
      <c r="B17" s="976">
        <v>2867011</v>
      </c>
      <c r="C17" s="976"/>
      <c r="D17" s="976"/>
      <c r="E17" s="976">
        <v>426709646</v>
      </c>
      <c r="F17" s="976">
        <v>429576657</v>
      </c>
      <c r="I17" s="819"/>
      <c r="J17" s="819"/>
      <c r="K17" s="819"/>
      <c r="L17" s="819"/>
      <c r="M17" s="819"/>
      <c r="O17" s="153" t="s">
        <v>3041</v>
      </c>
      <c r="P17" s="153">
        <v>1</v>
      </c>
      <c r="S17" s="153">
        <v>4</v>
      </c>
      <c r="T17" s="153">
        <v>5</v>
      </c>
      <c r="W17" s="819"/>
      <c r="X17" s="819"/>
      <c r="Y17" s="819"/>
      <c r="Z17" s="819"/>
      <c r="AA17" s="819"/>
    </row>
    <row r="18" spans="1:27" x14ac:dyDescent="0.3">
      <c r="A18" s="1555" t="s">
        <v>3296</v>
      </c>
      <c r="B18" s="976">
        <v>1669421320</v>
      </c>
      <c r="C18" s="976"/>
      <c r="D18" s="976"/>
      <c r="E18" s="976"/>
      <c r="F18" s="976">
        <v>1669421320</v>
      </c>
      <c r="H18" s="153" t="s">
        <v>3296</v>
      </c>
      <c r="I18" s="819">
        <f>SUM(I19:I20)</f>
        <v>1669421320</v>
      </c>
      <c r="J18" s="819">
        <f t="shared" ref="J18:M18" si="9">SUM(J19:J20)</f>
        <v>0</v>
      </c>
      <c r="K18" s="819">
        <f t="shared" si="9"/>
        <v>0</v>
      </c>
      <c r="L18" s="819">
        <f t="shared" si="9"/>
        <v>0</v>
      </c>
      <c r="M18" s="819">
        <f t="shared" si="9"/>
        <v>1669421320</v>
      </c>
      <c r="O18" s="153" t="s">
        <v>3296</v>
      </c>
      <c r="P18" s="153">
        <v>42</v>
      </c>
      <c r="T18" s="153">
        <v>42</v>
      </c>
      <c r="V18" s="153" t="s">
        <v>3296</v>
      </c>
      <c r="W18" s="819">
        <f t="shared" si="6"/>
        <v>39748126.666666664</v>
      </c>
      <c r="X18" s="819" t="e">
        <f t="shared" si="2"/>
        <v>#DIV/0!</v>
      </c>
      <c r="Y18" s="819" t="e">
        <f t="shared" si="3"/>
        <v>#DIV/0!</v>
      </c>
      <c r="Z18" s="819" t="e">
        <f t="shared" si="4"/>
        <v>#DIV/0!</v>
      </c>
      <c r="AA18" s="819">
        <f t="shared" si="5"/>
        <v>39748126.666666664</v>
      </c>
    </row>
    <row r="19" spans="1:27" x14ac:dyDescent="0.3">
      <c r="A19" s="1556" t="s">
        <v>3041</v>
      </c>
      <c r="B19" s="976">
        <v>212947800</v>
      </c>
      <c r="C19" s="976"/>
      <c r="D19" s="976"/>
      <c r="E19" s="976"/>
      <c r="F19" s="976">
        <v>212947800</v>
      </c>
      <c r="H19" s="1555" t="s">
        <v>3041</v>
      </c>
      <c r="I19" s="819">
        <v>212947800</v>
      </c>
      <c r="J19" s="819"/>
      <c r="K19" s="819"/>
      <c r="L19" s="819"/>
      <c r="M19" s="819">
        <v>212947800</v>
      </c>
      <c r="O19" s="1555" t="s">
        <v>3041</v>
      </c>
      <c r="P19" s="153">
        <v>1</v>
      </c>
      <c r="T19" s="153">
        <v>1</v>
      </c>
      <c r="V19" s="153" t="s">
        <v>3041</v>
      </c>
      <c r="W19" s="819">
        <f t="shared" si="6"/>
        <v>212947800</v>
      </c>
      <c r="X19" s="819" t="e">
        <f t="shared" si="2"/>
        <v>#DIV/0!</v>
      </c>
      <c r="Y19" s="819" t="e">
        <f t="shared" si="3"/>
        <v>#DIV/0!</v>
      </c>
      <c r="Z19" s="819" t="e">
        <f t="shared" si="4"/>
        <v>#DIV/0!</v>
      </c>
      <c r="AA19" s="819">
        <f t="shared" si="5"/>
        <v>212947800</v>
      </c>
    </row>
    <row r="20" spans="1:27" x14ac:dyDescent="0.3">
      <c r="A20" s="1556" t="s">
        <v>3042</v>
      </c>
      <c r="B20" s="976">
        <v>1456473520</v>
      </c>
      <c r="C20" s="976"/>
      <c r="D20" s="976"/>
      <c r="E20" s="976"/>
      <c r="F20" s="976">
        <v>1456473520</v>
      </c>
      <c r="H20" s="1555" t="s">
        <v>3042</v>
      </c>
      <c r="I20" s="819">
        <v>1456473520</v>
      </c>
      <c r="J20" s="819"/>
      <c r="K20" s="819"/>
      <c r="L20" s="819"/>
      <c r="M20" s="819">
        <v>1456473520</v>
      </c>
      <c r="O20" s="1555" t="s">
        <v>3042</v>
      </c>
      <c r="P20" s="153">
        <v>41</v>
      </c>
      <c r="T20" s="153">
        <v>41</v>
      </c>
      <c r="V20" s="153" t="s">
        <v>3042</v>
      </c>
      <c r="W20" s="819">
        <f t="shared" si="6"/>
        <v>35523744.390243903</v>
      </c>
      <c r="X20" s="819" t="e">
        <f t="shared" si="2"/>
        <v>#DIV/0!</v>
      </c>
      <c r="Y20" s="819" t="e">
        <f t="shared" si="3"/>
        <v>#DIV/0!</v>
      </c>
      <c r="Z20" s="819" t="e">
        <f t="shared" si="4"/>
        <v>#DIV/0!</v>
      </c>
      <c r="AA20" s="819">
        <f t="shared" si="5"/>
        <v>35523744.390243903</v>
      </c>
    </row>
    <row r="21" spans="1:27" x14ac:dyDescent="0.3">
      <c r="A21" s="1555" t="s">
        <v>3297</v>
      </c>
      <c r="B21" s="976">
        <v>29861217</v>
      </c>
      <c r="C21" s="976"/>
      <c r="D21" s="976"/>
      <c r="E21" s="976"/>
      <c r="F21" s="976">
        <v>29861217</v>
      </c>
      <c r="H21" s="153" t="s">
        <v>3297</v>
      </c>
      <c r="I21" s="819">
        <v>29861217</v>
      </c>
      <c r="J21" s="819"/>
      <c r="K21" s="819"/>
      <c r="L21" s="819"/>
      <c r="M21" s="819">
        <v>29861217</v>
      </c>
      <c r="O21" s="153" t="s">
        <v>3297</v>
      </c>
      <c r="P21" s="153">
        <v>1</v>
      </c>
      <c r="T21" s="153">
        <v>1</v>
      </c>
      <c r="V21" s="153" t="s">
        <v>3297</v>
      </c>
      <c r="W21" s="819">
        <f t="shared" si="6"/>
        <v>29861217</v>
      </c>
      <c r="X21" s="819" t="e">
        <f t="shared" si="2"/>
        <v>#DIV/0!</v>
      </c>
      <c r="Y21" s="819" t="e">
        <f t="shared" si="3"/>
        <v>#DIV/0!</v>
      </c>
      <c r="Z21" s="819" t="e">
        <f t="shared" si="4"/>
        <v>#DIV/0!</v>
      </c>
      <c r="AA21" s="819">
        <f t="shared" si="5"/>
        <v>29861217</v>
      </c>
    </row>
    <row r="22" spans="1:27" x14ac:dyDescent="0.3">
      <c r="A22" s="1556" t="s">
        <v>3041</v>
      </c>
      <c r="B22" s="976">
        <v>29861217</v>
      </c>
      <c r="C22" s="976"/>
      <c r="D22" s="976"/>
      <c r="E22" s="976"/>
      <c r="F22" s="976">
        <v>29861217</v>
      </c>
      <c r="I22" s="819"/>
      <c r="J22" s="819"/>
      <c r="K22" s="819"/>
      <c r="L22" s="819"/>
      <c r="M22" s="819"/>
      <c r="W22" s="819"/>
      <c r="X22" s="819"/>
      <c r="Y22" s="819"/>
      <c r="Z22" s="819"/>
      <c r="AA22" s="819"/>
    </row>
    <row r="23" spans="1:27" x14ac:dyDescent="0.3">
      <c r="A23" s="1555" t="s">
        <v>3298</v>
      </c>
      <c r="B23" s="976">
        <v>379465399</v>
      </c>
      <c r="C23" s="976"/>
      <c r="D23" s="976"/>
      <c r="E23" s="976"/>
      <c r="F23" s="976">
        <v>379465399</v>
      </c>
      <c r="H23" s="153" t="s">
        <v>3298</v>
      </c>
      <c r="I23" s="819">
        <f>SUM(I24:I25)</f>
        <v>379465399</v>
      </c>
      <c r="J23" s="819">
        <f t="shared" ref="J23:M23" si="10">SUM(J24:J25)</f>
        <v>0</v>
      </c>
      <c r="K23" s="819">
        <f t="shared" si="10"/>
        <v>0</v>
      </c>
      <c r="L23" s="819">
        <f t="shared" si="10"/>
        <v>0</v>
      </c>
      <c r="M23" s="819">
        <f t="shared" si="10"/>
        <v>379465399</v>
      </c>
      <c r="O23" s="153" t="s">
        <v>3298</v>
      </c>
      <c r="P23" s="153">
        <v>11</v>
      </c>
      <c r="T23" s="153">
        <v>11</v>
      </c>
      <c r="V23" s="153" t="s">
        <v>3298</v>
      </c>
      <c r="W23" s="819">
        <f t="shared" si="6"/>
        <v>34496854.454545453</v>
      </c>
      <c r="X23" s="819" t="e">
        <f t="shared" si="2"/>
        <v>#DIV/0!</v>
      </c>
      <c r="Y23" s="819" t="e">
        <f t="shared" si="3"/>
        <v>#DIV/0!</v>
      </c>
      <c r="Z23" s="819" t="e">
        <f t="shared" si="4"/>
        <v>#DIV/0!</v>
      </c>
      <c r="AA23" s="819">
        <f t="shared" si="5"/>
        <v>34496854.454545453</v>
      </c>
    </row>
    <row r="24" spans="1:27" x14ac:dyDescent="0.3">
      <c r="A24" s="1556" t="s">
        <v>3041</v>
      </c>
      <c r="B24" s="976">
        <v>355184410</v>
      </c>
      <c r="C24" s="976"/>
      <c r="D24" s="976"/>
      <c r="E24" s="976"/>
      <c r="F24" s="976">
        <v>355184410</v>
      </c>
      <c r="H24" s="153" t="s">
        <v>3041</v>
      </c>
      <c r="I24" s="819">
        <v>355184410</v>
      </c>
      <c r="J24" s="819"/>
      <c r="K24" s="819"/>
      <c r="L24" s="819"/>
      <c r="M24" s="819">
        <v>355184410</v>
      </c>
      <c r="O24" s="1555" t="s">
        <v>3041</v>
      </c>
      <c r="P24" s="153">
        <v>10</v>
      </c>
      <c r="T24" s="153">
        <v>10</v>
      </c>
      <c r="V24" s="153" t="s">
        <v>3041</v>
      </c>
      <c r="W24" s="819">
        <f t="shared" si="6"/>
        <v>35518441</v>
      </c>
      <c r="X24" s="819" t="e">
        <f t="shared" si="2"/>
        <v>#DIV/0!</v>
      </c>
      <c r="Y24" s="819" t="e">
        <f t="shared" si="3"/>
        <v>#DIV/0!</v>
      </c>
      <c r="Z24" s="819" t="e">
        <f t="shared" si="4"/>
        <v>#DIV/0!</v>
      </c>
      <c r="AA24" s="819">
        <f t="shared" si="5"/>
        <v>35518441</v>
      </c>
    </row>
    <row r="25" spans="1:27" x14ac:dyDescent="0.3">
      <c r="A25" s="1556" t="s">
        <v>3042</v>
      </c>
      <c r="B25" s="976">
        <v>24280989</v>
      </c>
      <c r="C25" s="976"/>
      <c r="D25" s="976"/>
      <c r="E25" s="976"/>
      <c r="F25" s="976">
        <v>24280989</v>
      </c>
      <c r="H25" s="153" t="s">
        <v>3042</v>
      </c>
      <c r="I25" s="819">
        <v>24280989</v>
      </c>
      <c r="J25" s="819"/>
      <c r="K25" s="819"/>
      <c r="L25" s="819"/>
      <c r="M25" s="819">
        <v>24280989</v>
      </c>
      <c r="O25" s="1555" t="s">
        <v>3042</v>
      </c>
      <c r="P25" s="153">
        <v>1</v>
      </c>
      <c r="T25" s="153">
        <v>1</v>
      </c>
      <c r="V25" s="153" t="s">
        <v>3042</v>
      </c>
      <c r="W25" s="819">
        <f t="shared" si="6"/>
        <v>24280989</v>
      </c>
      <c r="X25" s="819" t="e">
        <f t="shared" si="2"/>
        <v>#DIV/0!</v>
      </c>
      <c r="Y25" s="819" t="e">
        <f t="shared" si="3"/>
        <v>#DIV/0!</v>
      </c>
      <c r="Z25" s="819" t="e">
        <f t="shared" si="4"/>
        <v>#DIV/0!</v>
      </c>
      <c r="AA25" s="819">
        <f t="shared" si="5"/>
        <v>24280989</v>
      </c>
    </row>
    <row r="26" spans="1:27" x14ac:dyDescent="0.3">
      <c r="A26" s="1555" t="s">
        <v>3299</v>
      </c>
      <c r="B26" s="976">
        <v>21611990</v>
      </c>
      <c r="C26" s="976"/>
      <c r="D26" s="976"/>
      <c r="E26" s="976"/>
      <c r="F26" s="976">
        <v>21611990</v>
      </c>
      <c r="H26" s="153" t="s">
        <v>3299</v>
      </c>
      <c r="I26" s="819">
        <v>21611990</v>
      </c>
      <c r="J26" s="819"/>
      <c r="K26" s="819"/>
      <c r="L26" s="819"/>
      <c r="M26" s="819">
        <v>21611990</v>
      </c>
      <c r="O26" s="153" t="s">
        <v>3299</v>
      </c>
      <c r="P26" s="153">
        <v>8</v>
      </c>
      <c r="T26" s="153">
        <v>8</v>
      </c>
      <c r="V26" s="153" t="s">
        <v>3299</v>
      </c>
      <c r="W26" s="819">
        <f t="shared" si="6"/>
        <v>2701498.75</v>
      </c>
      <c r="X26" s="819" t="e">
        <f t="shared" si="2"/>
        <v>#DIV/0!</v>
      </c>
      <c r="Y26" s="819" t="e">
        <f t="shared" si="3"/>
        <v>#DIV/0!</v>
      </c>
      <c r="Z26" s="819" t="e">
        <f t="shared" si="4"/>
        <v>#DIV/0!</v>
      </c>
      <c r="AA26" s="819">
        <f t="shared" si="5"/>
        <v>2701498.75</v>
      </c>
    </row>
    <row r="27" spans="1:27" x14ac:dyDescent="0.3">
      <c r="A27" s="1556" t="s">
        <v>3041</v>
      </c>
      <c r="B27" s="976">
        <v>21611990</v>
      </c>
      <c r="C27" s="976"/>
      <c r="D27" s="976"/>
      <c r="E27" s="976"/>
      <c r="F27" s="976">
        <v>21611990</v>
      </c>
      <c r="H27" s="153" t="s">
        <v>3041</v>
      </c>
      <c r="I27" s="819"/>
      <c r="J27" s="819"/>
      <c r="K27" s="819"/>
      <c r="L27" s="819"/>
      <c r="M27" s="819"/>
      <c r="W27" s="819"/>
      <c r="X27" s="819"/>
      <c r="Y27" s="819"/>
      <c r="Z27" s="819"/>
      <c r="AA27" s="819"/>
    </row>
    <row r="28" spans="1:27" x14ac:dyDescent="0.3">
      <c r="A28" s="1040" t="s">
        <v>3038</v>
      </c>
      <c r="B28" s="976">
        <v>36490111594</v>
      </c>
      <c r="C28" s="976">
        <v>1769189618</v>
      </c>
      <c r="D28" s="976">
        <v>870979546</v>
      </c>
      <c r="E28" s="976">
        <v>18914441459</v>
      </c>
      <c r="F28" s="976">
        <v>58044722217</v>
      </c>
      <c r="H28" s="153" t="s">
        <v>3038</v>
      </c>
      <c r="I28" s="819">
        <f>I5+I13</f>
        <v>36490111594</v>
      </c>
      <c r="J28" s="819">
        <f t="shared" ref="J28:M28" si="11">J5+J13</f>
        <v>1769189618</v>
      </c>
      <c r="K28" s="819">
        <f t="shared" si="11"/>
        <v>870979546</v>
      </c>
      <c r="L28" s="819">
        <f t="shared" si="11"/>
        <v>18914441459</v>
      </c>
      <c r="M28" s="819">
        <f t="shared" si="11"/>
        <v>58044722217</v>
      </c>
      <c r="O28" s="153" t="s">
        <v>3038</v>
      </c>
      <c r="P28" s="153">
        <f>P5+P13</f>
        <v>872</v>
      </c>
      <c r="Q28" s="153">
        <f t="shared" ref="Q28:T28" si="12">Q5+Q13</f>
        <v>14</v>
      </c>
      <c r="R28" s="153">
        <f t="shared" si="12"/>
        <v>29</v>
      </c>
      <c r="S28" s="153">
        <f t="shared" si="12"/>
        <v>235</v>
      </c>
      <c r="T28" s="153">
        <f t="shared" si="12"/>
        <v>1150</v>
      </c>
      <c r="V28" s="153" t="s">
        <v>3038</v>
      </c>
      <c r="W28" s="819">
        <f t="shared" si="6"/>
        <v>41846458.25</v>
      </c>
      <c r="X28" s="819">
        <f t="shared" si="2"/>
        <v>126370687</v>
      </c>
      <c r="Y28" s="819">
        <f t="shared" si="3"/>
        <v>30033777.44827586</v>
      </c>
      <c r="Z28" s="819">
        <f t="shared" si="4"/>
        <v>80486984.931914896</v>
      </c>
      <c r="AA28" s="819">
        <f t="shared" si="5"/>
        <v>50473671.493043475</v>
      </c>
    </row>
    <row r="30" spans="1:27" x14ac:dyDescent="0.3">
      <c r="A30" s="1041" t="s">
        <v>3300</v>
      </c>
      <c r="B30" s="1041" t="s">
        <v>3036</v>
      </c>
      <c r="H30" s="153" t="s">
        <v>3300</v>
      </c>
      <c r="I30" s="153" t="s">
        <v>3036</v>
      </c>
    </row>
    <row r="31" spans="1:27" x14ac:dyDescent="0.3">
      <c r="A31" s="1041" t="s">
        <v>3037</v>
      </c>
      <c r="B31" s="153" t="s">
        <v>2802</v>
      </c>
      <c r="C31" s="153" t="s">
        <v>2025</v>
      </c>
      <c r="D31" s="153" t="s">
        <v>2024</v>
      </c>
      <c r="E31" s="153" t="s">
        <v>2023</v>
      </c>
      <c r="F31" s="153" t="s">
        <v>3038</v>
      </c>
      <c r="H31" s="153" t="s">
        <v>3037</v>
      </c>
      <c r="I31" s="153" t="s">
        <v>2802</v>
      </c>
      <c r="J31" s="153" t="s">
        <v>2025</v>
      </c>
      <c r="K31" s="153" t="s">
        <v>2024</v>
      </c>
      <c r="L31" s="153" t="s">
        <v>2023</v>
      </c>
      <c r="M31" s="153" t="s">
        <v>3038</v>
      </c>
    </row>
    <row r="32" spans="1:27" x14ac:dyDescent="0.3">
      <c r="A32" s="1040" t="s">
        <v>3293</v>
      </c>
      <c r="B32" s="976">
        <v>807</v>
      </c>
      <c r="C32" s="976">
        <v>14</v>
      </c>
      <c r="D32" s="976">
        <v>29</v>
      </c>
      <c r="E32" s="976">
        <v>230</v>
      </c>
      <c r="F32" s="976">
        <v>1080</v>
      </c>
      <c r="H32" s="153" t="s">
        <v>3293</v>
      </c>
      <c r="I32" s="153">
        <v>807</v>
      </c>
      <c r="J32" s="153">
        <v>14</v>
      </c>
      <c r="K32" s="153">
        <v>29</v>
      </c>
      <c r="L32" s="153">
        <v>230</v>
      </c>
      <c r="M32" s="153">
        <v>1080</v>
      </c>
    </row>
    <row r="33" spans="1:13" x14ac:dyDescent="0.3">
      <c r="A33" s="1555" t="s">
        <v>3293</v>
      </c>
      <c r="B33" s="976">
        <v>807</v>
      </c>
      <c r="C33" s="976">
        <v>14</v>
      </c>
      <c r="D33" s="976">
        <v>29</v>
      </c>
      <c r="E33" s="976">
        <v>230</v>
      </c>
      <c r="F33" s="976">
        <v>1080</v>
      </c>
      <c r="H33" s="153" t="s">
        <v>3293</v>
      </c>
      <c r="I33" s="153">
        <v>807</v>
      </c>
      <c r="J33" s="153">
        <v>14</v>
      </c>
      <c r="K33" s="153">
        <v>29</v>
      </c>
      <c r="L33" s="153">
        <v>230</v>
      </c>
      <c r="M33" s="153">
        <v>1080</v>
      </c>
    </row>
    <row r="34" spans="1:13" x14ac:dyDescent="0.3">
      <c r="A34" s="1556" t="s">
        <v>3039</v>
      </c>
      <c r="B34" s="976">
        <v>32</v>
      </c>
      <c r="C34" s="976">
        <v>4</v>
      </c>
      <c r="D34" s="976"/>
      <c r="E34" s="976">
        <v>114</v>
      </c>
      <c r="F34" s="976">
        <v>150</v>
      </c>
      <c r="H34" s="153" t="s">
        <v>3039</v>
      </c>
      <c r="I34" s="153">
        <v>32</v>
      </c>
      <c r="J34" s="153">
        <v>4</v>
      </c>
      <c r="L34" s="153">
        <v>114</v>
      </c>
      <c r="M34" s="153">
        <v>150</v>
      </c>
    </row>
    <row r="35" spans="1:13" x14ac:dyDescent="0.3">
      <c r="A35" s="1556" t="s">
        <v>3040</v>
      </c>
      <c r="B35" s="976">
        <v>7</v>
      </c>
      <c r="C35" s="976">
        <v>2</v>
      </c>
      <c r="D35" s="976">
        <v>7</v>
      </c>
      <c r="E35" s="976"/>
      <c r="F35" s="976">
        <v>16</v>
      </c>
      <c r="H35" s="153" t="s">
        <v>3040</v>
      </c>
      <c r="I35" s="153">
        <v>7</v>
      </c>
      <c r="J35" s="153">
        <v>2</v>
      </c>
      <c r="K35" s="153">
        <v>7</v>
      </c>
      <c r="M35" s="153">
        <v>16</v>
      </c>
    </row>
    <row r="36" spans="1:13" x14ac:dyDescent="0.3">
      <c r="A36" s="1556" t="s">
        <v>2025</v>
      </c>
      <c r="B36" s="976">
        <v>22</v>
      </c>
      <c r="C36" s="976">
        <v>3</v>
      </c>
      <c r="D36" s="976">
        <v>8</v>
      </c>
      <c r="E36" s="976">
        <v>2</v>
      </c>
      <c r="F36" s="976">
        <v>35</v>
      </c>
      <c r="H36" s="153" t="s">
        <v>2025</v>
      </c>
      <c r="I36" s="153">
        <v>22</v>
      </c>
      <c r="J36" s="153">
        <v>3</v>
      </c>
      <c r="K36" s="153">
        <v>8</v>
      </c>
      <c r="L36" s="153">
        <v>2</v>
      </c>
      <c r="M36" s="153">
        <v>35</v>
      </c>
    </row>
    <row r="37" spans="1:13" x14ac:dyDescent="0.3">
      <c r="A37" s="1556" t="s">
        <v>3041</v>
      </c>
      <c r="B37" s="976">
        <v>103</v>
      </c>
      <c r="C37" s="976">
        <v>3</v>
      </c>
      <c r="D37" s="976">
        <v>2</v>
      </c>
      <c r="E37" s="976">
        <v>108</v>
      </c>
      <c r="F37" s="976">
        <v>216</v>
      </c>
      <c r="H37" s="153" t="s">
        <v>3041</v>
      </c>
      <c r="I37" s="153">
        <v>103</v>
      </c>
      <c r="J37" s="153">
        <v>3</v>
      </c>
      <c r="K37" s="153">
        <v>2</v>
      </c>
      <c r="L37" s="153">
        <v>108</v>
      </c>
      <c r="M37" s="153">
        <v>216</v>
      </c>
    </row>
    <row r="38" spans="1:13" x14ac:dyDescent="0.3">
      <c r="A38" s="1556" t="s">
        <v>3042</v>
      </c>
      <c r="B38" s="976">
        <v>642</v>
      </c>
      <c r="C38" s="976">
        <v>1</v>
      </c>
      <c r="D38" s="976">
        <v>12</v>
      </c>
      <c r="E38" s="976">
        <v>6</v>
      </c>
      <c r="F38" s="976">
        <v>661</v>
      </c>
      <c r="H38" s="153" t="s">
        <v>3042</v>
      </c>
      <c r="I38" s="153">
        <v>642</v>
      </c>
      <c r="J38" s="153">
        <v>1</v>
      </c>
      <c r="K38" s="153">
        <v>12</v>
      </c>
      <c r="L38" s="153">
        <v>6</v>
      </c>
      <c r="M38" s="153">
        <v>661</v>
      </c>
    </row>
    <row r="39" spans="1:13" x14ac:dyDescent="0.3">
      <c r="A39" s="1556" t="s">
        <v>3034</v>
      </c>
      <c r="B39" s="976">
        <v>1</v>
      </c>
      <c r="C39" s="976">
        <v>1</v>
      </c>
      <c r="D39" s="976"/>
      <c r="E39" s="976"/>
      <c r="F39" s="976">
        <v>2</v>
      </c>
      <c r="H39" s="153" t="s">
        <v>3034</v>
      </c>
      <c r="I39" s="153">
        <v>1</v>
      </c>
      <c r="J39" s="153">
        <v>1</v>
      </c>
      <c r="M39" s="153">
        <v>2</v>
      </c>
    </row>
    <row r="40" spans="1:13" x14ac:dyDescent="0.3">
      <c r="A40" s="1040" t="s">
        <v>3294</v>
      </c>
      <c r="B40" s="976">
        <v>65</v>
      </c>
      <c r="C40" s="976"/>
      <c r="D40" s="976"/>
      <c r="E40" s="976">
        <v>5</v>
      </c>
      <c r="F40" s="976">
        <v>70</v>
      </c>
      <c r="H40" s="153" t="s">
        <v>3294</v>
      </c>
      <c r="I40" s="153">
        <v>65</v>
      </c>
      <c r="L40" s="153">
        <v>5</v>
      </c>
      <c r="M40" s="153">
        <v>70</v>
      </c>
    </row>
    <row r="41" spans="1:13" x14ac:dyDescent="0.3">
      <c r="A41" s="1555" t="s">
        <v>2025</v>
      </c>
      <c r="B41" s="976">
        <v>2</v>
      </c>
      <c r="C41" s="976"/>
      <c r="D41" s="976"/>
      <c r="E41" s="976">
        <v>1</v>
      </c>
      <c r="F41" s="976">
        <v>3</v>
      </c>
      <c r="H41" s="153" t="s">
        <v>2025</v>
      </c>
      <c r="I41" s="153">
        <v>2</v>
      </c>
      <c r="L41" s="153">
        <v>1</v>
      </c>
      <c r="M41" s="153">
        <v>3</v>
      </c>
    </row>
    <row r="42" spans="1:13" x14ac:dyDescent="0.3">
      <c r="A42" s="1556" t="s">
        <v>3041</v>
      </c>
      <c r="B42" s="976">
        <v>2</v>
      </c>
      <c r="C42" s="976"/>
      <c r="D42" s="976"/>
      <c r="E42" s="976">
        <v>1</v>
      </c>
      <c r="F42" s="976">
        <v>3</v>
      </c>
      <c r="H42" s="153" t="s">
        <v>3041</v>
      </c>
      <c r="I42" s="153">
        <v>2</v>
      </c>
      <c r="L42" s="153">
        <v>1</v>
      </c>
      <c r="M42" s="153">
        <v>3</v>
      </c>
    </row>
    <row r="43" spans="1:13" x14ac:dyDescent="0.3">
      <c r="A43" s="1555" t="s">
        <v>3295</v>
      </c>
      <c r="B43" s="976">
        <v>1</v>
      </c>
      <c r="C43" s="976"/>
      <c r="D43" s="976"/>
      <c r="E43" s="976">
        <v>4</v>
      </c>
      <c r="F43" s="976">
        <v>5</v>
      </c>
      <c r="H43" s="153" t="s">
        <v>3295</v>
      </c>
      <c r="I43" s="153">
        <v>1</v>
      </c>
      <c r="L43" s="153">
        <v>4</v>
      </c>
      <c r="M43" s="153">
        <v>5</v>
      </c>
    </row>
    <row r="44" spans="1:13" x14ac:dyDescent="0.3">
      <c r="A44" s="1556" t="s">
        <v>3041</v>
      </c>
      <c r="B44" s="976">
        <v>1</v>
      </c>
      <c r="C44" s="976"/>
      <c r="D44" s="976"/>
      <c r="E44" s="976">
        <v>4</v>
      </c>
      <c r="F44" s="976">
        <v>5</v>
      </c>
      <c r="H44" s="153" t="s">
        <v>3041</v>
      </c>
      <c r="I44" s="153">
        <v>1</v>
      </c>
      <c r="L44" s="153">
        <v>4</v>
      </c>
      <c r="M44" s="153">
        <v>5</v>
      </c>
    </row>
    <row r="45" spans="1:13" x14ac:dyDescent="0.3">
      <c r="A45" s="1555" t="s">
        <v>3296</v>
      </c>
      <c r="B45" s="976">
        <v>42</v>
      </c>
      <c r="C45" s="976"/>
      <c r="D45" s="976"/>
      <c r="E45" s="976"/>
      <c r="F45" s="976">
        <v>42</v>
      </c>
      <c r="H45" s="153" t="s">
        <v>3296</v>
      </c>
      <c r="I45" s="153">
        <v>42</v>
      </c>
      <c r="M45" s="153">
        <v>42</v>
      </c>
    </row>
    <row r="46" spans="1:13" x14ac:dyDescent="0.3">
      <c r="A46" s="1556" t="s">
        <v>3041</v>
      </c>
      <c r="B46" s="976">
        <v>1</v>
      </c>
      <c r="C46" s="976"/>
      <c r="D46" s="976"/>
      <c r="E46" s="976"/>
      <c r="F46" s="976">
        <v>1</v>
      </c>
      <c r="H46" s="153" t="s">
        <v>3041</v>
      </c>
      <c r="I46" s="153">
        <v>1</v>
      </c>
      <c r="M46" s="153">
        <v>1</v>
      </c>
    </row>
    <row r="47" spans="1:13" x14ac:dyDescent="0.3">
      <c r="A47" s="1556" t="s">
        <v>3042</v>
      </c>
      <c r="B47" s="976">
        <v>41</v>
      </c>
      <c r="C47" s="976"/>
      <c r="D47" s="976"/>
      <c r="E47" s="976"/>
      <c r="F47" s="976">
        <v>41</v>
      </c>
      <c r="H47" s="153" t="s">
        <v>3042</v>
      </c>
      <c r="I47" s="153">
        <v>41</v>
      </c>
      <c r="M47" s="153">
        <v>41</v>
      </c>
    </row>
    <row r="48" spans="1:13" x14ac:dyDescent="0.3">
      <c r="A48" s="1555" t="s">
        <v>3297</v>
      </c>
      <c r="B48" s="976">
        <v>1</v>
      </c>
      <c r="C48" s="976"/>
      <c r="D48" s="976"/>
      <c r="E48" s="976"/>
      <c r="F48" s="976">
        <v>1</v>
      </c>
      <c r="H48" s="153" t="s">
        <v>3297</v>
      </c>
      <c r="I48" s="153">
        <v>1</v>
      </c>
      <c r="M48" s="153">
        <v>1</v>
      </c>
    </row>
    <row r="49" spans="1:13" x14ac:dyDescent="0.3">
      <c r="A49" s="1556" t="s">
        <v>3041</v>
      </c>
      <c r="B49" s="976">
        <v>1</v>
      </c>
      <c r="C49" s="976"/>
      <c r="D49" s="976"/>
      <c r="E49" s="976"/>
      <c r="F49" s="976">
        <v>1</v>
      </c>
      <c r="H49" s="153" t="s">
        <v>3041</v>
      </c>
      <c r="I49" s="153">
        <v>1</v>
      </c>
      <c r="M49" s="153">
        <v>1</v>
      </c>
    </row>
    <row r="50" spans="1:13" x14ac:dyDescent="0.3">
      <c r="A50" s="1555" t="s">
        <v>3298</v>
      </c>
      <c r="B50" s="976">
        <v>11</v>
      </c>
      <c r="C50" s="976"/>
      <c r="D50" s="976"/>
      <c r="E50" s="976"/>
      <c r="F50" s="976">
        <v>11</v>
      </c>
      <c r="H50" s="153" t="s">
        <v>3298</v>
      </c>
      <c r="I50" s="153">
        <v>11</v>
      </c>
      <c r="M50" s="153">
        <v>11</v>
      </c>
    </row>
    <row r="51" spans="1:13" x14ac:dyDescent="0.3">
      <c r="A51" s="1556" t="s">
        <v>3041</v>
      </c>
      <c r="B51" s="976">
        <v>10</v>
      </c>
      <c r="C51" s="976"/>
      <c r="D51" s="976"/>
      <c r="E51" s="976"/>
      <c r="F51" s="976">
        <v>10</v>
      </c>
      <c r="H51" s="153" t="s">
        <v>3041</v>
      </c>
      <c r="I51" s="153">
        <v>10</v>
      </c>
      <c r="M51" s="153">
        <v>10</v>
      </c>
    </row>
    <row r="52" spans="1:13" x14ac:dyDescent="0.3">
      <c r="A52" s="1556" t="s">
        <v>3042</v>
      </c>
      <c r="B52" s="976">
        <v>1</v>
      </c>
      <c r="C52" s="976"/>
      <c r="D52" s="976"/>
      <c r="E52" s="976"/>
      <c r="F52" s="976">
        <v>1</v>
      </c>
      <c r="H52" s="153" t="s">
        <v>3042</v>
      </c>
      <c r="I52" s="153">
        <v>1</v>
      </c>
      <c r="M52" s="153">
        <v>1</v>
      </c>
    </row>
    <row r="53" spans="1:13" x14ac:dyDescent="0.3">
      <c r="A53" s="1555" t="s">
        <v>3299</v>
      </c>
      <c r="B53" s="976">
        <v>8</v>
      </c>
      <c r="C53" s="976"/>
      <c r="D53" s="976"/>
      <c r="E53" s="976"/>
      <c r="F53" s="976">
        <v>8</v>
      </c>
      <c r="H53" s="153" t="s">
        <v>3299</v>
      </c>
      <c r="I53" s="153">
        <v>8</v>
      </c>
      <c r="M53" s="153">
        <v>8</v>
      </c>
    </row>
    <row r="54" spans="1:13" x14ac:dyDescent="0.3">
      <c r="A54" s="1556" t="s">
        <v>3041</v>
      </c>
      <c r="B54" s="976">
        <v>8</v>
      </c>
      <c r="C54" s="976"/>
      <c r="D54" s="976"/>
      <c r="E54" s="976"/>
      <c r="F54" s="976">
        <v>8</v>
      </c>
      <c r="H54" s="153" t="s">
        <v>3041</v>
      </c>
      <c r="I54" s="153">
        <v>8</v>
      </c>
      <c r="M54" s="153">
        <v>8</v>
      </c>
    </row>
    <row r="55" spans="1:13" x14ac:dyDescent="0.3">
      <c r="A55" s="1040" t="s">
        <v>3038</v>
      </c>
      <c r="B55" s="976">
        <v>872</v>
      </c>
      <c r="C55" s="976">
        <v>14</v>
      </c>
      <c r="D55" s="976">
        <v>29</v>
      </c>
      <c r="E55" s="976">
        <v>235</v>
      </c>
      <c r="F55" s="976">
        <v>1150</v>
      </c>
      <c r="H55" s="153" t="s">
        <v>3038</v>
      </c>
      <c r="I55" s="153">
        <v>872</v>
      </c>
      <c r="J55" s="153">
        <v>14</v>
      </c>
      <c r="K55" s="153">
        <v>29</v>
      </c>
      <c r="L55" s="153">
        <v>235</v>
      </c>
      <c r="M55" s="153">
        <v>1150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>
      <selection activeCell="AB160" sqref="AB160:AD295"/>
    </sheetView>
  </sheetViews>
  <sheetFormatPr defaultRowHeight="16.5" x14ac:dyDescent="0.3"/>
  <cols>
    <col min="1" max="1" width="11.875" bestFit="1" customWidth="1"/>
    <col min="2" max="2" width="11.875" customWidth="1"/>
    <col min="3" max="5" width="7.375" customWidth="1"/>
    <col min="8" max="8" width="12.875" bestFit="1" customWidth="1"/>
    <col min="9" max="9" width="10.25" bestFit="1" customWidth="1"/>
    <col min="10" max="10" width="11.375" bestFit="1" customWidth="1"/>
    <col min="11" max="11" width="12.875" bestFit="1" customWidth="1"/>
  </cols>
  <sheetData>
    <row r="3" spans="1:11" x14ac:dyDescent="0.3">
      <c r="A3" s="1041" t="s">
        <v>3570</v>
      </c>
      <c r="B3" s="1041" t="s">
        <v>3036</v>
      </c>
      <c r="G3" t="s">
        <v>3570</v>
      </c>
      <c r="H3" t="s">
        <v>3036</v>
      </c>
    </row>
    <row r="4" spans="1:11" x14ac:dyDescent="0.3">
      <c r="A4" s="1041" t="s">
        <v>3037</v>
      </c>
      <c r="B4" s="153" t="s">
        <v>2802</v>
      </c>
      <c r="C4" s="153" t="s">
        <v>2024</v>
      </c>
      <c r="D4" s="153" t="s">
        <v>2023</v>
      </c>
      <c r="E4" s="153" t="s">
        <v>3038</v>
      </c>
      <c r="G4" t="s">
        <v>3037</v>
      </c>
      <c r="H4" t="s">
        <v>2802</v>
      </c>
      <c r="I4" t="s">
        <v>2024</v>
      </c>
      <c r="J4" t="s">
        <v>2023</v>
      </c>
      <c r="K4" t="s">
        <v>3038</v>
      </c>
    </row>
    <row r="5" spans="1:11" x14ac:dyDescent="0.3">
      <c r="A5" s="1040" t="s">
        <v>3039</v>
      </c>
      <c r="B5" s="976"/>
      <c r="C5" s="976"/>
      <c r="D5" s="976">
        <v>101390911</v>
      </c>
      <c r="E5" s="976">
        <v>101390911</v>
      </c>
      <c r="G5" t="s">
        <v>3039</v>
      </c>
      <c r="H5" s="819"/>
      <c r="I5" s="819"/>
      <c r="J5" s="819">
        <v>101390911</v>
      </c>
      <c r="K5" s="819">
        <v>101390911</v>
      </c>
    </row>
    <row r="6" spans="1:11" x14ac:dyDescent="0.3">
      <c r="A6" s="1040" t="s">
        <v>2025</v>
      </c>
      <c r="B6" s="976">
        <v>127359091</v>
      </c>
      <c r="C6" s="976">
        <v>21000000</v>
      </c>
      <c r="D6" s="976"/>
      <c r="E6" s="976">
        <v>148359091</v>
      </c>
      <c r="G6" t="s">
        <v>2025</v>
      </c>
      <c r="H6" s="819">
        <v>127359091</v>
      </c>
      <c r="I6" s="819">
        <v>21000000</v>
      </c>
      <c r="J6" s="819"/>
      <c r="K6" s="819">
        <v>148359091</v>
      </c>
    </row>
    <row r="7" spans="1:11" x14ac:dyDescent="0.3">
      <c r="A7" s="1040" t="s">
        <v>3041</v>
      </c>
      <c r="B7" s="976">
        <v>1196973634</v>
      </c>
      <c r="C7" s="976"/>
      <c r="D7" s="976"/>
      <c r="E7" s="976">
        <v>1196973634</v>
      </c>
      <c r="G7" t="s">
        <v>3041</v>
      </c>
      <c r="H7" s="819">
        <v>1196973634</v>
      </c>
      <c r="I7" s="819"/>
      <c r="J7" s="819"/>
      <c r="K7" s="819">
        <v>1196973634</v>
      </c>
    </row>
    <row r="8" spans="1:11" x14ac:dyDescent="0.3">
      <c r="A8" s="1040" t="s">
        <v>3042</v>
      </c>
      <c r="B8" s="976">
        <v>1993315640</v>
      </c>
      <c r="C8" s="976"/>
      <c r="D8" s="976"/>
      <c r="E8" s="976">
        <v>1993315640</v>
      </c>
      <c r="G8" t="s">
        <v>3042</v>
      </c>
      <c r="H8" s="819">
        <v>1993315640</v>
      </c>
      <c r="I8" s="819"/>
      <c r="J8" s="819"/>
      <c r="K8" s="819">
        <v>1993315640</v>
      </c>
    </row>
    <row r="9" spans="1:11" x14ac:dyDescent="0.3">
      <c r="A9" s="1040" t="s">
        <v>3038</v>
      </c>
      <c r="B9" s="976">
        <v>3317648365</v>
      </c>
      <c r="C9" s="976">
        <v>21000000</v>
      </c>
      <c r="D9" s="976">
        <v>101390911</v>
      </c>
      <c r="E9" s="976">
        <v>3440039276</v>
      </c>
      <c r="G9" t="s">
        <v>3038</v>
      </c>
      <c r="H9" s="819">
        <v>3317648365</v>
      </c>
      <c r="I9" s="819">
        <v>21000000</v>
      </c>
      <c r="J9" s="819">
        <v>101390911</v>
      </c>
      <c r="K9" s="819">
        <v>3440039276</v>
      </c>
    </row>
    <row r="12" spans="1:11" x14ac:dyDescent="0.3">
      <c r="A12" s="1041" t="s">
        <v>3571</v>
      </c>
      <c r="B12" s="1041" t="s">
        <v>3036</v>
      </c>
      <c r="G12" t="s">
        <v>3571</v>
      </c>
      <c r="H12" t="s">
        <v>3036</v>
      </c>
    </row>
    <row r="13" spans="1:11" x14ac:dyDescent="0.3">
      <c r="A13" s="1041" t="s">
        <v>3037</v>
      </c>
      <c r="B13" s="153" t="s">
        <v>2802</v>
      </c>
      <c r="C13" s="153" t="s">
        <v>2024</v>
      </c>
      <c r="D13" s="153" t="s">
        <v>2023</v>
      </c>
      <c r="E13" s="153" t="s">
        <v>3038</v>
      </c>
      <c r="G13" t="s">
        <v>3037</v>
      </c>
      <c r="H13" t="s">
        <v>2802</v>
      </c>
      <c r="I13" t="s">
        <v>2024</v>
      </c>
      <c r="J13" t="s">
        <v>2023</v>
      </c>
      <c r="K13" t="s">
        <v>3038</v>
      </c>
    </row>
    <row r="14" spans="1:11" x14ac:dyDescent="0.3">
      <c r="A14" s="1040" t="s">
        <v>3039</v>
      </c>
      <c r="B14" s="976"/>
      <c r="C14" s="976"/>
      <c r="D14" s="976">
        <v>7</v>
      </c>
      <c r="E14" s="976">
        <v>7</v>
      </c>
      <c r="G14" t="s">
        <v>3039</v>
      </c>
      <c r="J14">
        <v>7</v>
      </c>
      <c r="K14">
        <v>7</v>
      </c>
    </row>
    <row r="15" spans="1:11" x14ac:dyDescent="0.3">
      <c r="A15" s="1040" t="s">
        <v>2025</v>
      </c>
      <c r="B15" s="976">
        <v>4</v>
      </c>
      <c r="C15" s="976">
        <v>1</v>
      </c>
      <c r="D15" s="976"/>
      <c r="E15" s="976">
        <v>5</v>
      </c>
      <c r="G15" t="s">
        <v>2025</v>
      </c>
      <c r="H15">
        <v>4</v>
      </c>
      <c r="I15">
        <v>1</v>
      </c>
      <c r="K15">
        <v>5</v>
      </c>
    </row>
    <row r="16" spans="1:11" x14ac:dyDescent="0.3">
      <c r="A16" s="1040" t="s">
        <v>3041</v>
      </c>
      <c r="B16" s="976">
        <v>18</v>
      </c>
      <c r="C16" s="976"/>
      <c r="D16" s="976"/>
      <c r="E16" s="976">
        <v>18</v>
      </c>
      <c r="G16" t="s">
        <v>3041</v>
      </c>
      <c r="H16">
        <v>18</v>
      </c>
      <c r="K16">
        <v>18</v>
      </c>
    </row>
    <row r="17" spans="1:11" x14ac:dyDescent="0.3">
      <c r="A17" s="1040" t="s">
        <v>3042</v>
      </c>
      <c r="B17" s="976">
        <v>55</v>
      </c>
      <c r="C17" s="976"/>
      <c r="D17" s="976"/>
      <c r="E17" s="976">
        <v>55</v>
      </c>
      <c r="G17" t="s">
        <v>3042</v>
      </c>
      <c r="H17">
        <v>55</v>
      </c>
      <c r="K17">
        <v>55</v>
      </c>
    </row>
    <row r="18" spans="1:11" x14ac:dyDescent="0.3">
      <c r="A18" s="1040" t="s">
        <v>3038</v>
      </c>
      <c r="B18" s="976">
        <v>77</v>
      </c>
      <c r="C18" s="976">
        <v>1</v>
      </c>
      <c r="D18" s="976">
        <v>7</v>
      </c>
      <c r="E18" s="976">
        <v>85</v>
      </c>
      <c r="G18" t="s">
        <v>3038</v>
      </c>
      <c r="H18">
        <v>77</v>
      </c>
      <c r="I18">
        <v>1</v>
      </c>
      <c r="J18">
        <v>7</v>
      </c>
      <c r="K18">
        <v>85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topLeftCell="A2" zoomScale="85" zoomScaleNormal="85" workbookViewId="0">
      <selection activeCell="AB160" sqref="AB160:AD295"/>
    </sheetView>
  </sheetViews>
  <sheetFormatPr defaultRowHeight="16.5" x14ac:dyDescent="0.3"/>
  <cols>
    <col min="1" max="1" width="13.25" style="813" customWidth="1"/>
    <col min="2" max="5" width="15.625" style="813" customWidth="1"/>
    <col min="6" max="8" width="13.25" style="813" customWidth="1"/>
    <col min="9" max="258" width="9" style="813"/>
    <col min="259" max="259" width="13.25" style="813" customWidth="1"/>
    <col min="260" max="260" width="32.875" style="813" customWidth="1"/>
    <col min="261" max="264" width="13.25" style="813" customWidth="1"/>
    <col min="265" max="514" width="9" style="813"/>
    <col min="515" max="515" width="13.25" style="813" customWidth="1"/>
    <col min="516" max="516" width="32.875" style="813" customWidth="1"/>
    <col min="517" max="520" width="13.25" style="813" customWidth="1"/>
    <col min="521" max="770" width="9" style="813"/>
    <col min="771" max="771" width="13.25" style="813" customWidth="1"/>
    <col min="772" max="772" width="32.875" style="813" customWidth="1"/>
    <col min="773" max="776" width="13.25" style="813" customWidth="1"/>
    <col min="777" max="1026" width="9" style="813"/>
    <col min="1027" max="1027" width="13.25" style="813" customWidth="1"/>
    <col min="1028" max="1028" width="32.875" style="813" customWidth="1"/>
    <col min="1029" max="1032" width="13.25" style="813" customWidth="1"/>
    <col min="1033" max="1282" width="9" style="813"/>
    <col min="1283" max="1283" width="13.25" style="813" customWidth="1"/>
    <col min="1284" max="1284" width="32.875" style="813" customWidth="1"/>
    <col min="1285" max="1288" width="13.25" style="813" customWidth="1"/>
    <col min="1289" max="1538" width="9" style="813"/>
    <col min="1539" max="1539" width="13.25" style="813" customWidth="1"/>
    <col min="1540" max="1540" width="32.875" style="813" customWidth="1"/>
    <col min="1541" max="1544" width="13.25" style="813" customWidth="1"/>
    <col min="1545" max="1794" width="9" style="813"/>
    <col min="1795" max="1795" width="13.25" style="813" customWidth="1"/>
    <col min="1796" max="1796" width="32.875" style="813" customWidth="1"/>
    <col min="1797" max="1800" width="13.25" style="813" customWidth="1"/>
    <col min="1801" max="2050" width="9" style="813"/>
    <col min="2051" max="2051" width="13.25" style="813" customWidth="1"/>
    <col min="2052" max="2052" width="32.875" style="813" customWidth="1"/>
    <col min="2053" max="2056" width="13.25" style="813" customWidth="1"/>
    <col min="2057" max="2306" width="9" style="813"/>
    <col min="2307" max="2307" width="13.25" style="813" customWidth="1"/>
    <col min="2308" max="2308" width="32.875" style="813" customWidth="1"/>
    <col min="2309" max="2312" width="13.25" style="813" customWidth="1"/>
    <col min="2313" max="2562" width="9" style="813"/>
    <col min="2563" max="2563" width="13.25" style="813" customWidth="1"/>
    <col min="2564" max="2564" width="32.875" style="813" customWidth="1"/>
    <col min="2565" max="2568" width="13.25" style="813" customWidth="1"/>
    <col min="2569" max="2818" width="9" style="813"/>
    <col min="2819" max="2819" width="13.25" style="813" customWidth="1"/>
    <col min="2820" max="2820" width="32.875" style="813" customWidth="1"/>
    <col min="2821" max="2824" width="13.25" style="813" customWidth="1"/>
    <col min="2825" max="3074" width="9" style="813"/>
    <col min="3075" max="3075" width="13.25" style="813" customWidth="1"/>
    <col min="3076" max="3076" width="32.875" style="813" customWidth="1"/>
    <col min="3077" max="3080" width="13.25" style="813" customWidth="1"/>
    <col min="3081" max="3330" width="9" style="813"/>
    <col min="3331" max="3331" width="13.25" style="813" customWidth="1"/>
    <col min="3332" max="3332" width="32.875" style="813" customWidth="1"/>
    <col min="3333" max="3336" width="13.25" style="813" customWidth="1"/>
    <col min="3337" max="3586" width="9" style="813"/>
    <col min="3587" max="3587" width="13.25" style="813" customWidth="1"/>
    <col min="3588" max="3588" width="32.875" style="813" customWidth="1"/>
    <col min="3589" max="3592" width="13.25" style="813" customWidth="1"/>
    <col min="3593" max="3842" width="9" style="813"/>
    <col min="3843" max="3843" width="13.25" style="813" customWidth="1"/>
    <col min="3844" max="3844" width="32.875" style="813" customWidth="1"/>
    <col min="3845" max="3848" width="13.25" style="813" customWidth="1"/>
    <col min="3849" max="4098" width="9" style="813"/>
    <col min="4099" max="4099" width="13.25" style="813" customWidth="1"/>
    <col min="4100" max="4100" width="32.875" style="813" customWidth="1"/>
    <col min="4101" max="4104" width="13.25" style="813" customWidth="1"/>
    <col min="4105" max="4354" width="9" style="813"/>
    <col min="4355" max="4355" width="13.25" style="813" customWidth="1"/>
    <col min="4356" max="4356" width="32.875" style="813" customWidth="1"/>
    <col min="4357" max="4360" width="13.25" style="813" customWidth="1"/>
    <col min="4361" max="4610" width="9" style="813"/>
    <col min="4611" max="4611" width="13.25" style="813" customWidth="1"/>
    <col min="4612" max="4612" width="32.875" style="813" customWidth="1"/>
    <col min="4613" max="4616" width="13.25" style="813" customWidth="1"/>
    <col min="4617" max="4866" width="9" style="813"/>
    <col min="4867" max="4867" width="13.25" style="813" customWidth="1"/>
    <col min="4868" max="4868" width="32.875" style="813" customWidth="1"/>
    <col min="4869" max="4872" width="13.25" style="813" customWidth="1"/>
    <col min="4873" max="5122" width="9" style="813"/>
    <col min="5123" max="5123" width="13.25" style="813" customWidth="1"/>
    <col min="5124" max="5124" width="32.875" style="813" customWidth="1"/>
    <col min="5125" max="5128" width="13.25" style="813" customWidth="1"/>
    <col min="5129" max="5378" width="9" style="813"/>
    <col min="5379" max="5379" width="13.25" style="813" customWidth="1"/>
    <col min="5380" max="5380" width="32.875" style="813" customWidth="1"/>
    <col min="5381" max="5384" width="13.25" style="813" customWidth="1"/>
    <col min="5385" max="5634" width="9" style="813"/>
    <col min="5635" max="5635" width="13.25" style="813" customWidth="1"/>
    <col min="5636" max="5636" width="32.875" style="813" customWidth="1"/>
    <col min="5637" max="5640" width="13.25" style="813" customWidth="1"/>
    <col min="5641" max="5890" width="9" style="813"/>
    <col min="5891" max="5891" width="13.25" style="813" customWidth="1"/>
    <col min="5892" max="5892" width="32.875" style="813" customWidth="1"/>
    <col min="5893" max="5896" width="13.25" style="813" customWidth="1"/>
    <col min="5897" max="6146" width="9" style="813"/>
    <col min="6147" max="6147" width="13.25" style="813" customWidth="1"/>
    <col min="6148" max="6148" width="32.875" style="813" customWidth="1"/>
    <col min="6149" max="6152" width="13.25" style="813" customWidth="1"/>
    <col min="6153" max="6402" width="9" style="813"/>
    <col min="6403" max="6403" width="13.25" style="813" customWidth="1"/>
    <col min="6404" max="6404" width="32.875" style="813" customWidth="1"/>
    <col min="6405" max="6408" width="13.25" style="813" customWidth="1"/>
    <col min="6409" max="6658" width="9" style="813"/>
    <col min="6659" max="6659" width="13.25" style="813" customWidth="1"/>
    <col min="6660" max="6660" width="32.875" style="813" customWidth="1"/>
    <col min="6661" max="6664" width="13.25" style="813" customWidth="1"/>
    <col min="6665" max="6914" width="9" style="813"/>
    <col min="6915" max="6915" width="13.25" style="813" customWidth="1"/>
    <col min="6916" max="6916" width="32.875" style="813" customWidth="1"/>
    <col min="6917" max="6920" width="13.25" style="813" customWidth="1"/>
    <col min="6921" max="7170" width="9" style="813"/>
    <col min="7171" max="7171" width="13.25" style="813" customWidth="1"/>
    <col min="7172" max="7172" width="32.875" style="813" customWidth="1"/>
    <col min="7173" max="7176" width="13.25" style="813" customWidth="1"/>
    <col min="7177" max="7426" width="9" style="813"/>
    <col min="7427" max="7427" width="13.25" style="813" customWidth="1"/>
    <col min="7428" max="7428" width="32.875" style="813" customWidth="1"/>
    <col min="7429" max="7432" width="13.25" style="813" customWidth="1"/>
    <col min="7433" max="7682" width="9" style="813"/>
    <col min="7683" max="7683" width="13.25" style="813" customWidth="1"/>
    <col min="7684" max="7684" width="32.875" style="813" customWidth="1"/>
    <col min="7685" max="7688" width="13.25" style="813" customWidth="1"/>
    <col min="7689" max="7938" width="9" style="813"/>
    <col min="7939" max="7939" width="13.25" style="813" customWidth="1"/>
    <col min="7940" max="7940" width="32.875" style="813" customWidth="1"/>
    <col min="7941" max="7944" width="13.25" style="813" customWidth="1"/>
    <col min="7945" max="8194" width="9" style="813"/>
    <col min="8195" max="8195" width="13.25" style="813" customWidth="1"/>
    <col min="8196" max="8196" width="32.875" style="813" customWidth="1"/>
    <col min="8197" max="8200" width="13.25" style="813" customWidth="1"/>
    <col min="8201" max="8450" width="9" style="813"/>
    <col min="8451" max="8451" width="13.25" style="813" customWidth="1"/>
    <col min="8452" max="8452" width="32.875" style="813" customWidth="1"/>
    <col min="8453" max="8456" width="13.25" style="813" customWidth="1"/>
    <col min="8457" max="8706" width="9" style="813"/>
    <col min="8707" max="8707" width="13.25" style="813" customWidth="1"/>
    <col min="8708" max="8708" width="32.875" style="813" customWidth="1"/>
    <col min="8709" max="8712" width="13.25" style="813" customWidth="1"/>
    <col min="8713" max="8962" width="9" style="813"/>
    <col min="8963" max="8963" width="13.25" style="813" customWidth="1"/>
    <col min="8964" max="8964" width="32.875" style="813" customWidth="1"/>
    <col min="8965" max="8968" width="13.25" style="813" customWidth="1"/>
    <col min="8969" max="9218" width="9" style="813"/>
    <col min="9219" max="9219" width="13.25" style="813" customWidth="1"/>
    <col min="9220" max="9220" width="32.875" style="813" customWidth="1"/>
    <col min="9221" max="9224" width="13.25" style="813" customWidth="1"/>
    <col min="9225" max="9474" width="9" style="813"/>
    <col min="9475" max="9475" width="13.25" style="813" customWidth="1"/>
    <col min="9476" max="9476" width="32.875" style="813" customWidth="1"/>
    <col min="9477" max="9480" width="13.25" style="813" customWidth="1"/>
    <col min="9481" max="9730" width="9" style="813"/>
    <col min="9731" max="9731" width="13.25" style="813" customWidth="1"/>
    <col min="9732" max="9732" width="32.875" style="813" customWidth="1"/>
    <col min="9733" max="9736" width="13.25" style="813" customWidth="1"/>
    <col min="9737" max="9986" width="9" style="813"/>
    <col min="9987" max="9987" width="13.25" style="813" customWidth="1"/>
    <col min="9988" max="9988" width="32.875" style="813" customWidth="1"/>
    <col min="9989" max="9992" width="13.25" style="813" customWidth="1"/>
    <col min="9993" max="10242" width="9" style="813"/>
    <col min="10243" max="10243" width="13.25" style="813" customWidth="1"/>
    <col min="10244" max="10244" width="32.875" style="813" customWidth="1"/>
    <col min="10245" max="10248" width="13.25" style="813" customWidth="1"/>
    <col min="10249" max="10498" width="9" style="813"/>
    <col min="10499" max="10499" width="13.25" style="813" customWidth="1"/>
    <col min="10500" max="10500" width="32.875" style="813" customWidth="1"/>
    <col min="10501" max="10504" width="13.25" style="813" customWidth="1"/>
    <col min="10505" max="10754" width="9" style="813"/>
    <col min="10755" max="10755" width="13.25" style="813" customWidth="1"/>
    <col min="10756" max="10756" width="32.875" style="813" customWidth="1"/>
    <col min="10757" max="10760" width="13.25" style="813" customWidth="1"/>
    <col min="10761" max="11010" width="9" style="813"/>
    <col min="11011" max="11011" width="13.25" style="813" customWidth="1"/>
    <col min="11012" max="11012" width="32.875" style="813" customWidth="1"/>
    <col min="11013" max="11016" width="13.25" style="813" customWidth="1"/>
    <col min="11017" max="11266" width="9" style="813"/>
    <col min="11267" max="11267" width="13.25" style="813" customWidth="1"/>
    <col min="11268" max="11268" width="32.875" style="813" customWidth="1"/>
    <col min="11269" max="11272" width="13.25" style="813" customWidth="1"/>
    <col min="11273" max="11522" width="9" style="813"/>
    <col min="11523" max="11523" width="13.25" style="813" customWidth="1"/>
    <col min="11524" max="11524" width="32.875" style="813" customWidth="1"/>
    <col min="11525" max="11528" width="13.25" style="813" customWidth="1"/>
    <col min="11529" max="11778" width="9" style="813"/>
    <col min="11779" max="11779" width="13.25" style="813" customWidth="1"/>
    <col min="11780" max="11780" width="32.875" style="813" customWidth="1"/>
    <col min="11781" max="11784" width="13.25" style="813" customWidth="1"/>
    <col min="11785" max="12034" width="9" style="813"/>
    <col min="12035" max="12035" width="13.25" style="813" customWidth="1"/>
    <col min="12036" max="12036" width="32.875" style="813" customWidth="1"/>
    <col min="12037" max="12040" width="13.25" style="813" customWidth="1"/>
    <col min="12041" max="12290" width="9" style="813"/>
    <col min="12291" max="12291" width="13.25" style="813" customWidth="1"/>
    <col min="12292" max="12292" width="32.875" style="813" customWidth="1"/>
    <col min="12293" max="12296" width="13.25" style="813" customWidth="1"/>
    <col min="12297" max="12546" width="9" style="813"/>
    <col min="12547" max="12547" width="13.25" style="813" customWidth="1"/>
    <col min="12548" max="12548" width="32.875" style="813" customWidth="1"/>
    <col min="12549" max="12552" width="13.25" style="813" customWidth="1"/>
    <col min="12553" max="12802" width="9" style="813"/>
    <col min="12803" max="12803" width="13.25" style="813" customWidth="1"/>
    <col min="12804" max="12804" width="32.875" style="813" customWidth="1"/>
    <col min="12805" max="12808" width="13.25" style="813" customWidth="1"/>
    <col min="12809" max="13058" width="9" style="813"/>
    <col min="13059" max="13059" width="13.25" style="813" customWidth="1"/>
    <col min="13060" max="13060" width="32.875" style="813" customWidth="1"/>
    <col min="13061" max="13064" width="13.25" style="813" customWidth="1"/>
    <col min="13065" max="13314" width="9" style="813"/>
    <col min="13315" max="13315" width="13.25" style="813" customWidth="1"/>
    <col min="13316" max="13316" width="32.875" style="813" customWidth="1"/>
    <col min="13317" max="13320" width="13.25" style="813" customWidth="1"/>
    <col min="13321" max="13570" width="9" style="813"/>
    <col min="13571" max="13571" width="13.25" style="813" customWidth="1"/>
    <col min="13572" max="13572" width="32.875" style="813" customWidth="1"/>
    <col min="13573" max="13576" width="13.25" style="813" customWidth="1"/>
    <col min="13577" max="13826" width="9" style="813"/>
    <col min="13827" max="13827" width="13.25" style="813" customWidth="1"/>
    <col min="13828" max="13828" width="32.875" style="813" customWidth="1"/>
    <col min="13829" max="13832" width="13.25" style="813" customWidth="1"/>
    <col min="13833" max="14082" width="9" style="813"/>
    <col min="14083" max="14083" width="13.25" style="813" customWidth="1"/>
    <col min="14084" max="14084" width="32.875" style="813" customWidth="1"/>
    <col min="14085" max="14088" width="13.25" style="813" customWidth="1"/>
    <col min="14089" max="14338" width="9" style="813"/>
    <col min="14339" max="14339" width="13.25" style="813" customWidth="1"/>
    <col min="14340" max="14340" width="32.875" style="813" customWidth="1"/>
    <col min="14341" max="14344" width="13.25" style="813" customWidth="1"/>
    <col min="14345" max="14594" width="9" style="813"/>
    <col min="14595" max="14595" width="13.25" style="813" customWidth="1"/>
    <col min="14596" max="14596" width="32.875" style="813" customWidth="1"/>
    <col min="14597" max="14600" width="13.25" style="813" customWidth="1"/>
    <col min="14601" max="14850" width="9" style="813"/>
    <col min="14851" max="14851" width="13.25" style="813" customWidth="1"/>
    <col min="14852" max="14852" width="32.875" style="813" customWidth="1"/>
    <col min="14853" max="14856" width="13.25" style="813" customWidth="1"/>
    <col min="14857" max="15106" width="9" style="813"/>
    <col min="15107" max="15107" width="13.25" style="813" customWidth="1"/>
    <col min="15108" max="15108" width="32.875" style="813" customWidth="1"/>
    <col min="15109" max="15112" width="13.25" style="813" customWidth="1"/>
    <col min="15113" max="15362" width="9" style="813"/>
    <col min="15363" max="15363" width="13.25" style="813" customWidth="1"/>
    <col min="15364" max="15364" width="32.875" style="813" customWidth="1"/>
    <col min="15365" max="15368" width="13.25" style="813" customWidth="1"/>
    <col min="15369" max="15618" width="9" style="813"/>
    <col min="15619" max="15619" width="13.25" style="813" customWidth="1"/>
    <col min="15620" max="15620" width="32.875" style="813" customWidth="1"/>
    <col min="15621" max="15624" width="13.25" style="813" customWidth="1"/>
    <col min="15625" max="15874" width="9" style="813"/>
    <col min="15875" max="15875" width="13.25" style="813" customWidth="1"/>
    <col min="15876" max="15876" width="32.875" style="813" customWidth="1"/>
    <col min="15877" max="15880" width="13.25" style="813" customWidth="1"/>
    <col min="15881" max="16130" width="9" style="813"/>
    <col min="16131" max="16131" width="13.25" style="813" customWidth="1"/>
    <col min="16132" max="16132" width="32.875" style="813" customWidth="1"/>
    <col min="16133" max="16136" width="13.25" style="813" customWidth="1"/>
    <col min="16137" max="16384" width="9" style="813"/>
  </cols>
  <sheetData>
    <row r="1" spans="1:13" x14ac:dyDescent="0.3">
      <c r="A1" s="1563" t="s">
        <v>3371</v>
      </c>
    </row>
    <row r="2" spans="1:13" x14ac:dyDescent="0.3">
      <c r="A2" s="1564" t="s">
        <v>3372</v>
      </c>
      <c r="B2" s="1564" t="s">
        <v>3373</v>
      </c>
      <c r="C2" s="1571" t="s">
        <v>3566</v>
      </c>
      <c r="D2" s="1571" t="s">
        <v>3567</v>
      </c>
      <c r="E2" s="1564" t="s">
        <v>3374</v>
      </c>
      <c r="F2" s="1564" t="s">
        <v>3375</v>
      </c>
      <c r="G2" s="1564" t="s">
        <v>3376</v>
      </c>
      <c r="H2" s="1564" t="s">
        <v>3377</v>
      </c>
      <c r="K2" s="813" t="s">
        <v>2061</v>
      </c>
      <c r="L2" s="813">
        <v>27</v>
      </c>
      <c r="M2" s="813" t="s">
        <v>3041</v>
      </c>
    </row>
    <row r="3" spans="1:13" x14ac:dyDescent="0.3">
      <c r="A3" s="1565" t="s">
        <v>3378</v>
      </c>
      <c r="B3" s="1565" t="s">
        <v>3547</v>
      </c>
      <c r="C3" s="1570" t="s">
        <v>3565</v>
      </c>
      <c r="D3" s="1572" t="s">
        <v>3568</v>
      </c>
      <c r="E3" s="1565" t="s">
        <v>3379</v>
      </c>
      <c r="F3" s="1566"/>
      <c r="G3" s="1567">
        <v>18572730</v>
      </c>
      <c r="H3" s="1567">
        <v>18572730</v>
      </c>
      <c r="K3" s="813" t="s">
        <v>2028</v>
      </c>
      <c r="L3" s="813">
        <v>116</v>
      </c>
      <c r="M3" s="813" t="s">
        <v>3039</v>
      </c>
    </row>
    <row r="4" spans="1:13" x14ac:dyDescent="0.3">
      <c r="A4" s="1565" t="s">
        <v>3380</v>
      </c>
      <c r="B4" s="1565" t="s">
        <v>3548</v>
      </c>
      <c r="C4" s="1565" t="str">
        <f>VLOOKUP(B4,'사업계획(매출 확정본)'!$M$12:$N$108,2,FALSE)</f>
        <v>고소작업차</v>
      </c>
      <c r="D4" s="1572" t="str">
        <f t="shared" ref="D4:D67" si="0">VLOOKUP(B4,$K$2:$M$62,3,FALSE)</f>
        <v>전기</v>
      </c>
      <c r="E4" s="1565" t="s">
        <v>3381</v>
      </c>
      <c r="F4" s="1566"/>
      <c r="G4" s="1567">
        <v>53636363</v>
      </c>
      <c r="H4" s="1567">
        <v>72209093</v>
      </c>
      <c r="K4" s="813" t="s">
        <v>2032</v>
      </c>
      <c r="L4" s="813">
        <v>54</v>
      </c>
      <c r="M4" s="813" t="s">
        <v>3042</v>
      </c>
    </row>
    <row r="5" spans="1:13" x14ac:dyDescent="0.3">
      <c r="A5" s="1565" t="s">
        <v>3382</v>
      </c>
      <c r="B5" s="1565" t="s">
        <v>3549</v>
      </c>
      <c r="C5" s="1565" t="str">
        <f>VLOOKUP(B5,'사업계획(매출 확정본)'!$M$12:$N$108,2,FALSE)</f>
        <v>고소작업차</v>
      </c>
      <c r="D5" s="1572" t="str">
        <f t="shared" si="0"/>
        <v>통신</v>
      </c>
      <c r="E5" s="1565" t="s">
        <v>3383</v>
      </c>
      <c r="F5" s="1566"/>
      <c r="G5" s="1567">
        <v>31000000</v>
      </c>
      <c r="H5" s="1567">
        <v>103209093</v>
      </c>
      <c r="K5" s="813" t="s">
        <v>2037</v>
      </c>
      <c r="L5" s="813">
        <v>285</v>
      </c>
      <c r="M5" s="813" t="s">
        <v>3042</v>
      </c>
    </row>
    <row r="6" spans="1:13" x14ac:dyDescent="0.3">
      <c r="A6" s="1565" t="s">
        <v>3384</v>
      </c>
      <c r="B6" s="1565" t="s">
        <v>3550</v>
      </c>
      <c r="C6" s="1565" t="str">
        <f>VLOOKUP(B6,'사업계획(매출 확정본)'!$M$12:$N$108,2,FALSE)</f>
        <v>고소작업차</v>
      </c>
      <c r="D6" s="1572" t="str">
        <f t="shared" si="0"/>
        <v>통신</v>
      </c>
      <c r="E6" s="1565" t="s">
        <v>3385</v>
      </c>
      <c r="F6" s="1566"/>
      <c r="G6" s="1567">
        <v>37727273</v>
      </c>
      <c r="H6" s="1567">
        <v>140936366</v>
      </c>
      <c r="K6" s="813" t="s">
        <v>2039</v>
      </c>
      <c r="L6" s="813">
        <v>212</v>
      </c>
      <c r="M6" s="813" t="s">
        <v>3042</v>
      </c>
    </row>
    <row r="7" spans="1:13" x14ac:dyDescent="0.3">
      <c r="A7" s="1565" t="s">
        <v>3386</v>
      </c>
      <c r="B7" s="1565" t="s">
        <v>3551</v>
      </c>
      <c r="C7" s="1570" t="s">
        <v>3565</v>
      </c>
      <c r="D7" s="1572" t="s">
        <v>3568</v>
      </c>
      <c r="E7" s="1565" t="s">
        <v>3387</v>
      </c>
      <c r="F7" s="1566"/>
      <c r="G7" s="1567">
        <v>19053000</v>
      </c>
      <c r="H7" s="1567">
        <v>159989366</v>
      </c>
      <c r="K7" s="813" t="s">
        <v>2041</v>
      </c>
      <c r="L7" s="813">
        <v>154</v>
      </c>
      <c r="M7" s="813" t="s">
        <v>3041</v>
      </c>
    </row>
    <row r="8" spans="1:13" x14ac:dyDescent="0.3">
      <c r="A8" s="1565" t="s">
        <v>3388</v>
      </c>
      <c r="B8" s="1565" t="s">
        <v>3552</v>
      </c>
      <c r="C8" s="1565" t="str">
        <f>VLOOKUP(B8,'사업계획(매출 확정본)'!$M$12:$N$108,2,FALSE)</f>
        <v>고소작업차</v>
      </c>
      <c r="D8" s="1572" t="str">
        <f t="shared" si="0"/>
        <v>전기</v>
      </c>
      <c r="E8" s="1565" t="s">
        <v>3389</v>
      </c>
      <c r="F8" s="1566"/>
      <c r="G8" s="1567">
        <v>207000000</v>
      </c>
      <c r="H8" s="1567">
        <v>366989366</v>
      </c>
      <c r="K8" s="813" t="s">
        <v>2058</v>
      </c>
      <c r="L8" s="813">
        <v>38</v>
      </c>
      <c r="M8" s="813" t="s">
        <v>3042</v>
      </c>
    </row>
    <row r="9" spans="1:13" x14ac:dyDescent="0.3">
      <c r="A9" s="1565" t="s">
        <v>3390</v>
      </c>
      <c r="B9" s="1565" t="s">
        <v>3553</v>
      </c>
      <c r="C9" s="1570" t="s">
        <v>3565</v>
      </c>
      <c r="D9" s="1572" t="str">
        <f t="shared" si="0"/>
        <v>통신</v>
      </c>
      <c r="E9" s="1565" t="s">
        <v>3391</v>
      </c>
      <c r="F9" s="1566"/>
      <c r="G9" s="1567">
        <v>43636364</v>
      </c>
      <c r="H9" s="1567">
        <v>410625730</v>
      </c>
      <c r="K9" s="813" t="s">
        <v>2060</v>
      </c>
      <c r="L9" s="813">
        <v>27</v>
      </c>
      <c r="M9" s="813" t="s">
        <v>3041</v>
      </c>
    </row>
    <row r="10" spans="1:13" x14ac:dyDescent="0.3">
      <c r="A10" s="1565" t="s">
        <v>3392</v>
      </c>
      <c r="B10" s="1565" t="s">
        <v>3554</v>
      </c>
      <c r="C10" s="1565" t="str">
        <f>VLOOKUP(B10,'사업계획(매출 확정본)'!$M$12:$N$108,2,FALSE)</f>
        <v>고소작업차</v>
      </c>
      <c r="D10" s="1572" t="str">
        <f t="shared" si="0"/>
        <v>전기</v>
      </c>
      <c r="E10" s="1565" t="s">
        <v>3393</v>
      </c>
      <c r="F10" s="1566"/>
      <c r="G10" s="1567">
        <v>52000000</v>
      </c>
      <c r="H10" s="1567">
        <v>462625730</v>
      </c>
      <c r="K10" s="813" t="s">
        <v>2063</v>
      </c>
      <c r="L10" s="813">
        <v>54</v>
      </c>
      <c r="M10" s="813" t="s">
        <v>3041</v>
      </c>
    </row>
    <row r="11" spans="1:13" x14ac:dyDescent="0.3">
      <c r="A11" s="1565" t="s">
        <v>3394</v>
      </c>
      <c r="B11" s="1565" t="s">
        <v>3555</v>
      </c>
      <c r="C11" s="1565" t="str">
        <f>VLOOKUP(B11,'사업계획(매출 확정본)'!$M$12:$N$108,2,FALSE)</f>
        <v>활선차</v>
      </c>
      <c r="D11" s="1572" t="str">
        <f t="shared" si="0"/>
        <v>전기</v>
      </c>
      <c r="E11" s="1565" t="s">
        <v>3395</v>
      </c>
      <c r="F11" s="1566"/>
      <c r="G11" s="1567">
        <v>162000000</v>
      </c>
      <c r="H11" s="1567">
        <v>624625730</v>
      </c>
      <c r="K11" s="813" t="s">
        <v>2055</v>
      </c>
      <c r="L11" s="813">
        <v>18</v>
      </c>
      <c r="M11" s="813" t="s">
        <v>2025</v>
      </c>
    </row>
    <row r="12" spans="1:13" x14ac:dyDescent="0.3">
      <c r="A12" s="1565" t="s">
        <v>3396</v>
      </c>
      <c r="B12" s="1565" t="s">
        <v>3550</v>
      </c>
      <c r="C12" s="1565" t="str">
        <f>VLOOKUP(B12,'사업계획(매출 확정본)'!$M$12:$N$108,2,FALSE)</f>
        <v>고소작업차</v>
      </c>
      <c r="D12" s="1572" t="str">
        <f t="shared" si="0"/>
        <v>통신</v>
      </c>
      <c r="E12" s="1565" t="s">
        <v>3397</v>
      </c>
      <c r="F12" s="1566"/>
      <c r="G12" s="1567">
        <v>38200000</v>
      </c>
      <c r="H12" s="1567">
        <v>662825730</v>
      </c>
      <c r="K12" s="813" t="s">
        <v>2059</v>
      </c>
      <c r="L12" s="813">
        <v>52</v>
      </c>
      <c r="M12" s="813" t="s">
        <v>3042</v>
      </c>
    </row>
    <row r="13" spans="1:13" x14ac:dyDescent="0.3">
      <c r="A13" s="1565" t="s">
        <v>3398</v>
      </c>
      <c r="B13" s="1565" t="s">
        <v>3550</v>
      </c>
      <c r="C13" s="1565" t="str">
        <f>VLOOKUP(B13,'사업계획(매출 확정본)'!$M$12:$N$108,2,FALSE)</f>
        <v>고소작업차</v>
      </c>
      <c r="D13" s="1572" t="str">
        <f t="shared" si="0"/>
        <v>통신</v>
      </c>
      <c r="E13" s="1565" t="s">
        <v>3397</v>
      </c>
      <c r="F13" s="1566"/>
      <c r="G13" s="1567">
        <v>38200000</v>
      </c>
      <c r="H13" s="1567">
        <v>701025730</v>
      </c>
      <c r="K13" s="813" t="s">
        <v>2062</v>
      </c>
      <c r="L13" s="813">
        <v>67</v>
      </c>
      <c r="M13" s="813" t="s">
        <v>3041</v>
      </c>
    </row>
    <row r="14" spans="1:13" x14ac:dyDescent="0.3">
      <c r="A14" s="1565" t="s">
        <v>3399</v>
      </c>
      <c r="B14" s="1565" t="s">
        <v>3556</v>
      </c>
      <c r="C14" s="1570" t="s">
        <v>3565</v>
      </c>
      <c r="D14" s="1572" t="str">
        <f t="shared" si="0"/>
        <v>통신</v>
      </c>
      <c r="E14" s="1565" t="s">
        <v>3400</v>
      </c>
      <c r="F14" s="1566"/>
      <c r="G14" s="1567">
        <v>38727273</v>
      </c>
      <c r="H14" s="1567">
        <v>739753003</v>
      </c>
      <c r="K14" s="813" t="s">
        <v>2834</v>
      </c>
      <c r="L14" s="813">
        <v>1</v>
      </c>
      <c r="M14" s="813" t="s">
        <v>3034</v>
      </c>
    </row>
    <row r="15" spans="1:13" x14ac:dyDescent="0.3">
      <c r="A15" s="1565" t="s">
        <v>3401</v>
      </c>
      <c r="B15" s="1565" t="s">
        <v>3554</v>
      </c>
      <c r="C15" s="1565" t="str">
        <f>VLOOKUP(B15,'사업계획(매출 확정본)'!$M$12:$N$108,2,FALSE)</f>
        <v>고소작업차</v>
      </c>
      <c r="D15" s="1572" t="str">
        <f t="shared" si="0"/>
        <v>전기</v>
      </c>
      <c r="E15" s="1565" t="s">
        <v>3402</v>
      </c>
      <c r="F15" s="1566"/>
      <c r="G15" s="1567">
        <v>51818182</v>
      </c>
      <c r="H15" s="1567">
        <v>791571185</v>
      </c>
      <c r="K15" s="813" t="s">
        <v>2835</v>
      </c>
      <c r="L15" s="813">
        <v>12</v>
      </c>
    </row>
    <row r="16" spans="1:13" x14ac:dyDescent="0.3">
      <c r="A16" s="1565" t="s">
        <v>3403</v>
      </c>
      <c r="B16" s="1565" t="s">
        <v>3554</v>
      </c>
      <c r="C16" s="1565" t="str">
        <f>VLOOKUP(B16,'사업계획(매출 확정본)'!$M$12:$N$108,2,FALSE)</f>
        <v>고소작업차</v>
      </c>
      <c r="D16" s="1572" t="str">
        <f t="shared" si="0"/>
        <v>전기</v>
      </c>
      <c r="E16" s="1565" t="s">
        <v>3404</v>
      </c>
      <c r="F16" s="1566"/>
      <c r="G16" s="1567">
        <v>51250000</v>
      </c>
      <c r="H16" s="1567">
        <v>842821185</v>
      </c>
      <c r="K16" s="813" t="s">
        <v>2044</v>
      </c>
      <c r="L16" s="813">
        <v>9</v>
      </c>
      <c r="M16" s="813" t="s">
        <v>2025</v>
      </c>
    </row>
    <row r="17" spans="1:13" x14ac:dyDescent="0.3">
      <c r="A17" s="1565" t="s">
        <v>3405</v>
      </c>
      <c r="B17" s="1565" t="s">
        <v>3557</v>
      </c>
      <c r="C17" s="1565" t="str">
        <f>VLOOKUP(B17,'사업계획(매출 확정본)'!$M$12:$N$108,2,FALSE)</f>
        <v>크레인</v>
      </c>
      <c r="D17" s="1572" t="str">
        <f t="shared" si="0"/>
        <v>건설</v>
      </c>
      <c r="E17" s="1565" t="s">
        <v>3406</v>
      </c>
      <c r="F17" s="1566"/>
      <c r="G17" s="1567">
        <v>14100000</v>
      </c>
      <c r="H17" s="1567">
        <v>856921185</v>
      </c>
      <c r="K17" s="813" t="s">
        <v>2043</v>
      </c>
      <c r="L17" s="813">
        <v>45</v>
      </c>
      <c r="M17" s="813" t="s">
        <v>3041</v>
      </c>
    </row>
    <row r="18" spans="1:13" x14ac:dyDescent="0.3">
      <c r="A18" s="1565" t="s">
        <v>3407</v>
      </c>
      <c r="B18" s="1565" t="s">
        <v>3557</v>
      </c>
      <c r="C18" s="1565" t="str">
        <f>VLOOKUP(B18,'사업계획(매출 확정본)'!$M$12:$N$108,2,FALSE)</f>
        <v>크레인</v>
      </c>
      <c r="D18" s="1572" t="str">
        <f t="shared" si="0"/>
        <v>건설</v>
      </c>
      <c r="E18" s="1565" t="s">
        <v>3408</v>
      </c>
      <c r="F18" s="1566"/>
      <c r="G18" s="1567">
        <v>14500000</v>
      </c>
      <c r="H18" s="1567">
        <v>871421185</v>
      </c>
      <c r="K18" s="813" t="s">
        <v>2048</v>
      </c>
      <c r="L18" s="813">
        <v>10</v>
      </c>
      <c r="M18" s="813" t="s">
        <v>3042</v>
      </c>
    </row>
    <row r="19" spans="1:13" x14ac:dyDescent="0.3">
      <c r="A19" s="1565" t="s">
        <v>3409</v>
      </c>
      <c r="B19" s="1565" t="s">
        <v>3553</v>
      </c>
      <c r="C19" s="1570" t="s">
        <v>3565</v>
      </c>
      <c r="D19" s="1572" t="str">
        <f t="shared" si="0"/>
        <v>통신</v>
      </c>
      <c r="E19" s="1565" t="s">
        <v>3410</v>
      </c>
      <c r="F19" s="1566"/>
      <c r="G19" s="1567">
        <v>42000000</v>
      </c>
      <c r="H19" s="1567">
        <v>913421185</v>
      </c>
      <c r="K19" s="813" t="s">
        <v>2836</v>
      </c>
      <c r="L19" s="813">
        <v>159</v>
      </c>
      <c r="M19" s="813" t="s">
        <v>3042</v>
      </c>
    </row>
    <row r="20" spans="1:13" x14ac:dyDescent="0.3">
      <c r="A20" s="1565" t="s">
        <v>3411</v>
      </c>
      <c r="B20" s="1565" t="s">
        <v>3553</v>
      </c>
      <c r="C20" s="1570" t="s">
        <v>3565</v>
      </c>
      <c r="D20" s="1572" t="str">
        <f t="shared" si="0"/>
        <v>통신</v>
      </c>
      <c r="E20" s="1565" t="s">
        <v>3412</v>
      </c>
      <c r="F20" s="1566"/>
      <c r="G20" s="1567">
        <v>44545455</v>
      </c>
      <c r="H20" s="1567">
        <v>957966640</v>
      </c>
      <c r="K20" s="813" t="s">
        <v>2033</v>
      </c>
      <c r="L20" s="813">
        <v>6</v>
      </c>
      <c r="M20" s="813" t="s">
        <v>3042</v>
      </c>
    </row>
    <row r="21" spans="1:13" x14ac:dyDescent="0.3">
      <c r="A21" s="1565" t="s">
        <v>3413</v>
      </c>
      <c r="B21" s="1565" t="s">
        <v>3547</v>
      </c>
      <c r="C21" s="1570" t="s">
        <v>3565</v>
      </c>
      <c r="D21" s="1572" t="s">
        <v>3568</v>
      </c>
      <c r="E21" s="1565" t="s">
        <v>3414</v>
      </c>
      <c r="F21" s="1566"/>
      <c r="G21" s="1567">
        <v>18373000</v>
      </c>
      <c r="H21" s="1567">
        <v>976339640</v>
      </c>
      <c r="K21" s="813" t="s">
        <v>2047</v>
      </c>
      <c r="L21" s="813">
        <v>3</v>
      </c>
      <c r="M21" s="813" t="s">
        <v>2025</v>
      </c>
    </row>
    <row r="22" spans="1:13" x14ac:dyDescent="0.3">
      <c r="A22" s="1565" t="s">
        <v>3415</v>
      </c>
      <c r="B22" s="1565" t="s">
        <v>3550</v>
      </c>
      <c r="C22" s="1570" t="s">
        <v>3565</v>
      </c>
      <c r="D22" s="1572" t="str">
        <f t="shared" si="0"/>
        <v>통신</v>
      </c>
      <c r="E22" s="1565" t="s">
        <v>3416</v>
      </c>
      <c r="F22" s="1566"/>
      <c r="G22" s="1567">
        <v>38000000</v>
      </c>
      <c r="H22" s="1567">
        <v>1014339640</v>
      </c>
      <c r="K22" s="813" t="s">
        <v>2837</v>
      </c>
      <c r="L22" s="813">
        <v>6</v>
      </c>
      <c r="M22" s="813" t="s">
        <v>3042</v>
      </c>
    </row>
    <row r="23" spans="1:13" x14ac:dyDescent="0.3">
      <c r="A23" s="1565" t="s">
        <v>3417</v>
      </c>
      <c r="B23" s="1565" t="s">
        <v>3557</v>
      </c>
      <c r="C23" s="1565" t="str">
        <f>VLOOKUP(B23,'사업계획(매출 확정본)'!$M$12:$N$108,2,FALSE)</f>
        <v>크레인</v>
      </c>
      <c r="D23" s="1572" t="str">
        <f t="shared" si="0"/>
        <v>건설</v>
      </c>
      <c r="E23" s="1565" t="s">
        <v>3418</v>
      </c>
      <c r="F23" s="1566"/>
      <c r="G23" s="1567">
        <v>14500000</v>
      </c>
      <c r="H23" s="1567">
        <v>1028839640</v>
      </c>
      <c r="K23" s="813" t="s">
        <v>2054</v>
      </c>
      <c r="L23" s="813">
        <v>25</v>
      </c>
      <c r="M23" s="813" t="s">
        <v>3039</v>
      </c>
    </row>
    <row r="24" spans="1:13" x14ac:dyDescent="0.3">
      <c r="A24" s="1565" t="s">
        <v>3419</v>
      </c>
      <c r="B24" s="1565" t="s">
        <v>3554</v>
      </c>
      <c r="C24" s="1565" t="str">
        <f>VLOOKUP(B24,'사업계획(매출 확정본)'!$M$12:$N$108,2,FALSE)</f>
        <v>고소작업차</v>
      </c>
      <c r="D24" s="1572" t="str">
        <f t="shared" si="0"/>
        <v>전기</v>
      </c>
      <c r="E24" s="1565" t="s">
        <v>3420</v>
      </c>
      <c r="F24" s="1566"/>
      <c r="G24" s="1567">
        <v>51818182</v>
      </c>
      <c r="H24" s="1567">
        <v>1080657822</v>
      </c>
      <c r="K24" s="813" t="s">
        <v>2838</v>
      </c>
      <c r="L24" s="813">
        <v>3</v>
      </c>
      <c r="M24" s="813" t="s">
        <v>2025</v>
      </c>
    </row>
    <row r="25" spans="1:13" x14ac:dyDescent="0.3">
      <c r="A25" s="1565" t="s">
        <v>3421</v>
      </c>
      <c r="B25" s="1565" t="s">
        <v>3554</v>
      </c>
      <c r="C25" s="1565" t="str">
        <f>VLOOKUP(B25,'사업계획(매출 확정본)'!$M$12:$N$108,2,FALSE)</f>
        <v>고소작업차</v>
      </c>
      <c r="D25" s="1572" t="str">
        <f t="shared" si="0"/>
        <v>전기</v>
      </c>
      <c r="E25" s="1565" t="s">
        <v>3422</v>
      </c>
      <c r="F25" s="1566"/>
      <c r="G25" s="1567">
        <v>45454545</v>
      </c>
      <c r="H25" s="1567">
        <v>1126112367</v>
      </c>
      <c r="I25" s="813" t="s">
        <v>3558</v>
      </c>
      <c r="K25" s="813" t="s">
        <v>2035</v>
      </c>
      <c r="L25" s="813">
        <v>15</v>
      </c>
      <c r="M25" s="813" t="s">
        <v>3042</v>
      </c>
    </row>
    <row r="26" spans="1:13" x14ac:dyDescent="0.3">
      <c r="A26" s="1565" t="s">
        <v>3423</v>
      </c>
      <c r="B26" s="1565" t="s">
        <v>3553</v>
      </c>
      <c r="C26" s="1570" t="s">
        <v>3565</v>
      </c>
      <c r="D26" s="1572" t="str">
        <f t="shared" si="0"/>
        <v>통신</v>
      </c>
      <c r="E26" s="1565" t="s">
        <v>3424</v>
      </c>
      <c r="F26" s="1566"/>
      <c r="G26" s="1567">
        <v>41000000</v>
      </c>
      <c r="H26" s="1567">
        <v>1167112367</v>
      </c>
      <c r="K26" s="813" t="s">
        <v>2839</v>
      </c>
      <c r="L26" s="813">
        <v>3</v>
      </c>
      <c r="M26" s="813" t="s">
        <v>3042</v>
      </c>
    </row>
    <row r="27" spans="1:13" x14ac:dyDescent="0.3">
      <c r="A27" s="1565" t="s">
        <v>3425</v>
      </c>
      <c r="B27" s="1565" t="s">
        <v>3550</v>
      </c>
      <c r="C27" s="1565" t="str">
        <f>VLOOKUP(B27,'사업계획(매출 확정본)'!$M$12:$N$108,2,FALSE)</f>
        <v>고소작업차</v>
      </c>
      <c r="D27" s="1572" t="str">
        <f t="shared" si="0"/>
        <v>통신</v>
      </c>
      <c r="E27" s="1565" t="s">
        <v>3426</v>
      </c>
      <c r="F27" s="1566"/>
      <c r="G27" s="1567">
        <v>38500000</v>
      </c>
      <c r="H27" s="1567">
        <v>1205612367</v>
      </c>
      <c r="K27" s="813" t="s">
        <v>2840</v>
      </c>
      <c r="L27" s="813">
        <v>8</v>
      </c>
      <c r="M27" s="813" t="s">
        <v>3041</v>
      </c>
    </row>
    <row r="28" spans="1:13" x14ac:dyDescent="0.3">
      <c r="A28" s="1565" t="s">
        <v>3427</v>
      </c>
      <c r="B28" s="1565" t="s">
        <v>3551</v>
      </c>
      <c r="C28" s="1570" t="s">
        <v>3565</v>
      </c>
      <c r="D28" s="1572" t="s">
        <v>3568</v>
      </c>
      <c r="E28" s="1565" t="s">
        <v>3428</v>
      </c>
      <c r="F28" s="1566"/>
      <c r="G28" s="1567">
        <v>18673000</v>
      </c>
      <c r="H28" s="1567">
        <v>1224285367</v>
      </c>
      <c r="K28" s="813" t="s">
        <v>2045</v>
      </c>
      <c r="L28" s="813">
        <v>5</v>
      </c>
      <c r="M28" s="813" t="s">
        <v>3040</v>
      </c>
    </row>
    <row r="29" spans="1:13" x14ac:dyDescent="0.3">
      <c r="A29" s="1565" t="s">
        <v>3429</v>
      </c>
      <c r="B29" s="1565" t="s">
        <v>3559</v>
      </c>
      <c r="C29" s="1565" t="str">
        <f>VLOOKUP(B29,'사업계획(매출 확정본)'!$M$12:$N$108,2,FALSE)</f>
        <v>고소작업차</v>
      </c>
      <c r="D29" s="1572" t="str">
        <f t="shared" si="0"/>
        <v>기타</v>
      </c>
      <c r="E29" s="1565" t="s">
        <v>3430</v>
      </c>
      <c r="F29" s="1566"/>
      <c r="G29" s="1567">
        <v>60909091</v>
      </c>
      <c r="H29" s="1567">
        <v>1285194458</v>
      </c>
      <c r="K29" s="813" t="s">
        <v>2034</v>
      </c>
      <c r="L29" s="813">
        <v>15</v>
      </c>
      <c r="M29" s="813" t="s">
        <v>3042</v>
      </c>
    </row>
    <row r="30" spans="1:13" x14ac:dyDescent="0.3">
      <c r="A30" s="1565" t="s">
        <v>3431</v>
      </c>
      <c r="B30" s="1565" t="s">
        <v>3554</v>
      </c>
      <c r="C30" s="1565" t="str">
        <f>VLOOKUP(B30,'사업계획(매출 확정본)'!$M$12:$N$108,2,FALSE)</f>
        <v>고소작업차</v>
      </c>
      <c r="D30" s="1572" t="str">
        <f t="shared" si="0"/>
        <v>전기</v>
      </c>
      <c r="E30" s="1565" t="s">
        <v>3432</v>
      </c>
      <c r="F30" s="1566"/>
      <c r="G30" s="1567">
        <v>45454545</v>
      </c>
      <c r="H30" s="1567">
        <v>1330649003</v>
      </c>
      <c r="I30" s="813" t="s">
        <v>3560</v>
      </c>
      <c r="K30" s="813" t="s">
        <v>2842</v>
      </c>
      <c r="L30" s="813">
        <v>4</v>
      </c>
      <c r="M30" s="813" t="s">
        <v>3042</v>
      </c>
    </row>
    <row r="31" spans="1:13" x14ac:dyDescent="0.3">
      <c r="A31" s="1565" t="s">
        <v>3433</v>
      </c>
      <c r="B31" s="1565" t="s">
        <v>3553</v>
      </c>
      <c r="C31" s="1570" t="s">
        <v>3565</v>
      </c>
      <c r="D31" s="1572" t="str">
        <f t="shared" si="0"/>
        <v>통신</v>
      </c>
      <c r="E31" s="1565" t="s">
        <v>3434</v>
      </c>
      <c r="F31" s="1566"/>
      <c r="G31" s="1567">
        <v>43818182</v>
      </c>
      <c r="H31" s="1567">
        <v>1374467185</v>
      </c>
      <c r="K31" s="813" t="s">
        <v>2042</v>
      </c>
      <c r="L31" s="813">
        <v>2</v>
      </c>
      <c r="M31" s="813" t="s">
        <v>2025</v>
      </c>
    </row>
    <row r="32" spans="1:13" x14ac:dyDescent="0.3">
      <c r="A32" s="1565" t="s">
        <v>3435</v>
      </c>
      <c r="B32" s="1565" t="s">
        <v>3553</v>
      </c>
      <c r="C32" s="1570" t="s">
        <v>3565</v>
      </c>
      <c r="D32" s="1572" t="str">
        <f t="shared" si="0"/>
        <v>통신</v>
      </c>
      <c r="E32" s="1565" t="s">
        <v>3436</v>
      </c>
      <c r="F32" s="1566"/>
      <c r="G32" s="1567">
        <v>42418182</v>
      </c>
      <c r="H32" s="1567">
        <v>1416885367</v>
      </c>
      <c r="K32" s="813" t="s">
        <v>2065</v>
      </c>
      <c r="L32" s="813">
        <v>3</v>
      </c>
      <c r="M32" s="813" t="s">
        <v>2025</v>
      </c>
    </row>
    <row r="33" spans="1:13" x14ac:dyDescent="0.3">
      <c r="A33" s="1565" t="s">
        <v>3437</v>
      </c>
      <c r="B33" s="1565" t="s">
        <v>3553</v>
      </c>
      <c r="C33" s="1570" t="s">
        <v>3565</v>
      </c>
      <c r="D33" s="1572" t="str">
        <f t="shared" si="0"/>
        <v>통신</v>
      </c>
      <c r="E33" s="1565" t="s">
        <v>3438</v>
      </c>
      <c r="F33" s="1566"/>
      <c r="G33" s="1567">
        <v>40000000</v>
      </c>
      <c r="H33" s="1567">
        <v>1456885367</v>
      </c>
      <c r="K33" s="813" t="s">
        <v>2843</v>
      </c>
      <c r="L33" s="813">
        <v>10</v>
      </c>
      <c r="M33" s="813" t="s">
        <v>3042</v>
      </c>
    </row>
    <row r="34" spans="1:13" x14ac:dyDescent="0.3">
      <c r="A34" s="1565" t="s">
        <v>3439</v>
      </c>
      <c r="B34" s="1565" t="s">
        <v>3553</v>
      </c>
      <c r="C34" s="1570" t="s">
        <v>3565</v>
      </c>
      <c r="D34" s="1572" t="str">
        <f t="shared" si="0"/>
        <v>통신</v>
      </c>
      <c r="E34" s="1565" t="s">
        <v>3438</v>
      </c>
      <c r="F34" s="1566"/>
      <c r="G34" s="1567">
        <v>40000000</v>
      </c>
      <c r="H34" s="1567">
        <v>1496885367</v>
      </c>
      <c r="K34" s="813" t="s">
        <v>2823</v>
      </c>
      <c r="L34" s="813">
        <v>2</v>
      </c>
      <c r="M34" s="813" t="s">
        <v>2025</v>
      </c>
    </row>
    <row r="35" spans="1:13" x14ac:dyDescent="0.3">
      <c r="A35" s="1565" t="s">
        <v>3440</v>
      </c>
      <c r="B35" s="1565" t="s">
        <v>3559</v>
      </c>
      <c r="C35" s="1565" t="str">
        <f>VLOOKUP(B35,'사업계획(매출 확정본)'!$M$12:$N$108,2,FALSE)</f>
        <v>고소작업차</v>
      </c>
      <c r="D35" s="1572" t="str">
        <f t="shared" si="0"/>
        <v>기타</v>
      </c>
      <c r="E35" s="1565" t="s">
        <v>3441</v>
      </c>
      <c r="F35" s="1566"/>
      <c r="G35" s="1567">
        <v>60000000</v>
      </c>
      <c r="H35" s="1567">
        <v>1556885367</v>
      </c>
      <c r="K35" s="813" t="s">
        <v>2826</v>
      </c>
      <c r="L35" s="813">
        <v>1</v>
      </c>
      <c r="M35" s="813" t="s">
        <v>3034</v>
      </c>
    </row>
    <row r="36" spans="1:13" x14ac:dyDescent="0.3">
      <c r="A36" s="1565" t="s">
        <v>3442</v>
      </c>
      <c r="B36" s="1565" t="s">
        <v>3554</v>
      </c>
      <c r="C36" s="1565" t="str">
        <f>VLOOKUP(B36,'사업계획(매출 확정본)'!$M$12:$N$108,2,FALSE)</f>
        <v>고소작업차</v>
      </c>
      <c r="D36" s="1572" t="str">
        <f t="shared" si="0"/>
        <v>전기</v>
      </c>
      <c r="E36" s="1565" t="s">
        <v>3443</v>
      </c>
      <c r="F36" s="1566"/>
      <c r="G36" s="1567">
        <v>52000000</v>
      </c>
      <c r="H36" s="1567">
        <v>1608885367</v>
      </c>
      <c r="K36" s="813" t="s">
        <v>2031</v>
      </c>
      <c r="L36" s="813">
        <v>1</v>
      </c>
      <c r="M36" s="813" t="s">
        <v>3042</v>
      </c>
    </row>
    <row r="37" spans="1:13" x14ac:dyDescent="0.3">
      <c r="A37" s="1565" t="s">
        <v>3444</v>
      </c>
      <c r="B37" s="1565" t="s">
        <v>3549</v>
      </c>
      <c r="C37" s="1565" t="str">
        <f>VLOOKUP(B37,'사업계획(매출 확정본)'!$M$12:$N$108,2,FALSE)</f>
        <v>고소작업차</v>
      </c>
      <c r="D37" s="1572" t="str">
        <f t="shared" si="0"/>
        <v>통신</v>
      </c>
      <c r="E37" s="1565" t="s">
        <v>3445</v>
      </c>
      <c r="F37" s="1566"/>
      <c r="G37" s="1567">
        <v>30909090</v>
      </c>
      <c r="H37" s="1567">
        <v>1639794457</v>
      </c>
      <c r="K37" s="813" t="s">
        <v>2051</v>
      </c>
      <c r="L37" s="813">
        <v>22</v>
      </c>
      <c r="M37" s="813" t="s">
        <v>3041</v>
      </c>
    </row>
    <row r="38" spans="1:13" x14ac:dyDescent="0.3">
      <c r="A38" s="1565" t="s">
        <v>3446</v>
      </c>
      <c r="B38" s="1565" t="s">
        <v>3549</v>
      </c>
      <c r="C38" s="1565" t="str">
        <f>VLOOKUP(B38,'사업계획(매출 확정본)'!$M$12:$N$108,2,FALSE)</f>
        <v>고소작업차</v>
      </c>
      <c r="D38" s="1572" t="str">
        <f t="shared" si="0"/>
        <v>통신</v>
      </c>
      <c r="E38" s="1565" t="s">
        <v>3447</v>
      </c>
      <c r="F38" s="1566"/>
      <c r="G38" s="1567">
        <v>31363636</v>
      </c>
      <c r="H38" s="1567">
        <v>1671158093</v>
      </c>
      <c r="K38" s="813" t="s">
        <v>2846</v>
      </c>
      <c r="L38" s="813">
        <v>1</v>
      </c>
      <c r="M38" s="813" t="s">
        <v>3039</v>
      </c>
    </row>
    <row r="39" spans="1:13" x14ac:dyDescent="0.3">
      <c r="A39" s="1565" t="s">
        <v>3448</v>
      </c>
      <c r="B39" s="1565" t="s">
        <v>3561</v>
      </c>
      <c r="C39" s="1565" t="str">
        <f>VLOOKUP(B39,'사업계획(매출 확정본)'!$M$12:$N$108,2,FALSE)</f>
        <v>고소작업차</v>
      </c>
      <c r="D39" s="1572" t="str">
        <f t="shared" si="0"/>
        <v>통신</v>
      </c>
      <c r="E39" s="1565" t="s">
        <v>3449</v>
      </c>
      <c r="F39" s="1566"/>
      <c r="G39" s="1567">
        <v>35909091</v>
      </c>
      <c r="H39" s="1567">
        <v>1707067184</v>
      </c>
      <c r="K39" s="813" t="s">
        <v>2030</v>
      </c>
      <c r="L39" s="813">
        <v>1</v>
      </c>
      <c r="M39" s="813" t="s">
        <v>3042</v>
      </c>
    </row>
    <row r="40" spans="1:13" x14ac:dyDescent="0.3">
      <c r="A40" s="1565" t="s">
        <v>3450</v>
      </c>
      <c r="B40" s="1565" t="s">
        <v>3553</v>
      </c>
      <c r="C40" s="1570" t="s">
        <v>3565</v>
      </c>
      <c r="D40" s="1572" t="str">
        <f t="shared" si="0"/>
        <v>통신</v>
      </c>
      <c r="E40" s="1565" t="s">
        <v>3451</v>
      </c>
      <c r="F40" s="1566"/>
      <c r="G40" s="1567">
        <v>40500000</v>
      </c>
      <c r="H40" s="1567">
        <v>1747567184</v>
      </c>
      <c r="K40" s="813" t="s">
        <v>2049</v>
      </c>
      <c r="L40" s="813">
        <v>11</v>
      </c>
      <c r="M40" s="813" t="s">
        <v>3041</v>
      </c>
    </row>
    <row r="41" spans="1:13" x14ac:dyDescent="0.3">
      <c r="A41" s="1565" t="s">
        <v>3452</v>
      </c>
      <c r="B41" s="1565" t="s">
        <v>3553</v>
      </c>
      <c r="C41" s="1570" t="s">
        <v>3565</v>
      </c>
      <c r="D41" s="1572" t="str">
        <f t="shared" si="0"/>
        <v>통신</v>
      </c>
      <c r="E41" s="1565" t="s">
        <v>3453</v>
      </c>
      <c r="F41" s="1566"/>
      <c r="G41" s="1567">
        <v>38000000</v>
      </c>
      <c r="H41" s="1567">
        <v>1785567184</v>
      </c>
      <c r="K41" s="813" t="s">
        <v>2064</v>
      </c>
      <c r="L41" s="813">
        <v>12</v>
      </c>
      <c r="M41" s="813" t="s">
        <v>3041</v>
      </c>
    </row>
    <row r="42" spans="1:13" x14ac:dyDescent="0.3">
      <c r="A42" s="1565" t="s">
        <v>3454</v>
      </c>
      <c r="B42" s="1565" t="s">
        <v>3557</v>
      </c>
      <c r="C42" s="1565" t="str">
        <f>VLOOKUP(B42,'사업계획(매출 확정본)'!$M$12:$N$108,2,FALSE)</f>
        <v>크레인</v>
      </c>
      <c r="D42" s="1572" t="str">
        <f t="shared" si="0"/>
        <v>건설</v>
      </c>
      <c r="E42" s="1565" t="s">
        <v>3455</v>
      </c>
      <c r="F42" s="1566"/>
      <c r="G42" s="1567">
        <v>15200000</v>
      </c>
      <c r="H42" s="1567">
        <v>1800767184</v>
      </c>
      <c r="K42" s="813" t="s">
        <v>2850</v>
      </c>
      <c r="L42" s="813">
        <v>1</v>
      </c>
      <c r="M42" s="813" t="s">
        <v>3042</v>
      </c>
    </row>
    <row r="43" spans="1:13" x14ac:dyDescent="0.3">
      <c r="A43" s="1565" t="s">
        <v>3456</v>
      </c>
      <c r="B43" s="1565" t="s">
        <v>3561</v>
      </c>
      <c r="C43" s="1565" t="str">
        <f>VLOOKUP(B43,'사업계획(매출 확정본)'!$M$12:$N$108,2,FALSE)</f>
        <v>고소작업차</v>
      </c>
      <c r="D43" s="1572" t="str">
        <f t="shared" si="0"/>
        <v>통신</v>
      </c>
      <c r="E43" s="1565" t="s">
        <v>3457</v>
      </c>
      <c r="F43" s="1566"/>
      <c r="G43" s="1567">
        <v>36363637</v>
      </c>
      <c r="H43" s="1567">
        <v>1837130821</v>
      </c>
      <c r="K43" s="813" t="s">
        <v>2067</v>
      </c>
      <c r="L43" s="813">
        <v>7</v>
      </c>
      <c r="M43" s="813" t="s">
        <v>3040</v>
      </c>
    </row>
    <row r="44" spans="1:13" x14ac:dyDescent="0.3">
      <c r="A44" s="1565" t="s">
        <v>3458</v>
      </c>
      <c r="B44" s="1565" t="s">
        <v>3553</v>
      </c>
      <c r="C44" s="1570" t="s">
        <v>3565</v>
      </c>
      <c r="D44" s="1572" t="str">
        <f t="shared" si="0"/>
        <v>통신</v>
      </c>
      <c r="E44" s="1565" t="s">
        <v>3459</v>
      </c>
      <c r="F44" s="1566"/>
      <c r="G44" s="1567">
        <v>44090909</v>
      </c>
      <c r="H44" s="1567">
        <v>1881221730</v>
      </c>
      <c r="K44" s="813" t="s">
        <v>2820</v>
      </c>
      <c r="L44" s="813">
        <v>2</v>
      </c>
      <c r="M44" s="813" t="s">
        <v>3040</v>
      </c>
    </row>
    <row r="45" spans="1:13" x14ac:dyDescent="0.3">
      <c r="A45" s="1565" t="s">
        <v>3460</v>
      </c>
      <c r="B45" s="1565" t="s">
        <v>3549</v>
      </c>
      <c r="C45" s="1565" t="str">
        <f>VLOOKUP(B45,'사업계획(매출 확정본)'!$M$12:$N$108,2,FALSE)</f>
        <v>고소작업차</v>
      </c>
      <c r="D45" s="1572" t="str">
        <f t="shared" si="0"/>
        <v>통신</v>
      </c>
      <c r="E45" s="1565" t="s">
        <v>3461</v>
      </c>
      <c r="F45" s="1566"/>
      <c r="G45" s="1567">
        <v>32000000</v>
      </c>
      <c r="H45" s="1567">
        <v>1913221730</v>
      </c>
      <c r="K45" s="813" t="s">
        <v>2068</v>
      </c>
      <c r="L45" s="813">
        <v>8</v>
      </c>
      <c r="M45" s="813" t="s">
        <v>3042</v>
      </c>
    </row>
    <row r="46" spans="1:13" x14ac:dyDescent="0.3">
      <c r="A46" s="1565" t="s">
        <v>3462</v>
      </c>
      <c r="B46" s="1565" t="s">
        <v>3549</v>
      </c>
      <c r="C46" s="1565" t="str">
        <f>VLOOKUP(B46,'사업계획(매출 확정본)'!$M$12:$N$108,2,FALSE)</f>
        <v>고소작업차</v>
      </c>
      <c r="D46" s="1572" t="str">
        <f t="shared" si="0"/>
        <v>통신</v>
      </c>
      <c r="E46" s="1565" t="s">
        <v>3449</v>
      </c>
      <c r="F46" s="1566"/>
      <c r="G46" s="1567">
        <v>30909090</v>
      </c>
      <c r="H46" s="1567">
        <v>1944130820</v>
      </c>
      <c r="K46" s="813" t="s">
        <v>2830</v>
      </c>
      <c r="L46" s="813">
        <v>2</v>
      </c>
      <c r="M46" s="813" t="s">
        <v>3040</v>
      </c>
    </row>
    <row r="47" spans="1:13" x14ac:dyDescent="0.3">
      <c r="A47" s="1565" t="s">
        <v>3463</v>
      </c>
      <c r="B47" s="1565" t="s">
        <v>3562</v>
      </c>
      <c r="C47" s="1570" t="s">
        <v>3565</v>
      </c>
      <c r="D47" s="1572" t="s">
        <v>3569</v>
      </c>
      <c r="E47" s="1565" t="s">
        <v>3464</v>
      </c>
      <c r="F47" s="1566"/>
      <c r="G47" s="1567">
        <v>4400000</v>
      </c>
      <c r="H47" s="1567">
        <v>1948530820</v>
      </c>
      <c r="K47" s="813" t="s">
        <v>2833</v>
      </c>
      <c r="L47" s="813">
        <v>1</v>
      </c>
      <c r="M47" s="813" t="s">
        <v>3040</v>
      </c>
    </row>
    <row r="48" spans="1:13" x14ac:dyDescent="0.3">
      <c r="A48" s="1565" t="s">
        <v>3465</v>
      </c>
      <c r="B48" s="1565" t="s">
        <v>3547</v>
      </c>
      <c r="C48" s="1570" t="s">
        <v>3565</v>
      </c>
      <c r="D48" s="1572" t="s">
        <v>3568</v>
      </c>
      <c r="E48" s="1565" t="s">
        <v>3466</v>
      </c>
      <c r="F48" s="1566"/>
      <c r="G48" s="1567">
        <v>18953000</v>
      </c>
      <c r="H48" s="1567">
        <v>1967483820</v>
      </c>
      <c r="K48" s="813" t="s">
        <v>2875</v>
      </c>
      <c r="L48" s="813">
        <v>1</v>
      </c>
      <c r="M48" s="813" t="s">
        <v>3034</v>
      </c>
    </row>
    <row r="49" spans="1:13" x14ac:dyDescent="0.3">
      <c r="A49" s="1565" t="s">
        <v>3467</v>
      </c>
      <c r="B49" s="1565" t="s">
        <v>3557</v>
      </c>
      <c r="C49" s="1565" t="str">
        <f>VLOOKUP(B49,'사업계획(매출 확정본)'!$M$12:$N$108,2,FALSE)</f>
        <v>크레인</v>
      </c>
      <c r="D49" s="1572" t="str">
        <f t="shared" si="0"/>
        <v>건설</v>
      </c>
      <c r="E49" s="1565" t="s">
        <v>3468</v>
      </c>
      <c r="F49" s="1566"/>
      <c r="G49" s="1567">
        <v>14545455</v>
      </c>
      <c r="H49" s="1567">
        <v>1982029275</v>
      </c>
      <c r="K49" s="813" t="s">
        <v>2878</v>
      </c>
      <c r="L49" s="813">
        <v>15</v>
      </c>
      <c r="M49" s="813" t="s">
        <v>3042</v>
      </c>
    </row>
    <row r="50" spans="1:13" x14ac:dyDescent="0.3">
      <c r="A50" s="1565" t="s">
        <v>3469</v>
      </c>
      <c r="B50" s="1565" t="s">
        <v>3550</v>
      </c>
      <c r="C50" s="1565" t="str">
        <f>VLOOKUP(B50,'사업계획(매출 확정본)'!$M$12:$N$108,2,FALSE)</f>
        <v>고소작업차</v>
      </c>
      <c r="D50" s="1572" t="str">
        <f t="shared" si="0"/>
        <v>통신</v>
      </c>
      <c r="E50" s="1565" t="s">
        <v>3470</v>
      </c>
      <c r="F50" s="1566"/>
      <c r="G50" s="1567">
        <v>39100000</v>
      </c>
      <c r="H50" s="1567">
        <v>2021129275</v>
      </c>
      <c r="K50" s="813" t="s">
        <v>2038</v>
      </c>
      <c r="L50" s="813">
        <v>5</v>
      </c>
      <c r="M50" s="813" t="s">
        <v>3042</v>
      </c>
    </row>
    <row r="51" spans="1:13" x14ac:dyDescent="0.3">
      <c r="A51" s="1565" t="s">
        <v>3471</v>
      </c>
      <c r="B51" s="1565" t="s">
        <v>3550</v>
      </c>
      <c r="C51" s="1565" t="str">
        <f>VLOOKUP(B51,'사업계획(매출 확정본)'!$M$12:$N$108,2,FALSE)</f>
        <v>고소작업차</v>
      </c>
      <c r="D51" s="1572" t="str">
        <f t="shared" si="0"/>
        <v>통신</v>
      </c>
      <c r="E51" s="1565" t="s">
        <v>3472</v>
      </c>
      <c r="F51" s="1566"/>
      <c r="G51" s="1567">
        <v>38500000</v>
      </c>
      <c r="H51" s="1567">
        <v>2059629275</v>
      </c>
      <c r="K51" s="813" t="s">
        <v>2040</v>
      </c>
      <c r="L51" s="813">
        <v>8</v>
      </c>
      <c r="M51" s="813" t="s">
        <v>3042</v>
      </c>
    </row>
    <row r="52" spans="1:13" x14ac:dyDescent="0.3">
      <c r="A52" s="1565" t="s">
        <v>3473</v>
      </c>
      <c r="B52" s="1565" t="s">
        <v>3553</v>
      </c>
      <c r="C52" s="1570" t="s">
        <v>3565</v>
      </c>
      <c r="D52" s="1572" t="str">
        <f t="shared" si="0"/>
        <v>통신</v>
      </c>
      <c r="E52" s="1565" t="s">
        <v>3474</v>
      </c>
      <c r="F52" s="1566"/>
      <c r="G52" s="1567">
        <v>40909091</v>
      </c>
      <c r="H52" s="1567">
        <v>2100538366</v>
      </c>
      <c r="K52" s="813" t="s">
        <v>2880</v>
      </c>
      <c r="L52" s="813">
        <v>1</v>
      </c>
      <c r="M52" s="813" t="s">
        <v>3034</v>
      </c>
    </row>
    <row r="53" spans="1:13" x14ac:dyDescent="0.3">
      <c r="A53" s="1565" t="s">
        <v>3475</v>
      </c>
      <c r="B53" s="1565" t="s">
        <v>3554</v>
      </c>
      <c r="C53" s="1565" t="str">
        <f>VLOOKUP(B53,'사업계획(매출 확정본)'!$M$12:$N$108,2,FALSE)</f>
        <v>고소작업차</v>
      </c>
      <c r="D53" s="1572" t="str">
        <f t="shared" si="0"/>
        <v>전기</v>
      </c>
      <c r="E53" s="1565" t="s">
        <v>3476</v>
      </c>
      <c r="F53" s="1566"/>
      <c r="G53" s="1567">
        <v>51818182</v>
      </c>
      <c r="H53" s="1567">
        <v>2152356548</v>
      </c>
      <c r="K53" s="813" t="s">
        <v>2882</v>
      </c>
      <c r="L53" s="813">
        <v>1</v>
      </c>
      <c r="M53" s="813" t="s">
        <v>3034</v>
      </c>
    </row>
    <row r="54" spans="1:13" x14ac:dyDescent="0.3">
      <c r="A54" s="1565" t="s">
        <v>3477</v>
      </c>
      <c r="B54" s="1565" t="s">
        <v>3563</v>
      </c>
      <c r="C54" s="1570" t="s">
        <v>3565</v>
      </c>
      <c r="D54" s="1572" t="str">
        <f t="shared" si="0"/>
        <v>통신</v>
      </c>
      <c r="E54" s="1565" t="s">
        <v>3478</v>
      </c>
      <c r="F54" s="1566"/>
      <c r="G54" s="1567">
        <v>39000000</v>
      </c>
      <c r="H54" s="1567">
        <v>2191356548</v>
      </c>
      <c r="K54" s="813" t="s">
        <v>2883</v>
      </c>
      <c r="L54" s="813">
        <v>4</v>
      </c>
      <c r="M54" s="813" t="s">
        <v>3041</v>
      </c>
    </row>
    <row r="55" spans="1:13" x14ac:dyDescent="0.3">
      <c r="A55" s="1565" t="s">
        <v>3479</v>
      </c>
      <c r="B55" s="1565" t="s">
        <v>3554</v>
      </c>
      <c r="C55" s="1565" t="str">
        <f>VLOOKUP(B55,'사업계획(매출 확정본)'!$M$12:$N$108,2,FALSE)</f>
        <v>고소작업차</v>
      </c>
      <c r="D55" s="1572" t="str">
        <f t="shared" si="0"/>
        <v>전기</v>
      </c>
      <c r="E55" s="1565" t="s">
        <v>3480</v>
      </c>
      <c r="F55" s="1566"/>
      <c r="G55" s="1567">
        <v>52727273</v>
      </c>
      <c r="H55" s="1567">
        <v>2244083821</v>
      </c>
      <c r="K55" s="813" t="s">
        <v>2886</v>
      </c>
      <c r="L55" s="813">
        <v>1</v>
      </c>
      <c r="M55" s="813" t="s">
        <v>3040</v>
      </c>
    </row>
    <row r="56" spans="1:13" x14ac:dyDescent="0.3">
      <c r="A56" s="1565" t="s">
        <v>3481</v>
      </c>
      <c r="B56" s="1565" t="s">
        <v>3550</v>
      </c>
      <c r="C56" s="1565" t="str">
        <f>VLOOKUP(B56,'사업계획(매출 확정본)'!$M$12:$N$108,2,FALSE)</f>
        <v>고소작업차</v>
      </c>
      <c r="D56" s="1572" t="str">
        <f t="shared" si="0"/>
        <v>통신</v>
      </c>
      <c r="E56" s="1565" t="s">
        <v>3482</v>
      </c>
      <c r="F56" s="1566"/>
      <c r="G56" s="1567">
        <v>37272728</v>
      </c>
      <c r="H56" s="1567">
        <v>2281356549</v>
      </c>
      <c r="K56" s="813" t="s">
        <v>2052</v>
      </c>
      <c r="L56" s="813">
        <v>2</v>
      </c>
      <c r="M56" s="813" t="s">
        <v>3039</v>
      </c>
    </row>
    <row r="57" spans="1:13" x14ac:dyDescent="0.3">
      <c r="A57" s="1565" t="s">
        <v>3483</v>
      </c>
      <c r="B57" s="1565" t="s">
        <v>3550</v>
      </c>
      <c r="C57" s="1565" t="str">
        <f>VLOOKUP(B57,'사업계획(매출 확정본)'!$M$12:$N$108,2,FALSE)</f>
        <v>고소작업차</v>
      </c>
      <c r="D57" s="1572" t="str">
        <f t="shared" si="0"/>
        <v>통신</v>
      </c>
      <c r="E57" s="1565" t="s">
        <v>3482</v>
      </c>
      <c r="F57" s="1566"/>
      <c r="G57" s="1567">
        <v>37272728</v>
      </c>
      <c r="H57" s="1567">
        <v>2318629277</v>
      </c>
      <c r="K57" s="813" t="s">
        <v>2050</v>
      </c>
      <c r="L57" s="813">
        <v>1</v>
      </c>
      <c r="M57" s="813" t="s">
        <v>3041</v>
      </c>
    </row>
    <row r="58" spans="1:13" x14ac:dyDescent="0.3">
      <c r="A58" s="1565" t="s">
        <v>3484</v>
      </c>
      <c r="B58" s="1565" t="s">
        <v>3553</v>
      </c>
      <c r="C58" s="1570" t="s">
        <v>3565</v>
      </c>
      <c r="D58" s="1572" t="str">
        <f t="shared" si="0"/>
        <v>통신</v>
      </c>
      <c r="E58" s="1565" t="s">
        <v>3485</v>
      </c>
      <c r="F58" s="1566"/>
      <c r="G58" s="1567">
        <v>39000000</v>
      </c>
      <c r="H58" s="1567">
        <v>2357629277</v>
      </c>
      <c r="K58" s="813" t="s">
        <v>2026</v>
      </c>
      <c r="L58" s="813">
        <v>1</v>
      </c>
      <c r="M58" s="813" t="s">
        <v>3039</v>
      </c>
    </row>
    <row r="59" spans="1:13" x14ac:dyDescent="0.3">
      <c r="A59" s="1565" t="s">
        <v>3486</v>
      </c>
      <c r="B59" s="1565" t="s">
        <v>3549</v>
      </c>
      <c r="C59" s="1565" t="str">
        <f>VLOOKUP(B59,'사업계획(매출 확정본)'!$M$12:$N$108,2,FALSE)</f>
        <v>고소작업차</v>
      </c>
      <c r="D59" s="1572" t="str">
        <f t="shared" si="0"/>
        <v>통신</v>
      </c>
      <c r="E59" s="1565" t="s">
        <v>3487</v>
      </c>
      <c r="F59" s="1566"/>
      <c r="G59" s="1567">
        <v>31000000</v>
      </c>
      <c r="H59" s="1567">
        <v>2388629277</v>
      </c>
      <c r="K59" s="813" t="s">
        <v>2890</v>
      </c>
      <c r="L59" s="813">
        <v>1</v>
      </c>
      <c r="M59" s="813" t="s">
        <v>3034</v>
      </c>
    </row>
    <row r="60" spans="1:13" x14ac:dyDescent="0.3">
      <c r="A60" s="1565" t="s">
        <v>3488</v>
      </c>
      <c r="B60" s="1565" t="s">
        <v>3549</v>
      </c>
      <c r="C60" s="1565" t="str">
        <f>VLOOKUP(B60,'사업계획(매출 확정본)'!$M$12:$N$108,2,FALSE)</f>
        <v>고소작업차</v>
      </c>
      <c r="D60" s="1572" t="str">
        <f t="shared" si="0"/>
        <v>통신</v>
      </c>
      <c r="E60" s="1565" t="s">
        <v>3489</v>
      </c>
      <c r="F60" s="1566"/>
      <c r="G60" s="1567">
        <v>32000000</v>
      </c>
      <c r="H60" s="1567">
        <v>2420629277</v>
      </c>
      <c r="K60" s="813" t="s">
        <v>2891</v>
      </c>
      <c r="L60" s="813">
        <v>1</v>
      </c>
      <c r="M60" s="813" t="s">
        <v>3039</v>
      </c>
    </row>
    <row r="61" spans="1:13" x14ac:dyDescent="0.3">
      <c r="A61" s="1565" t="s">
        <v>3490</v>
      </c>
      <c r="B61" s="1565" t="s">
        <v>3550</v>
      </c>
      <c r="C61" s="1565" t="str">
        <f>VLOOKUP(B61,'사업계획(매출 확정본)'!$M$12:$N$108,2,FALSE)</f>
        <v>고소작업차</v>
      </c>
      <c r="D61" s="1572" t="str">
        <f t="shared" si="0"/>
        <v>통신</v>
      </c>
      <c r="E61" s="1565" t="s">
        <v>3491</v>
      </c>
      <c r="F61" s="1566"/>
      <c r="G61" s="1567">
        <v>38500000</v>
      </c>
      <c r="H61" s="1567">
        <v>2459129277</v>
      </c>
      <c r="K61" s="813" t="s">
        <v>2894</v>
      </c>
      <c r="L61" s="813">
        <v>1</v>
      </c>
    </row>
    <row r="62" spans="1:13" x14ac:dyDescent="0.3">
      <c r="A62" s="1565" t="s">
        <v>3492</v>
      </c>
      <c r="B62" s="1565" t="s">
        <v>3553</v>
      </c>
      <c r="C62" s="1570" t="s">
        <v>3565</v>
      </c>
      <c r="D62" s="1572" t="str">
        <f t="shared" si="0"/>
        <v>통신</v>
      </c>
      <c r="E62" s="1565" t="s">
        <v>3493</v>
      </c>
      <c r="F62" s="1566"/>
      <c r="G62" s="1567">
        <v>38727272</v>
      </c>
      <c r="H62" s="1567">
        <v>2497856549</v>
      </c>
      <c r="K62" s="813" t="s">
        <v>2895</v>
      </c>
      <c r="L62" s="813">
        <v>1</v>
      </c>
    </row>
    <row r="63" spans="1:13" x14ac:dyDescent="0.3">
      <c r="A63" s="1565" t="s">
        <v>3494</v>
      </c>
      <c r="B63" s="1565" t="s">
        <v>3561</v>
      </c>
      <c r="C63" s="1565" t="str">
        <f>VLOOKUP(B63,'사업계획(매출 확정본)'!$M$12:$N$108,2,FALSE)</f>
        <v>고소작업차</v>
      </c>
      <c r="D63" s="1572" t="str">
        <f t="shared" si="0"/>
        <v>통신</v>
      </c>
      <c r="E63" s="1565" t="s">
        <v>3495</v>
      </c>
      <c r="F63" s="1566"/>
      <c r="G63" s="1567">
        <v>36363636</v>
      </c>
      <c r="H63" s="1567">
        <v>2534220185</v>
      </c>
    </row>
    <row r="64" spans="1:13" x14ac:dyDescent="0.3">
      <c r="A64" s="1565" t="s">
        <v>3496</v>
      </c>
      <c r="B64" s="1565" t="s">
        <v>3559</v>
      </c>
      <c r="C64" s="1565" t="str">
        <f>VLOOKUP(B64,'사업계획(매출 확정본)'!$M$12:$N$108,2,FALSE)</f>
        <v>고소작업차</v>
      </c>
      <c r="D64" s="1572" t="str">
        <f t="shared" si="0"/>
        <v>기타</v>
      </c>
      <c r="E64" s="1565" t="s">
        <v>3497</v>
      </c>
      <c r="F64" s="1566"/>
      <c r="G64" s="1567">
        <v>2050000</v>
      </c>
      <c r="H64" s="1567">
        <v>2536270185</v>
      </c>
      <c r="I64" s="813" t="s">
        <v>3560</v>
      </c>
    </row>
    <row r="65" spans="1:8" x14ac:dyDescent="0.3">
      <c r="A65" s="1565" t="s">
        <v>3498</v>
      </c>
      <c r="B65" s="1565" t="s">
        <v>3548</v>
      </c>
      <c r="C65" s="1565" t="str">
        <f>VLOOKUP(B65,'사업계획(매출 확정본)'!$M$12:$N$108,2,FALSE)</f>
        <v>고소작업차</v>
      </c>
      <c r="D65" s="1572" t="str">
        <f t="shared" si="0"/>
        <v>전기</v>
      </c>
      <c r="E65" s="1565" t="s">
        <v>3499</v>
      </c>
      <c r="F65" s="1566"/>
      <c r="G65" s="1567">
        <v>54545454</v>
      </c>
      <c r="H65" s="1567">
        <v>2590815639</v>
      </c>
    </row>
    <row r="66" spans="1:8" x14ac:dyDescent="0.3">
      <c r="A66" s="1565" t="s">
        <v>3500</v>
      </c>
      <c r="B66" s="1565" t="s">
        <v>3553</v>
      </c>
      <c r="C66" s="1570" t="s">
        <v>3565</v>
      </c>
      <c r="D66" s="1572" t="str">
        <f t="shared" si="0"/>
        <v>통신</v>
      </c>
      <c r="E66" s="1565" t="s">
        <v>3501</v>
      </c>
      <c r="F66" s="1566"/>
      <c r="G66" s="1567">
        <v>39000000</v>
      </c>
      <c r="H66" s="1567">
        <v>2629815639</v>
      </c>
    </row>
    <row r="67" spans="1:8" x14ac:dyDescent="0.3">
      <c r="A67" s="1565" t="s">
        <v>3502</v>
      </c>
      <c r="B67" s="1565" t="s">
        <v>3553</v>
      </c>
      <c r="C67" s="1570" t="s">
        <v>3565</v>
      </c>
      <c r="D67" s="1572" t="str">
        <f t="shared" si="0"/>
        <v>통신</v>
      </c>
      <c r="E67" s="1565" t="s">
        <v>3503</v>
      </c>
      <c r="F67" s="1566"/>
      <c r="G67" s="1567">
        <v>41818182</v>
      </c>
      <c r="H67" s="1567">
        <v>2671633821</v>
      </c>
    </row>
    <row r="68" spans="1:8" x14ac:dyDescent="0.3">
      <c r="A68" s="1565" t="s">
        <v>3504</v>
      </c>
      <c r="B68" s="1565" t="s">
        <v>3550</v>
      </c>
      <c r="C68" s="1565" t="str">
        <f>VLOOKUP(B68,'사업계획(매출 확정본)'!$M$12:$N$108,2,FALSE)</f>
        <v>고소작업차</v>
      </c>
      <c r="D68" s="1572" t="str">
        <f t="shared" ref="D68:D87" si="1">VLOOKUP(B68,$K$2:$M$62,3,FALSE)</f>
        <v>통신</v>
      </c>
      <c r="E68" s="1565" t="s">
        <v>3505</v>
      </c>
      <c r="F68" s="1566"/>
      <c r="G68" s="1567">
        <v>38500000</v>
      </c>
      <c r="H68" s="1567">
        <v>2710133821</v>
      </c>
    </row>
    <row r="69" spans="1:8" x14ac:dyDescent="0.3">
      <c r="A69" s="1565" t="s">
        <v>3506</v>
      </c>
      <c r="B69" s="1565" t="s">
        <v>3557</v>
      </c>
      <c r="C69" s="1565" t="str">
        <f>VLOOKUP(B69,'사업계획(매출 확정본)'!$M$12:$N$108,2,FALSE)</f>
        <v>크레인</v>
      </c>
      <c r="D69" s="1572" t="str">
        <f t="shared" si="1"/>
        <v>건설</v>
      </c>
      <c r="E69" s="1565" t="s">
        <v>3507</v>
      </c>
      <c r="F69" s="1566"/>
      <c r="G69" s="1567">
        <v>14545456</v>
      </c>
      <c r="H69" s="1567">
        <v>2724679277</v>
      </c>
    </row>
    <row r="70" spans="1:8" x14ac:dyDescent="0.3">
      <c r="A70" s="1565" t="s">
        <v>3508</v>
      </c>
      <c r="B70" s="1565" t="s">
        <v>3550</v>
      </c>
      <c r="C70" s="1565" t="str">
        <f>VLOOKUP(B70,'사업계획(매출 확정본)'!$M$12:$N$108,2,FALSE)</f>
        <v>고소작업차</v>
      </c>
      <c r="D70" s="1572" t="str">
        <f t="shared" si="1"/>
        <v>통신</v>
      </c>
      <c r="E70" s="1565" t="s">
        <v>3509</v>
      </c>
      <c r="F70" s="1566"/>
      <c r="G70" s="1567">
        <v>37000000</v>
      </c>
      <c r="H70" s="1567">
        <v>2761679277</v>
      </c>
    </row>
    <row r="71" spans="1:8" x14ac:dyDescent="0.3">
      <c r="A71" s="1565" t="s">
        <v>3510</v>
      </c>
      <c r="B71" s="1565" t="s">
        <v>3550</v>
      </c>
      <c r="C71" s="1565" t="str">
        <f>VLOOKUP(B71,'사업계획(매출 확정본)'!$M$12:$N$108,2,FALSE)</f>
        <v>고소작업차</v>
      </c>
      <c r="D71" s="1572" t="str">
        <f t="shared" si="1"/>
        <v>통신</v>
      </c>
      <c r="E71" s="1565" t="s">
        <v>3511</v>
      </c>
      <c r="F71" s="1566"/>
      <c r="G71" s="1567">
        <v>37000000</v>
      </c>
      <c r="H71" s="1567">
        <v>2798679277</v>
      </c>
    </row>
    <row r="72" spans="1:8" x14ac:dyDescent="0.3">
      <c r="A72" s="1565" t="s">
        <v>3512</v>
      </c>
      <c r="B72" s="1565" t="s">
        <v>3553</v>
      </c>
      <c r="C72" s="1570" t="s">
        <v>3565</v>
      </c>
      <c r="D72" s="1572" t="str">
        <f t="shared" si="1"/>
        <v>통신</v>
      </c>
      <c r="E72" s="1565" t="s">
        <v>3513</v>
      </c>
      <c r="F72" s="1566"/>
      <c r="G72" s="1567">
        <v>39000000</v>
      </c>
      <c r="H72" s="1567">
        <v>2837679277</v>
      </c>
    </row>
    <row r="73" spans="1:8" x14ac:dyDescent="0.3">
      <c r="A73" s="1565" t="s">
        <v>3514</v>
      </c>
      <c r="B73" s="1565" t="s">
        <v>3564</v>
      </c>
      <c r="C73" s="1570" t="s">
        <v>649</v>
      </c>
      <c r="D73" s="1572" t="str">
        <f t="shared" si="1"/>
        <v>기타</v>
      </c>
      <c r="E73" s="1565" t="s">
        <v>3515</v>
      </c>
      <c r="F73" s="1566"/>
      <c r="G73" s="1567">
        <v>21000000</v>
      </c>
      <c r="H73" s="1567">
        <v>2858679277</v>
      </c>
    </row>
    <row r="74" spans="1:8" x14ac:dyDescent="0.3">
      <c r="A74" s="1565" t="s">
        <v>3516</v>
      </c>
      <c r="B74" s="1565" t="s">
        <v>3553</v>
      </c>
      <c r="C74" s="1570" t="s">
        <v>3565</v>
      </c>
      <c r="D74" s="1572" t="str">
        <f t="shared" si="1"/>
        <v>통신</v>
      </c>
      <c r="E74" s="1565" t="s">
        <v>3517</v>
      </c>
      <c r="F74" s="1566"/>
      <c r="G74" s="1567">
        <v>42000000</v>
      </c>
      <c r="H74" s="1567">
        <v>2900679277</v>
      </c>
    </row>
    <row r="75" spans="1:8" x14ac:dyDescent="0.3">
      <c r="A75" s="1565" t="s">
        <v>3518</v>
      </c>
      <c r="B75" s="1565" t="s">
        <v>3554</v>
      </c>
      <c r="C75" s="1565" t="str">
        <f>VLOOKUP(B75,'사업계획(매출 확정본)'!$M$12:$N$108,2,FALSE)</f>
        <v>고소작업차</v>
      </c>
      <c r="D75" s="1572" t="str">
        <f t="shared" si="1"/>
        <v>전기</v>
      </c>
      <c r="E75" s="1565" t="s">
        <v>3519</v>
      </c>
      <c r="F75" s="1566"/>
      <c r="G75" s="1567">
        <v>53636363</v>
      </c>
      <c r="H75" s="1567">
        <v>2954315640</v>
      </c>
    </row>
    <row r="76" spans="1:8" x14ac:dyDescent="0.3">
      <c r="A76" s="1565" t="s">
        <v>3520</v>
      </c>
      <c r="B76" s="1565" t="s">
        <v>3554</v>
      </c>
      <c r="C76" s="1565" t="str">
        <f>VLOOKUP(B76,'사업계획(매출 확정본)'!$M$12:$N$108,2,FALSE)</f>
        <v>고소작업차</v>
      </c>
      <c r="D76" s="1572" t="str">
        <f t="shared" si="1"/>
        <v>전기</v>
      </c>
      <c r="E76" s="1565" t="s">
        <v>3521</v>
      </c>
      <c r="F76" s="1566"/>
      <c r="G76" s="1567">
        <v>52360000</v>
      </c>
      <c r="H76" s="1567">
        <v>3006675640</v>
      </c>
    </row>
    <row r="77" spans="1:8" x14ac:dyDescent="0.3">
      <c r="A77" s="1565" t="s">
        <v>3522</v>
      </c>
      <c r="B77" s="1565" t="s">
        <v>3550</v>
      </c>
      <c r="C77" s="1565" t="str">
        <f>VLOOKUP(B77,'사업계획(매출 확정본)'!$M$12:$N$108,2,FALSE)</f>
        <v>고소작업차</v>
      </c>
      <c r="D77" s="1572" t="str">
        <f t="shared" si="1"/>
        <v>통신</v>
      </c>
      <c r="E77" s="1565" t="s">
        <v>3523</v>
      </c>
      <c r="F77" s="1566"/>
      <c r="G77" s="1567">
        <v>38000000</v>
      </c>
      <c r="H77" s="1567">
        <v>3044675640</v>
      </c>
    </row>
    <row r="78" spans="1:8" x14ac:dyDescent="0.3">
      <c r="A78" s="1565" t="s">
        <v>3524</v>
      </c>
      <c r="B78" s="1565" t="s">
        <v>3549</v>
      </c>
      <c r="C78" s="1565" t="str">
        <f>VLOOKUP(B78,'사업계획(매출 확정본)'!$M$12:$N$108,2,FALSE)</f>
        <v>고소작업차</v>
      </c>
      <c r="D78" s="1572" t="str">
        <f t="shared" si="1"/>
        <v>통신</v>
      </c>
      <c r="E78" s="1565" t="s">
        <v>3525</v>
      </c>
      <c r="F78" s="1566"/>
      <c r="G78" s="1567">
        <v>31818182</v>
      </c>
      <c r="H78" s="1567">
        <v>3076493822</v>
      </c>
    </row>
    <row r="79" spans="1:8" x14ac:dyDescent="0.3">
      <c r="A79" s="1565" t="s">
        <v>3526</v>
      </c>
      <c r="B79" s="1565" t="s">
        <v>3550</v>
      </c>
      <c r="C79" s="1565" t="str">
        <f>VLOOKUP(B79,'사업계획(매출 확정본)'!$M$12:$N$108,2,FALSE)</f>
        <v>고소작업차</v>
      </c>
      <c r="D79" s="1572" t="str">
        <f t="shared" si="1"/>
        <v>통신</v>
      </c>
      <c r="E79" s="1565" t="s">
        <v>3527</v>
      </c>
      <c r="F79" s="1566"/>
      <c r="G79" s="1567">
        <v>37000000</v>
      </c>
      <c r="H79" s="1567">
        <v>3113493822</v>
      </c>
    </row>
    <row r="80" spans="1:8" x14ac:dyDescent="0.3">
      <c r="A80" s="1565" t="s">
        <v>3528</v>
      </c>
      <c r="B80" s="1565" t="s">
        <v>3550</v>
      </c>
      <c r="C80" s="1565" t="str">
        <f>VLOOKUP(B80,'사업계획(매출 확정본)'!$M$12:$N$108,2,FALSE)</f>
        <v>고소작업차</v>
      </c>
      <c r="D80" s="1572" t="str">
        <f t="shared" si="1"/>
        <v>통신</v>
      </c>
      <c r="E80" s="1565" t="s">
        <v>3529</v>
      </c>
      <c r="F80" s="1566"/>
      <c r="G80" s="1567">
        <v>36363636</v>
      </c>
      <c r="H80" s="1567">
        <v>3149857458</v>
      </c>
    </row>
    <row r="81" spans="1:8" x14ac:dyDescent="0.3">
      <c r="A81" s="1565" t="s">
        <v>3530</v>
      </c>
      <c r="B81" s="1565" t="s">
        <v>3554</v>
      </c>
      <c r="C81" s="1565" t="str">
        <f>VLOOKUP(B81,'사업계획(매출 확정본)'!$M$12:$N$108,2,FALSE)</f>
        <v>고소작업차</v>
      </c>
      <c r="D81" s="1572" t="str">
        <f t="shared" si="1"/>
        <v>전기</v>
      </c>
      <c r="E81" s="1565" t="s">
        <v>3531</v>
      </c>
      <c r="F81" s="1566"/>
      <c r="G81" s="1567">
        <v>51090909</v>
      </c>
      <c r="H81" s="1567">
        <v>3200948367</v>
      </c>
    </row>
    <row r="82" spans="1:8" x14ac:dyDescent="0.3">
      <c r="A82" s="1565" t="s">
        <v>3532</v>
      </c>
      <c r="B82" s="1565" t="s">
        <v>3548</v>
      </c>
      <c r="C82" s="1565" t="str">
        <f>VLOOKUP(B82,'사업계획(매출 확정본)'!$M$12:$N$108,2,FALSE)</f>
        <v>고소작업차</v>
      </c>
      <c r="D82" s="1572" t="str">
        <f t="shared" si="1"/>
        <v>전기</v>
      </c>
      <c r="E82" s="1565" t="s">
        <v>3533</v>
      </c>
      <c r="F82" s="1566"/>
      <c r="G82" s="1567">
        <v>54000000</v>
      </c>
      <c r="H82" s="1567">
        <v>3254948367</v>
      </c>
    </row>
    <row r="83" spans="1:8" x14ac:dyDescent="0.3">
      <c r="A83" s="1565" t="s">
        <v>3534</v>
      </c>
      <c r="B83" s="1565" t="s">
        <v>3557</v>
      </c>
      <c r="C83" s="1565" t="str">
        <f>VLOOKUP(B83,'사업계획(매출 확정본)'!$M$12:$N$108,2,FALSE)</f>
        <v>크레인</v>
      </c>
      <c r="D83" s="1572" t="str">
        <f t="shared" si="1"/>
        <v>건설</v>
      </c>
      <c r="E83" s="1565" t="s">
        <v>3535</v>
      </c>
      <c r="F83" s="1566"/>
      <c r="G83" s="1567">
        <v>14000000</v>
      </c>
      <c r="H83" s="1567">
        <v>3268948367</v>
      </c>
    </row>
    <row r="84" spans="1:8" x14ac:dyDescent="0.3">
      <c r="A84" s="1565" t="s">
        <v>3536</v>
      </c>
      <c r="B84" s="1565" t="s">
        <v>3550</v>
      </c>
      <c r="C84" s="1565" t="str">
        <f>VLOOKUP(B84,'사업계획(매출 확정본)'!$M$12:$N$108,2,FALSE)</f>
        <v>고소작업차</v>
      </c>
      <c r="D84" s="1572" t="str">
        <f t="shared" si="1"/>
        <v>통신</v>
      </c>
      <c r="E84" s="1565" t="s">
        <v>3537</v>
      </c>
      <c r="F84" s="1566"/>
      <c r="G84" s="1567">
        <v>39000000</v>
      </c>
      <c r="H84" s="1567">
        <v>3307948367</v>
      </c>
    </row>
    <row r="85" spans="1:8" x14ac:dyDescent="0.3">
      <c r="A85" s="1565" t="s">
        <v>3538</v>
      </c>
      <c r="B85" s="1565" t="s">
        <v>3550</v>
      </c>
      <c r="C85" s="1565" t="str">
        <f>VLOOKUP(B85,'사업계획(매출 확정본)'!$M$12:$N$108,2,FALSE)</f>
        <v>고소작업차</v>
      </c>
      <c r="D85" s="1572" t="str">
        <f t="shared" si="1"/>
        <v>통신</v>
      </c>
      <c r="E85" s="1565" t="s">
        <v>3539</v>
      </c>
      <c r="F85" s="1566"/>
      <c r="G85" s="1567">
        <v>35909091</v>
      </c>
      <c r="H85" s="1567">
        <v>3343857458</v>
      </c>
    </row>
    <row r="86" spans="1:8" x14ac:dyDescent="0.3">
      <c r="A86" s="1565" t="s">
        <v>3540</v>
      </c>
      <c r="B86" s="1565" t="s">
        <v>3548</v>
      </c>
      <c r="C86" s="1565" t="str">
        <f>VLOOKUP(B86,'사업계획(매출 확정본)'!$M$12:$N$108,2,FALSE)</f>
        <v>고소작업차</v>
      </c>
      <c r="D86" s="1572" t="str">
        <f t="shared" si="1"/>
        <v>전기</v>
      </c>
      <c r="E86" s="1565" t="s">
        <v>3541</v>
      </c>
      <c r="F86" s="1566"/>
      <c r="G86" s="1567">
        <v>54363636</v>
      </c>
      <c r="H86" s="1567">
        <v>3398221094</v>
      </c>
    </row>
    <row r="87" spans="1:8" x14ac:dyDescent="0.3">
      <c r="A87" s="1565" t="s">
        <v>3542</v>
      </c>
      <c r="B87" s="1565" t="s">
        <v>3553</v>
      </c>
      <c r="C87" s="1570" t="s">
        <v>3565</v>
      </c>
      <c r="D87" s="1572" t="str">
        <f t="shared" si="1"/>
        <v>통신</v>
      </c>
      <c r="E87" s="1565" t="s">
        <v>3543</v>
      </c>
      <c r="F87" s="1566"/>
      <c r="G87" s="1567">
        <v>41818182</v>
      </c>
      <c r="H87" s="1567">
        <v>3440039276</v>
      </c>
    </row>
    <row r="88" spans="1:8" x14ac:dyDescent="0.3">
      <c r="A88" s="1568" t="s">
        <v>3544</v>
      </c>
      <c r="B88" s="1565"/>
      <c r="C88" s="1565"/>
      <c r="D88" s="1565"/>
      <c r="E88" s="1565"/>
      <c r="F88" s="1566"/>
      <c r="G88" s="1567">
        <v>3440039276</v>
      </c>
      <c r="H88" s="1569"/>
    </row>
    <row r="89" spans="1:8" x14ac:dyDescent="0.3">
      <c r="A89" s="1568" t="s">
        <v>3545</v>
      </c>
      <c r="B89" s="1565"/>
      <c r="C89" s="1565"/>
      <c r="D89" s="1565"/>
      <c r="E89" s="1565"/>
      <c r="F89" s="1566"/>
      <c r="G89" s="1567">
        <v>3440039276</v>
      </c>
      <c r="H89" s="1567">
        <v>3440039276</v>
      </c>
    </row>
    <row r="90" spans="1:8" x14ac:dyDescent="0.3">
      <c r="A90" s="1572" t="s">
        <v>3546</v>
      </c>
      <c r="B90" s="1572"/>
      <c r="C90" s="1572"/>
      <c r="D90" s="1572"/>
      <c r="E90" s="1572"/>
      <c r="F90" s="1572"/>
      <c r="G90" s="1572"/>
      <c r="H90" s="1572"/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K20"/>
  <sheetViews>
    <sheetView workbookViewId="0">
      <selection activeCell="AB160" sqref="AB160:AD295"/>
    </sheetView>
  </sheetViews>
  <sheetFormatPr defaultColWidth="9" defaultRowHeight="12" x14ac:dyDescent="0.3"/>
  <cols>
    <col min="1" max="2" width="9" style="93"/>
    <col min="3" max="3" width="9.75" style="93" customWidth="1"/>
    <col min="4" max="6" width="9" style="93"/>
    <col min="7" max="7" width="9.125" style="93" bestFit="1" customWidth="1"/>
    <col min="8" max="8" width="9.75" style="93" bestFit="1" customWidth="1"/>
    <col min="9" max="9" width="13.25" style="93" bestFit="1" customWidth="1"/>
    <col min="10" max="10" width="9.125" style="93" bestFit="1" customWidth="1"/>
    <col min="11" max="11" width="13" style="93" bestFit="1" customWidth="1"/>
    <col min="12" max="16384" width="9" style="93"/>
  </cols>
  <sheetData>
    <row r="7" spans="3:11" x14ac:dyDescent="0.3">
      <c r="C7" s="93" t="s">
        <v>3338</v>
      </c>
      <c r="H7" s="93" t="s">
        <v>3339</v>
      </c>
      <c r="I7" s="93">
        <v>1070</v>
      </c>
      <c r="J7" s="93" t="s">
        <v>3340</v>
      </c>
    </row>
    <row r="9" spans="3:11" ht="12.75" thickBot="1" x14ac:dyDescent="0.35"/>
    <row r="10" spans="3:11" ht="12.75" thickBot="1" x14ac:dyDescent="0.35">
      <c r="C10" s="1573" t="s">
        <v>3312</v>
      </c>
      <c r="D10" s="1574" t="s">
        <v>3313</v>
      </c>
      <c r="E10" s="1574" t="s">
        <v>3314</v>
      </c>
      <c r="F10" s="1574" t="s">
        <v>3343</v>
      </c>
      <c r="G10" s="1574" t="s">
        <v>3315</v>
      </c>
      <c r="H10" s="1574" t="s">
        <v>3316</v>
      </c>
      <c r="J10" s="1575" t="s">
        <v>3341</v>
      </c>
      <c r="K10" s="1575" t="s">
        <v>3342</v>
      </c>
    </row>
    <row r="11" spans="3:11" ht="12.75" thickBot="1" x14ac:dyDescent="0.35">
      <c r="C11" s="1576" t="s">
        <v>3317</v>
      </c>
      <c r="D11" s="1577" t="s">
        <v>3318</v>
      </c>
      <c r="E11" s="1577" t="s">
        <v>3319</v>
      </c>
      <c r="F11" s="1577" t="s">
        <v>2157</v>
      </c>
      <c r="G11" s="1577">
        <v>5</v>
      </c>
      <c r="H11" s="1578">
        <v>196250</v>
      </c>
      <c r="I11" s="1579"/>
      <c r="J11" s="1575">
        <v>196250</v>
      </c>
      <c r="K11" s="1580">
        <f>J11*$I$7</f>
        <v>209987500</v>
      </c>
    </row>
    <row r="12" spans="3:11" ht="12.75" thickBot="1" x14ac:dyDescent="0.35">
      <c r="C12" s="1576" t="s">
        <v>3320</v>
      </c>
      <c r="D12" s="1577" t="s">
        <v>3307</v>
      </c>
      <c r="E12" s="1577" t="s">
        <v>3321</v>
      </c>
      <c r="F12" s="1577" t="s">
        <v>2157</v>
      </c>
      <c r="G12" s="1577">
        <v>2</v>
      </c>
      <c r="H12" s="1578">
        <v>102800</v>
      </c>
      <c r="I12" s="1579"/>
      <c r="J12" s="1575">
        <v>102800</v>
      </c>
      <c r="K12" s="1580">
        <f t="shared" ref="K12:K17" si="0">J12*$I$7</f>
        <v>109996000</v>
      </c>
    </row>
    <row r="13" spans="3:11" ht="12.75" thickBot="1" x14ac:dyDescent="0.35">
      <c r="C13" s="1576" t="s">
        <v>3322</v>
      </c>
      <c r="D13" s="1577" t="s">
        <v>3299</v>
      </c>
      <c r="E13" s="1577" t="s">
        <v>3323</v>
      </c>
      <c r="F13" s="1577" t="s">
        <v>2162</v>
      </c>
      <c r="G13" s="1577" t="s">
        <v>3324</v>
      </c>
      <c r="H13" s="1578">
        <v>865000</v>
      </c>
      <c r="I13" s="1579"/>
      <c r="J13" s="1575">
        <v>865000</v>
      </c>
      <c r="K13" s="1580">
        <f t="shared" si="0"/>
        <v>925550000</v>
      </c>
    </row>
    <row r="14" spans="3:11" ht="12.75" thickBot="1" x14ac:dyDescent="0.35">
      <c r="C14" s="1576" t="s">
        <v>3325</v>
      </c>
      <c r="D14" s="1577" t="s">
        <v>3326</v>
      </c>
      <c r="E14" s="1577" t="s">
        <v>3319</v>
      </c>
      <c r="F14" s="1577" t="s">
        <v>2157</v>
      </c>
      <c r="G14" s="1577">
        <v>1</v>
      </c>
      <c r="H14" s="1577" t="s">
        <v>3327</v>
      </c>
      <c r="I14" s="1579"/>
      <c r="J14" s="1575">
        <v>40000</v>
      </c>
      <c r="K14" s="1580">
        <f t="shared" si="0"/>
        <v>42800000</v>
      </c>
    </row>
    <row r="15" spans="3:11" ht="12.75" thickBot="1" x14ac:dyDescent="0.35">
      <c r="C15" s="1576" t="s">
        <v>3324</v>
      </c>
      <c r="D15" s="1577" t="s">
        <v>3299</v>
      </c>
      <c r="E15" s="1577" t="s">
        <v>3328</v>
      </c>
      <c r="F15" s="1577" t="s">
        <v>2157</v>
      </c>
      <c r="G15" s="1577" t="s">
        <v>3317</v>
      </c>
      <c r="H15" s="1578">
        <v>38000</v>
      </c>
      <c r="I15" s="1579"/>
      <c r="J15" s="1575">
        <v>38000</v>
      </c>
      <c r="K15" s="1580">
        <f t="shared" si="0"/>
        <v>40660000</v>
      </c>
    </row>
    <row r="16" spans="3:11" ht="24.75" thickBot="1" x14ac:dyDescent="0.35">
      <c r="C16" s="1576" t="s">
        <v>3329</v>
      </c>
      <c r="D16" s="1577" t="s">
        <v>3298</v>
      </c>
      <c r="E16" s="1577" t="s">
        <v>3330</v>
      </c>
      <c r="F16" s="1577" t="s">
        <v>2162</v>
      </c>
      <c r="G16" s="1577" t="s">
        <v>3324</v>
      </c>
      <c r="H16" s="1577" t="s">
        <v>3331</v>
      </c>
      <c r="I16" s="1579"/>
      <c r="J16" s="1575">
        <v>1475000</v>
      </c>
      <c r="K16" s="1580">
        <f t="shared" si="0"/>
        <v>1578250000</v>
      </c>
    </row>
    <row r="17" spans="3:11" ht="12.75" thickBot="1" x14ac:dyDescent="0.35">
      <c r="C17" s="1576" t="s">
        <v>3332</v>
      </c>
      <c r="D17" s="1577" t="s">
        <v>3333</v>
      </c>
      <c r="E17" s="1577" t="s">
        <v>3334</v>
      </c>
      <c r="F17" s="1577" t="s">
        <v>2162</v>
      </c>
      <c r="G17" s="1577" t="s">
        <v>3324</v>
      </c>
      <c r="H17" s="1578">
        <v>1125000</v>
      </c>
      <c r="I17" s="1579"/>
      <c r="J17" s="1575">
        <v>1125000</v>
      </c>
      <c r="K17" s="1580">
        <f t="shared" si="0"/>
        <v>1203750000</v>
      </c>
    </row>
    <row r="18" spans="3:11" ht="12.75" thickBot="1" x14ac:dyDescent="0.35">
      <c r="C18" s="1576" t="s">
        <v>3335</v>
      </c>
      <c r="D18" s="1577"/>
      <c r="E18" s="1577"/>
      <c r="F18" s="1577"/>
      <c r="G18" s="1577">
        <v>24</v>
      </c>
      <c r="H18" s="1577" t="s">
        <v>3336</v>
      </c>
      <c r="I18" s="1579"/>
      <c r="J18" s="1580">
        <f>SUM(J11:J17)</f>
        <v>3842050</v>
      </c>
      <c r="K18" s="1580">
        <f>SUM(K11:K17)</f>
        <v>4110993500</v>
      </c>
    </row>
    <row r="19" spans="3:11" x14ac:dyDescent="0.3">
      <c r="C19" s="1581" t="s">
        <v>3337</v>
      </c>
    </row>
    <row r="20" spans="3:11" x14ac:dyDescent="0.3">
      <c r="C20" s="1582"/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O176"/>
  <sheetViews>
    <sheetView showGridLines="0" topLeftCell="A6" workbookViewId="0">
      <selection activeCell="F12" sqref="F12:F14"/>
    </sheetView>
  </sheetViews>
  <sheetFormatPr defaultColWidth="8.75" defaultRowHeight="12" x14ac:dyDescent="0.3"/>
  <cols>
    <col min="1" max="1" width="3" style="159" customWidth="1"/>
    <col min="2" max="2" width="25.75" style="159" customWidth="1"/>
    <col min="3" max="7" width="15.625" style="159" customWidth="1"/>
    <col min="8" max="12" width="9.625" style="159" customWidth="1"/>
    <col min="13" max="13" width="9.625" style="108" customWidth="1"/>
    <col min="14" max="14" width="3" style="159" customWidth="1"/>
    <col min="15" max="15" width="13" style="65" bestFit="1" customWidth="1"/>
    <col min="16" max="16384" width="8.75" style="159"/>
  </cols>
  <sheetData>
    <row r="1" spans="2:15" s="153" customFormat="1" ht="30" customHeight="1" x14ac:dyDescent="0.3">
      <c r="B1" s="373" t="str">
        <f>"Project"&amp;" "&amp;Title!L6</f>
        <v>Project SVG1</v>
      </c>
      <c r="C1" s="374"/>
      <c r="D1" s="374"/>
      <c r="E1" s="374"/>
      <c r="F1" s="374"/>
      <c r="G1" s="374"/>
      <c r="H1" s="255"/>
      <c r="I1" s="255"/>
      <c r="J1" s="255"/>
      <c r="K1" s="255"/>
      <c r="L1" s="255"/>
      <c r="M1" s="256" t="str">
        <f>Des!C12</f>
        <v>DRAFT - For Discussion Purposes Only</v>
      </c>
      <c r="O1" s="51"/>
    </row>
    <row r="2" spans="2:15" s="153" customFormat="1" ht="20.100000000000001" customHeight="1" x14ac:dyDescent="0.3">
      <c r="B2" s="321" t="s">
        <v>387</v>
      </c>
      <c r="C2" s="321"/>
      <c r="D2" s="321"/>
      <c r="E2" s="321"/>
      <c r="F2" s="321"/>
      <c r="G2" s="321"/>
      <c r="H2" s="257"/>
      <c r="I2" s="257"/>
      <c r="J2" s="257"/>
      <c r="K2" s="257"/>
      <c r="L2" s="257"/>
      <c r="M2" s="257"/>
      <c r="O2" s="51"/>
    </row>
    <row r="3" spans="2:15" s="153" customFormat="1" ht="14.1" customHeight="1" thickBot="1" x14ac:dyDescent="0.35">
      <c r="F3" s="537" t="s">
        <v>458</v>
      </c>
      <c r="M3" s="37"/>
      <c r="O3" s="51"/>
    </row>
    <row r="4" spans="2:15" ht="13.5" customHeight="1" x14ac:dyDescent="0.3">
      <c r="B4" s="657" t="s">
        <v>381</v>
      </c>
      <c r="C4" s="658" t="s">
        <v>382</v>
      </c>
      <c r="D4" s="658" t="s">
        <v>383</v>
      </c>
      <c r="E4" s="658" t="s">
        <v>384</v>
      </c>
      <c r="F4" s="659" t="s">
        <v>3253</v>
      </c>
      <c r="G4" s="506"/>
      <c r="H4" s="505"/>
      <c r="I4" s="505"/>
      <c r="J4" s="505"/>
      <c r="K4" s="505"/>
      <c r="L4" s="505"/>
      <c r="M4" s="506"/>
    </row>
    <row r="5" spans="2:15" s="65" customFormat="1" ht="13.5" customHeight="1" x14ac:dyDescent="0.3">
      <c r="B5" s="664" t="s">
        <v>388</v>
      </c>
      <c r="C5" s="543"/>
      <c r="D5" s="544"/>
      <c r="E5" s="652"/>
      <c r="F5" s="539"/>
      <c r="G5" s="103"/>
      <c r="H5" s="90"/>
      <c r="I5" s="90"/>
      <c r="J5" s="90"/>
      <c r="K5" s="90"/>
      <c r="L5" s="90"/>
      <c r="M5" s="90"/>
    </row>
    <row r="6" spans="2:15" s="65" customFormat="1" ht="13.5" customHeight="1" x14ac:dyDescent="0.3">
      <c r="B6" s="664" t="s">
        <v>389</v>
      </c>
      <c r="C6" s="545">
        <v>28819172811</v>
      </c>
      <c r="D6" s="544">
        <v>33270657031</v>
      </c>
      <c r="E6" s="544">
        <v>44487124207</v>
      </c>
      <c r="F6" s="1493">
        <v>59821973009.699997</v>
      </c>
      <c r="G6" s="103"/>
      <c r="H6" s="90"/>
      <c r="I6" s="90"/>
      <c r="J6" s="90"/>
      <c r="K6" s="90"/>
      <c r="L6" s="90"/>
      <c r="M6" s="90"/>
    </row>
    <row r="7" spans="2:15" ht="13.5" customHeight="1" x14ac:dyDescent="0.3">
      <c r="B7" s="664"/>
      <c r="C7" s="545">
        <v>24214102870</v>
      </c>
      <c r="D7" s="544">
        <v>25324329773</v>
      </c>
      <c r="E7" s="544">
        <v>35615923828</v>
      </c>
      <c r="F7" s="540"/>
      <c r="G7" s="507"/>
      <c r="H7" s="507"/>
      <c r="I7" s="507"/>
      <c r="J7" s="507"/>
      <c r="K7" s="507"/>
      <c r="L7" s="507"/>
      <c r="M7" s="507"/>
    </row>
    <row r="8" spans="2:15" x14ac:dyDescent="0.3">
      <c r="B8" s="665" t="s">
        <v>390</v>
      </c>
      <c r="C8" s="516">
        <v>10027260</v>
      </c>
      <c r="D8" s="517">
        <v>388200</v>
      </c>
      <c r="E8" s="517">
        <v>1626850</v>
      </c>
      <c r="F8" s="1494">
        <f>'2017년 가결산 BS'!E14</f>
        <v>3758100</v>
      </c>
    </row>
    <row r="9" spans="2:15" ht="13.5" customHeight="1" x14ac:dyDescent="0.3">
      <c r="B9" s="665" t="s">
        <v>391</v>
      </c>
      <c r="C9" s="516">
        <v>8410574</v>
      </c>
      <c r="D9" s="517">
        <v>3201347869</v>
      </c>
      <c r="E9" s="517">
        <v>3450149888</v>
      </c>
      <c r="F9" s="1494">
        <f>'2017년 가결산 BS'!E15</f>
        <v>7790094902</v>
      </c>
      <c r="G9" s="113"/>
      <c r="H9" s="113"/>
      <c r="I9" s="113"/>
      <c r="J9" s="113"/>
      <c r="K9" s="113"/>
      <c r="L9" s="113"/>
      <c r="M9" s="109"/>
    </row>
    <row r="10" spans="2:15" ht="13.5" customHeight="1" x14ac:dyDescent="0.3">
      <c r="B10" s="665" t="s">
        <v>392</v>
      </c>
      <c r="C10" s="516">
        <v>20648610273</v>
      </c>
      <c r="D10" s="517">
        <v>19609641823</v>
      </c>
      <c r="E10" s="517">
        <v>30418901350</v>
      </c>
      <c r="F10" s="1494">
        <f>'2017년 가결산 BS'!E16</f>
        <v>35929251038</v>
      </c>
      <c r="G10" s="113"/>
      <c r="H10" s="113"/>
      <c r="I10" s="113"/>
      <c r="J10" s="113"/>
      <c r="K10" s="113"/>
      <c r="L10" s="113"/>
      <c r="M10" s="109"/>
    </row>
    <row r="11" spans="2:15" ht="13.5" customHeight="1" x14ac:dyDescent="0.3">
      <c r="B11" s="665" t="s">
        <v>393</v>
      </c>
      <c r="C11" s="516">
        <v>110000000</v>
      </c>
      <c r="D11" s="517">
        <v>0</v>
      </c>
      <c r="E11" s="653">
        <v>0</v>
      </c>
      <c r="F11" s="541"/>
      <c r="G11" s="113"/>
      <c r="H11" s="113"/>
      <c r="I11" s="113"/>
      <c r="J11" s="113"/>
      <c r="K11" s="113"/>
      <c r="L11" s="113"/>
      <c r="M11" s="109"/>
    </row>
    <row r="12" spans="2:15" ht="13.5" customHeight="1" x14ac:dyDescent="0.3">
      <c r="B12" s="666" t="s">
        <v>394</v>
      </c>
      <c r="C12" s="668">
        <v>2142426450</v>
      </c>
      <c r="D12" s="669">
        <v>1238587380</v>
      </c>
      <c r="E12" s="669">
        <v>775725730</v>
      </c>
      <c r="F12" s="1494">
        <f>'2017년 가결산 BS'!D17</f>
        <v>3217098106</v>
      </c>
      <c r="G12" s="113"/>
      <c r="H12" s="113"/>
      <c r="I12" s="113"/>
      <c r="J12" s="113"/>
      <c r="K12" s="113"/>
      <c r="L12" s="113"/>
      <c r="M12" s="109"/>
    </row>
    <row r="13" spans="2:15" ht="13.5" customHeight="1" x14ac:dyDescent="0.3">
      <c r="B13" s="666" t="s">
        <v>395</v>
      </c>
      <c r="C13" s="668">
        <v>-39287175</v>
      </c>
      <c r="D13" s="669">
        <v>-42063973</v>
      </c>
      <c r="E13" s="669">
        <v>-7550736</v>
      </c>
      <c r="F13" s="1494">
        <f>-'2017년 가결산 BS'!D18</f>
        <v>-32170981</v>
      </c>
      <c r="G13" s="113"/>
      <c r="H13" s="113"/>
      <c r="I13" s="113"/>
      <c r="J13" s="113"/>
      <c r="K13" s="113"/>
      <c r="L13" s="113"/>
      <c r="M13" s="109"/>
    </row>
    <row r="14" spans="2:15" ht="13.5" customHeight="1" x14ac:dyDescent="0.3">
      <c r="B14" s="666" t="s">
        <v>396</v>
      </c>
      <c r="C14" s="668">
        <v>0</v>
      </c>
      <c r="D14" s="669">
        <v>293323047</v>
      </c>
      <c r="E14" s="670"/>
      <c r="F14" s="1494">
        <f>'2017년 가결산 BS'!D19-'2017년 가결산 BS'!D20</f>
        <v>1273702509</v>
      </c>
      <c r="G14" s="113"/>
      <c r="H14" s="113"/>
      <c r="I14" s="113"/>
      <c r="J14" s="113"/>
      <c r="K14" s="113"/>
      <c r="L14" s="113"/>
      <c r="M14" s="109"/>
    </row>
    <row r="15" spans="2:15" ht="13.5" customHeight="1" x14ac:dyDescent="0.3">
      <c r="B15" s="665" t="s">
        <v>397</v>
      </c>
      <c r="C15" s="516">
        <v>0</v>
      </c>
      <c r="D15" s="517">
        <v>200000000</v>
      </c>
      <c r="E15" s="517">
        <v>200000000</v>
      </c>
      <c r="F15" s="1494">
        <v>100000000</v>
      </c>
      <c r="G15" s="113"/>
      <c r="H15" s="113"/>
      <c r="I15" s="113"/>
      <c r="J15" s="113"/>
      <c r="K15" s="113"/>
      <c r="L15" s="113"/>
      <c r="M15" s="109"/>
    </row>
    <row r="16" spans="2:15" ht="13.5" customHeight="1" x14ac:dyDescent="0.3">
      <c r="B16" s="665" t="s">
        <v>395</v>
      </c>
      <c r="C16" s="516"/>
      <c r="D16" s="517"/>
      <c r="E16" s="517">
        <v>2000000</v>
      </c>
      <c r="F16" s="1494">
        <f>-'2017년 가결산 BS'!D22</f>
        <v>-1000000</v>
      </c>
      <c r="G16" s="113"/>
      <c r="H16" s="113"/>
      <c r="I16" s="113"/>
      <c r="J16" s="113"/>
      <c r="K16" s="113"/>
      <c r="L16" s="113"/>
      <c r="M16" s="109"/>
    </row>
    <row r="17" spans="2:13" ht="13.5" customHeight="1" x14ac:dyDescent="0.3">
      <c r="B17" s="665" t="s">
        <v>398</v>
      </c>
      <c r="C17" s="516">
        <v>453240734</v>
      </c>
      <c r="D17" s="517">
        <v>367113034</v>
      </c>
      <c r="E17" s="517">
        <v>429310739</v>
      </c>
      <c r="F17" s="541"/>
      <c r="G17" s="113"/>
      <c r="H17" s="113"/>
      <c r="I17" s="113"/>
      <c r="J17" s="113"/>
      <c r="K17" s="113"/>
      <c r="L17" s="113"/>
      <c r="M17" s="109"/>
    </row>
    <row r="18" spans="2:13" ht="13.5" customHeight="1" x14ac:dyDescent="0.3">
      <c r="B18" s="665" t="s">
        <v>399</v>
      </c>
      <c r="C18" s="516"/>
      <c r="D18" s="517">
        <v>170268940</v>
      </c>
      <c r="E18" s="517">
        <v>122067717</v>
      </c>
      <c r="F18" s="541"/>
      <c r="G18" s="113"/>
      <c r="H18" s="113"/>
      <c r="I18" s="113"/>
      <c r="J18" s="113"/>
      <c r="K18" s="113"/>
      <c r="L18" s="113"/>
      <c r="M18" s="109"/>
    </row>
    <row r="19" spans="2:13" ht="13.5" customHeight="1" x14ac:dyDescent="0.3">
      <c r="B19" s="665" t="s">
        <v>395</v>
      </c>
      <c r="C19" s="516">
        <v>148458397</v>
      </c>
      <c r="D19" s="517">
        <v>4450636</v>
      </c>
      <c r="E19" s="517">
        <v>5415858</v>
      </c>
      <c r="F19" s="541"/>
      <c r="G19" s="113"/>
      <c r="H19" s="113"/>
      <c r="I19" s="113"/>
      <c r="J19" s="113"/>
      <c r="K19" s="113"/>
      <c r="L19" s="113"/>
      <c r="M19" s="109"/>
    </row>
    <row r="20" spans="2:13" ht="13.5" customHeight="1" x14ac:dyDescent="0.3">
      <c r="B20" s="666" t="s">
        <v>400</v>
      </c>
      <c r="C20" s="668">
        <v>705562064</v>
      </c>
      <c r="D20" s="669">
        <v>260375326</v>
      </c>
      <c r="E20" s="669">
        <v>204485240</v>
      </c>
      <c r="F20" s="1494">
        <f>'2017년 가결산 BS'!D28</f>
        <v>204212540</v>
      </c>
      <c r="G20" s="113"/>
      <c r="H20" s="113"/>
      <c r="I20" s="113"/>
      <c r="J20" s="113"/>
      <c r="K20" s="113"/>
      <c r="L20" s="113"/>
      <c r="M20" s="109"/>
    </row>
    <row r="21" spans="2:13" ht="13.5" customHeight="1" x14ac:dyDescent="0.3">
      <c r="B21" s="665" t="s">
        <v>395</v>
      </c>
      <c r="C21" s="516"/>
      <c r="D21" s="517"/>
      <c r="E21" s="517">
        <v>2044852</v>
      </c>
      <c r="F21" s="541"/>
      <c r="G21" s="113"/>
      <c r="H21" s="113"/>
      <c r="I21" s="113"/>
      <c r="J21" s="113"/>
      <c r="K21" s="113"/>
      <c r="L21" s="113"/>
      <c r="M21" s="109"/>
    </row>
    <row r="22" spans="2:13" ht="13.5" customHeight="1" x14ac:dyDescent="0.3">
      <c r="B22" s="665" t="s">
        <v>401</v>
      </c>
      <c r="C22" s="516">
        <v>26654293</v>
      </c>
      <c r="D22" s="517">
        <v>29798763</v>
      </c>
      <c r="E22" s="517">
        <v>30667760</v>
      </c>
      <c r="F22" s="541"/>
      <c r="G22" s="113"/>
      <c r="H22" s="113"/>
      <c r="I22" s="113"/>
      <c r="J22" s="113"/>
      <c r="K22" s="113"/>
      <c r="L22" s="113"/>
      <c r="M22" s="109"/>
    </row>
    <row r="23" spans="2:13" ht="13.5" customHeight="1" x14ac:dyDescent="0.3">
      <c r="B23" s="664" t="s">
        <v>402</v>
      </c>
      <c r="C23" s="543">
        <v>4605069941</v>
      </c>
      <c r="D23" s="544">
        <v>7946327258</v>
      </c>
      <c r="E23" s="544">
        <v>8871200379</v>
      </c>
      <c r="F23" s="1493">
        <f>'2017년 가결산 BS'!E31</f>
        <v>6460561743</v>
      </c>
      <c r="G23" s="113"/>
      <c r="H23" s="113"/>
      <c r="I23" s="113"/>
      <c r="J23" s="113"/>
      <c r="K23" s="113"/>
      <c r="L23" s="113"/>
      <c r="M23" s="109"/>
    </row>
    <row r="24" spans="2:13" ht="13.5" customHeight="1" x14ac:dyDescent="0.3">
      <c r="B24" s="665" t="s">
        <v>403</v>
      </c>
      <c r="C24" s="516">
        <v>2149415800</v>
      </c>
      <c r="D24" s="517">
        <v>2182546835</v>
      </c>
      <c r="E24" s="517">
        <v>3760997894</v>
      </c>
      <c r="F24" s="541"/>
      <c r="G24" s="113"/>
      <c r="H24" s="113"/>
      <c r="I24" s="113"/>
      <c r="J24" s="113"/>
      <c r="K24" s="113"/>
      <c r="L24" s="113"/>
      <c r="M24" s="109"/>
    </row>
    <row r="25" spans="2:13" ht="13.5" customHeight="1" x14ac:dyDescent="0.3">
      <c r="B25" s="665" t="s">
        <v>404</v>
      </c>
      <c r="C25" s="516">
        <v>2455654141</v>
      </c>
      <c r="D25" s="517">
        <v>5763780423</v>
      </c>
      <c r="E25" s="517">
        <v>5110202485</v>
      </c>
      <c r="F25" s="541"/>
      <c r="G25" s="113"/>
      <c r="H25" s="113"/>
      <c r="I25" s="113"/>
      <c r="J25" s="113"/>
      <c r="K25" s="113"/>
      <c r="L25" s="113"/>
      <c r="M25" s="109"/>
    </row>
    <row r="26" spans="2:13" ht="13.5" customHeight="1" x14ac:dyDescent="0.3">
      <c r="B26" s="664" t="s">
        <v>405</v>
      </c>
      <c r="C26" s="543">
        <v>17752454980</v>
      </c>
      <c r="D26" s="544">
        <v>17614181034</v>
      </c>
      <c r="E26" s="544">
        <v>20440484261</v>
      </c>
      <c r="F26" s="1493">
        <f>'2017년 가결산 BS'!E34</f>
        <v>19755748731</v>
      </c>
      <c r="G26" s="113"/>
      <c r="H26" s="113"/>
      <c r="I26" s="113"/>
      <c r="J26" s="113"/>
      <c r="K26" s="113"/>
      <c r="L26" s="113"/>
      <c r="M26" s="109"/>
    </row>
    <row r="27" spans="2:13" ht="13.5" customHeight="1" x14ac:dyDescent="0.3">
      <c r="B27" s="664" t="s">
        <v>406</v>
      </c>
      <c r="C27" s="543">
        <v>299000000</v>
      </c>
      <c r="D27" s="544">
        <v>299000000</v>
      </c>
      <c r="E27" s="544">
        <v>2000000</v>
      </c>
      <c r="F27" s="1493">
        <f>'2017년 가결산 BS'!E35</f>
        <v>90908770</v>
      </c>
      <c r="G27" s="113"/>
      <c r="H27" s="113"/>
      <c r="I27" s="113"/>
      <c r="J27" s="113"/>
      <c r="K27" s="113"/>
      <c r="L27" s="113"/>
      <c r="M27" s="109"/>
    </row>
    <row r="28" spans="2:13" ht="13.5" customHeight="1" x14ac:dyDescent="0.3">
      <c r="B28" s="665" t="s">
        <v>407</v>
      </c>
      <c r="C28" s="516">
        <v>297000000</v>
      </c>
      <c r="D28" s="517">
        <v>297000000</v>
      </c>
      <c r="E28" s="517">
        <v>0</v>
      </c>
      <c r="F28" s="541"/>
      <c r="G28" s="113"/>
      <c r="H28" s="113"/>
      <c r="I28" s="113"/>
      <c r="J28" s="113"/>
      <c r="K28" s="113"/>
      <c r="L28" s="113"/>
      <c r="M28" s="109"/>
    </row>
    <row r="29" spans="2:13" ht="13.5" customHeight="1" x14ac:dyDescent="0.3">
      <c r="B29" s="665" t="s">
        <v>408</v>
      </c>
      <c r="C29" s="516">
        <v>2000000</v>
      </c>
      <c r="D29" s="517">
        <v>2000000</v>
      </c>
      <c r="E29" s="517">
        <v>2000000</v>
      </c>
      <c r="F29" s="541"/>
      <c r="G29" s="113"/>
      <c r="H29" s="113"/>
      <c r="I29" s="113"/>
      <c r="J29" s="113"/>
      <c r="K29" s="113"/>
      <c r="L29" s="113"/>
      <c r="M29" s="109"/>
    </row>
    <row r="30" spans="2:13" ht="13.5" customHeight="1" x14ac:dyDescent="0.3">
      <c r="B30" s="664" t="s">
        <v>409</v>
      </c>
      <c r="C30" s="543">
        <v>16821984359</v>
      </c>
      <c r="D30" s="544">
        <v>16715956145</v>
      </c>
      <c r="E30" s="544">
        <v>18614617387</v>
      </c>
      <c r="F30" s="1493">
        <f>'2017년 가결산 BS'!E38</f>
        <v>18079670680</v>
      </c>
      <c r="G30" s="113"/>
      <c r="H30" s="113"/>
      <c r="I30" s="113"/>
      <c r="J30" s="113"/>
      <c r="K30" s="113"/>
      <c r="L30" s="113"/>
      <c r="M30" s="109"/>
    </row>
    <row r="31" spans="2:13" ht="13.5" customHeight="1" x14ac:dyDescent="0.3">
      <c r="B31" s="665" t="s">
        <v>410</v>
      </c>
      <c r="C31" s="516">
        <v>8134546587</v>
      </c>
      <c r="D31" s="517">
        <v>8296730287</v>
      </c>
      <c r="E31" s="517">
        <v>8516167477</v>
      </c>
      <c r="F31" s="541"/>
      <c r="G31" s="113"/>
      <c r="H31" s="113"/>
      <c r="I31" s="113"/>
      <c r="J31" s="113"/>
      <c r="K31" s="113"/>
      <c r="L31" s="113"/>
      <c r="M31" s="109"/>
    </row>
    <row r="32" spans="2:13" ht="13.5" customHeight="1" x14ac:dyDescent="0.3">
      <c r="B32" s="665" t="s">
        <v>411</v>
      </c>
      <c r="C32" s="516">
        <v>8001661124</v>
      </c>
      <c r="D32" s="517">
        <v>8264667824</v>
      </c>
      <c r="E32" s="517">
        <v>9829673326</v>
      </c>
      <c r="F32" s="541"/>
      <c r="G32" s="113"/>
      <c r="H32" s="113"/>
      <c r="I32" s="113"/>
      <c r="J32" s="113"/>
      <c r="K32" s="113"/>
      <c r="L32" s="113"/>
      <c r="M32" s="109"/>
    </row>
    <row r="33" spans="2:13" ht="13.5" customHeight="1" x14ac:dyDescent="0.3">
      <c r="B33" s="665" t="s">
        <v>412</v>
      </c>
      <c r="C33" s="516">
        <v>1491025340</v>
      </c>
      <c r="D33" s="517">
        <v>1687845385</v>
      </c>
      <c r="E33" s="517">
        <v>1908108778</v>
      </c>
      <c r="F33" s="541"/>
      <c r="G33" s="113"/>
      <c r="H33" s="113"/>
      <c r="I33" s="113"/>
      <c r="J33" s="113"/>
      <c r="K33" s="113"/>
      <c r="L33" s="113"/>
      <c r="M33" s="109"/>
    </row>
    <row r="34" spans="2:13" ht="13.5" customHeight="1" x14ac:dyDescent="0.3">
      <c r="B34" s="665" t="s">
        <v>413</v>
      </c>
      <c r="C34" s="516">
        <v>349703167</v>
      </c>
      <c r="D34" s="517">
        <v>383554857</v>
      </c>
      <c r="E34" s="517">
        <v>383554857</v>
      </c>
      <c r="F34" s="541"/>
      <c r="G34" s="113"/>
      <c r="H34" s="113"/>
      <c r="I34" s="113"/>
      <c r="J34" s="113"/>
      <c r="K34" s="113"/>
      <c r="L34" s="113"/>
      <c r="M34" s="109"/>
    </row>
    <row r="35" spans="2:13" ht="13.5" customHeight="1" x14ac:dyDescent="0.3">
      <c r="B35" s="665" t="s">
        <v>412</v>
      </c>
      <c r="C35" s="516">
        <v>74262463</v>
      </c>
      <c r="D35" s="517">
        <v>83357661</v>
      </c>
      <c r="E35" s="517">
        <v>92946530</v>
      </c>
      <c r="F35" s="541"/>
      <c r="G35" s="113"/>
      <c r="H35" s="113"/>
      <c r="I35" s="113"/>
      <c r="J35" s="113"/>
      <c r="K35" s="113"/>
      <c r="L35" s="113"/>
      <c r="M35" s="109"/>
    </row>
    <row r="36" spans="2:13" ht="13.5" customHeight="1" x14ac:dyDescent="0.3">
      <c r="B36" s="665" t="s">
        <v>414</v>
      </c>
      <c r="C36" s="516">
        <v>4670312415</v>
      </c>
      <c r="D36" s="517">
        <v>4534088231</v>
      </c>
      <c r="E36" s="517">
        <v>5452423596</v>
      </c>
      <c r="F36" s="541"/>
      <c r="G36" s="113"/>
      <c r="H36" s="113"/>
      <c r="I36" s="113"/>
      <c r="J36" s="113"/>
      <c r="K36" s="113"/>
      <c r="L36" s="113"/>
      <c r="M36" s="109"/>
    </row>
    <row r="37" spans="2:13" ht="13.5" customHeight="1" x14ac:dyDescent="0.3">
      <c r="B37" s="665" t="s">
        <v>412</v>
      </c>
      <c r="C37" s="516">
        <v>3322771207</v>
      </c>
      <c r="D37" s="517">
        <v>3477198383</v>
      </c>
      <c r="E37" s="517">
        <v>3842961190</v>
      </c>
      <c r="F37" s="541"/>
      <c r="G37" s="113"/>
      <c r="H37" s="113"/>
      <c r="I37" s="113"/>
      <c r="J37" s="113"/>
      <c r="K37" s="113"/>
      <c r="L37" s="113"/>
      <c r="M37" s="109"/>
    </row>
    <row r="38" spans="2:13" ht="13.5" customHeight="1" x14ac:dyDescent="0.3">
      <c r="B38" s="665" t="s">
        <v>415</v>
      </c>
      <c r="C38" s="516">
        <v>511182004</v>
      </c>
      <c r="D38" s="517">
        <v>620950423</v>
      </c>
      <c r="E38" s="517">
        <v>813122377</v>
      </c>
      <c r="F38" s="541"/>
      <c r="G38" s="113"/>
      <c r="H38" s="113"/>
      <c r="I38" s="113"/>
      <c r="J38" s="113"/>
      <c r="K38" s="113"/>
      <c r="L38" s="113"/>
      <c r="M38" s="109"/>
    </row>
    <row r="39" spans="2:13" ht="13.5" customHeight="1" x14ac:dyDescent="0.3">
      <c r="B39" s="665" t="s">
        <v>412</v>
      </c>
      <c r="C39" s="516">
        <v>390534749</v>
      </c>
      <c r="D39" s="517">
        <v>435766797</v>
      </c>
      <c r="E39" s="517">
        <v>580088525</v>
      </c>
      <c r="F39" s="541"/>
      <c r="G39" s="113"/>
      <c r="H39" s="113"/>
      <c r="I39" s="113"/>
      <c r="J39" s="113"/>
      <c r="K39" s="113"/>
      <c r="L39" s="113"/>
      <c r="M39" s="109"/>
    </row>
    <row r="40" spans="2:13" ht="13.5" customHeight="1" x14ac:dyDescent="0.3">
      <c r="B40" s="665" t="s">
        <v>416</v>
      </c>
      <c r="C40" s="516">
        <v>284579330</v>
      </c>
      <c r="D40" s="517">
        <v>291339330</v>
      </c>
      <c r="E40" s="517">
        <v>267271150</v>
      </c>
      <c r="F40" s="541"/>
      <c r="G40" s="113"/>
      <c r="H40" s="113"/>
      <c r="I40" s="113"/>
      <c r="J40" s="113"/>
      <c r="K40" s="113"/>
      <c r="L40" s="113"/>
      <c r="M40" s="109"/>
    </row>
    <row r="41" spans="2:13" ht="13.5" customHeight="1" x14ac:dyDescent="0.3">
      <c r="B41" s="665" t="s">
        <v>412</v>
      </c>
      <c r="C41" s="516">
        <v>245644573</v>
      </c>
      <c r="D41" s="517">
        <v>264466344</v>
      </c>
      <c r="E41" s="517">
        <v>248437947</v>
      </c>
      <c r="F41" s="541"/>
      <c r="G41" s="113"/>
      <c r="H41" s="113"/>
      <c r="I41" s="113"/>
      <c r="J41" s="113"/>
      <c r="K41" s="113"/>
      <c r="L41" s="113"/>
      <c r="M41" s="109"/>
    </row>
    <row r="42" spans="2:13" ht="13.5" customHeight="1" x14ac:dyDescent="0.3">
      <c r="B42" s="665" t="s">
        <v>417</v>
      </c>
      <c r="C42" s="516">
        <v>114614546</v>
      </c>
      <c r="D42" s="517">
        <v>151110001</v>
      </c>
      <c r="E42" s="517">
        <v>161240001</v>
      </c>
      <c r="F42" s="541"/>
      <c r="G42" s="113"/>
      <c r="H42" s="113"/>
      <c r="I42" s="113"/>
      <c r="J42" s="113"/>
      <c r="K42" s="113"/>
      <c r="L42" s="113"/>
      <c r="M42" s="109"/>
    </row>
    <row r="43" spans="2:13" ht="13.5" customHeight="1" x14ac:dyDescent="0.3">
      <c r="B43" s="665" t="s">
        <v>412</v>
      </c>
      <c r="C43" s="516">
        <v>95536424</v>
      </c>
      <c r="D43" s="517">
        <v>117630780</v>
      </c>
      <c r="E43" s="517">
        <v>136292427</v>
      </c>
      <c r="F43" s="541"/>
      <c r="G43" s="113"/>
      <c r="H43" s="113"/>
      <c r="I43" s="113"/>
      <c r="J43" s="113"/>
      <c r="K43" s="113"/>
      <c r="L43" s="113"/>
      <c r="M43" s="109"/>
    </row>
    <row r="44" spans="2:13" ht="13.5" customHeight="1" x14ac:dyDescent="0.3">
      <c r="B44" s="665" t="s">
        <v>418</v>
      </c>
      <c r="C44" s="516">
        <v>375159942</v>
      </c>
      <c r="D44" s="517">
        <v>239780542</v>
      </c>
      <c r="E44" s="517">
        <v>0</v>
      </c>
      <c r="F44" s="541"/>
      <c r="G44" s="113"/>
      <c r="H44" s="113"/>
      <c r="I44" s="113"/>
      <c r="J44" s="113"/>
      <c r="K44" s="113"/>
      <c r="L44" s="113"/>
      <c r="M44" s="109"/>
    </row>
    <row r="45" spans="2:13" ht="13.5" customHeight="1" x14ac:dyDescent="0.3">
      <c r="B45" s="664" t="s">
        <v>419</v>
      </c>
      <c r="C45" s="543">
        <v>30158985</v>
      </c>
      <c r="D45" s="544">
        <v>128635253</v>
      </c>
      <c r="E45" s="544">
        <v>1453083238</v>
      </c>
      <c r="F45" s="541"/>
      <c r="G45" s="113"/>
      <c r="H45" s="113"/>
      <c r="I45" s="113"/>
      <c r="J45" s="113"/>
      <c r="K45" s="113"/>
      <c r="L45" s="113"/>
      <c r="M45" s="109"/>
    </row>
    <row r="46" spans="2:13" ht="13.5" customHeight="1" x14ac:dyDescent="0.3">
      <c r="B46" s="665" t="s">
        <v>460</v>
      </c>
      <c r="C46" s="543"/>
      <c r="D46" s="544"/>
      <c r="E46" s="517">
        <v>1295575000</v>
      </c>
      <c r="F46" s="541"/>
      <c r="G46" s="113"/>
      <c r="H46" s="113"/>
      <c r="I46" s="113"/>
      <c r="J46" s="113"/>
      <c r="K46" s="113"/>
      <c r="L46" s="113"/>
      <c r="M46" s="109"/>
    </row>
    <row r="47" spans="2:13" ht="13.5" customHeight="1" x14ac:dyDescent="0.3">
      <c r="B47" s="665" t="s">
        <v>420</v>
      </c>
      <c r="C47" s="516">
        <v>30158985</v>
      </c>
      <c r="D47" s="517">
        <v>128635253</v>
      </c>
      <c r="E47" s="517">
        <v>157508238</v>
      </c>
      <c r="F47" s="541"/>
      <c r="G47" s="113"/>
      <c r="H47" s="113"/>
      <c r="I47" s="113"/>
      <c r="J47" s="113"/>
      <c r="K47" s="113"/>
      <c r="L47" s="113"/>
      <c r="M47" s="109"/>
    </row>
    <row r="48" spans="2:13" ht="13.5" customHeight="1" x14ac:dyDescent="0.3">
      <c r="B48" s="664" t="s">
        <v>421</v>
      </c>
      <c r="C48" s="543">
        <v>601311636</v>
      </c>
      <c r="D48" s="544">
        <v>470589636</v>
      </c>
      <c r="E48" s="544">
        <v>370783636</v>
      </c>
      <c r="F48" s="541"/>
      <c r="G48" s="113"/>
      <c r="H48" s="113"/>
      <c r="I48" s="113"/>
      <c r="J48" s="113"/>
      <c r="K48" s="113"/>
      <c r="L48" s="113"/>
      <c r="M48" s="109"/>
    </row>
    <row r="49" spans="2:13" ht="13.5" customHeight="1" x14ac:dyDescent="0.3">
      <c r="B49" s="665" t="s">
        <v>422</v>
      </c>
      <c r="C49" s="516">
        <v>0</v>
      </c>
      <c r="D49" s="517">
        <v>50000000</v>
      </c>
      <c r="E49" s="517">
        <v>52000000</v>
      </c>
      <c r="F49" s="541"/>
      <c r="G49" s="113"/>
      <c r="H49" s="113"/>
      <c r="I49" s="113"/>
      <c r="J49" s="113"/>
      <c r="K49" s="113"/>
      <c r="L49" s="113"/>
      <c r="M49" s="109"/>
    </row>
    <row r="50" spans="2:13" ht="13.5" customHeight="1" x14ac:dyDescent="0.3">
      <c r="B50" s="665" t="s">
        <v>423</v>
      </c>
      <c r="C50" s="516">
        <v>601311636</v>
      </c>
      <c r="D50" s="517">
        <v>420589636</v>
      </c>
      <c r="E50" s="517">
        <v>318783636</v>
      </c>
      <c r="F50" s="541"/>
      <c r="G50" s="113"/>
      <c r="H50" s="113"/>
      <c r="I50" s="113"/>
      <c r="J50" s="113"/>
      <c r="K50" s="113"/>
      <c r="L50" s="113"/>
      <c r="M50" s="109"/>
    </row>
    <row r="51" spans="2:13" ht="13.5" customHeight="1" x14ac:dyDescent="0.3">
      <c r="B51" s="664" t="s">
        <v>424</v>
      </c>
      <c r="C51" s="543">
        <v>46571627791</v>
      </c>
      <c r="D51" s="544">
        <v>50884838065</v>
      </c>
      <c r="E51" s="544">
        <v>64927608468</v>
      </c>
      <c r="F51" s="1493">
        <f>'2017년 가결산 BS'!E58</f>
        <v>78017551073</v>
      </c>
      <c r="G51" s="113"/>
      <c r="H51" s="113"/>
      <c r="I51" s="113"/>
      <c r="J51" s="113"/>
      <c r="K51" s="113"/>
      <c r="L51" s="113"/>
      <c r="M51" s="109"/>
    </row>
    <row r="52" spans="2:13" ht="13.5" customHeight="1" x14ac:dyDescent="0.3">
      <c r="B52" s="664" t="s">
        <v>425</v>
      </c>
      <c r="C52" s="543"/>
      <c r="D52" s="544"/>
      <c r="E52" s="544"/>
      <c r="F52" s="541"/>
      <c r="G52" s="113"/>
      <c r="H52" s="113"/>
      <c r="I52" s="113"/>
      <c r="J52" s="113"/>
      <c r="K52" s="113"/>
      <c r="L52" s="113"/>
      <c r="M52" s="109"/>
    </row>
    <row r="53" spans="2:13" ht="13.5" customHeight="1" x14ac:dyDescent="0.3">
      <c r="B53" s="664" t="s">
        <v>426</v>
      </c>
      <c r="C53" s="543">
        <v>7751356240</v>
      </c>
      <c r="D53" s="544">
        <v>6368783008</v>
      </c>
      <c r="E53" s="544">
        <v>7904434053</v>
      </c>
      <c r="F53" s="541"/>
      <c r="G53" s="113"/>
      <c r="H53" s="113"/>
      <c r="I53" s="113"/>
      <c r="J53" s="113"/>
      <c r="K53" s="113"/>
      <c r="L53" s="113"/>
      <c r="M53" s="109"/>
    </row>
    <row r="54" spans="2:13" ht="13.5" customHeight="1" x14ac:dyDescent="0.3">
      <c r="B54" s="666" t="s">
        <v>427</v>
      </c>
      <c r="C54" s="668">
        <v>1532820703</v>
      </c>
      <c r="D54" s="669">
        <v>2389808684</v>
      </c>
      <c r="E54" s="669">
        <v>2327315972</v>
      </c>
      <c r="F54" s="1494">
        <f>'2017년 가결산 BS'!E61</f>
        <v>2243951361</v>
      </c>
      <c r="G54" s="113"/>
      <c r="H54" s="113"/>
      <c r="I54" s="113"/>
      <c r="J54" s="113"/>
      <c r="K54" s="113"/>
      <c r="L54" s="113"/>
      <c r="M54" s="109"/>
    </row>
    <row r="55" spans="2:13" ht="13.5" customHeight="1" x14ac:dyDescent="0.3">
      <c r="B55" s="666" t="s">
        <v>428</v>
      </c>
      <c r="C55" s="668">
        <v>592227937</v>
      </c>
      <c r="D55" s="669">
        <v>696321710</v>
      </c>
      <c r="E55" s="669">
        <v>1010522807</v>
      </c>
      <c r="F55" s="1494">
        <f>'2017년 가결산 BS'!E62</f>
        <v>1290088684</v>
      </c>
      <c r="G55" s="113"/>
      <c r="H55" s="113"/>
      <c r="I55" s="113"/>
      <c r="J55" s="113"/>
      <c r="K55" s="113"/>
      <c r="L55" s="113"/>
      <c r="M55" s="109"/>
    </row>
    <row r="56" spans="2:13" ht="13.5" customHeight="1" x14ac:dyDescent="0.3">
      <c r="B56" s="665" t="s">
        <v>429</v>
      </c>
      <c r="C56" s="516">
        <v>1049187270</v>
      </c>
      <c r="D56" s="517">
        <v>1016566649</v>
      </c>
      <c r="E56" s="517">
        <v>1057587402</v>
      </c>
      <c r="F56" s="541"/>
      <c r="G56" s="113"/>
      <c r="H56" s="113"/>
      <c r="I56" s="113"/>
      <c r="J56" s="113"/>
      <c r="K56" s="113"/>
      <c r="L56" s="113"/>
      <c r="M56" s="109"/>
    </row>
    <row r="57" spans="2:13" ht="13.5" customHeight="1" x14ac:dyDescent="0.3">
      <c r="B57" s="665" t="s">
        <v>430</v>
      </c>
      <c r="C57" s="516">
        <v>104857330</v>
      </c>
      <c r="D57" s="517">
        <v>152603560</v>
      </c>
      <c r="E57" s="517">
        <v>135025420</v>
      </c>
      <c r="F57" s="541"/>
      <c r="G57" s="113"/>
      <c r="H57" s="113"/>
      <c r="I57" s="113"/>
      <c r="J57" s="113"/>
      <c r="K57" s="113"/>
      <c r="L57" s="113"/>
      <c r="M57" s="109"/>
    </row>
    <row r="58" spans="2:13" ht="13.5" customHeight="1" x14ac:dyDescent="0.3">
      <c r="B58" s="666" t="s">
        <v>431</v>
      </c>
      <c r="C58" s="668">
        <v>547598418</v>
      </c>
      <c r="D58" s="669">
        <v>364287531</v>
      </c>
      <c r="E58" s="669">
        <v>1464030617</v>
      </c>
      <c r="F58" s="1494">
        <f>'2017년 가결산 BS'!E65</f>
        <v>234520021</v>
      </c>
      <c r="G58" s="113"/>
      <c r="H58" s="113"/>
      <c r="I58" s="113"/>
      <c r="J58" s="113"/>
      <c r="K58" s="113"/>
      <c r="L58" s="113"/>
      <c r="M58" s="109"/>
    </row>
    <row r="59" spans="2:13" ht="13.5" customHeight="1" x14ac:dyDescent="0.3">
      <c r="B59" s="665" t="s">
        <v>432</v>
      </c>
      <c r="C59" s="516">
        <v>2733000000</v>
      </c>
      <c r="D59" s="517">
        <v>0</v>
      </c>
      <c r="E59" s="517">
        <v>0</v>
      </c>
      <c r="F59" s="541"/>
      <c r="G59" s="113"/>
      <c r="H59" s="113"/>
      <c r="I59" s="113"/>
      <c r="J59" s="113"/>
      <c r="K59" s="113"/>
      <c r="L59" s="113"/>
      <c r="M59" s="109"/>
    </row>
    <row r="60" spans="2:13" ht="13.5" customHeight="1" x14ac:dyDescent="0.3">
      <c r="B60" s="665" t="s">
        <v>433</v>
      </c>
      <c r="C60" s="516">
        <v>882302018</v>
      </c>
      <c r="D60" s="517">
        <v>1492004834</v>
      </c>
      <c r="E60" s="517">
        <v>1703872193</v>
      </c>
      <c r="F60" s="541"/>
      <c r="G60" s="113"/>
      <c r="H60" s="113"/>
      <c r="I60" s="113"/>
      <c r="J60" s="113"/>
      <c r="K60" s="113"/>
      <c r="L60" s="113"/>
      <c r="M60" s="109"/>
    </row>
    <row r="61" spans="2:13" ht="13.5" customHeight="1" x14ac:dyDescent="0.3">
      <c r="B61" s="665" t="s">
        <v>434</v>
      </c>
      <c r="C61" s="516">
        <v>142962564</v>
      </c>
      <c r="D61" s="517">
        <v>132390040</v>
      </c>
      <c r="E61" s="517">
        <v>206079642</v>
      </c>
      <c r="F61" s="541"/>
      <c r="G61" s="113"/>
      <c r="H61" s="113"/>
      <c r="I61" s="113"/>
      <c r="J61" s="113"/>
      <c r="K61" s="113"/>
      <c r="L61" s="113"/>
      <c r="M61" s="109"/>
    </row>
    <row r="62" spans="2:13" ht="13.5" customHeight="1" x14ac:dyDescent="0.3">
      <c r="B62" s="665" t="s">
        <v>435</v>
      </c>
      <c r="C62" s="516">
        <v>166400000</v>
      </c>
      <c r="D62" s="517">
        <v>124800000</v>
      </c>
      <c r="E62" s="517">
        <v>0</v>
      </c>
      <c r="F62" s="541"/>
      <c r="G62" s="113"/>
      <c r="H62" s="113"/>
      <c r="I62" s="113"/>
      <c r="J62" s="113"/>
      <c r="K62" s="113"/>
      <c r="L62" s="113"/>
      <c r="M62" s="109"/>
    </row>
    <row r="63" spans="2:13" ht="13.5" customHeight="1" x14ac:dyDescent="0.3">
      <c r="B63" s="664" t="s">
        <v>436</v>
      </c>
      <c r="C63" s="543">
        <v>309800000</v>
      </c>
      <c r="D63" s="544">
        <v>160559375</v>
      </c>
      <c r="E63" s="544">
        <v>161090875</v>
      </c>
      <c r="F63" s="541"/>
      <c r="G63" s="113"/>
      <c r="H63" s="113"/>
      <c r="I63" s="113"/>
      <c r="J63" s="113"/>
      <c r="K63" s="113"/>
      <c r="L63" s="113"/>
      <c r="M63" s="109"/>
    </row>
    <row r="64" spans="2:13" ht="13.5" customHeight="1" x14ac:dyDescent="0.3">
      <c r="B64" s="665" t="s">
        <v>437</v>
      </c>
      <c r="C64" s="516">
        <v>124800000</v>
      </c>
      <c r="D64" s="517">
        <v>0</v>
      </c>
      <c r="E64" s="517">
        <v>0</v>
      </c>
      <c r="F64" s="541"/>
      <c r="G64" s="113"/>
      <c r="H64" s="113"/>
      <c r="I64" s="113"/>
      <c r="J64" s="113"/>
      <c r="K64" s="113"/>
      <c r="L64" s="113"/>
      <c r="M64" s="109"/>
    </row>
    <row r="65" spans="2:13" ht="13.5" customHeight="1" x14ac:dyDescent="0.3">
      <c r="B65" s="665" t="s">
        <v>438</v>
      </c>
      <c r="C65" s="516">
        <v>185000000</v>
      </c>
      <c r="D65" s="517">
        <v>120000000</v>
      </c>
      <c r="E65" s="517">
        <v>140000000</v>
      </c>
      <c r="F65" s="541"/>
      <c r="G65" s="113"/>
      <c r="H65" s="113"/>
      <c r="I65" s="113"/>
      <c r="J65" s="113"/>
      <c r="K65" s="113"/>
      <c r="L65" s="113"/>
      <c r="M65" s="109"/>
    </row>
    <row r="66" spans="2:13" ht="13.5" customHeight="1" x14ac:dyDescent="0.3">
      <c r="B66" s="665" t="s">
        <v>439</v>
      </c>
      <c r="C66" s="516">
        <v>0</v>
      </c>
      <c r="D66" s="517">
        <v>40559375</v>
      </c>
      <c r="E66" s="517">
        <v>21090875</v>
      </c>
      <c r="F66" s="541"/>
      <c r="G66" s="113"/>
      <c r="H66" s="113"/>
      <c r="I66" s="113"/>
      <c r="J66" s="113"/>
      <c r="K66" s="113"/>
      <c r="L66" s="113"/>
      <c r="M66" s="109"/>
    </row>
    <row r="67" spans="2:13" ht="13.5" customHeight="1" x14ac:dyDescent="0.3">
      <c r="B67" s="664" t="s">
        <v>440</v>
      </c>
      <c r="C67" s="543">
        <v>8061156240</v>
      </c>
      <c r="D67" s="544">
        <v>6529342383</v>
      </c>
      <c r="E67" s="544">
        <v>8065524928</v>
      </c>
      <c r="F67" s="541"/>
      <c r="G67" s="113"/>
      <c r="H67" s="113"/>
      <c r="I67" s="113"/>
      <c r="J67" s="113"/>
      <c r="K67" s="113"/>
      <c r="L67" s="113"/>
      <c r="M67" s="109"/>
    </row>
    <row r="68" spans="2:13" ht="13.5" customHeight="1" x14ac:dyDescent="0.3">
      <c r="B68" s="664" t="s">
        <v>441</v>
      </c>
      <c r="C68" s="543"/>
      <c r="D68" s="544"/>
      <c r="E68" s="544"/>
      <c r="F68" s="541"/>
      <c r="G68" s="113"/>
      <c r="H68" s="113"/>
      <c r="I68" s="113"/>
      <c r="J68" s="113"/>
      <c r="K68" s="113"/>
      <c r="L68" s="113"/>
      <c r="M68" s="109"/>
    </row>
    <row r="69" spans="2:13" ht="13.5" customHeight="1" x14ac:dyDescent="0.3">
      <c r="B69" s="664" t="s">
        <v>442</v>
      </c>
      <c r="C69" s="543">
        <v>1015000000</v>
      </c>
      <c r="D69" s="544">
        <v>1015000000</v>
      </c>
      <c r="E69" s="544">
        <v>1015000000</v>
      </c>
      <c r="F69" s="541"/>
      <c r="G69" s="113"/>
      <c r="H69" s="113"/>
      <c r="I69" s="113"/>
      <c r="J69" s="113"/>
      <c r="K69" s="113"/>
      <c r="L69" s="113"/>
      <c r="M69" s="109"/>
    </row>
    <row r="70" spans="2:13" ht="13.5" customHeight="1" x14ac:dyDescent="0.3">
      <c r="B70" s="665" t="s">
        <v>443</v>
      </c>
      <c r="C70" s="516">
        <v>1015000000</v>
      </c>
      <c r="D70" s="517">
        <v>1015000000</v>
      </c>
      <c r="E70" s="517">
        <v>1015000000</v>
      </c>
      <c r="F70" s="541"/>
      <c r="G70" s="113"/>
      <c r="H70" s="113"/>
      <c r="I70" s="113"/>
      <c r="J70" s="113"/>
      <c r="K70" s="113"/>
      <c r="L70" s="113"/>
      <c r="M70" s="109"/>
    </row>
    <row r="71" spans="2:13" ht="13.5" customHeight="1" x14ac:dyDescent="0.3">
      <c r="B71" s="664" t="s">
        <v>444</v>
      </c>
      <c r="C71" s="543">
        <v>791143423</v>
      </c>
      <c r="D71" s="544">
        <v>791143423</v>
      </c>
      <c r="E71" s="544">
        <v>791143423</v>
      </c>
      <c r="F71" s="541"/>
      <c r="G71" s="113"/>
      <c r="H71" s="113"/>
      <c r="I71" s="113"/>
      <c r="J71" s="113"/>
      <c r="K71" s="113"/>
      <c r="L71" s="113"/>
      <c r="M71" s="109"/>
    </row>
    <row r="72" spans="2:13" ht="13.5" customHeight="1" x14ac:dyDescent="0.3">
      <c r="B72" s="665" t="s">
        <v>445</v>
      </c>
      <c r="C72" s="516">
        <v>791143423</v>
      </c>
      <c r="D72" s="517">
        <v>791143423</v>
      </c>
      <c r="E72" s="517">
        <v>791143423</v>
      </c>
      <c r="F72" s="541"/>
      <c r="G72" s="113"/>
      <c r="H72" s="113"/>
      <c r="I72" s="113"/>
      <c r="J72" s="113"/>
      <c r="K72" s="113"/>
      <c r="L72" s="113"/>
      <c r="M72" s="109"/>
    </row>
    <row r="73" spans="2:13" ht="13.5" customHeight="1" x14ac:dyDescent="0.3">
      <c r="B73" s="664" t="s">
        <v>446</v>
      </c>
      <c r="C73" s="543">
        <v>0</v>
      </c>
      <c r="D73" s="544">
        <v>0</v>
      </c>
      <c r="E73" s="544"/>
      <c r="F73" s="541"/>
      <c r="G73" s="113"/>
      <c r="H73" s="113"/>
      <c r="I73" s="113"/>
      <c r="J73" s="113"/>
      <c r="K73" s="113"/>
      <c r="L73" s="113"/>
      <c r="M73" s="109"/>
    </row>
    <row r="74" spans="2:13" ht="13.5" customHeight="1" x14ac:dyDescent="0.3">
      <c r="B74" s="664" t="s">
        <v>447</v>
      </c>
      <c r="C74" s="543">
        <v>0</v>
      </c>
      <c r="D74" s="544">
        <v>0</v>
      </c>
      <c r="E74" s="544"/>
      <c r="F74" s="541"/>
      <c r="G74" s="113"/>
      <c r="H74" s="113"/>
      <c r="I74" s="113"/>
      <c r="J74" s="113"/>
      <c r="K74" s="113"/>
      <c r="L74" s="113"/>
      <c r="M74" s="109"/>
    </row>
    <row r="75" spans="2:13" ht="13.5" customHeight="1" x14ac:dyDescent="0.3">
      <c r="B75" s="664" t="s">
        <v>448</v>
      </c>
      <c r="C75" s="543">
        <v>36704328128</v>
      </c>
      <c r="D75" s="544">
        <v>42549352259</v>
      </c>
      <c r="E75" s="544">
        <v>55055940117</v>
      </c>
      <c r="F75" s="541"/>
      <c r="G75" s="113"/>
      <c r="H75" s="113"/>
      <c r="I75" s="113"/>
      <c r="J75" s="113"/>
      <c r="K75" s="113"/>
      <c r="L75" s="113"/>
      <c r="M75" s="109"/>
    </row>
    <row r="76" spans="2:13" ht="13.5" customHeight="1" x14ac:dyDescent="0.3">
      <c r="B76" s="665" t="s">
        <v>449</v>
      </c>
      <c r="C76" s="516">
        <v>1015000000</v>
      </c>
      <c r="D76" s="517">
        <v>1522500000</v>
      </c>
      <c r="E76" s="517">
        <v>1522500000</v>
      </c>
      <c r="F76" s="541"/>
      <c r="G76" s="113"/>
      <c r="H76" s="113"/>
      <c r="I76" s="113"/>
      <c r="J76" s="113"/>
      <c r="K76" s="113"/>
      <c r="L76" s="113"/>
      <c r="M76" s="109"/>
    </row>
    <row r="77" spans="2:13" ht="13.5" customHeight="1" x14ac:dyDescent="0.3">
      <c r="B77" s="665" t="s">
        <v>450</v>
      </c>
      <c r="C77" s="516">
        <v>146686019</v>
      </c>
      <c r="D77" s="517">
        <v>146686019</v>
      </c>
      <c r="E77" s="517">
        <v>146686019</v>
      </c>
      <c r="F77" s="541"/>
      <c r="G77" s="113"/>
      <c r="H77" s="113"/>
      <c r="I77" s="113"/>
      <c r="J77" s="113"/>
      <c r="K77" s="113"/>
      <c r="L77" s="113"/>
      <c r="M77" s="109"/>
    </row>
    <row r="78" spans="2:13" ht="13.5" customHeight="1" x14ac:dyDescent="0.3">
      <c r="B78" s="665" t="s">
        <v>451</v>
      </c>
      <c r="C78" s="516">
        <v>4018683044</v>
      </c>
      <c r="D78" s="517">
        <v>3176183506</v>
      </c>
      <c r="E78" s="517">
        <v>2192982500</v>
      </c>
      <c r="F78" s="541"/>
      <c r="G78" s="113"/>
      <c r="H78" s="113"/>
      <c r="I78" s="113"/>
      <c r="J78" s="113"/>
      <c r="K78" s="113"/>
      <c r="L78" s="113"/>
      <c r="M78" s="109"/>
    </row>
    <row r="79" spans="2:13" ht="13.5" customHeight="1" x14ac:dyDescent="0.3">
      <c r="B79" s="664" t="s">
        <v>452</v>
      </c>
      <c r="C79" s="543">
        <v>31523959065</v>
      </c>
      <c r="D79" s="544">
        <v>37703982734</v>
      </c>
      <c r="E79" s="544">
        <v>51193771598</v>
      </c>
      <c r="F79" s="541"/>
      <c r="G79" s="113"/>
      <c r="H79" s="113"/>
      <c r="I79" s="113"/>
      <c r="J79" s="113"/>
      <c r="K79" s="113"/>
      <c r="L79" s="113"/>
      <c r="M79" s="109"/>
    </row>
    <row r="80" spans="2:13" ht="13.5" customHeight="1" x14ac:dyDescent="0.3">
      <c r="B80" s="664" t="s">
        <v>453</v>
      </c>
      <c r="C80" s="543"/>
      <c r="D80" s="544"/>
      <c r="E80" s="517"/>
      <c r="F80" s="541"/>
      <c r="G80" s="113"/>
      <c r="H80" s="113"/>
      <c r="I80" s="113"/>
      <c r="J80" s="113"/>
      <c r="K80" s="113"/>
      <c r="L80" s="113"/>
      <c r="M80" s="109"/>
    </row>
    <row r="81" spans="2:13" ht="13.5" customHeight="1" x14ac:dyDescent="0.3">
      <c r="B81" s="665" t="s">
        <v>454</v>
      </c>
      <c r="C81" s="516"/>
      <c r="D81" s="517"/>
      <c r="E81" s="517"/>
      <c r="F81" s="541"/>
      <c r="G81" s="113"/>
      <c r="H81" s="113"/>
      <c r="I81" s="113"/>
      <c r="J81" s="113"/>
      <c r="K81" s="113"/>
      <c r="L81" s="113"/>
      <c r="M81" s="109"/>
    </row>
    <row r="82" spans="2:13" ht="13.5" customHeight="1" x14ac:dyDescent="0.3">
      <c r="B82" s="665" t="s">
        <v>455</v>
      </c>
      <c r="C82" s="516"/>
      <c r="D82" s="517"/>
      <c r="E82" s="544"/>
      <c r="F82" s="541"/>
      <c r="G82" s="113"/>
      <c r="H82" s="113"/>
      <c r="I82" s="113"/>
      <c r="J82" s="113"/>
      <c r="K82" s="113"/>
      <c r="L82" s="113"/>
      <c r="M82" s="109"/>
    </row>
    <row r="83" spans="2:13" ht="13.5" customHeight="1" x14ac:dyDescent="0.3">
      <c r="B83" s="664" t="s">
        <v>456</v>
      </c>
      <c r="C83" s="543">
        <v>38510471551</v>
      </c>
      <c r="D83" s="544">
        <v>44355495682</v>
      </c>
      <c r="E83" s="544">
        <v>56862083540</v>
      </c>
      <c r="F83" s="541"/>
      <c r="G83" s="113"/>
      <c r="H83" s="113"/>
      <c r="I83" s="113"/>
      <c r="J83" s="113"/>
      <c r="K83" s="113"/>
      <c r="L83" s="113"/>
      <c r="M83" s="109"/>
    </row>
    <row r="84" spans="2:13" ht="13.5" customHeight="1" thickBot="1" x14ac:dyDescent="0.35">
      <c r="B84" s="667" t="s">
        <v>457</v>
      </c>
      <c r="C84" s="546">
        <v>46571627791</v>
      </c>
      <c r="D84" s="547">
        <v>50884838065</v>
      </c>
      <c r="E84" s="547">
        <v>64927608468</v>
      </c>
      <c r="F84" s="542"/>
      <c r="G84" s="113"/>
      <c r="H84" s="113"/>
      <c r="I84" s="113"/>
      <c r="J84" s="113"/>
      <c r="K84" s="113"/>
      <c r="L84" s="113"/>
      <c r="M84" s="109"/>
    </row>
    <row r="85" spans="2:13" ht="13.5" customHeight="1" x14ac:dyDescent="0.3"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09"/>
    </row>
    <row r="86" spans="2:13" ht="13.5" customHeight="1" x14ac:dyDescent="0.3"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09"/>
    </row>
    <row r="87" spans="2:13" ht="13.5" customHeight="1" x14ac:dyDescent="0.3"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09"/>
    </row>
    <row r="88" spans="2:13" ht="13.5" customHeight="1" x14ac:dyDescent="0.3"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09"/>
    </row>
    <row r="89" spans="2:13" ht="13.5" customHeight="1" x14ac:dyDescent="0.3"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09"/>
    </row>
    <row r="90" spans="2:13" ht="13.5" customHeight="1" x14ac:dyDescent="0.3"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09"/>
    </row>
    <row r="91" spans="2:13" ht="13.5" customHeight="1" x14ac:dyDescent="0.3"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09"/>
    </row>
    <row r="92" spans="2:13" ht="13.5" customHeight="1" x14ac:dyDescent="0.3"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09"/>
    </row>
    <row r="93" spans="2:13" ht="13.5" customHeight="1" x14ac:dyDescent="0.3"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09"/>
    </row>
    <row r="94" spans="2:13" ht="13.5" customHeight="1" x14ac:dyDescent="0.3"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09"/>
    </row>
    <row r="95" spans="2:13" ht="13.5" customHeight="1" x14ac:dyDescent="0.3"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09"/>
    </row>
    <row r="96" spans="2:13" ht="13.5" customHeight="1" x14ac:dyDescent="0.3"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09"/>
    </row>
    <row r="97" spans="3:13" ht="13.5" customHeight="1" x14ac:dyDescent="0.3"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09"/>
    </row>
    <row r="98" spans="3:13" ht="13.5" customHeight="1" x14ac:dyDescent="0.3"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09"/>
    </row>
    <row r="99" spans="3:13" ht="13.5" customHeight="1" x14ac:dyDescent="0.3"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09"/>
    </row>
    <row r="100" spans="3:13" ht="13.5" customHeight="1" x14ac:dyDescent="0.3"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09"/>
    </row>
    <row r="101" spans="3:13" ht="13.5" customHeight="1" x14ac:dyDescent="0.3"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09"/>
    </row>
    <row r="102" spans="3:13" ht="13.5" customHeight="1" x14ac:dyDescent="0.3"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09"/>
    </row>
    <row r="103" spans="3:13" ht="13.5" customHeight="1" x14ac:dyDescent="0.3"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09"/>
    </row>
    <row r="104" spans="3:13" ht="13.5" customHeight="1" x14ac:dyDescent="0.3"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09"/>
    </row>
    <row r="105" spans="3:13" ht="13.5" customHeight="1" x14ac:dyDescent="0.3"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09"/>
    </row>
    <row r="106" spans="3:13" ht="13.5" customHeight="1" x14ac:dyDescent="0.3"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09"/>
    </row>
    <row r="107" spans="3:13" ht="13.5" customHeight="1" x14ac:dyDescent="0.3"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09"/>
    </row>
    <row r="108" spans="3:13" ht="13.5" customHeight="1" x14ac:dyDescent="0.3"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09"/>
    </row>
    <row r="109" spans="3:13" ht="13.5" customHeight="1" x14ac:dyDescent="0.3"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09"/>
    </row>
    <row r="110" spans="3:13" ht="13.5" customHeight="1" x14ac:dyDescent="0.3"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09"/>
    </row>
    <row r="111" spans="3:13" ht="13.5" customHeight="1" x14ac:dyDescent="0.3"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09"/>
    </row>
    <row r="112" spans="3:13" ht="13.5" customHeight="1" x14ac:dyDescent="0.3"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09"/>
    </row>
    <row r="113" spans="3:13" ht="13.5" customHeight="1" x14ac:dyDescent="0.3"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09"/>
    </row>
    <row r="114" spans="3:13" ht="13.5" customHeight="1" x14ac:dyDescent="0.3"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09"/>
    </row>
    <row r="115" spans="3:13" ht="13.5" customHeight="1" x14ac:dyDescent="0.3"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09"/>
    </row>
    <row r="116" spans="3:13" ht="13.5" customHeight="1" x14ac:dyDescent="0.3"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09"/>
    </row>
    <row r="117" spans="3:13" ht="13.5" customHeight="1" x14ac:dyDescent="0.3"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09"/>
    </row>
    <row r="118" spans="3:13" ht="13.5" customHeight="1" x14ac:dyDescent="0.3"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09"/>
    </row>
    <row r="119" spans="3:13" ht="13.5" customHeight="1" x14ac:dyDescent="0.3"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09"/>
    </row>
    <row r="120" spans="3:13" ht="13.5" customHeight="1" x14ac:dyDescent="0.3"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09"/>
    </row>
    <row r="121" spans="3:13" ht="13.5" customHeight="1" x14ac:dyDescent="0.3"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09"/>
    </row>
    <row r="122" spans="3:13" ht="13.5" customHeight="1" x14ac:dyDescent="0.3"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09"/>
    </row>
    <row r="123" spans="3:13" ht="13.5" customHeight="1" x14ac:dyDescent="0.3"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09"/>
    </row>
    <row r="124" spans="3:13" ht="13.5" customHeight="1" x14ac:dyDescent="0.3"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09"/>
    </row>
    <row r="125" spans="3:13" ht="13.5" customHeight="1" x14ac:dyDescent="0.3"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09"/>
    </row>
    <row r="126" spans="3:13" ht="13.5" customHeight="1" x14ac:dyDescent="0.3"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09"/>
    </row>
    <row r="127" spans="3:13" ht="13.5" customHeight="1" x14ac:dyDescent="0.3"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09"/>
    </row>
    <row r="128" spans="3:13" ht="13.5" customHeight="1" x14ac:dyDescent="0.3"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09"/>
    </row>
    <row r="129" spans="3:13" ht="13.5" customHeight="1" x14ac:dyDescent="0.3"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09"/>
    </row>
    <row r="130" spans="3:13" ht="13.5" customHeight="1" x14ac:dyDescent="0.3"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09"/>
    </row>
    <row r="131" spans="3:13" ht="13.5" customHeight="1" x14ac:dyDescent="0.3"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09"/>
    </row>
    <row r="132" spans="3:13" ht="13.5" customHeight="1" x14ac:dyDescent="0.3"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09"/>
    </row>
    <row r="133" spans="3:13" ht="13.5" customHeight="1" x14ac:dyDescent="0.3"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09"/>
    </row>
    <row r="134" spans="3:13" ht="13.5" customHeight="1" x14ac:dyDescent="0.3"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09"/>
    </row>
    <row r="135" spans="3:13" ht="13.5" customHeight="1" x14ac:dyDescent="0.3"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09"/>
    </row>
    <row r="136" spans="3:13" ht="13.5" customHeight="1" x14ac:dyDescent="0.3"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09"/>
    </row>
    <row r="137" spans="3:13" ht="13.5" customHeight="1" x14ac:dyDescent="0.3"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09"/>
    </row>
    <row r="138" spans="3:13" ht="13.5" customHeight="1" x14ac:dyDescent="0.3"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09"/>
    </row>
    <row r="139" spans="3:13" ht="13.5" customHeight="1" x14ac:dyDescent="0.3"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09"/>
    </row>
    <row r="140" spans="3:13" ht="13.5" customHeight="1" x14ac:dyDescent="0.3"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09"/>
    </row>
    <row r="141" spans="3:13" ht="13.5" customHeight="1" x14ac:dyDescent="0.3"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09"/>
    </row>
    <row r="142" spans="3:13" ht="13.5" customHeight="1" x14ac:dyDescent="0.3"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09"/>
    </row>
    <row r="143" spans="3:13" ht="13.5" customHeight="1" x14ac:dyDescent="0.3"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09"/>
    </row>
    <row r="144" spans="3:13" ht="13.5" customHeight="1" x14ac:dyDescent="0.3"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09"/>
    </row>
    <row r="145" spans="3:13" ht="13.5" customHeight="1" x14ac:dyDescent="0.3"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09"/>
    </row>
    <row r="146" spans="3:13" ht="13.5" customHeight="1" x14ac:dyDescent="0.3"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09"/>
    </row>
    <row r="147" spans="3:13" ht="13.5" customHeight="1" x14ac:dyDescent="0.3"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09"/>
    </row>
    <row r="148" spans="3:13" ht="13.5" customHeight="1" x14ac:dyDescent="0.3"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09"/>
    </row>
    <row r="149" spans="3:13" ht="13.5" customHeight="1" x14ac:dyDescent="0.3"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09"/>
    </row>
    <row r="150" spans="3:13" ht="13.5" customHeight="1" x14ac:dyDescent="0.3"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09"/>
    </row>
    <row r="151" spans="3:13" ht="13.5" customHeight="1" x14ac:dyDescent="0.3"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09"/>
    </row>
    <row r="152" spans="3:13" ht="13.5" customHeight="1" x14ac:dyDescent="0.3"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09"/>
    </row>
    <row r="153" spans="3:13" ht="13.5" customHeight="1" x14ac:dyDescent="0.3"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09"/>
    </row>
    <row r="154" spans="3:13" ht="13.5" customHeight="1" x14ac:dyDescent="0.3"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09"/>
    </row>
    <row r="155" spans="3:13" ht="13.5" customHeight="1" x14ac:dyDescent="0.3"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09"/>
    </row>
    <row r="156" spans="3:13" ht="13.5" customHeight="1" x14ac:dyDescent="0.3"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09"/>
    </row>
    <row r="157" spans="3:13" ht="13.5" customHeight="1" x14ac:dyDescent="0.3"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09"/>
    </row>
    <row r="158" spans="3:13" ht="13.5" customHeight="1" x14ac:dyDescent="0.3"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09"/>
    </row>
    <row r="159" spans="3:13" ht="13.5" customHeight="1" x14ac:dyDescent="0.3"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09"/>
    </row>
    <row r="160" spans="3:13" ht="13.5" customHeight="1" x14ac:dyDescent="0.3"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09"/>
    </row>
    <row r="161" spans="3:13" ht="13.5" customHeight="1" x14ac:dyDescent="0.3"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09"/>
    </row>
    <row r="162" spans="3:13" ht="13.5" customHeight="1" x14ac:dyDescent="0.3"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09"/>
    </row>
    <row r="163" spans="3:13" ht="13.5" customHeight="1" x14ac:dyDescent="0.3"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09"/>
    </row>
    <row r="164" spans="3:13" ht="13.5" customHeight="1" x14ac:dyDescent="0.3"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09"/>
    </row>
    <row r="165" spans="3:13" ht="13.5" customHeight="1" x14ac:dyDescent="0.3"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09"/>
    </row>
    <row r="166" spans="3:13" ht="13.5" customHeight="1" x14ac:dyDescent="0.3"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09"/>
    </row>
    <row r="167" spans="3:13" ht="13.5" customHeight="1" x14ac:dyDescent="0.3"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09"/>
    </row>
    <row r="168" spans="3:13" ht="13.5" customHeight="1" x14ac:dyDescent="0.3"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09"/>
    </row>
    <row r="169" spans="3:13" ht="13.5" customHeight="1" x14ac:dyDescent="0.3"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09"/>
    </row>
    <row r="170" spans="3:13" ht="13.5" customHeight="1" x14ac:dyDescent="0.3"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09"/>
    </row>
    <row r="171" spans="3:13" ht="13.5" customHeight="1" x14ac:dyDescent="0.3"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09"/>
    </row>
    <row r="172" spans="3:13" ht="13.5" customHeight="1" x14ac:dyDescent="0.3"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09"/>
    </row>
    <row r="173" spans="3:13" ht="13.5" customHeight="1" x14ac:dyDescent="0.3"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09"/>
    </row>
    <row r="174" spans="3:13" ht="13.5" customHeight="1" x14ac:dyDescent="0.3"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09"/>
    </row>
    <row r="175" spans="3:13" ht="13.5" customHeight="1" x14ac:dyDescent="0.3"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09"/>
    </row>
    <row r="176" spans="3:13" ht="13.5" customHeight="1" x14ac:dyDescent="0.3"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09"/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opLeftCell="A22" workbookViewId="0">
      <selection activeCell="E14" sqref="E14:E17"/>
    </sheetView>
  </sheetViews>
  <sheetFormatPr defaultRowHeight="16.5" x14ac:dyDescent="0.3"/>
  <cols>
    <col min="1" max="2" width="9" style="153"/>
    <col min="3" max="8" width="15.625" customWidth="1"/>
  </cols>
  <sheetData>
    <row r="1" spans="1:7" ht="22.5" x14ac:dyDescent="0.2">
      <c r="C1" s="1489"/>
      <c r="D1" s="1489"/>
      <c r="E1" s="1490" t="s">
        <v>3242</v>
      </c>
      <c r="F1" s="1489"/>
      <c r="G1" s="1489"/>
    </row>
    <row r="2" spans="1:7" x14ac:dyDescent="0.2">
      <c r="C2" s="1489"/>
      <c r="D2" s="1489"/>
      <c r="E2" s="1489"/>
      <c r="F2" s="1489"/>
      <c r="G2" s="1489"/>
    </row>
    <row r="3" spans="1:7" x14ac:dyDescent="0.2">
      <c r="C3" s="1489"/>
      <c r="D3" s="1489"/>
      <c r="E3" s="1491" t="s">
        <v>3243</v>
      </c>
      <c r="F3" s="1489"/>
      <c r="G3" s="1489"/>
    </row>
    <row r="4" spans="1:7" x14ac:dyDescent="0.2">
      <c r="C4" s="1489"/>
      <c r="D4" s="1489"/>
      <c r="E4" s="1489"/>
      <c r="F4" s="1489"/>
      <c r="G4" s="1489"/>
    </row>
    <row r="5" spans="1:7" x14ac:dyDescent="0.2">
      <c r="C5" s="1489"/>
      <c r="D5" s="1489"/>
      <c r="E5" s="1491" t="s">
        <v>3244</v>
      </c>
      <c r="F5" s="1489"/>
      <c r="G5" s="1489"/>
    </row>
    <row r="6" spans="1:7" x14ac:dyDescent="0.2">
      <c r="C6" s="1489"/>
      <c r="D6" s="1489"/>
      <c r="E6" s="1489"/>
      <c r="F6" s="1489"/>
      <c r="G6" s="1489"/>
    </row>
    <row r="7" spans="1:7" x14ac:dyDescent="0.2">
      <c r="C7" s="1492" t="s">
        <v>2966</v>
      </c>
      <c r="D7" s="1489"/>
      <c r="E7" s="1489"/>
      <c r="F7" s="1489"/>
      <c r="G7" s="1495" t="s">
        <v>2967</v>
      </c>
    </row>
    <row r="8" spans="1:7" ht="17.25" thickBot="1" x14ac:dyDescent="0.25">
      <c r="C8" s="1489"/>
      <c r="D8" s="1489"/>
      <c r="E8" s="1489"/>
      <c r="F8" s="1489"/>
      <c r="G8" s="1489"/>
    </row>
    <row r="9" spans="1:7" ht="17.25" thickBot="1" x14ac:dyDescent="0.35">
      <c r="C9" s="1902" t="s">
        <v>3245</v>
      </c>
      <c r="D9" s="1903" t="s">
        <v>3246</v>
      </c>
      <c r="E9" s="1903"/>
      <c r="F9" s="1904" t="s">
        <v>3247</v>
      </c>
      <c r="G9" s="1904"/>
    </row>
    <row r="10" spans="1:7" ht="17.25" thickBot="1" x14ac:dyDescent="0.35">
      <c r="C10" s="1902"/>
      <c r="D10" s="1905" t="s">
        <v>3248</v>
      </c>
      <c r="E10" s="1905"/>
      <c r="F10" s="1906" t="s">
        <v>3248</v>
      </c>
      <c r="G10" s="1906"/>
    </row>
    <row r="11" spans="1:7" x14ac:dyDescent="0.3">
      <c r="C11" s="1622" t="s">
        <v>388</v>
      </c>
      <c r="D11" s="1623"/>
      <c r="E11" s="1623"/>
      <c r="F11" s="1624"/>
      <c r="G11" s="1625"/>
    </row>
    <row r="12" spans="1:7" x14ac:dyDescent="0.3">
      <c r="C12" s="1622" t="s">
        <v>389</v>
      </c>
      <c r="D12" s="1623"/>
      <c r="E12" s="1623">
        <v>58261802342</v>
      </c>
      <c r="F12" s="1624"/>
      <c r="G12" s="1625">
        <v>44487124207</v>
      </c>
    </row>
    <row r="13" spans="1:7" x14ac:dyDescent="0.3">
      <c r="A13" s="153" t="s">
        <v>3254</v>
      </c>
      <c r="C13" s="1622" t="s">
        <v>3249</v>
      </c>
      <c r="D13" s="1623"/>
      <c r="E13" s="1623">
        <v>51801240599</v>
      </c>
      <c r="F13" s="1624"/>
      <c r="G13" s="1625">
        <v>35615923828</v>
      </c>
    </row>
    <row r="14" spans="1:7" x14ac:dyDescent="0.3">
      <c r="C14" s="1626" t="s">
        <v>390</v>
      </c>
      <c r="D14" s="1627"/>
      <c r="E14" s="1627">
        <v>3758100</v>
      </c>
      <c r="F14" s="1627"/>
      <c r="G14" s="1628">
        <v>1626850</v>
      </c>
    </row>
    <row r="15" spans="1:7" x14ac:dyDescent="0.3">
      <c r="C15" s="1626" t="s">
        <v>391</v>
      </c>
      <c r="D15" s="1627"/>
      <c r="E15" s="1627">
        <v>7790094902</v>
      </c>
      <c r="F15" s="1627"/>
      <c r="G15" s="1628">
        <v>3450149888</v>
      </c>
    </row>
    <row r="16" spans="1:7" x14ac:dyDescent="0.3">
      <c r="C16" s="1626" t="s">
        <v>392</v>
      </c>
      <c r="D16" s="1627"/>
      <c r="E16" s="1627">
        <v>35929251038</v>
      </c>
      <c r="F16" s="1627"/>
      <c r="G16" s="1628">
        <v>30418901350</v>
      </c>
    </row>
    <row r="17" spans="1:7" x14ac:dyDescent="0.3">
      <c r="C17" s="1626" t="s">
        <v>394</v>
      </c>
      <c r="D17" s="1627">
        <v>3217098106</v>
      </c>
      <c r="E17" s="1627"/>
      <c r="F17" s="1627">
        <v>775725730</v>
      </c>
      <c r="G17" s="1628"/>
    </row>
    <row r="18" spans="1:7" x14ac:dyDescent="0.3">
      <c r="C18" s="1626" t="s">
        <v>395</v>
      </c>
      <c r="D18" s="1629">
        <v>32170981</v>
      </c>
      <c r="E18" s="1627">
        <v>3184927125</v>
      </c>
      <c r="F18" s="1629">
        <v>7550736</v>
      </c>
      <c r="G18" s="1628">
        <v>768174994</v>
      </c>
    </row>
    <row r="19" spans="1:7" x14ac:dyDescent="0.3">
      <c r="C19" s="1626" t="s">
        <v>396</v>
      </c>
      <c r="D19" s="1627">
        <v>1286568191</v>
      </c>
      <c r="E19" s="1627"/>
      <c r="F19" s="1627"/>
      <c r="G19" s="1628"/>
    </row>
    <row r="20" spans="1:7" x14ac:dyDescent="0.3">
      <c r="C20" s="1626" t="s">
        <v>395</v>
      </c>
      <c r="D20" s="1629">
        <v>12865682</v>
      </c>
      <c r="E20" s="1627">
        <v>1273702509</v>
      </c>
      <c r="F20" s="1629"/>
      <c r="G20" s="1628"/>
    </row>
    <row r="21" spans="1:7" x14ac:dyDescent="0.3">
      <c r="C21" s="1626" t="s">
        <v>397</v>
      </c>
      <c r="D21" s="1627">
        <v>100000000</v>
      </c>
      <c r="E21" s="1627"/>
      <c r="F21" s="1627">
        <v>200000000</v>
      </c>
      <c r="G21" s="1628"/>
    </row>
    <row r="22" spans="1:7" x14ac:dyDescent="0.3">
      <c r="C22" s="1626" t="s">
        <v>395</v>
      </c>
      <c r="D22" s="1629">
        <v>1000000</v>
      </c>
      <c r="E22" s="1627">
        <v>99000000</v>
      </c>
      <c r="F22" s="1629">
        <v>2000000</v>
      </c>
      <c r="G22" s="1628">
        <v>198000000</v>
      </c>
    </row>
    <row r="23" spans="1:7" x14ac:dyDescent="0.3">
      <c r="C23" s="1626" t="s">
        <v>398</v>
      </c>
      <c r="D23" s="1627"/>
      <c r="E23" s="1627">
        <v>493797277</v>
      </c>
      <c r="F23" s="1627"/>
      <c r="G23" s="1628">
        <v>429310739</v>
      </c>
    </row>
    <row r="24" spans="1:7" x14ac:dyDescent="0.3">
      <c r="C24" s="1626" t="s">
        <v>399</v>
      </c>
      <c r="D24" s="1627">
        <v>281620200</v>
      </c>
      <c r="E24" s="1627"/>
      <c r="F24" s="1627">
        <v>122067717</v>
      </c>
      <c r="G24" s="1628"/>
    </row>
    <row r="25" spans="1:7" x14ac:dyDescent="0.3">
      <c r="C25" s="1626" t="s">
        <v>395</v>
      </c>
      <c r="D25" s="1629">
        <v>6199260</v>
      </c>
      <c r="E25" s="1627">
        <v>275420940</v>
      </c>
      <c r="F25" s="1629">
        <v>5415858</v>
      </c>
      <c r="G25" s="1628">
        <v>116651859</v>
      </c>
    </row>
    <row r="26" spans="1:7" x14ac:dyDescent="0.3">
      <c r="A26" s="153" t="s">
        <v>3254</v>
      </c>
      <c r="C26" s="1626" t="s">
        <v>3250</v>
      </c>
      <c r="D26" s="1627"/>
      <c r="E26" s="1627">
        <v>2501415500</v>
      </c>
      <c r="F26" s="1627"/>
      <c r="G26" s="1628">
        <v>0</v>
      </c>
    </row>
    <row r="27" spans="1:7" x14ac:dyDescent="0.3">
      <c r="C27" s="1626" t="s">
        <v>7516</v>
      </c>
      <c r="D27" s="1627"/>
      <c r="E27" s="1627">
        <v>8515214</v>
      </c>
      <c r="F27" s="1627"/>
      <c r="G27" s="1628">
        <v>0</v>
      </c>
    </row>
    <row r="28" spans="1:7" x14ac:dyDescent="0.3">
      <c r="C28" s="1626" t="s">
        <v>400</v>
      </c>
      <c r="D28" s="1627">
        <v>204212540</v>
      </c>
      <c r="E28" s="1627"/>
      <c r="F28" s="1627">
        <v>204485240</v>
      </c>
      <c r="G28" s="1628"/>
    </row>
    <row r="29" spans="1:7" x14ac:dyDescent="0.3">
      <c r="C29" s="1626" t="s">
        <v>395</v>
      </c>
      <c r="D29" s="1629">
        <v>2042125</v>
      </c>
      <c r="E29" s="1627">
        <v>202170415</v>
      </c>
      <c r="F29" s="1629">
        <v>2044852</v>
      </c>
      <c r="G29" s="1628">
        <v>202440388</v>
      </c>
    </row>
    <row r="30" spans="1:7" x14ac:dyDescent="0.3">
      <c r="C30" s="1626" t="s">
        <v>401</v>
      </c>
      <c r="D30" s="1627"/>
      <c r="E30" s="1627">
        <v>39187579</v>
      </c>
      <c r="F30" s="1627"/>
      <c r="G30" s="1628">
        <v>30667760</v>
      </c>
    </row>
    <row r="31" spans="1:7" x14ac:dyDescent="0.3">
      <c r="C31" s="1622" t="s">
        <v>402</v>
      </c>
      <c r="D31" s="1623"/>
      <c r="E31" s="1623">
        <v>6460561743</v>
      </c>
      <c r="F31" s="1624"/>
      <c r="G31" s="1625">
        <v>8871200379</v>
      </c>
    </row>
    <row r="32" spans="1:7" x14ac:dyDescent="0.3">
      <c r="C32" s="1626" t="s">
        <v>403</v>
      </c>
      <c r="D32" s="1627"/>
      <c r="E32" s="1627">
        <v>3409481699</v>
      </c>
      <c r="F32" s="1627"/>
      <c r="G32" s="1628">
        <v>3760997894</v>
      </c>
    </row>
    <row r="33" spans="1:7" x14ac:dyDescent="0.3">
      <c r="C33" s="1626" t="s">
        <v>404</v>
      </c>
      <c r="D33" s="1627"/>
      <c r="E33" s="1627">
        <v>3051080044</v>
      </c>
      <c r="F33" s="1627"/>
      <c r="G33" s="1628">
        <v>5110202485</v>
      </c>
    </row>
    <row r="34" spans="1:7" x14ac:dyDescent="0.3">
      <c r="C34" s="1622" t="s">
        <v>405</v>
      </c>
      <c r="D34" s="1623"/>
      <c r="E34" s="1623">
        <v>19755748731</v>
      </c>
      <c r="F34" s="1624"/>
      <c r="G34" s="1625">
        <v>20440484261</v>
      </c>
    </row>
    <row r="35" spans="1:7" x14ac:dyDescent="0.3">
      <c r="C35" s="1622" t="s">
        <v>406</v>
      </c>
      <c r="D35" s="1623"/>
      <c r="E35" s="1623">
        <v>90908770</v>
      </c>
      <c r="F35" s="1624"/>
      <c r="G35" s="1625">
        <v>2000000</v>
      </c>
    </row>
    <row r="36" spans="1:7" x14ac:dyDescent="0.3">
      <c r="C36" s="1626" t="s">
        <v>407</v>
      </c>
      <c r="D36" s="1627"/>
      <c r="E36" s="1627">
        <v>88908770</v>
      </c>
      <c r="F36" s="1627"/>
      <c r="G36" s="1628">
        <v>0</v>
      </c>
    </row>
    <row r="37" spans="1:7" x14ac:dyDescent="0.3">
      <c r="C37" s="1626" t="s">
        <v>408</v>
      </c>
      <c r="D37" s="1627"/>
      <c r="E37" s="1627">
        <v>2000000</v>
      </c>
      <c r="F37" s="1627"/>
      <c r="G37" s="1628">
        <v>2000000</v>
      </c>
    </row>
    <row r="38" spans="1:7" x14ac:dyDescent="0.3">
      <c r="A38" s="153" t="s">
        <v>3254</v>
      </c>
      <c r="C38" s="1622" t="s">
        <v>409</v>
      </c>
      <c r="D38" s="1623"/>
      <c r="E38" s="1623">
        <v>18079670680</v>
      </c>
      <c r="F38" s="1624"/>
      <c r="G38" s="1625">
        <v>18614617387</v>
      </c>
    </row>
    <row r="39" spans="1:7" x14ac:dyDescent="0.3">
      <c r="C39" s="1626" t="s">
        <v>410</v>
      </c>
      <c r="D39" s="1627"/>
      <c r="E39" s="1627">
        <v>8514818807</v>
      </c>
      <c r="F39" s="1627"/>
      <c r="G39" s="1628">
        <v>8516167477</v>
      </c>
    </row>
    <row r="40" spans="1:7" x14ac:dyDescent="0.3">
      <c r="C40" s="1626" t="s">
        <v>411</v>
      </c>
      <c r="D40" s="1627">
        <v>9829673326</v>
      </c>
      <c r="E40" s="1627"/>
      <c r="F40" s="1627">
        <v>9829673326</v>
      </c>
      <c r="G40" s="1628"/>
    </row>
    <row r="41" spans="1:7" x14ac:dyDescent="0.3">
      <c r="C41" s="1626" t="s">
        <v>412</v>
      </c>
      <c r="D41" s="1629">
        <v>2153850597</v>
      </c>
      <c r="E41" s="1627">
        <v>7675822729</v>
      </c>
      <c r="F41" s="1629">
        <v>1908108778</v>
      </c>
      <c r="G41" s="1628">
        <v>7921564548</v>
      </c>
    </row>
    <row r="42" spans="1:7" x14ac:dyDescent="0.3">
      <c r="C42" s="1626" t="s">
        <v>413</v>
      </c>
      <c r="D42" s="1627">
        <v>383554857</v>
      </c>
      <c r="E42" s="1627"/>
      <c r="F42" s="1627">
        <v>383554857</v>
      </c>
      <c r="G42" s="1628"/>
    </row>
    <row r="43" spans="1:7" x14ac:dyDescent="0.3">
      <c r="C43" s="1626" t="s">
        <v>412</v>
      </c>
      <c r="D43" s="1629">
        <v>102535399</v>
      </c>
      <c r="E43" s="1627">
        <v>281019458</v>
      </c>
      <c r="F43" s="1629">
        <v>92946530</v>
      </c>
      <c r="G43" s="1628">
        <v>290608327</v>
      </c>
    </row>
    <row r="44" spans="1:7" x14ac:dyDescent="0.3">
      <c r="C44" s="1626" t="s">
        <v>414</v>
      </c>
      <c r="D44" s="1627">
        <v>5747413196</v>
      </c>
      <c r="E44" s="1627"/>
      <c r="F44" s="1627">
        <v>5452423596</v>
      </c>
      <c r="G44" s="1628"/>
    </row>
    <row r="45" spans="1:7" x14ac:dyDescent="0.3">
      <c r="C45" s="1626" t="s">
        <v>412</v>
      </c>
      <c r="D45" s="1629">
        <v>4332985565</v>
      </c>
      <c r="E45" s="1627">
        <v>1414427631</v>
      </c>
      <c r="F45" s="1629">
        <v>3842961190</v>
      </c>
      <c r="G45" s="1628">
        <v>1609462406</v>
      </c>
    </row>
    <row r="46" spans="1:7" x14ac:dyDescent="0.3">
      <c r="C46" s="1626" t="s">
        <v>415</v>
      </c>
      <c r="D46" s="1627">
        <v>845794111</v>
      </c>
      <c r="E46" s="1627"/>
      <c r="F46" s="1627">
        <v>813122377</v>
      </c>
      <c r="G46" s="1628"/>
    </row>
    <row r="47" spans="1:7" x14ac:dyDescent="0.3">
      <c r="C47" s="1626" t="s">
        <v>412</v>
      </c>
      <c r="D47" s="1629">
        <v>676763439</v>
      </c>
      <c r="E47" s="1627">
        <v>169030672</v>
      </c>
      <c r="F47" s="1629">
        <v>580088525</v>
      </c>
      <c r="G47" s="1628">
        <v>233033852</v>
      </c>
    </row>
    <row r="48" spans="1:7" x14ac:dyDescent="0.3">
      <c r="C48" s="1626" t="s">
        <v>416</v>
      </c>
      <c r="D48" s="1627">
        <v>270361150</v>
      </c>
      <c r="E48" s="1627"/>
      <c r="F48" s="1627">
        <v>267271150</v>
      </c>
      <c r="G48" s="1628"/>
    </row>
    <row r="49" spans="3:7" x14ac:dyDescent="0.3">
      <c r="C49" s="1626" t="s">
        <v>412</v>
      </c>
      <c r="D49" s="1629">
        <v>262496892</v>
      </c>
      <c r="E49" s="1627">
        <v>7864258</v>
      </c>
      <c r="F49" s="1629">
        <v>248437947</v>
      </c>
      <c r="G49" s="1628">
        <v>18833203</v>
      </c>
    </row>
    <row r="50" spans="3:7" x14ac:dyDescent="0.3">
      <c r="C50" s="1626" t="s">
        <v>417</v>
      </c>
      <c r="D50" s="1627">
        <v>166290910</v>
      </c>
      <c r="E50" s="1627"/>
      <c r="F50" s="1627">
        <v>161240001</v>
      </c>
      <c r="G50" s="1628"/>
    </row>
    <row r="51" spans="3:7" x14ac:dyDescent="0.3">
      <c r="C51" s="1626" t="s">
        <v>412</v>
      </c>
      <c r="D51" s="1629">
        <v>149603785</v>
      </c>
      <c r="E51" s="1627">
        <v>16687125</v>
      </c>
      <c r="F51" s="1629">
        <v>136292427</v>
      </c>
      <c r="G51" s="1628">
        <v>24947574</v>
      </c>
    </row>
    <row r="52" spans="3:7" x14ac:dyDescent="0.3">
      <c r="C52" s="1622" t="s">
        <v>419</v>
      </c>
      <c r="D52" s="1623"/>
      <c r="E52" s="1623">
        <v>1214385645</v>
      </c>
      <c r="F52" s="1624"/>
      <c r="G52" s="1625">
        <v>1453083238</v>
      </c>
    </row>
    <row r="53" spans="3:7" x14ac:dyDescent="0.3">
      <c r="C53" s="1626" t="s">
        <v>3251</v>
      </c>
      <c r="D53" s="1627"/>
      <c r="E53" s="1627">
        <v>1089675000</v>
      </c>
      <c r="F53" s="1627"/>
      <c r="G53" s="1628">
        <v>1295575000</v>
      </c>
    </row>
    <row r="54" spans="3:7" x14ac:dyDescent="0.3">
      <c r="C54" s="1626" t="s">
        <v>420</v>
      </c>
      <c r="D54" s="1627"/>
      <c r="E54" s="1627">
        <v>124710645</v>
      </c>
      <c r="F54" s="1627"/>
      <c r="G54" s="1628">
        <v>157508238</v>
      </c>
    </row>
    <row r="55" spans="3:7" x14ac:dyDescent="0.3">
      <c r="C55" s="1622" t="s">
        <v>421</v>
      </c>
      <c r="D55" s="1623"/>
      <c r="E55" s="1623">
        <v>370783636</v>
      </c>
      <c r="F55" s="1624"/>
      <c r="G55" s="1625">
        <v>370783636</v>
      </c>
    </row>
    <row r="56" spans="3:7" x14ac:dyDescent="0.3">
      <c r="C56" s="1626" t="s">
        <v>422</v>
      </c>
      <c r="D56" s="1627"/>
      <c r="E56" s="1627">
        <v>52000000</v>
      </c>
      <c r="F56" s="1627"/>
      <c r="G56" s="1628">
        <v>52000000</v>
      </c>
    </row>
    <row r="57" spans="3:7" x14ac:dyDescent="0.3">
      <c r="C57" s="1626" t="s">
        <v>423</v>
      </c>
      <c r="D57" s="1627"/>
      <c r="E57" s="1627">
        <v>318783636</v>
      </c>
      <c r="F57" s="1627"/>
      <c r="G57" s="1628">
        <v>318783636</v>
      </c>
    </row>
    <row r="58" spans="3:7" x14ac:dyDescent="0.3">
      <c r="C58" s="1622" t="s">
        <v>424</v>
      </c>
      <c r="D58" s="1623"/>
      <c r="E58" s="1623">
        <v>78017551073</v>
      </c>
      <c r="F58" s="1624"/>
      <c r="G58" s="1625">
        <v>64927608468</v>
      </c>
    </row>
    <row r="59" spans="3:7" x14ac:dyDescent="0.3">
      <c r="C59" s="1622" t="s">
        <v>425</v>
      </c>
      <c r="D59" s="1623"/>
      <c r="E59" s="1623"/>
      <c r="F59" s="1624"/>
      <c r="G59" s="1625"/>
    </row>
    <row r="60" spans="3:7" x14ac:dyDescent="0.3">
      <c r="C60" s="1622" t="s">
        <v>426</v>
      </c>
      <c r="D60" s="1623"/>
      <c r="E60" s="1623">
        <v>5467325445</v>
      </c>
      <c r="F60" s="1624"/>
      <c r="G60" s="1625">
        <v>7904434053</v>
      </c>
    </row>
    <row r="61" spans="3:7" x14ac:dyDescent="0.3">
      <c r="C61" s="1626" t="s">
        <v>427</v>
      </c>
      <c r="D61" s="1627"/>
      <c r="E61" s="1627">
        <v>2243951361</v>
      </c>
      <c r="F61" s="1627"/>
      <c r="G61" s="1628">
        <v>2327315972</v>
      </c>
    </row>
    <row r="62" spans="3:7" x14ac:dyDescent="0.3">
      <c r="C62" s="1626" t="s">
        <v>428</v>
      </c>
      <c r="D62" s="1627"/>
      <c r="E62" s="1627">
        <v>1290088684</v>
      </c>
      <c r="F62" s="1627"/>
      <c r="G62" s="1628">
        <v>1010522807</v>
      </c>
    </row>
    <row r="63" spans="3:7" x14ac:dyDescent="0.3">
      <c r="C63" s="1626" t="s">
        <v>429</v>
      </c>
      <c r="D63" s="1627"/>
      <c r="E63" s="1627">
        <v>1237272644</v>
      </c>
      <c r="F63" s="1627"/>
      <c r="G63" s="1628">
        <v>1057587402</v>
      </c>
    </row>
    <row r="64" spans="3:7" x14ac:dyDescent="0.3">
      <c r="C64" s="1626" t="s">
        <v>430</v>
      </c>
      <c r="D64" s="1627"/>
      <c r="E64" s="1627">
        <v>239854270</v>
      </c>
      <c r="F64" s="1627"/>
      <c r="G64" s="1628">
        <v>135025420</v>
      </c>
    </row>
    <row r="65" spans="3:7" x14ac:dyDescent="0.3">
      <c r="C65" s="1626" t="s">
        <v>431</v>
      </c>
      <c r="D65" s="1627"/>
      <c r="E65" s="1627">
        <v>234520021</v>
      </c>
      <c r="F65" s="1627"/>
      <c r="G65" s="1628">
        <v>1464030617</v>
      </c>
    </row>
    <row r="66" spans="3:7" x14ac:dyDescent="0.3">
      <c r="C66" s="1626" t="s">
        <v>433</v>
      </c>
      <c r="D66" s="1627"/>
      <c r="E66" s="1627">
        <v>0</v>
      </c>
      <c r="F66" s="1627"/>
      <c r="G66" s="1628">
        <v>1703872193</v>
      </c>
    </row>
    <row r="67" spans="3:7" x14ac:dyDescent="0.3">
      <c r="C67" s="1626" t="s">
        <v>434</v>
      </c>
      <c r="D67" s="1627"/>
      <c r="E67" s="1627">
        <v>221638465</v>
      </c>
      <c r="F67" s="1627"/>
      <c r="G67" s="1628">
        <v>206079642</v>
      </c>
    </row>
    <row r="68" spans="3:7" x14ac:dyDescent="0.3">
      <c r="C68" s="1622" t="s">
        <v>436</v>
      </c>
      <c r="D68" s="1623"/>
      <c r="E68" s="1623">
        <v>187343327</v>
      </c>
      <c r="F68" s="1624"/>
      <c r="G68" s="1625">
        <v>161090875</v>
      </c>
    </row>
    <row r="69" spans="3:7" x14ac:dyDescent="0.3">
      <c r="C69" s="1626" t="s">
        <v>438</v>
      </c>
      <c r="D69" s="1627"/>
      <c r="E69" s="1627">
        <v>150000000</v>
      </c>
      <c r="F69" s="1627"/>
      <c r="G69" s="1628">
        <v>140000000</v>
      </c>
    </row>
    <row r="70" spans="3:7" x14ac:dyDescent="0.3">
      <c r="C70" s="1626" t="s">
        <v>439</v>
      </c>
      <c r="D70" s="1627"/>
      <c r="E70" s="1627">
        <v>37343327</v>
      </c>
      <c r="F70" s="1627"/>
      <c r="G70" s="1628">
        <v>21090875</v>
      </c>
    </row>
    <row r="71" spans="3:7" x14ac:dyDescent="0.3">
      <c r="C71" s="1622" t="s">
        <v>440</v>
      </c>
      <c r="D71" s="1623"/>
      <c r="E71" s="1623">
        <v>5654668772</v>
      </c>
      <c r="F71" s="1624"/>
      <c r="G71" s="1625">
        <v>8065524928</v>
      </c>
    </row>
    <row r="72" spans="3:7" x14ac:dyDescent="0.3">
      <c r="C72" s="1622" t="s">
        <v>441</v>
      </c>
      <c r="D72" s="1623"/>
      <c r="E72" s="1623"/>
      <c r="F72" s="1624"/>
      <c r="G72" s="1625"/>
    </row>
    <row r="73" spans="3:7" x14ac:dyDescent="0.3">
      <c r="C73" s="1622" t="s">
        <v>442</v>
      </c>
      <c r="D73" s="1623"/>
      <c r="E73" s="1623">
        <v>1015000000</v>
      </c>
      <c r="F73" s="1624"/>
      <c r="G73" s="1625">
        <v>1015000000</v>
      </c>
    </row>
    <row r="74" spans="3:7" x14ac:dyDescent="0.3">
      <c r="C74" s="1626" t="s">
        <v>443</v>
      </c>
      <c r="D74" s="1627"/>
      <c r="E74" s="1627">
        <v>1015000000</v>
      </c>
      <c r="F74" s="1627"/>
      <c r="G74" s="1628">
        <v>1015000000</v>
      </c>
    </row>
    <row r="75" spans="3:7" x14ac:dyDescent="0.3">
      <c r="C75" s="1622" t="s">
        <v>444</v>
      </c>
      <c r="D75" s="1623"/>
      <c r="E75" s="1623">
        <v>791143423</v>
      </c>
      <c r="F75" s="1624"/>
      <c r="G75" s="1625">
        <v>791143423</v>
      </c>
    </row>
    <row r="76" spans="3:7" x14ac:dyDescent="0.3">
      <c r="C76" s="1626" t="s">
        <v>445</v>
      </c>
      <c r="D76" s="1627"/>
      <c r="E76" s="1627">
        <v>791143423</v>
      </c>
      <c r="F76" s="1627"/>
      <c r="G76" s="1628">
        <v>791143423</v>
      </c>
    </row>
    <row r="77" spans="3:7" x14ac:dyDescent="0.3">
      <c r="C77" s="1622" t="s">
        <v>446</v>
      </c>
      <c r="D77" s="1623"/>
      <c r="E77" s="1623">
        <v>0</v>
      </c>
      <c r="F77" s="1624"/>
      <c r="G77" s="1625">
        <v>0</v>
      </c>
    </row>
    <row r="78" spans="3:7" x14ac:dyDescent="0.3">
      <c r="C78" s="1622" t="s">
        <v>447</v>
      </c>
      <c r="D78" s="1623"/>
      <c r="E78" s="1623">
        <v>0</v>
      </c>
      <c r="F78" s="1624"/>
      <c r="G78" s="1625">
        <v>0</v>
      </c>
    </row>
    <row r="79" spans="3:7" x14ac:dyDescent="0.3">
      <c r="C79" s="1622" t="s">
        <v>448</v>
      </c>
      <c r="D79" s="1623"/>
      <c r="E79" s="1623">
        <v>70556738878</v>
      </c>
      <c r="F79" s="1624"/>
      <c r="G79" s="1625">
        <v>55055940117</v>
      </c>
    </row>
    <row r="80" spans="3:7" x14ac:dyDescent="0.3">
      <c r="C80" s="1626" t="s">
        <v>449</v>
      </c>
      <c r="D80" s="1627"/>
      <c r="E80" s="1627">
        <v>1522500000</v>
      </c>
      <c r="F80" s="1627"/>
      <c r="G80" s="1628">
        <v>1522500000</v>
      </c>
    </row>
    <row r="81" spans="3:7" x14ac:dyDescent="0.3">
      <c r="C81" s="1626" t="s">
        <v>450</v>
      </c>
      <c r="D81" s="1627"/>
      <c r="E81" s="1627">
        <v>146686019</v>
      </c>
      <c r="F81" s="1627"/>
      <c r="G81" s="1628">
        <v>146686019</v>
      </c>
    </row>
    <row r="82" spans="3:7" x14ac:dyDescent="0.3">
      <c r="C82" s="1626" t="s">
        <v>451</v>
      </c>
      <c r="D82" s="1627"/>
      <c r="E82" s="1627">
        <v>1116773172</v>
      </c>
      <c r="F82" s="1627"/>
      <c r="G82" s="1628">
        <v>2192982500</v>
      </c>
    </row>
    <row r="83" spans="3:7" x14ac:dyDescent="0.3">
      <c r="C83" s="1622" t="s">
        <v>452</v>
      </c>
      <c r="D83" s="1623"/>
      <c r="E83" s="1623">
        <v>67770779687</v>
      </c>
      <c r="F83" s="1624"/>
      <c r="G83" s="1625">
        <v>51193771598</v>
      </c>
    </row>
    <row r="84" spans="3:7" x14ac:dyDescent="0.3">
      <c r="C84" s="1622" t="s">
        <v>453</v>
      </c>
      <c r="D84" s="1623"/>
      <c r="E84" s="1623"/>
      <c r="F84" s="1624"/>
      <c r="G84" s="1625"/>
    </row>
    <row r="85" spans="3:7" x14ac:dyDescent="0.3">
      <c r="C85" s="1630" t="s">
        <v>7517</v>
      </c>
      <c r="D85" s="1627"/>
      <c r="E85" s="1627"/>
      <c r="F85" s="1627"/>
      <c r="G85" s="1628"/>
    </row>
    <row r="86" spans="3:7" x14ac:dyDescent="0.3">
      <c r="C86" s="1630" t="s">
        <v>3252</v>
      </c>
      <c r="D86" s="1627"/>
      <c r="E86" s="1627"/>
      <c r="F86" s="1627"/>
      <c r="G86" s="1628"/>
    </row>
    <row r="87" spans="3:7" x14ac:dyDescent="0.3">
      <c r="C87" s="1622" t="s">
        <v>456</v>
      </c>
      <c r="D87" s="1623"/>
      <c r="E87" s="1623">
        <v>72362882301</v>
      </c>
      <c r="F87" s="1624"/>
      <c r="G87" s="1625">
        <v>56862083540</v>
      </c>
    </row>
    <row r="88" spans="3:7" ht="17.25" thickBot="1" x14ac:dyDescent="0.35">
      <c r="C88" s="1631" t="s">
        <v>457</v>
      </c>
      <c r="D88" s="1632"/>
      <c r="E88" s="1632">
        <v>78017551073</v>
      </c>
      <c r="F88" s="1633"/>
      <c r="G88" s="1634">
        <v>64927608468</v>
      </c>
    </row>
  </sheetData>
  <mergeCells count="5">
    <mergeCell ref="C9:C10"/>
    <mergeCell ref="D9:E9"/>
    <mergeCell ref="F9:G9"/>
    <mergeCell ref="D10:E10"/>
    <mergeCell ref="F10:G10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47" workbookViewId="0">
      <selection activeCell="E14" sqref="E14:E17"/>
    </sheetView>
  </sheetViews>
  <sheetFormatPr defaultRowHeight="16.5" x14ac:dyDescent="0.3"/>
  <cols>
    <col min="1" max="1" width="22.75" style="813" customWidth="1"/>
    <col min="2" max="2" width="14.875" style="813" customWidth="1"/>
    <col min="3" max="3" width="16.75" style="813" customWidth="1"/>
    <col min="4" max="4" width="14.875" style="813" customWidth="1"/>
    <col min="5" max="5" width="16.375" style="813" bestFit="1" customWidth="1"/>
    <col min="6" max="256" width="9" style="813"/>
    <col min="257" max="257" width="22.75" style="813" customWidth="1"/>
    <col min="258" max="258" width="14.875" style="813" customWidth="1"/>
    <col min="259" max="259" width="16.75" style="813" customWidth="1"/>
    <col min="260" max="260" width="14.875" style="813" customWidth="1"/>
    <col min="261" max="261" width="16.375" style="813" bestFit="1" customWidth="1"/>
    <col min="262" max="512" width="9" style="813"/>
    <col min="513" max="513" width="22.75" style="813" customWidth="1"/>
    <col min="514" max="514" width="14.875" style="813" customWidth="1"/>
    <col min="515" max="515" width="16.75" style="813" customWidth="1"/>
    <col min="516" max="516" width="14.875" style="813" customWidth="1"/>
    <col min="517" max="517" width="16.375" style="813" bestFit="1" customWidth="1"/>
    <col min="518" max="768" width="9" style="813"/>
    <col min="769" max="769" width="22.75" style="813" customWidth="1"/>
    <col min="770" max="770" width="14.875" style="813" customWidth="1"/>
    <col min="771" max="771" width="16.75" style="813" customWidth="1"/>
    <col min="772" max="772" width="14.875" style="813" customWidth="1"/>
    <col min="773" max="773" width="16.375" style="813" bestFit="1" customWidth="1"/>
    <col min="774" max="1024" width="9" style="813"/>
    <col min="1025" max="1025" width="22.75" style="813" customWidth="1"/>
    <col min="1026" max="1026" width="14.875" style="813" customWidth="1"/>
    <col min="1027" max="1027" width="16.75" style="813" customWidth="1"/>
    <col min="1028" max="1028" width="14.875" style="813" customWidth="1"/>
    <col min="1029" max="1029" width="16.375" style="813" bestFit="1" customWidth="1"/>
    <col min="1030" max="1280" width="9" style="813"/>
    <col min="1281" max="1281" width="22.75" style="813" customWidth="1"/>
    <col min="1282" max="1282" width="14.875" style="813" customWidth="1"/>
    <col min="1283" max="1283" width="16.75" style="813" customWidth="1"/>
    <col min="1284" max="1284" width="14.875" style="813" customWidth="1"/>
    <col min="1285" max="1285" width="16.375" style="813" bestFit="1" customWidth="1"/>
    <col min="1286" max="1536" width="9" style="813"/>
    <col min="1537" max="1537" width="22.75" style="813" customWidth="1"/>
    <col min="1538" max="1538" width="14.875" style="813" customWidth="1"/>
    <col min="1539" max="1539" width="16.75" style="813" customWidth="1"/>
    <col min="1540" max="1540" width="14.875" style="813" customWidth="1"/>
    <col min="1541" max="1541" width="16.375" style="813" bestFit="1" customWidth="1"/>
    <col min="1542" max="1792" width="9" style="813"/>
    <col min="1793" max="1793" width="22.75" style="813" customWidth="1"/>
    <col min="1794" max="1794" width="14.875" style="813" customWidth="1"/>
    <col min="1795" max="1795" width="16.75" style="813" customWidth="1"/>
    <col min="1796" max="1796" width="14.875" style="813" customWidth="1"/>
    <col min="1797" max="1797" width="16.375" style="813" bestFit="1" customWidth="1"/>
    <col min="1798" max="2048" width="9" style="813"/>
    <col min="2049" max="2049" width="22.75" style="813" customWidth="1"/>
    <col min="2050" max="2050" width="14.875" style="813" customWidth="1"/>
    <col min="2051" max="2051" width="16.75" style="813" customWidth="1"/>
    <col min="2052" max="2052" width="14.875" style="813" customWidth="1"/>
    <col min="2053" max="2053" width="16.375" style="813" bestFit="1" customWidth="1"/>
    <col min="2054" max="2304" width="9" style="813"/>
    <col min="2305" max="2305" width="22.75" style="813" customWidth="1"/>
    <col min="2306" max="2306" width="14.875" style="813" customWidth="1"/>
    <col min="2307" max="2307" width="16.75" style="813" customWidth="1"/>
    <col min="2308" max="2308" width="14.875" style="813" customWidth="1"/>
    <col min="2309" max="2309" width="16.375" style="813" bestFit="1" customWidth="1"/>
    <col min="2310" max="2560" width="9" style="813"/>
    <col min="2561" max="2561" width="22.75" style="813" customWidth="1"/>
    <col min="2562" max="2562" width="14.875" style="813" customWidth="1"/>
    <col min="2563" max="2563" width="16.75" style="813" customWidth="1"/>
    <col min="2564" max="2564" width="14.875" style="813" customWidth="1"/>
    <col min="2565" max="2565" width="16.375" style="813" bestFit="1" customWidth="1"/>
    <col min="2566" max="2816" width="9" style="813"/>
    <col min="2817" max="2817" width="22.75" style="813" customWidth="1"/>
    <col min="2818" max="2818" width="14.875" style="813" customWidth="1"/>
    <col min="2819" max="2819" width="16.75" style="813" customWidth="1"/>
    <col min="2820" max="2820" width="14.875" style="813" customWidth="1"/>
    <col min="2821" max="2821" width="16.375" style="813" bestFit="1" customWidth="1"/>
    <col min="2822" max="3072" width="9" style="813"/>
    <col min="3073" max="3073" width="22.75" style="813" customWidth="1"/>
    <col min="3074" max="3074" width="14.875" style="813" customWidth="1"/>
    <col min="3075" max="3075" width="16.75" style="813" customWidth="1"/>
    <col min="3076" max="3076" width="14.875" style="813" customWidth="1"/>
    <col min="3077" max="3077" width="16.375" style="813" bestFit="1" customWidth="1"/>
    <col min="3078" max="3328" width="9" style="813"/>
    <col min="3329" max="3329" width="22.75" style="813" customWidth="1"/>
    <col min="3330" max="3330" width="14.875" style="813" customWidth="1"/>
    <col min="3331" max="3331" width="16.75" style="813" customWidth="1"/>
    <col min="3332" max="3332" width="14.875" style="813" customWidth="1"/>
    <col min="3333" max="3333" width="16.375" style="813" bestFit="1" customWidth="1"/>
    <col min="3334" max="3584" width="9" style="813"/>
    <col min="3585" max="3585" width="22.75" style="813" customWidth="1"/>
    <col min="3586" max="3586" width="14.875" style="813" customWidth="1"/>
    <col min="3587" max="3587" width="16.75" style="813" customWidth="1"/>
    <col min="3588" max="3588" width="14.875" style="813" customWidth="1"/>
    <col min="3589" max="3589" width="16.375" style="813" bestFit="1" customWidth="1"/>
    <col min="3590" max="3840" width="9" style="813"/>
    <col min="3841" max="3841" width="22.75" style="813" customWidth="1"/>
    <col min="3842" max="3842" width="14.875" style="813" customWidth="1"/>
    <col min="3843" max="3843" width="16.75" style="813" customWidth="1"/>
    <col min="3844" max="3844" width="14.875" style="813" customWidth="1"/>
    <col min="3845" max="3845" width="16.375" style="813" bestFit="1" customWidth="1"/>
    <col min="3846" max="4096" width="9" style="813"/>
    <col min="4097" max="4097" width="22.75" style="813" customWidth="1"/>
    <col min="4098" max="4098" width="14.875" style="813" customWidth="1"/>
    <col min="4099" max="4099" width="16.75" style="813" customWidth="1"/>
    <col min="4100" max="4100" width="14.875" style="813" customWidth="1"/>
    <col min="4101" max="4101" width="16.375" style="813" bestFit="1" customWidth="1"/>
    <col min="4102" max="4352" width="9" style="813"/>
    <col min="4353" max="4353" width="22.75" style="813" customWidth="1"/>
    <col min="4354" max="4354" width="14.875" style="813" customWidth="1"/>
    <col min="4355" max="4355" width="16.75" style="813" customWidth="1"/>
    <col min="4356" max="4356" width="14.875" style="813" customWidth="1"/>
    <col min="4357" max="4357" width="16.375" style="813" bestFit="1" customWidth="1"/>
    <col min="4358" max="4608" width="9" style="813"/>
    <col min="4609" max="4609" width="22.75" style="813" customWidth="1"/>
    <col min="4610" max="4610" width="14.875" style="813" customWidth="1"/>
    <col min="4611" max="4611" width="16.75" style="813" customWidth="1"/>
    <col min="4612" max="4612" width="14.875" style="813" customWidth="1"/>
    <col min="4613" max="4613" width="16.375" style="813" bestFit="1" customWidth="1"/>
    <col min="4614" max="4864" width="9" style="813"/>
    <col min="4865" max="4865" width="22.75" style="813" customWidth="1"/>
    <col min="4866" max="4866" width="14.875" style="813" customWidth="1"/>
    <col min="4867" max="4867" width="16.75" style="813" customWidth="1"/>
    <col min="4868" max="4868" width="14.875" style="813" customWidth="1"/>
    <col min="4869" max="4869" width="16.375" style="813" bestFit="1" customWidth="1"/>
    <col min="4870" max="5120" width="9" style="813"/>
    <col min="5121" max="5121" width="22.75" style="813" customWidth="1"/>
    <col min="5122" max="5122" width="14.875" style="813" customWidth="1"/>
    <col min="5123" max="5123" width="16.75" style="813" customWidth="1"/>
    <col min="5124" max="5124" width="14.875" style="813" customWidth="1"/>
    <col min="5125" max="5125" width="16.375" style="813" bestFit="1" customWidth="1"/>
    <col min="5126" max="5376" width="9" style="813"/>
    <col min="5377" max="5377" width="22.75" style="813" customWidth="1"/>
    <col min="5378" max="5378" width="14.875" style="813" customWidth="1"/>
    <col min="5379" max="5379" width="16.75" style="813" customWidth="1"/>
    <col min="5380" max="5380" width="14.875" style="813" customWidth="1"/>
    <col min="5381" max="5381" width="16.375" style="813" bestFit="1" customWidth="1"/>
    <col min="5382" max="5632" width="9" style="813"/>
    <col min="5633" max="5633" width="22.75" style="813" customWidth="1"/>
    <col min="5634" max="5634" width="14.875" style="813" customWidth="1"/>
    <col min="5635" max="5635" width="16.75" style="813" customWidth="1"/>
    <col min="5636" max="5636" width="14.875" style="813" customWidth="1"/>
    <col min="5637" max="5637" width="16.375" style="813" bestFit="1" customWidth="1"/>
    <col min="5638" max="5888" width="9" style="813"/>
    <col min="5889" max="5889" width="22.75" style="813" customWidth="1"/>
    <col min="5890" max="5890" width="14.875" style="813" customWidth="1"/>
    <col min="5891" max="5891" width="16.75" style="813" customWidth="1"/>
    <col min="5892" max="5892" width="14.875" style="813" customWidth="1"/>
    <col min="5893" max="5893" width="16.375" style="813" bestFit="1" customWidth="1"/>
    <col min="5894" max="6144" width="9" style="813"/>
    <col min="6145" max="6145" width="22.75" style="813" customWidth="1"/>
    <col min="6146" max="6146" width="14.875" style="813" customWidth="1"/>
    <col min="6147" max="6147" width="16.75" style="813" customWidth="1"/>
    <col min="6148" max="6148" width="14.875" style="813" customWidth="1"/>
    <col min="6149" max="6149" width="16.375" style="813" bestFit="1" customWidth="1"/>
    <col min="6150" max="6400" width="9" style="813"/>
    <col min="6401" max="6401" width="22.75" style="813" customWidth="1"/>
    <col min="6402" max="6402" width="14.875" style="813" customWidth="1"/>
    <col min="6403" max="6403" width="16.75" style="813" customWidth="1"/>
    <col min="6404" max="6404" width="14.875" style="813" customWidth="1"/>
    <col min="6405" max="6405" width="16.375" style="813" bestFit="1" customWidth="1"/>
    <col min="6406" max="6656" width="9" style="813"/>
    <col min="6657" max="6657" width="22.75" style="813" customWidth="1"/>
    <col min="6658" max="6658" width="14.875" style="813" customWidth="1"/>
    <col min="6659" max="6659" width="16.75" style="813" customWidth="1"/>
    <col min="6660" max="6660" width="14.875" style="813" customWidth="1"/>
    <col min="6661" max="6661" width="16.375" style="813" bestFit="1" customWidth="1"/>
    <col min="6662" max="6912" width="9" style="813"/>
    <col min="6913" max="6913" width="22.75" style="813" customWidth="1"/>
    <col min="6914" max="6914" width="14.875" style="813" customWidth="1"/>
    <col min="6915" max="6915" width="16.75" style="813" customWidth="1"/>
    <col min="6916" max="6916" width="14.875" style="813" customWidth="1"/>
    <col min="6917" max="6917" width="16.375" style="813" bestFit="1" customWidth="1"/>
    <col min="6918" max="7168" width="9" style="813"/>
    <col min="7169" max="7169" width="22.75" style="813" customWidth="1"/>
    <col min="7170" max="7170" width="14.875" style="813" customWidth="1"/>
    <col min="7171" max="7171" width="16.75" style="813" customWidth="1"/>
    <col min="7172" max="7172" width="14.875" style="813" customWidth="1"/>
    <col min="7173" max="7173" width="16.375" style="813" bestFit="1" customWidth="1"/>
    <col min="7174" max="7424" width="9" style="813"/>
    <col min="7425" max="7425" width="22.75" style="813" customWidth="1"/>
    <col min="7426" max="7426" width="14.875" style="813" customWidth="1"/>
    <col min="7427" max="7427" width="16.75" style="813" customWidth="1"/>
    <col min="7428" max="7428" width="14.875" style="813" customWidth="1"/>
    <col min="7429" max="7429" width="16.375" style="813" bestFit="1" customWidth="1"/>
    <col min="7430" max="7680" width="9" style="813"/>
    <col min="7681" max="7681" width="22.75" style="813" customWidth="1"/>
    <col min="7682" max="7682" width="14.875" style="813" customWidth="1"/>
    <col min="7683" max="7683" width="16.75" style="813" customWidth="1"/>
    <col min="7684" max="7684" width="14.875" style="813" customWidth="1"/>
    <col min="7685" max="7685" width="16.375" style="813" bestFit="1" customWidth="1"/>
    <col min="7686" max="7936" width="9" style="813"/>
    <col min="7937" max="7937" width="22.75" style="813" customWidth="1"/>
    <col min="7938" max="7938" width="14.875" style="813" customWidth="1"/>
    <col min="7939" max="7939" width="16.75" style="813" customWidth="1"/>
    <col min="7940" max="7940" width="14.875" style="813" customWidth="1"/>
    <col min="7941" max="7941" width="16.375" style="813" bestFit="1" customWidth="1"/>
    <col min="7942" max="8192" width="9" style="813"/>
    <col min="8193" max="8193" width="22.75" style="813" customWidth="1"/>
    <col min="8194" max="8194" width="14.875" style="813" customWidth="1"/>
    <col min="8195" max="8195" width="16.75" style="813" customWidth="1"/>
    <col min="8196" max="8196" width="14.875" style="813" customWidth="1"/>
    <col min="8197" max="8197" width="16.375" style="813" bestFit="1" customWidth="1"/>
    <col min="8198" max="8448" width="9" style="813"/>
    <col min="8449" max="8449" width="22.75" style="813" customWidth="1"/>
    <col min="8450" max="8450" width="14.875" style="813" customWidth="1"/>
    <col min="8451" max="8451" width="16.75" style="813" customWidth="1"/>
    <col min="8452" max="8452" width="14.875" style="813" customWidth="1"/>
    <col min="8453" max="8453" width="16.375" style="813" bestFit="1" customWidth="1"/>
    <col min="8454" max="8704" width="9" style="813"/>
    <col min="8705" max="8705" width="22.75" style="813" customWidth="1"/>
    <col min="8706" max="8706" width="14.875" style="813" customWidth="1"/>
    <col min="8707" max="8707" width="16.75" style="813" customWidth="1"/>
    <col min="8708" max="8708" width="14.875" style="813" customWidth="1"/>
    <col min="8709" max="8709" width="16.375" style="813" bestFit="1" customWidth="1"/>
    <col min="8710" max="8960" width="9" style="813"/>
    <col min="8961" max="8961" width="22.75" style="813" customWidth="1"/>
    <col min="8962" max="8962" width="14.875" style="813" customWidth="1"/>
    <col min="8963" max="8963" width="16.75" style="813" customWidth="1"/>
    <col min="8964" max="8964" width="14.875" style="813" customWidth="1"/>
    <col min="8965" max="8965" width="16.375" style="813" bestFit="1" customWidth="1"/>
    <col min="8966" max="9216" width="9" style="813"/>
    <col min="9217" max="9217" width="22.75" style="813" customWidth="1"/>
    <col min="9218" max="9218" width="14.875" style="813" customWidth="1"/>
    <col min="9219" max="9219" width="16.75" style="813" customWidth="1"/>
    <col min="9220" max="9220" width="14.875" style="813" customWidth="1"/>
    <col min="9221" max="9221" width="16.375" style="813" bestFit="1" customWidth="1"/>
    <col min="9222" max="9472" width="9" style="813"/>
    <col min="9473" max="9473" width="22.75" style="813" customWidth="1"/>
    <col min="9474" max="9474" width="14.875" style="813" customWidth="1"/>
    <col min="9475" max="9475" width="16.75" style="813" customWidth="1"/>
    <col min="9476" max="9476" width="14.875" style="813" customWidth="1"/>
    <col min="9477" max="9477" width="16.375" style="813" bestFit="1" customWidth="1"/>
    <col min="9478" max="9728" width="9" style="813"/>
    <col min="9729" max="9729" width="22.75" style="813" customWidth="1"/>
    <col min="9730" max="9730" width="14.875" style="813" customWidth="1"/>
    <col min="9731" max="9731" width="16.75" style="813" customWidth="1"/>
    <col min="9732" max="9732" width="14.875" style="813" customWidth="1"/>
    <col min="9733" max="9733" width="16.375" style="813" bestFit="1" customWidth="1"/>
    <col min="9734" max="9984" width="9" style="813"/>
    <col min="9985" max="9985" width="22.75" style="813" customWidth="1"/>
    <col min="9986" max="9986" width="14.875" style="813" customWidth="1"/>
    <col min="9987" max="9987" width="16.75" style="813" customWidth="1"/>
    <col min="9988" max="9988" width="14.875" style="813" customWidth="1"/>
    <col min="9989" max="9989" width="16.375" style="813" bestFit="1" customWidth="1"/>
    <col min="9990" max="10240" width="9" style="813"/>
    <col min="10241" max="10241" width="22.75" style="813" customWidth="1"/>
    <col min="10242" max="10242" width="14.875" style="813" customWidth="1"/>
    <col min="10243" max="10243" width="16.75" style="813" customWidth="1"/>
    <col min="10244" max="10244" width="14.875" style="813" customWidth="1"/>
    <col min="10245" max="10245" width="16.375" style="813" bestFit="1" customWidth="1"/>
    <col min="10246" max="10496" width="9" style="813"/>
    <col min="10497" max="10497" width="22.75" style="813" customWidth="1"/>
    <col min="10498" max="10498" width="14.875" style="813" customWidth="1"/>
    <col min="10499" max="10499" width="16.75" style="813" customWidth="1"/>
    <col min="10500" max="10500" width="14.875" style="813" customWidth="1"/>
    <col min="10501" max="10501" width="16.375" style="813" bestFit="1" customWidth="1"/>
    <col min="10502" max="10752" width="9" style="813"/>
    <col min="10753" max="10753" width="22.75" style="813" customWidth="1"/>
    <col min="10754" max="10754" width="14.875" style="813" customWidth="1"/>
    <col min="10755" max="10755" width="16.75" style="813" customWidth="1"/>
    <col min="10756" max="10756" width="14.875" style="813" customWidth="1"/>
    <col min="10757" max="10757" width="16.375" style="813" bestFit="1" customWidth="1"/>
    <col min="10758" max="11008" width="9" style="813"/>
    <col min="11009" max="11009" width="22.75" style="813" customWidth="1"/>
    <col min="11010" max="11010" width="14.875" style="813" customWidth="1"/>
    <col min="11011" max="11011" width="16.75" style="813" customWidth="1"/>
    <col min="11012" max="11012" width="14.875" style="813" customWidth="1"/>
    <col min="11013" max="11013" width="16.375" style="813" bestFit="1" customWidth="1"/>
    <col min="11014" max="11264" width="9" style="813"/>
    <col min="11265" max="11265" width="22.75" style="813" customWidth="1"/>
    <col min="11266" max="11266" width="14.875" style="813" customWidth="1"/>
    <col min="11267" max="11267" width="16.75" style="813" customWidth="1"/>
    <col min="11268" max="11268" width="14.875" style="813" customWidth="1"/>
    <col min="11269" max="11269" width="16.375" style="813" bestFit="1" customWidth="1"/>
    <col min="11270" max="11520" width="9" style="813"/>
    <col min="11521" max="11521" width="22.75" style="813" customWidth="1"/>
    <col min="11522" max="11522" width="14.875" style="813" customWidth="1"/>
    <col min="11523" max="11523" width="16.75" style="813" customWidth="1"/>
    <col min="11524" max="11524" width="14.875" style="813" customWidth="1"/>
    <col min="11525" max="11525" width="16.375" style="813" bestFit="1" customWidth="1"/>
    <col min="11526" max="11776" width="9" style="813"/>
    <col min="11777" max="11777" width="22.75" style="813" customWidth="1"/>
    <col min="11778" max="11778" width="14.875" style="813" customWidth="1"/>
    <col min="11779" max="11779" width="16.75" style="813" customWidth="1"/>
    <col min="11780" max="11780" width="14.875" style="813" customWidth="1"/>
    <col min="11781" max="11781" width="16.375" style="813" bestFit="1" customWidth="1"/>
    <col min="11782" max="12032" width="9" style="813"/>
    <col min="12033" max="12033" width="22.75" style="813" customWidth="1"/>
    <col min="12034" max="12034" width="14.875" style="813" customWidth="1"/>
    <col min="12035" max="12035" width="16.75" style="813" customWidth="1"/>
    <col min="12036" max="12036" width="14.875" style="813" customWidth="1"/>
    <col min="12037" max="12037" width="16.375" style="813" bestFit="1" customWidth="1"/>
    <col min="12038" max="12288" width="9" style="813"/>
    <col min="12289" max="12289" width="22.75" style="813" customWidth="1"/>
    <col min="12290" max="12290" width="14.875" style="813" customWidth="1"/>
    <col min="12291" max="12291" width="16.75" style="813" customWidth="1"/>
    <col min="12292" max="12292" width="14.875" style="813" customWidth="1"/>
    <col min="12293" max="12293" width="16.375" style="813" bestFit="1" customWidth="1"/>
    <col min="12294" max="12544" width="9" style="813"/>
    <col min="12545" max="12545" width="22.75" style="813" customWidth="1"/>
    <col min="12546" max="12546" width="14.875" style="813" customWidth="1"/>
    <col min="12547" max="12547" width="16.75" style="813" customWidth="1"/>
    <col min="12548" max="12548" width="14.875" style="813" customWidth="1"/>
    <col min="12549" max="12549" width="16.375" style="813" bestFit="1" customWidth="1"/>
    <col min="12550" max="12800" width="9" style="813"/>
    <col min="12801" max="12801" width="22.75" style="813" customWidth="1"/>
    <col min="12802" max="12802" width="14.875" style="813" customWidth="1"/>
    <col min="12803" max="12803" width="16.75" style="813" customWidth="1"/>
    <col min="12804" max="12804" width="14.875" style="813" customWidth="1"/>
    <col min="12805" max="12805" width="16.375" style="813" bestFit="1" customWidth="1"/>
    <col min="12806" max="13056" width="9" style="813"/>
    <col min="13057" max="13057" width="22.75" style="813" customWidth="1"/>
    <col min="13058" max="13058" width="14.875" style="813" customWidth="1"/>
    <col min="13059" max="13059" width="16.75" style="813" customWidth="1"/>
    <col min="13060" max="13060" width="14.875" style="813" customWidth="1"/>
    <col min="13061" max="13061" width="16.375" style="813" bestFit="1" customWidth="1"/>
    <col min="13062" max="13312" width="9" style="813"/>
    <col min="13313" max="13313" width="22.75" style="813" customWidth="1"/>
    <col min="13314" max="13314" width="14.875" style="813" customWidth="1"/>
    <col min="13315" max="13315" width="16.75" style="813" customWidth="1"/>
    <col min="13316" max="13316" width="14.875" style="813" customWidth="1"/>
    <col min="13317" max="13317" width="16.375" style="813" bestFit="1" customWidth="1"/>
    <col min="13318" max="13568" width="9" style="813"/>
    <col min="13569" max="13569" width="22.75" style="813" customWidth="1"/>
    <col min="13570" max="13570" width="14.875" style="813" customWidth="1"/>
    <col min="13571" max="13571" width="16.75" style="813" customWidth="1"/>
    <col min="13572" max="13572" width="14.875" style="813" customWidth="1"/>
    <col min="13573" max="13573" width="16.375" style="813" bestFit="1" customWidth="1"/>
    <col min="13574" max="13824" width="9" style="813"/>
    <col min="13825" max="13825" width="22.75" style="813" customWidth="1"/>
    <col min="13826" max="13826" width="14.875" style="813" customWidth="1"/>
    <col min="13827" max="13827" width="16.75" style="813" customWidth="1"/>
    <col min="13828" max="13828" width="14.875" style="813" customWidth="1"/>
    <col min="13829" max="13829" width="16.375" style="813" bestFit="1" customWidth="1"/>
    <col min="13830" max="14080" width="9" style="813"/>
    <col min="14081" max="14081" width="22.75" style="813" customWidth="1"/>
    <col min="14082" max="14082" width="14.875" style="813" customWidth="1"/>
    <col min="14083" max="14083" width="16.75" style="813" customWidth="1"/>
    <col min="14084" max="14084" width="14.875" style="813" customWidth="1"/>
    <col min="14085" max="14085" width="16.375" style="813" bestFit="1" customWidth="1"/>
    <col min="14086" max="14336" width="9" style="813"/>
    <col min="14337" max="14337" width="22.75" style="813" customWidth="1"/>
    <col min="14338" max="14338" width="14.875" style="813" customWidth="1"/>
    <col min="14339" max="14339" width="16.75" style="813" customWidth="1"/>
    <col min="14340" max="14340" width="14.875" style="813" customWidth="1"/>
    <col min="14341" max="14341" width="16.375" style="813" bestFit="1" customWidth="1"/>
    <col min="14342" max="14592" width="9" style="813"/>
    <col min="14593" max="14593" width="22.75" style="813" customWidth="1"/>
    <col min="14594" max="14594" width="14.875" style="813" customWidth="1"/>
    <col min="14595" max="14595" width="16.75" style="813" customWidth="1"/>
    <col min="14596" max="14596" width="14.875" style="813" customWidth="1"/>
    <col min="14597" max="14597" width="16.375" style="813" bestFit="1" customWidth="1"/>
    <col min="14598" max="14848" width="9" style="813"/>
    <col min="14849" max="14849" width="22.75" style="813" customWidth="1"/>
    <col min="14850" max="14850" width="14.875" style="813" customWidth="1"/>
    <col min="14851" max="14851" width="16.75" style="813" customWidth="1"/>
    <col min="14852" max="14852" width="14.875" style="813" customWidth="1"/>
    <col min="14853" max="14853" width="16.375" style="813" bestFit="1" customWidth="1"/>
    <col min="14854" max="15104" width="9" style="813"/>
    <col min="15105" max="15105" width="22.75" style="813" customWidth="1"/>
    <col min="15106" max="15106" width="14.875" style="813" customWidth="1"/>
    <col min="15107" max="15107" width="16.75" style="813" customWidth="1"/>
    <col min="15108" max="15108" width="14.875" style="813" customWidth="1"/>
    <col min="15109" max="15109" width="16.375" style="813" bestFit="1" customWidth="1"/>
    <col min="15110" max="15360" width="9" style="813"/>
    <col min="15361" max="15361" width="22.75" style="813" customWidth="1"/>
    <col min="15362" max="15362" width="14.875" style="813" customWidth="1"/>
    <col min="15363" max="15363" width="16.75" style="813" customWidth="1"/>
    <col min="15364" max="15364" width="14.875" style="813" customWidth="1"/>
    <col min="15365" max="15365" width="16.375" style="813" bestFit="1" customWidth="1"/>
    <col min="15366" max="15616" width="9" style="813"/>
    <col min="15617" max="15617" width="22.75" style="813" customWidth="1"/>
    <col min="15618" max="15618" width="14.875" style="813" customWidth="1"/>
    <col min="15619" max="15619" width="16.75" style="813" customWidth="1"/>
    <col min="15620" max="15620" width="14.875" style="813" customWidth="1"/>
    <col min="15621" max="15621" width="16.375" style="813" bestFit="1" customWidth="1"/>
    <col min="15622" max="15872" width="9" style="813"/>
    <col min="15873" max="15873" width="22.75" style="813" customWidth="1"/>
    <col min="15874" max="15874" width="14.875" style="813" customWidth="1"/>
    <col min="15875" max="15875" width="16.75" style="813" customWidth="1"/>
    <col min="15876" max="15876" width="14.875" style="813" customWidth="1"/>
    <col min="15877" max="15877" width="16.375" style="813" bestFit="1" customWidth="1"/>
    <col min="15878" max="16128" width="9" style="813"/>
    <col min="16129" max="16129" width="22.75" style="813" customWidth="1"/>
    <col min="16130" max="16130" width="14.875" style="813" customWidth="1"/>
    <col min="16131" max="16131" width="16.75" style="813" customWidth="1"/>
    <col min="16132" max="16132" width="14.875" style="813" customWidth="1"/>
    <col min="16133" max="16133" width="16.375" style="813" bestFit="1" customWidth="1"/>
    <col min="16134" max="16384" width="9" style="813"/>
  </cols>
  <sheetData>
    <row r="1" spans="1:5" ht="28.5" customHeight="1" x14ac:dyDescent="0.3">
      <c r="C1" s="1015" t="s">
        <v>2978</v>
      </c>
    </row>
    <row r="2" spans="1:5" ht="5.65" customHeight="1" x14ac:dyDescent="0.3"/>
    <row r="3" spans="1:5" ht="11.45" customHeight="1" x14ac:dyDescent="0.3">
      <c r="C3" s="1016" t="s">
        <v>2979</v>
      </c>
    </row>
    <row r="4" spans="1:5" ht="11.45" customHeight="1" x14ac:dyDescent="0.3">
      <c r="C4" s="1016" t="s">
        <v>2980</v>
      </c>
    </row>
    <row r="5" spans="1:5" ht="11.45" customHeight="1" x14ac:dyDescent="0.3"/>
    <row r="6" spans="1:5" ht="14.25" customHeight="1" x14ac:dyDescent="0.3">
      <c r="A6" s="1017" t="s">
        <v>2602</v>
      </c>
      <c r="E6" s="1018" t="s">
        <v>865</v>
      </c>
    </row>
    <row r="7" spans="1:5" ht="2.85" customHeight="1" thickBot="1" x14ac:dyDescent="0.35"/>
    <row r="8" spans="1:5" ht="15.6" customHeight="1" thickBot="1" x14ac:dyDescent="0.35">
      <c r="A8" s="1907" t="s">
        <v>2981</v>
      </c>
      <c r="B8" s="1908" t="s">
        <v>2982</v>
      </c>
      <c r="C8" s="1908"/>
      <c r="D8" s="1909" t="s">
        <v>2983</v>
      </c>
      <c r="E8" s="1909"/>
    </row>
    <row r="9" spans="1:5" ht="15.6" customHeight="1" thickBot="1" x14ac:dyDescent="0.35">
      <c r="A9" s="1907"/>
      <c r="B9" s="1910" t="s">
        <v>2984</v>
      </c>
      <c r="C9" s="1910"/>
      <c r="D9" s="1911" t="s">
        <v>2984</v>
      </c>
      <c r="E9" s="1911"/>
    </row>
    <row r="10" spans="1:5" ht="16.5" customHeight="1" x14ac:dyDescent="0.3">
      <c r="A10" s="1635" t="s">
        <v>651</v>
      </c>
      <c r="B10" s="1636"/>
      <c r="C10" s="1637">
        <v>51522119099</v>
      </c>
      <c r="D10" s="1638"/>
      <c r="E10" s="1639">
        <v>48937325684</v>
      </c>
    </row>
    <row r="11" spans="1:5" ht="16.5" customHeight="1" x14ac:dyDescent="0.3">
      <c r="A11" s="1640" t="s">
        <v>652</v>
      </c>
      <c r="B11" s="1641">
        <v>5110202485</v>
      </c>
      <c r="C11" s="1642"/>
      <c r="D11" s="1643">
        <v>5763780423</v>
      </c>
      <c r="E11" s="1644"/>
    </row>
    <row r="12" spans="1:5" ht="16.5" customHeight="1" x14ac:dyDescent="0.3">
      <c r="A12" s="1640" t="s">
        <v>653</v>
      </c>
      <c r="B12" s="1641">
        <v>49462996658</v>
      </c>
      <c r="C12" s="1642"/>
      <c r="D12" s="1643">
        <v>48283747746</v>
      </c>
      <c r="E12" s="1644"/>
    </row>
    <row r="13" spans="1:5" ht="16.5" customHeight="1" x14ac:dyDescent="0.3">
      <c r="A13" s="1640" t="s">
        <v>654</v>
      </c>
      <c r="B13" s="1641">
        <v>3051080044</v>
      </c>
      <c r="C13" s="1642"/>
      <c r="D13" s="1643">
        <v>5110202485</v>
      </c>
      <c r="E13" s="1644"/>
    </row>
    <row r="14" spans="1:5" ht="16.5" customHeight="1" x14ac:dyDescent="0.3">
      <c r="A14" s="1640" t="s">
        <v>655</v>
      </c>
      <c r="B14" s="1645"/>
      <c r="C14" s="1642">
        <v>4409659128</v>
      </c>
      <c r="D14" s="1646"/>
      <c r="E14" s="1644">
        <v>3942678148</v>
      </c>
    </row>
    <row r="15" spans="1:5" ht="16.5" customHeight="1" x14ac:dyDescent="0.3">
      <c r="A15" s="1640" t="s">
        <v>656</v>
      </c>
      <c r="B15" s="1641">
        <v>3568789238</v>
      </c>
      <c r="C15" s="1642"/>
      <c r="D15" s="1643">
        <v>3313858848</v>
      </c>
      <c r="E15" s="1644"/>
    </row>
    <row r="16" spans="1:5" ht="16.5" customHeight="1" x14ac:dyDescent="0.3">
      <c r="A16" s="1640" t="s">
        <v>657</v>
      </c>
      <c r="B16" s="1641">
        <v>534400000</v>
      </c>
      <c r="C16" s="1642"/>
      <c r="D16" s="1643">
        <v>356700000</v>
      </c>
      <c r="E16" s="1644"/>
    </row>
    <row r="17" spans="1:5" ht="16.5" customHeight="1" x14ac:dyDescent="0.3">
      <c r="A17" s="1640" t="s">
        <v>658</v>
      </c>
      <c r="B17" s="1641">
        <v>2440090</v>
      </c>
      <c r="C17" s="1642"/>
      <c r="D17" s="1643">
        <v>3632160</v>
      </c>
      <c r="E17" s="1644"/>
    </row>
    <row r="18" spans="1:5" ht="16.5" customHeight="1" x14ac:dyDescent="0.3">
      <c r="A18" s="1640" t="s">
        <v>659</v>
      </c>
      <c r="B18" s="1641">
        <v>304029800</v>
      </c>
      <c r="C18" s="1642"/>
      <c r="D18" s="1643">
        <v>268487140</v>
      </c>
      <c r="E18" s="1644"/>
    </row>
    <row r="19" spans="1:5" ht="16.5" customHeight="1" x14ac:dyDescent="0.3">
      <c r="A19" s="1640" t="s">
        <v>660</v>
      </c>
      <c r="B19" s="1645"/>
      <c r="C19" s="1642">
        <v>9969880140</v>
      </c>
      <c r="D19" s="1646"/>
      <c r="E19" s="1644">
        <v>8595163443</v>
      </c>
    </row>
    <row r="20" spans="1:5" ht="16.5" customHeight="1" x14ac:dyDescent="0.3">
      <c r="A20" s="1640" t="s">
        <v>661</v>
      </c>
      <c r="B20" s="1641">
        <v>437861526</v>
      </c>
      <c r="C20" s="1642"/>
      <c r="D20" s="1643">
        <v>396537191</v>
      </c>
      <c r="E20" s="1644"/>
    </row>
    <row r="21" spans="1:5" ht="16.5" customHeight="1" x14ac:dyDescent="0.3">
      <c r="A21" s="1640" t="s">
        <v>662</v>
      </c>
      <c r="B21" s="1641">
        <v>11934796</v>
      </c>
      <c r="C21" s="1642"/>
      <c r="D21" s="1643">
        <v>20901803</v>
      </c>
      <c r="E21" s="1644"/>
    </row>
    <row r="22" spans="1:5" ht="16.5" customHeight="1" x14ac:dyDescent="0.3">
      <c r="A22" s="1640" t="s">
        <v>663</v>
      </c>
      <c r="B22" s="1641">
        <v>264649929</v>
      </c>
      <c r="C22" s="1642"/>
      <c r="D22" s="1643">
        <v>213136289</v>
      </c>
      <c r="E22" s="1644"/>
    </row>
    <row r="23" spans="1:5" ht="16.5" customHeight="1" x14ac:dyDescent="0.3">
      <c r="A23" s="1640" t="s">
        <v>664</v>
      </c>
      <c r="B23" s="1641">
        <v>168817990</v>
      </c>
      <c r="C23" s="1642"/>
      <c r="D23" s="1643">
        <v>154959800</v>
      </c>
      <c r="E23" s="1644"/>
    </row>
    <row r="24" spans="1:5" ht="16.5" customHeight="1" x14ac:dyDescent="0.3">
      <c r="A24" s="1640" t="s">
        <v>665</v>
      </c>
      <c r="B24" s="1641">
        <v>629698435</v>
      </c>
      <c r="C24" s="1642"/>
      <c r="D24" s="1643">
        <v>520708142</v>
      </c>
      <c r="E24" s="1644"/>
    </row>
    <row r="25" spans="1:5" ht="16.5" customHeight="1" x14ac:dyDescent="0.3">
      <c r="A25" s="1640" t="s">
        <v>666</v>
      </c>
      <c r="B25" s="1641">
        <v>89058000</v>
      </c>
      <c r="C25" s="1642"/>
      <c r="D25" s="1643">
        <v>114095700</v>
      </c>
      <c r="E25" s="1644"/>
    </row>
    <row r="26" spans="1:5" ht="16.5" customHeight="1" x14ac:dyDescent="0.3">
      <c r="A26" s="1640" t="s">
        <v>667</v>
      </c>
      <c r="B26" s="1641">
        <v>93667365</v>
      </c>
      <c r="C26" s="1642"/>
      <c r="D26" s="1643">
        <v>104368280</v>
      </c>
      <c r="E26" s="1644"/>
    </row>
    <row r="27" spans="1:5" ht="16.5" customHeight="1" x14ac:dyDescent="0.3">
      <c r="A27" s="1640" t="s">
        <v>668</v>
      </c>
      <c r="B27" s="1641">
        <v>162496309</v>
      </c>
      <c r="C27" s="1642"/>
      <c r="D27" s="1643">
        <v>176768492</v>
      </c>
      <c r="E27" s="1644"/>
    </row>
    <row r="28" spans="1:5" ht="16.5" customHeight="1" x14ac:dyDescent="0.3">
      <c r="A28" s="1640" t="s">
        <v>669</v>
      </c>
      <c r="B28" s="1641">
        <v>6420320</v>
      </c>
      <c r="C28" s="1642"/>
      <c r="D28" s="1643">
        <v>3180000</v>
      </c>
      <c r="E28" s="1644"/>
    </row>
    <row r="29" spans="1:5" ht="16.5" customHeight="1" x14ac:dyDescent="0.3">
      <c r="A29" s="1640" t="s">
        <v>670</v>
      </c>
      <c r="B29" s="1641">
        <v>2625405380</v>
      </c>
      <c r="C29" s="1642"/>
      <c r="D29" s="1643">
        <v>1852010860</v>
      </c>
      <c r="E29" s="1644"/>
    </row>
    <row r="30" spans="1:5" ht="16.5" customHeight="1" x14ac:dyDescent="0.3">
      <c r="A30" s="1640" t="s">
        <v>671</v>
      </c>
      <c r="B30" s="1641">
        <v>62267990</v>
      </c>
      <c r="C30" s="1642"/>
      <c r="D30" s="1643">
        <v>55251383</v>
      </c>
      <c r="E30" s="1644"/>
    </row>
    <row r="31" spans="1:5" ht="16.5" customHeight="1" x14ac:dyDescent="0.3">
      <c r="A31" s="1640" t="s">
        <v>672</v>
      </c>
      <c r="B31" s="1641">
        <v>4306500</v>
      </c>
      <c r="C31" s="1642"/>
      <c r="D31" s="1643">
        <v>1400000</v>
      </c>
      <c r="E31" s="1644"/>
    </row>
    <row r="32" spans="1:5" ht="16.5" customHeight="1" x14ac:dyDescent="0.3">
      <c r="A32" s="1640" t="s">
        <v>673</v>
      </c>
      <c r="B32" s="1641">
        <v>1710954</v>
      </c>
      <c r="C32" s="1642"/>
      <c r="D32" s="1643">
        <v>3887361</v>
      </c>
      <c r="E32" s="1644"/>
    </row>
    <row r="33" spans="1:5" ht="16.5" customHeight="1" x14ac:dyDescent="0.3">
      <c r="A33" s="1640" t="s">
        <v>674</v>
      </c>
      <c r="B33" s="1641">
        <v>15800850</v>
      </c>
      <c r="C33" s="1642"/>
      <c r="D33" s="1643">
        <v>21131998</v>
      </c>
      <c r="E33" s="1644"/>
    </row>
    <row r="34" spans="1:5" ht="16.5" customHeight="1" x14ac:dyDescent="0.3">
      <c r="A34" s="1640" t="s">
        <v>675</v>
      </c>
      <c r="B34" s="1641">
        <v>3890851</v>
      </c>
      <c r="C34" s="1642"/>
      <c r="D34" s="1643">
        <v>3548178</v>
      </c>
      <c r="E34" s="1644"/>
    </row>
    <row r="35" spans="1:5" ht="16.5" customHeight="1" x14ac:dyDescent="0.3">
      <c r="A35" s="1640" t="s">
        <v>676</v>
      </c>
      <c r="B35" s="1641">
        <v>366499517</v>
      </c>
      <c r="C35" s="1642"/>
      <c r="D35" s="1643">
        <v>538776529</v>
      </c>
      <c r="E35" s="1644"/>
    </row>
    <row r="36" spans="1:5" ht="16.5" customHeight="1" x14ac:dyDescent="0.3">
      <c r="A36" s="1640" t="s">
        <v>677</v>
      </c>
      <c r="B36" s="1641">
        <v>213235767</v>
      </c>
      <c r="C36" s="1642"/>
      <c r="D36" s="1643">
        <v>234287650</v>
      </c>
      <c r="E36" s="1644"/>
    </row>
    <row r="37" spans="1:5" ht="16.5" customHeight="1" x14ac:dyDescent="0.3">
      <c r="A37" s="1640" t="s">
        <v>678</v>
      </c>
      <c r="B37" s="1641">
        <v>4614012270</v>
      </c>
      <c r="C37" s="1642"/>
      <c r="D37" s="1643">
        <v>3623062638</v>
      </c>
      <c r="E37" s="1644"/>
    </row>
    <row r="38" spans="1:5" ht="16.5" customHeight="1" x14ac:dyDescent="0.3">
      <c r="A38" s="1640" t="s">
        <v>679</v>
      </c>
      <c r="B38" s="1641">
        <v>3548000</v>
      </c>
      <c r="C38" s="1642"/>
      <c r="D38" s="1643">
        <v>120000</v>
      </c>
      <c r="E38" s="1644"/>
    </row>
    <row r="39" spans="1:5" ht="16.5" customHeight="1" x14ac:dyDescent="0.3">
      <c r="A39" s="1640" t="s">
        <v>680</v>
      </c>
      <c r="B39" s="1641">
        <v>131571153</v>
      </c>
      <c r="C39" s="1642"/>
      <c r="D39" s="1643">
        <v>95066478</v>
      </c>
      <c r="E39" s="1644"/>
    </row>
    <row r="40" spans="1:5" ht="16.5" customHeight="1" x14ac:dyDescent="0.3">
      <c r="A40" s="1640" t="s">
        <v>681</v>
      </c>
      <c r="B40" s="1641">
        <v>55400000</v>
      </c>
      <c r="C40" s="1642"/>
      <c r="D40" s="1643">
        <v>458410000</v>
      </c>
      <c r="E40" s="1644"/>
    </row>
    <row r="41" spans="1:5" ht="16.5" customHeight="1" x14ac:dyDescent="0.3">
      <c r="A41" s="1640" t="s">
        <v>682</v>
      </c>
      <c r="B41" s="1641">
        <v>7626238</v>
      </c>
      <c r="C41" s="1642"/>
      <c r="D41" s="1643">
        <v>3554671</v>
      </c>
      <c r="E41" s="1644"/>
    </row>
    <row r="42" spans="1:5" ht="16.5" customHeight="1" x14ac:dyDescent="0.3">
      <c r="A42" s="1640" t="s">
        <v>683</v>
      </c>
      <c r="B42" s="1645"/>
      <c r="C42" s="1647">
        <v>65901658367</v>
      </c>
      <c r="D42" s="1646"/>
      <c r="E42" s="1648">
        <v>61475167275</v>
      </c>
    </row>
    <row r="43" spans="1:5" ht="16.5" customHeight="1" x14ac:dyDescent="0.3">
      <c r="A43" s="1640" t="s">
        <v>684</v>
      </c>
      <c r="B43" s="1641"/>
      <c r="C43" s="1642">
        <v>0</v>
      </c>
      <c r="D43" s="1643"/>
      <c r="E43" s="1644">
        <v>0</v>
      </c>
    </row>
    <row r="44" spans="1:5" ht="16.5" customHeight="1" x14ac:dyDescent="0.3">
      <c r="A44" s="1640" t="s">
        <v>685</v>
      </c>
      <c r="B44" s="1641"/>
      <c r="C44" s="1647">
        <v>65901658367</v>
      </c>
      <c r="D44" s="1643"/>
      <c r="E44" s="1648">
        <v>61475167275</v>
      </c>
    </row>
    <row r="45" spans="1:5" ht="16.5" customHeight="1" x14ac:dyDescent="0.3">
      <c r="A45" s="1640" t="s">
        <v>686</v>
      </c>
      <c r="B45" s="1641"/>
      <c r="C45" s="1642">
        <v>0</v>
      </c>
      <c r="D45" s="1643"/>
      <c r="E45" s="1644">
        <v>0</v>
      </c>
    </row>
    <row r="46" spans="1:5" ht="16.5" customHeight="1" x14ac:dyDescent="0.3">
      <c r="A46" s="1640" t="s">
        <v>687</v>
      </c>
      <c r="B46" s="1641"/>
      <c r="C46" s="1642">
        <v>0</v>
      </c>
      <c r="D46" s="1643"/>
      <c r="E46" s="1644">
        <v>0</v>
      </c>
    </row>
    <row r="47" spans="1:5" ht="16.5" customHeight="1" thickBot="1" x14ac:dyDescent="0.35">
      <c r="A47" s="1649" t="s">
        <v>2985</v>
      </c>
      <c r="B47" s="1650"/>
      <c r="C47" s="1651">
        <v>65901658367</v>
      </c>
      <c r="D47" s="1652"/>
      <c r="E47" s="1653">
        <v>61475167275</v>
      </c>
    </row>
  </sheetData>
  <mergeCells count="5">
    <mergeCell ref="A8:A9"/>
    <mergeCell ref="B8:C8"/>
    <mergeCell ref="D8:E8"/>
    <mergeCell ref="B9:C9"/>
    <mergeCell ref="D9:E9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opLeftCell="A62" workbookViewId="0">
      <selection activeCell="E14" sqref="E14:E17"/>
    </sheetView>
  </sheetViews>
  <sheetFormatPr defaultRowHeight="16.5" x14ac:dyDescent="0.3"/>
  <cols>
    <col min="1" max="1" width="33" bestFit="1" customWidth="1"/>
    <col min="2" max="6" width="15.625" customWidth="1"/>
  </cols>
  <sheetData>
    <row r="1" spans="1:5" ht="24" x14ac:dyDescent="0.2">
      <c r="A1" s="1007"/>
      <c r="B1" s="1009" t="s">
        <v>2963</v>
      </c>
      <c r="C1" s="1007"/>
      <c r="D1" s="1007"/>
      <c r="E1" s="1007"/>
    </row>
    <row r="2" spans="1:5" x14ac:dyDescent="0.2">
      <c r="A2" s="1007"/>
      <c r="B2" s="1007"/>
      <c r="C2" s="1007"/>
      <c r="D2" s="1007"/>
      <c r="E2" s="1007"/>
    </row>
    <row r="3" spans="1:5" x14ac:dyDescent="0.2">
      <c r="A3" s="1007"/>
      <c r="B3" s="1008" t="s">
        <v>2964</v>
      </c>
      <c r="C3" s="1007"/>
      <c r="D3" s="1007"/>
      <c r="E3" s="1007"/>
    </row>
    <row r="4" spans="1:5" x14ac:dyDescent="0.2">
      <c r="A4" s="1007"/>
      <c r="B4" s="1008" t="s">
        <v>2965</v>
      </c>
      <c r="C4" s="1007"/>
      <c r="D4" s="1007"/>
      <c r="E4" s="1007"/>
    </row>
    <row r="5" spans="1:5" x14ac:dyDescent="0.2">
      <c r="A5" s="1007"/>
      <c r="B5" s="1007"/>
      <c r="C5" s="1007"/>
      <c r="D5" s="1007"/>
      <c r="E5" s="1007"/>
    </row>
    <row r="6" spans="1:5" x14ac:dyDescent="0.2">
      <c r="A6" s="1010" t="s">
        <v>2966</v>
      </c>
      <c r="B6" s="1007"/>
      <c r="C6" s="1007"/>
      <c r="D6" s="1007"/>
      <c r="E6" s="1011" t="s">
        <v>2967</v>
      </c>
    </row>
    <row r="7" spans="1:5" ht="17.25" thickBot="1" x14ac:dyDescent="0.25">
      <c r="A7" s="1007"/>
      <c r="B7" s="1007"/>
      <c r="C7" s="1007"/>
      <c r="D7" s="1007"/>
      <c r="E7" s="1007"/>
    </row>
    <row r="8" spans="1:5" ht="17.25" thickBot="1" x14ac:dyDescent="0.35">
      <c r="A8" s="1907" t="s">
        <v>2968</v>
      </c>
      <c r="B8" s="1908" t="s">
        <v>2969</v>
      </c>
      <c r="C8" s="1908"/>
      <c r="D8" s="1909" t="s">
        <v>2970</v>
      </c>
      <c r="E8" s="1909"/>
    </row>
    <row r="9" spans="1:5" ht="17.25" thickBot="1" x14ac:dyDescent="0.35">
      <c r="A9" s="1907"/>
      <c r="B9" s="1910" t="s">
        <v>2971</v>
      </c>
      <c r="C9" s="1910"/>
      <c r="D9" s="1911" t="s">
        <v>2971</v>
      </c>
      <c r="E9" s="1911"/>
    </row>
    <row r="10" spans="1:5" x14ac:dyDescent="0.3">
      <c r="A10" s="1655" t="s">
        <v>319</v>
      </c>
      <c r="B10" s="1656"/>
      <c r="C10" s="1656">
        <v>92333965525</v>
      </c>
      <c r="D10" s="1656"/>
      <c r="E10" s="1657">
        <v>81488230867</v>
      </c>
    </row>
    <row r="11" spans="1:5" x14ac:dyDescent="0.3">
      <c r="A11" s="1658" t="s">
        <v>320</v>
      </c>
      <c r="B11" s="1659">
        <v>88429795106</v>
      </c>
      <c r="C11" s="1656"/>
      <c r="D11" s="1659">
        <v>78125032016</v>
      </c>
      <c r="E11" s="1657"/>
    </row>
    <row r="12" spans="1:5" x14ac:dyDescent="0.3">
      <c r="A12" s="1658" t="s">
        <v>321</v>
      </c>
      <c r="B12" s="1659">
        <v>3904170419</v>
      </c>
      <c r="C12" s="1656"/>
      <c r="D12" s="1659">
        <v>3363198851</v>
      </c>
      <c r="E12" s="1657"/>
    </row>
    <row r="13" spans="1:5" x14ac:dyDescent="0.3">
      <c r="A13" s="1655" t="s">
        <v>322</v>
      </c>
      <c r="B13" s="1660"/>
      <c r="C13" s="1656">
        <v>66253174562</v>
      </c>
      <c r="D13" s="1660"/>
      <c r="E13" s="1657">
        <v>59896716216</v>
      </c>
    </row>
    <row r="14" spans="1:5" x14ac:dyDescent="0.3">
      <c r="A14" s="1655" t="s">
        <v>323</v>
      </c>
      <c r="B14" s="1656"/>
      <c r="C14" s="1656">
        <v>66253174562</v>
      </c>
      <c r="D14" s="1656"/>
      <c r="E14" s="1657">
        <v>59896716216</v>
      </c>
    </row>
    <row r="15" spans="1:5" x14ac:dyDescent="0.3">
      <c r="A15" s="1658" t="s">
        <v>324</v>
      </c>
      <c r="B15" s="1659">
        <v>3760997894</v>
      </c>
      <c r="C15" s="1656"/>
      <c r="D15" s="1659">
        <v>2182546835</v>
      </c>
      <c r="E15" s="1657"/>
    </row>
    <row r="16" spans="1:5" x14ac:dyDescent="0.3">
      <c r="A16" s="1658" t="s">
        <v>325</v>
      </c>
      <c r="B16" s="1659">
        <v>65901658367</v>
      </c>
      <c r="C16" s="1656"/>
      <c r="D16" s="1659">
        <v>61475167275</v>
      </c>
      <c r="E16" s="1657"/>
    </row>
    <row r="17" spans="1:5" x14ac:dyDescent="0.3">
      <c r="A17" s="1658" t="s">
        <v>326</v>
      </c>
      <c r="B17" s="1661">
        <v>3409481699</v>
      </c>
      <c r="C17" s="1656"/>
      <c r="D17" s="1661">
        <v>3760997894</v>
      </c>
      <c r="E17" s="1657"/>
    </row>
    <row r="18" spans="1:5" x14ac:dyDescent="0.3">
      <c r="A18" s="1655" t="s">
        <v>327</v>
      </c>
      <c r="B18" s="1660"/>
      <c r="C18" s="1660">
        <v>26080790963</v>
      </c>
      <c r="D18" s="1660"/>
      <c r="E18" s="1662">
        <v>21591514651</v>
      </c>
    </row>
    <row r="19" spans="1:5" x14ac:dyDescent="0.3">
      <c r="A19" s="1655" t="s">
        <v>328</v>
      </c>
      <c r="B19" s="1656"/>
      <c r="C19" s="1656">
        <v>10368970548</v>
      </c>
      <c r="D19" s="1656"/>
      <c r="E19" s="1657">
        <v>7407696959</v>
      </c>
    </row>
    <row r="20" spans="1:5" x14ac:dyDescent="0.3">
      <c r="A20" s="1658" t="s">
        <v>329</v>
      </c>
      <c r="B20" s="1659">
        <v>636336620</v>
      </c>
      <c r="C20" s="1656"/>
      <c r="D20" s="1659">
        <v>578571100</v>
      </c>
      <c r="E20" s="1657"/>
    </row>
    <row r="21" spans="1:5" x14ac:dyDescent="0.3">
      <c r="A21" s="1658" t="s">
        <v>330</v>
      </c>
      <c r="B21" s="1659">
        <v>2908308745</v>
      </c>
      <c r="C21" s="1656"/>
      <c r="D21" s="1659">
        <v>2641385743</v>
      </c>
      <c r="E21" s="1657"/>
    </row>
    <row r="22" spans="1:5" x14ac:dyDescent="0.3">
      <c r="A22" s="1658" t="s">
        <v>331</v>
      </c>
      <c r="B22" s="1659">
        <v>1561634570</v>
      </c>
      <c r="C22" s="1656"/>
      <c r="D22" s="1659">
        <v>990653330</v>
      </c>
      <c r="E22" s="1657"/>
    </row>
    <row r="23" spans="1:5" x14ac:dyDescent="0.3">
      <c r="A23" s="1658" t="s">
        <v>332</v>
      </c>
      <c r="B23" s="1659">
        <v>271920</v>
      </c>
      <c r="C23" s="1656"/>
      <c r="D23" s="1659">
        <v>11894370</v>
      </c>
      <c r="E23" s="1657"/>
    </row>
    <row r="24" spans="1:5" x14ac:dyDescent="0.3">
      <c r="A24" s="1658" t="s">
        <v>333</v>
      </c>
      <c r="B24" s="1659">
        <v>237352190</v>
      </c>
      <c r="C24" s="1656"/>
      <c r="D24" s="1659">
        <v>209055100</v>
      </c>
      <c r="E24" s="1657"/>
    </row>
    <row r="25" spans="1:5" x14ac:dyDescent="0.3">
      <c r="A25" s="1658" t="s">
        <v>334</v>
      </c>
      <c r="B25" s="1659">
        <v>243461307</v>
      </c>
      <c r="C25" s="1656"/>
      <c r="D25" s="1659">
        <v>240865737</v>
      </c>
      <c r="E25" s="1657"/>
    </row>
    <row r="26" spans="1:5" x14ac:dyDescent="0.3">
      <c r="A26" s="1658" t="s">
        <v>335</v>
      </c>
      <c r="B26" s="1659">
        <v>318168713</v>
      </c>
      <c r="C26" s="1656"/>
      <c r="D26" s="1659">
        <v>262407224</v>
      </c>
      <c r="E26" s="1657"/>
    </row>
    <row r="27" spans="1:5" x14ac:dyDescent="0.3">
      <c r="A27" s="1658" t="s">
        <v>336</v>
      </c>
      <c r="B27" s="1659">
        <v>14699910</v>
      </c>
      <c r="C27" s="1656"/>
      <c r="D27" s="1659">
        <v>14208300</v>
      </c>
      <c r="E27" s="1657"/>
    </row>
    <row r="28" spans="1:5" x14ac:dyDescent="0.3">
      <c r="A28" s="1658" t="s">
        <v>337</v>
      </c>
      <c r="B28" s="1659">
        <v>78848519</v>
      </c>
      <c r="C28" s="1656"/>
      <c r="D28" s="1659">
        <v>74973654</v>
      </c>
      <c r="E28" s="1657"/>
    </row>
    <row r="29" spans="1:5" x14ac:dyDescent="0.3">
      <c r="A29" s="1658" t="s">
        <v>338</v>
      </c>
      <c r="B29" s="1659">
        <v>7837416</v>
      </c>
      <c r="C29" s="1656"/>
      <c r="D29" s="1659">
        <v>8061839</v>
      </c>
      <c r="E29" s="1657"/>
    </row>
    <row r="30" spans="1:5" x14ac:dyDescent="0.3">
      <c r="A30" s="1658" t="s">
        <v>339</v>
      </c>
      <c r="B30" s="1659">
        <v>81198489</v>
      </c>
      <c r="C30" s="1656"/>
      <c r="D30" s="1659">
        <v>89962703</v>
      </c>
      <c r="E30" s="1657"/>
    </row>
    <row r="31" spans="1:5" x14ac:dyDescent="0.3">
      <c r="A31" s="1658" t="s">
        <v>340</v>
      </c>
      <c r="B31" s="1659">
        <v>231436166</v>
      </c>
      <c r="C31" s="1656"/>
      <c r="D31" s="1659">
        <v>210776776</v>
      </c>
      <c r="E31" s="1657"/>
    </row>
    <row r="32" spans="1:5" x14ac:dyDescent="0.3">
      <c r="A32" s="1658" t="s">
        <v>341</v>
      </c>
      <c r="B32" s="1659">
        <v>288339491</v>
      </c>
      <c r="C32" s="1656"/>
      <c r="D32" s="1659">
        <v>253220085</v>
      </c>
      <c r="E32" s="1657"/>
    </row>
    <row r="33" spans="1:5" x14ac:dyDescent="0.3">
      <c r="A33" s="1658" t="s">
        <v>342</v>
      </c>
      <c r="B33" s="1659">
        <v>42356860</v>
      </c>
      <c r="C33" s="1656"/>
      <c r="D33" s="1659">
        <v>23566706</v>
      </c>
      <c r="E33" s="1657"/>
    </row>
    <row r="34" spans="1:5" x14ac:dyDescent="0.3">
      <c r="A34" s="1658" t="s">
        <v>343</v>
      </c>
      <c r="B34" s="1659">
        <v>41606155</v>
      </c>
      <c r="C34" s="1656"/>
      <c r="D34" s="1659">
        <v>16287404</v>
      </c>
      <c r="E34" s="1657"/>
    </row>
    <row r="35" spans="1:5" x14ac:dyDescent="0.3">
      <c r="A35" s="1658" t="s">
        <v>344</v>
      </c>
      <c r="B35" s="1659">
        <v>145510717</v>
      </c>
      <c r="C35" s="1656"/>
      <c r="D35" s="1659">
        <v>157962628</v>
      </c>
      <c r="E35" s="1657"/>
    </row>
    <row r="36" spans="1:5" x14ac:dyDescent="0.3">
      <c r="A36" s="1658" t="s">
        <v>345</v>
      </c>
      <c r="B36" s="1659">
        <v>30609744</v>
      </c>
      <c r="C36" s="1656"/>
      <c r="D36" s="1659">
        <v>29790707</v>
      </c>
      <c r="E36" s="1657"/>
    </row>
    <row r="37" spans="1:5" x14ac:dyDescent="0.3">
      <c r="A37" s="1658" t="s">
        <v>346</v>
      </c>
      <c r="B37" s="1659">
        <v>201546728</v>
      </c>
      <c r="C37" s="1656"/>
      <c r="D37" s="1659">
        <v>166875161</v>
      </c>
      <c r="E37" s="1657"/>
    </row>
    <row r="38" spans="1:5" x14ac:dyDescent="0.3">
      <c r="A38" s="1658" t="s">
        <v>347</v>
      </c>
      <c r="B38" s="1659">
        <v>2017500</v>
      </c>
      <c r="C38" s="1656"/>
      <c r="D38" s="1659">
        <v>1055000</v>
      </c>
      <c r="E38" s="1657"/>
    </row>
    <row r="39" spans="1:5" x14ac:dyDescent="0.3">
      <c r="A39" s="1658" t="s">
        <v>348</v>
      </c>
      <c r="B39" s="1659">
        <v>24837911</v>
      </c>
      <c r="C39" s="1656"/>
      <c r="D39" s="1659">
        <v>55511367</v>
      </c>
      <c r="E39" s="1657"/>
    </row>
    <row r="40" spans="1:5" x14ac:dyDescent="0.3">
      <c r="A40" s="1658" t="s">
        <v>349</v>
      </c>
      <c r="B40" s="1659">
        <v>5272858</v>
      </c>
      <c r="C40" s="1656"/>
      <c r="D40" s="1659">
        <v>5706910</v>
      </c>
      <c r="E40" s="1657"/>
    </row>
    <row r="41" spans="1:5" x14ac:dyDescent="0.3">
      <c r="A41" s="1658" t="s">
        <v>350</v>
      </c>
      <c r="B41" s="1659">
        <v>262648074</v>
      </c>
      <c r="C41" s="1656"/>
      <c r="D41" s="1659">
        <v>459159638</v>
      </c>
      <c r="E41" s="1657"/>
    </row>
    <row r="42" spans="1:5" x14ac:dyDescent="0.3">
      <c r="A42" s="1658" t="s">
        <v>351</v>
      </c>
      <c r="B42" s="1659">
        <v>171393984</v>
      </c>
      <c r="C42" s="1656"/>
      <c r="D42" s="1659">
        <v>160339374</v>
      </c>
      <c r="E42" s="1657"/>
    </row>
    <row r="43" spans="1:5" x14ac:dyDescent="0.3">
      <c r="A43" s="1658" t="s">
        <v>352</v>
      </c>
      <c r="B43" s="1659">
        <v>71411271</v>
      </c>
      <c r="C43" s="1656"/>
      <c r="D43" s="1659">
        <v>30088509</v>
      </c>
      <c r="E43" s="1657"/>
    </row>
    <row r="44" spans="1:5" x14ac:dyDescent="0.3">
      <c r="A44" s="1658" t="s">
        <v>353</v>
      </c>
      <c r="B44" s="1659">
        <v>40277329</v>
      </c>
      <c r="C44" s="1656"/>
      <c r="D44" s="1659">
        <v>21744555</v>
      </c>
      <c r="E44" s="1657"/>
    </row>
    <row r="45" spans="1:5" x14ac:dyDescent="0.3">
      <c r="A45" s="1658" t="s">
        <v>354</v>
      </c>
      <c r="B45" s="1659">
        <v>169043849</v>
      </c>
      <c r="C45" s="1656"/>
      <c r="D45" s="1659">
        <v>63433520</v>
      </c>
      <c r="E45" s="1657"/>
    </row>
    <row r="46" spans="1:5" x14ac:dyDescent="0.3">
      <c r="A46" s="1658" t="s">
        <v>355</v>
      </c>
      <c r="B46" s="1659">
        <v>2139497377</v>
      </c>
      <c r="C46" s="1656"/>
      <c r="D46" s="1659">
        <v>235465363</v>
      </c>
      <c r="E46" s="1657"/>
    </row>
    <row r="47" spans="1:5" x14ac:dyDescent="0.3">
      <c r="A47" s="1658" t="s">
        <v>356</v>
      </c>
      <c r="B47" s="1659">
        <v>251877593</v>
      </c>
      <c r="C47" s="1656"/>
      <c r="D47" s="1659">
        <v>191939982</v>
      </c>
      <c r="E47" s="1657"/>
    </row>
    <row r="48" spans="1:5" x14ac:dyDescent="0.3">
      <c r="A48" s="1658" t="s">
        <v>357</v>
      </c>
      <c r="B48" s="1659">
        <v>3437222</v>
      </c>
      <c r="C48" s="1656"/>
      <c r="D48" s="1659">
        <v>6403596</v>
      </c>
      <c r="E48" s="1657"/>
    </row>
    <row r="49" spans="1:5" x14ac:dyDescent="0.3">
      <c r="A49" s="1658" t="s">
        <v>358</v>
      </c>
      <c r="B49" s="1659">
        <v>1293320</v>
      </c>
      <c r="C49" s="1656"/>
      <c r="D49" s="1659">
        <v>6215778</v>
      </c>
      <c r="E49" s="1657"/>
    </row>
    <row r="50" spans="1:5" x14ac:dyDescent="0.3">
      <c r="A50" s="1658" t="s">
        <v>359</v>
      </c>
      <c r="B50" s="1659">
        <v>156438000</v>
      </c>
      <c r="C50" s="1656"/>
      <c r="D50" s="1659">
        <v>190114800</v>
      </c>
      <c r="E50" s="1657"/>
    </row>
    <row r="51" spans="1:5" x14ac:dyDescent="0.3">
      <c r="A51" s="1655" t="s">
        <v>360</v>
      </c>
      <c r="B51" s="1660"/>
      <c r="C51" s="1660">
        <v>15711820415</v>
      </c>
      <c r="D51" s="1660"/>
      <c r="E51" s="1662">
        <v>14183817692</v>
      </c>
    </row>
    <row r="52" spans="1:5" x14ac:dyDescent="0.3">
      <c r="A52" s="1655" t="s">
        <v>361</v>
      </c>
      <c r="B52" s="1656"/>
      <c r="C52" s="1656">
        <v>1446325258</v>
      </c>
      <c r="D52" s="1656"/>
      <c r="E52" s="1657">
        <v>1067030938</v>
      </c>
    </row>
    <row r="53" spans="1:5" x14ac:dyDescent="0.3">
      <c r="A53" s="1658" t="s">
        <v>362</v>
      </c>
      <c r="B53" s="1659">
        <v>684216185</v>
      </c>
      <c r="C53" s="1656"/>
      <c r="D53" s="1659">
        <v>550687241</v>
      </c>
      <c r="E53" s="1657"/>
    </row>
    <row r="54" spans="1:5" x14ac:dyDescent="0.3">
      <c r="A54" s="1658" t="s">
        <v>363</v>
      </c>
      <c r="B54" s="1659">
        <v>114990914</v>
      </c>
      <c r="C54" s="1656"/>
      <c r="D54" s="1659">
        <v>100513252</v>
      </c>
      <c r="E54" s="1657"/>
    </row>
    <row r="55" spans="1:5" x14ac:dyDescent="0.3">
      <c r="A55" s="1658" t="s">
        <v>2972</v>
      </c>
      <c r="B55" s="1659">
        <v>3031500</v>
      </c>
      <c r="C55" s="1656"/>
      <c r="D55" s="1659">
        <v>0</v>
      </c>
      <c r="E55" s="1657"/>
    </row>
    <row r="56" spans="1:5" x14ac:dyDescent="0.3">
      <c r="A56" s="1658" t="s">
        <v>364</v>
      </c>
      <c r="B56" s="1659">
        <v>70399458</v>
      </c>
      <c r="C56" s="1656"/>
      <c r="D56" s="1659">
        <v>79434417</v>
      </c>
      <c r="E56" s="1657"/>
    </row>
    <row r="57" spans="1:5" x14ac:dyDescent="0.3">
      <c r="A57" s="1658" t="s">
        <v>7518</v>
      </c>
      <c r="B57" s="1659">
        <v>1002727</v>
      </c>
      <c r="C57" s="1656"/>
      <c r="D57" s="1659">
        <v>0</v>
      </c>
      <c r="E57" s="1657"/>
    </row>
    <row r="58" spans="1:5" x14ac:dyDescent="0.3">
      <c r="A58" s="1658" t="s">
        <v>365</v>
      </c>
      <c r="B58" s="1659">
        <v>0</v>
      </c>
      <c r="C58" s="1656"/>
      <c r="D58" s="1659">
        <v>28134186</v>
      </c>
      <c r="E58" s="1657"/>
    </row>
    <row r="59" spans="1:5" x14ac:dyDescent="0.3">
      <c r="A59" s="1658" t="s">
        <v>366</v>
      </c>
      <c r="B59" s="1659">
        <v>16343415</v>
      </c>
      <c r="C59" s="1656"/>
      <c r="D59" s="1659">
        <v>226068345</v>
      </c>
      <c r="E59" s="1657"/>
    </row>
    <row r="60" spans="1:5" x14ac:dyDescent="0.3">
      <c r="A60" s="1658" t="s">
        <v>2973</v>
      </c>
      <c r="B60" s="1659">
        <v>24000000</v>
      </c>
      <c r="C60" s="1656"/>
      <c r="D60" s="1659">
        <v>0</v>
      </c>
      <c r="E60" s="1657"/>
    </row>
    <row r="61" spans="1:5" x14ac:dyDescent="0.3">
      <c r="A61" s="1658" t="s">
        <v>7519</v>
      </c>
      <c r="B61" s="1659">
        <v>321617214</v>
      </c>
      <c r="C61" s="1656"/>
      <c r="D61" s="1659">
        <v>0</v>
      </c>
      <c r="E61" s="1657"/>
    </row>
    <row r="62" spans="1:5" x14ac:dyDescent="0.3">
      <c r="A62" s="1658" t="s">
        <v>2974</v>
      </c>
      <c r="B62" s="1659">
        <v>3638987</v>
      </c>
      <c r="C62" s="1656"/>
      <c r="D62" s="1659">
        <v>8284000</v>
      </c>
      <c r="E62" s="1657"/>
    </row>
    <row r="63" spans="1:5" x14ac:dyDescent="0.3">
      <c r="A63" s="1658" t="s">
        <v>367</v>
      </c>
      <c r="B63" s="1659">
        <v>2965435</v>
      </c>
      <c r="C63" s="1656"/>
      <c r="D63" s="1659">
        <v>0</v>
      </c>
      <c r="E63" s="1657"/>
    </row>
    <row r="64" spans="1:5" x14ac:dyDescent="0.3">
      <c r="A64" s="1658" t="s">
        <v>368</v>
      </c>
      <c r="B64" s="1659">
        <v>204119423</v>
      </c>
      <c r="C64" s="1656"/>
      <c r="D64" s="1659">
        <v>73909497</v>
      </c>
      <c r="E64" s="1657"/>
    </row>
    <row r="65" spans="1:5" x14ac:dyDescent="0.3">
      <c r="A65" s="1655" t="s">
        <v>369</v>
      </c>
      <c r="B65" s="1656"/>
      <c r="C65" s="1656">
        <v>446180612</v>
      </c>
      <c r="D65" s="1656"/>
      <c r="E65" s="1657">
        <v>125560769</v>
      </c>
    </row>
    <row r="66" spans="1:5" x14ac:dyDescent="0.3">
      <c r="A66" s="1658" t="s">
        <v>370</v>
      </c>
      <c r="B66" s="1659">
        <v>2010</v>
      </c>
      <c r="C66" s="1656"/>
      <c r="D66" s="1659">
        <v>4328014</v>
      </c>
      <c r="E66" s="1657"/>
    </row>
    <row r="67" spans="1:5" x14ac:dyDescent="0.3">
      <c r="A67" s="1658" t="s">
        <v>371</v>
      </c>
      <c r="B67" s="1659">
        <v>271744989</v>
      </c>
      <c r="C67" s="1656"/>
      <c r="D67" s="1659">
        <v>64362469</v>
      </c>
      <c r="E67" s="1657"/>
    </row>
    <row r="68" spans="1:5" x14ac:dyDescent="0.3">
      <c r="A68" s="1658" t="s">
        <v>372</v>
      </c>
      <c r="B68" s="1659">
        <v>17500000</v>
      </c>
      <c r="C68" s="1656"/>
      <c r="D68" s="1659">
        <v>13950000</v>
      </c>
      <c r="E68" s="1657"/>
    </row>
    <row r="69" spans="1:5" x14ac:dyDescent="0.3">
      <c r="A69" s="1658" t="s">
        <v>373</v>
      </c>
      <c r="B69" s="1659">
        <v>150238410</v>
      </c>
      <c r="C69" s="1656"/>
      <c r="D69" s="1659">
        <v>0</v>
      </c>
      <c r="E69" s="1657"/>
    </row>
    <row r="70" spans="1:5" x14ac:dyDescent="0.3">
      <c r="A70" s="1658" t="s">
        <v>2975</v>
      </c>
      <c r="B70" s="1659">
        <v>1616000</v>
      </c>
      <c r="C70" s="1656"/>
      <c r="D70" s="1659">
        <v>0</v>
      </c>
      <c r="E70" s="1657"/>
    </row>
    <row r="71" spans="1:5" x14ac:dyDescent="0.3">
      <c r="A71" s="1658" t="s">
        <v>374</v>
      </c>
      <c r="B71" s="1659">
        <v>2942427</v>
      </c>
      <c r="C71" s="1656"/>
      <c r="D71" s="1659">
        <v>1221900</v>
      </c>
      <c r="E71" s="1657"/>
    </row>
    <row r="72" spans="1:5" x14ac:dyDescent="0.3">
      <c r="A72" s="1658" t="s">
        <v>2976</v>
      </c>
      <c r="B72" s="1659">
        <v>0</v>
      </c>
      <c r="C72" s="1656"/>
      <c r="D72" s="1659">
        <v>40806000</v>
      </c>
      <c r="E72" s="1657"/>
    </row>
    <row r="73" spans="1:5" x14ac:dyDescent="0.3">
      <c r="A73" s="1658" t="s">
        <v>375</v>
      </c>
      <c r="B73" s="1659">
        <v>2136776</v>
      </c>
      <c r="C73" s="1656"/>
      <c r="D73" s="1659">
        <v>892386</v>
      </c>
      <c r="E73" s="1657"/>
    </row>
    <row r="74" spans="1:5" x14ac:dyDescent="0.3">
      <c r="A74" s="1655" t="s">
        <v>376</v>
      </c>
      <c r="B74" s="1656"/>
      <c r="C74" s="1656">
        <v>16711965061</v>
      </c>
      <c r="D74" s="1656"/>
      <c r="E74" s="1657">
        <v>15125287861</v>
      </c>
    </row>
    <row r="75" spans="1:5" x14ac:dyDescent="0.3">
      <c r="A75" s="1655" t="s">
        <v>377</v>
      </c>
      <c r="B75" s="1656"/>
      <c r="C75" s="1656">
        <v>1211166300</v>
      </c>
      <c r="D75" s="1656"/>
      <c r="E75" s="1657">
        <v>2618700003</v>
      </c>
    </row>
    <row r="76" spans="1:5" x14ac:dyDescent="0.3">
      <c r="A76" s="1658" t="s">
        <v>378</v>
      </c>
      <c r="B76" s="1659">
        <v>1206349240</v>
      </c>
      <c r="C76" s="1656"/>
      <c r="D76" s="1659">
        <v>2618700003</v>
      </c>
      <c r="E76" s="1657"/>
    </row>
    <row r="77" spans="1:5" x14ac:dyDescent="0.3">
      <c r="A77" s="1658" t="s">
        <v>2977</v>
      </c>
      <c r="B77" s="1659">
        <v>4817060</v>
      </c>
      <c r="C77" s="1656"/>
      <c r="D77" s="1659">
        <v>0</v>
      </c>
      <c r="E77" s="1657"/>
    </row>
    <row r="78" spans="1:5" ht="17.25" thickBot="1" x14ac:dyDescent="0.35">
      <c r="A78" s="1663" t="s">
        <v>379</v>
      </c>
      <c r="B78" s="1664"/>
      <c r="C78" s="1664">
        <v>15500798761</v>
      </c>
      <c r="D78" s="1664"/>
      <c r="E78" s="1665">
        <v>12506587858</v>
      </c>
    </row>
  </sheetData>
  <mergeCells count="5">
    <mergeCell ref="A8:A9"/>
    <mergeCell ref="B8:C8"/>
    <mergeCell ref="D8:E8"/>
    <mergeCell ref="B9:C9"/>
    <mergeCell ref="D9:E9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A1:AH320"/>
  <sheetViews>
    <sheetView topLeftCell="A296" zoomScale="70" zoomScaleNormal="70" workbookViewId="0">
      <selection activeCell="E14" sqref="E14:E17"/>
    </sheetView>
  </sheetViews>
  <sheetFormatPr defaultColWidth="9" defaultRowHeight="12" outlineLevelRow="1" x14ac:dyDescent="0.3"/>
  <cols>
    <col min="1" max="1" width="1.625" style="1312" customWidth="1"/>
    <col min="2" max="2" width="25.875" style="1313" customWidth="1"/>
    <col min="3" max="3" width="15.625" style="1313" customWidth="1"/>
    <col min="4" max="4" width="10.625" style="1323" customWidth="1"/>
    <col min="5" max="6" width="9.625" style="1333" customWidth="1"/>
    <col min="7" max="7" width="10.625" style="1333" customWidth="1"/>
    <col min="8" max="8" width="9.625" style="1333" customWidth="1"/>
    <col min="9" max="9" width="11.25" style="1313" customWidth="1"/>
    <col min="10" max="10" width="12.5" style="1313" customWidth="1"/>
    <col min="11" max="11" width="14.625" style="1313" customWidth="1"/>
    <col min="12" max="13" width="12.625" style="1313" customWidth="1"/>
    <col min="14" max="14" width="12.125" style="1313" customWidth="1"/>
    <col min="15" max="16" width="10.625" style="1313" customWidth="1"/>
    <col min="17" max="17" width="17.25" style="1313" customWidth="1"/>
    <col min="18" max="18" width="18.125" style="1313" customWidth="1"/>
    <col min="19" max="19" width="12.875" style="1313" customWidth="1"/>
    <col min="20" max="20" width="11.5" style="1446" customWidth="1"/>
    <col min="21" max="28" width="13" style="1313" customWidth="1"/>
    <col min="29" max="30" width="13" style="1447" customWidth="1"/>
    <col min="31" max="31" width="13" style="1317" customWidth="1"/>
    <col min="32" max="32" width="13" style="1318" customWidth="1"/>
    <col min="33" max="33" width="13" style="1319" customWidth="1"/>
    <col min="34" max="34" width="13" style="1318" customWidth="1"/>
    <col min="35" max="16384" width="9" style="1318"/>
  </cols>
  <sheetData>
    <row r="1" spans="1:33" ht="12.75" thickBot="1" x14ac:dyDescent="0.35">
      <c r="C1" s="1314">
        <v>1</v>
      </c>
      <c r="D1" s="1314">
        <v>2</v>
      </c>
      <c r="E1" s="1314">
        <v>3</v>
      </c>
      <c r="F1" s="1314">
        <v>4</v>
      </c>
      <c r="G1" s="1314">
        <v>5</v>
      </c>
      <c r="H1" s="1314">
        <v>6</v>
      </c>
      <c r="I1" s="1314">
        <v>7</v>
      </c>
      <c r="J1" s="1314">
        <v>8</v>
      </c>
      <c r="K1" s="1314">
        <v>9</v>
      </c>
      <c r="L1" s="1314">
        <v>10</v>
      </c>
      <c r="M1" s="1314">
        <v>11</v>
      </c>
      <c r="N1" s="1314">
        <v>12</v>
      </c>
      <c r="O1" s="1314">
        <v>13</v>
      </c>
      <c r="P1" s="1314">
        <v>14</v>
      </c>
      <c r="Q1" s="1314">
        <v>15</v>
      </c>
      <c r="R1" s="1314">
        <v>16</v>
      </c>
      <c r="S1" s="1314">
        <v>17</v>
      </c>
      <c r="T1" s="1315"/>
      <c r="U1" s="1316">
        <v>19</v>
      </c>
      <c r="V1" s="1316">
        <v>20</v>
      </c>
      <c r="W1" s="1316">
        <v>21</v>
      </c>
      <c r="X1" s="1316">
        <v>22</v>
      </c>
      <c r="Y1" s="1316">
        <v>23</v>
      </c>
      <c r="Z1" s="1316">
        <v>24</v>
      </c>
      <c r="AA1" s="1316">
        <v>25</v>
      </c>
      <c r="AB1" s="1316">
        <v>26</v>
      </c>
      <c r="AC1" s="1316">
        <v>27</v>
      </c>
      <c r="AD1" s="1316">
        <v>28</v>
      </c>
    </row>
    <row r="2" spans="1:33" ht="12.75" customHeight="1" outlineLevel="1" x14ac:dyDescent="0.3">
      <c r="D2" s="1448" t="s">
        <v>3190</v>
      </c>
      <c r="E2" s="1449">
        <f>DATE(YEAR(E4),12,31)</f>
        <v>43100</v>
      </c>
      <c r="F2" s="1320"/>
      <c r="G2" s="1321"/>
      <c r="H2" s="1322"/>
      <c r="J2" s="1323"/>
      <c r="S2" s="1324" t="s">
        <v>1969</v>
      </c>
      <c r="T2" s="1325">
        <f>SUM(Q20:Q47)</f>
        <v>245741819</v>
      </c>
      <c r="U2" s="1326">
        <f>SUM(U20:U47)</f>
        <v>245741833.14999998</v>
      </c>
      <c r="V2" s="895">
        <f t="shared" ref="V2:AD2" si="0">SUM(V20:V47)</f>
        <v>245741833.14999998</v>
      </c>
      <c r="W2" s="895">
        <f t="shared" si="0"/>
        <v>245741833.14999998</v>
      </c>
      <c r="X2" s="895">
        <f t="shared" si="0"/>
        <v>245741833.14999998</v>
      </c>
      <c r="Y2" s="895">
        <f t="shared" si="0"/>
        <v>245741833.14999998</v>
      </c>
      <c r="Z2" s="895">
        <f t="shared" si="0"/>
        <v>245741833.14999998</v>
      </c>
      <c r="AA2" s="895">
        <f t="shared" si="0"/>
        <v>245741833.14999998</v>
      </c>
      <c r="AB2" s="895">
        <f t="shared" si="0"/>
        <v>245741833.14999998</v>
      </c>
      <c r="AC2" s="1326">
        <f t="shared" si="0"/>
        <v>245741833.14999998</v>
      </c>
      <c r="AD2" s="1326">
        <f t="shared" si="0"/>
        <v>245741833.14999998</v>
      </c>
    </row>
    <row r="3" spans="1:33" ht="12.75" customHeight="1" outlineLevel="1" x14ac:dyDescent="0.3">
      <c r="D3" s="1327" t="s">
        <v>3191</v>
      </c>
      <c r="E3" s="1328"/>
      <c r="F3" s="1329"/>
      <c r="G3" s="1313"/>
      <c r="H3" s="1313"/>
      <c r="J3" s="1323"/>
      <c r="S3" s="1324" t="s">
        <v>1970</v>
      </c>
      <c r="T3" s="1325">
        <f>SUM(Q49:Q54)</f>
        <v>9588869</v>
      </c>
      <c r="U3" s="895">
        <f>SUM(U49:U54)</f>
        <v>9588871.4250000007</v>
      </c>
      <c r="V3" s="895">
        <f t="shared" ref="V3:AD3" si="1">SUM(V49:V54)</f>
        <v>9588871.4250000007</v>
      </c>
      <c r="W3" s="895">
        <f t="shared" si="1"/>
        <v>9588871.4250000007</v>
      </c>
      <c r="X3" s="895">
        <f t="shared" si="1"/>
        <v>9588871.4250000007</v>
      </c>
      <c r="Y3" s="895">
        <f t="shared" si="1"/>
        <v>9588871.4250000007</v>
      </c>
      <c r="Z3" s="895">
        <f t="shared" si="1"/>
        <v>9588871.4250000007</v>
      </c>
      <c r="AA3" s="895">
        <f t="shared" si="1"/>
        <v>9588871.4250000007</v>
      </c>
      <c r="AB3" s="895">
        <f t="shared" si="1"/>
        <v>9588871.4250000007</v>
      </c>
      <c r="AC3" s="1326">
        <f t="shared" si="1"/>
        <v>9588871.4250000007</v>
      </c>
      <c r="AD3" s="1326">
        <f t="shared" si="1"/>
        <v>9588871.4250000007</v>
      </c>
    </row>
    <row r="4" spans="1:33" ht="12.75" customHeight="1" outlineLevel="1" thickBot="1" x14ac:dyDescent="0.35">
      <c r="D4" s="1330" t="s">
        <v>3192</v>
      </c>
      <c r="E4" s="1331">
        <v>43100</v>
      </c>
      <c r="F4" s="1320"/>
      <c r="G4" s="1321"/>
      <c r="H4" s="1321"/>
      <c r="S4" s="1324" t="s">
        <v>1971</v>
      </c>
      <c r="T4" s="1325">
        <f>SUM(Q56:Q202)</f>
        <v>490024375</v>
      </c>
      <c r="U4" s="895">
        <f>SUM(U56:U202)</f>
        <v>412331854.5</v>
      </c>
      <c r="V4" s="895">
        <f t="shared" ref="V4:AD4" si="2">SUM(V56:V202)</f>
        <v>304913206.89999998</v>
      </c>
      <c r="W4" s="895">
        <f t="shared" si="2"/>
        <v>171005578.09999999</v>
      </c>
      <c r="X4" s="895">
        <f t="shared" si="2"/>
        <v>149351471.90000001</v>
      </c>
      <c r="Y4" s="895">
        <f t="shared" si="2"/>
        <v>123069795.09999999</v>
      </c>
      <c r="Z4" s="895">
        <f t="shared" si="2"/>
        <v>117284406.5</v>
      </c>
      <c r="AA4" s="895">
        <f t="shared" si="2"/>
        <v>87407929</v>
      </c>
      <c r="AB4" s="895">
        <f t="shared" si="2"/>
        <v>24549002</v>
      </c>
      <c r="AC4" s="1326">
        <f t="shared" si="2"/>
        <v>20774275</v>
      </c>
      <c r="AD4" s="1326">
        <f t="shared" si="2"/>
        <v>3740112</v>
      </c>
    </row>
    <row r="5" spans="1:33" ht="12.75" customHeight="1" outlineLevel="1" x14ac:dyDescent="0.3">
      <c r="D5" s="1332"/>
      <c r="E5" s="1320"/>
      <c r="F5" s="1320"/>
      <c r="G5" s="1321"/>
      <c r="H5" s="1321"/>
      <c r="S5" s="1324" t="s">
        <v>1986</v>
      </c>
      <c r="T5" s="1325">
        <f>SUM(Q204:Q247)</f>
        <v>135070929</v>
      </c>
      <c r="U5" s="895">
        <f>SUM(U204:U247)</f>
        <v>82853148.799999997</v>
      </c>
      <c r="V5" s="895">
        <f t="shared" ref="V5:AD5" si="3">SUM(V204:V247)</f>
        <v>56191911</v>
      </c>
      <c r="W5" s="895">
        <f t="shared" si="3"/>
        <v>23383562</v>
      </c>
      <c r="X5" s="895">
        <f t="shared" si="3"/>
        <v>706019.19999999972</v>
      </c>
      <c r="Y5" s="895">
        <f t="shared" si="3"/>
        <v>0</v>
      </c>
      <c r="Z5" s="895">
        <f t="shared" si="3"/>
        <v>0</v>
      </c>
      <c r="AA5" s="895">
        <f t="shared" si="3"/>
        <v>0</v>
      </c>
      <c r="AB5" s="895">
        <f t="shared" si="3"/>
        <v>0</v>
      </c>
      <c r="AC5" s="1326">
        <f t="shared" si="3"/>
        <v>0</v>
      </c>
      <c r="AD5" s="1326">
        <f t="shared" si="3"/>
        <v>0</v>
      </c>
    </row>
    <row r="6" spans="1:33" ht="12.75" customHeight="1" outlineLevel="1" x14ac:dyDescent="0.3">
      <c r="D6" s="1332"/>
      <c r="E6" s="1320"/>
      <c r="F6" s="1320"/>
      <c r="G6" s="1321"/>
      <c r="H6" s="1321"/>
      <c r="S6" s="1324" t="s">
        <v>3173</v>
      </c>
      <c r="T6" s="1325">
        <f>SUM(Q249:Q264)</f>
        <v>14058945</v>
      </c>
      <c r="U6" s="895">
        <f>SUM(U249:U264)</f>
        <v>4396585</v>
      </c>
      <c r="V6" s="895">
        <f t="shared" ref="V6:AD6" si="4">SUM(V249:V264)</f>
        <v>1962070</v>
      </c>
      <c r="W6" s="895">
        <f t="shared" si="4"/>
        <v>618000</v>
      </c>
      <c r="X6" s="895">
        <f t="shared" si="4"/>
        <v>618000</v>
      </c>
      <c r="Y6" s="895">
        <f t="shared" si="4"/>
        <v>269603</v>
      </c>
      <c r="Z6" s="895">
        <f t="shared" si="4"/>
        <v>0</v>
      </c>
      <c r="AA6" s="895">
        <f t="shared" si="4"/>
        <v>0</v>
      </c>
      <c r="AB6" s="895">
        <f t="shared" si="4"/>
        <v>0</v>
      </c>
      <c r="AC6" s="1326">
        <f t="shared" si="4"/>
        <v>0</v>
      </c>
      <c r="AD6" s="1326">
        <f t="shared" si="4"/>
        <v>0</v>
      </c>
    </row>
    <row r="7" spans="1:33" ht="12.75" customHeight="1" outlineLevel="1" x14ac:dyDescent="0.3">
      <c r="D7" s="1332"/>
      <c r="E7" s="1320"/>
      <c r="F7" s="1320"/>
      <c r="G7" s="1321"/>
      <c r="H7" s="1321"/>
      <c r="S7" s="1324" t="s">
        <v>1987</v>
      </c>
      <c r="T7" s="1325">
        <f>SUM(Q266:Q290)</f>
        <v>13311358</v>
      </c>
      <c r="U7" s="895">
        <f>SUM(U266:U290)</f>
        <v>14648708.800000001</v>
      </c>
      <c r="V7" s="895">
        <f t="shared" ref="V7:AD7" si="5">SUM(V266:V290)</f>
        <v>2568387.7999999998</v>
      </c>
      <c r="W7" s="895">
        <f t="shared" si="5"/>
        <v>1029044.8</v>
      </c>
      <c r="X7" s="895">
        <f t="shared" si="5"/>
        <v>1010181.8</v>
      </c>
      <c r="Y7" s="895">
        <f t="shared" si="5"/>
        <v>286532.79999999981</v>
      </c>
      <c r="Z7" s="895">
        <f t="shared" si="5"/>
        <v>0</v>
      </c>
      <c r="AA7" s="895">
        <f t="shared" si="5"/>
        <v>0</v>
      </c>
      <c r="AB7" s="895">
        <f t="shared" si="5"/>
        <v>0</v>
      </c>
      <c r="AC7" s="1326">
        <f t="shared" si="5"/>
        <v>0</v>
      </c>
      <c r="AD7" s="1326">
        <f t="shared" si="5"/>
        <v>0</v>
      </c>
    </row>
    <row r="8" spans="1:33" ht="12.75" customHeight="1" outlineLevel="1" x14ac:dyDescent="0.3">
      <c r="D8" s="1332"/>
      <c r="E8" s="1320"/>
      <c r="F8" s="1320"/>
      <c r="G8" s="1321"/>
      <c r="H8" s="1321"/>
      <c r="S8" s="1324" t="s">
        <v>2601</v>
      </c>
      <c r="T8" s="1325">
        <f>SUM(Q292:Q294)</f>
        <v>205900000</v>
      </c>
      <c r="U8" s="895">
        <f>SUM(U292:U294)</f>
        <v>185082142.85714284</v>
      </c>
      <c r="V8" s="895">
        <f t="shared" ref="V8:AD8" si="6">SUM(V292:V294)</f>
        <v>185082142.85714284</v>
      </c>
      <c r="W8" s="895">
        <f t="shared" si="6"/>
        <v>185082142.85714284</v>
      </c>
      <c r="X8" s="895">
        <f t="shared" si="6"/>
        <v>185082142.85714284</v>
      </c>
      <c r="Y8" s="895">
        <f t="shared" si="6"/>
        <v>185082142.85714284</v>
      </c>
      <c r="Z8" s="895">
        <f t="shared" si="6"/>
        <v>9839285.7142857313</v>
      </c>
      <c r="AA8" s="895">
        <f t="shared" si="6"/>
        <v>0</v>
      </c>
      <c r="AB8" s="895">
        <f t="shared" si="6"/>
        <v>0</v>
      </c>
      <c r="AC8" s="1326">
        <f t="shared" si="6"/>
        <v>0</v>
      </c>
      <c r="AD8" s="1326">
        <f t="shared" si="6"/>
        <v>0</v>
      </c>
    </row>
    <row r="9" spans="1:33" ht="12.75" customHeight="1" outlineLevel="1" x14ac:dyDescent="0.3">
      <c r="D9" s="1332"/>
      <c r="E9" s="1320"/>
      <c r="F9" s="1320"/>
      <c r="G9" s="1321"/>
      <c r="H9" s="1321"/>
      <c r="S9" s="1324" t="s">
        <v>2701</v>
      </c>
      <c r="T9" s="1325">
        <f>SUM(Q296:Q318)</f>
        <v>45977593</v>
      </c>
      <c r="U9" s="895">
        <f>SUM(U296:U318)</f>
        <v>27499915.400000002</v>
      </c>
      <c r="V9" s="895">
        <f t="shared" ref="V9:AD9" si="7">SUM(V296:V318)</f>
        <v>15433247.4</v>
      </c>
      <c r="W9" s="895">
        <f t="shared" si="7"/>
        <v>13787391.000000002</v>
      </c>
      <c r="X9" s="895">
        <f t="shared" si="7"/>
        <v>6838504.1999999993</v>
      </c>
      <c r="Y9" s="895">
        <f t="shared" si="7"/>
        <v>0</v>
      </c>
      <c r="Z9" s="895">
        <f t="shared" si="7"/>
        <v>0</v>
      </c>
      <c r="AA9" s="895">
        <f t="shared" si="7"/>
        <v>0</v>
      </c>
      <c r="AB9" s="895">
        <f t="shared" si="7"/>
        <v>0</v>
      </c>
      <c r="AC9" s="1326">
        <f t="shared" si="7"/>
        <v>0</v>
      </c>
      <c r="AD9" s="1326">
        <f t="shared" si="7"/>
        <v>0</v>
      </c>
    </row>
    <row r="10" spans="1:33" ht="12.75" customHeight="1" outlineLevel="1" x14ac:dyDescent="0.3">
      <c r="D10" s="1332"/>
      <c r="E10" s="1320"/>
      <c r="F10" s="1320"/>
      <c r="G10" s="1321"/>
      <c r="H10" s="1321"/>
      <c r="S10" s="1324"/>
      <c r="T10" s="1325"/>
      <c r="U10" s="895"/>
      <c r="V10" s="895"/>
      <c r="W10" s="895"/>
      <c r="X10" s="895"/>
      <c r="Y10" s="895"/>
      <c r="Z10" s="895"/>
      <c r="AA10" s="895"/>
      <c r="AB10" s="895"/>
      <c r="AC10" s="1326"/>
      <c r="AD10" s="1326"/>
    </row>
    <row r="11" spans="1:33" ht="12.75" customHeight="1" outlineLevel="1" x14ac:dyDescent="0.3">
      <c r="D11" s="1332"/>
      <c r="E11" s="1320"/>
      <c r="F11" s="1320"/>
      <c r="G11" s="1321"/>
      <c r="H11" s="1321"/>
      <c r="S11" s="1324"/>
      <c r="T11" s="1325"/>
      <c r="U11" s="895"/>
      <c r="V11" s="895"/>
      <c r="W11" s="895"/>
      <c r="X11" s="895"/>
      <c r="Y11" s="895"/>
      <c r="Z11" s="895"/>
      <c r="AA11" s="895"/>
      <c r="AB11" s="895"/>
      <c r="AC11" s="1326"/>
      <c r="AD11" s="1326"/>
    </row>
    <row r="12" spans="1:33" ht="12.75" customHeight="1" outlineLevel="1" x14ac:dyDescent="0.3">
      <c r="D12" s="1320"/>
      <c r="E12" s="1332"/>
      <c r="S12" s="1334"/>
      <c r="T12" s="1325"/>
      <c r="U12" s="1335"/>
      <c r="V12" s="1335"/>
      <c r="W12" s="1335"/>
      <c r="X12" s="1335"/>
      <c r="Y12" s="1335"/>
      <c r="Z12" s="1335"/>
      <c r="AA12" s="1335"/>
      <c r="AB12" s="1335"/>
      <c r="AC12" s="1335"/>
      <c r="AD12" s="1336"/>
    </row>
    <row r="13" spans="1:33" ht="12.75" customHeight="1" outlineLevel="1" x14ac:dyDescent="0.3">
      <c r="D13" s="1320"/>
      <c r="E13" s="1332"/>
      <c r="S13" s="1324" t="s">
        <v>2167</v>
      </c>
      <c r="T13" s="1337">
        <f t="shared" ref="T13:AD13" si="8">SUM(T2:T11)</f>
        <v>1159673888</v>
      </c>
      <c r="U13" s="1338">
        <f t="shared" si="8"/>
        <v>982143059.93214273</v>
      </c>
      <c r="V13" s="1338">
        <f t="shared" si="8"/>
        <v>821481670.53214264</v>
      </c>
      <c r="W13" s="1338">
        <f t="shared" si="8"/>
        <v>650236423.33214283</v>
      </c>
      <c r="X13" s="1338">
        <f t="shared" si="8"/>
        <v>598937024.53214288</v>
      </c>
      <c r="Y13" s="1338">
        <f t="shared" si="8"/>
        <v>564038778.33214283</v>
      </c>
      <c r="Z13" s="1335">
        <f t="shared" si="8"/>
        <v>382454396.78928572</v>
      </c>
      <c r="AA13" s="1335">
        <f t="shared" si="8"/>
        <v>342738633.57499999</v>
      </c>
      <c r="AB13" s="1335">
        <f t="shared" si="8"/>
        <v>279879706.57499999</v>
      </c>
      <c r="AC13" s="1335">
        <f t="shared" si="8"/>
        <v>276104979.57499999</v>
      </c>
      <c r="AD13" s="1336">
        <f t="shared" si="8"/>
        <v>259070816.57499999</v>
      </c>
    </row>
    <row r="14" spans="1:33" ht="12.75" customHeight="1" outlineLevel="1" x14ac:dyDescent="0.3">
      <c r="Q14" s="1339"/>
      <c r="S14" s="1334"/>
      <c r="T14" s="1340"/>
      <c r="U14" s="1335"/>
      <c r="V14" s="1335"/>
      <c r="W14" s="1335"/>
      <c r="X14" s="1335"/>
      <c r="Y14" s="1335"/>
      <c r="Z14" s="1335"/>
      <c r="AA14" s="1335"/>
      <c r="AB14" s="1335"/>
      <c r="AC14" s="1335"/>
      <c r="AD14" s="1336"/>
    </row>
    <row r="15" spans="1:33" s="1347" customFormat="1" x14ac:dyDescent="0.3">
      <c r="A15" s="1312"/>
      <c r="B15" s="1341"/>
      <c r="C15" s="1341" t="str">
        <f>C17</f>
        <v>계정과목명</v>
      </c>
      <c r="D15" s="1342" t="str">
        <f>D17</f>
        <v>취득일자</v>
      </c>
      <c r="E15" s="1343" t="str">
        <f>E17</f>
        <v>내용연수</v>
      </c>
      <c r="F15" s="1343"/>
      <c r="G15" s="1343"/>
      <c r="H15" s="1343"/>
      <c r="I15" s="1341"/>
      <c r="J15" s="1341" t="str">
        <f>J17</f>
        <v>취득원가</v>
      </c>
      <c r="K15" s="1341" t="str">
        <f>K17</f>
        <v>전기감가상각누계액</v>
      </c>
      <c r="L15" s="1341" t="str">
        <f>L17</f>
        <v>전기감액누계액</v>
      </c>
      <c r="M15" s="1341" t="str">
        <f>M17</f>
        <v>전기누적증감액</v>
      </c>
      <c r="N15" s="1341"/>
      <c r="O15" s="1341" t="str">
        <f>O17</f>
        <v>당기증가액</v>
      </c>
      <c r="P15" s="1341" t="str">
        <f>P17</f>
        <v>당기감소액</v>
      </c>
      <c r="Q15" s="1341" t="str">
        <f>Q17</f>
        <v>당기상각액</v>
      </c>
      <c r="R15" s="1341"/>
      <c r="S15" s="1341"/>
      <c r="T15" s="1344"/>
      <c r="U15" s="1345"/>
      <c r="V15" s="1345"/>
      <c r="W15" s="1345"/>
      <c r="X15" s="1345"/>
      <c r="Y15" s="1345"/>
      <c r="Z15" s="1345"/>
      <c r="AA15" s="1345"/>
      <c r="AB15" s="1345"/>
      <c r="AC15" s="1345"/>
      <c r="AD15" s="1346"/>
      <c r="AE15" s="1317"/>
      <c r="AG15" s="1348"/>
    </row>
    <row r="16" spans="1:33" x14ac:dyDescent="0.3">
      <c r="T16" s="1344">
        <v>1</v>
      </c>
      <c r="U16" s="1345">
        <v>2</v>
      </c>
      <c r="V16" s="1345">
        <v>3</v>
      </c>
      <c r="W16" s="1345">
        <v>4</v>
      </c>
      <c r="X16" s="1345">
        <v>5</v>
      </c>
      <c r="Y16" s="1345">
        <v>6</v>
      </c>
      <c r="Z16" s="1345">
        <v>7</v>
      </c>
      <c r="AA16" s="1345">
        <v>8</v>
      </c>
      <c r="AB16" s="1345">
        <v>9</v>
      </c>
      <c r="AC16" s="1345">
        <v>10</v>
      </c>
      <c r="AD16" s="1346">
        <v>11</v>
      </c>
    </row>
    <row r="17" spans="1:34" ht="18" customHeight="1" x14ac:dyDescent="0.3">
      <c r="B17" s="1912" t="s">
        <v>3193</v>
      </c>
      <c r="C17" s="1912" t="s">
        <v>3194</v>
      </c>
      <c r="D17" s="1914" t="s">
        <v>3195</v>
      </c>
      <c r="E17" s="1916" t="s">
        <v>3196</v>
      </c>
      <c r="F17" s="1918" t="s">
        <v>3197</v>
      </c>
      <c r="G17" s="1918" t="s">
        <v>3198</v>
      </c>
      <c r="H17" s="1918" t="s">
        <v>3199</v>
      </c>
      <c r="I17" s="1920" t="s">
        <v>3200</v>
      </c>
      <c r="J17" s="1912" t="s">
        <v>3201</v>
      </c>
      <c r="K17" s="1912" t="s">
        <v>3202</v>
      </c>
      <c r="L17" s="1912" t="s">
        <v>3203</v>
      </c>
      <c r="M17" s="1912" t="s">
        <v>3204</v>
      </c>
      <c r="N17" s="1920" t="s">
        <v>3205</v>
      </c>
      <c r="O17" s="1912" t="s">
        <v>3206</v>
      </c>
      <c r="P17" s="1912" t="s">
        <v>3207</v>
      </c>
      <c r="Q17" s="1912" t="s">
        <v>3208</v>
      </c>
      <c r="R17" s="1920" t="s">
        <v>3209</v>
      </c>
      <c r="S17" s="1920" t="s">
        <v>3210</v>
      </c>
      <c r="T17" s="1922" t="s">
        <v>3211</v>
      </c>
      <c r="U17" s="1922"/>
      <c r="V17" s="1922"/>
      <c r="W17" s="1922"/>
      <c r="X17" s="1922"/>
      <c r="Y17" s="1922"/>
      <c r="Z17" s="1922"/>
      <c r="AA17" s="1922"/>
      <c r="AB17" s="1922"/>
      <c r="AC17" s="1922"/>
      <c r="AD17" s="1922"/>
      <c r="AF17" s="1349" t="s">
        <v>3212</v>
      </c>
    </row>
    <row r="18" spans="1:34" s="1319" customFormat="1" ht="18" customHeight="1" thickBot="1" x14ac:dyDescent="0.35">
      <c r="A18" s="1350"/>
      <c r="B18" s="1913"/>
      <c r="C18" s="1913"/>
      <c r="D18" s="1915"/>
      <c r="E18" s="1917"/>
      <c r="F18" s="1919"/>
      <c r="G18" s="1919"/>
      <c r="H18" s="1919"/>
      <c r="I18" s="1921"/>
      <c r="J18" s="1913"/>
      <c r="K18" s="1913"/>
      <c r="L18" s="1913"/>
      <c r="M18" s="1913"/>
      <c r="N18" s="1921"/>
      <c r="O18" s="1913"/>
      <c r="P18" s="1913"/>
      <c r="Q18" s="1913"/>
      <c r="R18" s="1921"/>
      <c r="S18" s="1921"/>
      <c r="T18" s="1351">
        <f>YEAR(E4)</f>
        <v>2017</v>
      </c>
      <c r="U18" s="1351">
        <f t="shared" ref="U18:AD18" si="9">T18+1</f>
        <v>2018</v>
      </c>
      <c r="V18" s="1351">
        <f t="shared" si="9"/>
        <v>2019</v>
      </c>
      <c r="W18" s="1351">
        <f t="shared" si="9"/>
        <v>2020</v>
      </c>
      <c r="X18" s="1351">
        <f t="shared" si="9"/>
        <v>2021</v>
      </c>
      <c r="Y18" s="1351">
        <f t="shared" si="9"/>
        <v>2022</v>
      </c>
      <c r="Z18" s="1351">
        <f t="shared" si="9"/>
        <v>2023</v>
      </c>
      <c r="AA18" s="1351">
        <f t="shared" si="9"/>
        <v>2024</v>
      </c>
      <c r="AB18" s="1351">
        <f t="shared" si="9"/>
        <v>2025</v>
      </c>
      <c r="AC18" s="1351">
        <f t="shared" si="9"/>
        <v>2026</v>
      </c>
      <c r="AD18" s="1352">
        <f t="shared" si="9"/>
        <v>2027</v>
      </c>
      <c r="AE18" s="1353"/>
    </row>
    <row r="19" spans="1:34" s="1319" customFormat="1" ht="12" customHeight="1" thickBot="1" x14ac:dyDescent="0.35">
      <c r="A19" s="1350"/>
      <c r="B19" s="1450" t="s">
        <v>3213</v>
      </c>
      <c r="C19" s="1451"/>
      <c r="D19" s="1452"/>
      <c r="E19" s="1453" t="s">
        <v>3214</v>
      </c>
      <c r="F19" s="1454"/>
      <c r="G19" s="1454"/>
      <c r="H19" s="1454"/>
      <c r="I19" s="1451"/>
      <c r="J19" s="1451"/>
      <c r="K19" s="1451"/>
      <c r="L19" s="1451"/>
      <c r="M19" s="1451"/>
      <c r="N19" s="1451"/>
      <c r="O19" s="1451"/>
      <c r="P19" s="1451"/>
      <c r="Q19" s="1451"/>
      <c r="R19" s="1451"/>
      <c r="S19" s="1451"/>
      <c r="T19" s="1354"/>
      <c r="U19" s="1355"/>
      <c r="V19" s="1355"/>
      <c r="W19" s="1355"/>
      <c r="X19" s="1355"/>
      <c r="Y19" s="1355"/>
      <c r="Z19" s="1355"/>
      <c r="AA19" s="1355"/>
      <c r="AB19" s="1355"/>
      <c r="AC19" s="1355"/>
      <c r="AD19" s="1355"/>
      <c r="AE19" s="1353"/>
    </row>
    <row r="20" spans="1:34" outlineLevel="1" x14ac:dyDescent="0.3">
      <c r="B20" s="1356" t="s">
        <v>2618</v>
      </c>
      <c r="C20" s="1356" t="s">
        <v>1969</v>
      </c>
      <c r="D20" s="1322" t="s">
        <v>2619</v>
      </c>
      <c r="E20" s="1357">
        <v>40</v>
      </c>
      <c r="F20" s="1333">
        <f t="shared" ref="F20:F47" si="10">MAX((E20-(YEAR($E$4)-YEAR(D20))),0)</f>
        <v>22</v>
      </c>
      <c r="G20" s="1358">
        <f t="shared" ref="G20:G47" si="11">IF(YEAR(D20)=YEAR($E$4),IF($E$2=$E$4,0,IF(D20&lt;$E$4,$E$2-$E$4,$E$2-D20)),$E$2-$E$4)</f>
        <v>0</v>
      </c>
      <c r="H20" s="1359">
        <f t="shared" ref="H20:H47" si="12">G20/365</f>
        <v>0</v>
      </c>
      <c r="I20" s="1360">
        <f t="shared" ref="I20:I47" si="13">1/E20</f>
        <v>2.5000000000000001E-2</v>
      </c>
      <c r="J20" s="1361">
        <v>1207507427</v>
      </c>
      <c r="K20" s="1362">
        <v>453157952</v>
      </c>
      <c r="L20" s="1356">
        <v>0</v>
      </c>
      <c r="M20" s="1356">
        <v>0</v>
      </c>
      <c r="N20" s="1361">
        <f t="shared" ref="N20:N47" si="14">J20-K20-L20+M20</f>
        <v>754349475</v>
      </c>
      <c r="O20" s="1363"/>
      <c r="P20" s="1356"/>
      <c r="Q20" s="1364">
        <v>30187685</v>
      </c>
      <c r="R20" s="1365">
        <f t="shared" ref="R20:R47" si="15">MAX(IF(J20=0,(O20-P20-Q20),(N20-P20-Q20)),0)</f>
        <v>724161790</v>
      </c>
      <c r="S20" s="1364"/>
      <c r="T20" s="1366">
        <f t="shared" ref="T20:T47" si="16">IF(R20=0,0,MIN(IF(J20=0,O20*I20*H20,J20*I20*H20),R20))</f>
        <v>0</v>
      </c>
      <c r="U20" s="1367">
        <f>IF($R20-SUM($T20:T20)=0,0,IF(OR($R20&lt;=0,$R20&lt;=SUM($T20:T20)),0,IF((IF($J20=0,$O20,$J20)*$I20)&gt;=($R20-SUM($T20:T20)),($R20-SUM($T20:T20)),IF($J20=0,$O20,$J20)*$I20)))</f>
        <v>30187685.675000001</v>
      </c>
      <c r="V20" s="1367">
        <f>IF($R20-SUM($T20:U20)=0,0,IF(OR($R20&lt;=0,$R20&lt;=SUM($T20:U20)),0,IF((IF($J20=0,$O20,$J20)*$I20)&gt;=($R20-SUM($T20:U20)),($R20-SUM($T20:U20)),IF($J20=0,$O20,$J20)*$I20)))</f>
        <v>30187685.675000001</v>
      </c>
      <c r="W20" s="1367">
        <f>IF($R20-SUM($T20:V20)=0,0,IF(OR($R20&lt;=0,$R20&lt;=SUM($T20:V20)),0,IF((IF($J20=0,$O20,$J20)*$I20)&gt;=($R20-SUM($T20:V20)),($R20-SUM($T20:V20)),IF($J20=0,$O20,$J20)*$I20)))</f>
        <v>30187685.675000001</v>
      </c>
      <c r="X20" s="1367">
        <f>IF($R20-SUM($T20:W20)=0,0,IF(OR($R20&lt;=0,$R20&lt;=SUM($T20:W20)),0,IF((IF($J20=0,$O20,$J20)*$I20)&gt;=($R20-SUM($T20:W20)),($R20-SUM($T20:W20)),IF($J20=0,$O20,$J20)*$I20)))</f>
        <v>30187685.675000001</v>
      </c>
      <c r="Y20" s="1367">
        <f>IF($R20-SUM($T20:X20)=0,0,IF(OR($R20&lt;=0,$R20&lt;=SUM($T20:X20)),0,IF((IF($J20=0,$O20,$J20)*$I20)&gt;=($R20-SUM($T20:X20)),($R20-SUM($T20:X20)),IF($J20=0,$O20,$J20)*$I20)))</f>
        <v>30187685.675000001</v>
      </c>
      <c r="Z20" s="1367">
        <f>IF($R20-SUM($T20:Y20)=0,0,IF(OR($R20&lt;=0,$R20&lt;=SUM($T20:Y20)),0,IF((IF($J20=0,$O20,$J20)*$I20)&gt;=($R20-SUM($T20:Y20)),($R20-SUM($T20:Y20)),IF($J20=0,$O20,$J20)*$I20)))</f>
        <v>30187685.675000001</v>
      </c>
      <c r="AA20" s="1367">
        <f>IF($R20-SUM($T20:Z20)=0,0,IF(OR($R20&lt;=0,$R20&lt;=SUM($T20:Z20)),0,IF((IF($J20=0,$O20,$J20)*$I20)&gt;=($R20-SUM($T20:Z20)),($R20-SUM($T20:Z20)),IF($J20=0,$O20,$J20)*$I20)))</f>
        <v>30187685.675000001</v>
      </c>
      <c r="AB20" s="1367">
        <f>IF($R20-SUM($T20:AA20)=0,0,IF(OR($R20&lt;=0,$R20&lt;=SUM($T20:AA20)),0,IF((IF($J20=0,$O20,$J20)*$I20)&gt;=($R20-SUM($T20:AA20)),($R20-SUM($T20:AA20)),IF($J20=0,$O20,$J20)*$I20)))</f>
        <v>30187685.675000001</v>
      </c>
      <c r="AC20" s="1367">
        <f>IF($R20-SUM($T20:AB20)=0,0,IF(OR($R20&lt;=0,$R20&lt;=SUM($T20:AB20)),0,IF((IF($J20=0,$O20,$J20)*$I20)&gt;=($R20-SUM($T20:AB20)),($R20-SUM($T20:AB20)),IF($J20=0,$O20,$J20)*$I20)))</f>
        <v>30187685.675000001</v>
      </c>
      <c r="AD20" s="1367">
        <f>IF($R20-SUM($T20:AC20)=0,0,IF(OR($R20&lt;=0,$R20&lt;=SUM($T20:AC20)),0,IF((IF($J20=0,$O20,$J20)*$I20)&gt;=($R20-SUM($T20:AC20)),($R20-SUM($T20:AC20)),IF($J20=0,$O20,$J20)*$I20)))</f>
        <v>30187685.675000001</v>
      </c>
      <c r="AF20" s="1319" t="str">
        <f t="shared" ref="AF20:AF47" si="17">IF(AD20=0,SUM(T20:AD20)=R20,"Check")</f>
        <v>Check</v>
      </c>
      <c r="AG20" s="1319" t="str">
        <f t="shared" ref="AG20:AG47" si="18">IF(R20=0,SUM(T20:AD20)=0,"Checked")</f>
        <v>Checked</v>
      </c>
      <c r="AH20" s="1318" t="b">
        <f t="shared" ref="AH20:AH47" si="19">IF((R20-T20)&gt;U20,IF(J20=0,O20,J20)*I20=U20,"Checked")</f>
        <v>1</v>
      </c>
    </row>
    <row r="21" spans="1:34" outlineLevel="1" x14ac:dyDescent="0.3">
      <c r="B21" s="1356" t="s">
        <v>2622</v>
      </c>
      <c r="C21" s="1356" t="s">
        <v>1969</v>
      </c>
      <c r="D21" s="1322" t="s">
        <v>2174</v>
      </c>
      <c r="E21" s="1357">
        <v>40</v>
      </c>
      <c r="F21" s="1333">
        <f t="shared" si="10"/>
        <v>23</v>
      </c>
      <c r="G21" s="1358">
        <f t="shared" si="11"/>
        <v>0</v>
      </c>
      <c r="H21" s="1359">
        <f t="shared" si="12"/>
        <v>0</v>
      </c>
      <c r="I21" s="1360">
        <f t="shared" si="13"/>
        <v>2.5000000000000001E-2</v>
      </c>
      <c r="J21" s="1361">
        <v>34943428</v>
      </c>
      <c r="K21" s="1362">
        <v>14850944</v>
      </c>
      <c r="L21" s="1356">
        <v>0</v>
      </c>
      <c r="M21" s="1356">
        <v>0</v>
      </c>
      <c r="N21" s="1361">
        <f t="shared" si="14"/>
        <v>20092484</v>
      </c>
      <c r="O21" s="1363"/>
      <c r="P21" s="1356"/>
      <c r="Q21" s="1364">
        <v>873585</v>
      </c>
      <c r="R21" s="1365">
        <f t="shared" si="15"/>
        <v>19218899</v>
      </c>
      <c r="S21" s="1364"/>
      <c r="T21" s="1366">
        <f t="shared" si="16"/>
        <v>0</v>
      </c>
      <c r="U21" s="1367">
        <f>IF($R21-SUM($T21:T21)=0,0,IF(OR($R21&lt;=0,$R21&lt;=SUM($T21:T21)),0,IF((IF($J21=0,$O21,$J21)*$I21)&gt;=($R21-SUM($T21:T21)),($R21-SUM($T21:T21)),IF($J21=0,$O21,$J21)*$I21)))</f>
        <v>873585.70000000007</v>
      </c>
      <c r="V21" s="1367">
        <f>IF($R21-SUM($T21:U21)=0,0,IF(OR($R21&lt;=0,$R21&lt;=SUM($T21:U21)),0,IF((IF($J21=0,$O21,$J21)*$I21)&gt;=($R21-SUM($T21:U21)),($R21-SUM($T21:U21)),IF($J21=0,$O21,$J21)*$I21)))</f>
        <v>873585.70000000007</v>
      </c>
      <c r="W21" s="1367">
        <f>IF($R21-SUM($T21:V21)=0,0,IF(OR($R21&lt;=0,$R21&lt;=SUM($T21:V21)),0,IF((IF($J21=0,$O21,$J21)*$I21)&gt;=($R21-SUM($T21:V21)),($R21-SUM($T21:V21)),IF($J21=0,$O21,$J21)*$I21)))</f>
        <v>873585.70000000007</v>
      </c>
      <c r="X21" s="1367">
        <f>IF($R21-SUM($T21:W21)=0,0,IF(OR($R21&lt;=0,$R21&lt;=SUM($T21:W21)),0,IF((IF($J21=0,$O21,$J21)*$I21)&gt;=($R21-SUM($T21:W21)),($R21-SUM($T21:W21)),IF($J21=0,$O21,$J21)*$I21)))</f>
        <v>873585.70000000007</v>
      </c>
      <c r="Y21" s="1367">
        <f>IF($R21-SUM($T21:X21)=0,0,IF(OR($R21&lt;=0,$R21&lt;=SUM($T21:X21)),0,IF((IF($J21=0,$O21,$J21)*$I21)&gt;=($R21-SUM($T21:X21)),($R21-SUM($T21:X21)),IF($J21=0,$O21,$J21)*$I21)))</f>
        <v>873585.70000000007</v>
      </c>
      <c r="Z21" s="1367">
        <f>IF($R21-SUM($T21:Y21)=0,0,IF(OR($R21&lt;=0,$R21&lt;=SUM($T21:Y21)),0,IF((IF($J21=0,$O21,$J21)*$I21)&gt;=($R21-SUM($T21:Y21)),($R21-SUM($T21:Y21)),IF($J21=0,$O21,$J21)*$I21)))</f>
        <v>873585.70000000007</v>
      </c>
      <c r="AA21" s="1367">
        <f>IF($R21-SUM($T21:Z21)=0,0,IF(OR($R21&lt;=0,$R21&lt;=SUM($T21:Z21)),0,IF((IF($J21=0,$O21,$J21)*$I21)&gt;=($R21-SUM($T21:Z21)),($R21-SUM($T21:Z21)),IF($J21=0,$O21,$J21)*$I21)))</f>
        <v>873585.70000000007</v>
      </c>
      <c r="AB21" s="1367">
        <f>IF($R21-SUM($T21:AA21)=0,0,IF(OR($R21&lt;=0,$R21&lt;=SUM($T21:AA21)),0,IF((IF($J21=0,$O21,$J21)*$I21)&gt;=($R21-SUM($T21:AA21)),($R21-SUM($T21:AA21)),IF($J21=0,$O21,$J21)*$I21)))</f>
        <v>873585.70000000007</v>
      </c>
      <c r="AC21" s="1367">
        <f>IF($R21-SUM($T21:AB21)=0,0,IF(OR($R21&lt;=0,$R21&lt;=SUM($T21:AB21)),0,IF((IF($J21=0,$O21,$J21)*$I21)&gt;=($R21-SUM($T21:AB21)),($R21-SUM($T21:AB21)),IF($J21=0,$O21,$J21)*$I21)))</f>
        <v>873585.70000000007</v>
      </c>
      <c r="AD21" s="1367">
        <f>IF($R21-SUM($T21:AC21)=0,0,IF(OR($R21&lt;=0,$R21&lt;=SUM($T21:AC21)),0,IF((IF($J21=0,$O21,$J21)*$I21)&gt;=($R21-SUM($T21:AC21)),($R21-SUM($T21:AC21)),IF($J21=0,$O21,$J21)*$I21)))</f>
        <v>873585.70000000007</v>
      </c>
      <c r="AF21" s="1319" t="str">
        <f t="shared" si="17"/>
        <v>Check</v>
      </c>
      <c r="AG21" s="1319" t="str">
        <f t="shared" si="18"/>
        <v>Checked</v>
      </c>
      <c r="AH21" s="1318" t="b">
        <f t="shared" si="19"/>
        <v>1</v>
      </c>
    </row>
    <row r="22" spans="1:34" outlineLevel="1" x14ac:dyDescent="0.3">
      <c r="B22" s="1356" t="s">
        <v>2623</v>
      </c>
      <c r="C22" s="1356" t="s">
        <v>1969</v>
      </c>
      <c r="D22" s="1322" t="s">
        <v>2174</v>
      </c>
      <c r="E22" s="1357">
        <v>40</v>
      </c>
      <c r="F22" s="1333">
        <f t="shared" si="10"/>
        <v>23</v>
      </c>
      <c r="G22" s="1358">
        <f t="shared" si="11"/>
        <v>0</v>
      </c>
      <c r="H22" s="1359">
        <f t="shared" si="12"/>
        <v>0</v>
      </c>
      <c r="I22" s="1360">
        <f t="shared" si="13"/>
        <v>2.5000000000000001E-2</v>
      </c>
      <c r="J22" s="1361">
        <v>312812660</v>
      </c>
      <c r="K22" s="1362">
        <v>172046952</v>
      </c>
      <c r="L22" s="1356">
        <v>0</v>
      </c>
      <c r="M22" s="1356">
        <v>0</v>
      </c>
      <c r="N22" s="1361">
        <f t="shared" si="14"/>
        <v>140765708</v>
      </c>
      <c r="O22" s="1363"/>
      <c r="P22" s="1356"/>
      <c r="Q22" s="1364">
        <v>7820316</v>
      </c>
      <c r="R22" s="1365">
        <f t="shared" si="15"/>
        <v>132945392</v>
      </c>
      <c r="S22" s="1364"/>
      <c r="T22" s="1366">
        <f t="shared" si="16"/>
        <v>0</v>
      </c>
      <c r="U22" s="1367">
        <f>IF($R22-SUM($T22:T22)=0,0,IF(OR($R22&lt;=0,$R22&lt;=SUM($T22:T22)),0,IF((IF($J22=0,$O22,$J22)*$I22)&gt;=($R22-SUM($T22:T22)),($R22-SUM($T22:T22)),IF($J22=0,$O22,$J22)*$I22)))</f>
        <v>7820316.5</v>
      </c>
      <c r="V22" s="1367">
        <f>IF($R22-SUM($T22:U22)=0,0,IF(OR($R22&lt;=0,$R22&lt;=SUM($T22:U22)),0,IF((IF($J22=0,$O22,$J22)*$I22)&gt;=($R22-SUM($T22:U22)),($R22-SUM($T22:U22)),IF($J22=0,$O22,$J22)*$I22)))</f>
        <v>7820316.5</v>
      </c>
      <c r="W22" s="1367">
        <f>IF($R22-SUM($T22:V22)=0,0,IF(OR($R22&lt;=0,$R22&lt;=SUM($T22:V22)),0,IF((IF($J22=0,$O22,$J22)*$I22)&gt;=($R22-SUM($T22:V22)),($R22-SUM($T22:V22)),IF($J22=0,$O22,$J22)*$I22)))</f>
        <v>7820316.5</v>
      </c>
      <c r="X22" s="1367">
        <f>IF($R22-SUM($T22:W22)=0,0,IF(OR($R22&lt;=0,$R22&lt;=SUM($T22:W22)),0,IF((IF($J22=0,$O22,$J22)*$I22)&gt;=($R22-SUM($T22:W22)),($R22-SUM($T22:W22)),IF($J22=0,$O22,$J22)*$I22)))</f>
        <v>7820316.5</v>
      </c>
      <c r="Y22" s="1367">
        <f>IF($R22-SUM($T22:X22)=0,0,IF(OR($R22&lt;=0,$R22&lt;=SUM($T22:X22)),0,IF((IF($J22=0,$O22,$J22)*$I22)&gt;=($R22-SUM($T22:X22)),($R22-SUM($T22:X22)),IF($J22=0,$O22,$J22)*$I22)))</f>
        <v>7820316.5</v>
      </c>
      <c r="Z22" s="1367">
        <f>IF($R22-SUM($T22:Y22)=0,0,IF(OR($R22&lt;=0,$R22&lt;=SUM($T22:Y22)),0,IF((IF($J22=0,$O22,$J22)*$I22)&gt;=($R22-SUM($T22:Y22)),($R22-SUM($T22:Y22)),IF($J22=0,$O22,$J22)*$I22)))</f>
        <v>7820316.5</v>
      </c>
      <c r="AA22" s="1367">
        <f>IF($R22-SUM($T22:Z22)=0,0,IF(OR($R22&lt;=0,$R22&lt;=SUM($T22:Z22)),0,IF((IF($J22=0,$O22,$J22)*$I22)&gt;=($R22-SUM($T22:Z22)),($R22-SUM($T22:Z22)),IF($J22=0,$O22,$J22)*$I22)))</f>
        <v>7820316.5</v>
      </c>
      <c r="AB22" s="1367">
        <f>IF($R22-SUM($T22:AA22)=0,0,IF(OR($R22&lt;=0,$R22&lt;=SUM($T22:AA22)),0,IF((IF($J22=0,$O22,$J22)*$I22)&gt;=($R22-SUM($T22:AA22)),($R22-SUM($T22:AA22)),IF($J22=0,$O22,$J22)*$I22)))</f>
        <v>7820316.5</v>
      </c>
      <c r="AC22" s="1367">
        <f>IF($R22-SUM($T22:AB22)=0,0,IF(OR($R22&lt;=0,$R22&lt;=SUM($T22:AB22)),0,IF((IF($J22=0,$O22,$J22)*$I22)&gt;=($R22-SUM($T22:AB22)),($R22-SUM($T22:AB22)),IF($J22=0,$O22,$J22)*$I22)))</f>
        <v>7820316.5</v>
      </c>
      <c r="AD22" s="1367">
        <f>IF($R22-SUM($T22:AC22)=0,0,IF(OR($R22&lt;=0,$R22&lt;=SUM($T22:AC22)),0,IF((IF($J22=0,$O22,$J22)*$I22)&gt;=($R22-SUM($T22:AC22)),($R22-SUM($T22:AC22)),IF($J22=0,$O22,$J22)*$I22)))</f>
        <v>7820316.5</v>
      </c>
      <c r="AF22" s="1319" t="str">
        <f t="shared" si="17"/>
        <v>Check</v>
      </c>
      <c r="AG22" s="1319" t="str">
        <f t="shared" si="18"/>
        <v>Checked</v>
      </c>
      <c r="AH22" s="1318" t="b">
        <f t="shared" si="19"/>
        <v>1</v>
      </c>
    </row>
    <row r="23" spans="1:34" outlineLevel="1" x14ac:dyDescent="0.3">
      <c r="B23" s="1356" t="s">
        <v>2624</v>
      </c>
      <c r="C23" s="1356" t="s">
        <v>1969</v>
      </c>
      <c r="D23" s="1322" t="s">
        <v>2174</v>
      </c>
      <c r="E23" s="1357">
        <v>40</v>
      </c>
      <c r="F23" s="1333">
        <f t="shared" si="10"/>
        <v>23</v>
      </c>
      <c r="G23" s="1358">
        <f t="shared" si="11"/>
        <v>0</v>
      </c>
      <c r="H23" s="1359">
        <f t="shared" si="12"/>
        <v>0</v>
      </c>
      <c r="I23" s="1360">
        <f t="shared" si="13"/>
        <v>2.5000000000000001E-2</v>
      </c>
      <c r="J23" s="1361">
        <v>7921820</v>
      </c>
      <c r="K23" s="1362">
        <v>3960900</v>
      </c>
      <c r="L23" s="1356">
        <v>0</v>
      </c>
      <c r="M23" s="1356">
        <v>0</v>
      </c>
      <c r="N23" s="1361">
        <f t="shared" si="14"/>
        <v>3960920</v>
      </c>
      <c r="O23" s="1363"/>
      <c r="P23" s="1356"/>
      <c r="Q23" s="1364">
        <v>198045</v>
      </c>
      <c r="R23" s="1365">
        <f t="shared" si="15"/>
        <v>3762875</v>
      </c>
      <c r="S23" s="1364"/>
      <c r="T23" s="1366">
        <f t="shared" si="16"/>
        <v>0</v>
      </c>
      <c r="U23" s="1367">
        <f>IF($R23-SUM($T23:T23)=0,0,IF(OR($R23&lt;=0,$R23&lt;=SUM($T23:T23)),0,IF((IF($J23=0,$O23,$J23)*$I23)&gt;=($R23-SUM($T23:T23)),($R23-SUM($T23:T23)),IF($J23=0,$O23,$J23)*$I23)))</f>
        <v>198045.5</v>
      </c>
      <c r="V23" s="1367">
        <f>IF($R23-SUM($T23:U23)=0,0,IF(OR($R23&lt;=0,$R23&lt;=SUM($T23:U23)),0,IF((IF($J23=0,$O23,$J23)*$I23)&gt;=($R23-SUM($T23:U23)),($R23-SUM($T23:U23)),IF($J23=0,$O23,$J23)*$I23)))</f>
        <v>198045.5</v>
      </c>
      <c r="W23" s="1367">
        <f>IF($R23-SUM($T23:V23)=0,0,IF(OR($R23&lt;=0,$R23&lt;=SUM($T23:V23)),0,IF((IF($J23=0,$O23,$J23)*$I23)&gt;=($R23-SUM($T23:V23)),($R23-SUM($T23:V23)),IF($J23=0,$O23,$J23)*$I23)))</f>
        <v>198045.5</v>
      </c>
      <c r="X23" s="1367">
        <f>IF($R23-SUM($T23:W23)=0,0,IF(OR($R23&lt;=0,$R23&lt;=SUM($T23:W23)),0,IF((IF($J23=0,$O23,$J23)*$I23)&gt;=($R23-SUM($T23:W23)),($R23-SUM($T23:W23)),IF($J23=0,$O23,$J23)*$I23)))</f>
        <v>198045.5</v>
      </c>
      <c r="Y23" s="1367">
        <f>IF($R23-SUM($T23:X23)=0,0,IF(OR($R23&lt;=0,$R23&lt;=SUM($T23:X23)),0,IF((IF($J23=0,$O23,$J23)*$I23)&gt;=($R23-SUM($T23:X23)),($R23-SUM($T23:X23)),IF($J23=0,$O23,$J23)*$I23)))</f>
        <v>198045.5</v>
      </c>
      <c r="Z23" s="1367">
        <f>IF($R23-SUM($T23:Y23)=0,0,IF(OR($R23&lt;=0,$R23&lt;=SUM($T23:Y23)),0,IF((IF($J23=0,$O23,$J23)*$I23)&gt;=($R23-SUM($T23:Y23)),($R23-SUM($T23:Y23)),IF($J23=0,$O23,$J23)*$I23)))</f>
        <v>198045.5</v>
      </c>
      <c r="AA23" s="1367">
        <f>IF($R23-SUM($T23:Z23)=0,0,IF(OR($R23&lt;=0,$R23&lt;=SUM($T23:Z23)),0,IF((IF($J23=0,$O23,$J23)*$I23)&gt;=($R23-SUM($T23:Z23)),($R23-SUM($T23:Z23)),IF($J23=0,$O23,$J23)*$I23)))</f>
        <v>198045.5</v>
      </c>
      <c r="AB23" s="1367">
        <f>IF($R23-SUM($T23:AA23)=0,0,IF(OR($R23&lt;=0,$R23&lt;=SUM($T23:AA23)),0,IF((IF($J23=0,$O23,$J23)*$I23)&gt;=($R23-SUM($T23:AA23)),($R23-SUM($T23:AA23)),IF($J23=0,$O23,$J23)*$I23)))</f>
        <v>198045.5</v>
      </c>
      <c r="AC23" s="1367">
        <f>IF($R23-SUM($T23:AB23)=0,0,IF(OR($R23&lt;=0,$R23&lt;=SUM($T23:AB23)),0,IF((IF($J23=0,$O23,$J23)*$I23)&gt;=($R23-SUM($T23:AB23)),($R23-SUM($T23:AB23)),IF($J23=0,$O23,$J23)*$I23)))</f>
        <v>198045.5</v>
      </c>
      <c r="AD23" s="1367">
        <f>IF($R23-SUM($T23:AC23)=0,0,IF(OR($R23&lt;=0,$R23&lt;=SUM($T23:AC23)),0,IF((IF($J23=0,$O23,$J23)*$I23)&gt;=($R23-SUM($T23:AC23)),($R23-SUM($T23:AC23)),IF($J23=0,$O23,$J23)*$I23)))</f>
        <v>198045.5</v>
      </c>
      <c r="AF23" s="1319" t="str">
        <f t="shared" si="17"/>
        <v>Check</v>
      </c>
      <c r="AG23" s="1319" t="str">
        <f t="shared" si="18"/>
        <v>Checked</v>
      </c>
      <c r="AH23" s="1318" t="b">
        <f t="shared" si="19"/>
        <v>1</v>
      </c>
    </row>
    <row r="24" spans="1:34" outlineLevel="1" x14ac:dyDescent="0.3">
      <c r="B24" s="1356" t="s">
        <v>2625</v>
      </c>
      <c r="C24" s="1356" t="s">
        <v>1969</v>
      </c>
      <c r="D24" s="1322" t="s">
        <v>2626</v>
      </c>
      <c r="E24" s="1357">
        <v>40</v>
      </c>
      <c r="F24" s="1333">
        <f t="shared" si="10"/>
        <v>24</v>
      </c>
      <c r="G24" s="1358">
        <f t="shared" si="11"/>
        <v>0</v>
      </c>
      <c r="H24" s="1359">
        <f t="shared" si="12"/>
        <v>0</v>
      </c>
      <c r="I24" s="1360">
        <f t="shared" si="13"/>
        <v>2.5000000000000001E-2</v>
      </c>
      <c r="J24" s="1361">
        <v>258547391</v>
      </c>
      <c r="K24" s="1362">
        <v>100187104</v>
      </c>
      <c r="L24" s="1356">
        <v>0</v>
      </c>
      <c r="M24" s="1356">
        <v>0</v>
      </c>
      <c r="N24" s="1361">
        <f t="shared" si="14"/>
        <v>158360287</v>
      </c>
      <c r="O24" s="1363"/>
      <c r="P24" s="1356"/>
      <c r="Q24" s="1364">
        <v>6463684</v>
      </c>
      <c r="R24" s="1365">
        <f t="shared" si="15"/>
        <v>151896603</v>
      </c>
      <c r="S24" s="1364"/>
      <c r="T24" s="1366">
        <f t="shared" si="16"/>
        <v>0</v>
      </c>
      <c r="U24" s="1367">
        <f>IF($R24-SUM($T24:T24)=0,0,IF(OR($R24&lt;=0,$R24&lt;=SUM($T24:T24)),0,IF((IF($J24=0,$O24,$J24)*$I24)&gt;=($R24-SUM($T24:T24)),($R24-SUM($T24:T24)),IF($J24=0,$O24,$J24)*$I24)))</f>
        <v>6463684.7750000004</v>
      </c>
      <c r="V24" s="1367">
        <f>IF($R24-SUM($T24:U24)=0,0,IF(OR($R24&lt;=0,$R24&lt;=SUM($T24:U24)),0,IF((IF($J24=0,$O24,$J24)*$I24)&gt;=($R24-SUM($T24:U24)),($R24-SUM($T24:U24)),IF($J24=0,$O24,$J24)*$I24)))</f>
        <v>6463684.7750000004</v>
      </c>
      <c r="W24" s="1367">
        <f>IF($R24-SUM($T24:V24)=0,0,IF(OR($R24&lt;=0,$R24&lt;=SUM($T24:V24)),0,IF((IF($J24=0,$O24,$J24)*$I24)&gt;=($R24-SUM($T24:V24)),($R24-SUM($T24:V24)),IF($J24=0,$O24,$J24)*$I24)))</f>
        <v>6463684.7750000004</v>
      </c>
      <c r="X24" s="1367">
        <f>IF($R24-SUM($T24:W24)=0,0,IF(OR($R24&lt;=0,$R24&lt;=SUM($T24:W24)),0,IF((IF($J24=0,$O24,$J24)*$I24)&gt;=($R24-SUM($T24:W24)),($R24-SUM($T24:W24)),IF($J24=0,$O24,$J24)*$I24)))</f>
        <v>6463684.7750000004</v>
      </c>
      <c r="Y24" s="1367">
        <f>IF($R24-SUM($T24:X24)=0,0,IF(OR($R24&lt;=0,$R24&lt;=SUM($T24:X24)),0,IF((IF($J24=0,$O24,$J24)*$I24)&gt;=($R24-SUM($T24:X24)),($R24-SUM($T24:X24)),IF($J24=0,$O24,$J24)*$I24)))</f>
        <v>6463684.7750000004</v>
      </c>
      <c r="Z24" s="1367">
        <f>IF($R24-SUM($T24:Y24)=0,0,IF(OR($R24&lt;=0,$R24&lt;=SUM($T24:Y24)),0,IF((IF($J24=0,$O24,$J24)*$I24)&gt;=($R24-SUM($T24:Y24)),($R24-SUM($T24:Y24)),IF($J24=0,$O24,$J24)*$I24)))</f>
        <v>6463684.7750000004</v>
      </c>
      <c r="AA24" s="1367">
        <f>IF($R24-SUM($T24:Z24)=0,0,IF(OR($R24&lt;=0,$R24&lt;=SUM($T24:Z24)),0,IF((IF($J24=0,$O24,$J24)*$I24)&gt;=($R24-SUM($T24:Z24)),($R24-SUM($T24:Z24)),IF($J24=0,$O24,$J24)*$I24)))</f>
        <v>6463684.7750000004</v>
      </c>
      <c r="AB24" s="1367">
        <f>IF($R24-SUM($T24:AA24)=0,0,IF(OR($R24&lt;=0,$R24&lt;=SUM($T24:AA24)),0,IF((IF($J24=0,$O24,$J24)*$I24)&gt;=($R24-SUM($T24:AA24)),($R24-SUM($T24:AA24)),IF($J24=0,$O24,$J24)*$I24)))</f>
        <v>6463684.7750000004</v>
      </c>
      <c r="AC24" s="1367">
        <f>IF($R24-SUM($T24:AB24)=0,0,IF(OR($R24&lt;=0,$R24&lt;=SUM($T24:AB24)),0,IF((IF($J24=0,$O24,$J24)*$I24)&gt;=($R24-SUM($T24:AB24)),($R24-SUM($T24:AB24)),IF($J24=0,$O24,$J24)*$I24)))</f>
        <v>6463684.7750000004</v>
      </c>
      <c r="AD24" s="1367">
        <f>IF($R24-SUM($T24:AC24)=0,0,IF(OR($R24&lt;=0,$R24&lt;=SUM($T24:AC24)),0,IF((IF($J24=0,$O24,$J24)*$I24)&gt;=($R24-SUM($T24:AC24)),($R24-SUM($T24:AC24)),IF($J24=0,$O24,$J24)*$I24)))</f>
        <v>6463684.7750000004</v>
      </c>
      <c r="AF24" s="1319" t="str">
        <f t="shared" si="17"/>
        <v>Check</v>
      </c>
      <c r="AG24" s="1319" t="str">
        <f t="shared" si="18"/>
        <v>Checked</v>
      </c>
      <c r="AH24" s="1318" t="b">
        <f t="shared" si="19"/>
        <v>1</v>
      </c>
    </row>
    <row r="25" spans="1:34" outlineLevel="1" x14ac:dyDescent="0.3">
      <c r="B25" s="1356" t="s">
        <v>2627</v>
      </c>
      <c r="C25" s="1356" t="s">
        <v>1969</v>
      </c>
      <c r="D25" s="1322" t="s">
        <v>2626</v>
      </c>
      <c r="E25" s="1357">
        <v>40</v>
      </c>
      <c r="F25" s="1333">
        <f t="shared" si="10"/>
        <v>24</v>
      </c>
      <c r="G25" s="1358">
        <f t="shared" si="11"/>
        <v>0</v>
      </c>
      <c r="H25" s="1359">
        <f t="shared" si="12"/>
        <v>0</v>
      </c>
      <c r="I25" s="1360">
        <f t="shared" si="13"/>
        <v>2.5000000000000001E-2</v>
      </c>
      <c r="J25" s="1361">
        <v>279184004</v>
      </c>
      <c r="K25" s="1362">
        <v>107769410</v>
      </c>
      <c r="L25" s="1356">
        <v>0</v>
      </c>
      <c r="M25" s="1356">
        <v>0</v>
      </c>
      <c r="N25" s="1361">
        <f t="shared" si="14"/>
        <v>171414594</v>
      </c>
      <c r="O25" s="1363"/>
      <c r="P25" s="1356">
        <v>0</v>
      </c>
      <c r="Q25" s="1364">
        <v>6979600</v>
      </c>
      <c r="R25" s="1365">
        <f t="shared" si="15"/>
        <v>164434994</v>
      </c>
      <c r="S25" s="1364"/>
      <c r="T25" s="1366">
        <f t="shared" si="16"/>
        <v>0</v>
      </c>
      <c r="U25" s="1367">
        <f>IF($R25-SUM($T25:T25)=0,0,IF(OR($R25&lt;=0,$R25&lt;=SUM($T25:T25)),0,IF((IF($J25=0,$O25,$J25)*$I25)&gt;=($R25-SUM($T25:T25)),($R25-SUM($T25:T25)),IF($J25=0,$O25,$J25)*$I25)))</f>
        <v>6979600.1000000006</v>
      </c>
      <c r="V25" s="1367">
        <f>IF($R25-SUM($T25:U25)=0,0,IF(OR($R25&lt;=0,$R25&lt;=SUM($T25:U25)),0,IF((IF($J25=0,$O25,$J25)*$I25)&gt;=($R25-SUM($T25:U25)),($R25-SUM($T25:U25)),IF($J25=0,$O25,$J25)*$I25)))</f>
        <v>6979600.1000000006</v>
      </c>
      <c r="W25" s="1367">
        <f>IF($R25-SUM($T25:V25)=0,0,IF(OR($R25&lt;=0,$R25&lt;=SUM($T25:V25)),0,IF((IF($J25=0,$O25,$J25)*$I25)&gt;=($R25-SUM($T25:V25)),($R25-SUM($T25:V25)),IF($J25=0,$O25,$J25)*$I25)))</f>
        <v>6979600.1000000006</v>
      </c>
      <c r="X25" s="1367">
        <f>IF($R25-SUM($T25:W25)=0,0,IF(OR($R25&lt;=0,$R25&lt;=SUM($T25:W25)),0,IF((IF($J25=0,$O25,$J25)*$I25)&gt;=($R25-SUM($T25:W25)),($R25-SUM($T25:W25)),IF($J25=0,$O25,$J25)*$I25)))</f>
        <v>6979600.1000000006</v>
      </c>
      <c r="Y25" s="1367">
        <f>IF($R25-SUM($T25:X25)=0,0,IF(OR($R25&lt;=0,$R25&lt;=SUM($T25:X25)),0,IF((IF($J25=0,$O25,$J25)*$I25)&gt;=($R25-SUM($T25:X25)),($R25-SUM($T25:X25)),IF($J25=0,$O25,$J25)*$I25)))</f>
        <v>6979600.1000000006</v>
      </c>
      <c r="Z25" s="1367">
        <f>IF($R25-SUM($T25:Y25)=0,0,IF(OR($R25&lt;=0,$R25&lt;=SUM($T25:Y25)),0,IF((IF($J25=0,$O25,$J25)*$I25)&gt;=($R25-SUM($T25:Y25)),($R25-SUM($T25:Y25)),IF($J25=0,$O25,$J25)*$I25)))</f>
        <v>6979600.1000000006</v>
      </c>
      <c r="AA25" s="1367">
        <f>IF($R25-SUM($T25:Z25)=0,0,IF(OR($R25&lt;=0,$R25&lt;=SUM($T25:Z25)),0,IF((IF($J25=0,$O25,$J25)*$I25)&gt;=($R25-SUM($T25:Z25)),($R25-SUM($T25:Z25)),IF($J25=0,$O25,$J25)*$I25)))</f>
        <v>6979600.1000000006</v>
      </c>
      <c r="AB25" s="1367">
        <f>IF($R25-SUM($T25:AA25)=0,0,IF(OR($R25&lt;=0,$R25&lt;=SUM($T25:AA25)),0,IF((IF($J25=0,$O25,$J25)*$I25)&gt;=($R25-SUM($T25:AA25)),($R25-SUM($T25:AA25)),IF($J25=0,$O25,$J25)*$I25)))</f>
        <v>6979600.1000000006</v>
      </c>
      <c r="AC25" s="1367">
        <f>IF($R25-SUM($T25:AB25)=0,0,IF(OR($R25&lt;=0,$R25&lt;=SUM($T25:AB25)),0,IF((IF($J25=0,$O25,$J25)*$I25)&gt;=($R25-SUM($T25:AB25)),($R25-SUM($T25:AB25)),IF($J25=0,$O25,$J25)*$I25)))</f>
        <v>6979600.1000000006</v>
      </c>
      <c r="AD25" s="1367">
        <f>IF($R25-SUM($T25:AC25)=0,0,IF(OR($R25&lt;=0,$R25&lt;=SUM($T25:AC25)),0,IF((IF($J25=0,$O25,$J25)*$I25)&gt;=($R25-SUM($T25:AC25)),($R25-SUM($T25:AC25)),IF($J25=0,$O25,$J25)*$I25)))</f>
        <v>6979600.1000000006</v>
      </c>
      <c r="AF25" s="1319" t="str">
        <f t="shared" si="17"/>
        <v>Check</v>
      </c>
      <c r="AG25" s="1319" t="str">
        <f t="shared" si="18"/>
        <v>Checked</v>
      </c>
      <c r="AH25" s="1318" t="b">
        <f t="shared" si="19"/>
        <v>1</v>
      </c>
    </row>
    <row r="26" spans="1:34" outlineLevel="1" x14ac:dyDescent="0.3">
      <c r="B26" s="1356" t="s">
        <v>2628</v>
      </c>
      <c r="C26" s="1356" t="s">
        <v>1969</v>
      </c>
      <c r="D26" s="1322" t="s">
        <v>2629</v>
      </c>
      <c r="E26" s="1357">
        <v>40</v>
      </c>
      <c r="F26" s="1333">
        <f t="shared" si="10"/>
        <v>25</v>
      </c>
      <c r="G26" s="1358">
        <f t="shared" si="11"/>
        <v>0</v>
      </c>
      <c r="H26" s="1359">
        <f t="shared" si="12"/>
        <v>0</v>
      </c>
      <c r="I26" s="1360">
        <f t="shared" si="13"/>
        <v>2.5000000000000001E-2</v>
      </c>
      <c r="J26" s="1361">
        <v>108067415</v>
      </c>
      <c r="K26" s="1362">
        <v>39849854</v>
      </c>
      <c r="L26" s="1356">
        <v>0</v>
      </c>
      <c r="M26" s="1356">
        <v>0</v>
      </c>
      <c r="N26" s="1361">
        <f t="shared" si="14"/>
        <v>68217561</v>
      </c>
      <c r="O26" s="1363"/>
      <c r="P26" s="1356">
        <v>0</v>
      </c>
      <c r="Q26" s="1364">
        <v>2701685</v>
      </c>
      <c r="R26" s="1365">
        <f t="shared" si="15"/>
        <v>65515876</v>
      </c>
      <c r="S26" s="1364"/>
      <c r="T26" s="1366">
        <f t="shared" si="16"/>
        <v>0</v>
      </c>
      <c r="U26" s="1367">
        <f>IF($R26-SUM($T26:T26)=0,0,IF(OR($R26&lt;=0,$R26&lt;=SUM($T26:T26)),0,IF((IF($J26=0,$O26,$J26)*$I26)&gt;=($R26-SUM($T26:T26)),($R26-SUM($T26:T26)),IF($J26=0,$O26,$J26)*$I26)))</f>
        <v>2701685.375</v>
      </c>
      <c r="V26" s="1367">
        <f>IF($R26-SUM($T26:U26)=0,0,IF(OR($R26&lt;=0,$R26&lt;=SUM($T26:U26)),0,IF((IF($J26=0,$O26,$J26)*$I26)&gt;=($R26-SUM($T26:U26)),($R26-SUM($T26:U26)),IF($J26=0,$O26,$J26)*$I26)))</f>
        <v>2701685.375</v>
      </c>
      <c r="W26" s="1367">
        <f>IF($R26-SUM($T26:V26)=0,0,IF(OR($R26&lt;=0,$R26&lt;=SUM($T26:V26)),0,IF((IF($J26=0,$O26,$J26)*$I26)&gt;=($R26-SUM($T26:V26)),($R26-SUM($T26:V26)),IF($J26=0,$O26,$J26)*$I26)))</f>
        <v>2701685.375</v>
      </c>
      <c r="X26" s="1367">
        <f>IF($R26-SUM($T26:W26)=0,0,IF(OR($R26&lt;=0,$R26&lt;=SUM($T26:W26)),0,IF((IF($J26=0,$O26,$J26)*$I26)&gt;=($R26-SUM($T26:W26)),($R26-SUM($T26:W26)),IF($J26=0,$O26,$J26)*$I26)))</f>
        <v>2701685.375</v>
      </c>
      <c r="Y26" s="1367">
        <f>IF($R26-SUM($T26:X26)=0,0,IF(OR($R26&lt;=0,$R26&lt;=SUM($T26:X26)),0,IF((IF($J26=0,$O26,$J26)*$I26)&gt;=($R26-SUM($T26:X26)),($R26-SUM($T26:X26)),IF($J26=0,$O26,$J26)*$I26)))</f>
        <v>2701685.375</v>
      </c>
      <c r="Z26" s="1367">
        <f>IF($R26-SUM($T26:Y26)=0,0,IF(OR($R26&lt;=0,$R26&lt;=SUM($T26:Y26)),0,IF((IF($J26=0,$O26,$J26)*$I26)&gt;=($R26-SUM($T26:Y26)),($R26-SUM($T26:Y26)),IF($J26=0,$O26,$J26)*$I26)))</f>
        <v>2701685.375</v>
      </c>
      <c r="AA26" s="1367">
        <f>IF($R26-SUM($T26:Z26)=0,0,IF(OR($R26&lt;=0,$R26&lt;=SUM($T26:Z26)),0,IF((IF($J26=0,$O26,$J26)*$I26)&gt;=($R26-SUM($T26:Z26)),($R26-SUM($T26:Z26)),IF($J26=0,$O26,$J26)*$I26)))</f>
        <v>2701685.375</v>
      </c>
      <c r="AB26" s="1367">
        <f>IF($R26-SUM($T26:AA26)=0,0,IF(OR($R26&lt;=0,$R26&lt;=SUM($T26:AA26)),0,IF((IF($J26=0,$O26,$J26)*$I26)&gt;=($R26-SUM($T26:AA26)),($R26-SUM($T26:AA26)),IF($J26=0,$O26,$J26)*$I26)))</f>
        <v>2701685.375</v>
      </c>
      <c r="AC26" s="1367">
        <f>IF($R26-SUM($T26:AB26)=0,0,IF(OR($R26&lt;=0,$R26&lt;=SUM($T26:AB26)),0,IF((IF($J26=0,$O26,$J26)*$I26)&gt;=($R26-SUM($T26:AB26)),($R26-SUM($T26:AB26)),IF($J26=0,$O26,$J26)*$I26)))</f>
        <v>2701685.375</v>
      </c>
      <c r="AD26" s="1367">
        <f>IF($R26-SUM($T26:AC26)=0,0,IF(OR($R26&lt;=0,$R26&lt;=SUM($T26:AC26)),0,IF((IF($J26=0,$O26,$J26)*$I26)&gt;=($R26-SUM($T26:AC26)),($R26-SUM($T26:AC26)),IF($J26=0,$O26,$J26)*$I26)))</f>
        <v>2701685.375</v>
      </c>
      <c r="AF26" s="1319" t="str">
        <f t="shared" si="17"/>
        <v>Check</v>
      </c>
      <c r="AG26" s="1319" t="str">
        <f t="shared" si="18"/>
        <v>Checked</v>
      </c>
      <c r="AH26" s="1318" t="b">
        <f t="shared" si="19"/>
        <v>1</v>
      </c>
    </row>
    <row r="27" spans="1:34" outlineLevel="1" x14ac:dyDescent="0.3">
      <c r="B27" s="1356" t="s">
        <v>2630</v>
      </c>
      <c r="C27" s="1356" t="s">
        <v>1969</v>
      </c>
      <c r="D27" s="1322" t="s">
        <v>2175</v>
      </c>
      <c r="E27" s="1357">
        <v>40</v>
      </c>
      <c r="F27" s="1333">
        <f t="shared" si="10"/>
        <v>25</v>
      </c>
      <c r="G27" s="1358">
        <f t="shared" si="11"/>
        <v>0</v>
      </c>
      <c r="H27" s="1359">
        <f t="shared" si="12"/>
        <v>0</v>
      </c>
      <c r="I27" s="1360">
        <f t="shared" si="13"/>
        <v>2.5000000000000001E-2</v>
      </c>
      <c r="J27" s="1361">
        <v>260727002</v>
      </c>
      <c r="K27" s="1362">
        <v>91191857</v>
      </c>
      <c r="L27" s="1356">
        <v>0</v>
      </c>
      <c r="M27" s="1356">
        <v>0</v>
      </c>
      <c r="N27" s="1361">
        <f t="shared" si="14"/>
        <v>169535145</v>
      </c>
      <c r="O27" s="1363"/>
      <c r="P27" s="1356">
        <v>0</v>
      </c>
      <c r="Q27" s="1364">
        <v>6518175</v>
      </c>
      <c r="R27" s="1365">
        <f t="shared" si="15"/>
        <v>163016970</v>
      </c>
      <c r="S27" s="1364"/>
      <c r="T27" s="1366">
        <f t="shared" si="16"/>
        <v>0</v>
      </c>
      <c r="U27" s="1367">
        <f>IF($R27-SUM($T27:T27)=0,0,IF(OR($R27&lt;=0,$R27&lt;=SUM($T27:T27)),0,IF((IF($J27=0,$O27,$J27)*$I27)&gt;=($R27-SUM($T27:T27)),($R27-SUM($T27:T27)),IF($J27=0,$O27,$J27)*$I27)))</f>
        <v>6518175.0500000007</v>
      </c>
      <c r="V27" s="1367">
        <f>IF($R27-SUM($T27:U27)=0,0,IF(OR($R27&lt;=0,$R27&lt;=SUM($T27:U27)),0,IF((IF($J27=0,$O27,$J27)*$I27)&gt;=($R27-SUM($T27:U27)),($R27-SUM($T27:U27)),IF($J27=0,$O27,$J27)*$I27)))</f>
        <v>6518175.0500000007</v>
      </c>
      <c r="W27" s="1367">
        <f>IF($R27-SUM($T27:V27)=0,0,IF(OR($R27&lt;=0,$R27&lt;=SUM($T27:V27)),0,IF((IF($J27=0,$O27,$J27)*$I27)&gt;=($R27-SUM($T27:V27)),($R27-SUM($T27:V27)),IF($J27=0,$O27,$J27)*$I27)))</f>
        <v>6518175.0500000007</v>
      </c>
      <c r="X27" s="1367">
        <f>IF($R27-SUM($T27:W27)=0,0,IF(OR($R27&lt;=0,$R27&lt;=SUM($T27:W27)),0,IF((IF($J27=0,$O27,$J27)*$I27)&gt;=($R27-SUM($T27:W27)),($R27-SUM($T27:W27)),IF($J27=0,$O27,$J27)*$I27)))</f>
        <v>6518175.0500000007</v>
      </c>
      <c r="Y27" s="1367">
        <f>IF($R27-SUM($T27:X27)=0,0,IF(OR($R27&lt;=0,$R27&lt;=SUM($T27:X27)),0,IF((IF($J27=0,$O27,$J27)*$I27)&gt;=($R27-SUM($T27:X27)),($R27-SUM($T27:X27)),IF($J27=0,$O27,$J27)*$I27)))</f>
        <v>6518175.0500000007</v>
      </c>
      <c r="Z27" s="1367">
        <f>IF($R27-SUM($T27:Y27)=0,0,IF(OR($R27&lt;=0,$R27&lt;=SUM($T27:Y27)),0,IF((IF($J27=0,$O27,$J27)*$I27)&gt;=($R27-SUM($T27:Y27)),($R27-SUM($T27:Y27)),IF($J27=0,$O27,$J27)*$I27)))</f>
        <v>6518175.0500000007</v>
      </c>
      <c r="AA27" s="1367">
        <f>IF($R27-SUM($T27:Z27)=0,0,IF(OR($R27&lt;=0,$R27&lt;=SUM($T27:Z27)),0,IF((IF($J27=0,$O27,$J27)*$I27)&gt;=($R27-SUM($T27:Z27)),($R27-SUM($T27:Z27)),IF($J27=0,$O27,$J27)*$I27)))</f>
        <v>6518175.0500000007</v>
      </c>
      <c r="AB27" s="1367">
        <f>IF($R27-SUM($T27:AA27)=0,0,IF(OR($R27&lt;=0,$R27&lt;=SUM($T27:AA27)),0,IF((IF($J27=0,$O27,$J27)*$I27)&gt;=($R27-SUM($T27:AA27)),($R27-SUM($T27:AA27)),IF($J27=0,$O27,$J27)*$I27)))</f>
        <v>6518175.0500000007</v>
      </c>
      <c r="AC27" s="1367">
        <f>IF($R27-SUM($T27:AB27)=0,0,IF(OR($R27&lt;=0,$R27&lt;=SUM($T27:AB27)),0,IF((IF($J27=0,$O27,$J27)*$I27)&gt;=($R27-SUM($T27:AB27)),($R27-SUM($T27:AB27)),IF($J27=0,$O27,$J27)*$I27)))</f>
        <v>6518175.0500000007</v>
      </c>
      <c r="AD27" s="1367">
        <f>IF($R27-SUM($T27:AC27)=0,0,IF(OR($R27&lt;=0,$R27&lt;=SUM($T27:AC27)),0,IF((IF($J27=0,$O27,$J27)*$I27)&gt;=($R27-SUM($T27:AC27)),($R27-SUM($T27:AC27)),IF($J27=0,$O27,$J27)*$I27)))</f>
        <v>6518175.0500000007</v>
      </c>
      <c r="AF27" s="1319" t="str">
        <f t="shared" si="17"/>
        <v>Check</v>
      </c>
      <c r="AG27" s="1319" t="str">
        <f t="shared" si="18"/>
        <v>Checked</v>
      </c>
      <c r="AH27" s="1318" t="b">
        <f t="shared" si="19"/>
        <v>1</v>
      </c>
    </row>
    <row r="28" spans="1:34" outlineLevel="1" x14ac:dyDescent="0.3">
      <c r="B28" s="1356" t="s">
        <v>2631</v>
      </c>
      <c r="C28" s="1356" t="s">
        <v>1969</v>
      </c>
      <c r="D28" s="1322" t="s">
        <v>2632</v>
      </c>
      <c r="E28" s="1357">
        <v>40</v>
      </c>
      <c r="F28" s="1333">
        <f t="shared" si="10"/>
        <v>30</v>
      </c>
      <c r="G28" s="1358">
        <f t="shared" si="11"/>
        <v>0</v>
      </c>
      <c r="H28" s="1359">
        <f t="shared" si="12"/>
        <v>0</v>
      </c>
      <c r="I28" s="1360">
        <f t="shared" si="13"/>
        <v>2.5000000000000001E-2</v>
      </c>
      <c r="J28" s="1361">
        <v>209980722</v>
      </c>
      <c r="K28" s="1362">
        <v>51182800</v>
      </c>
      <c r="L28" s="1356">
        <v>0</v>
      </c>
      <c r="M28" s="1356">
        <v>0</v>
      </c>
      <c r="N28" s="1361">
        <f t="shared" si="14"/>
        <v>158797922</v>
      </c>
      <c r="O28" s="1363"/>
      <c r="P28" s="1356">
        <v>0</v>
      </c>
      <c r="Q28" s="1364">
        <v>5249518</v>
      </c>
      <c r="R28" s="1365">
        <f t="shared" si="15"/>
        <v>153548404</v>
      </c>
      <c r="S28" s="1364"/>
      <c r="T28" s="1366">
        <f t="shared" si="16"/>
        <v>0</v>
      </c>
      <c r="U28" s="1367">
        <f>IF($R28-SUM($T28:T28)=0,0,IF(OR($R28&lt;=0,$R28&lt;=SUM($T28:T28)),0,IF((IF($J28=0,$O28,$J28)*$I28)&gt;=($R28-SUM($T28:T28)),($R28-SUM($T28:T28)),IF($J28=0,$O28,$J28)*$I28)))</f>
        <v>5249518.0500000007</v>
      </c>
      <c r="V28" s="1367">
        <f>IF($R28-SUM($T28:U28)=0,0,IF(OR($R28&lt;=0,$R28&lt;=SUM($T28:U28)),0,IF((IF($J28=0,$O28,$J28)*$I28)&gt;=($R28-SUM($T28:U28)),($R28-SUM($T28:U28)),IF($J28=0,$O28,$J28)*$I28)))</f>
        <v>5249518.0500000007</v>
      </c>
      <c r="W28" s="1367">
        <f>IF($R28-SUM($T28:V28)=0,0,IF(OR($R28&lt;=0,$R28&lt;=SUM($T28:V28)),0,IF((IF($J28=0,$O28,$J28)*$I28)&gt;=($R28-SUM($T28:V28)),($R28-SUM($T28:V28)),IF($J28=0,$O28,$J28)*$I28)))</f>
        <v>5249518.0500000007</v>
      </c>
      <c r="X28" s="1367">
        <f>IF($R28-SUM($T28:W28)=0,0,IF(OR($R28&lt;=0,$R28&lt;=SUM($T28:W28)),0,IF((IF($J28=0,$O28,$J28)*$I28)&gt;=($R28-SUM($T28:W28)),($R28-SUM($T28:W28)),IF($J28=0,$O28,$J28)*$I28)))</f>
        <v>5249518.0500000007</v>
      </c>
      <c r="Y28" s="1367">
        <f>IF($R28-SUM($T28:X28)=0,0,IF(OR($R28&lt;=0,$R28&lt;=SUM($T28:X28)),0,IF((IF($J28=0,$O28,$J28)*$I28)&gt;=($R28-SUM($T28:X28)),($R28-SUM($T28:X28)),IF($J28=0,$O28,$J28)*$I28)))</f>
        <v>5249518.0500000007</v>
      </c>
      <c r="Z28" s="1367">
        <f>IF($R28-SUM($T28:Y28)=0,0,IF(OR($R28&lt;=0,$R28&lt;=SUM($T28:Y28)),0,IF((IF($J28=0,$O28,$J28)*$I28)&gt;=($R28-SUM($T28:Y28)),($R28-SUM($T28:Y28)),IF($J28=0,$O28,$J28)*$I28)))</f>
        <v>5249518.0500000007</v>
      </c>
      <c r="AA28" s="1367">
        <f>IF($R28-SUM($T28:Z28)=0,0,IF(OR($R28&lt;=0,$R28&lt;=SUM($T28:Z28)),0,IF((IF($J28=0,$O28,$J28)*$I28)&gt;=($R28-SUM($T28:Z28)),($R28-SUM($T28:Z28)),IF($J28=0,$O28,$J28)*$I28)))</f>
        <v>5249518.0500000007</v>
      </c>
      <c r="AB28" s="1367">
        <f>IF($R28-SUM($T28:AA28)=0,0,IF(OR($R28&lt;=0,$R28&lt;=SUM($T28:AA28)),0,IF((IF($J28=0,$O28,$J28)*$I28)&gt;=($R28-SUM($T28:AA28)),($R28-SUM($T28:AA28)),IF($J28=0,$O28,$J28)*$I28)))</f>
        <v>5249518.0500000007</v>
      </c>
      <c r="AC28" s="1367">
        <f>IF($R28-SUM($T28:AB28)=0,0,IF(OR($R28&lt;=0,$R28&lt;=SUM($T28:AB28)),0,IF((IF($J28=0,$O28,$J28)*$I28)&gt;=($R28-SUM($T28:AB28)),($R28-SUM($T28:AB28)),IF($J28=0,$O28,$J28)*$I28)))</f>
        <v>5249518.0500000007</v>
      </c>
      <c r="AD28" s="1367">
        <f>IF($R28-SUM($T28:AC28)=0,0,IF(OR($R28&lt;=0,$R28&lt;=SUM($T28:AC28)),0,IF((IF($J28=0,$O28,$J28)*$I28)&gt;=($R28-SUM($T28:AC28)),($R28-SUM($T28:AC28)),IF($J28=0,$O28,$J28)*$I28)))</f>
        <v>5249518.0500000007</v>
      </c>
      <c r="AF28" s="1319" t="str">
        <f t="shared" si="17"/>
        <v>Check</v>
      </c>
      <c r="AG28" s="1319" t="str">
        <f t="shared" si="18"/>
        <v>Checked</v>
      </c>
      <c r="AH28" s="1318" t="b">
        <f t="shared" si="19"/>
        <v>1</v>
      </c>
    </row>
    <row r="29" spans="1:34" outlineLevel="1" x14ac:dyDescent="0.3">
      <c r="B29" s="1356" t="s">
        <v>2633</v>
      </c>
      <c r="C29" s="1356" t="s">
        <v>1969</v>
      </c>
      <c r="D29" s="1322" t="s">
        <v>2634</v>
      </c>
      <c r="E29" s="1357">
        <v>40</v>
      </c>
      <c r="F29" s="1333">
        <f t="shared" si="10"/>
        <v>30</v>
      </c>
      <c r="G29" s="1358">
        <f t="shared" si="11"/>
        <v>0</v>
      </c>
      <c r="H29" s="1359">
        <f t="shared" si="12"/>
        <v>0</v>
      </c>
      <c r="I29" s="1360">
        <f t="shared" si="13"/>
        <v>2.5000000000000001E-2</v>
      </c>
      <c r="J29" s="1361">
        <v>192861194</v>
      </c>
      <c r="K29" s="1362">
        <v>46206320</v>
      </c>
      <c r="L29" s="1356">
        <v>0</v>
      </c>
      <c r="M29" s="1356">
        <v>0</v>
      </c>
      <c r="N29" s="1361">
        <f t="shared" si="14"/>
        <v>146654874</v>
      </c>
      <c r="O29" s="1363"/>
      <c r="P29" s="1356">
        <v>0</v>
      </c>
      <c r="Q29" s="1364">
        <v>4821529</v>
      </c>
      <c r="R29" s="1365">
        <f t="shared" si="15"/>
        <v>141833345</v>
      </c>
      <c r="S29" s="1364"/>
      <c r="T29" s="1366">
        <f t="shared" si="16"/>
        <v>0</v>
      </c>
      <c r="U29" s="1367">
        <f>IF($R29-SUM($T29:T29)=0,0,IF(OR($R29&lt;=0,$R29&lt;=SUM($T29:T29)),0,IF((IF($J29=0,$O29,$J29)*$I29)&gt;=($R29-SUM($T29:T29)),($R29-SUM($T29:T29)),IF($J29=0,$O29,$J29)*$I29)))</f>
        <v>4821529.8500000006</v>
      </c>
      <c r="V29" s="1367">
        <f>IF($R29-SUM($T29:U29)=0,0,IF(OR($R29&lt;=0,$R29&lt;=SUM($T29:U29)),0,IF((IF($J29=0,$O29,$J29)*$I29)&gt;=($R29-SUM($T29:U29)),($R29-SUM($T29:U29)),IF($J29=0,$O29,$J29)*$I29)))</f>
        <v>4821529.8500000006</v>
      </c>
      <c r="W29" s="1367">
        <f>IF($R29-SUM($T29:V29)=0,0,IF(OR($R29&lt;=0,$R29&lt;=SUM($T29:V29)),0,IF((IF($J29=0,$O29,$J29)*$I29)&gt;=($R29-SUM($T29:V29)),($R29-SUM($T29:V29)),IF($J29=0,$O29,$J29)*$I29)))</f>
        <v>4821529.8500000006</v>
      </c>
      <c r="X29" s="1367">
        <f>IF($R29-SUM($T29:W29)=0,0,IF(OR($R29&lt;=0,$R29&lt;=SUM($T29:W29)),0,IF((IF($J29=0,$O29,$J29)*$I29)&gt;=($R29-SUM($T29:W29)),($R29-SUM($T29:W29)),IF($J29=0,$O29,$J29)*$I29)))</f>
        <v>4821529.8500000006</v>
      </c>
      <c r="Y29" s="1367">
        <f>IF($R29-SUM($T29:X29)=0,0,IF(OR($R29&lt;=0,$R29&lt;=SUM($T29:X29)),0,IF((IF($J29=0,$O29,$J29)*$I29)&gt;=($R29-SUM($T29:X29)),($R29-SUM($T29:X29)),IF($J29=0,$O29,$J29)*$I29)))</f>
        <v>4821529.8500000006</v>
      </c>
      <c r="Z29" s="1367">
        <f>IF($R29-SUM($T29:Y29)=0,0,IF(OR($R29&lt;=0,$R29&lt;=SUM($T29:Y29)),0,IF((IF($J29=0,$O29,$J29)*$I29)&gt;=($R29-SUM($T29:Y29)),($R29-SUM($T29:Y29)),IF($J29=0,$O29,$J29)*$I29)))</f>
        <v>4821529.8500000006</v>
      </c>
      <c r="AA29" s="1367">
        <f>IF($R29-SUM($T29:Z29)=0,0,IF(OR($R29&lt;=0,$R29&lt;=SUM($T29:Z29)),0,IF((IF($J29=0,$O29,$J29)*$I29)&gt;=($R29-SUM($T29:Z29)),($R29-SUM($T29:Z29)),IF($J29=0,$O29,$J29)*$I29)))</f>
        <v>4821529.8500000006</v>
      </c>
      <c r="AB29" s="1367">
        <f>IF($R29-SUM($T29:AA29)=0,0,IF(OR($R29&lt;=0,$R29&lt;=SUM($T29:AA29)),0,IF((IF($J29=0,$O29,$J29)*$I29)&gt;=($R29-SUM($T29:AA29)),($R29-SUM($T29:AA29)),IF($J29=0,$O29,$J29)*$I29)))</f>
        <v>4821529.8500000006</v>
      </c>
      <c r="AC29" s="1367">
        <f>IF($R29-SUM($T29:AB29)=0,0,IF(OR($R29&lt;=0,$R29&lt;=SUM($T29:AB29)),0,IF((IF($J29=0,$O29,$J29)*$I29)&gt;=($R29-SUM($T29:AB29)),($R29-SUM($T29:AB29)),IF($J29=0,$O29,$J29)*$I29)))</f>
        <v>4821529.8500000006</v>
      </c>
      <c r="AD29" s="1367">
        <f>IF($R29-SUM($T29:AC29)=0,0,IF(OR($R29&lt;=0,$R29&lt;=SUM($T29:AC29)),0,IF((IF($J29=0,$O29,$J29)*$I29)&gt;=($R29-SUM($T29:AC29)),($R29-SUM($T29:AC29)),IF($J29=0,$O29,$J29)*$I29)))</f>
        <v>4821529.8500000006</v>
      </c>
      <c r="AF29" s="1319" t="str">
        <f t="shared" si="17"/>
        <v>Check</v>
      </c>
      <c r="AG29" s="1319" t="str">
        <f t="shared" si="18"/>
        <v>Checked</v>
      </c>
      <c r="AH29" s="1318" t="b">
        <f t="shared" si="19"/>
        <v>1</v>
      </c>
    </row>
    <row r="30" spans="1:34" outlineLevel="1" x14ac:dyDescent="0.3">
      <c r="B30" s="1356" t="s">
        <v>2635</v>
      </c>
      <c r="C30" s="1356" t="s">
        <v>1969</v>
      </c>
      <c r="D30" s="1322" t="s">
        <v>2636</v>
      </c>
      <c r="E30" s="1357">
        <v>40</v>
      </c>
      <c r="F30" s="1333">
        <f t="shared" si="10"/>
        <v>30</v>
      </c>
      <c r="G30" s="1358">
        <f t="shared" si="11"/>
        <v>0</v>
      </c>
      <c r="H30" s="1359">
        <f t="shared" si="12"/>
        <v>0</v>
      </c>
      <c r="I30" s="1360">
        <f t="shared" si="13"/>
        <v>2.5000000000000001E-2</v>
      </c>
      <c r="J30" s="1361">
        <v>393831803</v>
      </c>
      <c r="K30" s="1362">
        <v>92714569</v>
      </c>
      <c r="L30" s="1356">
        <v>0</v>
      </c>
      <c r="M30" s="1356">
        <v>0</v>
      </c>
      <c r="N30" s="1361">
        <f t="shared" si="14"/>
        <v>301117234</v>
      </c>
      <c r="O30" s="1363"/>
      <c r="P30" s="1356">
        <v>0</v>
      </c>
      <c r="Q30" s="1364">
        <v>9845795</v>
      </c>
      <c r="R30" s="1365">
        <f t="shared" si="15"/>
        <v>291271439</v>
      </c>
      <c r="S30" s="1364"/>
      <c r="T30" s="1366">
        <f t="shared" si="16"/>
        <v>0</v>
      </c>
      <c r="U30" s="1367">
        <f>IF($R30-SUM($T30:T30)=0,0,IF(OR($R30&lt;=0,$R30&lt;=SUM($T30:T30)),0,IF((IF($J30=0,$O30,$J30)*$I30)&gt;=($R30-SUM($T30:T30)),($R30-SUM($T30:T30)),IF($J30=0,$O30,$J30)*$I30)))</f>
        <v>9845795.0750000011</v>
      </c>
      <c r="V30" s="1367">
        <f>IF($R30-SUM($T30:U30)=0,0,IF(OR($R30&lt;=0,$R30&lt;=SUM($T30:U30)),0,IF((IF($J30=0,$O30,$J30)*$I30)&gt;=($R30-SUM($T30:U30)),($R30-SUM($T30:U30)),IF($J30=0,$O30,$J30)*$I30)))</f>
        <v>9845795.0750000011</v>
      </c>
      <c r="W30" s="1367">
        <f>IF($R30-SUM($T30:V30)=0,0,IF(OR($R30&lt;=0,$R30&lt;=SUM($T30:V30)),0,IF((IF($J30=0,$O30,$J30)*$I30)&gt;=($R30-SUM($T30:V30)),($R30-SUM($T30:V30)),IF($J30=0,$O30,$J30)*$I30)))</f>
        <v>9845795.0750000011</v>
      </c>
      <c r="X30" s="1367">
        <f>IF($R30-SUM($T30:W30)=0,0,IF(OR($R30&lt;=0,$R30&lt;=SUM($T30:W30)),0,IF((IF($J30=0,$O30,$J30)*$I30)&gt;=($R30-SUM($T30:W30)),($R30-SUM($T30:W30)),IF($J30=0,$O30,$J30)*$I30)))</f>
        <v>9845795.0750000011</v>
      </c>
      <c r="Y30" s="1367">
        <f>IF($R30-SUM($T30:X30)=0,0,IF(OR($R30&lt;=0,$R30&lt;=SUM($T30:X30)),0,IF((IF($J30=0,$O30,$J30)*$I30)&gt;=($R30-SUM($T30:X30)),($R30-SUM($T30:X30)),IF($J30=0,$O30,$J30)*$I30)))</f>
        <v>9845795.0750000011</v>
      </c>
      <c r="Z30" s="1367">
        <f>IF($R30-SUM($T30:Y30)=0,0,IF(OR($R30&lt;=0,$R30&lt;=SUM($T30:Y30)),0,IF((IF($J30=0,$O30,$J30)*$I30)&gt;=($R30-SUM($T30:Y30)),($R30-SUM($T30:Y30)),IF($J30=0,$O30,$J30)*$I30)))</f>
        <v>9845795.0750000011</v>
      </c>
      <c r="AA30" s="1367">
        <f>IF($R30-SUM($T30:Z30)=0,0,IF(OR($R30&lt;=0,$R30&lt;=SUM($T30:Z30)),0,IF((IF($J30=0,$O30,$J30)*$I30)&gt;=($R30-SUM($T30:Z30)),($R30-SUM($T30:Z30)),IF($J30=0,$O30,$J30)*$I30)))</f>
        <v>9845795.0750000011</v>
      </c>
      <c r="AB30" s="1367">
        <f>IF($R30-SUM($T30:AA30)=0,0,IF(OR($R30&lt;=0,$R30&lt;=SUM($T30:AA30)),0,IF((IF($J30=0,$O30,$J30)*$I30)&gt;=($R30-SUM($T30:AA30)),($R30-SUM($T30:AA30)),IF($J30=0,$O30,$J30)*$I30)))</f>
        <v>9845795.0750000011</v>
      </c>
      <c r="AC30" s="1367">
        <f>IF($R30-SUM($T30:AB30)=0,0,IF(OR($R30&lt;=0,$R30&lt;=SUM($T30:AB30)),0,IF((IF($J30=0,$O30,$J30)*$I30)&gt;=($R30-SUM($T30:AB30)),($R30-SUM($T30:AB30)),IF($J30=0,$O30,$J30)*$I30)))</f>
        <v>9845795.0750000011</v>
      </c>
      <c r="AD30" s="1367">
        <f>IF($R30-SUM($T30:AC30)=0,0,IF(OR($R30&lt;=0,$R30&lt;=SUM($T30:AC30)),0,IF((IF($J30=0,$O30,$J30)*$I30)&gt;=($R30-SUM($T30:AC30)),($R30-SUM($T30:AC30)),IF($J30=0,$O30,$J30)*$I30)))</f>
        <v>9845795.0750000011</v>
      </c>
      <c r="AF30" s="1319" t="str">
        <f t="shared" si="17"/>
        <v>Check</v>
      </c>
      <c r="AG30" s="1319" t="str">
        <f t="shared" si="18"/>
        <v>Checked</v>
      </c>
      <c r="AH30" s="1318" t="b">
        <f t="shared" si="19"/>
        <v>1</v>
      </c>
    </row>
    <row r="31" spans="1:34" outlineLevel="1" x14ac:dyDescent="0.3">
      <c r="B31" s="1356" t="s">
        <v>2637</v>
      </c>
      <c r="C31" s="1356" t="s">
        <v>1969</v>
      </c>
      <c r="D31" s="1322" t="s">
        <v>2176</v>
      </c>
      <c r="E31" s="1357">
        <v>40</v>
      </c>
      <c r="F31" s="1333">
        <f t="shared" si="10"/>
        <v>31</v>
      </c>
      <c r="G31" s="1358">
        <f t="shared" si="11"/>
        <v>0</v>
      </c>
      <c r="H31" s="1359">
        <f t="shared" si="12"/>
        <v>0</v>
      </c>
      <c r="I31" s="1360">
        <f t="shared" si="13"/>
        <v>2.5000000000000001E-2</v>
      </c>
      <c r="J31" s="1361">
        <v>577825867</v>
      </c>
      <c r="K31" s="1362">
        <v>128807010</v>
      </c>
      <c r="L31" s="1356">
        <v>0</v>
      </c>
      <c r="M31" s="1356">
        <v>0</v>
      </c>
      <c r="N31" s="1361">
        <f t="shared" si="14"/>
        <v>449018857</v>
      </c>
      <c r="O31" s="1363"/>
      <c r="P31" s="1356">
        <v>0</v>
      </c>
      <c r="Q31" s="1364">
        <v>14445646</v>
      </c>
      <c r="R31" s="1365">
        <f t="shared" si="15"/>
        <v>434573211</v>
      </c>
      <c r="S31" s="1364"/>
      <c r="T31" s="1366">
        <f t="shared" si="16"/>
        <v>0</v>
      </c>
      <c r="U31" s="1367">
        <f>IF($R31-SUM($T31:T31)=0,0,IF(OR($R31&lt;=0,$R31&lt;=SUM($T31:T31)),0,IF((IF($J31=0,$O31,$J31)*$I31)&gt;=($R31-SUM($T31:T31)),($R31-SUM($T31:T31)),IF($J31=0,$O31,$J31)*$I31)))</f>
        <v>14445646.675000001</v>
      </c>
      <c r="V31" s="1367">
        <f>IF($R31-SUM($T31:U31)=0,0,IF(OR($R31&lt;=0,$R31&lt;=SUM($T31:U31)),0,IF((IF($J31=0,$O31,$J31)*$I31)&gt;=($R31-SUM($T31:U31)),($R31-SUM($T31:U31)),IF($J31=0,$O31,$J31)*$I31)))</f>
        <v>14445646.675000001</v>
      </c>
      <c r="W31" s="1367">
        <f>IF($R31-SUM($T31:V31)=0,0,IF(OR($R31&lt;=0,$R31&lt;=SUM($T31:V31)),0,IF((IF($J31=0,$O31,$J31)*$I31)&gt;=($R31-SUM($T31:V31)),($R31-SUM($T31:V31)),IF($J31=0,$O31,$J31)*$I31)))</f>
        <v>14445646.675000001</v>
      </c>
      <c r="X31" s="1367">
        <f>IF($R31-SUM($T31:W31)=0,0,IF(OR($R31&lt;=0,$R31&lt;=SUM($T31:W31)),0,IF((IF($J31=0,$O31,$J31)*$I31)&gt;=($R31-SUM($T31:W31)),($R31-SUM($T31:W31)),IF($J31=0,$O31,$J31)*$I31)))</f>
        <v>14445646.675000001</v>
      </c>
      <c r="Y31" s="1367">
        <f>IF($R31-SUM($T31:X31)=0,0,IF(OR($R31&lt;=0,$R31&lt;=SUM($T31:X31)),0,IF((IF($J31=0,$O31,$J31)*$I31)&gt;=($R31-SUM($T31:X31)),($R31-SUM($T31:X31)),IF($J31=0,$O31,$J31)*$I31)))</f>
        <v>14445646.675000001</v>
      </c>
      <c r="Z31" s="1367">
        <f>IF($R31-SUM($T31:Y31)=0,0,IF(OR($R31&lt;=0,$R31&lt;=SUM($T31:Y31)),0,IF((IF($J31=0,$O31,$J31)*$I31)&gt;=($R31-SUM($T31:Y31)),($R31-SUM($T31:Y31)),IF($J31=0,$O31,$J31)*$I31)))</f>
        <v>14445646.675000001</v>
      </c>
      <c r="AA31" s="1367">
        <f>IF($R31-SUM($T31:Z31)=0,0,IF(OR($R31&lt;=0,$R31&lt;=SUM($T31:Z31)),0,IF((IF($J31=0,$O31,$J31)*$I31)&gt;=($R31-SUM($T31:Z31)),($R31-SUM($T31:Z31)),IF($J31=0,$O31,$J31)*$I31)))</f>
        <v>14445646.675000001</v>
      </c>
      <c r="AB31" s="1367">
        <f>IF($R31-SUM($T31:AA31)=0,0,IF(OR($R31&lt;=0,$R31&lt;=SUM($T31:AA31)),0,IF((IF($J31=0,$O31,$J31)*$I31)&gt;=($R31-SUM($T31:AA31)),($R31-SUM($T31:AA31)),IF($J31=0,$O31,$J31)*$I31)))</f>
        <v>14445646.675000001</v>
      </c>
      <c r="AC31" s="1367">
        <f>IF($R31-SUM($T31:AB31)=0,0,IF(OR($R31&lt;=0,$R31&lt;=SUM($T31:AB31)),0,IF((IF($J31=0,$O31,$J31)*$I31)&gt;=($R31-SUM($T31:AB31)),($R31-SUM($T31:AB31)),IF($J31=0,$O31,$J31)*$I31)))</f>
        <v>14445646.675000001</v>
      </c>
      <c r="AD31" s="1367">
        <f>IF($R31-SUM($T31:AC31)=0,0,IF(OR($R31&lt;=0,$R31&lt;=SUM($T31:AC31)),0,IF((IF($J31=0,$O31,$J31)*$I31)&gt;=($R31-SUM($T31:AC31)),($R31-SUM($T31:AC31)),IF($J31=0,$O31,$J31)*$I31)))</f>
        <v>14445646.675000001</v>
      </c>
      <c r="AF31" s="1319" t="str">
        <f t="shared" si="17"/>
        <v>Check</v>
      </c>
      <c r="AG31" s="1319" t="str">
        <f t="shared" si="18"/>
        <v>Checked</v>
      </c>
      <c r="AH31" s="1318" t="b">
        <f t="shared" si="19"/>
        <v>1</v>
      </c>
    </row>
    <row r="32" spans="1:34" outlineLevel="1" x14ac:dyDescent="0.3">
      <c r="B32" s="1356" t="s">
        <v>2638</v>
      </c>
      <c r="C32" s="1356" t="s">
        <v>1969</v>
      </c>
      <c r="D32" s="1322" t="s">
        <v>2639</v>
      </c>
      <c r="E32" s="1357">
        <v>40</v>
      </c>
      <c r="F32" s="1333">
        <f t="shared" si="10"/>
        <v>31</v>
      </c>
      <c r="G32" s="1358">
        <f t="shared" si="11"/>
        <v>0</v>
      </c>
      <c r="H32" s="1359">
        <f t="shared" si="12"/>
        <v>0</v>
      </c>
      <c r="I32" s="1360">
        <f t="shared" si="13"/>
        <v>2.5000000000000001E-2</v>
      </c>
      <c r="J32" s="1361">
        <v>419920349</v>
      </c>
      <c r="K32" s="1362">
        <v>85962338</v>
      </c>
      <c r="L32" s="1356">
        <v>0</v>
      </c>
      <c r="M32" s="1356">
        <v>0</v>
      </c>
      <c r="N32" s="1361">
        <f t="shared" si="14"/>
        <v>333958011</v>
      </c>
      <c r="O32" s="1363"/>
      <c r="P32" s="1356">
        <v>0</v>
      </c>
      <c r="Q32" s="1364">
        <v>10498008</v>
      </c>
      <c r="R32" s="1365">
        <f t="shared" si="15"/>
        <v>323460003</v>
      </c>
      <c r="S32" s="1364"/>
      <c r="T32" s="1366">
        <f t="shared" si="16"/>
        <v>0</v>
      </c>
      <c r="U32" s="1367">
        <f>IF($R32-SUM($T32:T32)=0,0,IF(OR($R32&lt;=0,$R32&lt;=SUM($T32:T32)),0,IF((IF($J32=0,$O32,$J32)*$I32)&gt;=($R32-SUM($T32:T32)),($R32-SUM($T32:T32)),IF($J32=0,$O32,$J32)*$I32)))</f>
        <v>10498008.725000001</v>
      </c>
      <c r="V32" s="1367">
        <f>IF($R32-SUM($T32:U32)=0,0,IF(OR($R32&lt;=0,$R32&lt;=SUM($T32:U32)),0,IF((IF($J32=0,$O32,$J32)*$I32)&gt;=($R32-SUM($T32:U32)),($R32-SUM($T32:U32)),IF($J32=0,$O32,$J32)*$I32)))</f>
        <v>10498008.725000001</v>
      </c>
      <c r="W32" s="1367">
        <f>IF($R32-SUM($T32:V32)=0,0,IF(OR($R32&lt;=0,$R32&lt;=SUM($T32:V32)),0,IF((IF($J32=0,$O32,$J32)*$I32)&gt;=($R32-SUM($T32:V32)),($R32-SUM($T32:V32)),IF($J32=0,$O32,$J32)*$I32)))</f>
        <v>10498008.725000001</v>
      </c>
      <c r="X32" s="1367">
        <f>IF($R32-SUM($T32:W32)=0,0,IF(OR($R32&lt;=0,$R32&lt;=SUM($T32:W32)),0,IF((IF($J32=0,$O32,$J32)*$I32)&gt;=($R32-SUM($T32:W32)),($R32-SUM($T32:W32)),IF($J32=0,$O32,$J32)*$I32)))</f>
        <v>10498008.725000001</v>
      </c>
      <c r="Y32" s="1367">
        <f>IF($R32-SUM($T32:X32)=0,0,IF(OR($R32&lt;=0,$R32&lt;=SUM($T32:X32)),0,IF((IF($J32=0,$O32,$J32)*$I32)&gt;=($R32-SUM($T32:X32)),($R32-SUM($T32:X32)),IF($J32=0,$O32,$J32)*$I32)))</f>
        <v>10498008.725000001</v>
      </c>
      <c r="Z32" s="1367">
        <f>IF($R32-SUM($T32:Y32)=0,0,IF(OR($R32&lt;=0,$R32&lt;=SUM($T32:Y32)),0,IF((IF($J32=0,$O32,$J32)*$I32)&gt;=($R32-SUM($T32:Y32)),($R32-SUM($T32:Y32)),IF($J32=0,$O32,$J32)*$I32)))</f>
        <v>10498008.725000001</v>
      </c>
      <c r="AA32" s="1367">
        <f>IF($R32-SUM($T32:Z32)=0,0,IF(OR($R32&lt;=0,$R32&lt;=SUM($T32:Z32)),0,IF((IF($J32=0,$O32,$J32)*$I32)&gt;=($R32-SUM($T32:Z32)),($R32-SUM($T32:Z32)),IF($J32=0,$O32,$J32)*$I32)))</f>
        <v>10498008.725000001</v>
      </c>
      <c r="AB32" s="1367">
        <f>IF($R32-SUM($T32:AA32)=0,0,IF(OR($R32&lt;=0,$R32&lt;=SUM($T32:AA32)),0,IF((IF($J32=0,$O32,$J32)*$I32)&gt;=($R32-SUM($T32:AA32)),($R32-SUM($T32:AA32)),IF($J32=0,$O32,$J32)*$I32)))</f>
        <v>10498008.725000001</v>
      </c>
      <c r="AC32" s="1367">
        <f>IF($R32-SUM($T32:AB32)=0,0,IF(OR($R32&lt;=0,$R32&lt;=SUM($T32:AB32)),0,IF((IF($J32=0,$O32,$J32)*$I32)&gt;=($R32-SUM($T32:AB32)),($R32-SUM($T32:AB32)),IF($J32=0,$O32,$J32)*$I32)))</f>
        <v>10498008.725000001</v>
      </c>
      <c r="AD32" s="1367">
        <f>IF($R32-SUM($T32:AC32)=0,0,IF(OR($R32&lt;=0,$R32&lt;=SUM($T32:AC32)),0,IF((IF($J32=0,$O32,$J32)*$I32)&gt;=($R32-SUM($T32:AC32)),($R32-SUM($T32:AC32)),IF($J32=0,$O32,$J32)*$I32)))</f>
        <v>10498008.725000001</v>
      </c>
      <c r="AF32" s="1319" t="str">
        <f t="shared" si="17"/>
        <v>Check</v>
      </c>
      <c r="AG32" s="1319" t="str">
        <f t="shared" si="18"/>
        <v>Checked</v>
      </c>
      <c r="AH32" s="1318" t="b">
        <f t="shared" si="19"/>
        <v>1</v>
      </c>
    </row>
    <row r="33" spans="1:34" outlineLevel="1" x14ac:dyDescent="0.3">
      <c r="B33" s="1356" t="s">
        <v>2640</v>
      </c>
      <c r="C33" s="1356" t="s">
        <v>1969</v>
      </c>
      <c r="D33" s="1322" t="s">
        <v>2641</v>
      </c>
      <c r="E33" s="1357">
        <v>40</v>
      </c>
      <c r="F33" s="1333">
        <f t="shared" si="10"/>
        <v>33</v>
      </c>
      <c r="G33" s="1358">
        <f t="shared" si="11"/>
        <v>0</v>
      </c>
      <c r="H33" s="1359">
        <f t="shared" si="12"/>
        <v>0</v>
      </c>
      <c r="I33" s="1360">
        <f t="shared" si="13"/>
        <v>2.5000000000000001E-2</v>
      </c>
      <c r="J33" s="1361">
        <v>250043838</v>
      </c>
      <c r="K33" s="1362">
        <v>40290018</v>
      </c>
      <c r="L33" s="1356">
        <v>0</v>
      </c>
      <c r="M33" s="1356">
        <v>0</v>
      </c>
      <c r="N33" s="1361">
        <f t="shared" si="14"/>
        <v>209753820</v>
      </c>
      <c r="O33" s="1363"/>
      <c r="P33" s="1356">
        <v>0</v>
      </c>
      <c r="Q33" s="1364">
        <v>6251095</v>
      </c>
      <c r="R33" s="1365">
        <f t="shared" si="15"/>
        <v>203502725</v>
      </c>
      <c r="S33" s="1364"/>
      <c r="T33" s="1366">
        <f t="shared" si="16"/>
        <v>0</v>
      </c>
      <c r="U33" s="1367">
        <f>IF($R33-SUM($T33:T33)=0,0,IF(OR($R33&lt;=0,$R33&lt;=SUM($T33:T33)),0,IF((IF($J33=0,$O33,$J33)*$I33)&gt;=($R33-SUM($T33:T33)),($R33-SUM($T33:T33)),IF($J33=0,$O33,$J33)*$I33)))</f>
        <v>6251095.9500000002</v>
      </c>
      <c r="V33" s="1367">
        <f>IF($R33-SUM($T33:U33)=0,0,IF(OR($R33&lt;=0,$R33&lt;=SUM($T33:U33)),0,IF((IF($J33=0,$O33,$J33)*$I33)&gt;=($R33-SUM($T33:U33)),($R33-SUM($T33:U33)),IF($J33=0,$O33,$J33)*$I33)))</f>
        <v>6251095.9500000002</v>
      </c>
      <c r="W33" s="1367">
        <f>IF($R33-SUM($T33:V33)=0,0,IF(OR($R33&lt;=0,$R33&lt;=SUM($T33:V33)),0,IF((IF($J33=0,$O33,$J33)*$I33)&gt;=($R33-SUM($T33:V33)),($R33-SUM($T33:V33)),IF($J33=0,$O33,$J33)*$I33)))</f>
        <v>6251095.9500000002</v>
      </c>
      <c r="X33" s="1367">
        <f>IF($R33-SUM($T33:W33)=0,0,IF(OR($R33&lt;=0,$R33&lt;=SUM($T33:W33)),0,IF((IF($J33=0,$O33,$J33)*$I33)&gt;=($R33-SUM($T33:W33)),($R33-SUM($T33:W33)),IF($J33=0,$O33,$J33)*$I33)))</f>
        <v>6251095.9500000002</v>
      </c>
      <c r="Y33" s="1367">
        <f>IF($R33-SUM($T33:X33)=0,0,IF(OR($R33&lt;=0,$R33&lt;=SUM($T33:X33)),0,IF((IF($J33=0,$O33,$J33)*$I33)&gt;=($R33-SUM($T33:X33)),($R33-SUM($T33:X33)),IF($J33=0,$O33,$J33)*$I33)))</f>
        <v>6251095.9500000002</v>
      </c>
      <c r="Z33" s="1367">
        <f>IF($R33-SUM($T33:Y33)=0,0,IF(OR($R33&lt;=0,$R33&lt;=SUM($T33:Y33)),0,IF((IF($J33=0,$O33,$J33)*$I33)&gt;=($R33-SUM($T33:Y33)),($R33-SUM($T33:Y33)),IF($J33=0,$O33,$J33)*$I33)))</f>
        <v>6251095.9500000002</v>
      </c>
      <c r="AA33" s="1367">
        <f>IF($R33-SUM($T33:Z33)=0,0,IF(OR($R33&lt;=0,$R33&lt;=SUM($T33:Z33)),0,IF((IF($J33=0,$O33,$J33)*$I33)&gt;=($R33-SUM($T33:Z33)),($R33-SUM($T33:Z33)),IF($J33=0,$O33,$J33)*$I33)))</f>
        <v>6251095.9500000002</v>
      </c>
      <c r="AB33" s="1367">
        <f>IF($R33-SUM($T33:AA33)=0,0,IF(OR($R33&lt;=0,$R33&lt;=SUM($T33:AA33)),0,IF((IF($J33=0,$O33,$J33)*$I33)&gt;=($R33-SUM($T33:AA33)),($R33-SUM($T33:AA33)),IF($J33=0,$O33,$J33)*$I33)))</f>
        <v>6251095.9500000002</v>
      </c>
      <c r="AC33" s="1367">
        <f>IF($R33-SUM($T33:AB33)=0,0,IF(OR($R33&lt;=0,$R33&lt;=SUM($T33:AB33)),0,IF((IF($J33=0,$O33,$J33)*$I33)&gt;=($R33-SUM($T33:AB33)),($R33-SUM($T33:AB33)),IF($J33=0,$O33,$J33)*$I33)))</f>
        <v>6251095.9500000002</v>
      </c>
      <c r="AD33" s="1367">
        <f>IF($R33-SUM($T33:AC33)=0,0,IF(OR($R33&lt;=0,$R33&lt;=SUM($T33:AC33)),0,IF((IF($J33=0,$O33,$J33)*$I33)&gt;=($R33-SUM($T33:AC33)),($R33-SUM($T33:AC33)),IF($J33=0,$O33,$J33)*$I33)))</f>
        <v>6251095.9500000002</v>
      </c>
      <c r="AF33" s="1319" t="str">
        <f t="shared" si="17"/>
        <v>Check</v>
      </c>
      <c r="AG33" s="1319" t="str">
        <f t="shared" si="18"/>
        <v>Checked</v>
      </c>
      <c r="AH33" s="1318" t="b">
        <f t="shared" si="19"/>
        <v>1</v>
      </c>
    </row>
    <row r="34" spans="1:34" outlineLevel="1" x14ac:dyDescent="0.3">
      <c r="B34" s="1356" t="s">
        <v>2642</v>
      </c>
      <c r="C34" s="1356" t="s">
        <v>1969</v>
      </c>
      <c r="D34" s="1322" t="s">
        <v>2643</v>
      </c>
      <c r="E34" s="1357">
        <v>40</v>
      </c>
      <c r="F34" s="1333">
        <f t="shared" si="10"/>
        <v>33</v>
      </c>
      <c r="G34" s="1358">
        <f t="shared" si="11"/>
        <v>0</v>
      </c>
      <c r="H34" s="1359">
        <f t="shared" si="12"/>
        <v>0</v>
      </c>
      <c r="I34" s="1360">
        <f t="shared" si="13"/>
        <v>2.5000000000000001E-2</v>
      </c>
      <c r="J34" s="1361">
        <v>135161104</v>
      </c>
      <c r="K34" s="1362">
        <v>22245261</v>
      </c>
      <c r="L34" s="1356">
        <v>0</v>
      </c>
      <c r="M34" s="1356">
        <v>0</v>
      </c>
      <c r="N34" s="1361">
        <f t="shared" si="14"/>
        <v>112915843</v>
      </c>
      <c r="O34" s="1363"/>
      <c r="P34" s="1356">
        <v>0</v>
      </c>
      <c r="Q34" s="1364">
        <v>3379027</v>
      </c>
      <c r="R34" s="1365">
        <f t="shared" si="15"/>
        <v>109536816</v>
      </c>
      <c r="S34" s="1364"/>
      <c r="T34" s="1366">
        <f t="shared" si="16"/>
        <v>0</v>
      </c>
      <c r="U34" s="1367">
        <f>IF($R34-SUM($T34:T34)=0,0,IF(OR($R34&lt;=0,$R34&lt;=SUM($T34:T34)),0,IF((IF($J34=0,$O34,$J34)*$I34)&gt;=($R34-SUM($T34:T34)),($R34-SUM($T34:T34)),IF($J34=0,$O34,$J34)*$I34)))</f>
        <v>3379027.6</v>
      </c>
      <c r="V34" s="1367">
        <f>IF($R34-SUM($T34:U34)=0,0,IF(OR($R34&lt;=0,$R34&lt;=SUM($T34:U34)),0,IF((IF($J34=0,$O34,$J34)*$I34)&gt;=($R34-SUM($T34:U34)),($R34-SUM($T34:U34)),IF($J34=0,$O34,$J34)*$I34)))</f>
        <v>3379027.6</v>
      </c>
      <c r="W34" s="1367">
        <f>IF($R34-SUM($T34:V34)=0,0,IF(OR($R34&lt;=0,$R34&lt;=SUM($T34:V34)),0,IF((IF($J34=0,$O34,$J34)*$I34)&gt;=($R34-SUM($T34:V34)),($R34-SUM($T34:V34)),IF($J34=0,$O34,$J34)*$I34)))</f>
        <v>3379027.6</v>
      </c>
      <c r="X34" s="1367">
        <f>IF($R34-SUM($T34:W34)=0,0,IF(OR($R34&lt;=0,$R34&lt;=SUM($T34:W34)),0,IF((IF($J34=0,$O34,$J34)*$I34)&gt;=($R34-SUM($T34:W34)),($R34-SUM($T34:W34)),IF($J34=0,$O34,$J34)*$I34)))</f>
        <v>3379027.6</v>
      </c>
      <c r="Y34" s="1367">
        <f>IF($R34-SUM($T34:X34)=0,0,IF(OR($R34&lt;=0,$R34&lt;=SUM($T34:X34)),0,IF((IF($J34=0,$O34,$J34)*$I34)&gt;=($R34-SUM($T34:X34)),($R34-SUM($T34:X34)),IF($J34=0,$O34,$J34)*$I34)))</f>
        <v>3379027.6</v>
      </c>
      <c r="Z34" s="1367">
        <f>IF($R34-SUM($T34:Y34)=0,0,IF(OR($R34&lt;=0,$R34&lt;=SUM($T34:Y34)),0,IF((IF($J34=0,$O34,$J34)*$I34)&gt;=($R34-SUM($T34:Y34)),($R34-SUM($T34:Y34)),IF($J34=0,$O34,$J34)*$I34)))</f>
        <v>3379027.6</v>
      </c>
      <c r="AA34" s="1367">
        <f>IF($R34-SUM($T34:Z34)=0,0,IF(OR($R34&lt;=0,$R34&lt;=SUM($T34:Z34)),0,IF((IF($J34=0,$O34,$J34)*$I34)&gt;=($R34-SUM($T34:Z34)),($R34-SUM($T34:Z34)),IF($J34=0,$O34,$J34)*$I34)))</f>
        <v>3379027.6</v>
      </c>
      <c r="AB34" s="1367">
        <f>IF($R34-SUM($T34:AA34)=0,0,IF(OR($R34&lt;=0,$R34&lt;=SUM($T34:AA34)),0,IF((IF($J34=0,$O34,$J34)*$I34)&gt;=($R34-SUM($T34:AA34)),($R34-SUM($T34:AA34)),IF($J34=0,$O34,$J34)*$I34)))</f>
        <v>3379027.6</v>
      </c>
      <c r="AC34" s="1367">
        <f>IF($R34-SUM($T34:AB34)=0,0,IF(OR($R34&lt;=0,$R34&lt;=SUM($T34:AB34)),0,IF((IF($J34=0,$O34,$J34)*$I34)&gt;=($R34-SUM($T34:AB34)),($R34-SUM($T34:AB34)),IF($J34=0,$O34,$J34)*$I34)))</f>
        <v>3379027.6</v>
      </c>
      <c r="AD34" s="1367">
        <f>IF($R34-SUM($T34:AC34)=0,0,IF(OR($R34&lt;=0,$R34&lt;=SUM($T34:AC34)),0,IF((IF($J34=0,$O34,$J34)*$I34)&gt;=($R34-SUM($T34:AC34)),($R34-SUM($T34:AC34)),IF($J34=0,$O34,$J34)*$I34)))</f>
        <v>3379027.6</v>
      </c>
      <c r="AF34" s="1319" t="str">
        <f t="shared" si="17"/>
        <v>Check</v>
      </c>
      <c r="AG34" s="1319" t="str">
        <f t="shared" si="18"/>
        <v>Checked</v>
      </c>
      <c r="AH34" s="1318" t="b">
        <f t="shared" si="19"/>
        <v>1</v>
      </c>
    </row>
    <row r="35" spans="1:34" outlineLevel="1" x14ac:dyDescent="0.3">
      <c r="B35" s="1356" t="s">
        <v>2644</v>
      </c>
      <c r="C35" s="1356" t="s">
        <v>1969</v>
      </c>
      <c r="D35" s="1322" t="s">
        <v>2645</v>
      </c>
      <c r="E35" s="1357">
        <v>40</v>
      </c>
      <c r="F35" s="1333">
        <f t="shared" si="10"/>
        <v>33</v>
      </c>
      <c r="G35" s="1358">
        <f t="shared" si="11"/>
        <v>0</v>
      </c>
      <c r="H35" s="1359">
        <f t="shared" si="12"/>
        <v>0</v>
      </c>
      <c r="I35" s="1360">
        <f t="shared" si="13"/>
        <v>2.5000000000000001E-2</v>
      </c>
      <c r="J35" s="1361">
        <v>1162808872</v>
      </c>
      <c r="K35" s="1362">
        <v>179266362</v>
      </c>
      <c r="L35" s="1356">
        <v>0</v>
      </c>
      <c r="M35" s="1356">
        <v>0</v>
      </c>
      <c r="N35" s="1361">
        <f t="shared" si="14"/>
        <v>983542510</v>
      </c>
      <c r="O35" s="1363"/>
      <c r="P35" s="1356">
        <v>0</v>
      </c>
      <c r="Q35" s="1364">
        <v>29070221</v>
      </c>
      <c r="R35" s="1365">
        <f t="shared" si="15"/>
        <v>954472289</v>
      </c>
      <c r="S35" s="1364"/>
      <c r="T35" s="1366">
        <f t="shared" si="16"/>
        <v>0</v>
      </c>
      <c r="U35" s="1367">
        <f>IF($R35-SUM($T35:T35)=0,0,IF(OR($R35&lt;=0,$R35&lt;=SUM($T35:T35)),0,IF((IF($J35=0,$O35,$J35)*$I35)&gt;=($R35-SUM($T35:T35)),($R35-SUM($T35:T35)),IF($J35=0,$O35,$J35)*$I35)))</f>
        <v>29070221.800000001</v>
      </c>
      <c r="V35" s="1367">
        <f>IF($R35-SUM($T35:U35)=0,0,IF(OR($R35&lt;=0,$R35&lt;=SUM($T35:U35)),0,IF((IF($J35=0,$O35,$J35)*$I35)&gt;=($R35-SUM($T35:U35)),($R35-SUM($T35:U35)),IF($J35=0,$O35,$J35)*$I35)))</f>
        <v>29070221.800000001</v>
      </c>
      <c r="W35" s="1367">
        <f>IF($R35-SUM($T35:V35)=0,0,IF(OR($R35&lt;=0,$R35&lt;=SUM($T35:V35)),0,IF((IF($J35=0,$O35,$J35)*$I35)&gt;=($R35-SUM($T35:V35)),($R35-SUM($T35:V35)),IF($J35=0,$O35,$J35)*$I35)))</f>
        <v>29070221.800000001</v>
      </c>
      <c r="X35" s="1367">
        <f>IF($R35-SUM($T35:W35)=0,0,IF(OR($R35&lt;=0,$R35&lt;=SUM($T35:W35)),0,IF((IF($J35=0,$O35,$J35)*$I35)&gt;=($R35-SUM($T35:W35)),($R35-SUM($T35:W35)),IF($J35=0,$O35,$J35)*$I35)))</f>
        <v>29070221.800000001</v>
      </c>
      <c r="Y35" s="1367">
        <f>IF($R35-SUM($T35:X35)=0,0,IF(OR($R35&lt;=0,$R35&lt;=SUM($T35:X35)),0,IF((IF($J35=0,$O35,$J35)*$I35)&gt;=($R35-SUM($T35:X35)),($R35-SUM($T35:X35)),IF($J35=0,$O35,$J35)*$I35)))</f>
        <v>29070221.800000001</v>
      </c>
      <c r="Z35" s="1367">
        <f>IF($R35-SUM($T35:Y35)=0,0,IF(OR($R35&lt;=0,$R35&lt;=SUM($T35:Y35)),0,IF((IF($J35=0,$O35,$J35)*$I35)&gt;=($R35-SUM($T35:Y35)),($R35-SUM($T35:Y35)),IF($J35=0,$O35,$J35)*$I35)))</f>
        <v>29070221.800000001</v>
      </c>
      <c r="AA35" s="1367">
        <f>IF($R35-SUM($T35:Z35)=0,0,IF(OR($R35&lt;=0,$R35&lt;=SUM($T35:Z35)),0,IF((IF($J35=0,$O35,$J35)*$I35)&gt;=($R35-SUM($T35:Z35)),($R35-SUM($T35:Z35)),IF($J35=0,$O35,$J35)*$I35)))</f>
        <v>29070221.800000001</v>
      </c>
      <c r="AB35" s="1367">
        <f>IF($R35-SUM($T35:AA35)=0,0,IF(OR($R35&lt;=0,$R35&lt;=SUM($T35:AA35)),0,IF((IF($J35=0,$O35,$J35)*$I35)&gt;=($R35-SUM($T35:AA35)),($R35-SUM($T35:AA35)),IF($J35=0,$O35,$J35)*$I35)))</f>
        <v>29070221.800000001</v>
      </c>
      <c r="AC35" s="1367">
        <f>IF($R35-SUM($T35:AB35)=0,0,IF(OR($R35&lt;=0,$R35&lt;=SUM($T35:AB35)),0,IF((IF($J35=0,$O35,$J35)*$I35)&gt;=($R35-SUM($T35:AB35)),($R35-SUM($T35:AB35)),IF($J35=0,$O35,$J35)*$I35)))</f>
        <v>29070221.800000001</v>
      </c>
      <c r="AD35" s="1367">
        <f>IF($R35-SUM($T35:AC35)=0,0,IF(OR($R35&lt;=0,$R35&lt;=SUM($T35:AC35)),0,IF((IF($J35=0,$O35,$J35)*$I35)&gt;=($R35-SUM($T35:AC35)),($R35-SUM($T35:AC35)),IF($J35=0,$O35,$J35)*$I35)))</f>
        <v>29070221.800000001</v>
      </c>
      <c r="AF35" s="1319" t="str">
        <f t="shared" si="17"/>
        <v>Check</v>
      </c>
      <c r="AG35" s="1319" t="str">
        <f t="shared" si="18"/>
        <v>Checked</v>
      </c>
      <c r="AH35" s="1318" t="b">
        <f t="shared" si="19"/>
        <v>1</v>
      </c>
    </row>
    <row r="36" spans="1:34" outlineLevel="1" x14ac:dyDescent="0.3">
      <c r="B36" s="1356" t="s">
        <v>2646</v>
      </c>
      <c r="C36" s="1356" t="s">
        <v>1969</v>
      </c>
      <c r="D36" s="1322" t="s">
        <v>2647</v>
      </c>
      <c r="E36" s="1357">
        <v>40</v>
      </c>
      <c r="F36" s="1333">
        <f t="shared" si="10"/>
        <v>33</v>
      </c>
      <c r="G36" s="1358">
        <f t="shared" si="11"/>
        <v>0</v>
      </c>
      <c r="H36" s="1359">
        <f t="shared" si="12"/>
        <v>0</v>
      </c>
      <c r="I36" s="1360">
        <f t="shared" si="13"/>
        <v>2.5000000000000001E-2</v>
      </c>
      <c r="J36" s="1361">
        <v>345917580</v>
      </c>
      <c r="K36" s="1362">
        <v>52608295</v>
      </c>
      <c r="L36" s="1356">
        <v>0</v>
      </c>
      <c r="M36" s="1356">
        <v>0</v>
      </c>
      <c r="N36" s="1361">
        <f t="shared" si="14"/>
        <v>293309285</v>
      </c>
      <c r="O36" s="1363"/>
      <c r="P36" s="1356">
        <v>0</v>
      </c>
      <c r="Q36" s="1364">
        <v>8647939</v>
      </c>
      <c r="R36" s="1365">
        <f t="shared" si="15"/>
        <v>284661346</v>
      </c>
      <c r="S36" s="1364"/>
      <c r="T36" s="1366">
        <f t="shared" si="16"/>
        <v>0</v>
      </c>
      <c r="U36" s="1367">
        <f>IF($R36-SUM($T36:T36)=0,0,IF(OR($R36&lt;=0,$R36&lt;=SUM($T36:T36)),0,IF((IF($J36=0,$O36,$J36)*$I36)&gt;=($R36-SUM($T36:T36)),($R36-SUM($T36:T36)),IF($J36=0,$O36,$J36)*$I36)))</f>
        <v>8647939.5</v>
      </c>
      <c r="V36" s="1367">
        <f>IF($R36-SUM($T36:U36)=0,0,IF(OR($R36&lt;=0,$R36&lt;=SUM($T36:U36)),0,IF((IF($J36=0,$O36,$J36)*$I36)&gt;=($R36-SUM($T36:U36)),($R36-SUM($T36:U36)),IF($J36=0,$O36,$J36)*$I36)))</f>
        <v>8647939.5</v>
      </c>
      <c r="W36" s="1367">
        <f>IF($R36-SUM($T36:V36)=0,0,IF(OR($R36&lt;=0,$R36&lt;=SUM($T36:V36)),0,IF((IF($J36=0,$O36,$J36)*$I36)&gt;=($R36-SUM($T36:V36)),($R36-SUM($T36:V36)),IF($J36=0,$O36,$J36)*$I36)))</f>
        <v>8647939.5</v>
      </c>
      <c r="X36" s="1367">
        <f>IF($R36-SUM($T36:W36)=0,0,IF(OR($R36&lt;=0,$R36&lt;=SUM($T36:W36)),0,IF((IF($J36=0,$O36,$J36)*$I36)&gt;=($R36-SUM($T36:W36)),($R36-SUM($T36:W36)),IF($J36=0,$O36,$J36)*$I36)))</f>
        <v>8647939.5</v>
      </c>
      <c r="Y36" s="1367">
        <f>IF($R36-SUM($T36:X36)=0,0,IF(OR($R36&lt;=0,$R36&lt;=SUM($T36:X36)),0,IF((IF($J36=0,$O36,$J36)*$I36)&gt;=($R36-SUM($T36:X36)),($R36-SUM($T36:X36)),IF($J36=0,$O36,$J36)*$I36)))</f>
        <v>8647939.5</v>
      </c>
      <c r="Z36" s="1367">
        <f>IF($R36-SUM($T36:Y36)=0,0,IF(OR($R36&lt;=0,$R36&lt;=SUM($T36:Y36)),0,IF((IF($J36=0,$O36,$J36)*$I36)&gt;=($R36-SUM($T36:Y36)),($R36-SUM($T36:Y36)),IF($J36=0,$O36,$J36)*$I36)))</f>
        <v>8647939.5</v>
      </c>
      <c r="AA36" s="1367">
        <f>IF($R36-SUM($T36:Z36)=0,0,IF(OR($R36&lt;=0,$R36&lt;=SUM($T36:Z36)),0,IF((IF($J36=0,$O36,$J36)*$I36)&gt;=($R36-SUM($T36:Z36)),($R36-SUM($T36:Z36)),IF($J36=0,$O36,$J36)*$I36)))</f>
        <v>8647939.5</v>
      </c>
      <c r="AB36" s="1367">
        <f>IF($R36-SUM($T36:AA36)=0,0,IF(OR($R36&lt;=0,$R36&lt;=SUM($T36:AA36)),0,IF((IF($J36=0,$O36,$J36)*$I36)&gt;=($R36-SUM($T36:AA36)),($R36-SUM($T36:AA36)),IF($J36=0,$O36,$J36)*$I36)))</f>
        <v>8647939.5</v>
      </c>
      <c r="AC36" s="1367">
        <f>IF($R36-SUM($T36:AB36)=0,0,IF(OR($R36&lt;=0,$R36&lt;=SUM($T36:AB36)),0,IF((IF($J36=0,$O36,$J36)*$I36)&gt;=($R36-SUM($T36:AB36)),($R36-SUM($T36:AB36)),IF($J36=0,$O36,$J36)*$I36)))</f>
        <v>8647939.5</v>
      </c>
      <c r="AD36" s="1367">
        <f>IF($R36-SUM($T36:AC36)=0,0,IF(OR($R36&lt;=0,$R36&lt;=SUM($T36:AC36)),0,IF((IF($J36=0,$O36,$J36)*$I36)&gt;=($R36-SUM($T36:AC36)),($R36-SUM($T36:AC36)),IF($J36=0,$O36,$J36)*$I36)))</f>
        <v>8647939.5</v>
      </c>
      <c r="AF36" s="1319" t="str">
        <f t="shared" si="17"/>
        <v>Check</v>
      </c>
      <c r="AG36" s="1319" t="str">
        <f t="shared" si="18"/>
        <v>Checked</v>
      </c>
      <c r="AH36" s="1318" t="b">
        <f t="shared" si="19"/>
        <v>1</v>
      </c>
    </row>
    <row r="37" spans="1:34" outlineLevel="1" x14ac:dyDescent="0.3">
      <c r="B37" s="1356" t="s">
        <v>2648</v>
      </c>
      <c r="C37" s="1356" t="s">
        <v>1969</v>
      </c>
      <c r="D37" s="1322" t="s">
        <v>2649</v>
      </c>
      <c r="E37" s="1357">
        <v>40</v>
      </c>
      <c r="F37" s="1333">
        <f t="shared" si="10"/>
        <v>34</v>
      </c>
      <c r="G37" s="1358">
        <f t="shared" si="11"/>
        <v>0</v>
      </c>
      <c r="H37" s="1359">
        <f t="shared" si="12"/>
        <v>0</v>
      </c>
      <c r="I37" s="1360">
        <f t="shared" si="13"/>
        <v>2.5000000000000001E-2</v>
      </c>
      <c r="J37" s="1361">
        <v>333533620</v>
      </c>
      <c r="K37" s="1362">
        <v>47250593</v>
      </c>
      <c r="L37" s="1356">
        <v>0</v>
      </c>
      <c r="M37" s="1356">
        <v>0</v>
      </c>
      <c r="N37" s="1361">
        <f t="shared" si="14"/>
        <v>286283027</v>
      </c>
      <c r="O37" s="1363"/>
      <c r="P37" s="1356">
        <v>0</v>
      </c>
      <c r="Q37" s="1364">
        <v>8338340</v>
      </c>
      <c r="R37" s="1365">
        <f t="shared" si="15"/>
        <v>277944687</v>
      </c>
      <c r="S37" s="1364"/>
      <c r="T37" s="1366">
        <f t="shared" si="16"/>
        <v>0</v>
      </c>
      <c r="U37" s="1367">
        <f>IF($R37-SUM($T37:T37)=0,0,IF(OR($R37&lt;=0,$R37&lt;=SUM($T37:T37)),0,IF((IF($J37=0,$O37,$J37)*$I37)&gt;=($R37-SUM($T37:T37)),($R37-SUM($T37:T37)),IF($J37=0,$O37,$J37)*$I37)))</f>
        <v>8338340.5</v>
      </c>
      <c r="V37" s="1367">
        <f>IF($R37-SUM($T37:U37)=0,0,IF(OR($R37&lt;=0,$R37&lt;=SUM($T37:U37)),0,IF((IF($J37=0,$O37,$J37)*$I37)&gt;=($R37-SUM($T37:U37)),($R37-SUM($T37:U37)),IF($J37=0,$O37,$J37)*$I37)))</f>
        <v>8338340.5</v>
      </c>
      <c r="W37" s="1367">
        <f>IF($R37-SUM($T37:V37)=0,0,IF(OR($R37&lt;=0,$R37&lt;=SUM($T37:V37)),0,IF((IF($J37=0,$O37,$J37)*$I37)&gt;=($R37-SUM($T37:V37)),($R37-SUM($T37:V37)),IF($J37=0,$O37,$J37)*$I37)))</f>
        <v>8338340.5</v>
      </c>
      <c r="X37" s="1367">
        <f>IF($R37-SUM($T37:W37)=0,0,IF(OR($R37&lt;=0,$R37&lt;=SUM($T37:W37)),0,IF((IF($J37=0,$O37,$J37)*$I37)&gt;=($R37-SUM($T37:W37)),($R37-SUM($T37:W37)),IF($J37=0,$O37,$J37)*$I37)))</f>
        <v>8338340.5</v>
      </c>
      <c r="Y37" s="1367">
        <f>IF($R37-SUM($T37:X37)=0,0,IF(OR($R37&lt;=0,$R37&lt;=SUM($T37:X37)),0,IF((IF($J37=0,$O37,$J37)*$I37)&gt;=($R37-SUM($T37:X37)),($R37-SUM($T37:X37)),IF($J37=0,$O37,$J37)*$I37)))</f>
        <v>8338340.5</v>
      </c>
      <c r="Z37" s="1367">
        <f>IF($R37-SUM($T37:Y37)=0,0,IF(OR($R37&lt;=0,$R37&lt;=SUM($T37:Y37)),0,IF((IF($J37=0,$O37,$J37)*$I37)&gt;=($R37-SUM($T37:Y37)),($R37-SUM($T37:Y37)),IF($J37=0,$O37,$J37)*$I37)))</f>
        <v>8338340.5</v>
      </c>
      <c r="AA37" s="1367">
        <f>IF($R37-SUM($T37:Z37)=0,0,IF(OR($R37&lt;=0,$R37&lt;=SUM($T37:Z37)),0,IF((IF($J37=0,$O37,$J37)*$I37)&gt;=($R37-SUM($T37:Z37)),($R37-SUM($T37:Z37)),IF($J37=0,$O37,$J37)*$I37)))</f>
        <v>8338340.5</v>
      </c>
      <c r="AB37" s="1367">
        <f>IF($R37-SUM($T37:AA37)=0,0,IF(OR($R37&lt;=0,$R37&lt;=SUM($T37:AA37)),0,IF((IF($J37=0,$O37,$J37)*$I37)&gt;=($R37-SUM($T37:AA37)),($R37-SUM($T37:AA37)),IF($J37=0,$O37,$J37)*$I37)))</f>
        <v>8338340.5</v>
      </c>
      <c r="AC37" s="1367">
        <f>IF($R37-SUM($T37:AB37)=0,0,IF(OR($R37&lt;=0,$R37&lt;=SUM($T37:AB37)),0,IF((IF($J37=0,$O37,$J37)*$I37)&gt;=($R37-SUM($T37:AB37)),($R37-SUM($T37:AB37)),IF($J37=0,$O37,$J37)*$I37)))</f>
        <v>8338340.5</v>
      </c>
      <c r="AD37" s="1367">
        <f>IF($R37-SUM($T37:AC37)=0,0,IF(OR($R37&lt;=0,$R37&lt;=SUM($T37:AC37)),0,IF((IF($J37=0,$O37,$J37)*$I37)&gt;=($R37-SUM($T37:AC37)),($R37-SUM($T37:AC37)),IF($J37=0,$O37,$J37)*$I37)))</f>
        <v>8338340.5</v>
      </c>
      <c r="AF37" s="1319" t="str">
        <f t="shared" si="17"/>
        <v>Check</v>
      </c>
      <c r="AG37" s="1319" t="str">
        <f t="shared" si="18"/>
        <v>Checked</v>
      </c>
      <c r="AH37" s="1318" t="b">
        <f t="shared" si="19"/>
        <v>1</v>
      </c>
    </row>
    <row r="38" spans="1:34" outlineLevel="1" x14ac:dyDescent="0.3">
      <c r="B38" s="1356" t="s">
        <v>2650</v>
      </c>
      <c r="C38" s="1356" t="s">
        <v>1969</v>
      </c>
      <c r="D38" s="1322" t="s">
        <v>2651</v>
      </c>
      <c r="E38" s="1357">
        <v>40</v>
      </c>
      <c r="F38" s="1333">
        <f t="shared" si="10"/>
        <v>34</v>
      </c>
      <c r="G38" s="1358">
        <f t="shared" si="11"/>
        <v>0</v>
      </c>
      <c r="H38" s="1359">
        <f t="shared" si="12"/>
        <v>0</v>
      </c>
      <c r="I38" s="1360">
        <f t="shared" si="13"/>
        <v>2.5000000000000001E-2</v>
      </c>
      <c r="J38" s="1361">
        <v>418400000</v>
      </c>
      <c r="K38" s="1362">
        <v>54043333</v>
      </c>
      <c r="L38" s="1356">
        <v>0</v>
      </c>
      <c r="M38" s="1356">
        <v>0</v>
      </c>
      <c r="N38" s="1361">
        <f t="shared" si="14"/>
        <v>364356667</v>
      </c>
      <c r="O38" s="1363"/>
      <c r="P38" s="1356">
        <v>0</v>
      </c>
      <c r="Q38" s="1364">
        <v>10460000</v>
      </c>
      <c r="R38" s="1365">
        <f t="shared" si="15"/>
        <v>353896667</v>
      </c>
      <c r="S38" s="1364"/>
      <c r="T38" s="1366">
        <f t="shared" si="16"/>
        <v>0</v>
      </c>
      <c r="U38" s="1367">
        <f>IF($R38-SUM($T38:T38)=0,0,IF(OR($R38&lt;=0,$R38&lt;=SUM($T38:T38)),0,IF((IF($J38=0,$O38,$J38)*$I38)&gt;=($R38-SUM($T38:T38)),($R38-SUM($T38:T38)),IF($J38=0,$O38,$J38)*$I38)))</f>
        <v>10460000</v>
      </c>
      <c r="V38" s="1367">
        <f>IF($R38-SUM($T38:U38)=0,0,IF(OR($R38&lt;=0,$R38&lt;=SUM($T38:U38)),0,IF((IF($J38=0,$O38,$J38)*$I38)&gt;=($R38-SUM($T38:U38)),($R38-SUM($T38:U38)),IF($J38=0,$O38,$J38)*$I38)))</f>
        <v>10460000</v>
      </c>
      <c r="W38" s="1367">
        <f>IF($R38-SUM($T38:V38)=0,0,IF(OR($R38&lt;=0,$R38&lt;=SUM($T38:V38)),0,IF((IF($J38=0,$O38,$J38)*$I38)&gt;=($R38-SUM($T38:V38)),($R38-SUM($T38:V38)),IF($J38=0,$O38,$J38)*$I38)))</f>
        <v>10460000</v>
      </c>
      <c r="X38" s="1367">
        <f>IF($R38-SUM($T38:W38)=0,0,IF(OR($R38&lt;=0,$R38&lt;=SUM($T38:W38)),0,IF((IF($J38=0,$O38,$J38)*$I38)&gt;=($R38-SUM($T38:W38)),($R38-SUM($T38:W38)),IF($J38=0,$O38,$J38)*$I38)))</f>
        <v>10460000</v>
      </c>
      <c r="Y38" s="1367">
        <f>IF($R38-SUM($T38:X38)=0,0,IF(OR($R38&lt;=0,$R38&lt;=SUM($T38:X38)),0,IF((IF($J38=0,$O38,$J38)*$I38)&gt;=($R38-SUM($T38:X38)),($R38-SUM($T38:X38)),IF($J38=0,$O38,$J38)*$I38)))</f>
        <v>10460000</v>
      </c>
      <c r="Z38" s="1367">
        <f>IF($R38-SUM($T38:Y38)=0,0,IF(OR($R38&lt;=0,$R38&lt;=SUM($T38:Y38)),0,IF((IF($J38=0,$O38,$J38)*$I38)&gt;=($R38-SUM($T38:Y38)),($R38-SUM($T38:Y38)),IF($J38=0,$O38,$J38)*$I38)))</f>
        <v>10460000</v>
      </c>
      <c r="AA38" s="1367">
        <f>IF($R38-SUM($T38:Z38)=0,0,IF(OR($R38&lt;=0,$R38&lt;=SUM($T38:Z38)),0,IF((IF($J38=0,$O38,$J38)*$I38)&gt;=($R38-SUM($T38:Z38)),($R38-SUM($T38:Z38)),IF($J38=0,$O38,$J38)*$I38)))</f>
        <v>10460000</v>
      </c>
      <c r="AB38" s="1367">
        <f>IF($R38-SUM($T38:AA38)=0,0,IF(OR($R38&lt;=0,$R38&lt;=SUM($T38:AA38)),0,IF((IF($J38=0,$O38,$J38)*$I38)&gt;=($R38-SUM($T38:AA38)),($R38-SUM($T38:AA38)),IF($J38=0,$O38,$J38)*$I38)))</f>
        <v>10460000</v>
      </c>
      <c r="AC38" s="1367">
        <f>IF($R38-SUM($T38:AB38)=0,0,IF(OR($R38&lt;=0,$R38&lt;=SUM($T38:AB38)),0,IF((IF($J38=0,$O38,$J38)*$I38)&gt;=($R38-SUM($T38:AB38)),($R38-SUM($T38:AB38)),IF($J38=0,$O38,$J38)*$I38)))</f>
        <v>10460000</v>
      </c>
      <c r="AD38" s="1367">
        <f>IF($R38-SUM($T38:AC38)=0,0,IF(OR($R38&lt;=0,$R38&lt;=SUM($T38:AC38)),0,IF((IF($J38=0,$O38,$J38)*$I38)&gt;=($R38-SUM($T38:AC38)),($R38-SUM($T38:AC38)),IF($J38=0,$O38,$J38)*$I38)))</f>
        <v>10460000</v>
      </c>
      <c r="AF38" s="1319" t="str">
        <f t="shared" si="17"/>
        <v>Check</v>
      </c>
      <c r="AG38" s="1319" t="str">
        <f t="shared" si="18"/>
        <v>Checked</v>
      </c>
      <c r="AH38" s="1318" t="b">
        <f t="shared" si="19"/>
        <v>1</v>
      </c>
    </row>
    <row r="39" spans="1:34" outlineLevel="1" x14ac:dyDescent="0.3">
      <c r="B39" s="1356" t="s">
        <v>2652</v>
      </c>
      <c r="C39" s="1356" t="s">
        <v>1969</v>
      </c>
      <c r="D39" s="1322" t="s">
        <v>2653</v>
      </c>
      <c r="E39" s="1357">
        <v>40</v>
      </c>
      <c r="F39" s="1333">
        <f t="shared" si="10"/>
        <v>35</v>
      </c>
      <c r="G39" s="1358">
        <f t="shared" si="11"/>
        <v>0</v>
      </c>
      <c r="H39" s="1359">
        <f t="shared" si="12"/>
        <v>0</v>
      </c>
      <c r="I39" s="1360">
        <f t="shared" si="13"/>
        <v>2.5000000000000001E-2</v>
      </c>
      <c r="J39" s="1361">
        <v>460555369</v>
      </c>
      <c r="K39" s="1362">
        <v>54690949</v>
      </c>
      <c r="L39" s="1356">
        <v>0</v>
      </c>
      <c r="M39" s="1356">
        <v>0</v>
      </c>
      <c r="N39" s="1361">
        <f t="shared" si="14"/>
        <v>405864420</v>
      </c>
      <c r="O39" s="1363"/>
      <c r="P39" s="1356">
        <v>0</v>
      </c>
      <c r="Q39" s="1364">
        <v>11513884</v>
      </c>
      <c r="R39" s="1365">
        <f t="shared" si="15"/>
        <v>394350536</v>
      </c>
      <c r="S39" s="1364"/>
      <c r="T39" s="1366">
        <f t="shared" si="16"/>
        <v>0</v>
      </c>
      <c r="U39" s="1367">
        <f>IF($R39-SUM($T39:T39)=0,0,IF(OR($R39&lt;=0,$R39&lt;=SUM($T39:T39)),0,IF((IF($J39=0,$O39,$J39)*$I39)&gt;=($R39-SUM($T39:T39)),($R39-SUM($T39:T39)),IF($J39=0,$O39,$J39)*$I39)))</f>
        <v>11513884.225000001</v>
      </c>
      <c r="V39" s="1367">
        <f>IF($R39-SUM($T39:U39)=0,0,IF(OR($R39&lt;=0,$R39&lt;=SUM($T39:U39)),0,IF((IF($J39=0,$O39,$J39)*$I39)&gt;=($R39-SUM($T39:U39)),($R39-SUM($T39:U39)),IF($J39=0,$O39,$J39)*$I39)))</f>
        <v>11513884.225000001</v>
      </c>
      <c r="W39" s="1367">
        <f>IF($R39-SUM($T39:V39)=0,0,IF(OR($R39&lt;=0,$R39&lt;=SUM($T39:V39)),0,IF((IF($J39=0,$O39,$J39)*$I39)&gt;=($R39-SUM($T39:V39)),($R39-SUM($T39:V39)),IF($J39=0,$O39,$J39)*$I39)))</f>
        <v>11513884.225000001</v>
      </c>
      <c r="X39" s="1367">
        <f>IF($R39-SUM($T39:W39)=0,0,IF(OR($R39&lt;=0,$R39&lt;=SUM($T39:W39)),0,IF((IF($J39=0,$O39,$J39)*$I39)&gt;=($R39-SUM($T39:W39)),($R39-SUM($T39:W39)),IF($J39=0,$O39,$J39)*$I39)))</f>
        <v>11513884.225000001</v>
      </c>
      <c r="Y39" s="1367">
        <f>IF($R39-SUM($T39:X39)=0,0,IF(OR($R39&lt;=0,$R39&lt;=SUM($T39:X39)),0,IF((IF($J39=0,$O39,$J39)*$I39)&gt;=($R39-SUM($T39:X39)),($R39-SUM($T39:X39)),IF($J39=0,$O39,$J39)*$I39)))</f>
        <v>11513884.225000001</v>
      </c>
      <c r="Z39" s="1367">
        <f>IF($R39-SUM($T39:Y39)=0,0,IF(OR($R39&lt;=0,$R39&lt;=SUM($T39:Y39)),0,IF((IF($J39=0,$O39,$J39)*$I39)&gt;=($R39-SUM($T39:Y39)),($R39-SUM($T39:Y39)),IF($J39=0,$O39,$J39)*$I39)))</f>
        <v>11513884.225000001</v>
      </c>
      <c r="AA39" s="1367">
        <f>IF($R39-SUM($T39:Z39)=0,0,IF(OR($R39&lt;=0,$R39&lt;=SUM($T39:Z39)),0,IF((IF($J39=0,$O39,$J39)*$I39)&gt;=($R39-SUM($T39:Z39)),($R39-SUM($T39:Z39)),IF($J39=0,$O39,$J39)*$I39)))</f>
        <v>11513884.225000001</v>
      </c>
      <c r="AB39" s="1367">
        <f>IF($R39-SUM($T39:AA39)=0,0,IF(OR($R39&lt;=0,$R39&lt;=SUM($T39:AA39)),0,IF((IF($J39=0,$O39,$J39)*$I39)&gt;=($R39-SUM($T39:AA39)),($R39-SUM($T39:AA39)),IF($J39=0,$O39,$J39)*$I39)))</f>
        <v>11513884.225000001</v>
      </c>
      <c r="AC39" s="1367">
        <f>IF($R39-SUM($T39:AB39)=0,0,IF(OR($R39&lt;=0,$R39&lt;=SUM($T39:AB39)),0,IF((IF($J39=0,$O39,$J39)*$I39)&gt;=($R39-SUM($T39:AB39)),($R39-SUM($T39:AB39)),IF($J39=0,$O39,$J39)*$I39)))</f>
        <v>11513884.225000001</v>
      </c>
      <c r="AD39" s="1367">
        <f>IF($R39-SUM($T39:AC39)=0,0,IF(OR($R39&lt;=0,$R39&lt;=SUM($T39:AC39)),0,IF((IF($J39=0,$O39,$J39)*$I39)&gt;=($R39-SUM($T39:AC39)),($R39-SUM($T39:AC39)),IF($J39=0,$O39,$J39)*$I39)))</f>
        <v>11513884.225000001</v>
      </c>
      <c r="AF39" s="1319" t="str">
        <f t="shared" si="17"/>
        <v>Check</v>
      </c>
      <c r="AG39" s="1319" t="str">
        <f t="shared" si="18"/>
        <v>Checked</v>
      </c>
      <c r="AH39" s="1318" t="b">
        <f t="shared" si="19"/>
        <v>1</v>
      </c>
    </row>
    <row r="40" spans="1:34" outlineLevel="1" x14ac:dyDescent="0.3">
      <c r="B40" s="1356" t="s">
        <v>2654</v>
      </c>
      <c r="C40" s="1356" t="s">
        <v>1969</v>
      </c>
      <c r="D40" s="1322" t="s">
        <v>2655</v>
      </c>
      <c r="E40" s="1357">
        <v>40</v>
      </c>
      <c r="F40" s="1333">
        <f t="shared" si="10"/>
        <v>36</v>
      </c>
      <c r="G40" s="1358">
        <f t="shared" si="11"/>
        <v>0</v>
      </c>
      <c r="H40" s="1359">
        <f t="shared" si="12"/>
        <v>0</v>
      </c>
      <c r="I40" s="1360">
        <f t="shared" si="13"/>
        <v>2.5000000000000001E-2</v>
      </c>
      <c r="J40" s="1361">
        <v>126038959</v>
      </c>
      <c r="K40" s="1362">
        <v>11290987</v>
      </c>
      <c r="L40" s="1356">
        <v>0</v>
      </c>
      <c r="M40" s="1356">
        <v>0</v>
      </c>
      <c r="N40" s="1361">
        <f t="shared" si="14"/>
        <v>114747972</v>
      </c>
      <c r="O40" s="1363"/>
      <c r="P40" s="1356">
        <v>0</v>
      </c>
      <c r="Q40" s="1364">
        <v>3150973</v>
      </c>
      <c r="R40" s="1365">
        <f t="shared" si="15"/>
        <v>111596999</v>
      </c>
      <c r="S40" s="1364"/>
      <c r="T40" s="1366">
        <f t="shared" si="16"/>
        <v>0</v>
      </c>
      <c r="U40" s="1367">
        <f>IF($R40-SUM($T40:T40)=0,0,IF(OR($R40&lt;=0,$R40&lt;=SUM($T40:T40)),0,IF((IF($J40=0,$O40,$J40)*$I40)&gt;=($R40-SUM($T40:T40)),($R40-SUM($T40:T40)),IF($J40=0,$O40,$J40)*$I40)))</f>
        <v>3150973.9750000001</v>
      </c>
      <c r="V40" s="1367">
        <f>IF($R40-SUM($T40:U40)=0,0,IF(OR($R40&lt;=0,$R40&lt;=SUM($T40:U40)),0,IF((IF($J40=0,$O40,$J40)*$I40)&gt;=($R40-SUM($T40:U40)),($R40-SUM($T40:U40)),IF($J40=0,$O40,$J40)*$I40)))</f>
        <v>3150973.9750000001</v>
      </c>
      <c r="W40" s="1367">
        <f>IF($R40-SUM($T40:V40)=0,0,IF(OR($R40&lt;=0,$R40&lt;=SUM($T40:V40)),0,IF((IF($J40=0,$O40,$J40)*$I40)&gt;=($R40-SUM($T40:V40)),($R40-SUM($T40:V40)),IF($J40=0,$O40,$J40)*$I40)))</f>
        <v>3150973.9750000001</v>
      </c>
      <c r="X40" s="1367">
        <f>IF($R40-SUM($T40:W40)=0,0,IF(OR($R40&lt;=0,$R40&lt;=SUM($T40:W40)),0,IF((IF($J40=0,$O40,$J40)*$I40)&gt;=($R40-SUM($T40:W40)),($R40-SUM($T40:W40)),IF($J40=0,$O40,$J40)*$I40)))</f>
        <v>3150973.9750000001</v>
      </c>
      <c r="Y40" s="1367">
        <f>IF($R40-SUM($T40:X40)=0,0,IF(OR($R40&lt;=0,$R40&lt;=SUM($T40:X40)),0,IF((IF($J40=0,$O40,$J40)*$I40)&gt;=($R40-SUM($T40:X40)),($R40-SUM($T40:X40)),IF($J40=0,$O40,$J40)*$I40)))</f>
        <v>3150973.9750000001</v>
      </c>
      <c r="Z40" s="1367">
        <f>IF($R40-SUM($T40:Y40)=0,0,IF(OR($R40&lt;=0,$R40&lt;=SUM($T40:Y40)),0,IF((IF($J40=0,$O40,$J40)*$I40)&gt;=($R40-SUM($T40:Y40)),($R40-SUM($T40:Y40)),IF($J40=0,$O40,$J40)*$I40)))</f>
        <v>3150973.9750000001</v>
      </c>
      <c r="AA40" s="1367">
        <f>IF($R40-SUM($T40:Z40)=0,0,IF(OR($R40&lt;=0,$R40&lt;=SUM($T40:Z40)),0,IF((IF($J40=0,$O40,$J40)*$I40)&gt;=($R40-SUM($T40:Z40)),($R40-SUM($T40:Z40)),IF($J40=0,$O40,$J40)*$I40)))</f>
        <v>3150973.9750000001</v>
      </c>
      <c r="AB40" s="1367">
        <f>IF($R40-SUM($T40:AA40)=0,0,IF(OR($R40&lt;=0,$R40&lt;=SUM($T40:AA40)),0,IF((IF($J40=0,$O40,$J40)*$I40)&gt;=($R40-SUM($T40:AA40)),($R40-SUM($T40:AA40)),IF($J40=0,$O40,$J40)*$I40)))</f>
        <v>3150973.9750000001</v>
      </c>
      <c r="AC40" s="1367">
        <f>IF($R40-SUM($T40:AB40)=0,0,IF(OR($R40&lt;=0,$R40&lt;=SUM($T40:AB40)),0,IF((IF($J40=0,$O40,$J40)*$I40)&gt;=($R40-SUM($T40:AB40)),($R40-SUM($T40:AB40)),IF($J40=0,$O40,$J40)*$I40)))</f>
        <v>3150973.9750000001</v>
      </c>
      <c r="AD40" s="1367">
        <f>IF($R40-SUM($T40:AC40)=0,0,IF(OR($R40&lt;=0,$R40&lt;=SUM($T40:AC40)),0,IF((IF($J40=0,$O40,$J40)*$I40)&gt;=($R40-SUM($T40:AC40)),($R40-SUM($T40:AC40)),IF($J40=0,$O40,$J40)*$I40)))</f>
        <v>3150973.9750000001</v>
      </c>
      <c r="AF40" s="1319" t="str">
        <f t="shared" si="17"/>
        <v>Check</v>
      </c>
      <c r="AG40" s="1319" t="str">
        <f t="shared" si="18"/>
        <v>Checked</v>
      </c>
      <c r="AH40" s="1318" t="b">
        <f t="shared" si="19"/>
        <v>1</v>
      </c>
    </row>
    <row r="41" spans="1:34" outlineLevel="1" x14ac:dyDescent="0.3">
      <c r="B41" s="1356" t="s">
        <v>2656</v>
      </c>
      <c r="C41" s="1356" t="s">
        <v>1969</v>
      </c>
      <c r="D41" s="1322" t="s">
        <v>2657</v>
      </c>
      <c r="E41" s="1357">
        <v>40</v>
      </c>
      <c r="F41" s="1333">
        <f t="shared" si="10"/>
        <v>36</v>
      </c>
      <c r="G41" s="1358">
        <f t="shared" si="11"/>
        <v>0</v>
      </c>
      <c r="H41" s="1359">
        <f t="shared" si="12"/>
        <v>0</v>
      </c>
      <c r="I41" s="1360">
        <f t="shared" si="13"/>
        <v>2.5000000000000001E-2</v>
      </c>
      <c r="J41" s="1361">
        <v>288697430</v>
      </c>
      <c r="K41" s="1362">
        <v>24659569</v>
      </c>
      <c r="L41" s="1356">
        <v>0</v>
      </c>
      <c r="M41" s="1356">
        <v>0</v>
      </c>
      <c r="N41" s="1361">
        <f t="shared" si="14"/>
        <v>264037861</v>
      </c>
      <c r="O41" s="1363"/>
      <c r="P41" s="1356">
        <v>0</v>
      </c>
      <c r="Q41" s="1364">
        <v>7217435</v>
      </c>
      <c r="R41" s="1365">
        <f t="shared" si="15"/>
        <v>256820426</v>
      </c>
      <c r="S41" s="1364"/>
      <c r="T41" s="1366">
        <f t="shared" si="16"/>
        <v>0</v>
      </c>
      <c r="U41" s="1367">
        <f>IF($R41-SUM($T41:T41)=0,0,IF(OR($R41&lt;=0,$R41&lt;=SUM($T41:T41)),0,IF((IF($J41=0,$O41,$J41)*$I41)&gt;=($R41-SUM($T41:T41)),($R41-SUM($T41:T41)),IF($J41=0,$O41,$J41)*$I41)))</f>
        <v>7217435.75</v>
      </c>
      <c r="V41" s="1367">
        <f>IF($R41-SUM($T41:U41)=0,0,IF(OR($R41&lt;=0,$R41&lt;=SUM($T41:U41)),0,IF((IF($J41=0,$O41,$J41)*$I41)&gt;=($R41-SUM($T41:U41)),($R41-SUM($T41:U41)),IF($J41=0,$O41,$J41)*$I41)))</f>
        <v>7217435.75</v>
      </c>
      <c r="W41" s="1367">
        <f>IF($R41-SUM($T41:V41)=0,0,IF(OR($R41&lt;=0,$R41&lt;=SUM($T41:V41)),0,IF((IF($J41=0,$O41,$J41)*$I41)&gt;=($R41-SUM($T41:V41)),($R41-SUM($T41:V41)),IF($J41=0,$O41,$J41)*$I41)))</f>
        <v>7217435.75</v>
      </c>
      <c r="X41" s="1367">
        <f>IF($R41-SUM($T41:W41)=0,0,IF(OR($R41&lt;=0,$R41&lt;=SUM($T41:W41)),0,IF((IF($J41=0,$O41,$J41)*$I41)&gt;=($R41-SUM($T41:W41)),($R41-SUM($T41:W41)),IF($J41=0,$O41,$J41)*$I41)))</f>
        <v>7217435.75</v>
      </c>
      <c r="Y41" s="1367">
        <f>IF($R41-SUM($T41:X41)=0,0,IF(OR($R41&lt;=0,$R41&lt;=SUM($T41:X41)),0,IF((IF($J41=0,$O41,$J41)*$I41)&gt;=($R41-SUM($T41:X41)),($R41-SUM($T41:X41)),IF($J41=0,$O41,$J41)*$I41)))</f>
        <v>7217435.75</v>
      </c>
      <c r="Z41" s="1367">
        <f>IF($R41-SUM($T41:Y41)=0,0,IF(OR($R41&lt;=0,$R41&lt;=SUM($T41:Y41)),0,IF((IF($J41=0,$O41,$J41)*$I41)&gt;=($R41-SUM($T41:Y41)),($R41-SUM($T41:Y41)),IF($J41=0,$O41,$J41)*$I41)))</f>
        <v>7217435.75</v>
      </c>
      <c r="AA41" s="1367">
        <f>IF($R41-SUM($T41:Z41)=0,0,IF(OR($R41&lt;=0,$R41&lt;=SUM($T41:Z41)),0,IF((IF($J41=0,$O41,$J41)*$I41)&gt;=($R41-SUM($T41:Z41)),($R41-SUM($T41:Z41)),IF($J41=0,$O41,$J41)*$I41)))</f>
        <v>7217435.75</v>
      </c>
      <c r="AB41" s="1367">
        <f>IF($R41-SUM($T41:AA41)=0,0,IF(OR($R41&lt;=0,$R41&lt;=SUM($T41:AA41)),0,IF((IF($J41=0,$O41,$J41)*$I41)&gt;=($R41-SUM($T41:AA41)),($R41-SUM($T41:AA41)),IF($J41=0,$O41,$J41)*$I41)))</f>
        <v>7217435.75</v>
      </c>
      <c r="AC41" s="1367">
        <f>IF($R41-SUM($T41:AB41)=0,0,IF(OR($R41&lt;=0,$R41&lt;=SUM($T41:AB41)),0,IF((IF($J41=0,$O41,$J41)*$I41)&gt;=($R41-SUM($T41:AB41)),($R41-SUM($T41:AB41)),IF($J41=0,$O41,$J41)*$I41)))</f>
        <v>7217435.75</v>
      </c>
      <c r="AD41" s="1367">
        <f>IF($R41-SUM($T41:AC41)=0,0,IF(OR($R41&lt;=0,$R41&lt;=SUM($T41:AC41)),0,IF((IF($J41=0,$O41,$J41)*$I41)&gt;=($R41-SUM($T41:AC41)),($R41-SUM($T41:AC41)),IF($J41=0,$O41,$J41)*$I41)))</f>
        <v>7217435.75</v>
      </c>
      <c r="AF41" s="1319" t="str">
        <f t="shared" si="17"/>
        <v>Check</v>
      </c>
      <c r="AG41" s="1319" t="str">
        <f t="shared" si="18"/>
        <v>Checked</v>
      </c>
      <c r="AH41" s="1318" t="b">
        <f t="shared" si="19"/>
        <v>1</v>
      </c>
    </row>
    <row r="42" spans="1:34" outlineLevel="1" x14ac:dyDescent="0.3">
      <c r="B42" s="1356" t="s">
        <v>2658</v>
      </c>
      <c r="C42" s="1356" t="s">
        <v>1969</v>
      </c>
      <c r="D42" s="1322" t="s">
        <v>2659</v>
      </c>
      <c r="E42" s="1357">
        <v>40</v>
      </c>
      <c r="F42" s="1333">
        <f t="shared" si="10"/>
        <v>37</v>
      </c>
      <c r="G42" s="1358">
        <f t="shared" si="11"/>
        <v>0</v>
      </c>
      <c r="H42" s="1359">
        <f t="shared" si="12"/>
        <v>0</v>
      </c>
      <c r="I42" s="1360">
        <f t="shared" si="13"/>
        <v>2.5000000000000001E-2</v>
      </c>
      <c r="J42" s="1361">
        <v>169974470</v>
      </c>
      <c r="K42" s="1362">
        <v>9915175</v>
      </c>
      <c r="L42" s="1356">
        <v>0</v>
      </c>
      <c r="M42" s="1356">
        <v>0</v>
      </c>
      <c r="N42" s="1361">
        <f t="shared" si="14"/>
        <v>160059295</v>
      </c>
      <c r="O42" s="1363"/>
      <c r="P42" s="1356">
        <v>0</v>
      </c>
      <c r="Q42" s="1364">
        <v>4249361</v>
      </c>
      <c r="R42" s="1365">
        <f t="shared" si="15"/>
        <v>155809934</v>
      </c>
      <c r="S42" s="1364"/>
      <c r="T42" s="1366">
        <f t="shared" si="16"/>
        <v>0</v>
      </c>
      <c r="U42" s="1367">
        <f>IF($R42-SUM($T42:T42)=0,0,IF(OR($R42&lt;=0,$R42&lt;=SUM($T42:T42)),0,IF((IF($J42=0,$O42,$J42)*$I42)&gt;=($R42-SUM($T42:T42)),($R42-SUM($T42:T42)),IF($J42=0,$O42,$J42)*$I42)))</f>
        <v>4249361.75</v>
      </c>
      <c r="V42" s="1367">
        <f>IF($R42-SUM($T42:U42)=0,0,IF(OR($R42&lt;=0,$R42&lt;=SUM($T42:U42)),0,IF((IF($J42=0,$O42,$J42)*$I42)&gt;=($R42-SUM($T42:U42)),($R42-SUM($T42:U42)),IF($J42=0,$O42,$J42)*$I42)))</f>
        <v>4249361.75</v>
      </c>
      <c r="W42" s="1367">
        <f>IF($R42-SUM($T42:V42)=0,0,IF(OR($R42&lt;=0,$R42&lt;=SUM($T42:V42)),0,IF((IF($J42=0,$O42,$J42)*$I42)&gt;=($R42-SUM($T42:V42)),($R42-SUM($T42:V42)),IF($J42=0,$O42,$J42)*$I42)))</f>
        <v>4249361.75</v>
      </c>
      <c r="X42" s="1367">
        <f>IF($R42-SUM($T42:W42)=0,0,IF(OR($R42&lt;=0,$R42&lt;=SUM($T42:W42)),0,IF((IF($J42=0,$O42,$J42)*$I42)&gt;=($R42-SUM($T42:W42)),($R42-SUM($T42:W42)),IF($J42=0,$O42,$J42)*$I42)))</f>
        <v>4249361.75</v>
      </c>
      <c r="Y42" s="1367">
        <f>IF($R42-SUM($T42:X42)=0,0,IF(OR($R42&lt;=0,$R42&lt;=SUM($T42:X42)),0,IF((IF($J42=0,$O42,$J42)*$I42)&gt;=($R42-SUM($T42:X42)),($R42-SUM($T42:X42)),IF($J42=0,$O42,$J42)*$I42)))</f>
        <v>4249361.75</v>
      </c>
      <c r="Z42" s="1367">
        <f>IF($R42-SUM($T42:Y42)=0,0,IF(OR($R42&lt;=0,$R42&lt;=SUM($T42:Y42)),0,IF((IF($J42=0,$O42,$J42)*$I42)&gt;=($R42-SUM($T42:Y42)),($R42-SUM($T42:Y42)),IF($J42=0,$O42,$J42)*$I42)))</f>
        <v>4249361.75</v>
      </c>
      <c r="AA42" s="1367">
        <f>IF($R42-SUM($T42:Z42)=0,0,IF(OR($R42&lt;=0,$R42&lt;=SUM($T42:Z42)),0,IF((IF($J42=0,$O42,$J42)*$I42)&gt;=($R42-SUM($T42:Z42)),($R42-SUM($T42:Z42)),IF($J42=0,$O42,$J42)*$I42)))</f>
        <v>4249361.75</v>
      </c>
      <c r="AB42" s="1367">
        <f>IF($R42-SUM($T42:AA42)=0,0,IF(OR($R42&lt;=0,$R42&lt;=SUM($T42:AA42)),0,IF((IF($J42=0,$O42,$J42)*$I42)&gt;=($R42-SUM($T42:AA42)),($R42-SUM($T42:AA42)),IF($J42=0,$O42,$J42)*$I42)))</f>
        <v>4249361.75</v>
      </c>
      <c r="AC42" s="1367">
        <f>IF($R42-SUM($T42:AB42)=0,0,IF(OR($R42&lt;=0,$R42&lt;=SUM($T42:AB42)),0,IF((IF($J42=0,$O42,$J42)*$I42)&gt;=($R42-SUM($T42:AB42)),($R42-SUM($T42:AB42)),IF($J42=0,$O42,$J42)*$I42)))</f>
        <v>4249361.75</v>
      </c>
      <c r="AD42" s="1367">
        <f>IF($R42-SUM($T42:AC42)=0,0,IF(OR($R42&lt;=0,$R42&lt;=SUM($T42:AC42)),0,IF((IF($J42=0,$O42,$J42)*$I42)&gt;=($R42-SUM($T42:AC42)),($R42-SUM($T42:AC42)),IF($J42=0,$O42,$J42)*$I42)))</f>
        <v>4249361.75</v>
      </c>
      <c r="AF42" s="1319" t="str">
        <f t="shared" si="17"/>
        <v>Check</v>
      </c>
      <c r="AG42" s="1319" t="str">
        <f t="shared" si="18"/>
        <v>Checked</v>
      </c>
      <c r="AH42" s="1318" t="b">
        <f t="shared" si="19"/>
        <v>1</v>
      </c>
    </row>
    <row r="43" spans="1:34" outlineLevel="1" x14ac:dyDescent="0.3">
      <c r="B43" s="1356" t="s">
        <v>2660</v>
      </c>
      <c r="C43" s="1356" t="s">
        <v>1969</v>
      </c>
      <c r="D43" s="1322" t="s">
        <v>2661</v>
      </c>
      <c r="E43" s="1357">
        <v>40</v>
      </c>
      <c r="F43" s="1333">
        <f t="shared" si="10"/>
        <v>38</v>
      </c>
      <c r="G43" s="1358">
        <f t="shared" si="11"/>
        <v>0</v>
      </c>
      <c r="H43" s="1359">
        <f t="shared" si="12"/>
        <v>0</v>
      </c>
      <c r="I43" s="1360">
        <f t="shared" si="13"/>
        <v>2.5000000000000001E-2</v>
      </c>
      <c r="J43" s="1361">
        <v>309405500</v>
      </c>
      <c r="K43" s="1362">
        <v>10313516</v>
      </c>
      <c r="L43" s="1356">
        <v>0</v>
      </c>
      <c r="M43" s="1356">
        <v>0</v>
      </c>
      <c r="N43" s="1361">
        <f t="shared" si="14"/>
        <v>299091984</v>
      </c>
      <c r="O43" s="1363"/>
      <c r="P43" s="1356">
        <v>0</v>
      </c>
      <c r="Q43" s="1364">
        <v>7735137</v>
      </c>
      <c r="R43" s="1365">
        <f t="shared" si="15"/>
        <v>291356847</v>
      </c>
      <c r="S43" s="1364"/>
      <c r="T43" s="1366">
        <f t="shared" si="16"/>
        <v>0</v>
      </c>
      <c r="U43" s="1367">
        <f>IF($R43-SUM($T43:T43)=0,0,IF(OR($R43&lt;=0,$R43&lt;=SUM($T43:T43)),0,IF((IF($J43=0,$O43,$J43)*$I43)&gt;=($R43-SUM($T43:T43)),($R43-SUM($T43:T43)),IF($J43=0,$O43,$J43)*$I43)))</f>
        <v>7735137.5</v>
      </c>
      <c r="V43" s="1367">
        <f>IF($R43-SUM($T43:U43)=0,0,IF(OR($R43&lt;=0,$R43&lt;=SUM($T43:U43)),0,IF((IF($J43=0,$O43,$J43)*$I43)&gt;=($R43-SUM($T43:U43)),($R43-SUM($T43:U43)),IF($J43=0,$O43,$J43)*$I43)))</f>
        <v>7735137.5</v>
      </c>
      <c r="W43" s="1367">
        <f>IF($R43-SUM($T43:V43)=0,0,IF(OR($R43&lt;=0,$R43&lt;=SUM($T43:V43)),0,IF((IF($J43=0,$O43,$J43)*$I43)&gt;=($R43-SUM($T43:V43)),($R43-SUM($T43:V43)),IF($J43=0,$O43,$J43)*$I43)))</f>
        <v>7735137.5</v>
      </c>
      <c r="X43" s="1367">
        <f>IF($R43-SUM($T43:W43)=0,0,IF(OR($R43&lt;=0,$R43&lt;=SUM($T43:W43)),0,IF((IF($J43=0,$O43,$J43)*$I43)&gt;=($R43-SUM($T43:W43)),($R43-SUM($T43:W43)),IF($J43=0,$O43,$J43)*$I43)))</f>
        <v>7735137.5</v>
      </c>
      <c r="Y43" s="1367">
        <f>IF($R43-SUM($T43:X43)=0,0,IF(OR($R43&lt;=0,$R43&lt;=SUM($T43:X43)),0,IF((IF($J43=0,$O43,$J43)*$I43)&gt;=($R43-SUM($T43:X43)),($R43-SUM($T43:X43)),IF($J43=0,$O43,$J43)*$I43)))</f>
        <v>7735137.5</v>
      </c>
      <c r="Z43" s="1367">
        <f>IF($R43-SUM($T43:Y43)=0,0,IF(OR($R43&lt;=0,$R43&lt;=SUM($T43:Y43)),0,IF((IF($J43=0,$O43,$J43)*$I43)&gt;=($R43-SUM($T43:Y43)),($R43-SUM($T43:Y43)),IF($J43=0,$O43,$J43)*$I43)))</f>
        <v>7735137.5</v>
      </c>
      <c r="AA43" s="1367">
        <f>IF($R43-SUM($T43:Z43)=0,0,IF(OR($R43&lt;=0,$R43&lt;=SUM($T43:Z43)),0,IF((IF($J43=0,$O43,$J43)*$I43)&gt;=($R43-SUM($T43:Z43)),($R43-SUM($T43:Z43)),IF($J43=0,$O43,$J43)*$I43)))</f>
        <v>7735137.5</v>
      </c>
      <c r="AB43" s="1367">
        <f>IF($R43-SUM($T43:AA43)=0,0,IF(OR($R43&lt;=0,$R43&lt;=SUM($T43:AA43)),0,IF((IF($J43=0,$O43,$J43)*$I43)&gt;=($R43-SUM($T43:AA43)),($R43-SUM($T43:AA43)),IF($J43=0,$O43,$J43)*$I43)))</f>
        <v>7735137.5</v>
      </c>
      <c r="AC43" s="1367">
        <f>IF($R43-SUM($T43:AB43)=0,0,IF(OR($R43&lt;=0,$R43&lt;=SUM($T43:AB43)),0,IF((IF($J43=0,$O43,$J43)*$I43)&gt;=($R43-SUM($T43:AB43)),($R43-SUM($T43:AB43)),IF($J43=0,$O43,$J43)*$I43)))</f>
        <v>7735137.5</v>
      </c>
      <c r="AD43" s="1367">
        <f>IF($R43-SUM($T43:AC43)=0,0,IF(OR($R43&lt;=0,$R43&lt;=SUM($T43:AC43)),0,IF((IF($J43=0,$O43,$J43)*$I43)&gt;=($R43-SUM($T43:AC43)),($R43-SUM($T43:AC43)),IF($J43=0,$O43,$J43)*$I43)))</f>
        <v>7735137.5</v>
      </c>
      <c r="AF43" s="1319" t="str">
        <f t="shared" si="17"/>
        <v>Check</v>
      </c>
      <c r="AG43" s="1319" t="str">
        <f t="shared" si="18"/>
        <v>Checked</v>
      </c>
      <c r="AH43" s="1318" t="b">
        <f t="shared" si="19"/>
        <v>1</v>
      </c>
    </row>
    <row r="44" spans="1:34" outlineLevel="1" x14ac:dyDescent="0.3">
      <c r="B44" s="1356" t="s">
        <v>2662</v>
      </c>
      <c r="C44" s="1356" t="s">
        <v>1969</v>
      </c>
      <c r="D44" s="1322" t="s">
        <v>2663</v>
      </c>
      <c r="E44" s="1357">
        <v>40</v>
      </c>
      <c r="F44" s="1333">
        <f t="shared" si="10"/>
        <v>39</v>
      </c>
      <c r="G44" s="1358">
        <f t="shared" si="11"/>
        <v>0</v>
      </c>
      <c r="H44" s="1359">
        <f t="shared" si="12"/>
        <v>0</v>
      </c>
      <c r="I44" s="1360">
        <f t="shared" si="13"/>
        <v>2.5000000000000001E-2</v>
      </c>
      <c r="J44" s="1361">
        <v>511302820</v>
      </c>
      <c r="K44" s="1362">
        <v>3195642</v>
      </c>
      <c r="L44" s="1356">
        <v>0</v>
      </c>
      <c r="M44" s="1356">
        <v>0</v>
      </c>
      <c r="N44" s="1361">
        <f t="shared" si="14"/>
        <v>508107178</v>
      </c>
      <c r="O44" s="1363"/>
      <c r="P44" s="1356">
        <v>0</v>
      </c>
      <c r="Q44" s="1364">
        <v>12782570</v>
      </c>
      <c r="R44" s="1365">
        <f t="shared" si="15"/>
        <v>495324608</v>
      </c>
      <c r="S44" s="1364"/>
      <c r="T44" s="1366">
        <f t="shared" si="16"/>
        <v>0</v>
      </c>
      <c r="U44" s="1367">
        <f>IF($R44-SUM($T44:T44)=0,0,IF(OR($R44&lt;=0,$R44&lt;=SUM($T44:T44)),0,IF((IF($J44=0,$O44,$J44)*$I44)&gt;=($R44-SUM($T44:T44)),($R44-SUM($T44:T44)),IF($J44=0,$O44,$J44)*$I44)))</f>
        <v>12782570.5</v>
      </c>
      <c r="V44" s="1367">
        <f>IF($R44-SUM($T44:U44)=0,0,IF(OR($R44&lt;=0,$R44&lt;=SUM($T44:U44)),0,IF((IF($J44=0,$O44,$J44)*$I44)&gt;=($R44-SUM($T44:U44)),($R44-SUM($T44:U44)),IF($J44=0,$O44,$J44)*$I44)))</f>
        <v>12782570.5</v>
      </c>
      <c r="W44" s="1367">
        <f>IF($R44-SUM($T44:V44)=0,0,IF(OR($R44&lt;=0,$R44&lt;=SUM($T44:V44)),0,IF((IF($J44=0,$O44,$J44)*$I44)&gt;=($R44-SUM($T44:V44)),($R44-SUM($T44:V44)),IF($J44=0,$O44,$J44)*$I44)))</f>
        <v>12782570.5</v>
      </c>
      <c r="X44" s="1367">
        <f>IF($R44-SUM($T44:W44)=0,0,IF(OR($R44&lt;=0,$R44&lt;=SUM($T44:W44)),0,IF((IF($J44=0,$O44,$J44)*$I44)&gt;=($R44-SUM($T44:W44)),($R44-SUM($T44:W44)),IF($J44=0,$O44,$J44)*$I44)))</f>
        <v>12782570.5</v>
      </c>
      <c r="Y44" s="1367">
        <f>IF($R44-SUM($T44:X44)=0,0,IF(OR($R44&lt;=0,$R44&lt;=SUM($T44:X44)),0,IF((IF($J44=0,$O44,$J44)*$I44)&gt;=($R44-SUM($T44:X44)),($R44-SUM($T44:X44)),IF($J44=0,$O44,$J44)*$I44)))</f>
        <v>12782570.5</v>
      </c>
      <c r="Z44" s="1367">
        <f>IF($R44-SUM($T44:Y44)=0,0,IF(OR($R44&lt;=0,$R44&lt;=SUM($T44:Y44)),0,IF((IF($J44=0,$O44,$J44)*$I44)&gt;=($R44-SUM($T44:Y44)),($R44-SUM($T44:Y44)),IF($J44=0,$O44,$J44)*$I44)))</f>
        <v>12782570.5</v>
      </c>
      <c r="AA44" s="1367">
        <f>IF($R44-SUM($T44:Z44)=0,0,IF(OR($R44&lt;=0,$R44&lt;=SUM($T44:Z44)),0,IF((IF($J44=0,$O44,$J44)*$I44)&gt;=($R44-SUM($T44:Z44)),($R44-SUM($T44:Z44)),IF($J44=0,$O44,$J44)*$I44)))</f>
        <v>12782570.5</v>
      </c>
      <c r="AB44" s="1367">
        <f>IF($R44-SUM($T44:AA44)=0,0,IF(OR($R44&lt;=0,$R44&lt;=SUM($T44:AA44)),0,IF((IF($J44=0,$O44,$J44)*$I44)&gt;=($R44-SUM($T44:AA44)),($R44-SUM($T44:AA44)),IF($J44=0,$O44,$J44)*$I44)))</f>
        <v>12782570.5</v>
      </c>
      <c r="AC44" s="1367">
        <f>IF($R44-SUM($T44:AB44)=0,0,IF(OR($R44&lt;=0,$R44&lt;=SUM($T44:AB44)),0,IF((IF($J44=0,$O44,$J44)*$I44)&gt;=($R44-SUM($T44:AB44)),($R44-SUM($T44:AB44)),IF($J44=0,$O44,$J44)*$I44)))</f>
        <v>12782570.5</v>
      </c>
      <c r="AD44" s="1367">
        <f>IF($R44-SUM($T44:AC44)=0,0,IF(OR($R44&lt;=0,$R44&lt;=SUM($T44:AC44)),0,IF((IF($J44=0,$O44,$J44)*$I44)&gt;=($R44-SUM($T44:AC44)),($R44-SUM($T44:AC44)),IF($J44=0,$O44,$J44)*$I44)))</f>
        <v>12782570.5</v>
      </c>
      <c r="AF44" s="1319" t="str">
        <f t="shared" si="17"/>
        <v>Check</v>
      </c>
      <c r="AG44" s="1319" t="str">
        <f t="shared" si="18"/>
        <v>Checked</v>
      </c>
      <c r="AH44" s="1318" t="b">
        <f t="shared" si="19"/>
        <v>1</v>
      </c>
    </row>
    <row r="45" spans="1:34" outlineLevel="1" x14ac:dyDescent="0.3">
      <c r="B45" s="1356" t="s">
        <v>2664</v>
      </c>
      <c r="C45" s="1356" t="s">
        <v>1969</v>
      </c>
      <c r="D45" s="1322" t="s">
        <v>2663</v>
      </c>
      <c r="E45" s="1357">
        <v>40</v>
      </c>
      <c r="F45" s="1333">
        <f t="shared" si="10"/>
        <v>39</v>
      </c>
      <c r="G45" s="1358">
        <f t="shared" si="11"/>
        <v>0</v>
      </c>
      <c r="H45" s="1359">
        <f t="shared" si="12"/>
        <v>0</v>
      </c>
      <c r="I45" s="1360">
        <f t="shared" si="13"/>
        <v>2.5000000000000001E-2</v>
      </c>
      <c r="J45" s="1361">
        <v>511302820</v>
      </c>
      <c r="K45" s="1362">
        <v>3195642</v>
      </c>
      <c r="L45" s="1356">
        <v>0</v>
      </c>
      <c r="M45" s="1356">
        <v>0</v>
      </c>
      <c r="N45" s="1361">
        <f t="shared" si="14"/>
        <v>508107178</v>
      </c>
      <c r="O45" s="1363"/>
      <c r="P45" s="1356">
        <v>0</v>
      </c>
      <c r="Q45" s="1364">
        <v>12782570</v>
      </c>
      <c r="R45" s="1365">
        <f t="shared" si="15"/>
        <v>495324608</v>
      </c>
      <c r="S45" s="1364"/>
      <c r="T45" s="1366">
        <f t="shared" si="16"/>
        <v>0</v>
      </c>
      <c r="U45" s="1367">
        <f>IF($R45-SUM($T45:T45)=0,0,IF(OR($R45&lt;=0,$R45&lt;=SUM($T45:T45)),0,IF((IF($J45=0,$O45,$J45)*$I45)&gt;=($R45-SUM($T45:T45)),($R45-SUM($T45:T45)),IF($J45=0,$O45,$J45)*$I45)))</f>
        <v>12782570.5</v>
      </c>
      <c r="V45" s="1367">
        <f>IF($R45-SUM($T45:U45)=0,0,IF(OR($R45&lt;=0,$R45&lt;=SUM($T45:U45)),0,IF((IF($J45=0,$O45,$J45)*$I45)&gt;=($R45-SUM($T45:U45)),($R45-SUM($T45:U45)),IF($J45=0,$O45,$J45)*$I45)))</f>
        <v>12782570.5</v>
      </c>
      <c r="W45" s="1367">
        <f>IF($R45-SUM($T45:V45)=0,0,IF(OR($R45&lt;=0,$R45&lt;=SUM($T45:V45)),0,IF((IF($J45=0,$O45,$J45)*$I45)&gt;=($R45-SUM($T45:V45)),($R45-SUM($T45:V45)),IF($J45=0,$O45,$J45)*$I45)))</f>
        <v>12782570.5</v>
      </c>
      <c r="X45" s="1367">
        <f>IF($R45-SUM($T45:W45)=0,0,IF(OR($R45&lt;=0,$R45&lt;=SUM($T45:W45)),0,IF((IF($J45=0,$O45,$J45)*$I45)&gt;=($R45-SUM($T45:W45)),($R45-SUM($T45:W45)),IF($J45=0,$O45,$J45)*$I45)))</f>
        <v>12782570.5</v>
      </c>
      <c r="Y45" s="1367">
        <f>IF($R45-SUM($T45:X45)=0,0,IF(OR($R45&lt;=0,$R45&lt;=SUM($T45:X45)),0,IF((IF($J45=0,$O45,$J45)*$I45)&gt;=($R45-SUM($T45:X45)),($R45-SUM($T45:X45)),IF($J45=0,$O45,$J45)*$I45)))</f>
        <v>12782570.5</v>
      </c>
      <c r="Z45" s="1367">
        <f>IF($R45-SUM($T45:Y45)=0,0,IF(OR($R45&lt;=0,$R45&lt;=SUM($T45:Y45)),0,IF((IF($J45=0,$O45,$J45)*$I45)&gt;=($R45-SUM($T45:Y45)),($R45-SUM($T45:Y45)),IF($J45=0,$O45,$J45)*$I45)))</f>
        <v>12782570.5</v>
      </c>
      <c r="AA45" s="1367">
        <f>IF($R45-SUM($T45:Z45)=0,0,IF(OR($R45&lt;=0,$R45&lt;=SUM($T45:Z45)),0,IF((IF($J45=0,$O45,$J45)*$I45)&gt;=($R45-SUM($T45:Z45)),($R45-SUM($T45:Z45)),IF($J45=0,$O45,$J45)*$I45)))</f>
        <v>12782570.5</v>
      </c>
      <c r="AB45" s="1367">
        <f>IF($R45-SUM($T45:AA45)=0,0,IF(OR($R45&lt;=0,$R45&lt;=SUM($T45:AA45)),0,IF((IF($J45=0,$O45,$J45)*$I45)&gt;=($R45-SUM($T45:AA45)),($R45-SUM($T45:AA45)),IF($J45=0,$O45,$J45)*$I45)))</f>
        <v>12782570.5</v>
      </c>
      <c r="AC45" s="1367">
        <f>IF($R45-SUM($T45:AB45)=0,0,IF(OR($R45&lt;=0,$R45&lt;=SUM($T45:AB45)),0,IF((IF($J45=0,$O45,$J45)*$I45)&gt;=($R45-SUM($T45:AB45)),($R45-SUM($T45:AB45)),IF($J45=0,$O45,$J45)*$I45)))</f>
        <v>12782570.5</v>
      </c>
      <c r="AD45" s="1367">
        <f>IF($R45-SUM($T45:AC45)=0,0,IF(OR($R45&lt;=0,$R45&lt;=SUM($T45:AC45)),0,IF((IF($J45=0,$O45,$J45)*$I45)&gt;=($R45-SUM($T45:AC45)),($R45-SUM($T45:AC45)),IF($J45=0,$O45,$J45)*$I45)))</f>
        <v>12782570.5</v>
      </c>
      <c r="AF45" s="1319" t="str">
        <f t="shared" si="17"/>
        <v>Check</v>
      </c>
      <c r="AG45" s="1319" t="str">
        <f t="shared" si="18"/>
        <v>Checked</v>
      </c>
      <c r="AH45" s="1318" t="b">
        <f t="shared" si="19"/>
        <v>1</v>
      </c>
    </row>
    <row r="46" spans="1:34" outlineLevel="1" x14ac:dyDescent="0.3">
      <c r="B46" s="1356" t="s">
        <v>2665</v>
      </c>
      <c r="C46" s="1356" t="s">
        <v>1969</v>
      </c>
      <c r="D46" s="1322" t="s">
        <v>2666</v>
      </c>
      <c r="E46" s="1357">
        <v>40</v>
      </c>
      <c r="F46" s="1333">
        <f t="shared" si="10"/>
        <v>39</v>
      </c>
      <c r="G46" s="1358">
        <f t="shared" si="11"/>
        <v>0</v>
      </c>
      <c r="H46" s="1359">
        <f t="shared" si="12"/>
        <v>0</v>
      </c>
      <c r="I46" s="1360">
        <f t="shared" si="13"/>
        <v>2.5000000000000001E-2</v>
      </c>
      <c r="J46" s="1361">
        <v>302619320</v>
      </c>
      <c r="K46" s="1362">
        <v>1260913</v>
      </c>
      <c r="L46" s="1356">
        <v>0</v>
      </c>
      <c r="M46" s="1356">
        <v>0</v>
      </c>
      <c r="N46" s="1361">
        <f t="shared" si="14"/>
        <v>301358407</v>
      </c>
      <c r="O46" s="1363"/>
      <c r="P46" s="1356">
        <v>0</v>
      </c>
      <c r="Q46" s="1364">
        <v>7565483</v>
      </c>
      <c r="R46" s="1365">
        <f t="shared" si="15"/>
        <v>293792924</v>
      </c>
      <c r="S46" s="1364"/>
      <c r="T46" s="1366">
        <f t="shared" si="16"/>
        <v>0</v>
      </c>
      <c r="U46" s="1367">
        <f>IF($R46-SUM($T46:T46)=0,0,IF(OR($R46&lt;=0,$R46&lt;=SUM($T46:T46)),0,IF((IF($J46=0,$O46,$J46)*$I46)&gt;=($R46-SUM($T46:T46)),($R46-SUM($T46:T46)),IF($J46=0,$O46,$J46)*$I46)))</f>
        <v>7565483</v>
      </c>
      <c r="V46" s="1367">
        <f>IF($R46-SUM($T46:U46)=0,0,IF(OR($R46&lt;=0,$R46&lt;=SUM($T46:U46)),0,IF((IF($J46=0,$O46,$J46)*$I46)&gt;=($R46-SUM($T46:U46)),($R46-SUM($T46:U46)),IF($J46=0,$O46,$J46)*$I46)))</f>
        <v>7565483</v>
      </c>
      <c r="W46" s="1367">
        <f>IF($R46-SUM($T46:V46)=0,0,IF(OR($R46&lt;=0,$R46&lt;=SUM($T46:V46)),0,IF((IF($J46=0,$O46,$J46)*$I46)&gt;=($R46-SUM($T46:V46)),($R46-SUM($T46:V46)),IF($J46=0,$O46,$J46)*$I46)))</f>
        <v>7565483</v>
      </c>
      <c r="X46" s="1367">
        <f>IF($R46-SUM($T46:W46)=0,0,IF(OR($R46&lt;=0,$R46&lt;=SUM($T46:W46)),0,IF((IF($J46=0,$O46,$J46)*$I46)&gt;=($R46-SUM($T46:W46)),($R46-SUM($T46:W46)),IF($J46=0,$O46,$J46)*$I46)))</f>
        <v>7565483</v>
      </c>
      <c r="Y46" s="1367">
        <f>IF($R46-SUM($T46:X46)=0,0,IF(OR($R46&lt;=0,$R46&lt;=SUM($T46:X46)),0,IF((IF($J46=0,$O46,$J46)*$I46)&gt;=($R46-SUM($T46:X46)),($R46-SUM($T46:X46)),IF($J46=0,$O46,$J46)*$I46)))</f>
        <v>7565483</v>
      </c>
      <c r="Z46" s="1367">
        <f>IF($R46-SUM($T46:Y46)=0,0,IF(OR($R46&lt;=0,$R46&lt;=SUM($T46:Y46)),0,IF((IF($J46=0,$O46,$J46)*$I46)&gt;=($R46-SUM($T46:Y46)),($R46-SUM($T46:Y46)),IF($J46=0,$O46,$J46)*$I46)))</f>
        <v>7565483</v>
      </c>
      <c r="AA46" s="1367">
        <f>IF($R46-SUM($T46:Z46)=0,0,IF(OR($R46&lt;=0,$R46&lt;=SUM($T46:Z46)),0,IF((IF($J46=0,$O46,$J46)*$I46)&gt;=($R46-SUM($T46:Z46)),($R46-SUM($T46:Z46)),IF($J46=0,$O46,$J46)*$I46)))</f>
        <v>7565483</v>
      </c>
      <c r="AB46" s="1367">
        <f>IF($R46-SUM($T46:AA46)=0,0,IF(OR($R46&lt;=0,$R46&lt;=SUM($T46:AA46)),0,IF((IF($J46=0,$O46,$J46)*$I46)&gt;=($R46-SUM($T46:AA46)),($R46-SUM($T46:AA46)),IF($J46=0,$O46,$J46)*$I46)))</f>
        <v>7565483</v>
      </c>
      <c r="AC46" s="1367">
        <f>IF($R46-SUM($T46:AB46)=0,0,IF(OR($R46&lt;=0,$R46&lt;=SUM($T46:AB46)),0,IF((IF($J46=0,$O46,$J46)*$I46)&gt;=($R46-SUM($T46:AB46)),($R46-SUM($T46:AB46)),IF($J46=0,$O46,$J46)*$I46)))</f>
        <v>7565483</v>
      </c>
      <c r="AD46" s="1367">
        <f>IF($R46-SUM($T46:AC46)=0,0,IF(OR($R46&lt;=0,$R46&lt;=SUM($T46:AC46)),0,IF((IF($J46=0,$O46,$J46)*$I46)&gt;=($R46-SUM($T46:AC46)),($R46-SUM($T46:AC46)),IF($J46=0,$O46,$J46)*$I46)))</f>
        <v>7565483</v>
      </c>
      <c r="AF46" s="1319" t="str">
        <f t="shared" si="17"/>
        <v>Check</v>
      </c>
      <c r="AG46" s="1319" t="str">
        <f t="shared" si="18"/>
        <v>Checked</v>
      </c>
      <c r="AH46" s="1318" t="b">
        <f t="shared" si="19"/>
        <v>1</v>
      </c>
    </row>
    <row r="47" spans="1:34" s="1383" customFormat="1" outlineLevel="1" x14ac:dyDescent="0.3">
      <c r="A47" s="1368"/>
      <c r="B47" s="1369" t="s">
        <v>2667</v>
      </c>
      <c r="C47" s="1369" t="s">
        <v>1969</v>
      </c>
      <c r="D47" s="1370" t="s">
        <v>2668</v>
      </c>
      <c r="E47" s="1371">
        <v>40</v>
      </c>
      <c r="F47" s="1371">
        <f t="shared" si="10"/>
        <v>39</v>
      </c>
      <c r="G47" s="1372">
        <f t="shared" si="11"/>
        <v>0</v>
      </c>
      <c r="H47" s="1373">
        <f t="shared" si="12"/>
        <v>0</v>
      </c>
      <c r="I47" s="1374">
        <f t="shared" si="13"/>
        <v>2.5000000000000001E-2</v>
      </c>
      <c r="J47" s="1375">
        <v>239780542</v>
      </c>
      <c r="K47" s="1376">
        <v>5994513</v>
      </c>
      <c r="L47" s="1369">
        <v>0</v>
      </c>
      <c r="M47" s="1369">
        <v>0</v>
      </c>
      <c r="N47" s="1375">
        <f t="shared" si="14"/>
        <v>233786029</v>
      </c>
      <c r="O47" s="1377"/>
      <c r="P47" s="1369">
        <v>0</v>
      </c>
      <c r="Q47" s="1378">
        <v>5994513</v>
      </c>
      <c r="R47" s="1376">
        <f t="shared" si="15"/>
        <v>227791516</v>
      </c>
      <c r="S47" s="1378"/>
      <c r="T47" s="1379">
        <f t="shared" si="16"/>
        <v>0</v>
      </c>
      <c r="U47" s="1380">
        <f>IF($R47-SUM($T47:T47)=0,0,IF(OR($R47&lt;=0,$R47&lt;=SUM($T47:T47)),0,IF((IF($J47=0,$O47,$J47)*$I47)&gt;=($R47-SUM($T47:T47)),($R47-SUM($T47:T47)),IF($J47=0,$O47,$J47)*$I47)))</f>
        <v>5994513.5500000007</v>
      </c>
      <c r="V47" s="1380">
        <f>IF($R47-SUM($T47:U47)=0,0,IF(OR($R47&lt;=0,$R47&lt;=SUM($T47:U47)),0,IF((IF($J47=0,$O47,$J47)*$I47)&gt;=($R47-SUM($T47:U47)),($R47-SUM($T47:U47)),IF($J47=0,$O47,$J47)*$I47)))</f>
        <v>5994513.5500000007</v>
      </c>
      <c r="W47" s="1380">
        <f>IF($R47-SUM($T47:V47)=0,0,IF(OR($R47&lt;=0,$R47&lt;=SUM($T47:V47)),0,IF((IF($J47=0,$O47,$J47)*$I47)&gt;=($R47-SUM($T47:V47)),($R47-SUM($T47:V47)),IF($J47=0,$O47,$J47)*$I47)))</f>
        <v>5994513.5500000007</v>
      </c>
      <c r="X47" s="1380">
        <f>IF($R47-SUM($T47:W47)=0,0,IF(OR($R47&lt;=0,$R47&lt;=SUM($T47:W47)),0,IF((IF($J47=0,$O47,$J47)*$I47)&gt;=($R47-SUM($T47:W47)),($R47-SUM($T47:W47)),IF($J47=0,$O47,$J47)*$I47)))</f>
        <v>5994513.5500000007</v>
      </c>
      <c r="Y47" s="1380">
        <f>IF($R47-SUM($T47:X47)=0,0,IF(OR($R47&lt;=0,$R47&lt;=SUM($T47:X47)),0,IF((IF($J47=0,$O47,$J47)*$I47)&gt;=($R47-SUM($T47:X47)),($R47-SUM($T47:X47)),IF($J47=0,$O47,$J47)*$I47)))</f>
        <v>5994513.5500000007</v>
      </c>
      <c r="Z47" s="1380">
        <f>IF($R47-SUM($T47:Y47)=0,0,IF(OR($R47&lt;=0,$R47&lt;=SUM($T47:Y47)),0,IF((IF($J47=0,$O47,$J47)*$I47)&gt;=($R47-SUM($T47:Y47)),($R47-SUM($T47:Y47)),IF($J47=0,$O47,$J47)*$I47)))</f>
        <v>5994513.5500000007</v>
      </c>
      <c r="AA47" s="1380">
        <f>IF($R47-SUM($T47:Z47)=0,0,IF(OR($R47&lt;=0,$R47&lt;=SUM($T47:Z47)),0,IF((IF($J47=0,$O47,$J47)*$I47)&gt;=($R47-SUM($T47:Z47)),($R47-SUM($T47:Z47)),IF($J47=0,$O47,$J47)*$I47)))</f>
        <v>5994513.5500000007</v>
      </c>
      <c r="AB47" s="1380">
        <f>IF($R47-SUM($T47:AA47)=0,0,IF(OR($R47&lt;=0,$R47&lt;=SUM($T47:AA47)),0,IF((IF($J47=0,$O47,$J47)*$I47)&gt;=($R47-SUM($T47:AA47)),($R47-SUM($T47:AA47)),IF($J47=0,$O47,$J47)*$I47)))</f>
        <v>5994513.5500000007</v>
      </c>
      <c r="AC47" s="1380">
        <f>IF($R47-SUM($T47:AB47)=0,0,IF(OR($R47&lt;=0,$R47&lt;=SUM($T47:AB47)),0,IF((IF($J47=0,$O47,$J47)*$I47)&gt;=($R47-SUM($T47:AB47)),($R47-SUM($T47:AB47)),IF($J47=0,$O47,$J47)*$I47)))</f>
        <v>5994513.5500000007</v>
      </c>
      <c r="AD47" s="1380">
        <f>IF($R47-SUM($T47:AC47)=0,0,IF(OR($R47&lt;=0,$R47&lt;=SUM($T47:AC47)),0,IF((IF($J47=0,$O47,$J47)*$I47)&gt;=($R47-SUM($T47:AC47)),($R47-SUM($T47:AC47)),IF($J47=0,$O47,$J47)*$I47)))</f>
        <v>5994513.5500000007</v>
      </c>
      <c r="AE47" s="1381"/>
      <c r="AF47" s="1382" t="str">
        <f t="shared" si="17"/>
        <v>Check</v>
      </c>
      <c r="AG47" s="1382" t="str">
        <f t="shared" si="18"/>
        <v>Checked</v>
      </c>
      <c r="AH47" s="1383" t="b">
        <f t="shared" si="19"/>
        <v>1</v>
      </c>
    </row>
    <row r="48" spans="1:34" s="1383" customFormat="1" outlineLevel="1" x14ac:dyDescent="0.3">
      <c r="A48" s="1368"/>
      <c r="B48" s="1369"/>
      <c r="C48" s="1369"/>
      <c r="D48" s="1370"/>
      <c r="E48" s="1371"/>
      <c r="F48" s="1371"/>
      <c r="G48" s="1372"/>
      <c r="H48" s="1373"/>
      <c r="I48" s="1374"/>
      <c r="J48" s="1375"/>
      <c r="K48" s="1376"/>
      <c r="L48" s="1369"/>
      <c r="M48" s="1369"/>
      <c r="N48" s="1375"/>
      <c r="O48" s="1377"/>
      <c r="P48" s="1369"/>
      <c r="Q48" s="1378"/>
      <c r="R48" s="1376"/>
      <c r="S48" s="1378"/>
      <c r="T48" s="1379"/>
      <c r="U48" s="1380"/>
      <c r="V48" s="1380"/>
      <c r="W48" s="1380"/>
      <c r="X48" s="1380"/>
      <c r="Y48" s="1380"/>
      <c r="Z48" s="1380"/>
      <c r="AA48" s="1380"/>
      <c r="AB48" s="1380"/>
      <c r="AC48" s="1380"/>
      <c r="AD48" s="1380"/>
      <c r="AE48" s="1381"/>
      <c r="AF48" s="1382"/>
      <c r="AG48" s="1382"/>
    </row>
    <row r="49" spans="1:34" outlineLevel="1" x14ac:dyDescent="0.3">
      <c r="B49" s="1356" t="s">
        <v>2670</v>
      </c>
      <c r="C49" s="1356" t="s">
        <v>1970</v>
      </c>
      <c r="D49" s="1322" t="s">
        <v>2671</v>
      </c>
      <c r="E49" s="1357">
        <v>40</v>
      </c>
      <c r="F49" s="1333">
        <f t="shared" ref="F49:F54" si="20">MAX((E49-(YEAR($E$4)-YEAR(D49))),0)</f>
        <v>21</v>
      </c>
      <c r="G49" s="1358">
        <f t="shared" ref="G49:G54" si="21">IF(YEAR(D49)=YEAR($E$4),IF($E$2=$E$4,0,IF(D49&lt;$E$4,$E$2-$E$4,$E$2-D49)),$E$2-$E$4)</f>
        <v>0</v>
      </c>
      <c r="H49" s="1359">
        <f t="shared" ref="H49:H54" si="22">G49/365</f>
        <v>0</v>
      </c>
      <c r="I49" s="1360">
        <f t="shared" ref="I49:I54" si="23">1/E49</f>
        <v>2.5000000000000001E-2</v>
      </c>
      <c r="J49" s="1361">
        <v>45725620</v>
      </c>
      <c r="K49" s="1362">
        <v>15988714</v>
      </c>
      <c r="L49" s="1356">
        <v>0</v>
      </c>
      <c r="M49" s="1356">
        <v>0</v>
      </c>
      <c r="N49" s="1361">
        <f t="shared" ref="N49:N54" si="24">J49-K49-L49+M49</f>
        <v>29736906</v>
      </c>
      <c r="O49" s="1363"/>
      <c r="P49" s="1356">
        <v>0</v>
      </c>
      <c r="Q49" s="1364">
        <v>1143140</v>
      </c>
      <c r="R49" s="1365">
        <f t="shared" ref="R49:R54" si="25">MAX(IF(J49=0,(O49-P49-Q49),(N49-P49-Q49)),0)</f>
        <v>28593766</v>
      </c>
      <c r="S49" s="1364"/>
      <c r="T49" s="1366">
        <f t="shared" ref="T49:T54" si="26">IF(R49=0,0,MIN(IF(J49=0,O49*I49*H49,J49*I49*H49),R49))</f>
        <v>0</v>
      </c>
      <c r="U49" s="1367">
        <f>IF($R49-SUM($T49:T49)=0,0,IF(OR($R49&lt;=0,$R49&lt;=SUM($T49:T49)),0,IF((IF($J49=0,$O49,$J49)*$I49)&gt;=($R49-SUM($T49:T49)),($R49-SUM($T49:T49)),IF($J49=0,$O49,$J49)*$I49)))</f>
        <v>1143140.5</v>
      </c>
      <c r="V49" s="1367">
        <f>IF($R49-SUM($T49:U49)=0,0,IF(OR($R49&lt;=0,$R49&lt;=SUM($T49:U49)),0,IF((IF($J49=0,$O49,$J49)*$I49)&gt;=($R49-SUM($T49:U49)),($R49-SUM($T49:U49)),IF($J49=0,$O49,$J49)*$I49)))</f>
        <v>1143140.5</v>
      </c>
      <c r="W49" s="1367">
        <f>IF($R49-SUM($T49:V49)=0,0,IF(OR($R49&lt;=0,$R49&lt;=SUM($T49:V49)),0,IF((IF($J49=0,$O49,$J49)*$I49)&gt;=($R49-SUM($T49:V49)),($R49-SUM($T49:V49)),IF($J49=0,$O49,$J49)*$I49)))</f>
        <v>1143140.5</v>
      </c>
      <c r="X49" s="1367">
        <f>IF($R49-SUM($T49:W49)=0,0,IF(OR($R49&lt;=0,$R49&lt;=SUM($T49:W49)),0,IF((IF($J49=0,$O49,$J49)*$I49)&gt;=($R49-SUM($T49:W49)),($R49-SUM($T49:W49)),IF($J49=0,$O49,$J49)*$I49)))</f>
        <v>1143140.5</v>
      </c>
      <c r="Y49" s="1367">
        <f>IF($R49-SUM($T49:X49)=0,0,IF(OR($R49&lt;=0,$R49&lt;=SUM($T49:X49)),0,IF((IF($J49=0,$O49,$J49)*$I49)&gt;=($R49-SUM($T49:X49)),($R49-SUM($T49:X49)),IF($J49=0,$O49,$J49)*$I49)))</f>
        <v>1143140.5</v>
      </c>
      <c r="Z49" s="1367">
        <f>IF($R49-SUM($T49:Y49)=0,0,IF(OR($R49&lt;=0,$R49&lt;=SUM($T49:Y49)),0,IF((IF($J49=0,$O49,$J49)*$I49)&gt;=($R49-SUM($T49:Y49)),($R49-SUM($T49:Y49)),IF($J49=0,$O49,$J49)*$I49)))</f>
        <v>1143140.5</v>
      </c>
      <c r="AA49" s="1367">
        <f>IF($R49-SUM($T49:Z49)=0,0,IF(OR($R49&lt;=0,$R49&lt;=SUM($T49:Z49)),0,IF((IF($J49=0,$O49,$J49)*$I49)&gt;=($R49-SUM($T49:Z49)),($R49-SUM($T49:Z49)),IF($J49=0,$O49,$J49)*$I49)))</f>
        <v>1143140.5</v>
      </c>
      <c r="AB49" s="1367">
        <f>IF($R49-SUM($T49:AA49)=0,0,IF(OR($R49&lt;=0,$R49&lt;=SUM($T49:AA49)),0,IF((IF($J49=0,$O49,$J49)*$I49)&gt;=($R49-SUM($T49:AA49)),($R49-SUM($T49:AA49)),IF($J49=0,$O49,$J49)*$I49)))</f>
        <v>1143140.5</v>
      </c>
      <c r="AC49" s="1367">
        <f>IF($R49-SUM($T49:AB49)=0,0,IF(OR($R49&lt;=0,$R49&lt;=SUM($T49:AB49)),0,IF((IF($J49=0,$O49,$J49)*$I49)&gt;=($R49-SUM($T49:AB49)),($R49-SUM($T49:AB49)),IF($J49=0,$O49,$J49)*$I49)))</f>
        <v>1143140.5</v>
      </c>
      <c r="AD49" s="1367">
        <f>IF($R49-SUM($T49:AC49)=0,0,IF(OR($R49&lt;=0,$R49&lt;=SUM($T49:AC49)),0,IF((IF($J49=0,$O49,$J49)*$I49)&gt;=($R49-SUM($T49:AC49)),($R49-SUM($T49:AC49)),IF($J49=0,$O49,$J49)*$I49)))</f>
        <v>1143140.5</v>
      </c>
      <c r="AF49" s="1319" t="str">
        <f t="shared" ref="AF49:AF54" si="27">IF(AD49=0,SUM(T49:AD49)=R49,"Check")</f>
        <v>Check</v>
      </c>
      <c r="AG49" s="1319" t="str">
        <f t="shared" ref="AG49:AG54" si="28">IF(R49=0,SUM(T49:AD49)=0,"Checked")</f>
        <v>Checked</v>
      </c>
      <c r="AH49" s="1318" t="b">
        <f t="shared" ref="AH49:AH54" si="29">IF((R49-T49)&gt;U49,IF(J49=0,O49,J49)*I49=U49,"Checked")</f>
        <v>1</v>
      </c>
    </row>
    <row r="50" spans="1:34" outlineLevel="1" x14ac:dyDescent="0.3">
      <c r="B50" s="1356" t="s">
        <v>2672</v>
      </c>
      <c r="C50" s="1356" t="s">
        <v>1970</v>
      </c>
      <c r="D50" s="1322" t="s">
        <v>2673</v>
      </c>
      <c r="E50" s="1357">
        <v>40</v>
      </c>
      <c r="F50" s="1333">
        <f t="shared" si="20"/>
        <v>23</v>
      </c>
      <c r="G50" s="1358">
        <f t="shared" si="21"/>
        <v>0</v>
      </c>
      <c r="H50" s="1359">
        <f t="shared" si="22"/>
        <v>0</v>
      </c>
      <c r="I50" s="1360">
        <f t="shared" si="23"/>
        <v>2.5000000000000001E-2</v>
      </c>
      <c r="J50" s="1361">
        <v>58292500</v>
      </c>
      <c r="K50" s="1362">
        <v>16582556</v>
      </c>
      <c r="L50" s="1356">
        <v>0</v>
      </c>
      <c r="M50" s="1356">
        <v>0</v>
      </c>
      <c r="N50" s="1361">
        <f t="shared" si="24"/>
        <v>41709944</v>
      </c>
      <c r="O50" s="1363"/>
      <c r="P50" s="1356">
        <v>0</v>
      </c>
      <c r="Q50" s="1364">
        <v>1457312</v>
      </c>
      <c r="R50" s="1365">
        <f t="shared" si="25"/>
        <v>40252632</v>
      </c>
      <c r="S50" s="1364"/>
      <c r="T50" s="1366">
        <f t="shared" si="26"/>
        <v>0</v>
      </c>
      <c r="U50" s="1367">
        <f>IF($R50-SUM($T50:T50)=0,0,IF(OR($R50&lt;=0,$R50&lt;=SUM($T50:T50)),0,IF((IF($J50=0,$O50,$J50)*$I50)&gt;=($R50-SUM($T50:T50)),($R50-SUM($T50:T50)),IF($J50=0,$O50,$J50)*$I50)))</f>
        <v>1457312.5</v>
      </c>
      <c r="V50" s="1367">
        <f>IF($R50-SUM($T50:U50)=0,0,IF(OR($R50&lt;=0,$R50&lt;=SUM($T50:U50)),0,IF((IF($J50=0,$O50,$J50)*$I50)&gt;=($R50-SUM($T50:U50)),($R50-SUM($T50:U50)),IF($J50=0,$O50,$J50)*$I50)))</f>
        <v>1457312.5</v>
      </c>
      <c r="W50" s="1367">
        <f>IF($R50-SUM($T50:V50)=0,0,IF(OR($R50&lt;=0,$R50&lt;=SUM($T50:V50)),0,IF((IF($J50=0,$O50,$J50)*$I50)&gt;=($R50-SUM($T50:V50)),($R50-SUM($T50:V50)),IF($J50=0,$O50,$J50)*$I50)))</f>
        <v>1457312.5</v>
      </c>
      <c r="X50" s="1367">
        <f>IF($R50-SUM($T50:W50)=0,0,IF(OR($R50&lt;=0,$R50&lt;=SUM($T50:W50)),0,IF((IF($J50=0,$O50,$J50)*$I50)&gt;=($R50-SUM($T50:W50)),($R50-SUM($T50:W50)),IF($J50=0,$O50,$J50)*$I50)))</f>
        <v>1457312.5</v>
      </c>
      <c r="Y50" s="1367">
        <f>IF($R50-SUM($T50:X50)=0,0,IF(OR($R50&lt;=0,$R50&lt;=SUM($T50:X50)),0,IF((IF($J50=0,$O50,$J50)*$I50)&gt;=($R50-SUM($T50:X50)),($R50-SUM($T50:X50)),IF($J50=0,$O50,$J50)*$I50)))</f>
        <v>1457312.5</v>
      </c>
      <c r="Z50" s="1367">
        <f>IF($R50-SUM($T50:Y50)=0,0,IF(OR($R50&lt;=0,$R50&lt;=SUM($T50:Y50)),0,IF((IF($J50=0,$O50,$J50)*$I50)&gt;=($R50-SUM($T50:Y50)),($R50-SUM($T50:Y50)),IF($J50=0,$O50,$J50)*$I50)))</f>
        <v>1457312.5</v>
      </c>
      <c r="AA50" s="1367">
        <f>IF($R50-SUM($T50:Z50)=0,0,IF(OR($R50&lt;=0,$R50&lt;=SUM($T50:Z50)),0,IF((IF($J50=0,$O50,$J50)*$I50)&gt;=($R50-SUM($T50:Z50)),($R50-SUM($T50:Z50)),IF($J50=0,$O50,$J50)*$I50)))</f>
        <v>1457312.5</v>
      </c>
      <c r="AB50" s="1367">
        <f>IF($R50-SUM($T50:AA50)=0,0,IF(OR($R50&lt;=0,$R50&lt;=SUM($T50:AA50)),0,IF((IF($J50=0,$O50,$J50)*$I50)&gt;=($R50-SUM($T50:AA50)),($R50-SUM($T50:AA50)),IF($J50=0,$O50,$J50)*$I50)))</f>
        <v>1457312.5</v>
      </c>
      <c r="AC50" s="1367">
        <f>IF($R50-SUM($T50:AB50)=0,0,IF(OR($R50&lt;=0,$R50&lt;=SUM($T50:AB50)),0,IF((IF($J50=0,$O50,$J50)*$I50)&gt;=($R50-SUM($T50:AB50)),($R50-SUM($T50:AB50)),IF($J50=0,$O50,$J50)*$I50)))</f>
        <v>1457312.5</v>
      </c>
      <c r="AD50" s="1367">
        <f>IF($R50-SUM($T50:AC50)=0,0,IF(OR($R50&lt;=0,$R50&lt;=SUM($T50:AC50)),0,IF((IF($J50=0,$O50,$J50)*$I50)&gt;=($R50-SUM($T50:AC50)),($R50-SUM($T50:AC50)),IF($J50=0,$O50,$J50)*$I50)))</f>
        <v>1457312.5</v>
      </c>
      <c r="AF50" s="1319" t="str">
        <f t="shared" si="27"/>
        <v>Check</v>
      </c>
      <c r="AG50" s="1319" t="str">
        <f t="shared" si="28"/>
        <v>Checked</v>
      </c>
      <c r="AH50" s="1318" t="b">
        <f t="shared" si="29"/>
        <v>1</v>
      </c>
    </row>
    <row r="51" spans="1:34" outlineLevel="1" x14ac:dyDescent="0.3">
      <c r="B51" s="1356" t="s">
        <v>2674</v>
      </c>
      <c r="C51" s="1356" t="s">
        <v>1970</v>
      </c>
      <c r="D51" s="1322" t="s">
        <v>2675</v>
      </c>
      <c r="E51" s="1357">
        <v>40</v>
      </c>
      <c r="F51" s="1333">
        <f t="shared" si="20"/>
        <v>24</v>
      </c>
      <c r="G51" s="1358">
        <f t="shared" si="21"/>
        <v>0</v>
      </c>
      <c r="H51" s="1359">
        <f t="shared" si="22"/>
        <v>0</v>
      </c>
      <c r="I51" s="1360">
        <f t="shared" si="23"/>
        <v>2.5000000000000001E-2</v>
      </c>
      <c r="J51" s="1361">
        <v>194621411</v>
      </c>
      <c r="K51" s="1362">
        <v>49881600</v>
      </c>
      <c r="L51" s="1356">
        <v>0</v>
      </c>
      <c r="M51" s="1356">
        <v>0</v>
      </c>
      <c r="N51" s="1361">
        <f t="shared" si="24"/>
        <v>144739811</v>
      </c>
      <c r="O51" s="1363"/>
      <c r="P51" s="1356">
        <v>0</v>
      </c>
      <c r="Q51" s="1364">
        <v>4865535</v>
      </c>
      <c r="R51" s="1365">
        <f t="shared" si="25"/>
        <v>139874276</v>
      </c>
      <c r="S51" s="1364"/>
      <c r="T51" s="1366">
        <f t="shared" si="26"/>
        <v>0</v>
      </c>
      <c r="U51" s="1367">
        <f>IF($R51-SUM($T51:T51)=0,0,IF(OR($R51&lt;=0,$R51&lt;=SUM($T51:T51)),0,IF((IF($J51=0,$O51,$J51)*$I51)&gt;=($R51-SUM($T51:T51)),($R51-SUM($T51:T51)),IF($J51=0,$O51,$J51)*$I51)))</f>
        <v>4865535.2750000004</v>
      </c>
      <c r="V51" s="1367">
        <f>IF($R51-SUM($T51:U51)=0,0,IF(OR($R51&lt;=0,$R51&lt;=SUM($T51:U51)),0,IF((IF($J51=0,$O51,$J51)*$I51)&gt;=($R51-SUM($T51:U51)),($R51-SUM($T51:U51)),IF($J51=0,$O51,$J51)*$I51)))</f>
        <v>4865535.2750000004</v>
      </c>
      <c r="W51" s="1367">
        <f>IF($R51-SUM($T51:V51)=0,0,IF(OR($R51&lt;=0,$R51&lt;=SUM($T51:V51)),0,IF((IF($J51=0,$O51,$J51)*$I51)&gt;=($R51-SUM($T51:V51)),($R51-SUM($T51:V51)),IF($J51=0,$O51,$J51)*$I51)))</f>
        <v>4865535.2750000004</v>
      </c>
      <c r="X51" s="1367">
        <f>IF($R51-SUM($T51:W51)=0,0,IF(OR($R51&lt;=0,$R51&lt;=SUM($T51:W51)),0,IF((IF($J51=0,$O51,$J51)*$I51)&gt;=($R51-SUM($T51:W51)),($R51-SUM($T51:W51)),IF($J51=0,$O51,$J51)*$I51)))</f>
        <v>4865535.2750000004</v>
      </c>
      <c r="Y51" s="1367">
        <f>IF($R51-SUM($T51:X51)=0,0,IF(OR($R51&lt;=0,$R51&lt;=SUM($T51:X51)),0,IF((IF($J51=0,$O51,$J51)*$I51)&gt;=($R51-SUM($T51:X51)),($R51-SUM($T51:X51)),IF($J51=0,$O51,$J51)*$I51)))</f>
        <v>4865535.2750000004</v>
      </c>
      <c r="Z51" s="1367">
        <f>IF($R51-SUM($T51:Y51)=0,0,IF(OR($R51&lt;=0,$R51&lt;=SUM($T51:Y51)),0,IF((IF($J51=0,$O51,$J51)*$I51)&gt;=($R51-SUM($T51:Y51)),($R51-SUM($T51:Y51)),IF($J51=0,$O51,$J51)*$I51)))</f>
        <v>4865535.2750000004</v>
      </c>
      <c r="AA51" s="1367">
        <f>IF($R51-SUM($T51:Z51)=0,0,IF(OR($R51&lt;=0,$R51&lt;=SUM($T51:Z51)),0,IF((IF($J51=0,$O51,$J51)*$I51)&gt;=($R51-SUM($T51:Z51)),($R51-SUM($T51:Z51)),IF($J51=0,$O51,$J51)*$I51)))</f>
        <v>4865535.2750000004</v>
      </c>
      <c r="AB51" s="1367">
        <f>IF($R51-SUM($T51:AA51)=0,0,IF(OR($R51&lt;=0,$R51&lt;=SUM($T51:AA51)),0,IF((IF($J51=0,$O51,$J51)*$I51)&gt;=($R51-SUM($T51:AA51)),($R51-SUM($T51:AA51)),IF($J51=0,$O51,$J51)*$I51)))</f>
        <v>4865535.2750000004</v>
      </c>
      <c r="AC51" s="1367">
        <f>IF($R51-SUM($T51:AB51)=0,0,IF(OR($R51&lt;=0,$R51&lt;=SUM($T51:AB51)),0,IF((IF($J51=0,$O51,$J51)*$I51)&gt;=($R51-SUM($T51:AB51)),($R51-SUM($T51:AB51)),IF($J51=0,$O51,$J51)*$I51)))</f>
        <v>4865535.2750000004</v>
      </c>
      <c r="AD51" s="1367">
        <f>IF($R51-SUM($T51:AC51)=0,0,IF(OR($R51&lt;=0,$R51&lt;=SUM($T51:AC51)),0,IF((IF($J51=0,$O51,$J51)*$I51)&gt;=($R51-SUM($T51:AC51)),($R51-SUM($T51:AC51)),IF($J51=0,$O51,$J51)*$I51)))</f>
        <v>4865535.2750000004</v>
      </c>
      <c r="AF51" s="1319" t="str">
        <f t="shared" si="27"/>
        <v>Check</v>
      </c>
      <c r="AG51" s="1319" t="str">
        <f t="shared" si="28"/>
        <v>Checked</v>
      </c>
      <c r="AH51" s="1318" t="b">
        <f t="shared" si="29"/>
        <v>1</v>
      </c>
    </row>
    <row r="52" spans="1:34" outlineLevel="1" x14ac:dyDescent="0.3">
      <c r="B52" s="1356" t="s">
        <v>2676</v>
      </c>
      <c r="C52" s="1356" t="s">
        <v>1970</v>
      </c>
      <c r="D52" s="1322" t="s">
        <v>2176</v>
      </c>
      <c r="E52" s="1357">
        <v>40</v>
      </c>
      <c r="F52" s="1333">
        <f t="shared" si="20"/>
        <v>31</v>
      </c>
      <c r="G52" s="1358">
        <f t="shared" si="21"/>
        <v>0</v>
      </c>
      <c r="H52" s="1359">
        <f t="shared" si="22"/>
        <v>0</v>
      </c>
      <c r="I52" s="1360">
        <f t="shared" si="23"/>
        <v>2.5000000000000001E-2</v>
      </c>
      <c r="J52" s="1361">
        <v>30181819</v>
      </c>
      <c r="K52" s="1362">
        <v>6728026</v>
      </c>
      <c r="L52" s="1356">
        <v>0</v>
      </c>
      <c r="M52" s="1356">
        <v>0</v>
      </c>
      <c r="N52" s="1361">
        <f t="shared" si="24"/>
        <v>23453793</v>
      </c>
      <c r="O52" s="1363"/>
      <c r="P52" s="1356">
        <v>0</v>
      </c>
      <c r="Q52" s="1364">
        <v>754545</v>
      </c>
      <c r="R52" s="1365">
        <f t="shared" si="25"/>
        <v>22699248</v>
      </c>
      <c r="S52" s="1364"/>
      <c r="T52" s="1366">
        <f t="shared" si="26"/>
        <v>0</v>
      </c>
      <c r="U52" s="1367">
        <f>IF($R52-SUM($T52:T52)=0,0,IF(OR($R52&lt;=0,$R52&lt;=SUM($T52:T52)),0,IF((IF($J52=0,$O52,$J52)*$I52)&gt;=($R52-SUM($T52:T52)),($R52-SUM($T52:T52)),IF($J52=0,$O52,$J52)*$I52)))</f>
        <v>754545.47500000009</v>
      </c>
      <c r="V52" s="1367">
        <f>IF($R52-SUM($T52:U52)=0,0,IF(OR($R52&lt;=0,$R52&lt;=SUM($T52:U52)),0,IF((IF($J52=0,$O52,$J52)*$I52)&gt;=($R52-SUM($T52:U52)),($R52-SUM($T52:U52)),IF($J52=0,$O52,$J52)*$I52)))</f>
        <v>754545.47500000009</v>
      </c>
      <c r="W52" s="1367">
        <f>IF($R52-SUM($T52:V52)=0,0,IF(OR($R52&lt;=0,$R52&lt;=SUM($T52:V52)),0,IF((IF($J52=0,$O52,$J52)*$I52)&gt;=($R52-SUM($T52:V52)),($R52-SUM($T52:V52)),IF($J52=0,$O52,$J52)*$I52)))</f>
        <v>754545.47500000009</v>
      </c>
      <c r="X52" s="1367">
        <f>IF($R52-SUM($T52:W52)=0,0,IF(OR($R52&lt;=0,$R52&lt;=SUM($T52:W52)),0,IF((IF($J52=0,$O52,$J52)*$I52)&gt;=($R52-SUM($T52:W52)),($R52-SUM($T52:W52)),IF($J52=0,$O52,$J52)*$I52)))</f>
        <v>754545.47500000009</v>
      </c>
      <c r="Y52" s="1367">
        <f>IF($R52-SUM($T52:X52)=0,0,IF(OR($R52&lt;=0,$R52&lt;=SUM($T52:X52)),0,IF((IF($J52=0,$O52,$J52)*$I52)&gt;=($R52-SUM($T52:X52)),($R52-SUM($T52:X52)),IF($J52=0,$O52,$J52)*$I52)))</f>
        <v>754545.47500000009</v>
      </c>
      <c r="Z52" s="1367">
        <f>IF($R52-SUM($T52:Y52)=0,0,IF(OR($R52&lt;=0,$R52&lt;=SUM($T52:Y52)),0,IF((IF($J52=0,$O52,$J52)*$I52)&gt;=($R52-SUM($T52:Y52)),($R52-SUM($T52:Y52)),IF($J52=0,$O52,$J52)*$I52)))</f>
        <v>754545.47500000009</v>
      </c>
      <c r="AA52" s="1367">
        <f>IF($R52-SUM($T52:Z52)=0,0,IF(OR($R52&lt;=0,$R52&lt;=SUM($T52:Z52)),0,IF((IF($J52=0,$O52,$J52)*$I52)&gt;=($R52-SUM($T52:Z52)),($R52-SUM($T52:Z52)),IF($J52=0,$O52,$J52)*$I52)))</f>
        <v>754545.47500000009</v>
      </c>
      <c r="AB52" s="1367">
        <f>IF($R52-SUM($T52:AA52)=0,0,IF(OR($R52&lt;=0,$R52&lt;=SUM($T52:AA52)),0,IF((IF($J52=0,$O52,$J52)*$I52)&gt;=($R52-SUM($T52:AA52)),($R52-SUM($T52:AA52)),IF($J52=0,$O52,$J52)*$I52)))</f>
        <v>754545.47500000009</v>
      </c>
      <c r="AC52" s="1367">
        <f>IF($R52-SUM($T52:AB52)=0,0,IF(OR($R52&lt;=0,$R52&lt;=SUM($T52:AB52)),0,IF((IF($J52=0,$O52,$J52)*$I52)&gt;=($R52-SUM($T52:AB52)),($R52-SUM($T52:AB52)),IF($J52=0,$O52,$J52)*$I52)))</f>
        <v>754545.47500000009</v>
      </c>
      <c r="AD52" s="1367">
        <f>IF($R52-SUM($T52:AC52)=0,0,IF(OR($R52&lt;=0,$R52&lt;=SUM($T52:AC52)),0,IF((IF($J52=0,$O52,$J52)*$I52)&gt;=($R52-SUM($T52:AC52)),($R52-SUM($T52:AC52)),IF($J52=0,$O52,$J52)*$I52)))</f>
        <v>754545.47500000009</v>
      </c>
      <c r="AF52" s="1319" t="str">
        <f t="shared" si="27"/>
        <v>Check</v>
      </c>
      <c r="AG52" s="1319" t="str">
        <f t="shared" si="28"/>
        <v>Checked</v>
      </c>
      <c r="AH52" s="1318" t="b">
        <f t="shared" si="29"/>
        <v>1</v>
      </c>
    </row>
    <row r="53" spans="1:34" outlineLevel="1" x14ac:dyDescent="0.3">
      <c r="B53" s="1356" t="s">
        <v>2677</v>
      </c>
      <c r="C53" s="1356" t="s">
        <v>1970</v>
      </c>
      <c r="D53" s="1322" t="s">
        <v>2678</v>
      </c>
      <c r="E53" s="1357">
        <v>40</v>
      </c>
      <c r="F53" s="1333">
        <f t="shared" si="20"/>
        <v>35</v>
      </c>
      <c r="G53" s="1358">
        <f t="shared" si="21"/>
        <v>0</v>
      </c>
      <c r="H53" s="1359">
        <f t="shared" si="22"/>
        <v>0</v>
      </c>
      <c r="I53" s="1360">
        <f t="shared" si="23"/>
        <v>2.5000000000000001E-2</v>
      </c>
      <c r="J53" s="1361">
        <v>20881817</v>
      </c>
      <c r="K53" s="1362">
        <v>2566721</v>
      </c>
      <c r="L53" s="1356">
        <v>0</v>
      </c>
      <c r="M53" s="1356">
        <v>0</v>
      </c>
      <c r="N53" s="1361">
        <f t="shared" si="24"/>
        <v>18315096</v>
      </c>
      <c r="O53" s="1363"/>
      <c r="P53" s="1356">
        <v>0</v>
      </c>
      <c r="Q53" s="1364">
        <v>522045</v>
      </c>
      <c r="R53" s="1365">
        <f t="shared" si="25"/>
        <v>17793051</v>
      </c>
      <c r="S53" s="1364"/>
      <c r="T53" s="1366">
        <f t="shared" si="26"/>
        <v>0</v>
      </c>
      <c r="U53" s="1367">
        <f>IF($R53-SUM($T53:T53)=0,0,IF(OR($R53&lt;=0,$R53&lt;=SUM($T53:T53)),0,IF((IF($J53=0,$O53,$J53)*$I53)&gt;=($R53-SUM($T53:T53)),($R53-SUM($T53:T53)),IF($J53=0,$O53,$J53)*$I53)))</f>
        <v>522045.42500000005</v>
      </c>
      <c r="V53" s="1367">
        <f>IF($R53-SUM($T53:U53)=0,0,IF(OR($R53&lt;=0,$R53&lt;=SUM($T53:U53)),0,IF((IF($J53=0,$O53,$J53)*$I53)&gt;=($R53-SUM($T53:U53)),($R53-SUM($T53:U53)),IF($J53=0,$O53,$J53)*$I53)))</f>
        <v>522045.42500000005</v>
      </c>
      <c r="W53" s="1367">
        <f>IF($R53-SUM($T53:V53)=0,0,IF(OR($R53&lt;=0,$R53&lt;=SUM($T53:V53)),0,IF((IF($J53=0,$O53,$J53)*$I53)&gt;=($R53-SUM($T53:V53)),($R53-SUM($T53:V53)),IF($J53=0,$O53,$J53)*$I53)))</f>
        <v>522045.42500000005</v>
      </c>
      <c r="X53" s="1367">
        <f>IF($R53-SUM($T53:W53)=0,0,IF(OR($R53&lt;=0,$R53&lt;=SUM($T53:W53)),0,IF((IF($J53=0,$O53,$J53)*$I53)&gt;=($R53-SUM($T53:W53)),($R53-SUM($T53:W53)),IF($J53=0,$O53,$J53)*$I53)))</f>
        <v>522045.42500000005</v>
      </c>
      <c r="Y53" s="1367">
        <f>IF($R53-SUM($T53:X53)=0,0,IF(OR($R53&lt;=0,$R53&lt;=SUM($T53:X53)),0,IF((IF($J53=0,$O53,$J53)*$I53)&gt;=($R53-SUM($T53:X53)),($R53-SUM($T53:X53)),IF($J53=0,$O53,$J53)*$I53)))</f>
        <v>522045.42500000005</v>
      </c>
      <c r="Z53" s="1367">
        <f>IF($R53-SUM($T53:Y53)=0,0,IF(OR($R53&lt;=0,$R53&lt;=SUM($T53:Y53)),0,IF((IF($J53=0,$O53,$J53)*$I53)&gt;=($R53-SUM($T53:Y53)),($R53-SUM($T53:Y53)),IF($J53=0,$O53,$J53)*$I53)))</f>
        <v>522045.42500000005</v>
      </c>
      <c r="AA53" s="1367">
        <f>IF($R53-SUM($T53:Z53)=0,0,IF(OR($R53&lt;=0,$R53&lt;=SUM($T53:Z53)),0,IF((IF($J53=0,$O53,$J53)*$I53)&gt;=($R53-SUM($T53:Z53)),($R53-SUM($T53:Z53)),IF($J53=0,$O53,$J53)*$I53)))</f>
        <v>522045.42500000005</v>
      </c>
      <c r="AB53" s="1367">
        <f>IF($R53-SUM($T53:AA53)=0,0,IF(OR($R53&lt;=0,$R53&lt;=SUM($T53:AA53)),0,IF((IF($J53=0,$O53,$J53)*$I53)&gt;=($R53-SUM($T53:AA53)),($R53-SUM($T53:AA53)),IF($J53=0,$O53,$J53)*$I53)))</f>
        <v>522045.42500000005</v>
      </c>
      <c r="AC53" s="1367">
        <f>IF($R53-SUM($T53:AB53)=0,0,IF(OR($R53&lt;=0,$R53&lt;=SUM($T53:AB53)),0,IF((IF($J53=0,$O53,$J53)*$I53)&gt;=($R53-SUM($T53:AB53)),($R53-SUM($T53:AB53)),IF($J53=0,$O53,$J53)*$I53)))</f>
        <v>522045.42500000005</v>
      </c>
      <c r="AD53" s="1367">
        <f>IF($R53-SUM($T53:AC53)=0,0,IF(OR($R53&lt;=0,$R53&lt;=SUM($T53:AC53)),0,IF((IF($J53=0,$O53,$J53)*$I53)&gt;=($R53-SUM($T53:AC53)),($R53-SUM($T53:AC53)),IF($J53=0,$O53,$J53)*$I53)))</f>
        <v>522045.42500000005</v>
      </c>
      <c r="AF53" s="1319" t="str">
        <f t="shared" si="27"/>
        <v>Check</v>
      </c>
      <c r="AG53" s="1319" t="str">
        <f t="shared" si="28"/>
        <v>Checked</v>
      </c>
      <c r="AH53" s="1318" t="b">
        <f t="shared" si="29"/>
        <v>1</v>
      </c>
    </row>
    <row r="54" spans="1:34" s="1399" customFormat="1" outlineLevel="1" x14ac:dyDescent="0.3">
      <c r="A54" s="1384"/>
      <c r="B54" s="1385" t="s">
        <v>2679</v>
      </c>
      <c r="C54" s="1385" t="s">
        <v>1970</v>
      </c>
      <c r="D54" s="1386" t="s">
        <v>2680</v>
      </c>
      <c r="E54" s="1387">
        <v>40</v>
      </c>
      <c r="F54" s="1387">
        <f t="shared" si="20"/>
        <v>38</v>
      </c>
      <c r="G54" s="1388">
        <f t="shared" si="21"/>
        <v>0</v>
      </c>
      <c r="H54" s="1389">
        <f t="shared" si="22"/>
        <v>0</v>
      </c>
      <c r="I54" s="1390">
        <f t="shared" si="23"/>
        <v>2.5000000000000001E-2</v>
      </c>
      <c r="J54" s="1391">
        <v>33851690</v>
      </c>
      <c r="K54" s="1392">
        <v>1198913</v>
      </c>
      <c r="L54" s="1385">
        <v>0</v>
      </c>
      <c r="M54" s="1385">
        <v>0</v>
      </c>
      <c r="N54" s="1391">
        <f t="shared" si="24"/>
        <v>32652777</v>
      </c>
      <c r="O54" s="1393"/>
      <c r="P54" s="1385">
        <v>0</v>
      </c>
      <c r="Q54" s="1394">
        <v>846292</v>
      </c>
      <c r="R54" s="1392">
        <f t="shared" si="25"/>
        <v>31806485</v>
      </c>
      <c r="S54" s="1394"/>
      <c r="T54" s="1395">
        <f t="shared" si="26"/>
        <v>0</v>
      </c>
      <c r="U54" s="1396">
        <f>IF($R54-SUM($T54:T54)=0,0,IF(OR($R54&lt;=0,$R54&lt;=SUM($T54:T54)),0,IF((IF($J54=0,$O54,$J54)*$I54)&gt;=($R54-SUM($T54:T54)),($R54-SUM($T54:T54)),IF($J54=0,$O54,$J54)*$I54)))</f>
        <v>846292.25</v>
      </c>
      <c r="V54" s="1396">
        <f>IF($R54-SUM($T54:U54)=0,0,IF(OR($R54&lt;=0,$R54&lt;=SUM($T54:U54)),0,IF((IF($J54=0,$O54,$J54)*$I54)&gt;=($R54-SUM($T54:U54)),($R54-SUM($T54:U54)),IF($J54=0,$O54,$J54)*$I54)))</f>
        <v>846292.25</v>
      </c>
      <c r="W54" s="1396">
        <f>IF($R54-SUM($T54:V54)=0,0,IF(OR($R54&lt;=0,$R54&lt;=SUM($T54:V54)),0,IF((IF($J54=0,$O54,$J54)*$I54)&gt;=($R54-SUM($T54:V54)),($R54-SUM($T54:V54)),IF($J54=0,$O54,$J54)*$I54)))</f>
        <v>846292.25</v>
      </c>
      <c r="X54" s="1396">
        <f>IF($R54-SUM($T54:W54)=0,0,IF(OR($R54&lt;=0,$R54&lt;=SUM($T54:W54)),0,IF((IF($J54=0,$O54,$J54)*$I54)&gt;=($R54-SUM($T54:W54)),($R54-SUM($T54:W54)),IF($J54=0,$O54,$J54)*$I54)))</f>
        <v>846292.25</v>
      </c>
      <c r="Y54" s="1396">
        <f>IF($R54-SUM($T54:X54)=0,0,IF(OR($R54&lt;=0,$R54&lt;=SUM($T54:X54)),0,IF((IF($J54=0,$O54,$J54)*$I54)&gt;=($R54-SUM($T54:X54)),($R54-SUM($T54:X54)),IF($J54=0,$O54,$J54)*$I54)))</f>
        <v>846292.25</v>
      </c>
      <c r="Z54" s="1396">
        <f>IF($R54-SUM($T54:Y54)=0,0,IF(OR($R54&lt;=0,$R54&lt;=SUM($T54:Y54)),0,IF((IF($J54=0,$O54,$J54)*$I54)&gt;=($R54-SUM($T54:Y54)),($R54-SUM($T54:Y54)),IF($J54=0,$O54,$J54)*$I54)))</f>
        <v>846292.25</v>
      </c>
      <c r="AA54" s="1396">
        <f>IF($R54-SUM($T54:Z54)=0,0,IF(OR($R54&lt;=0,$R54&lt;=SUM($T54:Z54)),0,IF((IF($J54=0,$O54,$J54)*$I54)&gt;=($R54-SUM($T54:Z54)),($R54-SUM($T54:Z54)),IF($J54=0,$O54,$J54)*$I54)))</f>
        <v>846292.25</v>
      </c>
      <c r="AB54" s="1396">
        <f>IF($R54-SUM($T54:AA54)=0,0,IF(OR($R54&lt;=0,$R54&lt;=SUM($T54:AA54)),0,IF((IF($J54=0,$O54,$J54)*$I54)&gt;=($R54-SUM($T54:AA54)),($R54-SUM($T54:AA54)),IF($J54=0,$O54,$J54)*$I54)))</f>
        <v>846292.25</v>
      </c>
      <c r="AC54" s="1396">
        <f>IF($R54-SUM($T54:AB54)=0,0,IF(OR($R54&lt;=0,$R54&lt;=SUM($T54:AB54)),0,IF((IF($J54=0,$O54,$J54)*$I54)&gt;=($R54-SUM($T54:AB54)),($R54-SUM($T54:AB54)),IF($J54=0,$O54,$J54)*$I54)))</f>
        <v>846292.25</v>
      </c>
      <c r="AD54" s="1396">
        <f>IF($R54-SUM($T54:AC54)=0,0,IF(OR($R54&lt;=0,$R54&lt;=SUM($T54:AC54)),0,IF((IF($J54=0,$O54,$J54)*$I54)&gt;=($R54-SUM($T54:AC54)),($R54-SUM($T54:AC54)),IF($J54=0,$O54,$J54)*$I54)))</f>
        <v>846292.25</v>
      </c>
      <c r="AE54" s="1397"/>
      <c r="AF54" s="1398" t="str">
        <f t="shared" si="27"/>
        <v>Check</v>
      </c>
      <c r="AG54" s="1398" t="str">
        <f t="shared" si="28"/>
        <v>Checked</v>
      </c>
      <c r="AH54" s="1399" t="b">
        <f t="shared" si="29"/>
        <v>1</v>
      </c>
    </row>
    <row r="55" spans="1:34" s="1399" customFormat="1" outlineLevel="1" x14ac:dyDescent="0.3">
      <c r="A55" s="1384"/>
      <c r="B55" s="1385"/>
      <c r="C55" s="1385"/>
      <c r="D55" s="1386"/>
      <c r="E55" s="1387"/>
      <c r="F55" s="1387"/>
      <c r="G55" s="1388"/>
      <c r="H55" s="1389"/>
      <c r="I55" s="1390"/>
      <c r="J55" s="1391"/>
      <c r="K55" s="1392"/>
      <c r="L55" s="1385"/>
      <c r="M55" s="1385"/>
      <c r="N55" s="1391"/>
      <c r="O55" s="1393"/>
      <c r="P55" s="1385"/>
      <c r="Q55" s="1394"/>
      <c r="R55" s="1392"/>
      <c r="S55" s="1394"/>
      <c r="T55" s="1395"/>
      <c r="U55" s="1396"/>
      <c r="V55" s="1396"/>
      <c r="W55" s="1396"/>
      <c r="X55" s="1396"/>
      <c r="Y55" s="1396"/>
      <c r="Z55" s="1396"/>
      <c r="AA55" s="1396"/>
      <c r="AB55" s="1396"/>
      <c r="AC55" s="1396"/>
      <c r="AD55" s="1396"/>
      <c r="AE55" s="1397"/>
      <c r="AF55" s="1398"/>
      <c r="AG55" s="1398"/>
    </row>
    <row r="56" spans="1:34" outlineLevel="1" x14ac:dyDescent="0.3">
      <c r="B56" s="1356" t="s">
        <v>2177</v>
      </c>
      <c r="C56" s="1356" t="s">
        <v>1971</v>
      </c>
      <c r="D56" s="1322" t="s">
        <v>2178</v>
      </c>
      <c r="E56" s="1357">
        <v>10</v>
      </c>
      <c r="F56" s="1333">
        <f t="shared" ref="F56:F119" si="30">MAX((E56-(YEAR($E$4)-YEAR(D56))),0)</f>
        <v>0</v>
      </c>
      <c r="G56" s="1358">
        <f t="shared" ref="G56:G119" si="31">IF(YEAR(D56)=YEAR($E$4),IF($E$2=$E$4,0,IF(D56&lt;$E$4,$E$2-$E$4,$E$2-D56)),$E$2-$E$4)</f>
        <v>0</v>
      </c>
      <c r="H56" s="1359">
        <f t="shared" ref="H56:H119" si="32">G56/365</f>
        <v>0</v>
      </c>
      <c r="I56" s="1360">
        <f t="shared" ref="I56:I119" si="33">1/E56</f>
        <v>0.1</v>
      </c>
      <c r="J56" s="1361">
        <v>170000000</v>
      </c>
      <c r="K56" s="1362">
        <v>169999000</v>
      </c>
      <c r="L56" s="1356">
        <v>0</v>
      </c>
      <c r="M56" s="1356">
        <v>0</v>
      </c>
      <c r="N56" s="1361">
        <f t="shared" ref="N56:N119" si="34">J56-K56-L56+M56</f>
        <v>1000</v>
      </c>
      <c r="O56" s="1363"/>
      <c r="P56" s="1356">
        <v>0</v>
      </c>
      <c r="Q56" s="1364"/>
      <c r="R56" s="1365">
        <f t="shared" ref="R56:R119" si="35">MAX(IF(J56=0,(O56-P56-Q56),(N56-P56-Q56)),0)</f>
        <v>1000</v>
      </c>
      <c r="S56" s="1364"/>
      <c r="T56" s="1366">
        <f t="shared" ref="T56:T119" si="36">IF(R56=0,0,MIN(IF(J56=0,O56*I56*H56,J56*I56*H56),R56))</f>
        <v>0</v>
      </c>
      <c r="U56" s="1367">
        <f>IF($R56-SUM($T56:T56)=0,0,IF(OR($R56&lt;=0,$R56&lt;=SUM($T56:T56)),0,IF((IF($J56=0,$O56,$J56)*$I56)&gt;=($R56-SUM($T56:T56)),($R56-SUM($T56:T56)),IF($J56=0,$O56,$J56)*$I56)))</f>
        <v>1000</v>
      </c>
      <c r="V56" s="1367">
        <f>IF($R56-SUM($T56:U56)=0,0,IF(OR($R56&lt;=0,$R56&lt;=SUM($T56:U56)),0,IF((IF($J56=0,$O56,$J56)*$I56)&gt;=($R56-SUM($T56:U56)),($R56-SUM($T56:U56)),IF($J56=0,$O56,$J56)*$I56)))</f>
        <v>0</v>
      </c>
      <c r="W56" s="1367">
        <f>IF($R56-SUM($T56:V56)=0,0,IF(OR($R56&lt;=0,$R56&lt;=SUM($T56:V56)),0,IF((IF($J56=0,$O56,$J56)*$I56)&gt;=($R56-SUM($T56:V56)),($R56-SUM($T56:V56)),IF($J56=0,$O56,$J56)*$I56)))</f>
        <v>0</v>
      </c>
      <c r="X56" s="1367">
        <f>IF($R56-SUM($T56:W56)=0,0,IF(OR($R56&lt;=0,$R56&lt;=SUM($T56:W56)),0,IF((IF($J56=0,$O56,$J56)*$I56)&gt;=($R56-SUM($T56:W56)),($R56-SUM($T56:W56)),IF($J56=0,$O56,$J56)*$I56)))</f>
        <v>0</v>
      </c>
      <c r="Y56" s="1367">
        <f>IF($R56-SUM($T56:X56)=0,0,IF(OR($R56&lt;=0,$R56&lt;=SUM($T56:X56)),0,IF((IF($J56=0,$O56,$J56)*$I56)&gt;=($R56-SUM($T56:X56)),($R56-SUM($T56:X56)),IF($J56=0,$O56,$J56)*$I56)))</f>
        <v>0</v>
      </c>
      <c r="Z56" s="1367">
        <f>IF($R56-SUM($T56:Y56)=0,0,IF(OR($R56&lt;=0,$R56&lt;=SUM($T56:Y56)),0,IF((IF($J56=0,$O56,$J56)*$I56)&gt;=($R56-SUM($T56:Y56)),($R56-SUM($T56:Y56)),IF($J56=0,$O56,$J56)*$I56)))</f>
        <v>0</v>
      </c>
      <c r="AA56" s="1367">
        <f>IF($R56-SUM($T56:Z56)=0,0,IF(OR($R56&lt;=0,$R56&lt;=SUM($T56:Z56)),0,IF((IF($J56=0,$O56,$J56)*$I56)&gt;=($R56-SUM($T56:Z56)),($R56-SUM($T56:Z56)),IF($J56=0,$O56,$J56)*$I56)))</f>
        <v>0</v>
      </c>
      <c r="AB56" s="1367">
        <f>IF($R56-SUM($T56:AA56)=0,0,IF(OR($R56&lt;=0,$R56&lt;=SUM($T56:AA56)),0,IF((IF($J56=0,$O56,$J56)*$I56)&gt;=($R56-SUM($T56:AA56)),($R56-SUM($T56:AA56)),IF($J56=0,$O56,$J56)*$I56)))</f>
        <v>0</v>
      </c>
      <c r="AC56" s="1367">
        <f>IF($R56-SUM($T56:AB56)=0,0,IF(OR($R56&lt;=0,$R56&lt;=SUM($T56:AB56)),0,IF((IF($J56=0,$O56,$J56)*$I56)&gt;=($R56-SUM($T56:AB56)),($R56-SUM($T56:AB56)),IF($J56=0,$O56,$J56)*$I56)))</f>
        <v>0</v>
      </c>
      <c r="AD56" s="1367">
        <f>IF($R56-SUM($T56:AC56)=0,0,IF(OR($R56&lt;=0,$R56&lt;=SUM($T56:AC56)),0,IF((IF($J56=0,$O56,$J56)*$I56)&gt;=($R56-SUM($T56:AC56)),($R56-SUM($T56:AC56)),IF($J56=0,$O56,$J56)*$I56)))</f>
        <v>0</v>
      </c>
      <c r="AF56" s="1319" t="b">
        <f t="shared" ref="AF56:AF119" si="37">IF(AD56=0,SUM(T56:AD56)=R56,"Check")</f>
        <v>1</v>
      </c>
      <c r="AG56" s="1319" t="str">
        <f t="shared" ref="AG56:AG119" si="38">IF(R56=0,SUM(T56:AD56)=0,"Checked")</f>
        <v>Checked</v>
      </c>
      <c r="AH56" s="1318" t="str">
        <f t="shared" ref="AH56:AH119" si="39">IF((R56-T56)&gt;U56,IF(J56=0,O56,J56)*I56=U56,"Checked")</f>
        <v>Checked</v>
      </c>
    </row>
    <row r="57" spans="1:34" outlineLevel="1" x14ac:dyDescent="0.3">
      <c r="B57" s="1356" t="s">
        <v>2179</v>
      </c>
      <c r="C57" s="1356" t="s">
        <v>1971</v>
      </c>
      <c r="D57" s="1322" t="s">
        <v>2180</v>
      </c>
      <c r="E57" s="1357">
        <v>10</v>
      </c>
      <c r="F57" s="1333">
        <f t="shared" si="30"/>
        <v>0</v>
      </c>
      <c r="G57" s="1358">
        <f t="shared" si="31"/>
        <v>0</v>
      </c>
      <c r="H57" s="1359">
        <f t="shared" si="32"/>
        <v>0</v>
      </c>
      <c r="I57" s="1360">
        <f t="shared" si="33"/>
        <v>0.1</v>
      </c>
      <c r="J57" s="1361">
        <v>240283600</v>
      </c>
      <c r="K57" s="1362">
        <v>201999000</v>
      </c>
      <c r="L57" s="1356">
        <v>0</v>
      </c>
      <c r="M57" s="1356">
        <v>0</v>
      </c>
      <c r="N57" s="1361">
        <f t="shared" si="34"/>
        <v>38284600</v>
      </c>
      <c r="O57" s="1363"/>
      <c r="P57" s="1356">
        <v>0</v>
      </c>
      <c r="Q57" s="1364">
        <v>9915711</v>
      </c>
      <c r="R57" s="1365">
        <f t="shared" si="35"/>
        <v>28368889</v>
      </c>
      <c r="S57" s="1364"/>
      <c r="T57" s="1366">
        <f t="shared" si="36"/>
        <v>0</v>
      </c>
      <c r="U57" s="1367">
        <f>IF($R57-SUM($T57:T57)=0,0,IF(OR($R57&lt;=0,$R57&lt;=SUM($T57:T57)),0,IF((IF($J57=0,$O57,$J57)*$I57)&gt;=($R57-SUM($T57:T57)),($R57-SUM($T57:T57)),IF($J57=0,$O57,$J57)*$I57)))</f>
        <v>24028360</v>
      </c>
      <c r="V57" s="1367">
        <f>IF($R57-SUM($T57:U57)=0,0,IF(OR($R57&lt;=0,$R57&lt;=SUM($T57:U57)),0,IF((IF($J57=0,$O57,$J57)*$I57)&gt;=($R57-SUM($T57:U57)),($R57-SUM($T57:U57)),IF($J57=0,$O57,$J57)*$I57)))</f>
        <v>4340529</v>
      </c>
      <c r="W57" s="1367">
        <f>IF($R57-SUM($T57:V57)=0,0,IF(OR($R57&lt;=0,$R57&lt;=SUM($T57:V57)),0,IF((IF($J57=0,$O57,$J57)*$I57)&gt;=($R57-SUM($T57:V57)),($R57-SUM($T57:V57)),IF($J57=0,$O57,$J57)*$I57)))</f>
        <v>0</v>
      </c>
      <c r="X57" s="1367">
        <f>IF($R57-SUM($T57:W57)=0,0,IF(OR($R57&lt;=0,$R57&lt;=SUM($T57:W57)),0,IF((IF($J57=0,$O57,$J57)*$I57)&gt;=($R57-SUM($T57:W57)),($R57-SUM($T57:W57)),IF($J57=0,$O57,$J57)*$I57)))</f>
        <v>0</v>
      </c>
      <c r="Y57" s="1367">
        <f>IF($R57-SUM($T57:X57)=0,0,IF(OR($R57&lt;=0,$R57&lt;=SUM($T57:X57)),0,IF((IF($J57=0,$O57,$J57)*$I57)&gt;=($R57-SUM($T57:X57)),($R57-SUM($T57:X57)),IF($J57=0,$O57,$J57)*$I57)))</f>
        <v>0</v>
      </c>
      <c r="Z57" s="1367">
        <f>IF($R57-SUM($T57:Y57)=0,0,IF(OR($R57&lt;=0,$R57&lt;=SUM($T57:Y57)),0,IF((IF($J57=0,$O57,$J57)*$I57)&gt;=($R57-SUM($T57:Y57)),($R57-SUM($T57:Y57)),IF($J57=0,$O57,$J57)*$I57)))</f>
        <v>0</v>
      </c>
      <c r="AA57" s="1367">
        <f>IF($R57-SUM($T57:Z57)=0,0,IF(OR($R57&lt;=0,$R57&lt;=SUM($T57:Z57)),0,IF((IF($J57=0,$O57,$J57)*$I57)&gt;=($R57-SUM($T57:Z57)),($R57-SUM($T57:Z57)),IF($J57=0,$O57,$J57)*$I57)))</f>
        <v>0</v>
      </c>
      <c r="AB57" s="1367">
        <f>IF($R57-SUM($T57:AA57)=0,0,IF(OR($R57&lt;=0,$R57&lt;=SUM($T57:AA57)),0,IF((IF($J57=0,$O57,$J57)*$I57)&gt;=($R57-SUM($T57:AA57)),($R57-SUM($T57:AA57)),IF($J57=0,$O57,$J57)*$I57)))</f>
        <v>0</v>
      </c>
      <c r="AC57" s="1367">
        <f>IF($R57-SUM($T57:AB57)=0,0,IF(OR($R57&lt;=0,$R57&lt;=SUM($T57:AB57)),0,IF((IF($J57=0,$O57,$J57)*$I57)&gt;=($R57-SUM($T57:AB57)),($R57-SUM($T57:AB57)),IF($J57=0,$O57,$J57)*$I57)))</f>
        <v>0</v>
      </c>
      <c r="AD57" s="1367">
        <f>IF($R57-SUM($T57:AC57)=0,0,IF(OR($R57&lt;=0,$R57&lt;=SUM($T57:AC57)),0,IF((IF($J57=0,$O57,$J57)*$I57)&gt;=($R57-SUM($T57:AC57)),($R57-SUM($T57:AC57)),IF($J57=0,$O57,$J57)*$I57)))</f>
        <v>0</v>
      </c>
      <c r="AF57" s="1319" t="b">
        <f t="shared" si="37"/>
        <v>1</v>
      </c>
      <c r="AG57" s="1319" t="str">
        <f t="shared" si="38"/>
        <v>Checked</v>
      </c>
      <c r="AH57" s="1318" t="b">
        <f t="shared" si="39"/>
        <v>1</v>
      </c>
    </row>
    <row r="58" spans="1:34" outlineLevel="1" x14ac:dyDescent="0.3">
      <c r="B58" s="1356" t="s">
        <v>2181</v>
      </c>
      <c r="C58" s="1356" t="s">
        <v>1971</v>
      </c>
      <c r="D58" s="1322" t="s">
        <v>2180</v>
      </c>
      <c r="E58" s="1357">
        <v>10</v>
      </c>
      <c r="F58" s="1333">
        <f t="shared" si="30"/>
        <v>0</v>
      </c>
      <c r="G58" s="1358">
        <f t="shared" si="31"/>
        <v>0</v>
      </c>
      <c r="H58" s="1359">
        <f t="shared" si="32"/>
        <v>0</v>
      </c>
      <c r="I58" s="1360">
        <f t="shared" si="33"/>
        <v>0.1</v>
      </c>
      <c r="J58" s="1361">
        <v>2400000</v>
      </c>
      <c r="K58" s="1362">
        <v>2399000</v>
      </c>
      <c r="L58" s="1356">
        <v>0</v>
      </c>
      <c r="M58" s="1356">
        <v>0</v>
      </c>
      <c r="N58" s="1361">
        <f t="shared" si="34"/>
        <v>1000</v>
      </c>
      <c r="O58" s="1363"/>
      <c r="P58" s="1356">
        <v>0</v>
      </c>
      <c r="Q58" s="1364"/>
      <c r="R58" s="1365">
        <f t="shared" si="35"/>
        <v>1000</v>
      </c>
      <c r="S58" s="1364"/>
      <c r="T58" s="1366">
        <f t="shared" si="36"/>
        <v>0</v>
      </c>
      <c r="U58" s="1367">
        <f>IF($R58-SUM($T58:T58)=0,0,IF(OR($R58&lt;=0,$R58&lt;=SUM($T58:T58)),0,IF((IF($J58=0,$O58,$J58)*$I58)&gt;=($R58-SUM($T58:T58)),($R58-SUM($T58:T58)),IF($J58=0,$O58,$J58)*$I58)))</f>
        <v>1000</v>
      </c>
      <c r="V58" s="1367">
        <f>IF($R58-SUM($T58:U58)=0,0,IF(OR($R58&lt;=0,$R58&lt;=SUM($T58:U58)),0,IF((IF($J58=0,$O58,$J58)*$I58)&gt;=($R58-SUM($T58:U58)),($R58-SUM($T58:U58)),IF($J58=0,$O58,$J58)*$I58)))</f>
        <v>0</v>
      </c>
      <c r="W58" s="1367">
        <f>IF($R58-SUM($T58:V58)=0,0,IF(OR($R58&lt;=0,$R58&lt;=SUM($T58:V58)),0,IF((IF($J58=0,$O58,$J58)*$I58)&gt;=($R58-SUM($T58:V58)),($R58-SUM($T58:V58)),IF($J58=0,$O58,$J58)*$I58)))</f>
        <v>0</v>
      </c>
      <c r="X58" s="1367">
        <f>IF($R58-SUM($T58:W58)=0,0,IF(OR($R58&lt;=0,$R58&lt;=SUM($T58:W58)),0,IF((IF($J58=0,$O58,$J58)*$I58)&gt;=($R58-SUM($T58:W58)),($R58-SUM($T58:W58)),IF($J58=0,$O58,$J58)*$I58)))</f>
        <v>0</v>
      </c>
      <c r="Y58" s="1367">
        <f>IF($R58-SUM($T58:X58)=0,0,IF(OR($R58&lt;=0,$R58&lt;=SUM($T58:X58)),0,IF((IF($J58=0,$O58,$J58)*$I58)&gt;=($R58-SUM($T58:X58)),($R58-SUM($T58:X58)),IF($J58=0,$O58,$J58)*$I58)))</f>
        <v>0</v>
      </c>
      <c r="Z58" s="1367">
        <f>IF($R58-SUM($T58:Y58)=0,0,IF(OR($R58&lt;=0,$R58&lt;=SUM($T58:Y58)),0,IF((IF($J58=0,$O58,$J58)*$I58)&gt;=($R58-SUM($T58:Y58)),($R58-SUM($T58:Y58)),IF($J58=0,$O58,$J58)*$I58)))</f>
        <v>0</v>
      </c>
      <c r="AA58" s="1367">
        <f>IF($R58-SUM($T58:Z58)=0,0,IF(OR($R58&lt;=0,$R58&lt;=SUM($T58:Z58)),0,IF((IF($J58=0,$O58,$J58)*$I58)&gt;=($R58-SUM($T58:Z58)),($R58-SUM($T58:Z58)),IF($J58=0,$O58,$J58)*$I58)))</f>
        <v>0</v>
      </c>
      <c r="AB58" s="1367">
        <f>IF($R58-SUM($T58:AA58)=0,0,IF(OR($R58&lt;=0,$R58&lt;=SUM($T58:AA58)),0,IF((IF($J58=0,$O58,$J58)*$I58)&gt;=($R58-SUM($T58:AA58)),($R58-SUM($T58:AA58)),IF($J58=0,$O58,$J58)*$I58)))</f>
        <v>0</v>
      </c>
      <c r="AC58" s="1367">
        <f>IF($R58-SUM($T58:AB58)=0,0,IF(OR($R58&lt;=0,$R58&lt;=SUM($T58:AB58)),0,IF((IF($J58=0,$O58,$J58)*$I58)&gt;=($R58-SUM($T58:AB58)),($R58-SUM($T58:AB58)),IF($J58=0,$O58,$J58)*$I58)))</f>
        <v>0</v>
      </c>
      <c r="AD58" s="1367">
        <f>IF($R58-SUM($T58:AC58)=0,0,IF(OR($R58&lt;=0,$R58&lt;=SUM($T58:AC58)),0,IF((IF($J58=0,$O58,$J58)*$I58)&gt;=($R58-SUM($T58:AC58)),($R58-SUM($T58:AC58)),IF($J58=0,$O58,$J58)*$I58)))</f>
        <v>0</v>
      </c>
      <c r="AF58" s="1319" t="b">
        <f t="shared" si="37"/>
        <v>1</v>
      </c>
      <c r="AG58" s="1319" t="str">
        <f t="shared" si="38"/>
        <v>Checked</v>
      </c>
      <c r="AH58" s="1318" t="str">
        <f t="shared" si="39"/>
        <v>Checked</v>
      </c>
    </row>
    <row r="59" spans="1:34" outlineLevel="1" x14ac:dyDescent="0.3">
      <c r="B59" s="1356" t="s">
        <v>2182</v>
      </c>
      <c r="C59" s="1356" t="s">
        <v>1971</v>
      </c>
      <c r="D59" s="1322" t="s">
        <v>2180</v>
      </c>
      <c r="E59" s="1357">
        <v>10</v>
      </c>
      <c r="F59" s="1333">
        <f t="shared" si="30"/>
        <v>0</v>
      </c>
      <c r="G59" s="1358">
        <f t="shared" si="31"/>
        <v>0</v>
      </c>
      <c r="H59" s="1359">
        <f t="shared" si="32"/>
        <v>0</v>
      </c>
      <c r="I59" s="1360">
        <f t="shared" si="33"/>
        <v>0.1</v>
      </c>
      <c r="J59" s="1361">
        <v>24000000</v>
      </c>
      <c r="K59" s="1362">
        <v>23999000</v>
      </c>
      <c r="L59" s="1356">
        <v>0</v>
      </c>
      <c r="M59" s="1356">
        <v>0</v>
      </c>
      <c r="N59" s="1361">
        <f t="shared" si="34"/>
        <v>1000</v>
      </c>
      <c r="O59" s="1363"/>
      <c r="P59" s="1356">
        <v>0</v>
      </c>
      <c r="Q59" s="1364"/>
      <c r="R59" s="1365">
        <f t="shared" si="35"/>
        <v>1000</v>
      </c>
      <c r="S59" s="1364"/>
      <c r="T59" s="1366">
        <f t="shared" si="36"/>
        <v>0</v>
      </c>
      <c r="U59" s="1367">
        <f>IF($R59-SUM($T59:T59)=0,0,IF(OR($R59&lt;=0,$R59&lt;=SUM($T59:T59)),0,IF((IF($J59=0,$O59,$J59)*$I59)&gt;=($R59-SUM($T59:T59)),($R59-SUM($T59:T59)),IF($J59=0,$O59,$J59)*$I59)))</f>
        <v>1000</v>
      </c>
      <c r="V59" s="1367">
        <f>IF($R59-SUM($T59:U59)=0,0,IF(OR($R59&lt;=0,$R59&lt;=SUM($T59:U59)),0,IF((IF($J59=0,$O59,$J59)*$I59)&gt;=($R59-SUM($T59:U59)),($R59-SUM($T59:U59)),IF($J59=0,$O59,$J59)*$I59)))</f>
        <v>0</v>
      </c>
      <c r="W59" s="1367">
        <f>IF($R59-SUM($T59:V59)=0,0,IF(OR($R59&lt;=0,$R59&lt;=SUM($T59:V59)),0,IF((IF($J59=0,$O59,$J59)*$I59)&gt;=($R59-SUM($T59:V59)),($R59-SUM($T59:V59)),IF($J59=0,$O59,$J59)*$I59)))</f>
        <v>0</v>
      </c>
      <c r="X59" s="1367">
        <f>IF($R59-SUM($T59:W59)=0,0,IF(OR($R59&lt;=0,$R59&lt;=SUM($T59:W59)),0,IF((IF($J59=0,$O59,$J59)*$I59)&gt;=($R59-SUM($T59:W59)),($R59-SUM($T59:W59)),IF($J59=0,$O59,$J59)*$I59)))</f>
        <v>0</v>
      </c>
      <c r="Y59" s="1367">
        <f>IF($R59-SUM($T59:X59)=0,0,IF(OR($R59&lt;=0,$R59&lt;=SUM($T59:X59)),0,IF((IF($J59=0,$O59,$J59)*$I59)&gt;=($R59-SUM($T59:X59)),($R59-SUM($T59:X59)),IF($J59=0,$O59,$J59)*$I59)))</f>
        <v>0</v>
      </c>
      <c r="Z59" s="1367">
        <f>IF($R59-SUM($T59:Y59)=0,0,IF(OR($R59&lt;=0,$R59&lt;=SUM($T59:Y59)),0,IF((IF($J59=0,$O59,$J59)*$I59)&gt;=($R59-SUM($T59:Y59)),($R59-SUM($T59:Y59)),IF($J59=0,$O59,$J59)*$I59)))</f>
        <v>0</v>
      </c>
      <c r="AA59" s="1367">
        <f>IF($R59-SUM($T59:Z59)=0,0,IF(OR($R59&lt;=0,$R59&lt;=SUM($T59:Z59)),0,IF((IF($J59=0,$O59,$J59)*$I59)&gt;=($R59-SUM($T59:Z59)),($R59-SUM($T59:Z59)),IF($J59=0,$O59,$J59)*$I59)))</f>
        <v>0</v>
      </c>
      <c r="AB59" s="1367">
        <f>IF($R59-SUM($T59:AA59)=0,0,IF(OR($R59&lt;=0,$R59&lt;=SUM($T59:AA59)),0,IF((IF($J59=0,$O59,$J59)*$I59)&gt;=($R59-SUM($T59:AA59)),($R59-SUM($T59:AA59)),IF($J59=0,$O59,$J59)*$I59)))</f>
        <v>0</v>
      </c>
      <c r="AC59" s="1367">
        <f>IF($R59-SUM($T59:AB59)=0,0,IF(OR($R59&lt;=0,$R59&lt;=SUM($T59:AB59)),0,IF((IF($J59=0,$O59,$J59)*$I59)&gt;=($R59-SUM($T59:AB59)),($R59-SUM($T59:AB59)),IF($J59=0,$O59,$J59)*$I59)))</f>
        <v>0</v>
      </c>
      <c r="AD59" s="1367">
        <f>IF($R59-SUM($T59:AC59)=0,0,IF(OR($R59&lt;=0,$R59&lt;=SUM($T59:AC59)),0,IF((IF($J59=0,$O59,$J59)*$I59)&gt;=($R59-SUM($T59:AC59)),($R59-SUM($T59:AC59)),IF($J59=0,$O59,$J59)*$I59)))</f>
        <v>0</v>
      </c>
      <c r="AF59" s="1319" t="b">
        <f t="shared" si="37"/>
        <v>1</v>
      </c>
      <c r="AG59" s="1319" t="str">
        <f t="shared" si="38"/>
        <v>Checked</v>
      </c>
      <c r="AH59" s="1318" t="str">
        <f t="shared" si="39"/>
        <v>Checked</v>
      </c>
    </row>
    <row r="60" spans="1:34" outlineLevel="1" x14ac:dyDescent="0.3">
      <c r="B60" s="1356" t="s">
        <v>2183</v>
      </c>
      <c r="C60" s="1356" t="s">
        <v>1971</v>
      </c>
      <c r="D60" s="1322" t="s">
        <v>2184</v>
      </c>
      <c r="E60" s="1357">
        <v>10</v>
      </c>
      <c r="F60" s="1333">
        <f t="shared" si="30"/>
        <v>0</v>
      </c>
      <c r="G60" s="1358">
        <f t="shared" si="31"/>
        <v>0</v>
      </c>
      <c r="H60" s="1359">
        <f t="shared" si="32"/>
        <v>0</v>
      </c>
      <c r="I60" s="1360">
        <f t="shared" si="33"/>
        <v>0.1</v>
      </c>
      <c r="J60" s="1361">
        <v>22000000</v>
      </c>
      <c r="K60" s="1362">
        <v>21999000</v>
      </c>
      <c r="L60" s="1356">
        <v>0</v>
      </c>
      <c r="M60" s="1356">
        <v>0</v>
      </c>
      <c r="N60" s="1361">
        <f t="shared" si="34"/>
        <v>1000</v>
      </c>
      <c r="O60" s="1363"/>
      <c r="P60" s="1356">
        <v>0</v>
      </c>
      <c r="Q60" s="1364"/>
      <c r="R60" s="1365">
        <f t="shared" si="35"/>
        <v>1000</v>
      </c>
      <c r="S60" s="1364"/>
      <c r="T60" s="1366">
        <f t="shared" si="36"/>
        <v>0</v>
      </c>
      <c r="U60" s="1367">
        <f>IF($R60-SUM($T60:T60)=0,0,IF(OR($R60&lt;=0,$R60&lt;=SUM($T60:T60)),0,IF((IF($J60=0,$O60,$J60)*$I60)&gt;=($R60-SUM($T60:T60)),($R60-SUM($T60:T60)),IF($J60=0,$O60,$J60)*$I60)))</f>
        <v>1000</v>
      </c>
      <c r="V60" s="1367">
        <f>IF($R60-SUM($T60:U60)=0,0,IF(OR($R60&lt;=0,$R60&lt;=SUM($T60:U60)),0,IF((IF($J60=0,$O60,$J60)*$I60)&gt;=($R60-SUM($T60:U60)),($R60-SUM($T60:U60)),IF($J60=0,$O60,$J60)*$I60)))</f>
        <v>0</v>
      </c>
      <c r="W60" s="1367">
        <f>IF($R60-SUM($T60:V60)=0,0,IF(OR($R60&lt;=0,$R60&lt;=SUM($T60:V60)),0,IF((IF($J60=0,$O60,$J60)*$I60)&gt;=($R60-SUM($T60:V60)),($R60-SUM($T60:V60)),IF($J60=0,$O60,$J60)*$I60)))</f>
        <v>0</v>
      </c>
      <c r="X60" s="1367">
        <f>IF($R60-SUM($T60:W60)=0,0,IF(OR($R60&lt;=0,$R60&lt;=SUM($T60:W60)),0,IF((IF($J60=0,$O60,$J60)*$I60)&gt;=($R60-SUM($T60:W60)),($R60-SUM($T60:W60)),IF($J60=0,$O60,$J60)*$I60)))</f>
        <v>0</v>
      </c>
      <c r="Y60" s="1367">
        <f>IF($R60-SUM($T60:X60)=0,0,IF(OR($R60&lt;=0,$R60&lt;=SUM($T60:X60)),0,IF((IF($J60=0,$O60,$J60)*$I60)&gt;=($R60-SUM($T60:X60)),($R60-SUM($T60:X60)),IF($J60=0,$O60,$J60)*$I60)))</f>
        <v>0</v>
      </c>
      <c r="Z60" s="1367">
        <f>IF($R60-SUM($T60:Y60)=0,0,IF(OR($R60&lt;=0,$R60&lt;=SUM($T60:Y60)),0,IF((IF($J60=0,$O60,$J60)*$I60)&gt;=($R60-SUM($T60:Y60)),($R60-SUM($T60:Y60)),IF($J60=0,$O60,$J60)*$I60)))</f>
        <v>0</v>
      </c>
      <c r="AA60" s="1367">
        <f>IF($R60-SUM($T60:Z60)=0,0,IF(OR($R60&lt;=0,$R60&lt;=SUM($T60:Z60)),0,IF((IF($J60=0,$O60,$J60)*$I60)&gt;=($R60-SUM($T60:Z60)),($R60-SUM($T60:Z60)),IF($J60=0,$O60,$J60)*$I60)))</f>
        <v>0</v>
      </c>
      <c r="AB60" s="1367">
        <f>IF($R60-SUM($T60:AA60)=0,0,IF(OR($R60&lt;=0,$R60&lt;=SUM($T60:AA60)),0,IF((IF($J60=0,$O60,$J60)*$I60)&gt;=($R60-SUM($T60:AA60)),($R60-SUM($T60:AA60)),IF($J60=0,$O60,$J60)*$I60)))</f>
        <v>0</v>
      </c>
      <c r="AC60" s="1367">
        <f>IF($R60-SUM($T60:AB60)=0,0,IF(OR($R60&lt;=0,$R60&lt;=SUM($T60:AB60)),0,IF((IF($J60=0,$O60,$J60)*$I60)&gt;=($R60-SUM($T60:AB60)),($R60-SUM($T60:AB60)),IF($J60=0,$O60,$J60)*$I60)))</f>
        <v>0</v>
      </c>
      <c r="AD60" s="1367">
        <f>IF($R60-SUM($T60:AC60)=0,0,IF(OR($R60&lt;=0,$R60&lt;=SUM($T60:AC60)),0,IF((IF($J60=0,$O60,$J60)*$I60)&gt;=($R60-SUM($T60:AC60)),($R60-SUM($T60:AC60)),IF($J60=0,$O60,$J60)*$I60)))</f>
        <v>0</v>
      </c>
      <c r="AF60" s="1319" t="b">
        <f t="shared" si="37"/>
        <v>1</v>
      </c>
      <c r="AG60" s="1319" t="str">
        <f t="shared" si="38"/>
        <v>Checked</v>
      </c>
      <c r="AH60" s="1318" t="str">
        <f t="shared" si="39"/>
        <v>Checked</v>
      </c>
    </row>
    <row r="61" spans="1:34" outlineLevel="1" x14ac:dyDescent="0.3">
      <c r="B61" s="1356" t="s">
        <v>2185</v>
      </c>
      <c r="C61" s="1356" t="s">
        <v>1971</v>
      </c>
      <c r="D61" s="1322" t="s">
        <v>2186</v>
      </c>
      <c r="E61" s="1357">
        <v>10</v>
      </c>
      <c r="F61" s="1333">
        <f t="shared" si="30"/>
        <v>0</v>
      </c>
      <c r="G61" s="1358">
        <f t="shared" si="31"/>
        <v>0</v>
      </c>
      <c r="H61" s="1359">
        <f t="shared" si="32"/>
        <v>0</v>
      </c>
      <c r="I61" s="1360">
        <f t="shared" si="33"/>
        <v>0.1</v>
      </c>
      <c r="J61" s="1361">
        <v>18794000</v>
      </c>
      <c r="K61" s="1362">
        <v>18793000</v>
      </c>
      <c r="L61" s="1356">
        <v>0</v>
      </c>
      <c r="M61" s="1356">
        <v>0</v>
      </c>
      <c r="N61" s="1361">
        <f t="shared" si="34"/>
        <v>1000</v>
      </c>
      <c r="O61" s="1363"/>
      <c r="P61" s="1356">
        <v>0</v>
      </c>
      <c r="Q61" s="1364"/>
      <c r="R61" s="1365">
        <f t="shared" si="35"/>
        <v>1000</v>
      </c>
      <c r="S61" s="1364"/>
      <c r="T61" s="1366">
        <f t="shared" si="36"/>
        <v>0</v>
      </c>
      <c r="U61" s="1367">
        <f>IF($R61-SUM($T61:T61)=0,0,IF(OR($R61&lt;=0,$R61&lt;=SUM($T61:T61)),0,IF((IF($J61=0,$O61,$J61)*$I61)&gt;=($R61-SUM($T61:T61)),($R61-SUM($T61:T61)),IF($J61=0,$O61,$J61)*$I61)))</f>
        <v>1000</v>
      </c>
      <c r="V61" s="1367">
        <f>IF($R61-SUM($T61:U61)=0,0,IF(OR($R61&lt;=0,$R61&lt;=SUM($T61:U61)),0,IF((IF($J61=0,$O61,$J61)*$I61)&gt;=($R61-SUM($T61:U61)),($R61-SUM($T61:U61)),IF($J61=0,$O61,$J61)*$I61)))</f>
        <v>0</v>
      </c>
      <c r="W61" s="1367">
        <f>IF($R61-SUM($T61:V61)=0,0,IF(OR($R61&lt;=0,$R61&lt;=SUM($T61:V61)),0,IF((IF($J61=0,$O61,$J61)*$I61)&gt;=($R61-SUM($T61:V61)),($R61-SUM($T61:V61)),IF($J61=0,$O61,$J61)*$I61)))</f>
        <v>0</v>
      </c>
      <c r="X61" s="1367">
        <f>IF($R61-SUM($T61:W61)=0,0,IF(OR($R61&lt;=0,$R61&lt;=SUM($T61:W61)),0,IF((IF($J61=0,$O61,$J61)*$I61)&gt;=($R61-SUM($T61:W61)),($R61-SUM($T61:W61)),IF($J61=0,$O61,$J61)*$I61)))</f>
        <v>0</v>
      </c>
      <c r="Y61" s="1367">
        <f>IF($R61-SUM($T61:X61)=0,0,IF(OR($R61&lt;=0,$R61&lt;=SUM($T61:X61)),0,IF((IF($J61=0,$O61,$J61)*$I61)&gt;=($R61-SUM($T61:X61)),($R61-SUM($T61:X61)),IF($J61=0,$O61,$J61)*$I61)))</f>
        <v>0</v>
      </c>
      <c r="Z61" s="1367">
        <f>IF($R61-SUM($T61:Y61)=0,0,IF(OR($R61&lt;=0,$R61&lt;=SUM($T61:Y61)),0,IF((IF($J61=0,$O61,$J61)*$I61)&gt;=($R61-SUM($T61:Y61)),($R61-SUM($T61:Y61)),IF($J61=0,$O61,$J61)*$I61)))</f>
        <v>0</v>
      </c>
      <c r="AA61" s="1367">
        <f>IF($R61-SUM($T61:Z61)=0,0,IF(OR($R61&lt;=0,$R61&lt;=SUM($T61:Z61)),0,IF((IF($J61=0,$O61,$J61)*$I61)&gt;=($R61-SUM($T61:Z61)),($R61-SUM($T61:Z61)),IF($J61=0,$O61,$J61)*$I61)))</f>
        <v>0</v>
      </c>
      <c r="AB61" s="1367">
        <f>IF($R61-SUM($T61:AA61)=0,0,IF(OR($R61&lt;=0,$R61&lt;=SUM($T61:AA61)),0,IF((IF($J61=0,$O61,$J61)*$I61)&gt;=($R61-SUM($T61:AA61)),($R61-SUM($T61:AA61)),IF($J61=0,$O61,$J61)*$I61)))</f>
        <v>0</v>
      </c>
      <c r="AC61" s="1367">
        <f>IF($R61-SUM($T61:AB61)=0,0,IF(OR($R61&lt;=0,$R61&lt;=SUM($T61:AB61)),0,IF((IF($J61=0,$O61,$J61)*$I61)&gt;=($R61-SUM($T61:AB61)),($R61-SUM($T61:AB61)),IF($J61=0,$O61,$J61)*$I61)))</f>
        <v>0</v>
      </c>
      <c r="AD61" s="1367">
        <f>IF($R61-SUM($T61:AC61)=0,0,IF(OR($R61&lt;=0,$R61&lt;=SUM($T61:AC61)),0,IF((IF($J61=0,$O61,$J61)*$I61)&gt;=($R61-SUM($T61:AC61)),($R61-SUM($T61:AC61)),IF($J61=0,$O61,$J61)*$I61)))</f>
        <v>0</v>
      </c>
      <c r="AF61" s="1319" t="b">
        <f t="shared" si="37"/>
        <v>1</v>
      </c>
      <c r="AG61" s="1319" t="str">
        <f t="shared" si="38"/>
        <v>Checked</v>
      </c>
      <c r="AH61" s="1318" t="str">
        <f t="shared" si="39"/>
        <v>Checked</v>
      </c>
    </row>
    <row r="62" spans="1:34" outlineLevel="1" x14ac:dyDescent="0.3">
      <c r="B62" s="1356" t="s">
        <v>2187</v>
      </c>
      <c r="C62" s="1356" t="s">
        <v>1971</v>
      </c>
      <c r="D62" s="1322" t="s">
        <v>2186</v>
      </c>
      <c r="E62" s="1357">
        <v>10</v>
      </c>
      <c r="F62" s="1333">
        <f t="shared" si="30"/>
        <v>0</v>
      </c>
      <c r="G62" s="1358">
        <f t="shared" si="31"/>
        <v>0</v>
      </c>
      <c r="H62" s="1359">
        <f t="shared" si="32"/>
        <v>0</v>
      </c>
      <c r="I62" s="1360">
        <f t="shared" si="33"/>
        <v>0.1</v>
      </c>
      <c r="J62" s="1361">
        <v>17099200</v>
      </c>
      <c r="K62" s="1362">
        <v>17098200</v>
      </c>
      <c r="L62" s="1356">
        <v>0</v>
      </c>
      <c r="M62" s="1356">
        <v>0</v>
      </c>
      <c r="N62" s="1361">
        <f t="shared" si="34"/>
        <v>1000</v>
      </c>
      <c r="O62" s="1363"/>
      <c r="P62" s="1356">
        <v>0</v>
      </c>
      <c r="Q62" s="1364"/>
      <c r="R62" s="1365">
        <f t="shared" si="35"/>
        <v>1000</v>
      </c>
      <c r="S62" s="1364"/>
      <c r="T62" s="1366">
        <f t="shared" si="36"/>
        <v>0</v>
      </c>
      <c r="U62" s="1367">
        <f>IF($R62-SUM($T62:T62)=0,0,IF(OR($R62&lt;=0,$R62&lt;=SUM($T62:T62)),0,IF((IF($J62=0,$O62,$J62)*$I62)&gt;=($R62-SUM($T62:T62)),($R62-SUM($T62:T62)),IF($J62=0,$O62,$J62)*$I62)))</f>
        <v>1000</v>
      </c>
      <c r="V62" s="1367">
        <f>IF($R62-SUM($T62:U62)=0,0,IF(OR($R62&lt;=0,$R62&lt;=SUM($T62:U62)),0,IF((IF($J62=0,$O62,$J62)*$I62)&gt;=($R62-SUM($T62:U62)),($R62-SUM($T62:U62)),IF($J62=0,$O62,$J62)*$I62)))</f>
        <v>0</v>
      </c>
      <c r="W62" s="1367">
        <f>IF($R62-SUM($T62:V62)=0,0,IF(OR($R62&lt;=0,$R62&lt;=SUM($T62:V62)),0,IF((IF($J62=0,$O62,$J62)*$I62)&gt;=($R62-SUM($T62:V62)),($R62-SUM($T62:V62)),IF($J62=0,$O62,$J62)*$I62)))</f>
        <v>0</v>
      </c>
      <c r="X62" s="1367">
        <f>IF($R62-SUM($T62:W62)=0,0,IF(OR($R62&lt;=0,$R62&lt;=SUM($T62:W62)),0,IF((IF($J62=0,$O62,$J62)*$I62)&gt;=($R62-SUM($T62:W62)),($R62-SUM($T62:W62)),IF($J62=0,$O62,$J62)*$I62)))</f>
        <v>0</v>
      </c>
      <c r="Y62" s="1367">
        <f>IF($R62-SUM($T62:X62)=0,0,IF(OR($R62&lt;=0,$R62&lt;=SUM($T62:X62)),0,IF((IF($J62=0,$O62,$J62)*$I62)&gt;=($R62-SUM($T62:X62)),($R62-SUM($T62:X62)),IF($J62=0,$O62,$J62)*$I62)))</f>
        <v>0</v>
      </c>
      <c r="Z62" s="1367">
        <f>IF($R62-SUM($T62:Y62)=0,0,IF(OR($R62&lt;=0,$R62&lt;=SUM($T62:Y62)),0,IF((IF($J62=0,$O62,$J62)*$I62)&gt;=($R62-SUM($T62:Y62)),($R62-SUM($T62:Y62)),IF($J62=0,$O62,$J62)*$I62)))</f>
        <v>0</v>
      </c>
      <c r="AA62" s="1367">
        <f>IF($R62-SUM($T62:Z62)=0,0,IF(OR($R62&lt;=0,$R62&lt;=SUM($T62:Z62)),0,IF((IF($J62=0,$O62,$J62)*$I62)&gt;=($R62-SUM($T62:Z62)),($R62-SUM($T62:Z62)),IF($J62=0,$O62,$J62)*$I62)))</f>
        <v>0</v>
      </c>
      <c r="AB62" s="1367">
        <f>IF($R62-SUM($T62:AA62)=0,0,IF(OR($R62&lt;=0,$R62&lt;=SUM($T62:AA62)),0,IF((IF($J62=0,$O62,$J62)*$I62)&gt;=($R62-SUM($T62:AA62)),($R62-SUM($T62:AA62)),IF($J62=0,$O62,$J62)*$I62)))</f>
        <v>0</v>
      </c>
      <c r="AC62" s="1367">
        <f>IF($R62-SUM($T62:AB62)=0,0,IF(OR($R62&lt;=0,$R62&lt;=SUM($T62:AB62)),0,IF((IF($J62=0,$O62,$J62)*$I62)&gt;=($R62-SUM($T62:AB62)),($R62-SUM($T62:AB62)),IF($J62=0,$O62,$J62)*$I62)))</f>
        <v>0</v>
      </c>
      <c r="AD62" s="1367">
        <f>IF($R62-SUM($T62:AC62)=0,0,IF(OR($R62&lt;=0,$R62&lt;=SUM($T62:AC62)),0,IF((IF($J62=0,$O62,$J62)*$I62)&gt;=($R62-SUM($T62:AC62)),($R62-SUM($T62:AC62)),IF($J62=0,$O62,$J62)*$I62)))</f>
        <v>0</v>
      </c>
      <c r="AF62" s="1319" t="b">
        <f t="shared" si="37"/>
        <v>1</v>
      </c>
      <c r="AG62" s="1319" t="str">
        <f t="shared" si="38"/>
        <v>Checked</v>
      </c>
      <c r="AH62" s="1318" t="str">
        <f t="shared" si="39"/>
        <v>Checked</v>
      </c>
    </row>
    <row r="63" spans="1:34" outlineLevel="1" x14ac:dyDescent="0.3">
      <c r="B63" s="1356" t="s">
        <v>2188</v>
      </c>
      <c r="C63" s="1356" t="s">
        <v>1971</v>
      </c>
      <c r="D63" s="1322" t="s">
        <v>2186</v>
      </c>
      <c r="E63" s="1357">
        <v>10</v>
      </c>
      <c r="F63" s="1333">
        <f t="shared" si="30"/>
        <v>0</v>
      </c>
      <c r="G63" s="1358">
        <f t="shared" si="31"/>
        <v>0</v>
      </c>
      <c r="H63" s="1359">
        <f t="shared" si="32"/>
        <v>0</v>
      </c>
      <c r="I63" s="1360">
        <f t="shared" si="33"/>
        <v>0.1</v>
      </c>
      <c r="J63" s="1361">
        <v>5324800</v>
      </c>
      <c r="K63" s="1362">
        <v>5323800</v>
      </c>
      <c r="L63" s="1356">
        <v>0</v>
      </c>
      <c r="M63" s="1356">
        <v>0</v>
      </c>
      <c r="N63" s="1361">
        <f t="shared" si="34"/>
        <v>1000</v>
      </c>
      <c r="O63" s="1363"/>
      <c r="P63" s="1356">
        <v>0</v>
      </c>
      <c r="Q63" s="1364"/>
      <c r="R63" s="1365">
        <f t="shared" si="35"/>
        <v>1000</v>
      </c>
      <c r="S63" s="1364"/>
      <c r="T63" s="1366">
        <f t="shared" si="36"/>
        <v>0</v>
      </c>
      <c r="U63" s="1367">
        <f>IF($R63-SUM($T63:T63)=0,0,IF(OR($R63&lt;=0,$R63&lt;=SUM($T63:T63)),0,IF((IF($J63=0,$O63,$J63)*$I63)&gt;=($R63-SUM($T63:T63)),($R63-SUM($T63:T63)),IF($J63=0,$O63,$J63)*$I63)))</f>
        <v>1000</v>
      </c>
      <c r="V63" s="1367">
        <f>IF($R63-SUM($T63:U63)=0,0,IF(OR($R63&lt;=0,$R63&lt;=SUM($T63:U63)),0,IF((IF($J63=0,$O63,$J63)*$I63)&gt;=($R63-SUM($T63:U63)),($R63-SUM($T63:U63)),IF($J63=0,$O63,$J63)*$I63)))</f>
        <v>0</v>
      </c>
      <c r="W63" s="1367">
        <f>IF($R63-SUM($T63:V63)=0,0,IF(OR($R63&lt;=0,$R63&lt;=SUM($T63:V63)),0,IF((IF($J63=0,$O63,$J63)*$I63)&gt;=($R63-SUM($T63:V63)),($R63-SUM($T63:V63)),IF($J63=0,$O63,$J63)*$I63)))</f>
        <v>0</v>
      </c>
      <c r="X63" s="1367">
        <f>IF($R63-SUM($T63:W63)=0,0,IF(OR($R63&lt;=0,$R63&lt;=SUM($T63:W63)),0,IF((IF($J63=0,$O63,$J63)*$I63)&gt;=($R63-SUM($T63:W63)),($R63-SUM($T63:W63)),IF($J63=0,$O63,$J63)*$I63)))</f>
        <v>0</v>
      </c>
      <c r="Y63" s="1367">
        <f>IF($R63-SUM($T63:X63)=0,0,IF(OR($R63&lt;=0,$R63&lt;=SUM($T63:X63)),0,IF((IF($J63=0,$O63,$J63)*$I63)&gt;=($R63-SUM($T63:X63)),($R63-SUM($T63:X63)),IF($J63=0,$O63,$J63)*$I63)))</f>
        <v>0</v>
      </c>
      <c r="Z63" s="1367">
        <f>IF($R63-SUM($T63:Y63)=0,0,IF(OR($R63&lt;=0,$R63&lt;=SUM($T63:Y63)),0,IF((IF($J63=0,$O63,$J63)*$I63)&gt;=($R63-SUM($T63:Y63)),($R63-SUM($T63:Y63)),IF($J63=0,$O63,$J63)*$I63)))</f>
        <v>0</v>
      </c>
      <c r="AA63" s="1367">
        <f>IF($R63-SUM($T63:Z63)=0,0,IF(OR($R63&lt;=0,$R63&lt;=SUM($T63:Z63)),0,IF((IF($J63=0,$O63,$J63)*$I63)&gt;=($R63-SUM($T63:Z63)),($R63-SUM($T63:Z63)),IF($J63=0,$O63,$J63)*$I63)))</f>
        <v>0</v>
      </c>
      <c r="AB63" s="1367">
        <f>IF($R63-SUM($T63:AA63)=0,0,IF(OR($R63&lt;=0,$R63&lt;=SUM($T63:AA63)),0,IF((IF($J63=0,$O63,$J63)*$I63)&gt;=($R63-SUM($T63:AA63)),($R63-SUM($T63:AA63)),IF($J63=0,$O63,$J63)*$I63)))</f>
        <v>0</v>
      </c>
      <c r="AC63" s="1367">
        <f>IF($R63-SUM($T63:AB63)=0,0,IF(OR($R63&lt;=0,$R63&lt;=SUM($T63:AB63)),0,IF((IF($J63=0,$O63,$J63)*$I63)&gt;=($R63-SUM($T63:AB63)),($R63-SUM($T63:AB63)),IF($J63=0,$O63,$J63)*$I63)))</f>
        <v>0</v>
      </c>
      <c r="AD63" s="1367">
        <f>IF($R63-SUM($T63:AC63)=0,0,IF(OR($R63&lt;=0,$R63&lt;=SUM($T63:AC63)),0,IF((IF($J63=0,$O63,$J63)*$I63)&gt;=($R63-SUM($T63:AC63)),($R63-SUM($T63:AC63)),IF($J63=0,$O63,$J63)*$I63)))</f>
        <v>0</v>
      </c>
      <c r="AF63" s="1319" t="b">
        <f t="shared" si="37"/>
        <v>1</v>
      </c>
      <c r="AG63" s="1319" t="str">
        <f t="shared" si="38"/>
        <v>Checked</v>
      </c>
      <c r="AH63" s="1318" t="str">
        <f t="shared" si="39"/>
        <v>Checked</v>
      </c>
    </row>
    <row r="64" spans="1:34" outlineLevel="1" x14ac:dyDescent="0.3">
      <c r="B64" s="1356" t="s">
        <v>2189</v>
      </c>
      <c r="C64" s="1356" t="s">
        <v>1971</v>
      </c>
      <c r="D64" s="1322" t="s">
        <v>2190</v>
      </c>
      <c r="E64" s="1357">
        <v>10</v>
      </c>
      <c r="F64" s="1333">
        <f t="shared" si="30"/>
        <v>0</v>
      </c>
      <c r="G64" s="1358">
        <f t="shared" si="31"/>
        <v>0</v>
      </c>
      <c r="H64" s="1359">
        <f t="shared" si="32"/>
        <v>0</v>
      </c>
      <c r="I64" s="1360">
        <f t="shared" si="33"/>
        <v>0.1</v>
      </c>
      <c r="J64" s="1361">
        <v>3521200</v>
      </c>
      <c r="K64" s="1362">
        <v>3520200</v>
      </c>
      <c r="L64" s="1356">
        <v>0</v>
      </c>
      <c r="M64" s="1356">
        <v>0</v>
      </c>
      <c r="N64" s="1361">
        <f t="shared" si="34"/>
        <v>1000</v>
      </c>
      <c r="O64" s="1363"/>
      <c r="P64" s="1356">
        <v>0</v>
      </c>
      <c r="Q64" s="1364"/>
      <c r="R64" s="1365">
        <f t="shared" si="35"/>
        <v>1000</v>
      </c>
      <c r="S64" s="1364"/>
      <c r="T64" s="1366">
        <f t="shared" si="36"/>
        <v>0</v>
      </c>
      <c r="U64" s="1367">
        <f>IF($R64-SUM($T64:T64)=0,0,IF(OR($R64&lt;=0,$R64&lt;=SUM($T64:T64)),0,IF((IF($J64=0,$O64,$J64)*$I64)&gt;=($R64-SUM($T64:T64)),($R64-SUM($T64:T64)),IF($J64=0,$O64,$J64)*$I64)))</f>
        <v>1000</v>
      </c>
      <c r="V64" s="1367">
        <f>IF($R64-SUM($T64:U64)=0,0,IF(OR($R64&lt;=0,$R64&lt;=SUM($T64:U64)),0,IF((IF($J64=0,$O64,$J64)*$I64)&gt;=($R64-SUM($T64:U64)),($R64-SUM($T64:U64)),IF($J64=0,$O64,$J64)*$I64)))</f>
        <v>0</v>
      </c>
      <c r="W64" s="1367">
        <f>IF($R64-SUM($T64:V64)=0,0,IF(OR($R64&lt;=0,$R64&lt;=SUM($T64:V64)),0,IF((IF($J64=0,$O64,$J64)*$I64)&gt;=($R64-SUM($T64:V64)),($R64-SUM($T64:V64)),IF($J64=0,$O64,$J64)*$I64)))</f>
        <v>0</v>
      </c>
      <c r="X64" s="1367">
        <f>IF($R64-SUM($T64:W64)=0,0,IF(OR($R64&lt;=0,$R64&lt;=SUM($T64:W64)),0,IF((IF($J64=0,$O64,$J64)*$I64)&gt;=($R64-SUM($T64:W64)),($R64-SUM($T64:W64)),IF($J64=0,$O64,$J64)*$I64)))</f>
        <v>0</v>
      </c>
      <c r="Y64" s="1367">
        <f>IF($R64-SUM($T64:X64)=0,0,IF(OR($R64&lt;=0,$R64&lt;=SUM($T64:X64)),0,IF((IF($J64=0,$O64,$J64)*$I64)&gt;=($R64-SUM($T64:X64)),($R64-SUM($T64:X64)),IF($J64=0,$O64,$J64)*$I64)))</f>
        <v>0</v>
      </c>
      <c r="Z64" s="1367">
        <f>IF($R64-SUM($T64:Y64)=0,0,IF(OR($R64&lt;=0,$R64&lt;=SUM($T64:Y64)),0,IF((IF($J64=0,$O64,$J64)*$I64)&gt;=($R64-SUM($T64:Y64)),($R64-SUM($T64:Y64)),IF($J64=0,$O64,$J64)*$I64)))</f>
        <v>0</v>
      </c>
      <c r="AA64" s="1367">
        <f>IF($R64-SUM($T64:Z64)=0,0,IF(OR($R64&lt;=0,$R64&lt;=SUM($T64:Z64)),0,IF((IF($J64=0,$O64,$J64)*$I64)&gt;=($R64-SUM($T64:Z64)),($R64-SUM($T64:Z64)),IF($J64=0,$O64,$J64)*$I64)))</f>
        <v>0</v>
      </c>
      <c r="AB64" s="1367">
        <f>IF($R64-SUM($T64:AA64)=0,0,IF(OR($R64&lt;=0,$R64&lt;=SUM($T64:AA64)),0,IF((IF($J64=0,$O64,$J64)*$I64)&gt;=($R64-SUM($T64:AA64)),($R64-SUM($T64:AA64)),IF($J64=0,$O64,$J64)*$I64)))</f>
        <v>0</v>
      </c>
      <c r="AC64" s="1367">
        <f>IF($R64-SUM($T64:AB64)=0,0,IF(OR($R64&lt;=0,$R64&lt;=SUM($T64:AB64)),0,IF((IF($J64=0,$O64,$J64)*$I64)&gt;=($R64-SUM($T64:AB64)),($R64-SUM($T64:AB64)),IF($J64=0,$O64,$J64)*$I64)))</f>
        <v>0</v>
      </c>
      <c r="AD64" s="1367">
        <f>IF($R64-SUM($T64:AC64)=0,0,IF(OR($R64&lt;=0,$R64&lt;=SUM($T64:AC64)),0,IF((IF($J64=0,$O64,$J64)*$I64)&gt;=($R64-SUM($T64:AC64)),($R64-SUM($T64:AC64)),IF($J64=0,$O64,$J64)*$I64)))</f>
        <v>0</v>
      </c>
      <c r="AF64" s="1319" t="b">
        <f t="shared" si="37"/>
        <v>1</v>
      </c>
      <c r="AG64" s="1319" t="str">
        <f t="shared" si="38"/>
        <v>Checked</v>
      </c>
      <c r="AH64" s="1318" t="str">
        <f t="shared" si="39"/>
        <v>Checked</v>
      </c>
    </row>
    <row r="65" spans="2:34" outlineLevel="1" x14ac:dyDescent="0.3">
      <c r="B65" s="1356" t="s">
        <v>2191</v>
      </c>
      <c r="C65" s="1356" t="s">
        <v>1971</v>
      </c>
      <c r="D65" s="1322" t="s">
        <v>2174</v>
      </c>
      <c r="E65" s="1357">
        <v>10</v>
      </c>
      <c r="F65" s="1333">
        <f t="shared" si="30"/>
        <v>0</v>
      </c>
      <c r="G65" s="1358">
        <f t="shared" si="31"/>
        <v>0</v>
      </c>
      <c r="H65" s="1359">
        <f t="shared" si="32"/>
        <v>0</v>
      </c>
      <c r="I65" s="1360">
        <f t="shared" si="33"/>
        <v>0.1</v>
      </c>
      <c r="J65" s="1361">
        <v>1400000</v>
      </c>
      <c r="K65" s="1362">
        <v>1399000</v>
      </c>
      <c r="L65" s="1356">
        <v>0</v>
      </c>
      <c r="M65" s="1356">
        <v>0</v>
      </c>
      <c r="N65" s="1361">
        <f t="shared" si="34"/>
        <v>1000</v>
      </c>
      <c r="O65" s="1363"/>
      <c r="P65" s="1356">
        <v>0</v>
      </c>
      <c r="Q65" s="1364"/>
      <c r="R65" s="1365">
        <f t="shared" si="35"/>
        <v>1000</v>
      </c>
      <c r="S65" s="1364"/>
      <c r="T65" s="1366">
        <f t="shared" si="36"/>
        <v>0</v>
      </c>
      <c r="U65" s="1367">
        <f>IF($R65-SUM($T65:T65)=0,0,IF(OR($R65&lt;=0,$R65&lt;=SUM($T65:T65)),0,IF((IF($J65=0,$O65,$J65)*$I65)&gt;=($R65-SUM($T65:T65)),($R65-SUM($T65:T65)),IF($J65=0,$O65,$J65)*$I65)))</f>
        <v>1000</v>
      </c>
      <c r="V65" s="1367">
        <f>IF($R65-SUM($T65:U65)=0,0,IF(OR($R65&lt;=0,$R65&lt;=SUM($T65:U65)),0,IF((IF($J65=0,$O65,$J65)*$I65)&gt;=($R65-SUM($T65:U65)),($R65-SUM($T65:U65)),IF($J65=0,$O65,$J65)*$I65)))</f>
        <v>0</v>
      </c>
      <c r="W65" s="1367">
        <f>IF($R65-SUM($T65:V65)=0,0,IF(OR($R65&lt;=0,$R65&lt;=SUM($T65:V65)),0,IF((IF($J65=0,$O65,$J65)*$I65)&gt;=($R65-SUM($T65:V65)),($R65-SUM($T65:V65)),IF($J65=0,$O65,$J65)*$I65)))</f>
        <v>0</v>
      </c>
      <c r="X65" s="1367">
        <f>IF($R65-SUM($T65:W65)=0,0,IF(OR($R65&lt;=0,$R65&lt;=SUM($T65:W65)),0,IF((IF($J65=0,$O65,$J65)*$I65)&gt;=($R65-SUM($T65:W65)),($R65-SUM($T65:W65)),IF($J65=0,$O65,$J65)*$I65)))</f>
        <v>0</v>
      </c>
      <c r="Y65" s="1367">
        <f>IF($R65-SUM($T65:X65)=0,0,IF(OR($R65&lt;=0,$R65&lt;=SUM($T65:X65)),0,IF((IF($J65=0,$O65,$J65)*$I65)&gt;=($R65-SUM($T65:X65)),($R65-SUM($T65:X65)),IF($J65=0,$O65,$J65)*$I65)))</f>
        <v>0</v>
      </c>
      <c r="Z65" s="1367">
        <f>IF($R65-SUM($T65:Y65)=0,0,IF(OR($R65&lt;=0,$R65&lt;=SUM($T65:Y65)),0,IF((IF($J65=0,$O65,$J65)*$I65)&gt;=($R65-SUM($T65:Y65)),($R65-SUM($T65:Y65)),IF($J65=0,$O65,$J65)*$I65)))</f>
        <v>0</v>
      </c>
      <c r="AA65" s="1367">
        <f>IF($R65-SUM($T65:Z65)=0,0,IF(OR($R65&lt;=0,$R65&lt;=SUM($T65:Z65)),0,IF((IF($J65=0,$O65,$J65)*$I65)&gt;=($R65-SUM($T65:Z65)),($R65-SUM($T65:Z65)),IF($J65=0,$O65,$J65)*$I65)))</f>
        <v>0</v>
      </c>
      <c r="AB65" s="1367">
        <f>IF($R65-SUM($T65:AA65)=0,0,IF(OR($R65&lt;=0,$R65&lt;=SUM($T65:AA65)),0,IF((IF($J65=0,$O65,$J65)*$I65)&gt;=($R65-SUM($T65:AA65)),($R65-SUM($T65:AA65)),IF($J65=0,$O65,$J65)*$I65)))</f>
        <v>0</v>
      </c>
      <c r="AC65" s="1367">
        <f>IF($R65-SUM($T65:AB65)=0,0,IF(OR($R65&lt;=0,$R65&lt;=SUM($T65:AB65)),0,IF((IF($J65=0,$O65,$J65)*$I65)&gt;=($R65-SUM($T65:AB65)),($R65-SUM($T65:AB65)),IF($J65=0,$O65,$J65)*$I65)))</f>
        <v>0</v>
      </c>
      <c r="AD65" s="1367">
        <f>IF($R65-SUM($T65:AC65)=0,0,IF(OR($R65&lt;=0,$R65&lt;=SUM($T65:AC65)),0,IF((IF($J65=0,$O65,$J65)*$I65)&gt;=($R65-SUM($T65:AC65)),($R65-SUM($T65:AC65)),IF($J65=0,$O65,$J65)*$I65)))</f>
        <v>0</v>
      </c>
      <c r="AF65" s="1319" t="b">
        <f t="shared" si="37"/>
        <v>1</v>
      </c>
      <c r="AG65" s="1319" t="str">
        <f t="shared" si="38"/>
        <v>Checked</v>
      </c>
      <c r="AH65" s="1318" t="str">
        <f t="shared" si="39"/>
        <v>Checked</v>
      </c>
    </row>
    <row r="66" spans="2:34" outlineLevel="1" x14ac:dyDescent="0.3">
      <c r="B66" s="1356" t="s">
        <v>2192</v>
      </c>
      <c r="C66" s="1356" t="s">
        <v>1971</v>
      </c>
      <c r="D66" s="1322" t="s">
        <v>2174</v>
      </c>
      <c r="E66" s="1357">
        <v>10</v>
      </c>
      <c r="F66" s="1333">
        <f t="shared" si="30"/>
        <v>0</v>
      </c>
      <c r="G66" s="1358">
        <f t="shared" si="31"/>
        <v>0</v>
      </c>
      <c r="H66" s="1359">
        <f t="shared" si="32"/>
        <v>0</v>
      </c>
      <c r="I66" s="1360">
        <f t="shared" si="33"/>
        <v>0.1</v>
      </c>
      <c r="J66" s="1361">
        <v>2500000</v>
      </c>
      <c r="K66" s="1362">
        <v>2499000</v>
      </c>
      <c r="L66" s="1356">
        <v>0</v>
      </c>
      <c r="M66" s="1356">
        <v>0</v>
      </c>
      <c r="N66" s="1361">
        <f t="shared" si="34"/>
        <v>1000</v>
      </c>
      <c r="O66" s="1363"/>
      <c r="P66" s="1356">
        <v>0</v>
      </c>
      <c r="Q66" s="1364"/>
      <c r="R66" s="1365">
        <f t="shared" si="35"/>
        <v>1000</v>
      </c>
      <c r="S66" s="1364"/>
      <c r="T66" s="1366">
        <f t="shared" si="36"/>
        <v>0</v>
      </c>
      <c r="U66" s="1367">
        <f>IF($R66-SUM($T66:T66)=0,0,IF(OR($R66&lt;=0,$R66&lt;=SUM($T66:T66)),0,IF((IF($J66=0,$O66,$J66)*$I66)&gt;=($R66-SUM($T66:T66)),($R66-SUM($T66:T66)),IF($J66=0,$O66,$J66)*$I66)))</f>
        <v>1000</v>
      </c>
      <c r="V66" s="1367">
        <f>IF($R66-SUM($T66:U66)=0,0,IF(OR($R66&lt;=0,$R66&lt;=SUM($T66:U66)),0,IF((IF($J66=0,$O66,$J66)*$I66)&gt;=($R66-SUM($T66:U66)),($R66-SUM($T66:U66)),IF($J66=0,$O66,$J66)*$I66)))</f>
        <v>0</v>
      </c>
      <c r="W66" s="1367">
        <f>IF($R66-SUM($T66:V66)=0,0,IF(OR($R66&lt;=0,$R66&lt;=SUM($T66:V66)),0,IF((IF($J66=0,$O66,$J66)*$I66)&gt;=($R66-SUM($T66:V66)),($R66-SUM($T66:V66)),IF($J66=0,$O66,$J66)*$I66)))</f>
        <v>0</v>
      </c>
      <c r="X66" s="1367">
        <f>IF($R66-SUM($T66:W66)=0,0,IF(OR($R66&lt;=0,$R66&lt;=SUM($T66:W66)),0,IF((IF($J66=0,$O66,$J66)*$I66)&gt;=($R66-SUM($T66:W66)),($R66-SUM($T66:W66)),IF($J66=0,$O66,$J66)*$I66)))</f>
        <v>0</v>
      </c>
      <c r="Y66" s="1367">
        <f>IF($R66-SUM($T66:X66)=0,0,IF(OR($R66&lt;=0,$R66&lt;=SUM($T66:X66)),0,IF((IF($J66=0,$O66,$J66)*$I66)&gt;=($R66-SUM($T66:X66)),($R66-SUM($T66:X66)),IF($J66=0,$O66,$J66)*$I66)))</f>
        <v>0</v>
      </c>
      <c r="Z66" s="1367">
        <f>IF($R66-SUM($T66:Y66)=0,0,IF(OR($R66&lt;=0,$R66&lt;=SUM($T66:Y66)),0,IF((IF($J66=0,$O66,$J66)*$I66)&gt;=($R66-SUM($T66:Y66)),($R66-SUM($T66:Y66)),IF($J66=0,$O66,$J66)*$I66)))</f>
        <v>0</v>
      </c>
      <c r="AA66" s="1367">
        <f>IF($R66-SUM($T66:Z66)=0,0,IF(OR($R66&lt;=0,$R66&lt;=SUM($T66:Z66)),0,IF((IF($J66=0,$O66,$J66)*$I66)&gt;=($R66-SUM($T66:Z66)),($R66-SUM($T66:Z66)),IF($J66=0,$O66,$J66)*$I66)))</f>
        <v>0</v>
      </c>
      <c r="AB66" s="1367">
        <f>IF($R66-SUM($T66:AA66)=0,0,IF(OR($R66&lt;=0,$R66&lt;=SUM($T66:AA66)),0,IF((IF($J66=0,$O66,$J66)*$I66)&gt;=($R66-SUM($T66:AA66)),($R66-SUM($T66:AA66)),IF($J66=0,$O66,$J66)*$I66)))</f>
        <v>0</v>
      </c>
      <c r="AC66" s="1367">
        <f>IF($R66-SUM($T66:AB66)=0,0,IF(OR($R66&lt;=0,$R66&lt;=SUM($T66:AB66)),0,IF((IF($J66=0,$O66,$J66)*$I66)&gt;=($R66-SUM($T66:AB66)),($R66-SUM($T66:AB66)),IF($J66=0,$O66,$J66)*$I66)))</f>
        <v>0</v>
      </c>
      <c r="AD66" s="1367">
        <f>IF($R66-SUM($T66:AC66)=0,0,IF(OR($R66&lt;=0,$R66&lt;=SUM($T66:AC66)),0,IF((IF($J66=0,$O66,$J66)*$I66)&gt;=($R66-SUM($T66:AC66)),($R66-SUM($T66:AC66)),IF($J66=0,$O66,$J66)*$I66)))</f>
        <v>0</v>
      </c>
      <c r="AF66" s="1319" t="b">
        <f t="shared" si="37"/>
        <v>1</v>
      </c>
      <c r="AG66" s="1319" t="str">
        <f t="shared" si="38"/>
        <v>Checked</v>
      </c>
      <c r="AH66" s="1318" t="str">
        <f t="shared" si="39"/>
        <v>Checked</v>
      </c>
    </row>
    <row r="67" spans="2:34" outlineLevel="1" x14ac:dyDescent="0.3">
      <c r="B67" s="1356" t="s">
        <v>2193</v>
      </c>
      <c r="C67" s="1356" t="s">
        <v>1971</v>
      </c>
      <c r="D67" s="1322" t="s">
        <v>2174</v>
      </c>
      <c r="E67" s="1357">
        <v>10</v>
      </c>
      <c r="F67" s="1333">
        <f t="shared" si="30"/>
        <v>0</v>
      </c>
      <c r="G67" s="1358">
        <f t="shared" si="31"/>
        <v>0</v>
      </c>
      <c r="H67" s="1359">
        <f t="shared" si="32"/>
        <v>0</v>
      </c>
      <c r="I67" s="1360">
        <f t="shared" si="33"/>
        <v>0.1</v>
      </c>
      <c r="J67" s="1361">
        <v>16240000</v>
      </c>
      <c r="K67" s="1362">
        <v>16239000</v>
      </c>
      <c r="L67" s="1356">
        <v>0</v>
      </c>
      <c r="M67" s="1356">
        <v>0</v>
      </c>
      <c r="N67" s="1361">
        <f t="shared" si="34"/>
        <v>1000</v>
      </c>
      <c r="O67" s="1363"/>
      <c r="P67" s="1356">
        <v>0</v>
      </c>
      <c r="Q67" s="1364"/>
      <c r="R67" s="1365">
        <f t="shared" si="35"/>
        <v>1000</v>
      </c>
      <c r="S67" s="1364"/>
      <c r="T67" s="1366">
        <f t="shared" si="36"/>
        <v>0</v>
      </c>
      <c r="U67" s="1367">
        <f>IF($R67-SUM($T67:T67)=0,0,IF(OR($R67&lt;=0,$R67&lt;=SUM($T67:T67)),0,IF((IF($J67=0,$O67,$J67)*$I67)&gt;=($R67-SUM($T67:T67)),($R67-SUM($T67:T67)),IF($J67=0,$O67,$J67)*$I67)))</f>
        <v>1000</v>
      </c>
      <c r="V67" s="1367">
        <f>IF($R67-SUM($T67:U67)=0,0,IF(OR($R67&lt;=0,$R67&lt;=SUM($T67:U67)),0,IF((IF($J67=0,$O67,$J67)*$I67)&gt;=($R67-SUM($T67:U67)),($R67-SUM($T67:U67)),IF($J67=0,$O67,$J67)*$I67)))</f>
        <v>0</v>
      </c>
      <c r="W67" s="1367">
        <f>IF($R67-SUM($T67:V67)=0,0,IF(OR($R67&lt;=0,$R67&lt;=SUM($T67:V67)),0,IF((IF($J67=0,$O67,$J67)*$I67)&gt;=($R67-SUM($T67:V67)),($R67-SUM($T67:V67)),IF($J67=0,$O67,$J67)*$I67)))</f>
        <v>0</v>
      </c>
      <c r="X67" s="1367">
        <f>IF($R67-SUM($T67:W67)=0,0,IF(OR($R67&lt;=0,$R67&lt;=SUM($T67:W67)),0,IF((IF($J67=0,$O67,$J67)*$I67)&gt;=($R67-SUM($T67:W67)),($R67-SUM($T67:W67)),IF($J67=0,$O67,$J67)*$I67)))</f>
        <v>0</v>
      </c>
      <c r="Y67" s="1367">
        <f>IF($R67-SUM($T67:X67)=0,0,IF(OR($R67&lt;=0,$R67&lt;=SUM($T67:X67)),0,IF((IF($J67=0,$O67,$J67)*$I67)&gt;=($R67-SUM($T67:X67)),($R67-SUM($T67:X67)),IF($J67=0,$O67,$J67)*$I67)))</f>
        <v>0</v>
      </c>
      <c r="Z67" s="1367">
        <f>IF($R67-SUM($T67:Y67)=0,0,IF(OR($R67&lt;=0,$R67&lt;=SUM($T67:Y67)),0,IF((IF($J67=0,$O67,$J67)*$I67)&gt;=($R67-SUM($T67:Y67)),($R67-SUM($T67:Y67)),IF($J67=0,$O67,$J67)*$I67)))</f>
        <v>0</v>
      </c>
      <c r="AA67" s="1367">
        <f>IF($R67-SUM($T67:Z67)=0,0,IF(OR($R67&lt;=0,$R67&lt;=SUM($T67:Z67)),0,IF((IF($J67=0,$O67,$J67)*$I67)&gt;=($R67-SUM($T67:Z67)),($R67-SUM($T67:Z67)),IF($J67=0,$O67,$J67)*$I67)))</f>
        <v>0</v>
      </c>
      <c r="AB67" s="1367">
        <f>IF($R67-SUM($T67:AA67)=0,0,IF(OR($R67&lt;=0,$R67&lt;=SUM($T67:AA67)),0,IF((IF($J67=0,$O67,$J67)*$I67)&gt;=($R67-SUM($T67:AA67)),($R67-SUM($T67:AA67)),IF($J67=0,$O67,$J67)*$I67)))</f>
        <v>0</v>
      </c>
      <c r="AC67" s="1367">
        <f>IF($R67-SUM($T67:AB67)=0,0,IF(OR($R67&lt;=0,$R67&lt;=SUM($T67:AB67)),0,IF((IF($J67=0,$O67,$J67)*$I67)&gt;=($R67-SUM($T67:AB67)),($R67-SUM($T67:AB67)),IF($J67=0,$O67,$J67)*$I67)))</f>
        <v>0</v>
      </c>
      <c r="AD67" s="1367">
        <f>IF($R67-SUM($T67:AC67)=0,0,IF(OR($R67&lt;=0,$R67&lt;=SUM($T67:AC67)),0,IF((IF($J67=0,$O67,$J67)*$I67)&gt;=($R67-SUM($T67:AC67)),($R67-SUM($T67:AC67)),IF($J67=0,$O67,$J67)*$I67)))</f>
        <v>0</v>
      </c>
      <c r="AF67" s="1319" t="b">
        <f t="shared" si="37"/>
        <v>1</v>
      </c>
      <c r="AG67" s="1319" t="str">
        <f t="shared" si="38"/>
        <v>Checked</v>
      </c>
      <c r="AH67" s="1318" t="str">
        <f t="shared" si="39"/>
        <v>Checked</v>
      </c>
    </row>
    <row r="68" spans="2:34" outlineLevel="1" x14ac:dyDescent="0.3">
      <c r="B68" s="1356" t="s">
        <v>2194</v>
      </c>
      <c r="C68" s="1356" t="s">
        <v>1971</v>
      </c>
      <c r="D68" s="1322" t="s">
        <v>2174</v>
      </c>
      <c r="E68" s="1357">
        <v>10</v>
      </c>
      <c r="F68" s="1333">
        <f t="shared" si="30"/>
        <v>0</v>
      </c>
      <c r="G68" s="1358">
        <f t="shared" si="31"/>
        <v>0</v>
      </c>
      <c r="H68" s="1359">
        <f t="shared" si="32"/>
        <v>0</v>
      </c>
      <c r="I68" s="1360">
        <f t="shared" si="33"/>
        <v>0.1</v>
      </c>
      <c r="J68" s="1361">
        <v>16000000</v>
      </c>
      <c r="K68" s="1362">
        <v>15999000</v>
      </c>
      <c r="L68" s="1356">
        <v>0</v>
      </c>
      <c r="M68" s="1356">
        <v>0</v>
      </c>
      <c r="N68" s="1361">
        <f t="shared" si="34"/>
        <v>1000</v>
      </c>
      <c r="O68" s="1363"/>
      <c r="P68" s="1356">
        <v>0</v>
      </c>
      <c r="Q68" s="1364"/>
      <c r="R68" s="1365">
        <f t="shared" si="35"/>
        <v>1000</v>
      </c>
      <c r="S68" s="1364"/>
      <c r="T68" s="1366">
        <f t="shared" si="36"/>
        <v>0</v>
      </c>
      <c r="U68" s="1367">
        <f>IF($R68-SUM($T68:T68)=0,0,IF(OR($R68&lt;=0,$R68&lt;=SUM($T68:T68)),0,IF((IF($J68=0,$O68,$J68)*$I68)&gt;=($R68-SUM($T68:T68)),($R68-SUM($T68:T68)),IF($J68=0,$O68,$J68)*$I68)))</f>
        <v>1000</v>
      </c>
      <c r="V68" s="1367">
        <f>IF($R68-SUM($T68:U68)=0,0,IF(OR($R68&lt;=0,$R68&lt;=SUM($T68:U68)),0,IF((IF($J68=0,$O68,$J68)*$I68)&gt;=($R68-SUM($T68:U68)),($R68-SUM($T68:U68)),IF($J68=0,$O68,$J68)*$I68)))</f>
        <v>0</v>
      </c>
      <c r="W68" s="1367">
        <f>IF($R68-SUM($T68:V68)=0,0,IF(OR($R68&lt;=0,$R68&lt;=SUM($T68:V68)),0,IF((IF($J68=0,$O68,$J68)*$I68)&gt;=($R68-SUM($T68:V68)),($R68-SUM($T68:V68)),IF($J68=0,$O68,$J68)*$I68)))</f>
        <v>0</v>
      </c>
      <c r="X68" s="1367">
        <f>IF($R68-SUM($T68:W68)=0,0,IF(OR($R68&lt;=0,$R68&lt;=SUM($T68:W68)),0,IF((IF($J68=0,$O68,$J68)*$I68)&gt;=($R68-SUM($T68:W68)),($R68-SUM($T68:W68)),IF($J68=0,$O68,$J68)*$I68)))</f>
        <v>0</v>
      </c>
      <c r="Y68" s="1367">
        <f>IF($R68-SUM($T68:X68)=0,0,IF(OR($R68&lt;=0,$R68&lt;=SUM($T68:X68)),0,IF((IF($J68=0,$O68,$J68)*$I68)&gt;=($R68-SUM($T68:X68)),($R68-SUM($T68:X68)),IF($J68=0,$O68,$J68)*$I68)))</f>
        <v>0</v>
      </c>
      <c r="Z68" s="1367">
        <f>IF($R68-SUM($T68:Y68)=0,0,IF(OR($R68&lt;=0,$R68&lt;=SUM($T68:Y68)),0,IF((IF($J68=0,$O68,$J68)*$I68)&gt;=($R68-SUM($T68:Y68)),($R68-SUM($T68:Y68)),IF($J68=0,$O68,$J68)*$I68)))</f>
        <v>0</v>
      </c>
      <c r="AA68" s="1367">
        <f>IF($R68-SUM($T68:Z68)=0,0,IF(OR($R68&lt;=0,$R68&lt;=SUM($T68:Z68)),0,IF((IF($J68=0,$O68,$J68)*$I68)&gt;=($R68-SUM($T68:Z68)),($R68-SUM($T68:Z68)),IF($J68=0,$O68,$J68)*$I68)))</f>
        <v>0</v>
      </c>
      <c r="AB68" s="1367">
        <f>IF($R68-SUM($T68:AA68)=0,0,IF(OR($R68&lt;=0,$R68&lt;=SUM($T68:AA68)),0,IF((IF($J68=0,$O68,$J68)*$I68)&gt;=($R68-SUM($T68:AA68)),($R68-SUM($T68:AA68)),IF($J68=0,$O68,$J68)*$I68)))</f>
        <v>0</v>
      </c>
      <c r="AC68" s="1367">
        <f>IF($R68-SUM($T68:AB68)=0,0,IF(OR($R68&lt;=0,$R68&lt;=SUM($T68:AB68)),0,IF((IF($J68=0,$O68,$J68)*$I68)&gt;=($R68-SUM($T68:AB68)),($R68-SUM($T68:AB68)),IF($J68=0,$O68,$J68)*$I68)))</f>
        <v>0</v>
      </c>
      <c r="AD68" s="1367">
        <f>IF($R68-SUM($T68:AC68)=0,0,IF(OR($R68&lt;=0,$R68&lt;=SUM($T68:AC68)),0,IF((IF($J68=0,$O68,$J68)*$I68)&gt;=($R68-SUM($T68:AC68)),($R68-SUM($T68:AC68)),IF($J68=0,$O68,$J68)*$I68)))</f>
        <v>0</v>
      </c>
      <c r="AF68" s="1319" t="b">
        <f t="shared" si="37"/>
        <v>1</v>
      </c>
      <c r="AG68" s="1319" t="str">
        <f t="shared" si="38"/>
        <v>Checked</v>
      </c>
      <c r="AH68" s="1318" t="str">
        <f t="shared" si="39"/>
        <v>Checked</v>
      </c>
    </row>
    <row r="69" spans="2:34" outlineLevel="1" x14ac:dyDescent="0.3">
      <c r="B69" s="1356" t="s">
        <v>2195</v>
      </c>
      <c r="C69" s="1356" t="s">
        <v>1971</v>
      </c>
      <c r="D69" s="1322" t="s">
        <v>2174</v>
      </c>
      <c r="E69" s="1357">
        <v>10</v>
      </c>
      <c r="F69" s="1333">
        <f t="shared" si="30"/>
        <v>0</v>
      </c>
      <c r="G69" s="1358">
        <f t="shared" si="31"/>
        <v>0</v>
      </c>
      <c r="H69" s="1359">
        <f t="shared" si="32"/>
        <v>0</v>
      </c>
      <c r="I69" s="1360">
        <f t="shared" si="33"/>
        <v>0.1</v>
      </c>
      <c r="J69" s="1361">
        <v>2682000</v>
      </c>
      <c r="K69" s="1362">
        <v>2681000</v>
      </c>
      <c r="L69" s="1356">
        <v>0</v>
      </c>
      <c r="M69" s="1356">
        <v>0</v>
      </c>
      <c r="N69" s="1361">
        <f t="shared" si="34"/>
        <v>1000</v>
      </c>
      <c r="O69" s="1363"/>
      <c r="P69" s="1356">
        <v>0</v>
      </c>
      <c r="Q69" s="1364"/>
      <c r="R69" s="1365">
        <f t="shared" si="35"/>
        <v>1000</v>
      </c>
      <c r="S69" s="1364"/>
      <c r="T69" s="1366">
        <f t="shared" si="36"/>
        <v>0</v>
      </c>
      <c r="U69" s="1367">
        <f>IF($R69-SUM($T69:T69)=0,0,IF(OR($R69&lt;=0,$R69&lt;=SUM($T69:T69)),0,IF((IF($J69=0,$O69,$J69)*$I69)&gt;=($R69-SUM($T69:T69)),($R69-SUM($T69:T69)),IF($J69=0,$O69,$J69)*$I69)))</f>
        <v>1000</v>
      </c>
      <c r="V69" s="1367">
        <f>IF($R69-SUM($T69:U69)=0,0,IF(OR($R69&lt;=0,$R69&lt;=SUM($T69:U69)),0,IF((IF($J69=0,$O69,$J69)*$I69)&gt;=($R69-SUM($T69:U69)),($R69-SUM($T69:U69)),IF($J69=0,$O69,$J69)*$I69)))</f>
        <v>0</v>
      </c>
      <c r="W69" s="1367">
        <f>IF($R69-SUM($T69:V69)=0,0,IF(OR($R69&lt;=0,$R69&lt;=SUM($T69:V69)),0,IF((IF($J69=0,$O69,$J69)*$I69)&gt;=($R69-SUM($T69:V69)),($R69-SUM($T69:V69)),IF($J69=0,$O69,$J69)*$I69)))</f>
        <v>0</v>
      </c>
      <c r="X69" s="1367">
        <f>IF($R69-SUM($T69:W69)=0,0,IF(OR($R69&lt;=0,$R69&lt;=SUM($T69:W69)),0,IF((IF($J69=0,$O69,$J69)*$I69)&gt;=($R69-SUM($T69:W69)),($R69-SUM($T69:W69)),IF($J69=0,$O69,$J69)*$I69)))</f>
        <v>0</v>
      </c>
      <c r="Y69" s="1367">
        <f>IF($R69-SUM($T69:X69)=0,0,IF(OR($R69&lt;=0,$R69&lt;=SUM($T69:X69)),0,IF((IF($J69=0,$O69,$J69)*$I69)&gt;=($R69-SUM($T69:X69)),($R69-SUM($T69:X69)),IF($J69=0,$O69,$J69)*$I69)))</f>
        <v>0</v>
      </c>
      <c r="Z69" s="1367">
        <f>IF($R69-SUM($T69:Y69)=0,0,IF(OR($R69&lt;=0,$R69&lt;=SUM($T69:Y69)),0,IF((IF($J69=0,$O69,$J69)*$I69)&gt;=($R69-SUM($T69:Y69)),($R69-SUM($T69:Y69)),IF($J69=0,$O69,$J69)*$I69)))</f>
        <v>0</v>
      </c>
      <c r="AA69" s="1367">
        <f>IF($R69-SUM($T69:Z69)=0,0,IF(OR($R69&lt;=0,$R69&lt;=SUM($T69:Z69)),0,IF((IF($J69=0,$O69,$J69)*$I69)&gt;=($R69-SUM($T69:Z69)),($R69-SUM($T69:Z69)),IF($J69=0,$O69,$J69)*$I69)))</f>
        <v>0</v>
      </c>
      <c r="AB69" s="1367">
        <f>IF($R69-SUM($T69:AA69)=0,0,IF(OR($R69&lt;=0,$R69&lt;=SUM($T69:AA69)),0,IF((IF($J69=0,$O69,$J69)*$I69)&gt;=($R69-SUM($T69:AA69)),($R69-SUM($T69:AA69)),IF($J69=0,$O69,$J69)*$I69)))</f>
        <v>0</v>
      </c>
      <c r="AC69" s="1367">
        <f>IF($R69-SUM($T69:AB69)=0,0,IF(OR($R69&lt;=0,$R69&lt;=SUM($T69:AB69)),0,IF((IF($J69=0,$O69,$J69)*$I69)&gt;=($R69-SUM($T69:AB69)),($R69-SUM($T69:AB69)),IF($J69=0,$O69,$J69)*$I69)))</f>
        <v>0</v>
      </c>
      <c r="AD69" s="1367">
        <f>IF($R69-SUM($T69:AC69)=0,0,IF(OR($R69&lt;=0,$R69&lt;=SUM($T69:AC69)),0,IF((IF($J69=0,$O69,$J69)*$I69)&gt;=($R69-SUM($T69:AC69)),($R69-SUM($T69:AC69)),IF($J69=0,$O69,$J69)*$I69)))</f>
        <v>0</v>
      </c>
      <c r="AF69" s="1319" t="b">
        <f t="shared" si="37"/>
        <v>1</v>
      </c>
      <c r="AG69" s="1319" t="str">
        <f t="shared" si="38"/>
        <v>Checked</v>
      </c>
      <c r="AH69" s="1318" t="str">
        <f t="shared" si="39"/>
        <v>Checked</v>
      </c>
    </row>
    <row r="70" spans="2:34" outlineLevel="1" x14ac:dyDescent="0.3">
      <c r="B70" s="1356" t="s">
        <v>2195</v>
      </c>
      <c r="C70" s="1356" t="s">
        <v>1971</v>
      </c>
      <c r="D70" s="1322" t="s">
        <v>2174</v>
      </c>
      <c r="E70" s="1357">
        <v>10</v>
      </c>
      <c r="F70" s="1333">
        <f t="shared" si="30"/>
        <v>0</v>
      </c>
      <c r="G70" s="1358">
        <f t="shared" si="31"/>
        <v>0</v>
      </c>
      <c r="H70" s="1359">
        <f t="shared" si="32"/>
        <v>0</v>
      </c>
      <c r="I70" s="1360">
        <f t="shared" si="33"/>
        <v>0.1</v>
      </c>
      <c r="J70" s="1361">
        <v>8910000</v>
      </c>
      <c r="K70" s="1362">
        <v>8909000</v>
      </c>
      <c r="L70" s="1356">
        <v>0</v>
      </c>
      <c r="M70" s="1356">
        <v>0</v>
      </c>
      <c r="N70" s="1361">
        <f t="shared" si="34"/>
        <v>1000</v>
      </c>
      <c r="O70" s="1363"/>
      <c r="P70" s="1356">
        <v>0</v>
      </c>
      <c r="Q70" s="1364"/>
      <c r="R70" s="1365">
        <f t="shared" si="35"/>
        <v>1000</v>
      </c>
      <c r="S70" s="1364"/>
      <c r="T70" s="1366">
        <f t="shared" si="36"/>
        <v>0</v>
      </c>
      <c r="U70" s="1367">
        <f>IF($R70-SUM($T70:T70)=0,0,IF(OR($R70&lt;=0,$R70&lt;=SUM($T70:T70)),0,IF((IF($J70=0,$O70,$J70)*$I70)&gt;=($R70-SUM($T70:T70)),($R70-SUM($T70:T70)),IF($J70=0,$O70,$J70)*$I70)))</f>
        <v>1000</v>
      </c>
      <c r="V70" s="1367">
        <f>IF($R70-SUM($T70:U70)=0,0,IF(OR($R70&lt;=0,$R70&lt;=SUM($T70:U70)),0,IF((IF($J70=0,$O70,$J70)*$I70)&gt;=($R70-SUM($T70:U70)),($R70-SUM($T70:U70)),IF($J70=0,$O70,$J70)*$I70)))</f>
        <v>0</v>
      </c>
      <c r="W70" s="1367">
        <f>IF($R70-SUM($T70:V70)=0,0,IF(OR($R70&lt;=0,$R70&lt;=SUM($T70:V70)),0,IF((IF($J70=0,$O70,$J70)*$I70)&gt;=($R70-SUM($T70:V70)),($R70-SUM($T70:V70)),IF($J70=0,$O70,$J70)*$I70)))</f>
        <v>0</v>
      </c>
      <c r="X70" s="1367">
        <f>IF($R70-SUM($T70:W70)=0,0,IF(OR($R70&lt;=0,$R70&lt;=SUM($T70:W70)),0,IF((IF($J70=0,$O70,$J70)*$I70)&gt;=($R70-SUM($T70:W70)),($R70-SUM($T70:W70)),IF($J70=0,$O70,$J70)*$I70)))</f>
        <v>0</v>
      </c>
      <c r="Y70" s="1367">
        <f>IF($R70-SUM($T70:X70)=0,0,IF(OR($R70&lt;=0,$R70&lt;=SUM($T70:X70)),0,IF((IF($J70=0,$O70,$J70)*$I70)&gt;=($R70-SUM($T70:X70)),($R70-SUM($T70:X70)),IF($J70=0,$O70,$J70)*$I70)))</f>
        <v>0</v>
      </c>
      <c r="Z70" s="1367">
        <f>IF($R70-SUM($T70:Y70)=0,0,IF(OR($R70&lt;=0,$R70&lt;=SUM($T70:Y70)),0,IF((IF($J70=0,$O70,$J70)*$I70)&gt;=($R70-SUM($T70:Y70)),($R70-SUM($T70:Y70)),IF($J70=0,$O70,$J70)*$I70)))</f>
        <v>0</v>
      </c>
      <c r="AA70" s="1367">
        <f>IF($R70-SUM($T70:Z70)=0,0,IF(OR($R70&lt;=0,$R70&lt;=SUM($T70:Z70)),0,IF((IF($J70=0,$O70,$J70)*$I70)&gt;=($R70-SUM($T70:Z70)),($R70-SUM($T70:Z70)),IF($J70=0,$O70,$J70)*$I70)))</f>
        <v>0</v>
      </c>
      <c r="AB70" s="1367">
        <f>IF($R70-SUM($T70:AA70)=0,0,IF(OR($R70&lt;=0,$R70&lt;=SUM($T70:AA70)),0,IF((IF($J70=0,$O70,$J70)*$I70)&gt;=($R70-SUM($T70:AA70)),($R70-SUM($T70:AA70)),IF($J70=0,$O70,$J70)*$I70)))</f>
        <v>0</v>
      </c>
      <c r="AC70" s="1367">
        <f>IF($R70-SUM($T70:AB70)=0,0,IF(OR($R70&lt;=0,$R70&lt;=SUM($T70:AB70)),0,IF((IF($J70=0,$O70,$J70)*$I70)&gt;=($R70-SUM($T70:AB70)),($R70-SUM($T70:AB70)),IF($J70=0,$O70,$J70)*$I70)))</f>
        <v>0</v>
      </c>
      <c r="AD70" s="1367">
        <f>IF($R70-SUM($T70:AC70)=0,0,IF(OR($R70&lt;=0,$R70&lt;=SUM($T70:AC70)),0,IF((IF($J70=0,$O70,$J70)*$I70)&gt;=($R70-SUM($T70:AC70)),($R70-SUM($T70:AC70)),IF($J70=0,$O70,$J70)*$I70)))</f>
        <v>0</v>
      </c>
      <c r="AF70" s="1319" t="b">
        <f t="shared" si="37"/>
        <v>1</v>
      </c>
      <c r="AG70" s="1319" t="str">
        <f t="shared" si="38"/>
        <v>Checked</v>
      </c>
      <c r="AH70" s="1318" t="str">
        <f t="shared" si="39"/>
        <v>Checked</v>
      </c>
    </row>
    <row r="71" spans="2:34" outlineLevel="1" x14ac:dyDescent="0.3">
      <c r="B71" s="1356" t="s">
        <v>2195</v>
      </c>
      <c r="C71" s="1356" t="s">
        <v>1971</v>
      </c>
      <c r="D71" s="1322" t="s">
        <v>2174</v>
      </c>
      <c r="E71" s="1357">
        <v>10</v>
      </c>
      <c r="F71" s="1333">
        <f t="shared" si="30"/>
        <v>0</v>
      </c>
      <c r="G71" s="1358">
        <f t="shared" si="31"/>
        <v>0</v>
      </c>
      <c r="H71" s="1359">
        <f t="shared" si="32"/>
        <v>0</v>
      </c>
      <c r="I71" s="1360">
        <f t="shared" si="33"/>
        <v>0.1</v>
      </c>
      <c r="J71" s="1361">
        <v>4776000</v>
      </c>
      <c r="K71" s="1362">
        <v>4775000</v>
      </c>
      <c r="L71" s="1356">
        <v>0</v>
      </c>
      <c r="M71" s="1356">
        <v>0</v>
      </c>
      <c r="N71" s="1361">
        <f t="shared" si="34"/>
        <v>1000</v>
      </c>
      <c r="O71" s="1363"/>
      <c r="P71" s="1356">
        <v>0</v>
      </c>
      <c r="Q71" s="1364"/>
      <c r="R71" s="1365">
        <f t="shared" si="35"/>
        <v>1000</v>
      </c>
      <c r="S71" s="1364"/>
      <c r="T71" s="1366">
        <f t="shared" si="36"/>
        <v>0</v>
      </c>
      <c r="U71" s="1367">
        <f>IF($R71-SUM($T71:T71)=0,0,IF(OR($R71&lt;=0,$R71&lt;=SUM($T71:T71)),0,IF((IF($J71=0,$O71,$J71)*$I71)&gt;=($R71-SUM($T71:T71)),($R71-SUM($T71:T71)),IF($J71=0,$O71,$J71)*$I71)))</f>
        <v>1000</v>
      </c>
      <c r="V71" s="1367">
        <f>IF($R71-SUM($T71:U71)=0,0,IF(OR($R71&lt;=0,$R71&lt;=SUM($T71:U71)),0,IF((IF($J71=0,$O71,$J71)*$I71)&gt;=($R71-SUM($T71:U71)),($R71-SUM($T71:U71)),IF($J71=0,$O71,$J71)*$I71)))</f>
        <v>0</v>
      </c>
      <c r="W71" s="1367">
        <f>IF($R71-SUM($T71:V71)=0,0,IF(OR($R71&lt;=0,$R71&lt;=SUM($T71:V71)),0,IF((IF($J71=0,$O71,$J71)*$I71)&gt;=($R71-SUM($T71:V71)),($R71-SUM($T71:V71)),IF($J71=0,$O71,$J71)*$I71)))</f>
        <v>0</v>
      </c>
      <c r="X71" s="1367">
        <f>IF($R71-SUM($T71:W71)=0,0,IF(OR($R71&lt;=0,$R71&lt;=SUM($T71:W71)),0,IF((IF($J71=0,$O71,$J71)*$I71)&gt;=($R71-SUM($T71:W71)),($R71-SUM($T71:W71)),IF($J71=0,$O71,$J71)*$I71)))</f>
        <v>0</v>
      </c>
      <c r="Y71" s="1367">
        <f>IF($R71-SUM($T71:X71)=0,0,IF(OR($R71&lt;=0,$R71&lt;=SUM($T71:X71)),0,IF((IF($J71=0,$O71,$J71)*$I71)&gt;=($R71-SUM($T71:X71)),($R71-SUM($T71:X71)),IF($J71=0,$O71,$J71)*$I71)))</f>
        <v>0</v>
      </c>
      <c r="Z71" s="1367">
        <f>IF($R71-SUM($T71:Y71)=0,0,IF(OR($R71&lt;=0,$R71&lt;=SUM($T71:Y71)),0,IF((IF($J71=0,$O71,$J71)*$I71)&gt;=($R71-SUM($T71:Y71)),($R71-SUM($T71:Y71)),IF($J71=0,$O71,$J71)*$I71)))</f>
        <v>0</v>
      </c>
      <c r="AA71" s="1367">
        <f>IF($R71-SUM($T71:Z71)=0,0,IF(OR($R71&lt;=0,$R71&lt;=SUM($T71:Z71)),0,IF((IF($J71=0,$O71,$J71)*$I71)&gt;=($R71-SUM($T71:Z71)),($R71-SUM($T71:Z71)),IF($J71=0,$O71,$J71)*$I71)))</f>
        <v>0</v>
      </c>
      <c r="AB71" s="1367">
        <f>IF($R71-SUM($T71:AA71)=0,0,IF(OR($R71&lt;=0,$R71&lt;=SUM($T71:AA71)),0,IF((IF($J71=0,$O71,$J71)*$I71)&gt;=($R71-SUM($T71:AA71)),($R71-SUM($T71:AA71)),IF($J71=0,$O71,$J71)*$I71)))</f>
        <v>0</v>
      </c>
      <c r="AC71" s="1367">
        <f>IF($R71-SUM($T71:AB71)=0,0,IF(OR($R71&lt;=0,$R71&lt;=SUM($T71:AB71)),0,IF((IF($J71=0,$O71,$J71)*$I71)&gt;=($R71-SUM($T71:AB71)),($R71-SUM($T71:AB71)),IF($J71=0,$O71,$J71)*$I71)))</f>
        <v>0</v>
      </c>
      <c r="AD71" s="1367">
        <f>IF($R71-SUM($T71:AC71)=0,0,IF(OR($R71&lt;=0,$R71&lt;=SUM($T71:AC71)),0,IF((IF($J71=0,$O71,$J71)*$I71)&gt;=($R71-SUM($T71:AC71)),($R71-SUM($T71:AC71)),IF($J71=0,$O71,$J71)*$I71)))</f>
        <v>0</v>
      </c>
      <c r="AF71" s="1319" t="b">
        <f t="shared" si="37"/>
        <v>1</v>
      </c>
      <c r="AG71" s="1319" t="str">
        <f t="shared" si="38"/>
        <v>Checked</v>
      </c>
      <c r="AH71" s="1318" t="str">
        <f t="shared" si="39"/>
        <v>Checked</v>
      </c>
    </row>
    <row r="72" spans="2:34" outlineLevel="1" x14ac:dyDescent="0.3">
      <c r="B72" s="1356" t="s">
        <v>2196</v>
      </c>
      <c r="C72" s="1356" t="s">
        <v>1971</v>
      </c>
      <c r="D72" s="1322" t="s">
        <v>2174</v>
      </c>
      <c r="E72" s="1357">
        <v>10</v>
      </c>
      <c r="F72" s="1333">
        <f t="shared" si="30"/>
        <v>0</v>
      </c>
      <c r="G72" s="1358">
        <f t="shared" si="31"/>
        <v>0</v>
      </c>
      <c r="H72" s="1359">
        <f t="shared" si="32"/>
        <v>0</v>
      </c>
      <c r="I72" s="1360">
        <f t="shared" si="33"/>
        <v>0.1</v>
      </c>
      <c r="J72" s="1361">
        <v>7306000</v>
      </c>
      <c r="K72" s="1362">
        <v>7305000</v>
      </c>
      <c r="L72" s="1356">
        <v>0</v>
      </c>
      <c r="M72" s="1356">
        <v>0</v>
      </c>
      <c r="N72" s="1361">
        <f t="shared" si="34"/>
        <v>1000</v>
      </c>
      <c r="O72" s="1363"/>
      <c r="P72" s="1356">
        <v>0</v>
      </c>
      <c r="Q72" s="1364"/>
      <c r="R72" s="1365">
        <f t="shared" si="35"/>
        <v>1000</v>
      </c>
      <c r="S72" s="1364"/>
      <c r="T72" s="1366">
        <f t="shared" si="36"/>
        <v>0</v>
      </c>
      <c r="U72" s="1367">
        <f>IF($R72-SUM($T72:T72)=0,0,IF(OR($R72&lt;=0,$R72&lt;=SUM($T72:T72)),0,IF((IF($J72=0,$O72,$J72)*$I72)&gt;=($R72-SUM($T72:T72)),($R72-SUM($T72:T72)),IF($J72=0,$O72,$J72)*$I72)))</f>
        <v>1000</v>
      </c>
      <c r="V72" s="1367">
        <f>IF($R72-SUM($T72:U72)=0,0,IF(OR($R72&lt;=0,$R72&lt;=SUM($T72:U72)),0,IF((IF($J72=0,$O72,$J72)*$I72)&gt;=($R72-SUM($T72:U72)),($R72-SUM($T72:U72)),IF($J72=0,$O72,$J72)*$I72)))</f>
        <v>0</v>
      </c>
      <c r="W72" s="1367">
        <f>IF($R72-SUM($T72:V72)=0,0,IF(OR($R72&lt;=0,$R72&lt;=SUM($T72:V72)),0,IF((IF($J72=0,$O72,$J72)*$I72)&gt;=($R72-SUM($T72:V72)),($R72-SUM($T72:V72)),IF($J72=0,$O72,$J72)*$I72)))</f>
        <v>0</v>
      </c>
      <c r="X72" s="1367">
        <f>IF($R72-SUM($T72:W72)=0,0,IF(OR($R72&lt;=0,$R72&lt;=SUM($T72:W72)),0,IF((IF($J72=0,$O72,$J72)*$I72)&gt;=($R72-SUM($T72:W72)),($R72-SUM($T72:W72)),IF($J72=0,$O72,$J72)*$I72)))</f>
        <v>0</v>
      </c>
      <c r="Y72" s="1367">
        <f>IF($R72-SUM($T72:X72)=0,0,IF(OR($R72&lt;=0,$R72&lt;=SUM($T72:X72)),0,IF((IF($J72=0,$O72,$J72)*$I72)&gt;=($R72-SUM($T72:X72)),($R72-SUM($T72:X72)),IF($J72=0,$O72,$J72)*$I72)))</f>
        <v>0</v>
      </c>
      <c r="Z72" s="1367">
        <f>IF($R72-SUM($T72:Y72)=0,0,IF(OR($R72&lt;=0,$R72&lt;=SUM($T72:Y72)),0,IF((IF($J72=0,$O72,$J72)*$I72)&gt;=($R72-SUM($T72:Y72)),($R72-SUM($T72:Y72)),IF($J72=0,$O72,$J72)*$I72)))</f>
        <v>0</v>
      </c>
      <c r="AA72" s="1367">
        <f>IF($R72-SUM($T72:Z72)=0,0,IF(OR($R72&lt;=0,$R72&lt;=SUM($T72:Z72)),0,IF((IF($J72=0,$O72,$J72)*$I72)&gt;=($R72-SUM($T72:Z72)),($R72-SUM($T72:Z72)),IF($J72=0,$O72,$J72)*$I72)))</f>
        <v>0</v>
      </c>
      <c r="AB72" s="1367">
        <f>IF($R72-SUM($T72:AA72)=0,0,IF(OR($R72&lt;=0,$R72&lt;=SUM($T72:AA72)),0,IF((IF($J72=0,$O72,$J72)*$I72)&gt;=($R72-SUM($T72:AA72)),($R72-SUM($T72:AA72)),IF($J72=0,$O72,$J72)*$I72)))</f>
        <v>0</v>
      </c>
      <c r="AC72" s="1367">
        <f>IF($R72-SUM($T72:AB72)=0,0,IF(OR($R72&lt;=0,$R72&lt;=SUM($T72:AB72)),0,IF((IF($J72=0,$O72,$J72)*$I72)&gt;=($R72-SUM($T72:AB72)),($R72-SUM($T72:AB72)),IF($J72=0,$O72,$J72)*$I72)))</f>
        <v>0</v>
      </c>
      <c r="AD72" s="1367">
        <f>IF($R72-SUM($T72:AC72)=0,0,IF(OR($R72&lt;=0,$R72&lt;=SUM($T72:AC72)),0,IF((IF($J72=0,$O72,$J72)*$I72)&gt;=($R72-SUM($T72:AC72)),($R72-SUM($T72:AC72)),IF($J72=0,$O72,$J72)*$I72)))</f>
        <v>0</v>
      </c>
      <c r="AF72" s="1319" t="b">
        <f t="shared" si="37"/>
        <v>1</v>
      </c>
      <c r="AG72" s="1319" t="str">
        <f t="shared" si="38"/>
        <v>Checked</v>
      </c>
      <c r="AH72" s="1318" t="str">
        <f t="shared" si="39"/>
        <v>Checked</v>
      </c>
    </row>
    <row r="73" spans="2:34" outlineLevel="1" x14ac:dyDescent="0.3">
      <c r="B73" s="1356" t="s">
        <v>2197</v>
      </c>
      <c r="C73" s="1356" t="s">
        <v>1971</v>
      </c>
      <c r="D73" s="1322" t="s">
        <v>2174</v>
      </c>
      <c r="E73" s="1357">
        <v>10</v>
      </c>
      <c r="F73" s="1333">
        <f t="shared" si="30"/>
        <v>0</v>
      </c>
      <c r="G73" s="1358">
        <f t="shared" si="31"/>
        <v>0</v>
      </c>
      <c r="H73" s="1359">
        <f t="shared" si="32"/>
        <v>0</v>
      </c>
      <c r="I73" s="1360">
        <f t="shared" si="33"/>
        <v>0.1</v>
      </c>
      <c r="J73" s="1361">
        <v>9131000</v>
      </c>
      <c r="K73" s="1362">
        <v>9130000</v>
      </c>
      <c r="L73" s="1356">
        <v>0</v>
      </c>
      <c r="M73" s="1356">
        <v>0</v>
      </c>
      <c r="N73" s="1361">
        <f t="shared" si="34"/>
        <v>1000</v>
      </c>
      <c r="O73" s="1363"/>
      <c r="P73" s="1356">
        <v>0</v>
      </c>
      <c r="Q73" s="1364"/>
      <c r="R73" s="1365">
        <f t="shared" si="35"/>
        <v>1000</v>
      </c>
      <c r="S73" s="1364"/>
      <c r="T73" s="1366">
        <f t="shared" si="36"/>
        <v>0</v>
      </c>
      <c r="U73" s="1367">
        <f>IF($R73-SUM($T73:T73)=0,0,IF(OR($R73&lt;=0,$R73&lt;=SUM($T73:T73)),0,IF((IF($J73=0,$O73,$J73)*$I73)&gt;=($R73-SUM($T73:T73)),($R73-SUM($T73:T73)),IF($J73=0,$O73,$J73)*$I73)))</f>
        <v>1000</v>
      </c>
      <c r="V73" s="1367">
        <f>IF($R73-SUM($T73:U73)=0,0,IF(OR($R73&lt;=0,$R73&lt;=SUM($T73:U73)),0,IF((IF($J73=0,$O73,$J73)*$I73)&gt;=($R73-SUM($T73:U73)),($R73-SUM($T73:U73)),IF($J73=0,$O73,$J73)*$I73)))</f>
        <v>0</v>
      </c>
      <c r="W73" s="1367">
        <f>IF($R73-SUM($T73:V73)=0,0,IF(OR($R73&lt;=0,$R73&lt;=SUM($T73:V73)),0,IF((IF($J73=0,$O73,$J73)*$I73)&gt;=($R73-SUM($T73:V73)),($R73-SUM($T73:V73)),IF($J73=0,$O73,$J73)*$I73)))</f>
        <v>0</v>
      </c>
      <c r="X73" s="1367">
        <f>IF($R73-SUM($T73:W73)=0,0,IF(OR($R73&lt;=0,$R73&lt;=SUM($T73:W73)),0,IF((IF($J73=0,$O73,$J73)*$I73)&gt;=($R73-SUM($T73:W73)),($R73-SUM($T73:W73)),IF($J73=0,$O73,$J73)*$I73)))</f>
        <v>0</v>
      </c>
      <c r="Y73" s="1367">
        <f>IF($R73-SUM($T73:X73)=0,0,IF(OR($R73&lt;=0,$R73&lt;=SUM($T73:X73)),0,IF((IF($J73=0,$O73,$J73)*$I73)&gt;=($R73-SUM($T73:X73)),($R73-SUM($T73:X73)),IF($J73=0,$O73,$J73)*$I73)))</f>
        <v>0</v>
      </c>
      <c r="Z73" s="1367">
        <f>IF($R73-SUM($T73:Y73)=0,0,IF(OR($R73&lt;=0,$R73&lt;=SUM($T73:Y73)),0,IF((IF($J73=0,$O73,$J73)*$I73)&gt;=($R73-SUM($T73:Y73)),($R73-SUM($T73:Y73)),IF($J73=0,$O73,$J73)*$I73)))</f>
        <v>0</v>
      </c>
      <c r="AA73" s="1367">
        <f>IF($R73-SUM($T73:Z73)=0,0,IF(OR($R73&lt;=0,$R73&lt;=SUM($T73:Z73)),0,IF((IF($J73=0,$O73,$J73)*$I73)&gt;=($R73-SUM($T73:Z73)),($R73-SUM($T73:Z73)),IF($J73=0,$O73,$J73)*$I73)))</f>
        <v>0</v>
      </c>
      <c r="AB73" s="1367">
        <f>IF($R73-SUM($T73:AA73)=0,0,IF(OR($R73&lt;=0,$R73&lt;=SUM($T73:AA73)),0,IF((IF($J73=0,$O73,$J73)*$I73)&gt;=($R73-SUM($T73:AA73)),($R73-SUM($T73:AA73)),IF($J73=0,$O73,$J73)*$I73)))</f>
        <v>0</v>
      </c>
      <c r="AC73" s="1367">
        <f>IF($R73-SUM($T73:AB73)=0,0,IF(OR($R73&lt;=0,$R73&lt;=SUM($T73:AB73)),0,IF((IF($J73=0,$O73,$J73)*$I73)&gt;=($R73-SUM($T73:AB73)),($R73-SUM($T73:AB73)),IF($J73=0,$O73,$J73)*$I73)))</f>
        <v>0</v>
      </c>
      <c r="AD73" s="1367">
        <f>IF($R73-SUM($T73:AC73)=0,0,IF(OR($R73&lt;=0,$R73&lt;=SUM($T73:AC73)),0,IF((IF($J73=0,$O73,$J73)*$I73)&gt;=($R73-SUM($T73:AC73)),($R73-SUM($T73:AC73)),IF($J73=0,$O73,$J73)*$I73)))</f>
        <v>0</v>
      </c>
      <c r="AF73" s="1319" t="b">
        <f t="shared" si="37"/>
        <v>1</v>
      </c>
      <c r="AG73" s="1319" t="str">
        <f t="shared" si="38"/>
        <v>Checked</v>
      </c>
      <c r="AH73" s="1318" t="str">
        <f t="shared" si="39"/>
        <v>Checked</v>
      </c>
    </row>
    <row r="74" spans="2:34" outlineLevel="1" x14ac:dyDescent="0.3">
      <c r="B74" s="1356" t="s">
        <v>2198</v>
      </c>
      <c r="C74" s="1356" t="s">
        <v>1971</v>
      </c>
      <c r="D74" s="1322" t="s">
        <v>2174</v>
      </c>
      <c r="E74" s="1357">
        <v>10</v>
      </c>
      <c r="F74" s="1333">
        <f t="shared" si="30"/>
        <v>0</v>
      </c>
      <c r="G74" s="1358">
        <f t="shared" si="31"/>
        <v>0</v>
      </c>
      <c r="H74" s="1359">
        <f t="shared" si="32"/>
        <v>0</v>
      </c>
      <c r="I74" s="1360">
        <f t="shared" si="33"/>
        <v>0.1</v>
      </c>
      <c r="J74" s="1361">
        <v>5558000</v>
      </c>
      <c r="K74" s="1362">
        <v>5557000</v>
      </c>
      <c r="L74" s="1356">
        <v>0</v>
      </c>
      <c r="M74" s="1356">
        <v>0</v>
      </c>
      <c r="N74" s="1361">
        <f t="shared" si="34"/>
        <v>1000</v>
      </c>
      <c r="O74" s="1363"/>
      <c r="P74" s="1356">
        <v>0</v>
      </c>
      <c r="Q74" s="1364"/>
      <c r="R74" s="1365">
        <f t="shared" si="35"/>
        <v>1000</v>
      </c>
      <c r="S74" s="1364"/>
      <c r="T74" s="1366">
        <f t="shared" si="36"/>
        <v>0</v>
      </c>
      <c r="U74" s="1367">
        <f>IF($R74-SUM($T74:T74)=0,0,IF(OR($R74&lt;=0,$R74&lt;=SUM($T74:T74)),0,IF((IF($J74=0,$O74,$J74)*$I74)&gt;=($R74-SUM($T74:T74)),($R74-SUM($T74:T74)),IF($J74=0,$O74,$J74)*$I74)))</f>
        <v>1000</v>
      </c>
      <c r="V74" s="1367">
        <f>IF($R74-SUM($T74:U74)=0,0,IF(OR($R74&lt;=0,$R74&lt;=SUM($T74:U74)),0,IF((IF($J74=0,$O74,$J74)*$I74)&gt;=($R74-SUM($T74:U74)),($R74-SUM($T74:U74)),IF($J74=0,$O74,$J74)*$I74)))</f>
        <v>0</v>
      </c>
      <c r="W74" s="1367">
        <f>IF($R74-SUM($T74:V74)=0,0,IF(OR($R74&lt;=0,$R74&lt;=SUM($T74:V74)),0,IF((IF($J74=0,$O74,$J74)*$I74)&gt;=($R74-SUM($T74:V74)),($R74-SUM($T74:V74)),IF($J74=0,$O74,$J74)*$I74)))</f>
        <v>0</v>
      </c>
      <c r="X74" s="1367">
        <f>IF($R74-SUM($T74:W74)=0,0,IF(OR($R74&lt;=0,$R74&lt;=SUM($T74:W74)),0,IF((IF($J74=0,$O74,$J74)*$I74)&gt;=($R74-SUM($T74:W74)),($R74-SUM($T74:W74)),IF($J74=0,$O74,$J74)*$I74)))</f>
        <v>0</v>
      </c>
      <c r="Y74" s="1367">
        <f>IF($R74-SUM($T74:X74)=0,0,IF(OR($R74&lt;=0,$R74&lt;=SUM($T74:X74)),0,IF((IF($J74=0,$O74,$J74)*$I74)&gt;=($R74-SUM($T74:X74)),($R74-SUM($T74:X74)),IF($J74=0,$O74,$J74)*$I74)))</f>
        <v>0</v>
      </c>
      <c r="Z74" s="1367">
        <f>IF($R74-SUM($T74:Y74)=0,0,IF(OR($R74&lt;=0,$R74&lt;=SUM($T74:Y74)),0,IF((IF($J74=0,$O74,$J74)*$I74)&gt;=($R74-SUM($T74:Y74)),($R74-SUM($T74:Y74)),IF($J74=0,$O74,$J74)*$I74)))</f>
        <v>0</v>
      </c>
      <c r="AA74" s="1367">
        <f>IF($R74-SUM($T74:Z74)=0,0,IF(OR($R74&lt;=0,$R74&lt;=SUM($T74:Z74)),0,IF((IF($J74=0,$O74,$J74)*$I74)&gt;=($R74-SUM($T74:Z74)),($R74-SUM($T74:Z74)),IF($J74=0,$O74,$J74)*$I74)))</f>
        <v>0</v>
      </c>
      <c r="AB74" s="1367">
        <f>IF($R74-SUM($T74:AA74)=0,0,IF(OR($R74&lt;=0,$R74&lt;=SUM($T74:AA74)),0,IF((IF($J74=0,$O74,$J74)*$I74)&gt;=($R74-SUM($T74:AA74)),($R74-SUM($T74:AA74)),IF($J74=0,$O74,$J74)*$I74)))</f>
        <v>0</v>
      </c>
      <c r="AC74" s="1367">
        <f>IF($R74-SUM($T74:AB74)=0,0,IF(OR($R74&lt;=0,$R74&lt;=SUM($T74:AB74)),0,IF((IF($J74=0,$O74,$J74)*$I74)&gt;=($R74-SUM($T74:AB74)),($R74-SUM($T74:AB74)),IF($J74=0,$O74,$J74)*$I74)))</f>
        <v>0</v>
      </c>
      <c r="AD74" s="1367">
        <f>IF($R74-SUM($T74:AC74)=0,0,IF(OR($R74&lt;=0,$R74&lt;=SUM($T74:AC74)),0,IF((IF($J74=0,$O74,$J74)*$I74)&gt;=($R74-SUM($T74:AC74)),($R74-SUM($T74:AC74)),IF($J74=0,$O74,$J74)*$I74)))</f>
        <v>0</v>
      </c>
      <c r="AF74" s="1319" t="b">
        <f t="shared" si="37"/>
        <v>1</v>
      </c>
      <c r="AG74" s="1319" t="str">
        <f t="shared" si="38"/>
        <v>Checked</v>
      </c>
      <c r="AH74" s="1318" t="str">
        <f t="shared" si="39"/>
        <v>Checked</v>
      </c>
    </row>
    <row r="75" spans="2:34" outlineLevel="1" x14ac:dyDescent="0.3">
      <c r="B75" s="1356" t="s">
        <v>2199</v>
      </c>
      <c r="C75" s="1356" t="s">
        <v>1971</v>
      </c>
      <c r="D75" s="1322" t="s">
        <v>2174</v>
      </c>
      <c r="E75" s="1357">
        <v>10</v>
      </c>
      <c r="F75" s="1333">
        <f t="shared" si="30"/>
        <v>0</v>
      </c>
      <c r="G75" s="1358">
        <f t="shared" si="31"/>
        <v>0</v>
      </c>
      <c r="H75" s="1359">
        <f t="shared" si="32"/>
        <v>0</v>
      </c>
      <c r="I75" s="1360">
        <f t="shared" si="33"/>
        <v>0.1</v>
      </c>
      <c r="J75" s="1361">
        <v>7304000</v>
      </c>
      <c r="K75" s="1362">
        <v>7303000</v>
      </c>
      <c r="L75" s="1356">
        <v>0</v>
      </c>
      <c r="M75" s="1356">
        <v>0</v>
      </c>
      <c r="N75" s="1361">
        <f t="shared" si="34"/>
        <v>1000</v>
      </c>
      <c r="O75" s="1363"/>
      <c r="P75" s="1356">
        <v>0</v>
      </c>
      <c r="Q75" s="1364"/>
      <c r="R75" s="1365">
        <f t="shared" si="35"/>
        <v>1000</v>
      </c>
      <c r="S75" s="1364"/>
      <c r="T75" s="1366">
        <f t="shared" si="36"/>
        <v>0</v>
      </c>
      <c r="U75" s="1367">
        <f>IF($R75-SUM($T75:T75)=0,0,IF(OR($R75&lt;=0,$R75&lt;=SUM($T75:T75)),0,IF((IF($J75=0,$O75,$J75)*$I75)&gt;=($R75-SUM($T75:T75)),($R75-SUM($T75:T75)),IF($J75=0,$O75,$J75)*$I75)))</f>
        <v>1000</v>
      </c>
      <c r="V75" s="1367">
        <f>IF($R75-SUM($T75:U75)=0,0,IF(OR($R75&lt;=0,$R75&lt;=SUM($T75:U75)),0,IF((IF($J75=0,$O75,$J75)*$I75)&gt;=($R75-SUM($T75:U75)),($R75-SUM($T75:U75)),IF($J75=0,$O75,$J75)*$I75)))</f>
        <v>0</v>
      </c>
      <c r="W75" s="1367">
        <f>IF($R75-SUM($T75:V75)=0,0,IF(OR($R75&lt;=0,$R75&lt;=SUM($T75:V75)),0,IF((IF($J75=0,$O75,$J75)*$I75)&gt;=($R75-SUM($T75:V75)),($R75-SUM($T75:V75)),IF($J75=0,$O75,$J75)*$I75)))</f>
        <v>0</v>
      </c>
      <c r="X75" s="1367">
        <f>IF($R75-SUM($T75:W75)=0,0,IF(OR($R75&lt;=0,$R75&lt;=SUM($T75:W75)),0,IF((IF($J75=0,$O75,$J75)*$I75)&gt;=($R75-SUM($T75:W75)),($R75-SUM($T75:W75)),IF($J75=0,$O75,$J75)*$I75)))</f>
        <v>0</v>
      </c>
      <c r="Y75" s="1367">
        <f>IF($R75-SUM($T75:X75)=0,0,IF(OR($R75&lt;=0,$R75&lt;=SUM($T75:X75)),0,IF((IF($J75=0,$O75,$J75)*$I75)&gt;=($R75-SUM($T75:X75)),($R75-SUM($T75:X75)),IF($J75=0,$O75,$J75)*$I75)))</f>
        <v>0</v>
      </c>
      <c r="Z75" s="1367">
        <f>IF($R75-SUM($T75:Y75)=0,0,IF(OR($R75&lt;=0,$R75&lt;=SUM($T75:Y75)),0,IF((IF($J75=0,$O75,$J75)*$I75)&gt;=($R75-SUM($T75:Y75)),($R75-SUM($T75:Y75)),IF($J75=0,$O75,$J75)*$I75)))</f>
        <v>0</v>
      </c>
      <c r="AA75" s="1367">
        <f>IF($R75-SUM($T75:Z75)=0,0,IF(OR($R75&lt;=0,$R75&lt;=SUM($T75:Z75)),0,IF((IF($J75=0,$O75,$J75)*$I75)&gt;=($R75-SUM($T75:Z75)),($R75-SUM($T75:Z75)),IF($J75=0,$O75,$J75)*$I75)))</f>
        <v>0</v>
      </c>
      <c r="AB75" s="1367">
        <f>IF($R75-SUM($T75:AA75)=0,0,IF(OR($R75&lt;=0,$R75&lt;=SUM($T75:AA75)),0,IF((IF($J75=0,$O75,$J75)*$I75)&gt;=($R75-SUM($T75:AA75)),($R75-SUM($T75:AA75)),IF($J75=0,$O75,$J75)*$I75)))</f>
        <v>0</v>
      </c>
      <c r="AC75" s="1367">
        <f>IF($R75-SUM($T75:AB75)=0,0,IF(OR($R75&lt;=0,$R75&lt;=SUM($T75:AB75)),0,IF((IF($J75=0,$O75,$J75)*$I75)&gt;=($R75-SUM($T75:AB75)),($R75-SUM($T75:AB75)),IF($J75=0,$O75,$J75)*$I75)))</f>
        <v>0</v>
      </c>
      <c r="AD75" s="1367">
        <f>IF($R75-SUM($T75:AC75)=0,0,IF(OR($R75&lt;=0,$R75&lt;=SUM($T75:AC75)),0,IF((IF($J75=0,$O75,$J75)*$I75)&gt;=($R75-SUM($T75:AC75)),($R75-SUM($T75:AC75)),IF($J75=0,$O75,$J75)*$I75)))</f>
        <v>0</v>
      </c>
      <c r="AF75" s="1319" t="b">
        <f t="shared" si="37"/>
        <v>1</v>
      </c>
      <c r="AG75" s="1319" t="str">
        <f t="shared" si="38"/>
        <v>Checked</v>
      </c>
      <c r="AH75" s="1318" t="str">
        <f t="shared" si="39"/>
        <v>Checked</v>
      </c>
    </row>
    <row r="76" spans="2:34" outlineLevel="1" x14ac:dyDescent="0.3">
      <c r="B76" s="1356" t="s">
        <v>2179</v>
      </c>
      <c r="C76" s="1356" t="s">
        <v>1971</v>
      </c>
      <c r="D76" s="1322" t="s">
        <v>2174</v>
      </c>
      <c r="E76" s="1357">
        <v>10</v>
      </c>
      <c r="F76" s="1333">
        <f t="shared" si="30"/>
        <v>0</v>
      </c>
      <c r="G76" s="1358">
        <f t="shared" si="31"/>
        <v>0</v>
      </c>
      <c r="H76" s="1359">
        <f t="shared" si="32"/>
        <v>0</v>
      </c>
      <c r="I76" s="1360">
        <f t="shared" si="33"/>
        <v>0.1</v>
      </c>
      <c r="J76" s="1361">
        <v>56250000</v>
      </c>
      <c r="K76" s="1362">
        <v>56249000</v>
      </c>
      <c r="L76" s="1356">
        <v>0</v>
      </c>
      <c r="M76" s="1356">
        <v>0</v>
      </c>
      <c r="N76" s="1361">
        <f t="shared" si="34"/>
        <v>1000</v>
      </c>
      <c r="O76" s="1363"/>
      <c r="P76" s="1356">
        <v>0</v>
      </c>
      <c r="Q76" s="1364"/>
      <c r="R76" s="1365">
        <f t="shared" si="35"/>
        <v>1000</v>
      </c>
      <c r="S76" s="1364"/>
      <c r="T76" s="1366">
        <f t="shared" si="36"/>
        <v>0</v>
      </c>
      <c r="U76" s="1367">
        <f>IF($R76-SUM($T76:T76)=0,0,IF(OR($R76&lt;=0,$R76&lt;=SUM($T76:T76)),0,IF((IF($J76=0,$O76,$J76)*$I76)&gt;=($R76-SUM($T76:T76)),($R76-SUM($T76:T76)),IF($J76=0,$O76,$J76)*$I76)))</f>
        <v>1000</v>
      </c>
      <c r="V76" s="1367">
        <f>IF($R76-SUM($T76:U76)=0,0,IF(OR($R76&lt;=0,$R76&lt;=SUM($T76:U76)),0,IF((IF($J76=0,$O76,$J76)*$I76)&gt;=($R76-SUM($T76:U76)),($R76-SUM($T76:U76)),IF($J76=0,$O76,$J76)*$I76)))</f>
        <v>0</v>
      </c>
      <c r="W76" s="1367">
        <f>IF($R76-SUM($T76:V76)=0,0,IF(OR($R76&lt;=0,$R76&lt;=SUM($T76:V76)),0,IF((IF($J76=0,$O76,$J76)*$I76)&gt;=($R76-SUM($T76:V76)),($R76-SUM($T76:V76)),IF($J76=0,$O76,$J76)*$I76)))</f>
        <v>0</v>
      </c>
      <c r="X76" s="1367">
        <f>IF($R76-SUM($T76:W76)=0,0,IF(OR($R76&lt;=0,$R76&lt;=SUM($T76:W76)),0,IF((IF($J76=0,$O76,$J76)*$I76)&gt;=($R76-SUM($T76:W76)),($R76-SUM($T76:W76)),IF($J76=0,$O76,$J76)*$I76)))</f>
        <v>0</v>
      </c>
      <c r="Y76" s="1367">
        <f>IF($R76-SUM($T76:X76)=0,0,IF(OR($R76&lt;=0,$R76&lt;=SUM($T76:X76)),0,IF((IF($J76=0,$O76,$J76)*$I76)&gt;=($R76-SUM($T76:X76)),($R76-SUM($T76:X76)),IF($J76=0,$O76,$J76)*$I76)))</f>
        <v>0</v>
      </c>
      <c r="Z76" s="1367">
        <f>IF($R76-SUM($T76:Y76)=0,0,IF(OR($R76&lt;=0,$R76&lt;=SUM($T76:Y76)),0,IF((IF($J76=0,$O76,$J76)*$I76)&gt;=($R76-SUM($T76:Y76)),($R76-SUM($T76:Y76)),IF($J76=0,$O76,$J76)*$I76)))</f>
        <v>0</v>
      </c>
      <c r="AA76" s="1367">
        <f>IF($R76-SUM($T76:Z76)=0,0,IF(OR($R76&lt;=0,$R76&lt;=SUM($T76:Z76)),0,IF((IF($J76=0,$O76,$J76)*$I76)&gt;=($R76-SUM($T76:Z76)),($R76-SUM($T76:Z76)),IF($J76=0,$O76,$J76)*$I76)))</f>
        <v>0</v>
      </c>
      <c r="AB76" s="1367">
        <f>IF($R76-SUM($T76:AA76)=0,0,IF(OR($R76&lt;=0,$R76&lt;=SUM($T76:AA76)),0,IF((IF($J76=0,$O76,$J76)*$I76)&gt;=($R76-SUM($T76:AA76)),($R76-SUM($T76:AA76)),IF($J76=0,$O76,$J76)*$I76)))</f>
        <v>0</v>
      </c>
      <c r="AC76" s="1367">
        <f>IF($R76-SUM($T76:AB76)=0,0,IF(OR($R76&lt;=0,$R76&lt;=SUM($T76:AB76)),0,IF((IF($J76=0,$O76,$J76)*$I76)&gt;=($R76-SUM($T76:AB76)),($R76-SUM($T76:AB76)),IF($J76=0,$O76,$J76)*$I76)))</f>
        <v>0</v>
      </c>
      <c r="AD76" s="1367">
        <f>IF($R76-SUM($T76:AC76)=0,0,IF(OR($R76&lt;=0,$R76&lt;=SUM($T76:AC76)),0,IF((IF($J76=0,$O76,$J76)*$I76)&gt;=($R76-SUM($T76:AC76)),($R76-SUM($T76:AC76)),IF($J76=0,$O76,$J76)*$I76)))</f>
        <v>0</v>
      </c>
      <c r="AF76" s="1319" t="b">
        <f t="shared" si="37"/>
        <v>1</v>
      </c>
      <c r="AG76" s="1319" t="str">
        <f t="shared" si="38"/>
        <v>Checked</v>
      </c>
      <c r="AH76" s="1318" t="str">
        <f t="shared" si="39"/>
        <v>Checked</v>
      </c>
    </row>
    <row r="77" spans="2:34" outlineLevel="1" x14ac:dyDescent="0.3">
      <c r="B77" s="1356" t="s">
        <v>2200</v>
      </c>
      <c r="C77" s="1356" t="s">
        <v>1971</v>
      </c>
      <c r="D77" s="1322" t="s">
        <v>2174</v>
      </c>
      <c r="E77" s="1357">
        <v>10</v>
      </c>
      <c r="F77" s="1333">
        <f t="shared" si="30"/>
        <v>0</v>
      </c>
      <c r="G77" s="1358">
        <f t="shared" si="31"/>
        <v>0</v>
      </c>
      <c r="H77" s="1359">
        <f t="shared" si="32"/>
        <v>0</v>
      </c>
      <c r="I77" s="1360">
        <f t="shared" si="33"/>
        <v>0.1</v>
      </c>
      <c r="J77" s="1361">
        <v>3757000</v>
      </c>
      <c r="K77" s="1362">
        <v>3756000</v>
      </c>
      <c r="L77" s="1356">
        <v>0</v>
      </c>
      <c r="M77" s="1356">
        <v>0</v>
      </c>
      <c r="N77" s="1361">
        <f t="shared" si="34"/>
        <v>1000</v>
      </c>
      <c r="O77" s="1363"/>
      <c r="P77" s="1356">
        <v>0</v>
      </c>
      <c r="Q77" s="1364"/>
      <c r="R77" s="1365">
        <f t="shared" si="35"/>
        <v>1000</v>
      </c>
      <c r="S77" s="1364"/>
      <c r="T77" s="1366">
        <f t="shared" si="36"/>
        <v>0</v>
      </c>
      <c r="U77" s="1367">
        <f>IF($R77-SUM($T77:T77)=0,0,IF(OR($R77&lt;=0,$R77&lt;=SUM($T77:T77)),0,IF((IF($J77=0,$O77,$J77)*$I77)&gt;=($R77-SUM($T77:T77)),($R77-SUM($T77:T77)),IF($J77=0,$O77,$J77)*$I77)))</f>
        <v>1000</v>
      </c>
      <c r="V77" s="1367">
        <f>IF($R77-SUM($T77:U77)=0,0,IF(OR($R77&lt;=0,$R77&lt;=SUM($T77:U77)),0,IF((IF($J77=0,$O77,$J77)*$I77)&gt;=($R77-SUM($T77:U77)),($R77-SUM($T77:U77)),IF($J77=0,$O77,$J77)*$I77)))</f>
        <v>0</v>
      </c>
      <c r="W77" s="1367">
        <f>IF($R77-SUM($T77:V77)=0,0,IF(OR($R77&lt;=0,$R77&lt;=SUM($T77:V77)),0,IF((IF($J77=0,$O77,$J77)*$I77)&gt;=($R77-SUM($T77:V77)),($R77-SUM($T77:V77)),IF($J77=0,$O77,$J77)*$I77)))</f>
        <v>0</v>
      </c>
      <c r="X77" s="1367">
        <f>IF($R77-SUM($T77:W77)=0,0,IF(OR($R77&lt;=0,$R77&lt;=SUM($T77:W77)),0,IF((IF($J77=0,$O77,$J77)*$I77)&gt;=($R77-SUM($T77:W77)),($R77-SUM($T77:W77)),IF($J77=0,$O77,$J77)*$I77)))</f>
        <v>0</v>
      </c>
      <c r="Y77" s="1367">
        <f>IF($R77-SUM($T77:X77)=0,0,IF(OR($R77&lt;=0,$R77&lt;=SUM($T77:X77)),0,IF((IF($J77=0,$O77,$J77)*$I77)&gt;=($R77-SUM($T77:X77)),($R77-SUM($T77:X77)),IF($J77=0,$O77,$J77)*$I77)))</f>
        <v>0</v>
      </c>
      <c r="Z77" s="1367">
        <f>IF($R77-SUM($T77:Y77)=0,0,IF(OR($R77&lt;=0,$R77&lt;=SUM($T77:Y77)),0,IF((IF($J77=0,$O77,$J77)*$I77)&gt;=($R77-SUM($T77:Y77)),($R77-SUM($T77:Y77)),IF($J77=0,$O77,$J77)*$I77)))</f>
        <v>0</v>
      </c>
      <c r="AA77" s="1367">
        <f>IF($R77-SUM($T77:Z77)=0,0,IF(OR($R77&lt;=0,$R77&lt;=SUM($T77:Z77)),0,IF((IF($J77=0,$O77,$J77)*$I77)&gt;=($R77-SUM($T77:Z77)),($R77-SUM($T77:Z77)),IF($J77=0,$O77,$J77)*$I77)))</f>
        <v>0</v>
      </c>
      <c r="AB77" s="1367">
        <f>IF($R77-SUM($T77:AA77)=0,0,IF(OR($R77&lt;=0,$R77&lt;=SUM($T77:AA77)),0,IF((IF($J77=0,$O77,$J77)*$I77)&gt;=($R77-SUM($T77:AA77)),($R77-SUM($T77:AA77)),IF($J77=0,$O77,$J77)*$I77)))</f>
        <v>0</v>
      </c>
      <c r="AC77" s="1367">
        <f>IF($R77-SUM($T77:AB77)=0,0,IF(OR($R77&lt;=0,$R77&lt;=SUM($T77:AB77)),0,IF((IF($J77=0,$O77,$J77)*$I77)&gt;=($R77-SUM($T77:AB77)),($R77-SUM($T77:AB77)),IF($J77=0,$O77,$J77)*$I77)))</f>
        <v>0</v>
      </c>
      <c r="AD77" s="1367">
        <f>IF($R77-SUM($T77:AC77)=0,0,IF(OR($R77&lt;=0,$R77&lt;=SUM($T77:AC77)),0,IF((IF($J77=0,$O77,$J77)*$I77)&gt;=($R77-SUM($T77:AC77)),($R77-SUM($T77:AC77)),IF($J77=0,$O77,$J77)*$I77)))</f>
        <v>0</v>
      </c>
      <c r="AF77" s="1319" t="b">
        <f t="shared" si="37"/>
        <v>1</v>
      </c>
      <c r="AG77" s="1319" t="str">
        <f t="shared" si="38"/>
        <v>Checked</v>
      </c>
      <c r="AH77" s="1318" t="str">
        <f t="shared" si="39"/>
        <v>Checked</v>
      </c>
    </row>
    <row r="78" spans="2:34" outlineLevel="1" x14ac:dyDescent="0.3">
      <c r="B78" s="1356" t="s">
        <v>2201</v>
      </c>
      <c r="C78" s="1356" t="s">
        <v>1971</v>
      </c>
      <c r="D78" s="1322" t="s">
        <v>2174</v>
      </c>
      <c r="E78" s="1357">
        <v>10</v>
      </c>
      <c r="F78" s="1333">
        <f t="shared" si="30"/>
        <v>0</v>
      </c>
      <c r="G78" s="1358">
        <f t="shared" si="31"/>
        <v>0</v>
      </c>
      <c r="H78" s="1359">
        <f t="shared" si="32"/>
        <v>0</v>
      </c>
      <c r="I78" s="1360">
        <f t="shared" si="33"/>
        <v>0.1</v>
      </c>
      <c r="J78" s="1361">
        <v>3900000</v>
      </c>
      <c r="K78" s="1362">
        <v>3899000</v>
      </c>
      <c r="L78" s="1356">
        <v>0</v>
      </c>
      <c r="M78" s="1356">
        <v>0</v>
      </c>
      <c r="N78" s="1361">
        <f t="shared" si="34"/>
        <v>1000</v>
      </c>
      <c r="O78" s="1363"/>
      <c r="P78" s="1356">
        <v>0</v>
      </c>
      <c r="Q78" s="1364"/>
      <c r="R78" s="1365">
        <f t="shared" si="35"/>
        <v>1000</v>
      </c>
      <c r="S78" s="1364"/>
      <c r="T78" s="1366">
        <f t="shared" si="36"/>
        <v>0</v>
      </c>
      <c r="U78" s="1367">
        <f>IF($R78-SUM($T78:T78)=0,0,IF(OR($R78&lt;=0,$R78&lt;=SUM($T78:T78)),0,IF((IF($J78=0,$O78,$J78)*$I78)&gt;=($R78-SUM($T78:T78)),($R78-SUM($T78:T78)),IF($J78=0,$O78,$J78)*$I78)))</f>
        <v>1000</v>
      </c>
      <c r="V78" s="1367">
        <f>IF($R78-SUM($T78:U78)=0,0,IF(OR($R78&lt;=0,$R78&lt;=SUM($T78:U78)),0,IF((IF($J78=0,$O78,$J78)*$I78)&gt;=($R78-SUM($T78:U78)),($R78-SUM($T78:U78)),IF($J78=0,$O78,$J78)*$I78)))</f>
        <v>0</v>
      </c>
      <c r="W78" s="1367">
        <f>IF($R78-SUM($T78:V78)=0,0,IF(OR($R78&lt;=0,$R78&lt;=SUM($T78:V78)),0,IF((IF($J78=0,$O78,$J78)*$I78)&gt;=($R78-SUM($T78:V78)),($R78-SUM($T78:V78)),IF($J78=0,$O78,$J78)*$I78)))</f>
        <v>0</v>
      </c>
      <c r="X78" s="1367">
        <f>IF($R78-SUM($T78:W78)=0,0,IF(OR($R78&lt;=0,$R78&lt;=SUM($T78:W78)),0,IF((IF($J78=0,$O78,$J78)*$I78)&gt;=($R78-SUM($T78:W78)),($R78-SUM($T78:W78)),IF($J78=0,$O78,$J78)*$I78)))</f>
        <v>0</v>
      </c>
      <c r="Y78" s="1367">
        <f>IF($R78-SUM($T78:X78)=0,0,IF(OR($R78&lt;=0,$R78&lt;=SUM($T78:X78)),0,IF((IF($J78=0,$O78,$J78)*$I78)&gt;=($R78-SUM($T78:X78)),($R78-SUM($T78:X78)),IF($J78=0,$O78,$J78)*$I78)))</f>
        <v>0</v>
      </c>
      <c r="Z78" s="1367">
        <f>IF($R78-SUM($T78:Y78)=0,0,IF(OR($R78&lt;=0,$R78&lt;=SUM($T78:Y78)),0,IF((IF($J78=0,$O78,$J78)*$I78)&gt;=($R78-SUM($T78:Y78)),($R78-SUM($T78:Y78)),IF($J78=0,$O78,$J78)*$I78)))</f>
        <v>0</v>
      </c>
      <c r="AA78" s="1367">
        <f>IF($R78-SUM($T78:Z78)=0,0,IF(OR($R78&lt;=0,$R78&lt;=SUM($T78:Z78)),0,IF((IF($J78=0,$O78,$J78)*$I78)&gt;=($R78-SUM($T78:Z78)),($R78-SUM($T78:Z78)),IF($J78=0,$O78,$J78)*$I78)))</f>
        <v>0</v>
      </c>
      <c r="AB78" s="1367">
        <f>IF($R78-SUM($T78:AA78)=0,0,IF(OR($R78&lt;=0,$R78&lt;=SUM($T78:AA78)),0,IF((IF($J78=0,$O78,$J78)*$I78)&gt;=($R78-SUM($T78:AA78)),($R78-SUM($T78:AA78)),IF($J78=0,$O78,$J78)*$I78)))</f>
        <v>0</v>
      </c>
      <c r="AC78" s="1367">
        <f>IF($R78-SUM($T78:AB78)=0,0,IF(OR($R78&lt;=0,$R78&lt;=SUM($T78:AB78)),0,IF((IF($J78=0,$O78,$J78)*$I78)&gt;=($R78-SUM($T78:AB78)),($R78-SUM($T78:AB78)),IF($J78=0,$O78,$J78)*$I78)))</f>
        <v>0</v>
      </c>
      <c r="AD78" s="1367">
        <f>IF($R78-SUM($T78:AC78)=0,0,IF(OR($R78&lt;=0,$R78&lt;=SUM($T78:AC78)),0,IF((IF($J78=0,$O78,$J78)*$I78)&gt;=($R78-SUM($T78:AC78)),($R78-SUM($T78:AC78)),IF($J78=0,$O78,$J78)*$I78)))</f>
        <v>0</v>
      </c>
      <c r="AF78" s="1319" t="b">
        <f t="shared" si="37"/>
        <v>1</v>
      </c>
      <c r="AG78" s="1319" t="str">
        <f t="shared" si="38"/>
        <v>Checked</v>
      </c>
      <c r="AH78" s="1318" t="str">
        <f t="shared" si="39"/>
        <v>Checked</v>
      </c>
    </row>
    <row r="79" spans="2:34" outlineLevel="1" x14ac:dyDescent="0.3">
      <c r="B79" s="1356" t="s">
        <v>2202</v>
      </c>
      <c r="C79" s="1356" t="s">
        <v>1971</v>
      </c>
      <c r="D79" s="1322" t="s">
        <v>2174</v>
      </c>
      <c r="E79" s="1357">
        <v>10</v>
      </c>
      <c r="F79" s="1333">
        <f t="shared" si="30"/>
        <v>0</v>
      </c>
      <c r="G79" s="1358">
        <f t="shared" si="31"/>
        <v>0</v>
      </c>
      <c r="H79" s="1359">
        <f t="shared" si="32"/>
        <v>0</v>
      </c>
      <c r="I79" s="1360">
        <f t="shared" si="33"/>
        <v>0.1</v>
      </c>
      <c r="J79" s="1361">
        <v>2900000</v>
      </c>
      <c r="K79" s="1362">
        <v>2899000</v>
      </c>
      <c r="L79" s="1356">
        <v>0</v>
      </c>
      <c r="M79" s="1356">
        <v>0</v>
      </c>
      <c r="N79" s="1361">
        <f t="shared" si="34"/>
        <v>1000</v>
      </c>
      <c r="O79" s="1363"/>
      <c r="P79" s="1356">
        <v>0</v>
      </c>
      <c r="Q79" s="1364"/>
      <c r="R79" s="1365">
        <f t="shared" si="35"/>
        <v>1000</v>
      </c>
      <c r="S79" s="1364"/>
      <c r="T79" s="1366">
        <f t="shared" si="36"/>
        <v>0</v>
      </c>
      <c r="U79" s="1367">
        <f>IF($R79-SUM($T79:T79)=0,0,IF(OR($R79&lt;=0,$R79&lt;=SUM($T79:T79)),0,IF((IF($J79=0,$O79,$J79)*$I79)&gt;=($R79-SUM($T79:T79)),($R79-SUM($T79:T79)),IF($J79=0,$O79,$J79)*$I79)))</f>
        <v>1000</v>
      </c>
      <c r="V79" s="1367">
        <f>IF($R79-SUM($T79:U79)=0,0,IF(OR($R79&lt;=0,$R79&lt;=SUM($T79:U79)),0,IF((IF($J79=0,$O79,$J79)*$I79)&gt;=($R79-SUM($T79:U79)),($R79-SUM($T79:U79)),IF($J79=0,$O79,$J79)*$I79)))</f>
        <v>0</v>
      </c>
      <c r="W79" s="1367">
        <f>IF($R79-SUM($T79:V79)=0,0,IF(OR($R79&lt;=0,$R79&lt;=SUM($T79:V79)),0,IF((IF($J79=0,$O79,$J79)*$I79)&gt;=($R79-SUM($T79:V79)),($R79-SUM($T79:V79)),IF($J79=0,$O79,$J79)*$I79)))</f>
        <v>0</v>
      </c>
      <c r="X79" s="1367">
        <f>IF($R79-SUM($T79:W79)=0,0,IF(OR($R79&lt;=0,$R79&lt;=SUM($T79:W79)),0,IF((IF($J79=0,$O79,$J79)*$I79)&gt;=($R79-SUM($T79:W79)),($R79-SUM($T79:W79)),IF($J79=0,$O79,$J79)*$I79)))</f>
        <v>0</v>
      </c>
      <c r="Y79" s="1367">
        <f>IF($R79-SUM($T79:X79)=0,0,IF(OR($R79&lt;=0,$R79&lt;=SUM($T79:X79)),0,IF((IF($J79=0,$O79,$J79)*$I79)&gt;=($R79-SUM($T79:X79)),($R79-SUM($T79:X79)),IF($J79=0,$O79,$J79)*$I79)))</f>
        <v>0</v>
      </c>
      <c r="Z79" s="1367">
        <f>IF($R79-SUM($T79:Y79)=0,0,IF(OR($R79&lt;=0,$R79&lt;=SUM($T79:Y79)),0,IF((IF($J79=0,$O79,$J79)*$I79)&gt;=($R79-SUM($T79:Y79)),($R79-SUM($T79:Y79)),IF($J79=0,$O79,$J79)*$I79)))</f>
        <v>0</v>
      </c>
      <c r="AA79" s="1367">
        <f>IF($R79-SUM($T79:Z79)=0,0,IF(OR($R79&lt;=0,$R79&lt;=SUM($T79:Z79)),0,IF((IF($J79=0,$O79,$J79)*$I79)&gt;=($R79-SUM($T79:Z79)),($R79-SUM($T79:Z79)),IF($J79=0,$O79,$J79)*$I79)))</f>
        <v>0</v>
      </c>
      <c r="AB79" s="1367">
        <f>IF($R79-SUM($T79:AA79)=0,0,IF(OR($R79&lt;=0,$R79&lt;=SUM($T79:AA79)),0,IF((IF($J79=0,$O79,$J79)*$I79)&gt;=($R79-SUM($T79:AA79)),($R79-SUM($T79:AA79)),IF($J79=0,$O79,$J79)*$I79)))</f>
        <v>0</v>
      </c>
      <c r="AC79" s="1367">
        <f>IF($R79-SUM($T79:AB79)=0,0,IF(OR($R79&lt;=0,$R79&lt;=SUM($T79:AB79)),0,IF((IF($J79=0,$O79,$J79)*$I79)&gt;=($R79-SUM($T79:AB79)),($R79-SUM($T79:AB79)),IF($J79=0,$O79,$J79)*$I79)))</f>
        <v>0</v>
      </c>
      <c r="AD79" s="1367">
        <f>IF($R79-SUM($T79:AC79)=0,0,IF(OR($R79&lt;=0,$R79&lt;=SUM($T79:AC79)),0,IF((IF($J79=0,$O79,$J79)*$I79)&gt;=($R79-SUM($T79:AC79)),($R79-SUM($T79:AC79)),IF($J79=0,$O79,$J79)*$I79)))</f>
        <v>0</v>
      </c>
      <c r="AF79" s="1319" t="b">
        <f t="shared" si="37"/>
        <v>1</v>
      </c>
      <c r="AG79" s="1319" t="str">
        <f t="shared" si="38"/>
        <v>Checked</v>
      </c>
      <c r="AH79" s="1318" t="str">
        <f t="shared" si="39"/>
        <v>Checked</v>
      </c>
    </row>
    <row r="80" spans="2:34" outlineLevel="1" x14ac:dyDescent="0.3">
      <c r="B80" s="1356" t="s">
        <v>2203</v>
      </c>
      <c r="C80" s="1356" t="s">
        <v>1971</v>
      </c>
      <c r="D80" s="1322" t="s">
        <v>2174</v>
      </c>
      <c r="E80" s="1357">
        <v>10</v>
      </c>
      <c r="F80" s="1333">
        <f t="shared" si="30"/>
        <v>0</v>
      </c>
      <c r="G80" s="1358">
        <f t="shared" si="31"/>
        <v>0</v>
      </c>
      <c r="H80" s="1359">
        <f t="shared" si="32"/>
        <v>0</v>
      </c>
      <c r="I80" s="1360">
        <f t="shared" si="33"/>
        <v>0.1</v>
      </c>
      <c r="J80" s="1361">
        <v>9131000</v>
      </c>
      <c r="K80" s="1362">
        <v>9130000</v>
      </c>
      <c r="L80" s="1356">
        <v>0</v>
      </c>
      <c r="M80" s="1356">
        <v>0</v>
      </c>
      <c r="N80" s="1361">
        <f t="shared" si="34"/>
        <v>1000</v>
      </c>
      <c r="O80" s="1363"/>
      <c r="P80" s="1356">
        <v>0</v>
      </c>
      <c r="Q80" s="1364"/>
      <c r="R80" s="1365">
        <f t="shared" si="35"/>
        <v>1000</v>
      </c>
      <c r="S80" s="1364"/>
      <c r="T80" s="1366">
        <f t="shared" si="36"/>
        <v>0</v>
      </c>
      <c r="U80" s="1367">
        <f>IF($R80-SUM($T80:T80)=0,0,IF(OR($R80&lt;=0,$R80&lt;=SUM($T80:T80)),0,IF((IF($J80=0,$O80,$J80)*$I80)&gt;=($R80-SUM($T80:T80)),($R80-SUM($T80:T80)),IF($J80=0,$O80,$J80)*$I80)))</f>
        <v>1000</v>
      </c>
      <c r="V80" s="1367">
        <f>IF($R80-SUM($T80:U80)=0,0,IF(OR($R80&lt;=0,$R80&lt;=SUM($T80:U80)),0,IF((IF($J80=0,$O80,$J80)*$I80)&gt;=($R80-SUM($T80:U80)),($R80-SUM($T80:U80)),IF($J80=0,$O80,$J80)*$I80)))</f>
        <v>0</v>
      </c>
      <c r="W80" s="1367">
        <f>IF($R80-SUM($T80:V80)=0,0,IF(OR($R80&lt;=0,$R80&lt;=SUM($T80:V80)),0,IF((IF($J80=0,$O80,$J80)*$I80)&gt;=($R80-SUM($T80:V80)),($R80-SUM($T80:V80)),IF($J80=0,$O80,$J80)*$I80)))</f>
        <v>0</v>
      </c>
      <c r="X80" s="1367">
        <f>IF($R80-SUM($T80:W80)=0,0,IF(OR($R80&lt;=0,$R80&lt;=SUM($T80:W80)),0,IF((IF($J80=0,$O80,$J80)*$I80)&gt;=($R80-SUM($T80:W80)),($R80-SUM($T80:W80)),IF($J80=0,$O80,$J80)*$I80)))</f>
        <v>0</v>
      </c>
      <c r="Y80" s="1367">
        <f>IF($R80-SUM($T80:X80)=0,0,IF(OR($R80&lt;=0,$R80&lt;=SUM($T80:X80)),0,IF((IF($J80=0,$O80,$J80)*$I80)&gt;=($R80-SUM($T80:X80)),($R80-SUM($T80:X80)),IF($J80=0,$O80,$J80)*$I80)))</f>
        <v>0</v>
      </c>
      <c r="Z80" s="1367">
        <f>IF($R80-SUM($T80:Y80)=0,0,IF(OR($R80&lt;=0,$R80&lt;=SUM($T80:Y80)),0,IF((IF($J80=0,$O80,$J80)*$I80)&gt;=($R80-SUM($T80:Y80)),($R80-SUM($T80:Y80)),IF($J80=0,$O80,$J80)*$I80)))</f>
        <v>0</v>
      </c>
      <c r="AA80" s="1367">
        <f>IF($R80-SUM($T80:Z80)=0,0,IF(OR($R80&lt;=0,$R80&lt;=SUM($T80:Z80)),0,IF((IF($J80=0,$O80,$J80)*$I80)&gt;=($R80-SUM($T80:Z80)),($R80-SUM($T80:Z80)),IF($J80=0,$O80,$J80)*$I80)))</f>
        <v>0</v>
      </c>
      <c r="AB80" s="1367">
        <f>IF($R80-SUM($T80:AA80)=0,0,IF(OR($R80&lt;=0,$R80&lt;=SUM($T80:AA80)),0,IF((IF($J80=0,$O80,$J80)*$I80)&gt;=($R80-SUM($T80:AA80)),($R80-SUM($T80:AA80)),IF($J80=0,$O80,$J80)*$I80)))</f>
        <v>0</v>
      </c>
      <c r="AC80" s="1367">
        <f>IF($R80-SUM($T80:AB80)=0,0,IF(OR($R80&lt;=0,$R80&lt;=SUM($T80:AB80)),0,IF((IF($J80=0,$O80,$J80)*$I80)&gt;=($R80-SUM($T80:AB80)),($R80-SUM($T80:AB80)),IF($J80=0,$O80,$J80)*$I80)))</f>
        <v>0</v>
      </c>
      <c r="AD80" s="1367">
        <f>IF($R80-SUM($T80:AC80)=0,0,IF(OR($R80&lt;=0,$R80&lt;=SUM($T80:AC80)),0,IF((IF($J80=0,$O80,$J80)*$I80)&gt;=($R80-SUM($T80:AC80)),($R80-SUM($T80:AC80)),IF($J80=0,$O80,$J80)*$I80)))</f>
        <v>0</v>
      </c>
      <c r="AF80" s="1319" t="b">
        <f t="shared" si="37"/>
        <v>1</v>
      </c>
      <c r="AG80" s="1319" t="str">
        <f t="shared" si="38"/>
        <v>Checked</v>
      </c>
      <c r="AH80" s="1318" t="str">
        <f t="shared" si="39"/>
        <v>Checked</v>
      </c>
    </row>
    <row r="81" spans="2:34" outlineLevel="1" x14ac:dyDescent="0.3">
      <c r="B81" s="1356" t="s">
        <v>2203</v>
      </c>
      <c r="C81" s="1356" t="s">
        <v>1971</v>
      </c>
      <c r="D81" s="1322" t="s">
        <v>2174</v>
      </c>
      <c r="E81" s="1357">
        <v>10</v>
      </c>
      <c r="F81" s="1333">
        <f t="shared" si="30"/>
        <v>0</v>
      </c>
      <c r="G81" s="1358">
        <f t="shared" si="31"/>
        <v>0</v>
      </c>
      <c r="H81" s="1359">
        <f t="shared" si="32"/>
        <v>0</v>
      </c>
      <c r="I81" s="1360">
        <f t="shared" si="33"/>
        <v>0.1</v>
      </c>
      <c r="J81" s="1361">
        <v>10163000</v>
      </c>
      <c r="K81" s="1362">
        <v>10162000</v>
      </c>
      <c r="L81" s="1356">
        <v>0</v>
      </c>
      <c r="M81" s="1356">
        <v>0</v>
      </c>
      <c r="N81" s="1361">
        <f t="shared" si="34"/>
        <v>1000</v>
      </c>
      <c r="O81" s="1363"/>
      <c r="P81" s="1356">
        <v>0</v>
      </c>
      <c r="Q81" s="1364"/>
      <c r="R81" s="1365">
        <f t="shared" si="35"/>
        <v>1000</v>
      </c>
      <c r="S81" s="1364"/>
      <c r="T81" s="1366">
        <f t="shared" si="36"/>
        <v>0</v>
      </c>
      <c r="U81" s="1367">
        <f>IF($R81-SUM($T81:T81)=0,0,IF(OR($R81&lt;=0,$R81&lt;=SUM($T81:T81)),0,IF((IF($J81=0,$O81,$J81)*$I81)&gt;=($R81-SUM($T81:T81)),($R81-SUM($T81:T81)),IF($J81=0,$O81,$J81)*$I81)))</f>
        <v>1000</v>
      </c>
      <c r="V81" s="1367">
        <f>IF($R81-SUM($T81:U81)=0,0,IF(OR($R81&lt;=0,$R81&lt;=SUM($T81:U81)),0,IF((IF($J81=0,$O81,$J81)*$I81)&gt;=($R81-SUM($T81:U81)),($R81-SUM($T81:U81)),IF($J81=0,$O81,$J81)*$I81)))</f>
        <v>0</v>
      </c>
      <c r="W81" s="1367">
        <f>IF($R81-SUM($T81:V81)=0,0,IF(OR($R81&lt;=0,$R81&lt;=SUM($T81:V81)),0,IF((IF($J81=0,$O81,$J81)*$I81)&gt;=($R81-SUM($T81:V81)),($R81-SUM($T81:V81)),IF($J81=0,$O81,$J81)*$I81)))</f>
        <v>0</v>
      </c>
      <c r="X81" s="1367">
        <f>IF($R81-SUM($T81:W81)=0,0,IF(OR($R81&lt;=0,$R81&lt;=SUM($T81:W81)),0,IF((IF($J81=0,$O81,$J81)*$I81)&gt;=($R81-SUM($T81:W81)),($R81-SUM($T81:W81)),IF($J81=0,$O81,$J81)*$I81)))</f>
        <v>0</v>
      </c>
      <c r="Y81" s="1367">
        <f>IF($R81-SUM($T81:X81)=0,0,IF(OR($R81&lt;=0,$R81&lt;=SUM($T81:X81)),0,IF((IF($J81=0,$O81,$J81)*$I81)&gt;=($R81-SUM($T81:X81)),($R81-SUM($T81:X81)),IF($J81=0,$O81,$J81)*$I81)))</f>
        <v>0</v>
      </c>
      <c r="Z81" s="1367">
        <f>IF($R81-SUM($T81:Y81)=0,0,IF(OR($R81&lt;=0,$R81&lt;=SUM($T81:Y81)),0,IF((IF($J81=0,$O81,$J81)*$I81)&gt;=($R81-SUM($T81:Y81)),($R81-SUM($T81:Y81)),IF($J81=0,$O81,$J81)*$I81)))</f>
        <v>0</v>
      </c>
      <c r="AA81" s="1367">
        <f>IF($R81-SUM($T81:Z81)=0,0,IF(OR($R81&lt;=0,$R81&lt;=SUM($T81:Z81)),0,IF((IF($J81=0,$O81,$J81)*$I81)&gt;=($R81-SUM($T81:Z81)),($R81-SUM($T81:Z81)),IF($J81=0,$O81,$J81)*$I81)))</f>
        <v>0</v>
      </c>
      <c r="AB81" s="1367">
        <f>IF($R81-SUM($T81:AA81)=0,0,IF(OR($R81&lt;=0,$R81&lt;=SUM($T81:AA81)),0,IF((IF($J81=0,$O81,$J81)*$I81)&gt;=($R81-SUM($T81:AA81)),($R81-SUM($T81:AA81)),IF($J81=0,$O81,$J81)*$I81)))</f>
        <v>0</v>
      </c>
      <c r="AC81" s="1367">
        <f>IF($R81-SUM($T81:AB81)=0,0,IF(OR($R81&lt;=0,$R81&lt;=SUM($T81:AB81)),0,IF((IF($J81=0,$O81,$J81)*$I81)&gt;=($R81-SUM($T81:AB81)),($R81-SUM($T81:AB81)),IF($J81=0,$O81,$J81)*$I81)))</f>
        <v>0</v>
      </c>
      <c r="AD81" s="1367">
        <f>IF($R81-SUM($T81:AC81)=0,0,IF(OR($R81&lt;=0,$R81&lt;=SUM($T81:AC81)),0,IF((IF($J81=0,$O81,$J81)*$I81)&gt;=($R81-SUM($T81:AC81)),($R81-SUM($T81:AC81)),IF($J81=0,$O81,$J81)*$I81)))</f>
        <v>0</v>
      </c>
      <c r="AF81" s="1319" t="b">
        <f t="shared" si="37"/>
        <v>1</v>
      </c>
      <c r="AG81" s="1319" t="str">
        <f t="shared" si="38"/>
        <v>Checked</v>
      </c>
      <c r="AH81" s="1318" t="str">
        <f t="shared" si="39"/>
        <v>Checked</v>
      </c>
    </row>
    <row r="82" spans="2:34" outlineLevel="1" x14ac:dyDescent="0.3">
      <c r="B82" s="1356" t="s">
        <v>2204</v>
      </c>
      <c r="C82" s="1356" t="s">
        <v>1971</v>
      </c>
      <c r="D82" s="1322" t="s">
        <v>2174</v>
      </c>
      <c r="E82" s="1357">
        <v>10</v>
      </c>
      <c r="F82" s="1333">
        <f t="shared" si="30"/>
        <v>0</v>
      </c>
      <c r="G82" s="1358">
        <f t="shared" si="31"/>
        <v>0</v>
      </c>
      <c r="H82" s="1359">
        <f t="shared" si="32"/>
        <v>0</v>
      </c>
      <c r="I82" s="1360">
        <f t="shared" si="33"/>
        <v>0.1</v>
      </c>
      <c r="J82" s="1361">
        <v>1100000</v>
      </c>
      <c r="K82" s="1362">
        <v>1099000</v>
      </c>
      <c r="L82" s="1356">
        <v>0</v>
      </c>
      <c r="M82" s="1356">
        <v>0</v>
      </c>
      <c r="N82" s="1361">
        <f t="shared" si="34"/>
        <v>1000</v>
      </c>
      <c r="O82" s="1363"/>
      <c r="P82" s="1356">
        <v>0</v>
      </c>
      <c r="Q82" s="1364"/>
      <c r="R82" s="1365">
        <f t="shared" si="35"/>
        <v>1000</v>
      </c>
      <c r="S82" s="1364"/>
      <c r="T82" s="1366">
        <f t="shared" si="36"/>
        <v>0</v>
      </c>
      <c r="U82" s="1367">
        <f>IF($R82-SUM($T82:T82)=0,0,IF(OR($R82&lt;=0,$R82&lt;=SUM($T82:T82)),0,IF((IF($J82=0,$O82,$J82)*$I82)&gt;=($R82-SUM($T82:T82)),($R82-SUM($T82:T82)),IF($J82=0,$O82,$J82)*$I82)))</f>
        <v>1000</v>
      </c>
      <c r="V82" s="1367">
        <f>IF($R82-SUM($T82:U82)=0,0,IF(OR($R82&lt;=0,$R82&lt;=SUM($T82:U82)),0,IF((IF($J82=0,$O82,$J82)*$I82)&gt;=($R82-SUM($T82:U82)),($R82-SUM($T82:U82)),IF($J82=0,$O82,$J82)*$I82)))</f>
        <v>0</v>
      </c>
      <c r="W82" s="1367">
        <f>IF($R82-SUM($T82:V82)=0,0,IF(OR($R82&lt;=0,$R82&lt;=SUM($T82:V82)),0,IF((IF($J82=0,$O82,$J82)*$I82)&gt;=($R82-SUM($T82:V82)),($R82-SUM($T82:V82)),IF($J82=0,$O82,$J82)*$I82)))</f>
        <v>0</v>
      </c>
      <c r="X82" s="1367">
        <f>IF($R82-SUM($T82:W82)=0,0,IF(OR($R82&lt;=0,$R82&lt;=SUM($T82:W82)),0,IF((IF($J82=0,$O82,$J82)*$I82)&gt;=($R82-SUM($T82:W82)),($R82-SUM($T82:W82)),IF($J82=0,$O82,$J82)*$I82)))</f>
        <v>0</v>
      </c>
      <c r="Y82" s="1367">
        <f>IF($R82-SUM($T82:X82)=0,0,IF(OR($R82&lt;=0,$R82&lt;=SUM($T82:X82)),0,IF((IF($J82=0,$O82,$J82)*$I82)&gt;=($R82-SUM($T82:X82)),($R82-SUM($T82:X82)),IF($J82=0,$O82,$J82)*$I82)))</f>
        <v>0</v>
      </c>
      <c r="Z82" s="1367">
        <f>IF($R82-SUM($T82:Y82)=0,0,IF(OR($R82&lt;=0,$R82&lt;=SUM($T82:Y82)),0,IF((IF($J82=0,$O82,$J82)*$I82)&gt;=($R82-SUM($T82:Y82)),($R82-SUM($T82:Y82)),IF($J82=0,$O82,$J82)*$I82)))</f>
        <v>0</v>
      </c>
      <c r="AA82" s="1367">
        <f>IF($R82-SUM($T82:Z82)=0,0,IF(OR($R82&lt;=0,$R82&lt;=SUM($T82:Z82)),0,IF((IF($J82=0,$O82,$J82)*$I82)&gt;=($R82-SUM($T82:Z82)),($R82-SUM($T82:Z82)),IF($J82=0,$O82,$J82)*$I82)))</f>
        <v>0</v>
      </c>
      <c r="AB82" s="1367">
        <f>IF($R82-SUM($T82:AA82)=0,0,IF(OR($R82&lt;=0,$R82&lt;=SUM($T82:AA82)),0,IF((IF($J82=0,$O82,$J82)*$I82)&gt;=($R82-SUM($T82:AA82)),($R82-SUM($T82:AA82)),IF($J82=0,$O82,$J82)*$I82)))</f>
        <v>0</v>
      </c>
      <c r="AC82" s="1367">
        <f>IF($R82-SUM($T82:AB82)=0,0,IF(OR($R82&lt;=0,$R82&lt;=SUM($T82:AB82)),0,IF((IF($J82=0,$O82,$J82)*$I82)&gt;=($R82-SUM($T82:AB82)),($R82-SUM($T82:AB82)),IF($J82=0,$O82,$J82)*$I82)))</f>
        <v>0</v>
      </c>
      <c r="AD82" s="1367">
        <f>IF($R82-SUM($T82:AC82)=0,0,IF(OR($R82&lt;=0,$R82&lt;=SUM($T82:AC82)),0,IF((IF($J82=0,$O82,$J82)*$I82)&gt;=($R82-SUM($T82:AC82)),($R82-SUM($T82:AC82)),IF($J82=0,$O82,$J82)*$I82)))</f>
        <v>0</v>
      </c>
      <c r="AF82" s="1319" t="b">
        <f t="shared" si="37"/>
        <v>1</v>
      </c>
      <c r="AG82" s="1319" t="str">
        <f t="shared" si="38"/>
        <v>Checked</v>
      </c>
      <c r="AH82" s="1318" t="str">
        <f t="shared" si="39"/>
        <v>Checked</v>
      </c>
    </row>
    <row r="83" spans="2:34" outlineLevel="1" x14ac:dyDescent="0.3">
      <c r="B83" s="1356" t="s">
        <v>2205</v>
      </c>
      <c r="C83" s="1356" t="s">
        <v>1971</v>
      </c>
      <c r="D83" s="1322" t="s">
        <v>2206</v>
      </c>
      <c r="E83" s="1357">
        <v>10</v>
      </c>
      <c r="F83" s="1333">
        <f t="shared" si="30"/>
        <v>0</v>
      </c>
      <c r="G83" s="1358">
        <f t="shared" si="31"/>
        <v>0</v>
      </c>
      <c r="H83" s="1359">
        <f t="shared" si="32"/>
        <v>0</v>
      </c>
      <c r="I83" s="1360">
        <f t="shared" si="33"/>
        <v>0.1</v>
      </c>
      <c r="J83" s="1361">
        <v>12750000</v>
      </c>
      <c r="K83" s="1362">
        <v>12749000</v>
      </c>
      <c r="L83" s="1356">
        <v>0</v>
      </c>
      <c r="M83" s="1356">
        <v>0</v>
      </c>
      <c r="N83" s="1361">
        <f t="shared" si="34"/>
        <v>1000</v>
      </c>
      <c r="O83" s="1363"/>
      <c r="P83" s="1356">
        <v>0</v>
      </c>
      <c r="Q83" s="1364"/>
      <c r="R83" s="1365">
        <f t="shared" si="35"/>
        <v>1000</v>
      </c>
      <c r="S83" s="1364"/>
      <c r="T83" s="1366">
        <f t="shared" si="36"/>
        <v>0</v>
      </c>
      <c r="U83" s="1367">
        <f>IF($R83-SUM($T83:T83)=0,0,IF(OR($R83&lt;=0,$R83&lt;=SUM($T83:T83)),0,IF((IF($J83=0,$O83,$J83)*$I83)&gt;=($R83-SUM($T83:T83)),($R83-SUM($T83:T83)),IF($J83=0,$O83,$J83)*$I83)))</f>
        <v>1000</v>
      </c>
      <c r="V83" s="1367">
        <f>IF($R83-SUM($T83:U83)=0,0,IF(OR($R83&lt;=0,$R83&lt;=SUM($T83:U83)),0,IF((IF($J83=0,$O83,$J83)*$I83)&gt;=($R83-SUM($T83:U83)),($R83-SUM($T83:U83)),IF($J83=0,$O83,$J83)*$I83)))</f>
        <v>0</v>
      </c>
      <c r="W83" s="1367">
        <f>IF($R83-SUM($T83:V83)=0,0,IF(OR($R83&lt;=0,$R83&lt;=SUM($T83:V83)),0,IF((IF($J83=0,$O83,$J83)*$I83)&gt;=($R83-SUM($T83:V83)),($R83-SUM($T83:V83)),IF($J83=0,$O83,$J83)*$I83)))</f>
        <v>0</v>
      </c>
      <c r="X83" s="1367">
        <f>IF($R83-SUM($T83:W83)=0,0,IF(OR($R83&lt;=0,$R83&lt;=SUM($T83:W83)),0,IF((IF($J83=0,$O83,$J83)*$I83)&gt;=($R83-SUM($T83:W83)),($R83-SUM($T83:W83)),IF($J83=0,$O83,$J83)*$I83)))</f>
        <v>0</v>
      </c>
      <c r="Y83" s="1367">
        <f>IF($R83-SUM($T83:X83)=0,0,IF(OR($R83&lt;=0,$R83&lt;=SUM($T83:X83)),0,IF((IF($J83=0,$O83,$J83)*$I83)&gt;=($R83-SUM($T83:X83)),($R83-SUM($T83:X83)),IF($J83=0,$O83,$J83)*$I83)))</f>
        <v>0</v>
      </c>
      <c r="Z83" s="1367">
        <f>IF($R83-SUM($T83:Y83)=0,0,IF(OR($R83&lt;=0,$R83&lt;=SUM($T83:Y83)),0,IF((IF($J83=0,$O83,$J83)*$I83)&gt;=($R83-SUM($T83:Y83)),($R83-SUM($T83:Y83)),IF($J83=0,$O83,$J83)*$I83)))</f>
        <v>0</v>
      </c>
      <c r="AA83" s="1367">
        <f>IF($R83-SUM($T83:Z83)=0,0,IF(OR($R83&lt;=0,$R83&lt;=SUM($T83:Z83)),0,IF((IF($J83=0,$O83,$J83)*$I83)&gt;=($R83-SUM($T83:Z83)),($R83-SUM($T83:Z83)),IF($J83=0,$O83,$J83)*$I83)))</f>
        <v>0</v>
      </c>
      <c r="AB83" s="1367">
        <f>IF($R83-SUM($T83:AA83)=0,0,IF(OR($R83&lt;=0,$R83&lt;=SUM($T83:AA83)),0,IF((IF($J83=0,$O83,$J83)*$I83)&gt;=($R83-SUM($T83:AA83)),($R83-SUM($T83:AA83)),IF($J83=0,$O83,$J83)*$I83)))</f>
        <v>0</v>
      </c>
      <c r="AC83" s="1367">
        <f>IF($R83-SUM($T83:AB83)=0,0,IF(OR($R83&lt;=0,$R83&lt;=SUM($T83:AB83)),0,IF((IF($J83=0,$O83,$J83)*$I83)&gt;=($R83-SUM($T83:AB83)),($R83-SUM($T83:AB83)),IF($J83=0,$O83,$J83)*$I83)))</f>
        <v>0</v>
      </c>
      <c r="AD83" s="1367">
        <f>IF($R83-SUM($T83:AC83)=0,0,IF(OR($R83&lt;=0,$R83&lt;=SUM($T83:AC83)),0,IF((IF($J83=0,$O83,$J83)*$I83)&gt;=($R83-SUM($T83:AC83)),($R83-SUM($T83:AC83)),IF($J83=0,$O83,$J83)*$I83)))</f>
        <v>0</v>
      </c>
      <c r="AF83" s="1319" t="b">
        <f t="shared" si="37"/>
        <v>1</v>
      </c>
      <c r="AG83" s="1319" t="str">
        <f t="shared" si="38"/>
        <v>Checked</v>
      </c>
      <c r="AH83" s="1318" t="str">
        <f t="shared" si="39"/>
        <v>Checked</v>
      </c>
    </row>
    <row r="84" spans="2:34" outlineLevel="1" x14ac:dyDescent="0.3">
      <c r="B84" s="1356" t="s">
        <v>2207</v>
      </c>
      <c r="C84" s="1356" t="s">
        <v>1971</v>
      </c>
      <c r="D84" s="1322" t="s">
        <v>2208</v>
      </c>
      <c r="E84" s="1357">
        <v>10</v>
      </c>
      <c r="F84" s="1333">
        <f t="shared" si="30"/>
        <v>0</v>
      </c>
      <c r="G84" s="1358">
        <f t="shared" si="31"/>
        <v>0</v>
      </c>
      <c r="H84" s="1359">
        <f t="shared" si="32"/>
        <v>0</v>
      </c>
      <c r="I84" s="1360">
        <f t="shared" si="33"/>
        <v>0.1</v>
      </c>
      <c r="J84" s="1361">
        <v>30000000</v>
      </c>
      <c r="K84" s="1362">
        <v>29999000</v>
      </c>
      <c r="L84" s="1356">
        <v>0</v>
      </c>
      <c r="M84" s="1356">
        <v>0</v>
      </c>
      <c r="N84" s="1361">
        <f t="shared" si="34"/>
        <v>1000</v>
      </c>
      <c r="O84" s="1363"/>
      <c r="P84" s="1356">
        <v>0</v>
      </c>
      <c r="Q84" s="1364"/>
      <c r="R84" s="1365">
        <f t="shared" si="35"/>
        <v>1000</v>
      </c>
      <c r="S84" s="1364"/>
      <c r="T84" s="1366">
        <f t="shared" si="36"/>
        <v>0</v>
      </c>
      <c r="U84" s="1367">
        <f>IF($R84-SUM($T84:T84)=0,0,IF(OR($R84&lt;=0,$R84&lt;=SUM($T84:T84)),0,IF((IF($J84=0,$O84,$J84)*$I84)&gt;=($R84-SUM($T84:T84)),($R84-SUM($T84:T84)),IF($J84=0,$O84,$J84)*$I84)))</f>
        <v>1000</v>
      </c>
      <c r="V84" s="1367">
        <f>IF($R84-SUM($T84:U84)=0,0,IF(OR($R84&lt;=0,$R84&lt;=SUM($T84:U84)),0,IF((IF($J84=0,$O84,$J84)*$I84)&gt;=($R84-SUM($T84:U84)),($R84-SUM($T84:U84)),IF($J84=0,$O84,$J84)*$I84)))</f>
        <v>0</v>
      </c>
      <c r="W84" s="1367">
        <f>IF($R84-SUM($T84:V84)=0,0,IF(OR($R84&lt;=0,$R84&lt;=SUM($T84:V84)),0,IF((IF($J84=0,$O84,$J84)*$I84)&gt;=($R84-SUM($T84:V84)),($R84-SUM($T84:V84)),IF($J84=0,$O84,$J84)*$I84)))</f>
        <v>0</v>
      </c>
      <c r="X84" s="1367">
        <f>IF($R84-SUM($T84:W84)=0,0,IF(OR($R84&lt;=0,$R84&lt;=SUM($T84:W84)),0,IF((IF($J84=0,$O84,$J84)*$I84)&gt;=($R84-SUM($T84:W84)),($R84-SUM($T84:W84)),IF($J84=0,$O84,$J84)*$I84)))</f>
        <v>0</v>
      </c>
      <c r="Y84" s="1367">
        <f>IF($R84-SUM($T84:X84)=0,0,IF(OR($R84&lt;=0,$R84&lt;=SUM($T84:X84)),0,IF((IF($J84=0,$O84,$J84)*$I84)&gt;=($R84-SUM($T84:X84)),($R84-SUM($T84:X84)),IF($J84=0,$O84,$J84)*$I84)))</f>
        <v>0</v>
      </c>
      <c r="Z84" s="1367">
        <f>IF($R84-SUM($T84:Y84)=0,0,IF(OR($R84&lt;=0,$R84&lt;=SUM($T84:Y84)),0,IF((IF($J84=0,$O84,$J84)*$I84)&gt;=($R84-SUM($T84:Y84)),($R84-SUM($T84:Y84)),IF($J84=0,$O84,$J84)*$I84)))</f>
        <v>0</v>
      </c>
      <c r="AA84" s="1367">
        <f>IF($R84-SUM($T84:Z84)=0,0,IF(OR($R84&lt;=0,$R84&lt;=SUM($T84:Z84)),0,IF((IF($J84=0,$O84,$J84)*$I84)&gt;=($R84-SUM($T84:Z84)),($R84-SUM($T84:Z84)),IF($J84=0,$O84,$J84)*$I84)))</f>
        <v>0</v>
      </c>
      <c r="AB84" s="1367">
        <f>IF($R84-SUM($T84:AA84)=0,0,IF(OR($R84&lt;=0,$R84&lt;=SUM($T84:AA84)),0,IF((IF($J84=0,$O84,$J84)*$I84)&gt;=($R84-SUM($T84:AA84)),($R84-SUM($T84:AA84)),IF($J84=0,$O84,$J84)*$I84)))</f>
        <v>0</v>
      </c>
      <c r="AC84" s="1367">
        <f>IF($R84-SUM($T84:AB84)=0,0,IF(OR($R84&lt;=0,$R84&lt;=SUM($T84:AB84)),0,IF((IF($J84=0,$O84,$J84)*$I84)&gt;=($R84-SUM($T84:AB84)),($R84-SUM($T84:AB84)),IF($J84=0,$O84,$J84)*$I84)))</f>
        <v>0</v>
      </c>
      <c r="AD84" s="1367">
        <f>IF($R84-SUM($T84:AC84)=0,0,IF(OR($R84&lt;=0,$R84&lt;=SUM($T84:AC84)),0,IF((IF($J84=0,$O84,$J84)*$I84)&gt;=($R84-SUM($T84:AC84)),($R84-SUM($T84:AC84)),IF($J84=0,$O84,$J84)*$I84)))</f>
        <v>0</v>
      </c>
      <c r="AF84" s="1319" t="b">
        <f t="shared" si="37"/>
        <v>1</v>
      </c>
      <c r="AG84" s="1319" t="str">
        <f t="shared" si="38"/>
        <v>Checked</v>
      </c>
      <c r="AH84" s="1318" t="str">
        <f t="shared" si="39"/>
        <v>Checked</v>
      </c>
    </row>
    <row r="85" spans="2:34" outlineLevel="1" x14ac:dyDescent="0.3">
      <c r="B85" s="1356" t="s">
        <v>2209</v>
      </c>
      <c r="C85" s="1356" t="s">
        <v>1971</v>
      </c>
      <c r="D85" s="1322" t="s">
        <v>2208</v>
      </c>
      <c r="E85" s="1357">
        <v>10</v>
      </c>
      <c r="F85" s="1333">
        <f t="shared" si="30"/>
        <v>0</v>
      </c>
      <c r="G85" s="1358">
        <f t="shared" si="31"/>
        <v>0</v>
      </c>
      <c r="H85" s="1359">
        <f t="shared" si="32"/>
        <v>0</v>
      </c>
      <c r="I85" s="1360">
        <f t="shared" si="33"/>
        <v>0.1</v>
      </c>
      <c r="J85" s="1361">
        <v>15000000</v>
      </c>
      <c r="K85" s="1362">
        <v>14999000</v>
      </c>
      <c r="L85" s="1356">
        <v>0</v>
      </c>
      <c r="M85" s="1356">
        <v>0</v>
      </c>
      <c r="N85" s="1361">
        <f t="shared" si="34"/>
        <v>1000</v>
      </c>
      <c r="O85" s="1363"/>
      <c r="P85" s="1356">
        <v>0</v>
      </c>
      <c r="Q85" s="1364"/>
      <c r="R85" s="1365">
        <f t="shared" si="35"/>
        <v>1000</v>
      </c>
      <c r="S85" s="1364"/>
      <c r="T85" s="1366">
        <f t="shared" si="36"/>
        <v>0</v>
      </c>
      <c r="U85" s="1367">
        <f>IF($R85-SUM($T85:T85)=0,0,IF(OR($R85&lt;=0,$R85&lt;=SUM($T85:T85)),0,IF((IF($J85=0,$O85,$J85)*$I85)&gt;=($R85-SUM($T85:T85)),($R85-SUM($T85:T85)),IF($J85=0,$O85,$J85)*$I85)))</f>
        <v>1000</v>
      </c>
      <c r="V85" s="1367">
        <f>IF($R85-SUM($T85:U85)=0,0,IF(OR($R85&lt;=0,$R85&lt;=SUM($T85:U85)),0,IF((IF($J85=0,$O85,$J85)*$I85)&gt;=($R85-SUM($T85:U85)),($R85-SUM($T85:U85)),IF($J85=0,$O85,$J85)*$I85)))</f>
        <v>0</v>
      </c>
      <c r="W85" s="1367">
        <f>IF($R85-SUM($T85:V85)=0,0,IF(OR($R85&lt;=0,$R85&lt;=SUM($T85:V85)),0,IF((IF($J85=0,$O85,$J85)*$I85)&gt;=($R85-SUM($T85:V85)),($R85-SUM($T85:V85)),IF($J85=0,$O85,$J85)*$I85)))</f>
        <v>0</v>
      </c>
      <c r="X85" s="1367">
        <f>IF($R85-SUM($T85:W85)=0,0,IF(OR($R85&lt;=0,$R85&lt;=SUM($T85:W85)),0,IF((IF($J85=0,$O85,$J85)*$I85)&gt;=($R85-SUM($T85:W85)),($R85-SUM($T85:W85)),IF($J85=0,$O85,$J85)*$I85)))</f>
        <v>0</v>
      </c>
      <c r="Y85" s="1367">
        <f>IF($R85-SUM($T85:X85)=0,0,IF(OR($R85&lt;=0,$R85&lt;=SUM($T85:X85)),0,IF((IF($J85=0,$O85,$J85)*$I85)&gt;=($R85-SUM($T85:X85)),($R85-SUM($T85:X85)),IF($J85=0,$O85,$J85)*$I85)))</f>
        <v>0</v>
      </c>
      <c r="Z85" s="1367">
        <f>IF($R85-SUM($T85:Y85)=0,0,IF(OR($R85&lt;=0,$R85&lt;=SUM($T85:Y85)),0,IF((IF($J85=0,$O85,$J85)*$I85)&gt;=($R85-SUM($T85:Y85)),($R85-SUM($T85:Y85)),IF($J85=0,$O85,$J85)*$I85)))</f>
        <v>0</v>
      </c>
      <c r="AA85" s="1367">
        <f>IF($R85-SUM($T85:Z85)=0,0,IF(OR($R85&lt;=0,$R85&lt;=SUM($T85:Z85)),0,IF((IF($J85=0,$O85,$J85)*$I85)&gt;=($R85-SUM($T85:Z85)),($R85-SUM($T85:Z85)),IF($J85=0,$O85,$J85)*$I85)))</f>
        <v>0</v>
      </c>
      <c r="AB85" s="1367">
        <f>IF($R85-SUM($T85:AA85)=0,0,IF(OR($R85&lt;=0,$R85&lt;=SUM($T85:AA85)),0,IF((IF($J85=0,$O85,$J85)*$I85)&gt;=($R85-SUM($T85:AA85)),($R85-SUM($T85:AA85)),IF($J85=0,$O85,$J85)*$I85)))</f>
        <v>0</v>
      </c>
      <c r="AC85" s="1367">
        <f>IF($R85-SUM($T85:AB85)=0,0,IF(OR($R85&lt;=0,$R85&lt;=SUM($T85:AB85)),0,IF((IF($J85=0,$O85,$J85)*$I85)&gt;=($R85-SUM($T85:AB85)),($R85-SUM($T85:AB85)),IF($J85=0,$O85,$J85)*$I85)))</f>
        <v>0</v>
      </c>
      <c r="AD85" s="1367">
        <f>IF($R85-SUM($T85:AC85)=0,0,IF(OR($R85&lt;=0,$R85&lt;=SUM($T85:AC85)),0,IF((IF($J85=0,$O85,$J85)*$I85)&gt;=($R85-SUM($T85:AC85)),($R85-SUM($T85:AC85)),IF($J85=0,$O85,$J85)*$I85)))</f>
        <v>0</v>
      </c>
      <c r="AF85" s="1319" t="b">
        <f t="shared" si="37"/>
        <v>1</v>
      </c>
      <c r="AG85" s="1319" t="str">
        <f t="shared" si="38"/>
        <v>Checked</v>
      </c>
      <c r="AH85" s="1318" t="str">
        <f t="shared" si="39"/>
        <v>Checked</v>
      </c>
    </row>
    <row r="86" spans="2:34" outlineLevel="1" x14ac:dyDescent="0.3">
      <c r="B86" s="1356" t="s">
        <v>2210</v>
      </c>
      <c r="C86" s="1356" t="s">
        <v>1971</v>
      </c>
      <c r="D86" s="1322" t="s">
        <v>2211</v>
      </c>
      <c r="E86" s="1357">
        <v>10</v>
      </c>
      <c r="F86" s="1333">
        <f t="shared" si="30"/>
        <v>0</v>
      </c>
      <c r="G86" s="1358">
        <f t="shared" si="31"/>
        <v>0</v>
      </c>
      <c r="H86" s="1359">
        <f t="shared" si="32"/>
        <v>0</v>
      </c>
      <c r="I86" s="1360">
        <f t="shared" si="33"/>
        <v>0.1</v>
      </c>
      <c r="J86" s="1361">
        <v>17750000</v>
      </c>
      <c r="K86" s="1362">
        <v>17749000</v>
      </c>
      <c r="L86" s="1356">
        <v>0</v>
      </c>
      <c r="M86" s="1356">
        <v>0</v>
      </c>
      <c r="N86" s="1361">
        <f t="shared" si="34"/>
        <v>1000</v>
      </c>
      <c r="O86" s="1363"/>
      <c r="P86" s="1356">
        <v>0</v>
      </c>
      <c r="Q86" s="1364"/>
      <c r="R86" s="1365">
        <f t="shared" si="35"/>
        <v>1000</v>
      </c>
      <c r="S86" s="1364"/>
      <c r="T86" s="1366">
        <f t="shared" si="36"/>
        <v>0</v>
      </c>
      <c r="U86" s="1367">
        <f>IF($R86-SUM($T86:T86)=0,0,IF(OR($R86&lt;=0,$R86&lt;=SUM($T86:T86)),0,IF((IF($J86=0,$O86,$J86)*$I86)&gt;=($R86-SUM($T86:T86)),($R86-SUM($T86:T86)),IF($J86=0,$O86,$J86)*$I86)))</f>
        <v>1000</v>
      </c>
      <c r="V86" s="1367">
        <f>IF($R86-SUM($T86:U86)=0,0,IF(OR($R86&lt;=0,$R86&lt;=SUM($T86:U86)),0,IF((IF($J86=0,$O86,$J86)*$I86)&gt;=($R86-SUM($T86:U86)),($R86-SUM($T86:U86)),IF($J86=0,$O86,$J86)*$I86)))</f>
        <v>0</v>
      </c>
      <c r="W86" s="1367">
        <f>IF($R86-SUM($T86:V86)=0,0,IF(OR($R86&lt;=0,$R86&lt;=SUM($T86:V86)),0,IF((IF($J86=0,$O86,$J86)*$I86)&gt;=($R86-SUM($T86:V86)),($R86-SUM($T86:V86)),IF($J86=0,$O86,$J86)*$I86)))</f>
        <v>0</v>
      </c>
      <c r="X86" s="1367">
        <f>IF($R86-SUM($T86:W86)=0,0,IF(OR($R86&lt;=0,$R86&lt;=SUM($T86:W86)),0,IF((IF($J86=0,$O86,$J86)*$I86)&gt;=($R86-SUM($T86:W86)),($R86-SUM($T86:W86)),IF($J86=0,$O86,$J86)*$I86)))</f>
        <v>0</v>
      </c>
      <c r="Y86" s="1367">
        <f>IF($R86-SUM($T86:X86)=0,0,IF(OR($R86&lt;=0,$R86&lt;=SUM($T86:X86)),0,IF((IF($J86=0,$O86,$J86)*$I86)&gt;=($R86-SUM($T86:X86)),($R86-SUM($T86:X86)),IF($J86=0,$O86,$J86)*$I86)))</f>
        <v>0</v>
      </c>
      <c r="Z86" s="1367">
        <f>IF($R86-SUM($T86:Y86)=0,0,IF(OR($R86&lt;=0,$R86&lt;=SUM($T86:Y86)),0,IF((IF($J86=0,$O86,$J86)*$I86)&gt;=($R86-SUM($T86:Y86)),($R86-SUM($T86:Y86)),IF($J86=0,$O86,$J86)*$I86)))</f>
        <v>0</v>
      </c>
      <c r="AA86" s="1367">
        <f>IF($R86-SUM($T86:Z86)=0,0,IF(OR($R86&lt;=0,$R86&lt;=SUM($T86:Z86)),0,IF((IF($J86=0,$O86,$J86)*$I86)&gt;=($R86-SUM($T86:Z86)),($R86-SUM($T86:Z86)),IF($J86=0,$O86,$J86)*$I86)))</f>
        <v>0</v>
      </c>
      <c r="AB86" s="1367">
        <f>IF($R86-SUM($T86:AA86)=0,0,IF(OR($R86&lt;=0,$R86&lt;=SUM($T86:AA86)),0,IF((IF($J86=0,$O86,$J86)*$I86)&gt;=($R86-SUM($T86:AA86)),($R86-SUM($T86:AA86)),IF($J86=0,$O86,$J86)*$I86)))</f>
        <v>0</v>
      </c>
      <c r="AC86" s="1367">
        <f>IF($R86-SUM($T86:AB86)=0,0,IF(OR($R86&lt;=0,$R86&lt;=SUM($T86:AB86)),0,IF((IF($J86=0,$O86,$J86)*$I86)&gt;=($R86-SUM($T86:AB86)),($R86-SUM($T86:AB86)),IF($J86=0,$O86,$J86)*$I86)))</f>
        <v>0</v>
      </c>
      <c r="AD86" s="1367">
        <f>IF($R86-SUM($T86:AC86)=0,0,IF(OR($R86&lt;=0,$R86&lt;=SUM($T86:AC86)),0,IF((IF($J86=0,$O86,$J86)*$I86)&gt;=($R86-SUM($T86:AC86)),($R86-SUM($T86:AC86)),IF($J86=0,$O86,$J86)*$I86)))</f>
        <v>0</v>
      </c>
      <c r="AF86" s="1319" t="b">
        <f t="shared" si="37"/>
        <v>1</v>
      </c>
      <c r="AG86" s="1319" t="str">
        <f t="shared" si="38"/>
        <v>Checked</v>
      </c>
      <c r="AH86" s="1318" t="str">
        <f t="shared" si="39"/>
        <v>Checked</v>
      </c>
    </row>
    <row r="87" spans="2:34" outlineLevel="1" x14ac:dyDescent="0.3">
      <c r="B87" s="1356" t="s">
        <v>2212</v>
      </c>
      <c r="C87" s="1356" t="s">
        <v>1971</v>
      </c>
      <c r="D87" s="1322" t="s">
        <v>2213</v>
      </c>
      <c r="E87" s="1357">
        <v>10</v>
      </c>
      <c r="F87" s="1333">
        <f t="shared" si="30"/>
        <v>0</v>
      </c>
      <c r="G87" s="1358">
        <f t="shared" si="31"/>
        <v>0</v>
      </c>
      <c r="H87" s="1359">
        <f t="shared" si="32"/>
        <v>0</v>
      </c>
      <c r="I87" s="1360">
        <f t="shared" si="33"/>
        <v>0.1</v>
      </c>
      <c r="J87" s="1361">
        <v>12000000</v>
      </c>
      <c r="K87" s="1362">
        <v>11999000</v>
      </c>
      <c r="L87" s="1356">
        <v>0</v>
      </c>
      <c r="M87" s="1356">
        <v>0</v>
      </c>
      <c r="N87" s="1361">
        <f t="shared" si="34"/>
        <v>1000</v>
      </c>
      <c r="O87" s="1363"/>
      <c r="P87" s="1356">
        <v>0</v>
      </c>
      <c r="Q87" s="1364"/>
      <c r="R87" s="1365">
        <f t="shared" si="35"/>
        <v>1000</v>
      </c>
      <c r="S87" s="1364"/>
      <c r="T87" s="1366">
        <f t="shared" si="36"/>
        <v>0</v>
      </c>
      <c r="U87" s="1367">
        <f>IF($R87-SUM($T87:T87)=0,0,IF(OR($R87&lt;=0,$R87&lt;=SUM($T87:T87)),0,IF((IF($J87=0,$O87,$J87)*$I87)&gt;=($R87-SUM($T87:T87)),($R87-SUM($T87:T87)),IF($J87=0,$O87,$J87)*$I87)))</f>
        <v>1000</v>
      </c>
      <c r="V87" s="1367">
        <f>IF($R87-SUM($T87:U87)=0,0,IF(OR($R87&lt;=0,$R87&lt;=SUM($T87:U87)),0,IF((IF($J87=0,$O87,$J87)*$I87)&gt;=($R87-SUM($T87:U87)),($R87-SUM($T87:U87)),IF($J87=0,$O87,$J87)*$I87)))</f>
        <v>0</v>
      </c>
      <c r="W87" s="1367">
        <f>IF($R87-SUM($T87:V87)=0,0,IF(OR($R87&lt;=0,$R87&lt;=SUM($T87:V87)),0,IF((IF($J87=0,$O87,$J87)*$I87)&gt;=($R87-SUM($T87:V87)),($R87-SUM($T87:V87)),IF($J87=0,$O87,$J87)*$I87)))</f>
        <v>0</v>
      </c>
      <c r="X87" s="1367">
        <f>IF($R87-SUM($T87:W87)=0,0,IF(OR($R87&lt;=0,$R87&lt;=SUM($T87:W87)),0,IF((IF($J87=0,$O87,$J87)*$I87)&gt;=($R87-SUM($T87:W87)),($R87-SUM($T87:W87)),IF($J87=0,$O87,$J87)*$I87)))</f>
        <v>0</v>
      </c>
      <c r="Y87" s="1367">
        <f>IF($R87-SUM($T87:X87)=0,0,IF(OR($R87&lt;=0,$R87&lt;=SUM($T87:X87)),0,IF((IF($J87=0,$O87,$J87)*$I87)&gt;=($R87-SUM($T87:X87)),($R87-SUM($T87:X87)),IF($J87=0,$O87,$J87)*$I87)))</f>
        <v>0</v>
      </c>
      <c r="Z87" s="1367">
        <f>IF($R87-SUM($T87:Y87)=0,0,IF(OR($R87&lt;=0,$R87&lt;=SUM($T87:Y87)),0,IF((IF($J87=0,$O87,$J87)*$I87)&gt;=($R87-SUM($T87:Y87)),($R87-SUM($T87:Y87)),IF($J87=0,$O87,$J87)*$I87)))</f>
        <v>0</v>
      </c>
      <c r="AA87" s="1367">
        <f>IF($R87-SUM($T87:Z87)=0,0,IF(OR($R87&lt;=0,$R87&lt;=SUM($T87:Z87)),0,IF((IF($J87=0,$O87,$J87)*$I87)&gt;=($R87-SUM($T87:Z87)),($R87-SUM($T87:Z87)),IF($J87=0,$O87,$J87)*$I87)))</f>
        <v>0</v>
      </c>
      <c r="AB87" s="1367">
        <f>IF($R87-SUM($T87:AA87)=0,0,IF(OR($R87&lt;=0,$R87&lt;=SUM($T87:AA87)),0,IF((IF($J87=0,$O87,$J87)*$I87)&gt;=($R87-SUM($T87:AA87)),($R87-SUM($T87:AA87)),IF($J87=0,$O87,$J87)*$I87)))</f>
        <v>0</v>
      </c>
      <c r="AC87" s="1367">
        <f>IF($R87-SUM($T87:AB87)=0,0,IF(OR($R87&lt;=0,$R87&lt;=SUM($T87:AB87)),0,IF((IF($J87=0,$O87,$J87)*$I87)&gt;=($R87-SUM($T87:AB87)),($R87-SUM($T87:AB87)),IF($J87=0,$O87,$J87)*$I87)))</f>
        <v>0</v>
      </c>
      <c r="AD87" s="1367">
        <f>IF($R87-SUM($T87:AC87)=0,0,IF(OR($R87&lt;=0,$R87&lt;=SUM($T87:AC87)),0,IF((IF($J87=0,$O87,$J87)*$I87)&gt;=($R87-SUM($T87:AC87)),($R87-SUM($T87:AC87)),IF($J87=0,$O87,$J87)*$I87)))</f>
        <v>0</v>
      </c>
      <c r="AF87" s="1319" t="b">
        <f t="shared" si="37"/>
        <v>1</v>
      </c>
      <c r="AG87" s="1319" t="str">
        <f t="shared" si="38"/>
        <v>Checked</v>
      </c>
      <c r="AH87" s="1318" t="str">
        <f t="shared" si="39"/>
        <v>Checked</v>
      </c>
    </row>
    <row r="88" spans="2:34" outlineLevel="1" x14ac:dyDescent="0.3">
      <c r="B88" s="1356" t="s">
        <v>2214</v>
      </c>
      <c r="C88" s="1356" t="s">
        <v>1971</v>
      </c>
      <c r="D88" s="1322" t="s">
        <v>2215</v>
      </c>
      <c r="E88" s="1357">
        <v>10</v>
      </c>
      <c r="F88" s="1333">
        <f t="shared" si="30"/>
        <v>0</v>
      </c>
      <c r="G88" s="1358">
        <f t="shared" si="31"/>
        <v>0</v>
      </c>
      <c r="H88" s="1359">
        <f t="shared" si="32"/>
        <v>0</v>
      </c>
      <c r="I88" s="1360">
        <f t="shared" si="33"/>
        <v>0.1</v>
      </c>
      <c r="J88" s="1361">
        <v>13060000</v>
      </c>
      <c r="K88" s="1362">
        <v>13059000</v>
      </c>
      <c r="L88" s="1356">
        <v>0</v>
      </c>
      <c r="M88" s="1356">
        <v>0</v>
      </c>
      <c r="N88" s="1361">
        <f t="shared" si="34"/>
        <v>1000</v>
      </c>
      <c r="O88" s="1363"/>
      <c r="P88" s="1356">
        <v>0</v>
      </c>
      <c r="Q88" s="1364"/>
      <c r="R88" s="1365">
        <f t="shared" si="35"/>
        <v>1000</v>
      </c>
      <c r="S88" s="1364"/>
      <c r="T88" s="1366">
        <f t="shared" si="36"/>
        <v>0</v>
      </c>
      <c r="U88" s="1367">
        <f>IF($R88-SUM($T88:T88)=0,0,IF(OR($R88&lt;=0,$R88&lt;=SUM($T88:T88)),0,IF((IF($J88=0,$O88,$J88)*$I88)&gt;=($R88-SUM($T88:T88)),($R88-SUM($T88:T88)),IF($J88=0,$O88,$J88)*$I88)))</f>
        <v>1000</v>
      </c>
      <c r="V88" s="1367">
        <f>IF($R88-SUM($T88:U88)=0,0,IF(OR($R88&lt;=0,$R88&lt;=SUM($T88:U88)),0,IF((IF($J88=0,$O88,$J88)*$I88)&gt;=($R88-SUM($T88:U88)),($R88-SUM($T88:U88)),IF($J88=0,$O88,$J88)*$I88)))</f>
        <v>0</v>
      </c>
      <c r="W88" s="1367">
        <f>IF($R88-SUM($T88:V88)=0,0,IF(OR($R88&lt;=0,$R88&lt;=SUM($T88:V88)),0,IF((IF($J88=0,$O88,$J88)*$I88)&gt;=($R88-SUM($T88:V88)),($R88-SUM($T88:V88)),IF($J88=0,$O88,$J88)*$I88)))</f>
        <v>0</v>
      </c>
      <c r="X88" s="1367">
        <f>IF($R88-SUM($T88:W88)=0,0,IF(OR($R88&lt;=0,$R88&lt;=SUM($T88:W88)),0,IF((IF($J88=0,$O88,$J88)*$I88)&gt;=($R88-SUM($T88:W88)),($R88-SUM($T88:W88)),IF($J88=0,$O88,$J88)*$I88)))</f>
        <v>0</v>
      </c>
      <c r="Y88" s="1367">
        <f>IF($R88-SUM($T88:X88)=0,0,IF(OR($R88&lt;=0,$R88&lt;=SUM($T88:X88)),0,IF((IF($J88=0,$O88,$J88)*$I88)&gt;=($R88-SUM($T88:X88)),($R88-SUM($T88:X88)),IF($J88=0,$O88,$J88)*$I88)))</f>
        <v>0</v>
      </c>
      <c r="Z88" s="1367">
        <f>IF($R88-SUM($T88:Y88)=0,0,IF(OR($R88&lt;=0,$R88&lt;=SUM($T88:Y88)),0,IF((IF($J88=0,$O88,$J88)*$I88)&gt;=($R88-SUM($T88:Y88)),($R88-SUM($T88:Y88)),IF($J88=0,$O88,$J88)*$I88)))</f>
        <v>0</v>
      </c>
      <c r="AA88" s="1367">
        <f>IF($R88-SUM($T88:Z88)=0,0,IF(OR($R88&lt;=0,$R88&lt;=SUM($T88:Z88)),0,IF((IF($J88=0,$O88,$J88)*$I88)&gt;=($R88-SUM($T88:Z88)),($R88-SUM($T88:Z88)),IF($J88=0,$O88,$J88)*$I88)))</f>
        <v>0</v>
      </c>
      <c r="AB88" s="1367">
        <f>IF($R88-SUM($T88:AA88)=0,0,IF(OR($R88&lt;=0,$R88&lt;=SUM($T88:AA88)),0,IF((IF($J88=0,$O88,$J88)*$I88)&gt;=($R88-SUM($T88:AA88)),($R88-SUM($T88:AA88)),IF($J88=0,$O88,$J88)*$I88)))</f>
        <v>0</v>
      </c>
      <c r="AC88" s="1367">
        <f>IF($R88-SUM($T88:AB88)=0,0,IF(OR($R88&lt;=0,$R88&lt;=SUM($T88:AB88)),0,IF((IF($J88=0,$O88,$J88)*$I88)&gt;=($R88-SUM($T88:AB88)),($R88-SUM($T88:AB88)),IF($J88=0,$O88,$J88)*$I88)))</f>
        <v>0</v>
      </c>
      <c r="AD88" s="1367">
        <f>IF($R88-SUM($T88:AC88)=0,0,IF(OR($R88&lt;=0,$R88&lt;=SUM($T88:AC88)),0,IF((IF($J88=0,$O88,$J88)*$I88)&gt;=($R88-SUM($T88:AC88)),($R88-SUM($T88:AC88)),IF($J88=0,$O88,$J88)*$I88)))</f>
        <v>0</v>
      </c>
      <c r="AF88" s="1319" t="b">
        <f t="shared" si="37"/>
        <v>1</v>
      </c>
      <c r="AG88" s="1319" t="str">
        <f t="shared" si="38"/>
        <v>Checked</v>
      </c>
      <c r="AH88" s="1318" t="str">
        <f t="shared" si="39"/>
        <v>Checked</v>
      </c>
    </row>
    <row r="89" spans="2:34" outlineLevel="1" x14ac:dyDescent="0.3">
      <c r="B89" s="1356" t="s">
        <v>2216</v>
      </c>
      <c r="C89" s="1356" t="s">
        <v>1971</v>
      </c>
      <c r="D89" s="1322" t="s">
        <v>2175</v>
      </c>
      <c r="E89" s="1357">
        <v>5</v>
      </c>
      <c r="F89" s="1333">
        <f t="shared" si="30"/>
        <v>0</v>
      </c>
      <c r="G89" s="1358">
        <f t="shared" si="31"/>
        <v>0</v>
      </c>
      <c r="H89" s="1359">
        <f t="shared" si="32"/>
        <v>0</v>
      </c>
      <c r="I89" s="1360">
        <f t="shared" si="33"/>
        <v>0.2</v>
      </c>
      <c r="J89" s="1361">
        <v>10000000</v>
      </c>
      <c r="K89" s="1362">
        <v>9999000</v>
      </c>
      <c r="L89" s="1356">
        <v>0</v>
      </c>
      <c r="M89" s="1356">
        <v>0</v>
      </c>
      <c r="N89" s="1361">
        <f t="shared" si="34"/>
        <v>1000</v>
      </c>
      <c r="O89" s="1363"/>
      <c r="P89" s="1356">
        <v>0</v>
      </c>
      <c r="Q89" s="1364"/>
      <c r="R89" s="1365">
        <f t="shared" si="35"/>
        <v>1000</v>
      </c>
      <c r="S89" s="1364"/>
      <c r="T89" s="1366">
        <f t="shared" si="36"/>
        <v>0</v>
      </c>
      <c r="U89" s="1367">
        <f>IF($R89-SUM($T89:T89)=0,0,IF(OR($R89&lt;=0,$R89&lt;=SUM($T89:T89)),0,IF((IF($J89=0,$O89,$J89)*$I89)&gt;=($R89-SUM($T89:T89)),($R89-SUM($T89:T89)),IF($J89=0,$O89,$J89)*$I89)))</f>
        <v>1000</v>
      </c>
      <c r="V89" s="1367">
        <f>IF($R89-SUM($T89:U89)=0,0,IF(OR($R89&lt;=0,$R89&lt;=SUM($T89:U89)),0,IF((IF($J89=0,$O89,$J89)*$I89)&gt;=($R89-SUM($T89:U89)),($R89-SUM($T89:U89)),IF($J89=0,$O89,$J89)*$I89)))</f>
        <v>0</v>
      </c>
      <c r="W89" s="1367">
        <f>IF($R89-SUM($T89:V89)=0,0,IF(OR($R89&lt;=0,$R89&lt;=SUM($T89:V89)),0,IF((IF($J89=0,$O89,$J89)*$I89)&gt;=($R89-SUM($T89:V89)),($R89-SUM($T89:V89)),IF($J89=0,$O89,$J89)*$I89)))</f>
        <v>0</v>
      </c>
      <c r="X89" s="1367">
        <f>IF($R89-SUM($T89:W89)=0,0,IF(OR($R89&lt;=0,$R89&lt;=SUM($T89:W89)),0,IF((IF($J89=0,$O89,$J89)*$I89)&gt;=($R89-SUM($T89:W89)),($R89-SUM($T89:W89)),IF($J89=0,$O89,$J89)*$I89)))</f>
        <v>0</v>
      </c>
      <c r="Y89" s="1367">
        <f>IF($R89-SUM($T89:X89)=0,0,IF(OR($R89&lt;=0,$R89&lt;=SUM($T89:X89)),0,IF((IF($J89=0,$O89,$J89)*$I89)&gt;=($R89-SUM($T89:X89)),($R89-SUM($T89:X89)),IF($J89=0,$O89,$J89)*$I89)))</f>
        <v>0</v>
      </c>
      <c r="Z89" s="1367">
        <f>IF($R89-SUM($T89:Y89)=0,0,IF(OR($R89&lt;=0,$R89&lt;=SUM($T89:Y89)),0,IF((IF($J89=0,$O89,$J89)*$I89)&gt;=($R89-SUM($T89:Y89)),($R89-SUM($T89:Y89)),IF($J89=0,$O89,$J89)*$I89)))</f>
        <v>0</v>
      </c>
      <c r="AA89" s="1367">
        <f>IF($R89-SUM($T89:Z89)=0,0,IF(OR($R89&lt;=0,$R89&lt;=SUM($T89:Z89)),0,IF((IF($J89=0,$O89,$J89)*$I89)&gt;=($R89-SUM($T89:Z89)),($R89-SUM($T89:Z89)),IF($J89=0,$O89,$J89)*$I89)))</f>
        <v>0</v>
      </c>
      <c r="AB89" s="1367">
        <f>IF($R89-SUM($T89:AA89)=0,0,IF(OR($R89&lt;=0,$R89&lt;=SUM($T89:AA89)),0,IF((IF($J89=0,$O89,$J89)*$I89)&gt;=($R89-SUM($T89:AA89)),($R89-SUM($T89:AA89)),IF($J89=0,$O89,$J89)*$I89)))</f>
        <v>0</v>
      </c>
      <c r="AC89" s="1367">
        <f>IF($R89-SUM($T89:AB89)=0,0,IF(OR($R89&lt;=0,$R89&lt;=SUM($T89:AB89)),0,IF((IF($J89=0,$O89,$J89)*$I89)&gt;=($R89-SUM($T89:AB89)),($R89-SUM($T89:AB89)),IF($J89=0,$O89,$J89)*$I89)))</f>
        <v>0</v>
      </c>
      <c r="AD89" s="1367">
        <f>IF($R89-SUM($T89:AC89)=0,0,IF(OR($R89&lt;=0,$R89&lt;=SUM($T89:AC89)),0,IF((IF($J89=0,$O89,$J89)*$I89)&gt;=($R89-SUM($T89:AC89)),($R89-SUM($T89:AC89)),IF($J89=0,$O89,$J89)*$I89)))</f>
        <v>0</v>
      </c>
      <c r="AF89" s="1319" t="b">
        <f t="shared" si="37"/>
        <v>1</v>
      </c>
      <c r="AG89" s="1319" t="str">
        <f t="shared" si="38"/>
        <v>Checked</v>
      </c>
      <c r="AH89" s="1318" t="str">
        <f t="shared" si="39"/>
        <v>Checked</v>
      </c>
    </row>
    <row r="90" spans="2:34" outlineLevel="1" x14ac:dyDescent="0.3">
      <c r="B90" s="1356" t="s">
        <v>2217</v>
      </c>
      <c r="C90" s="1356" t="s">
        <v>1971</v>
      </c>
      <c r="D90" s="1322" t="s">
        <v>2218</v>
      </c>
      <c r="E90" s="1357">
        <v>10</v>
      </c>
      <c r="F90" s="1333">
        <f t="shared" si="30"/>
        <v>0</v>
      </c>
      <c r="G90" s="1358">
        <f t="shared" si="31"/>
        <v>0</v>
      </c>
      <c r="H90" s="1359">
        <f t="shared" si="32"/>
        <v>0</v>
      </c>
      <c r="I90" s="1360">
        <f t="shared" si="33"/>
        <v>0.1</v>
      </c>
      <c r="J90" s="1361">
        <v>49027800</v>
      </c>
      <c r="K90" s="1362">
        <v>49026800</v>
      </c>
      <c r="L90" s="1356">
        <v>0</v>
      </c>
      <c r="M90" s="1356">
        <v>0</v>
      </c>
      <c r="N90" s="1361">
        <f t="shared" si="34"/>
        <v>1000</v>
      </c>
      <c r="O90" s="1363"/>
      <c r="P90" s="1356">
        <v>0</v>
      </c>
      <c r="Q90" s="1364"/>
      <c r="R90" s="1365">
        <f t="shared" si="35"/>
        <v>1000</v>
      </c>
      <c r="S90" s="1364"/>
      <c r="T90" s="1366">
        <f t="shared" si="36"/>
        <v>0</v>
      </c>
      <c r="U90" s="1367">
        <f>IF($R90-SUM($T90:T90)=0,0,IF(OR($R90&lt;=0,$R90&lt;=SUM($T90:T90)),0,IF((IF($J90=0,$O90,$J90)*$I90)&gt;=($R90-SUM($T90:T90)),($R90-SUM($T90:T90)),IF($J90=0,$O90,$J90)*$I90)))</f>
        <v>1000</v>
      </c>
      <c r="V90" s="1367">
        <f>IF($R90-SUM($T90:U90)=0,0,IF(OR($R90&lt;=0,$R90&lt;=SUM($T90:U90)),0,IF((IF($J90=0,$O90,$J90)*$I90)&gt;=($R90-SUM($T90:U90)),($R90-SUM($T90:U90)),IF($J90=0,$O90,$J90)*$I90)))</f>
        <v>0</v>
      </c>
      <c r="W90" s="1367">
        <f>IF($R90-SUM($T90:V90)=0,0,IF(OR($R90&lt;=0,$R90&lt;=SUM($T90:V90)),0,IF((IF($J90=0,$O90,$J90)*$I90)&gt;=($R90-SUM($T90:V90)),($R90-SUM($T90:V90)),IF($J90=0,$O90,$J90)*$I90)))</f>
        <v>0</v>
      </c>
      <c r="X90" s="1367">
        <f>IF($R90-SUM($T90:W90)=0,0,IF(OR($R90&lt;=0,$R90&lt;=SUM($T90:W90)),0,IF((IF($J90=0,$O90,$J90)*$I90)&gt;=($R90-SUM($T90:W90)),($R90-SUM($T90:W90)),IF($J90=0,$O90,$J90)*$I90)))</f>
        <v>0</v>
      </c>
      <c r="Y90" s="1367">
        <f>IF($R90-SUM($T90:X90)=0,0,IF(OR($R90&lt;=0,$R90&lt;=SUM($T90:X90)),0,IF((IF($J90=0,$O90,$J90)*$I90)&gt;=($R90-SUM($T90:X90)),($R90-SUM($T90:X90)),IF($J90=0,$O90,$J90)*$I90)))</f>
        <v>0</v>
      </c>
      <c r="Z90" s="1367">
        <f>IF($R90-SUM($T90:Y90)=0,0,IF(OR($R90&lt;=0,$R90&lt;=SUM($T90:Y90)),0,IF((IF($J90=0,$O90,$J90)*$I90)&gt;=($R90-SUM($T90:Y90)),($R90-SUM($T90:Y90)),IF($J90=0,$O90,$J90)*$I90)))</f>
        <v>0</v>
      </c>
      <c r="AA90" s="1367">
        <f>IF($R90-SUM($T90:Z90)=0,0,IF(OR($R90&lt;=0,$R90&lt;=SUM($T90:Z90)),0,IF((IF($J90=0,$O90,$J90)*$I90)&gt;=($R90-SUM($T90:Z90)),($R90-SUM($T90:Z90)),IF($J90=0,$O90,$J90)*$I90)))</f>
        <v>0</v>
      </c>
      <c r="AB90" s="1367">
        <f>IF($R90-SUM($T90:AA90)=0,0,IF(OR($R90&lt;=0,$R90&lt;=SUM($T90:AA90)),0,IF((IF($J90=0,$O90,$J90)*$I90)&gt;=($R90-SUM($T90:AA90)),($R90-SUM($T90:AA90)),IF($J90=0,$O90,$J90)*$I90)))</f>
        <v>0</v>
      </c>
      <c r="AC90" s="1367">
        <f>IF($R90-SUM($T90:AB90)=0,0,IF(OR($R90&lt;=0,$R90&lt;=SUM($T90:AB90)),0,IF((IF($J90=0,$O90,$J90)*$I90)&gt;=($R90-SUM($T90:AB90)),($R90-SUM($T90:AB90)),IF($J90=0,$O90,$J90)*$I90)))</f>
        <v>0</v>
      </c>
      <c r="AD90" s="1367">
        <f>IF($R90-SUM($T90:AC90)=0,0,IF(OR($R90&lt;=0,$R90&lt;=SUM($T90:AC90)),0,IF((IF($J90=0,$O90,$J90)*$I90)&gt;=($R90-SUM($T90:AC90)),($R90-SUM($T90:AC90)),IF($J90=0,$O90,$J90)*$I90)))</f>
        <v>0</v>
      </c>
      <c r="AF90" s="1319" t="b">
        <f t="shared" si="37"/>
        <v>1</v>
      </c>
      <c r="AG90" s="1319" t="str">
        <f t="shared" si="38"/>
        <v>Checked</v>
      </c>
      <c r="AH90" s="1318" t="str">
        <f t="shared" si="39"/>
        <v>Checked</v>
      </c>
    </row>
    <row r="91" spans="2:34" outlineLevel="1" x14ac:dyDescent="0.3">
      <c r="B91" s="1356" t="s">
        <v>2219</v>
      </c>
      <c r="C91" s="1356" t="s">
        <v>1971</v>
      </c>
      <c r="D91" s="1322" t="s">
        <v>2220</v>
      </c>
      <c r="E91" s="1357">
        <v>10</v>
      </c>
      <c r="F91" s="1333">
        <f t="shared" si="30"/>
        <v>0</v>
      </c>
      <c r="G91" s="1358">
        <f t="shared" si="31"/>
        <v>0</v>
      </c>
      <c r="H91" s="1359">
        <f t="shared" si="32"/>
        <v>0</v>
      </c>
      <c r="I91" s="1360">
        <f t="shared" si="33"/>
        <v>0.1</v>
      </c>
      <c r="J91" s="1361">
        <v>1100000</v>
      </c>
      <c r="K91" s="1362">
        <v>1099000</v>
      </c>
      <c r="L91" s="1356">
        <v>0</v>
      </c>
      <c r="M91" s="1356">
        <v>0</v>
      </c>
      <c r="N91" s="1361">
        <f t="shared" si="34"/>
        <v>1000</v>
      </c>
      <c r="O91" s="1363"/>
      <c r="P91" s="1356">
        <v>0</v>
      </c>
      <c r="Q91" s="1364"/>
      <c r="R91" s="1365">
        <f t="shared" si="35"/>
        <v>1000</v>
      </c>
      <c r="S91" s="1364"/>
      <c r="T91" s="1366">
        <f t="shared" si="36"/>
        <v>0</v>
      </c>
      <c r="U91" s="1367">
        <f>IF($R91-SUM($T91:T91)=0,0,IF(OR($R91&lt;=0,$R91&lt;=SUM($T91:T91)),0,IF((IF($J91=0,$O91,$J91)*$I91)&gt;=($R91-SUM($T91:T91)),($R91-SUM($T91:T91)),IF($J91=0,$O91,$J91)*$I91)))</f>
        <v>1000</v>
      </c>
      <c r="V91" s="1367">
        <f>IF($R91-SUM($T91:U91)=0,0,IF(OR($R91&lt;=0,$R91&lt;=SUM($T91:U91)),0,IF((IF($J91=0,$O91,$J91)*$I91)&gt;=($R91-SUM($T91:U91)),($R91-SUM($T91:U91)),IF($J91=0,$O91,$J91)*$I91)))</f>
        <v>0</v>
      </c>
      <c r="W91" s="1367">
        <f>IF($R91-SUM($T91:V91)=0,0,IF(OR($R91&lt;=0,$R91&lt;=SUM($T91:V91)),0,IF((IF($J91=0,$O91,$J91)*$I91)&gt;=($R91-SUM($T91:V91)),($R91-SUM($T91:V91)),IF($J91=0,$O91,$J91)*$I91)))</f>
        <v>0</v>
      </c>
      <c r="X91" s="1367">
        <f>IF($R91-SUM($T91:W91)=0,0,IF(OR($R91&lt;=0,$R91&lt;=SUM($T91:W91)),0,IF((IF($J91=0,$O91,$J91)*$I91)&gt;=($R91-SUM($T91:W91)),($R91-SUM($T91:W91)),IF($J91=0,$O91,$J91)*$I91)))</f>
        <v>0</v>
      </c>
      <c r="Y91" s="1367">
        <f>IF($R91-SUM($T91:X91)=0,0,IF(OR($R91&lt;=0,$R91&lt;=SUM($T91:X91)),0,IF((IF($J91=0,$O91,$J91)*$I91)&gt;=($R91-SUM($T91:X91)),($R91-SUM($T91:X91)),IF($J91=0,$O91,$J91)*$I91)))</f>
        <v>0</v>
      </c>
      <c r="Z91" s="1367">
        <f>IF($R91-SUM($T91:Y91)=0,0,IF(OR($R91&lt;=0,$R91&lt;=SUM($T91:Y91)),0,IF((IF($J91=0,$O91,$J91)*$I91)&gt;=($R91-SUM($T91:Y91)),($R91-SUM($T91:Y91)),IF($J91=0,$O91,$J91)*$I91)))</f>
        <v>0</v>
      </c>
      <c r="AA91" s="1367">
        <f>IF($R91-SUM($T91:Z91)=0,0,IF(OR($R91&lt;=0,$R91&lt;=SUM($T91:Z91)),0,IF((IF($J91=0,$O91,$J91)*$I91)&gt;=($R91-SUM($T91:Z91)),($R91-SUM($T91:Z91)),IF($J91=0,$O91,$J91)*$I91)))</f>
        <v>0</v>
      </c>
      <c r="AB91" s="1367">
        <f>IF($R91-SUM($T91:AA91)=0,0,IF(OR($R91&lt;=0,$R91&lt;=SUM($T91:AA91)),0,IF((IF($J91=0,$O91,$J91)*$I91)&gt;=($R91-SUM($T91:AA91)),($R91-SUM($T91:AA91)),IF($J91=0,$O91,$J91)*$I91)))</f>
        <v>0</v>
      </c>
      <c r="AC91" s="1367">
        <f>IF($R91-SUM($T91:AB91)=0,0,IF(OR($R91&lt;=0,$R91&lt;=SUM($T91:AB91)),0,IF((IF($J91=0,$O91,$J91)*$I91)&gt;=($R91-SUM($T91:AB91)),($R91-SUM($T91:AB91)),IF($J91=0,$O91,$J91)*$I91)))</f>
        <v>0</v>
      </c>
      <c r="AD91" s="1367">
        <f>IF($R91-SUM($T91:AC91)=0,0,IF(OR($R91&lt;=0,$R91&lt;=SUM($T91:AC91)),0,IF((IF($J91=0,$O91,$J91)*$I91)&gt;=($R91-SUM($T91:AC91)),($R91-SUM($T91:AC91)),IF($J91=0,$O91,$J91)*$I91)))</f>
        <v>0</v>
      </c>
      <c r="AF91" s="1319" t="b">
        <f t="shared" si="37"/>
        <v>1</v>
      </c>
      <c r="AG91" s="1319" t="str">
        <f t="shared" si="38"/>
        <v>Checked</v>
      </c>
      <c r="AH91" s="1318" t="str">
        <f t="shared" si="39"/>
        <v>Checked</v>
      </c>
    </row>
    <row r="92" spans="2:34" outlineLevel="1" x14ac:dyDescent="0.3">
      <c r="B92" s="1356" t="s">
        <v>2221</v>
      </c>
      <c r="C92" s="1356" t="s">
        <v>1971</v>
      </c>
      <c r="D92" s="1322" t="s">
        <v>2222</v>
      </c>
      <c r="E92" s="1357">
        <v>10</v>
      </c>
      <c r="F92" s="1333">
        <f t="shared" si="30"/>
        <v>0</v>
      </c>
      <c r="G92" s="1358">
        <f t="shared" si="31"/>
        <v>0</v>
      </c>
      <c r="H92" s="1359">
        <f t="shared" si="32"/>
        <v>0</v>
      </c>
      <c r="I92" s="1360">
        <f t="shared" si="33"/>
        <v>0.1</v>
      </c>
      <c r="J92" s="1361">
        <v>10000000</v>
      </c>
      <c r="K92" s="1362">
        <v>9999000</v>
      </c>
      <c r="L92" s="1356">
        <v>0</v>
      </c>
      <c r="M92" s="1356">
        <v>0</v>
      </c>
      <c r="N92" s="1361">
        <f t="shared" si="34"/>
        <v>1000</v>
      </c>
      <c r="O92" s="1363"/>
      <c r="P92" s="1356">
        <v>0</v>
      </c>
      <c r="Q92" s="1364"/>
      <c r="R92" s="1365">
        <f t="shared" si="35"/>
        <v>1000</v>
      </c>
      <c r="S92" s="1364"/>
      <c r="T92" s="1366">
        <f t="shared" si="36"/>
        <v>0</v>
      </c>
      <c r="U92" s="1367">
        <f>IF($R92-SUM($T92:T92)=0,0,IF(OR($R92&lt;=0,$R92&lt;=SUM($T92:T92)),0,IF((IF($J92=0,$O92,$J92)*$I92)&gt;=($R92-SUM($T92:T92)),($R92-SUM($T92:T92)),IF($J92=0,$O92,$J92)*$I92)))</f>
        <v>1000</v>
      </c>
      <c r="V92" s="1367">
        <f>IF($R92-SUM($T92:U92)=0,0,IF(OR($R92&lt;=0,$R92&lt;=SUM($T92:U92)),0,IF((IF($J92=0,$O92,$J92)*$I92)&gt;=($R92-SUM($T92:U92)),($R92-SUM($T92:U92)),IF($J92=0,$O92,$J92)*$I92)))</f>
        <v>0</v>
      </c>
      <c r="W92" s="1367">
        <f>IF($R92-SUM($T92:V92)=0,0,IF(OR($R92&lt;=0,$R92&lt;=SUM($T92:V92)),0,IF((IF($J92=0,$O92,$J92)*$I92)&gt;=($R92-SUM($T92:V92)),($R92-SUM($T92:V92)),IF($J92=0,$O92,$J92)*$I92)))</f>
        <v>0</v>
      </c>
      <c r="X92" s="1367">
        <f>IF($R92-SUM($T92:W92)=0,0,IF(OR($R92&lt;=0,$R92&lt;=SUM($T92:W92)),0,IF((IF($J92=0,$O92,$J92)*$I92)&gt;=($R92-SUM($T92:W92)),($R92-SUM($T92:W92)),IF($J92=0,$O92,$J92)*$I92)))</f>
        <v>0</v>
      </c>
      <c r="Y92" s="1367">
        <f>IF($R92-SUM($T92:X92)=0,0,IF(OR($R92&lt;=0,$R92&lt;=SUM($T92:X92)),0,IF((IF($J92=0,$O92,$J92)*$I92)&gt;=($R92-SUM($T92:X92)),($R92-SUM($T92:X92)),IF($J92=0,$O92,$J92)*$I92)))</f>
        <v>0</v>
      </c>
      <c r="Z92" s="1367">
        <f>IF($R92-SUM($T92:Y92)=0,0,IF(OR($R92&lt;=0,$R92&lt;=SUM($T92:Y92)),0,IF((IF($J92=0,$O92,$J92)*$I92)&gt;=($R92-SUM($T92:Y92)),($R92-SUM($T92:Y92)),IF($J92=0,$O92,$J92)*$I92)))</f>
        <v>0</v>
      </c>
      <c r="AA92" s="1367">
        <f>IF($R92-SUM($T92:Z92)=0,0,IF(OR($R92&lt;=0,$R92&lt;=SUM($T92:Z92)),0,IF((IF($J92=0,$O92,$J92)*$I92)&gt;=($R92-SUM($T92:Z92)),($R92-SUM($T92:Z92)),IF($J92=0,$O92,$J92)*$I92)))</f>
        <v>0</v>
      </c>
      <c r="AB92" s="1367">
        <f>IF($R92-SUM($T92:AA92)=0,0,IF(OR($R92&lt;=0,$R92&lt;=SUM($T92:AA92)),0,IF((IF($J92=0,$O92,$J92)*$I92)&gt;=($R92-SUM($T92:AA92)),($R92-SUM($T92:AA92)),IF($J92=0,$O92,$J92)*$I92)))</f>
        <v>0</v>
      </c>
      <c r="AC92" s="1367">
        <f>IF($R92-SUM($T92:AB92)=0,0,IF(OR($R92&lt;=0,$R92&lt;=SUM($T92:AB92)),0,IF((IF($J92=0,$O92,$J92)*$I92)&gt;=($R92-SUM($T92:AB92)),($R92-SUM($T92:AB92)),IF($J92=0,$O92,$J92)*$I92)))</f>
        <v>0</v>
      </c>
      <c r="AD92" s="1367">
        <f>IF($R92-SUM($T92:AC92)=0,0,IF(OR($R92&lt;=0,$R92&lt;=SUM($T92:AC92)),0,IF((IF($J92=0,$O92,$J92)*$I92)&gt;=($R92-SUM($T92:AC92)),($R92-SUM($T92:AC92)),IF($J92=0,$O92,$J92)*$I92)))</f>
        <v>0</v>
      </c>
      <c r="AF92" s="1319" t="b">
        <f t="shared" si="37"/>
        <v>1</v>
      </c>
      <c r="AG92" s="1319" t="str">
        <f t="shared" si="38"/>
        <v>Checked</v>
      </c>
      <c r="AH92" s="1318" t="str">
        <f t="shared" si="39"/>
        <v>Checked</v>
      </c>
    </row>
    <row r="93" spans="2:34" outlineLevel="1" x14ac:dyDescent="0.3">
      <c r="B93" s="1356" t="s">
        <v>2223</v>
      </c>
      <c r="C93" s="1356" t="s">
        <v>1971</v>
      </c>
      <c r="D93" s="1322" t="s">
        <v>2224</v>
      </c>
      <c r="E93" s="1357">
        <v>10</v>
      </c>
      <c r="F93" s="1333">
        <f t="shared" si="30"/>
        <v>0</v>
      </c>
      <c r="G93" s="1358">
        <f t="shared" si="31"/>
        <v>0</v>
      </c>
      <c r="H93" s="1359">
        <f t="shared" si="32"/>
        <v>0</v>
      </c>
      <c r="I93" s="1360">
        <f t="shared" si="33"/>
        <v>0.1</v>
      </c>
      <c r="J93" s="1361">
        <v>1818182</v>
      </c>
      <c r="K93" s="1362">
        <v>1817182</v>
      </c>
      <c r="L93" s="1356">
        <v>0</v>
      </c>
      <c r="M93" s="1356">
        <v>0</v>
      </c>
      <c r="N93" s="1361">
        <f t="shared" si="34"/>
        <v>1000</v>
      </c>
      <c r="O93" s="1363"/>
      <c r="P93" s="1356">
        <v>0</v>
      </c>
      <c r="Q93" s="1364"/>
      <c r="R93" s="1365">
        <f t="shared" si="35"/>
        <v>1000</v>
      </c>
      <c r="S93" s="1364"/>
      <c r="T93" s="1366">
        <f t="shared" si="36"/>
        <v>0</v>
      </c>
      <c r="U93" s="1367">
        <f>IF($R93-SUM($T93:T93)=0,0,IF(OR($R93&lt;=0,$R93&lt;=SUM($T93:T93)),0,IF((IF($J93=0,$O93,$J93)*$I93)&gt;=($R93-SUM($T93:T93)),($R93-SUM($T93:T93)),IF($J93=0,$O93,$J93)*$I93)))</f>
        <v>1000</v>
      </c>
      <c r="V93" s="1367">
        <f>IF($R93-SUM($T93:U93)=0,0,IF(OR($R93&lt;=0,$R93&lt;=SUM($T93:U93)),0,IF((IF($J93=0,$O93,$J93)*$I93)&gt;=($R93-SUM($T93:U93)),($R93-SUM($T93:U93)),IF($J93=0,$O93,$J93)*$I93)))</f>
        <v>0</v>
      </c>
      <c r="W93" s="1367">
        <f>IF($R93-SUM($T93:V93)=0,0,IF(OR($R93&lt;=0,$R93&lt;=SUM($T93:V93)),0,IF((IF($J93=0,$O93,$J93)*$I93)&gt;=($R93-SUM($T93:V93)),($R93-SUM($T93:V93)),IF($J93=0,$O93,$J93)*$I93)))</f>
        <v>0</v>
      </c>
      <c r="X93" s="1367">
        <f>IF($R93-SUM($T93:W93)=0,0,IF(OR($R93&lt;=0,$R93&lt;=SUM($T93:W93)),0,IF((IF($J93=0,$O93,$J93)*$I93)&gt;=($R93-SUM($T93:W93)),($R93-SUM($T93:W93)),IF($J93=0,$O93,$J93)*$I93)))</f>
        <v>0</v>
      </c>
      <c r="Y93" s="1367">
        <f>IF($R93-SUM($T93:X93)=0,0,IF(OR($R93&lt;=0,$R93&lt;=SUM($T93:X93)),0,IF((IF($J93=0,$O93,$J93)*$I93)&gt;=($R93-SUM($T93:X93)),($R93-SUM($T93:X93)),IF($J93=0,$O93,$J93)*$I93)))</f>
        <v>0</v>
      </c>
      <c r="Z93" s="1367">
        <f>IF($R93-SUM($T93:Y93)=0,0,IF(OR($R93&lt;=0,$R93&lt;=SUM($T93:Y93)),0,IF((IF($J93=0,$O93,$J93)*$I93)&gt;=($R93-SUM($T93:Y93)),($R93-SUM($T93:Y93)),IF($J93=0,$O93,$J93)*$I93)))</f>
        <v>0</v>
      </c>
      <c r="AA93" s="1367">
        <f>IF($R93-SUM($T93:Z93)=0,0,IF(OR($R93&lt;=0,$R93&lt;=SUM($T93:Z93)),0,IF((IF($J93=0,$O93,$J93)*$I93)&gt;=($R93-SUM($T93:Z93)),($R93-SUM($T93:Z93)),IF($J93=0,$O93,$J93)*$I93)))</f>
        <v>0</v>
      </c>
      <c r="AB93" s="1367">
        <f>IF($R93-SUM($T93:AA93)=0,0,IF(OR($R93&lt;=0,$R93&lt;=SUM($T93:AA93)),0,IF((IF($J93=0,$O93,$J93)*$I93)&gt;=($R93-SUM($T93:AA93)),($R93-SUM($T93:AA93)),IF($J93=0,$O93,$J93)*$I93)))</f>
        <v>0</v>
      </c>
      <c r="AC93" s="1367">
        <f>IF($R93-SUM($T93:AB93)=0,0,IF(OR($R93&lt;=0,$R93&lt;=SUM($T93:AB93)),0,IF((IF($J93=0,$O93,$J93)*$I93)&gt;=($R93-SUM($T93:AB93)),($R93-SUM($T93:AB93)),IF($J93=0,$O93,$J93)*$I93)))</f>
        <v>0</v>
      </c>
      <c r="AD93" s="1367">
        <f>IF($R93-SUM($T93:AC93)=0,0,IF(OR($R93&lt;=0,$R93&lt;=SUM($T93:AC93)),0,IF((IF($J93=0,$O93,$J93)*$I93)&gt;=($R93-SUM($T93:AC93)),($R93-SUM($T93:AC93)),IF($J93=0,$O93,$J93)*$I93)))</f>
        <v>0</v>
      </c>
      <c r="AF93" s="1319" t="b">
        <f t="shared" si="37"/>
        <v>1</v>
      </c>
      <c r="AG93" s="1319" t="str">
        <f t="shared" si="38"/>
        <v>Checked</v>
      </c>
      <c r="AH93" s="1318" t="str">
        <f t="shared" si="39"/>
        <v>Checked</v>
      </c>
    </row>
    <row r="94" spans="2:34" outlineLevel="1" x14ac:dyDescent="0.3">
      <c r="B94" s="1356" t="s">
        <v>2225</v>
      </c>
      <c r="C94" s="1356" t="s">
        <v>1971</v>
      </c>
      <c r="D94" s="1322" t="s">
        <v>2226</v>
      </c>
      <c r="E94" s="1357">
        <v>10</v>
      </c>
      <c r="F94" s="1333">
        <f t="shared" si="30"/>
        <v>0</v>
      </c>
      <c r="G94" s="1358">
        <f t="shared" si="31"/>
        <v>0</v>
      </c>
      <c r="H94" s="1359">
        <f t="shared" si="32"/>
        <v>0</v>
      </c>
      <c r="I94" s="1360">
        <f t="shared" si="33"/>
        <v>0.1</v>
      </c>
      <c r="J94" s="1361">
        <v>9500000</v>
      </c>
      <c r="K94" s="1362">
        <v>9499000</v>
      </c>
      <c r="L94" s="1356">
        <v>0</v>
      </c>
      <c r="M94" s="1356">
        <v>0</v>
      </c>
      <c r="N94" s="1361">
        <f t="shared" si="34"/>
        <v>1000</v>
      </c>
      <c r="O94" s="1363"/>
      <c r="P94" s="1356">
        <v>0</v>
      </c>
      <c r="Q94" s="1364"/>
      <c r="R94" s="1365">
        <f t="shared" si="35"/>
        <v>1000</v>
      </c>
      <c r="S94" s="1364"/>
      <c r="T94" s="1366">
        <f t="shared" si="36"/>
        <v>0</v>
      </c>
      <c r="U94" s="1367">
        <f>IF($R94-SUM($T94:T94)=0,0,IF(OR($R94&lt;=0,$R94&lt;=SUM($T94:T94)),0,IF((IF($J94=0,$O94,$J94)*$I94)&gt;=($R94-SUM($T94:T94)),($R94-SUM($T94:T94)),IF($J94=0,$O94,$J94)*$I94)))</f>
        <v>1000</v>
      </c>
      <c r="V94" s="1367">
        <f>IF($R94-SUM($T94:U94)=0,0,IF(OR($R94&lt;=0,$R94&lt;=SUM($T94:U94)),0,IF((IF($J94=0,$O94,$J94)*$I94)&gt;=($R94-SUM($T94:U94)),($R94-SUM($T94:U94)),IF($J94=0,$O94,$J94)*$I94)))</f>
        <v>0</v>
      </c>
      <c r="W94" s="1367">
        <f>IF($R94-SUM($T94:V94)=0,0,IF(OR($R94&lt;=0,$R94&lt;=SUM($T94:V94)),0,IF((IF($J94=0,$O94,$J94)*$I94)&gt;=($R94-SUM($T94:V94)),($R94-SUM($T94:V94)),IF($J94=0,$O94,$J94)*$I94)))</f>
        <v>0</v>
      </c>
      <c r="X94" s="1367">
        <f>IF($R94-SUM($T94:W94)=0,0,IF(OR($R94&lt;=0,$R94&lt;=SUM($T94:W94)),0,IF((IF($J94=0,$O94,$J94)*$I94)&gt;=($R94-SUM($T94:W94)),($R94-SUM($T94:W94)),IF($J94=0,$O94,$J94)*$I94)))</f>
        <v>0</v>
      </c>
      <c r="Y94" s="1367">
        <f>IF($R94-SUM($T94:X94)=0,0,IF(OR($R94&lt;=0,$R94&lt;=SUM($T94:X94)),0,IF((IF($J94=0,$O94,$J94)*$I94)&gt;=($R94-SUM($T94:X94)),($R94-SUM($T94:X94)),IF($J94=0,$O94,$J94)*$I94)))</f>
        <v>0</v>
      </c>
      <c r="Z94" s="1367">
        <f>IF($R94-SUM($T94:Y94)=0,0,IF(OR($R94&lt;=0,$R94&lt;=SUM($T94:Y94)),0,IF((IF($J94=0,$O94,$J94)*$I94)&gt;=($R94-SUM($T94:Y94)),($R94-SUM($T94:Y94)),IF($J94=0,$O94,$J94)*$I94)))</f>
        <v>0</v>
      </c>
      <c r="AA94" s="1367">
        <f>IF($R94-SUM($T94:Z94)=0,0,IF(OR($R94&lt;=0,$R94&lt;=SUM($T94:Z94)),0,IF((IF($J94=0,$O94,$J94)*$I94)&gt;=($R94-SUM($T94:Z94)),($R94-SUM($T94:Z94)),IF($J94=0,$O94,$J94)*$I94)))</f>
        <v>0</v>
      </c>
      <c r="AB94" s="1367">
        <f>IF($R94-SUM($T94:AA94)=0,0,IF(OR($R94&lt;=0,$R94&lt;=SUM($T94:AA94)),0,IF((IF($J94=0,$O94,$J94)*$I94)&gt;=($R94-SUM($T94:AA94)),($R94-SUM($T94:AA94)),IF($J94=0,$O94,$J94)*$I94)))</f>
        <v>0</v>
      </c>
      <c r="AC94" s="1367">
        <f>IF($R94-SUM($T94:AB94)=0,0,IF(OR($R94&lt;=0,$R94&lt;=SUM($T94:AB94)),0,IF((IF($J94=0,$O94,$J94)*$I94)&gt;=($R94-SUM($T94:AB94)),($R94-SUM($T94:AB94)),IF($J94=0,$O94,$J94)*$I94)))</f>
        <v>0</v>
      </c>
      <c r="AD94" s="1367">
        <f>IF($R94-SUM($T94:AC94)=0,0,IF(OR($R94&lt;=0,$R94&lt;=SUM($T94:AC94)),0,IF((IF($J94=0,$O94,$J94)*$I94)&gt;=($R94-SUM($T94:AC94)),($R94-SUM($T94:AC94)),IF($J94=0,$O94,$J94)*$I94)))</f>
        <v>0</v>
      </c>
      <c r="AF94" s="1319" t="b">
        <f t="shared" si="37"/>
        <v>1</v>
      </c>
      <c r="AG94" s="1319" t="str">
        <f t="shared" si="38"/>
        <v>Checked</v>
      </c>
      <c r="AH94" s="1318" t="str">
        <f t="shared" si="39"/>
        <v>Checked</v>
      </c>
    </row>
    <row r="95" spans="2:34" outlineLevel="1" x14ac:dyDescent="0.3">
      <c r="B95" s="1356" t="s">
        <v>2227</v>
      </c>
      <c r="C95" s="1356" t="s">
        <v>1971</v>
      </c>
      <c r="D95" s="1322" t="s">
        <v>2228</v>
      </c>
      <c r="E95" s="1357">
        <v>10</v>
      </c>
      <c r="F95" s="1333">
        <f t="shared" si="30"/>
        <v>0</v>
      </c>
      <c r="G95" s="1358">
        <f t="shared" si="31"/>
        <v>0</v>
      </c>
      <c r="H95" s="1359">
        <f t="shared" si="32"/>
        <v>0</v>
      </c>
      <c r="I95" s="1360">
        <f t="shared" si="33"/>
        <v>0.1</v>
      </c>
      <c r="J95" s="1361">
        <v>11818182</v>
      </c>
      <c r="K95" s="1362">
        <v>11817182</v>
      </c>
      <c r="L95" s="1356">
        <v>0</v>
      </c>
      <c r="M95" s="1356">
        <v>0</v>
      </c>
      <c r="N95" s="1361">
        <f t="shared" si="34"/>
        <v>1000</v>
      </c>
      <c r="O95" s="1363"/>
      <c r="P95" s="1356">
        <v>0</v>
      </c>
      <c r="Q95" s="1364"/>
      <c r="R95" s="1365">
        <f t="shared" si="35"/>
        <v>1000</v>
      </c>
      <c r="S95" s="1364"/>
      <c r="T95" s="1366">
        <f t="shared" si="36"/>
        <v>0</v>
      </c>
      <c r="U95" s="1367">
        <f>IF($R95-SUM($T95:T95)=0,0,IF(OR($R95&lt;=0,$R95&lt;=SUM($T95:T95)),0,IF((IF($J95=0,$O95,$J95)*$I95)&gt;=($R95-SUM($T95:T95)),($R95-SUM($T95:T95)),IF($J95=0,$O95,$J95)*$I95)))</f>
        <v>1000</v>
      </c>
      <c r="V95" s="1367">
        <f>IF($R95-SUM($T95:U95)=0,0,IF(OR($R95&lt;=0,$R95&lt;=SUM($T95:U95)),0,IF((IF($J95=0,$O95,$J95)*$I95)&gt;=($R95-SUM($T95:U95)),($R95-SUM($T95:U95)),IF($J95=0,$O95,$J95)*$I95)))</f>
        <v>0</v>
      </c>
      <c r="W95" s="1367">
        <f>IF($R95-SUM($T95:V95)=0,0,IF(OR($R95&lt;=0,$R95&lt;=SUM($T95:V95)),0,IF((IF($J95=0,$O95,$J95)*$I95)&gt;=($R95-SUM($T95:V95)),($R95-SUM($T95:V95)),IF($J95=0,$O95,$J95)*$I95)))</f>
        <v>0</v>
      </c>
      <c r="X95" s="1367">
        <f>IF($R95-SUM($T95:W95)=0,0,IF(OR($R95&lt;=0,$R95&lt;=SUM($T95:W95)),0,IF((IF($J95=0,$O95,$J95)*$I95)&gt;=($R95-SUM($T95:W95)),($R95-SUM($T95:W95)),IF($J95=0,$O95,$J95)*$I95)))</f>
        <v>0</v>
      </c>
      <c r="Y95" s="1367">
        <f>IF($R95-SUM($T95:X95)=0,0,IF(OR($R95&lt;=0,$R95&lt;=SUM($T95:X95)),0,IF((IF($J95=0,$O95,$J95)*$I95)&gt;=($R95-SUM($T95:X95)),($R95-SUM($T95:X95)),IF($J95=0,$O95,$J95)*$I95)))</f>
        <v>0</v>
      </c>
      <c r="Z95" s="1367">
        <f>IF($R95-SUM($T95:Y95)=0,0,IF(OR($R95&lt;=0,$R95&lt;=SUM($T95:Y95)),0,IF((IF($J95=0,$O95,$J95)*$I95)&gt;=($R95-SUM($T95:Y95)),($R95-SUM($T95:Y95)),IF($J95=0,$O95,$J95)*$I95)))</f>
        <v>0</v>
      </c>
      <c r="AA95" s="1367">
        <f>IF($R95-SUM($T95:Z95)=0,0,IF(OR($R95&lt;=0,$R95&lt;=SUM($T95:Z95)),0,IF((IF($J95=0,$O95,$J95)*$I95)&gt;=($R95-SUM($T95:Z95)),($R95-SUM($T95:Z95)),IF($J95=0,$O95,$J95)*$I95)))</f>
        <v>0</v>
      </c>
      <c r="AB95" s="1367">
        <f>IF($R95-SUM($T95:AA95)=0,0,IF(OR($R95&lt;=0,$R95&lt;=SUM($T95:AA95)),0,IF((IF($J95=0,$O95,$J95)*$I95)&gt;=($R95-SUM($T95:AA95)),($R95-SUM($T95:AA95)),IF($J95=0,$O95,$J95)*$I95)))</f>
        <v>0</v>
      </c>
      <c r="AC95" s="1367">
        <f>IF($R95-SUM($T95:AB95)=0,0,IF(OR($R95&lt;=0,$R95&lt;=SUM($T95:AB95)),0,IF((IF($J95=0,$O95,$J95)*$I95)&gt;=($R95-SUM($T95:AB95)),($R95-SUM($T95:AB95)),IF($J95=0,$O95,$J95)*$I95)))</f>
        <v>0</v>
      </c>
      <c r="AD95" s="1367">
        <f>IF($R95-SUM($T95:AC95)=0,0,IF(OR($R95&lt;=0,$R95&lt;=SUM($T95:AC95)),0,IF((IF($J95=0,$O95,$J95)*$I95)&gt;=($R95-SUM($T95:AC95)),($R95-SUM($T95:AC95)),IF($J95=0,$O95,$J95)*$I95)))</f>
        <v>0</v>
      </c>
      <c r="AF95" s="1319" t="b">
        <f t="shared" si="37"/>
        <v>1</v>
      </c>
      <c r="AG95" s="1319" t="str">
        <f t="shared" si="38"/>
        <v>Checked</v>
      </c>
      <c r="AH95" s="1318" t="str">
        <f t="shared" si="39"/>
        <v>Checked</v>
      </c>
    </row>
    <row r="96" spans="2:34" outlineLevel="1" x14ac:dyDescent="0.3">
      <c r="B96" s="1356" t="s">
        <v>2229</v>
      </c>
      <c r="C96" s="1356" t="s">
        <v>1971</v>
      </c>
      <c r="D96" s="1322" t="s">
        <v>2230</v>
      </c>
      <c r="E96" s="1357">
        <v>10</v>
      </c>
      <c r="F96" s="1333">
        <f t="shared" si="30"/>
        <v>0</v>
      </c>
      <c r="G96" s="1358">
        <f t="shared" si="31"/>
        <v>0</v>
      </c>
      <c r="H96" s="1359">
        <f t="shared" si="32"/>
        <v>0</v>
      </c>
      <c r="I96" s="1360">
        <f t="shared" si="33"/>
        <v>0.1</v>
      </c>
      <c r="J96" s="1361">
        <v>4800000</v>
      </c>
      <c r="K96" s="1362">
        <v>4532521</v>
      </c>
      <c r="L96" s="1356">
        <v>0</v>
      </c>
      <c r="M96" s="1356">
        <v>0</v>
      </c>
      <c r="N96" s="1361">
        <f t="shared" si="34"/>
        <v>267479</v>
      </c>
      <c r="O96" s="1363"/>
      <c r="P96" s="1356">
        <v>0</v>
      </c>
      <c r="Q96" s="1364">
        <v>266479</v>
      </c>
      <c r="R96" s="1365">
        <f t="shared" si="35"/>
        <v>1000</v>
      </c>
      <c r="S96" s="1364"/>
      <c r="T96" s="1366">
        <f t="shared" si="36"/>
        <v>0</v>
      </c>
      <c r="U96" s="1367">
        <f>IF($R96-SUM($T96:T96)=0,0,IF(OR($R96&lt;=0,$R96&lt;=SUM($T96:T96)),0,IF((IF($J96=0,$O96,$J96)*$I96)&gt;=($R96-SUM($T96:T96)),($R96-SUM($T96:T96)),IF($J96=0,$O96,$J96)*$I96)))</f>
        <v>1000</v>
      </c>
      <c r="V96" s="1367">
        <f>IF($R96-SUM($T96:U96)=0,0,IF(OR($R96&lt;=0,$R96&lt;=SUM($T96:U96)),0,IF((IF($J96=0,$O96,$J96)*$I96)&gt;=($R96-SUM($T96:U96)),($R96-SUM($T96:U96)),IF($J96=0,$O96,$J96)*$I96)))</f>
        <v>0</v>
      </c>
      <c r="W96" s="1367">
        <f>IF($R96-SUM($T96:V96)=0,0,IF(OR($R96&lt;=0,$R96&lt;=SUM($T96:V96)),0,IF((IF($J96=0,$O96,$J96)*$I96)&gt;=($R96-SUM($T96:V96)),($R96-SUM($T96:V96)),IF($J96=0,$O96,$J96)*$I96)))</f>
        <v>0</v>
      </c>
      <c r="X96" s="1367">
        <f>IF($R96-SUM($T96:W96)=0,0,IF(OR($R96&lt;=0,$R96&lt;=SUM($T96:W96)),0,IF((IF($J96=0,$O96,$J96)*$I96)&gt;=($R96-SUM($T96:W96)),($R96-SUM($T96:W96)),IF($J96=0,$O96,$J96)*$I96)))</f>
        <v>0</v>
      </c>
      <c r="Y96" s="1367">
        <f>IF($R96-SUM($T96:X96)=0,0,IF(OR($R96&lt;=0,$R96&lt;=SUM($T96:X96)),0,IF((IF($J96=0,$O96,$J96)*$I96)&gt;=($R96-SUM($T96:X96)),($R96-SUM($T96:X96)),IF($J96=0,$O96,$J96)*$I96)))</f>
        <v>0</v>
      </c>
      <c r="Z96" s="1367">
        <f>IF($R96-SUM($T96:Y96)=0,0,IF(OR($R96&lt;=0,$R96&lt;=SUM($T96:Y96)),0,IF((IF($J96=0,$O96,$J96)*$I96)&gt;=($R96-SUM($T96:Y96)),($R96-SUM($T96:Y96)),IF($J96=0,$O96,$J96)*$I96)))</f>
        <v>0</v>
      </c>
      <c r="AA96" s="1367">
        <f>IF($R96-SUM($T96:Z96)=0,0,IF(OR($R96&lt;=0,$R96&lt;=SUM($T96:Z96)),0,IF((IF($J96=0,$O96,$J96)*$I96)&gt;=($R96-SUM($T96:Z96)),($R96-SUM($T96:Z96)),IF($J96=0,$O96,$J96)*$I96)))</f>
        <v>0</v>
      </c>
      <c r="AB96" s="1367">
        <f>IF($R96-SUM($T96:AA96)=0,0,IF(OR($R96&lt;=0,$R96&lt;=SUM($T96:AA96)),0,IF((IF($J96=0,$O96,$J96)*$I96)&gt;=($R96-SUM($T96:AA96)),($R96-SUM($T96:AA96)),IF($J96=0,$O96,$J96)*$I96)))</f>
        <v>0</v>
      </c>
      <c r="AC96" s="1367">
        <f>IF($R96-SUM($T96:AB96)=0,0,IF(OR($R96&lt;=0,$R96&lt;=SUM($T96:AB96)),0,IF((IF($J96=0,$O96,$J96)*$I96)&gt;=($R96-SUM($T96:AB96)),($R96-SUM($T96:AB96)),IF($J96=0,$O96,$J96)*$I96)))</f>
        <v>0</v>
      </c>
      <c r="AD96" s="1367">
        <f>IF($R96-SUM($T96:AC96)=0,0,IF(OR($R96&lt;=0,$R96&lt;=SUM($T96:AC96)),0,IF((IF($J96=0,$O96,$J96)*$I96)&gt;=($R96-SUM($T96:AC96)),($R96-SUM($T96:AC96)),IF($J96=0,$O96,$J96)*$I96)))</f>
        <v>0</v>
      </c>
      <c r="AF96" s="1319" t="b">
        <f t="shared" si="37"/>
        <v>1</v>
      </c>
      <c r="AG96" s="1319" t="str">
        <f t="shared" si="38"/>
        <v>Checked</v>
      </c>
      <c r="AH96" s="1318" t="str">
        <f t="shared" si="39"/>
        <v>Checked</v>
      </c>
    </row>
    <row r="97" spans="2:34" outlineLevel="1" x14ac:dyDescent="0.3">
      <c r="B97" s="1356" t="s">
        <v>2231</v>
      </c>
      <c r="C97" s="1356" t="s">
        <v>1971</v>
      </c>
      <c r="D97" s="1322" t="s">
        <v>2232</v>
      </c>
      <c r="E97" s="1357">
        <v>10</v>
      </c>
      <c r="F97" s="1333">
        <f t="shared" si="30"/>
        <v>0</v>
      </c>
      <c r="G97" s="1358">
        <f t="shared" si="31"/>
        <v>0</v>
      </c>
      <c r="H97" s="1359">
        <f t="shared" si="32"/>
        <v>0</v>
      </c>
      <c r="I97" s="1360">
        <f t="shared" si="33"/>
        <v>0.1</v>
      </c>
      <c r="J97" s="1361">
        <v>12500000</v>
      </c>
      <c r="K97" s="1362">
        <v>11785273</v>
      </c>
      <c r="L97" s="1356">
        <v>0</v>
      </c>
      <c r="M97" s="1356">
        <v>0</v>
      </c>
      <c r="N97" s="1361">
        <f t="shared" si="34"/>
        <v>714727</v>
      </c>
      <c r="O97" s="1363"/>
      <c r="P97" s="1356">
        <v>0</v>
      </c>
      <c r="Q97" s="1364">
        <v>713727</v>
      </c>
      <c r="R97" s="1365">
        <f t="shared" si="35"/>
        <v>1000</v>
      </c>
      <c r="S97" s="1364"/>
      <c r="T97" s="1366">
        <f t="shared" si="36"/>
        <v>0</v>
      </c>
      <c r="U97" s="1367">
        <f>IF($R97-SUM($T97:T97)=0,0,IF(OR($R97&lt;=0,$R97&lt;=SUM($T97:T97)),0,IF((IF($J97=0,$O97,$J97)*$I97)&gt;=($R97-SUM($T97:T97)),($R97-SUM($T97:T97)),IF($J97=0,$O97,$J97)*$I97)))</f>
        <v>1000</v>
      </c>
      <c r="V97" s="1367">
        <f>IF($R97-SUM($T97:U97)=0,0,IF(OR($R97&lt;=0,$R97&lt;=SUM($T97:U97)),0,IF((IF($J97=0,$O97,$J97)*$I97)&gt;=($R97-SUM($T97:U97)),($R97-SUM($T97:U97)),IF($J97=0,$O97,$J97)*$I97)))</f>
        <v>0</v>
      </c>
      <c r="W97" s="1367">
        <f>IF($R97-SUM($T97:V97)=0,0,IF(OR($R97&lt;=0,$R97&lt;=SUM($T97:V97)),0,IF((IF($J97=0,$O97,$J97)*$I97)&gt;=($R97-SUM($T97:V97)),($R97-SUM($T97:V97)),IF($J97=0,$O97,$J97)*$I97)))</f>
        <v>0</v>
      </c>
      <c r="X97" s="1367">
        <f>IF($R97-SUM($T97:W97)=0,0,IF(OR($R97&lt;=0,$R97&lt;=SUM($T97:W97)),0,IF((IF($J97=0,$O97,$J97)*$I97)&gt;=($R97-SUM($T97:W97)),($R97-SUM($T97:W97)),IF($J97=0,$O97,$J97)*$I97)))</f>
        <v>0</v>
      </c>
      <c r="Y97" s="1367">
        <f>IF($R97-SUM($T97:X97)=0,0,IF(OR($R97&lt;=0,$R97&lt;=SUM($T97:X97)),0,IF((IF($J97=0,$O97,$J97)*$I97)&gt;=($R97-SUM($T97:X97)),($R97-SUM($T97:X97)),IF($J97=0,$O97,$J97)*$I97)))</f>
        <v>0</v>
      </c>
      <c r="Z97" s="1367">
        <f>IF($R97-SUM($T97:Y97)=0,0,IF(OR($R97&lt;=0,$R97&lt;=SUM($T97:Y97)),0,IF((IF($J97=0,$O97,$J97)*$I97)&gt;=($R97-SUM($T97:Y97)),($R97-SUM($T97:Y97)),IF($J97=0,$O97,$J97)*$I97)))</f>
        <v>0</v>
      </c>
      <c r="AA97" s="1367">
        <f>IF($R97-SUM($T97:Z97)=0,0,IF(OR($R97&lt;=0,$R97&lt;=SUM($T97:Z97)),0,IF((IF($J97=0,$O97,$J97)*$I97)&gt;=($R97-SUM($T97:Z97)),($R97-SUM($T97:Z97)),IF($J97=0,$O97,$J97)*$I97)))</f>
        <v>0</v>
      </c>
      <c r="AB97" s="1367">
        <f>IF($R97-SUM($T97:AA97)=0,0,IF(OR($R97&lt;=0,$R97&lt;=SUM($T97:AA97)),0,IF((IF($J97=0,$O97,$J97)*$I97)&gt;=($R97-SUM($T97:AA97)),($R97-SUM($T97:AA97)),IF($J97=0,$O97,$J97)*$I97)))</f>
        <v>0</v>
      </c>
      <c r="AC97" s="1367">
        <f>IF($R97-SUM($T97:AB97)=0,0,IF(OR($R97&lt;=0,$R97&lt;=SUM($T97:AB97)),0,IF((IF($J97=0,$O97,$J97)*$I97)&gt;=($R97-SUM($T97:AB97)),($R97-SUM($T97:AB97)),IF($J97=0,$O97,$J97)*$I97)))</f>
        <v>0</v>
      </c>
      <c r="AD97" s="1367">
        <f>IF($R97-SUM($T97:AC97)=0,0,IF(OR($R97&lt;=0,$R97&lt;=SUM($T97:AC97)),0,IF((IF($J97=0,$O97,$J97)*$I97)&gt;=($R97-SUM($T97:AC97)),($R97-SUM($T97:AC97)),IF($J97=0,$O97,$J97)*$I97)))</f>
        <v>0</v>
      </c>
      <c r="AF97" s="1319" t="b">
        <f t="shared" si="37"/>
        <v>1</v>
      </c>
      <c r="AG97" s="1319" t="str">
        <f t="shared" si="38"/>
        <v>Checked</v>
      </c>
      <c r="AH97" s="1318" t="str">
        <f t="shared" si="39"/>
        <v>Checked</v>
      </c>
    </row>
    <row r="98" spans="2:34" outlineLevel="1" x14ac:dyDescent="0.3">
      <c r="B98" s="1356" t="s">
        <v>2233</v>
      </c>
      <c r="C98" s="1356" t="s">
        <v>1971</v>
      </c>
      <c r="D98" s="1322" t="s">
        <v>2232</v>
      </c>
      <c r="E98" s="1357">
        <v>10</v>
      </c>
      <c r="F98" s="1333">
        <f t="shared" si="30"/>
        <v>0</v>
      </c>
      <c r="G98" s="1358">
        <f t="shared" si="31"/>
        <v>0</v>
      </c>
      <c r="H98" s="1359">
        <f t="shared" si="32"/>
        <v>0</v>
      </c>
      <c r="I98" s="1360">
        <f t="shared" si="33"/>
        <v>0.1</v>
      </c>
      <c r="J98" s="1361">
        <v>12500000</v>
      </c>
      <c r="K98" s="1362">
        <v>11785273</v>
      </c>
      <c r="L98" s="1356">
        <v>0</v>
      </c>
      <c r="M98" s="1356">
        <v>0</v>
      </c>
      <c r="N98" s="1361">
        <f t="shared" si="34"/>
        <v>714727</v>
      </c>
      <c r="O98" s="1363"/>
      <c r="P98" s="1356">
        <v>0</v>
      </c>
      <c r="Q98" s="1364">
        <v>713727</v>
      </c>
      <c r="R98" s="1365">
        <f t="shared" si="35"/>
        <v>1000</v>
      </c>
      <c r="S98" s="1364"/>
      <c r="T98" s="1366">
        <f t="shared" si="36"/>
        <v>0</v>
      </c>
      <c r="U98" s="1367">
        <f>IF($R98-SUM($T98:T98)=0,0,IF(OR($R98&lt;=0,$R98&lt;=SUM($T98:T98)),0,IF((IF($J98=0,$O98,$J98)*$I98)&gt;=($R98-SUM($T98:T98)),($R98-SUM($T98:T98)),IF($J98=0,$O98,$J98)*$I98)))</f>
        <v>1000</v>
      </c>
      <c r="V98" s="1367">
        <f>IF($R98-SUM($T98:U98)=0,0,IF(OR($R98&lt;=0,$R98&lt;=SUM($T98:U98)),0,IF((IF($J98=0,$O98,$J98)*$I98)&gt;=($R98-SUM($T98:U98)),($R98-SUM($T98:U98)),IF($J98=0,$O98,$J98)*$I98)))</f>
        <v>0</v>
      </c>
      <c r="W98" s="1367">
        <f>IF($R98-SUM($T98:V98)=0,0,IF(OR($R98&lt;=0,$R98&lt;=SUM($T98:V98)),0,IF((IF($J98=0,$O98,$J98)*$I98)&gt;=($R98-SUM($T98:V98)),($R98-SUM($T98:V98)),IF($J98=0,$O98,$J98)*$I98)))</f>
        <v>0</v>
      </c>
      <c r="X98" s="1367">
        <f>IF($R98-SUM($T98:W98)=0,0,IF(OR($R98&lt;=0,$R98&lt;=SUM($T98:W98)),0,IF((IF($J98=0,$O98,$J98)*$I98)&gt;=($R98-SUM($T98:W98)),($R98-SUM($T98:W98)),IF($J98=0,$O98,$J98)*$I98)))</f>
        <v>0</v>
      </c>
      <c r="Y98" s="1367">
        <f>IF($R98-SUM($T98:X98)=0,0,IF(OR($R98&lt;=0,$R98&lt;=SUM($T98:X98)),0,IF((IF($J98=0,$O98,$J98)*$I98)&gt;=($R98-SUM($T98:X98)),($R98-SUM($T98:X98)),IF($J98=0,$O98,$J98)*$I98)))</f>
        <v>0</v>
      </c>
      <c r="Z98" s="1367">
        <f>IF($R98-SUM($T98:Y98)=0,0,IF(OR($R98&lt;=0,$R98&lt;=SUM($T98:Y98)),0,IF((IF($J98=0,$O98,$J98)*$I98)&gt;=($R98-SUM($T98:Y98)),($R98-SUM($T98:Y98)),IF($J98=0,$O98,$J98)*$I98)))</f>
        <v>0</v>
      </c>
      <c r="AA98" s="1367">
        <f>IF($R98-SUM($T98:Z98)=0,0,IF(OR($R98&lt;=0,$R98&lt;=SUM($T98:Z98)),0,IF((IF($J98=0,$O98,$J98)*$I98)&gt;=($R98-SUM($T98:Z98)),($R98-SUM($T98:Z98)),IF($J98=0,$O98,$J98)*$I98)))</f>
        <v>0</v>
      </c>
      <c r="AB98" s="1367">
        <f>IF($R98-SUM($T98:AA98)=0,0,IF(OR($R98&lt;=0,$R98&lt;=SUM($T98:AA98)),0,IF((IF($J98=0,$O98,$J98)*$I98)&gt;=($R98-SUM($T98:AA98)),($R98-SUM($T98:AA98)),IF($J98=0,$O98,$J98)*$I98)))</f>
        <v>0</v>
      </c>
      <c r="AC98" s="1367">
        <f>IF($R98-SUM($T98:AB98)=0,0,IF(OR($R98&lt;=0,$R98&lt;=SUM($T98:AB98)),0,IF((IF($J98=0,$O98,$J98)*$I98)&gt;=($R98-SUM($T98:AB98)),($R98-SUM($T98:AB98)),IF($J98=0,$O98,$J98)*$I98)))</f>
        <v>0</v>
      </c>
      <c r="AD98" s="1367">
        <f>IF($R98-SUM($T98:AC98)=0,0,IF(OR($R98&lt;=0,$R98&lt;=SUM($T98:AC98)),0,IF((IF($J98=0,$O98,$J98)*$I98)&gt;=($R98-SUM($T98:AC98)),($R98-SUM($T98:AC98)),IF($J98=0,$O98,$J98)*$I98)))</f>
        <v>0</v>
      </c>
      <c r="AF98" s="1319" t="b">
        <f t="shared" si="37"/>
        <v>1</v>
      </c>
      <c r="AG98" s="1319" t="str">
        <f t="shared" si="38"/>
        <v>Checked</v>
      </c>
      <c r="AH98" s="1318" t="str">
        <f t="shared" si="39"/>
        <v>Checked</v>
      </c>
    </row>
    <row r="99" spans="2:34" outlineLevel="1" x14ac:dyDescent="0.3">
      <c r="B99" s="1356" t="s">
        <v>2234</v>
      </c>
      <c r="C99" s="1356" t="s">
        <v>1971</v>
      </c>
      <c r="D99" s="1322" t="s">
        <v>2232</v>
      </c>
      <c r="E99" s="1357">
        <v>10</v>
      </c>
      <c r="F99" s="1333">
        <f t="shared" si="30"/>
        <v>0</v>
      </c>
      <c r="G99" s="1358">
        <f t="shared" si="31"/>
        <v>0</v>
      </c>
      <c r="H99" s="1359">
        <f t="shared" si="32"/>
        <v>0</v>
      </c>
      <c r="I99" s="1360">
        <f t="shared" si="33"/>
        <v>0.1</v>
      </c>
      <c r="J99" s="1361">
        <v>12500000</v>
      </c>
      <c r="K99" s="1362">
        <v>11785273</v>
      </c>
      <c r="L99" s="1356">
        <v>0</v>
      </c>
      <c r="M99" s="1356">
        <v>0</v>
      </c>
      <c r="N99" s="1361">
        <f t="shared" si="34"/>
        <v>714727</v>
      </c>
      <c r="O99" s="1363"/>
      <c r="P99" s="1356">
        <v>0</v>
      </c>
      <c r="Q99" s="1364">
        <v>713727</v>
      </c>
      <c r="R99" s="1365">
        <f t="shared" si="35"/>
        <v>1000</v>
      </c>
      <c r="S99" s="1364"/>
      <c r="T99" s="1366">
        <f t="shared" si="36"/>
        <v>0</v>
      </c>
      <c r="U99" s="1367">
        <f>IF($R99-SUM($T99:T99)=0,0,IF(OR($R99&lt;=0,$R99&lt;=SUM($T99:T99)),0,IF((IF($J99=0,$O99,$J99)*$I99)&gt;=($R99-SUM($T99:T99)),($R99-SUM($T99:T99)),IF($J99=0,$O99,$J99)*$I99)))</f>
        <v>1000</v>
      </c>
      <c r="V99" s="1367">
        <f>IF($R99-SUM($T99:U99)=0,0,IF(OR($R99&lt;=0,$R99&lt;=SUM($T99:U99)),0,IF((IF($J99=0,$O99,$J99)*$I99)&gt;=($R99-SUM($T99:U99)),($R99-SUM($T99:U99)),IF($J99=0,$O99,$J99)*$I99)))</f>
        <v>0</v>
      </c>
      <c r="W99" s="1367">
        <f>IF($R99-SUM($T99:V99)=0,0,IF(OR($R99&lt;=0,$R99&lt;=SUM($T99:V99)),0,IF((IF($J99=0,$O99,$J99)*$I99)&gt;=($R99-SUM($T99:V99)),($R99-SUM($T99:V99)),IF($J99=0,$O99,$J99)*$I99)))</f>
        <v>0</v>
      </c>
      <c r="X99" s="1367">
        <f>IF($R99-SUM($T99:W99)=0,0,IF(OR($R99&lt;=0,$R99&lt;=SUM($T99:W99)),0,IF((IF($J99=0,$O99,$J99)*$I99)&gt;=($R99-SUM($T99:W99)),($R99-SUM($T99:W99)),IF($J99=0,$O99,$J99)*$I99)))</f>
        <v>0</v>
      </c>
      <c r="Y99" s="1367">
        <f>IF($R99-SUM($T99:X99)=0,0,IF(OR($R99&lt;=0,$R99&lt;=SUM($T99:X99)),0,IF((IF($J99=0,$O99,$J99)*$I99)&gt;=($R99-SUM($T99:X99)),($R99-SUM($T99:X99)),IF($J99=0,$O99,$J99)*$I99)))</f>
        <v>0</v>
      </c>
      <c r="Z99" s="1367">
        <f>IF($R99-SUM($T99:Y99)=0,0,IF(OR($R99&lt;=0,$R99&lt;=SUM($T99:Y99)),0,IF((IF($J99=0,$O99,$J99)*$I99)&gt;=($R99-SUM($T99:Y99)),($R99-SUM($T99:Y99)),IF($J99=0,$O99,$J99)*$I99)))</f>
        <v>0</v>
      </c>
      <c r="AA99" s="1367">
        <f>IF($R99-SUM($T99:Z99)=0,0,IF(OR($R99&lt;=0,$R99&lt;=SUM($T99:Z99)),0,IF((IF($J99=0,$O99,$J99)*$I99)&gt;=($R99-SUM($T99:Z99)),($R99-SUM($T99:Z99)),IF($J99=0,$O99,$J99)*$I99)))</f>
        <v>0</v>
      </c>
      <c r="AB99" s="1367">
        <f>IF($R99-SUM($T99:AA99)=0,0,IF(OR($R99&lt;=0,$R99&lt;=SUM($T99:AA99)),0,IF((IF($J99=0,$O99,$J99)*$I99)&gt;=($R99-SUM($T99:AA99)),($R99-SUM($T99:AA99)),IF($J99=0,$O99,$J99)*$I99)))</f>
        <v>0</v>
      </c>
      <c r="AC99" s="1367">
        <f>IF($R99-SUM($T99:AB99)=0,0,IF(OR($R99&lt;=0,$R99&lt;=SUM($T99:AB99)),0,IF((IF($J99=0,$O99,$J99)*$I99)&gt;=($R99-SUM($T99:AB99)),($R99-SUM($T99:AB99)),IF($J99=0,$O99,$J99)*$I99)))</f>
        <v>0</v>
      </c>
      <c r="AD99" s="1367">
        <f>IF($R99-SUM($T99:AC99)=0,0,IF(OR($R99&lt;=0,$R99&lt;=SUM($T99:AC99)),0,IF((IF($J99=0,$O99,$J99)*$I99)&gt;=($R99-SUM($T99:AC99)),($R99-SUM($T99:AC99)),IF($J99=0,$O99,$J99)*$I99)))</f>
        <v>0</v>
      </c>
      <c r="AF99" s="1319" t="b">
        <f t="shared" si="37"/>
        <v>1</v>
      </c>
      <c r="AG99" s="1319" t="str">
        <f t="shared" si="38"/>
        <v>Checked</v>
      </c>
      <c r="AH99" s="1318" t="str">
        <f t="shared" si="39"/>
        <v>Checked</v>
      </c>
    </row>
    <row r="100" spans="2:34" outlineLevel="1" x14ac:dyDescent="0.3">
      <c r="B100" s="1356" t="s">
        <v>2234</v>
      </c>
      <c r="C100" s="1356" t="s">
        <v>1971</v>
      </c>
      <c r="D100" s="1322" t="s">
        <v>2232</v>
      </c>
      <c r="E100" s="1357">
        <v>10</v>
      </c>
      <c r="F100" s="1333">
        <f t="shared" si="30"/>
        <v>0</v>
      </c>
      <c r="G100" s="1358">
        <f t="shared" si="31"/>
        <v>0</v>
      </c>
      <c r="H100" s="1359">
        <f t="shared" si="32"/>
        <v>0</v>
      </c>
      <c r="I100" s="1360">
        <f t="shared" si="33"/>
        <v>0.1</v>
      </c>
      <c r="J100" s="1361">
        <v>12500000</v>
      </c>
      <c r="K100" s="1362">
        <v>11785273</v>
      </c>
      <c r="L100" s="1356">
        <v>0</v>
      </c>
      <c r="M100" s="1356">
        <v>0</v>
      </c>
      <c r="N100" s="1361">
        <f t="shared" si="34"/>
        <v>714727</v>
      </c>
      <c r="O100" s="1363"/>
      <c r="P100" s="1356">
        <v>0</v>
      </c>
      <c r="Q100" s="1364">
        <v>713727</v>
      </c>
      <c r="R100" s="1365">
        <f t="shared" si="35"/>
        <v>1000</v>
      </c>
      <c r="S100" s="1364"/>
      <c r="T100" s="1366">
        <f t="shared" si="36"/>
        <v>0</v>
      </c>
      <c r="U100" s="1367">
        <f>IF($R100-SUM($T100:T100)=0,0,IF(OR($R100&lt;=0,$R100&lt;=SUM($T100:T100)),0,IF((IF($J100=0,$O100,$J100)*$I100)&gt;=($R100-SUM($T100:T100)),($R100-SUM($T100:T100)),IF($J100=0,$O100,$J100)*$I100)))</f>
        <v>1000</v>
      </c>
      <c r="V100" s="1367">
        <f>IF($R100-SUM($T100:U100)=0,0,IF(OR($R100&lt;=0,$R100&lt;=SUM($T100:U100)),0,IF((IF($J100=0,$O100,$J100)*$I100)&gt;=($R100-SUM($T100:U100)),($R100-SUM($T100:U100)),IF($J100=0,$O100,$J100)*$I100)))</f>
        <v>0</v>
      </c>
      <c r="W100" s="1367">
        <f>IF($R100-SUM($T100:V100)=0,0,IF(OR($R100&lt;=0,$R100&lt;=SUM($T100:V100)),0,IF((IF($J100=0,$O100,$J100)*$I100)&gt;=($R100-SUM($T100:V100)),($R100-SUM($T100:V100)),IF($J100=0,$O100,$J100)*$I100)))</f>
        <v>0</v>
      </c>
      <c r="X100" s="1367">
        <f>IF($R100-SUM($T100:W100)=0,0,IF(OR($R100&lt;=0,$R100&lt;=SUM($T100:W100)),0,IF((IF($J100=0,$O100,$J100)*$I100)&gt;=($R100-SUM($T100:W100)),($R100-SUM($T100:W100)),IF($J100=0,$O100,$J100)*$I100)))</f>
        <v>0</v>
      </c>
      <c r="Y100" s="1367">
        <f>IF($R100-SUM($T100:X100)=0,0,IF(OR($R100&lt;=0,$R100&lt;=SUM($T100:X100)),0,IF((IF($J100=0,$O100,$J100)*$I100)&gt;=($R100-SUM($T100:X100)),($R100-SUM($T100:X100)),IF($J100=0,$O100,$J100)*$I100)))</f>
        <v>0</v>
      </c>
      <c r="Z100" s="1367">
        <f>IF($R100-SUM($T100:Y100)=0,0,IF(OR($R100&lt;=0,$R100&lt;=SUM($T100:Y100)),0,IF((IF($J100=0,$O100,$J100)*$I100)&gt;=($R100-SUM($T100:Y100)),($R100-SUM($T100:Y100)),IF($J100=0,$O100,$J100)*$I100)))</f>
        <v>0</v>
      </c>
      <c r="AA100" s="1367">
        <f>IF($R100-SUM($T100:Z100)=0,0,IF(OR($R100&lt;=0,$R100&lt;=SUM($T100:Z100)),0,IF((IF($J100=0,$O100,$J100)*$I100)&gt;=($R100-SUM($T100:Z100)),($R100-SUM($T100:Z100)),IF($J100=0,$O100,$J100)*$I100)))</f>
        <v>0</v>
      </c>
      <c r="AB100" s="1367">
        <f>IF($R100-SUM($T100:AA100)=0,0,IF(OR($R100&lt;=0,$R100&lt;=SUM($T100:AA100)),0,IF((IF($J100=0,$O100,$J100)*$I100)&gt;=($R100-SUM($T100:AA100)),($R100-SUM($T100:AA100)),IF($J100=0,$O100,$J100)*$I100)))</f>
        <v>0</v>
      </c>
      <c r="AC100" s="1367">
        <f>IF($R100-SUM($T100:AB100)=0,0,IF(OR($R100&lt;=0,$R100&lt;=SUM($T100:AB100)),0,IF((IF($J100=0,$O100,$J100)*$I100)&gt;=($R100-SUM($T100:AB100)),($R100-SUM($T100:AB100)),IF($J100=0,$O100,$J100)*$I100)))</f>
        <v>0</v>
      </c>
      <c r="AD100" s="1367">
        <f>IF($R100-SUM($T100:AC100)=0,0,IF(OR($R100&lt;=0,$R100&lt;=SUM($T100:AC100)),0,IF((IF($J100=0,$O100,$J100)*$I100)&gt;=($R100-SUM($T100:AC100)),($R100-SUM($T100:AC100)),IF($J100=0,$O100,$J100)*$I100)))</f>
        <v>0</v>
      </c>
      <c r="AF100" s="1319" t="b">
        <f t="shared" si="37"/>
        <v>1</v>
      </c>
      <c r="AG100" s="1319" t="str">
        <f t="shared" si="38"/>
        <v>Checked</v>
      </c>
      <c r="AH100" s="1318" t="str">
        <f t="shared" si="39"/>
        <v>Checked</v>
      </c>
    </row>
    <row r="101" spans="2:34" outlineLevel="1" x14ac:dyDescent="0.3">
      <c r="B101" s="1356" t="s">
        <v>2235</v>
      </c>
      <c r="C101" s="1356" t="s">
        <v>1971</v>
      </c>
      <c r="D101" s="1322" t="s">
        <v>2236</v>
      </c>
      <c r="E101" s="1357">
        <v>10</v>
      </c>
      <c r="F101" s="1333">
        <f t="shared" si="30"/>
        <v>0</v>
      </c>
      <c r="G101" s="1358">
        <f t="shared" si="31"/>
        <v>0</v>
      </c>
      <c r="H101" s="1359">
        <f t="shared" si="32"/>
        <v>0</v>
      </c>
      <c r="I101" s="1360">
        <f t="shared" si="33"/>
        <v>0.1</v>
      </c>
      <c r="J101" s="1361">
        <v>120000000</v>
      </c>
      <c r="K101" s="1362">
        <v>113138638</v>
      </c>
      <c r="L101" s="1356">
        <v>0</v>
      </c>
      <c r="M101" s="1356">
        <v>0</v>
      </c>
      <c r="N101" s="1361">
        <f t="shared" si="34"/>
        <v>6861362</v>
      </c>
      <c r="O101" s="1363"/>
      <c r="P101" s="1356">
        <v>0</v>
      </c>
      <c r="Q101" s="1364">
        <v>6860362</v>
      </c>
      <c r="R101" s="1365">
        <f t="shared" si="35"/>
        <v>1000</v>
      </c>
      <c r="S101" s="1364"/>
      <c r="T101" s="1366">
        <f t="shared" si="36"/>
        <v>0</v>
      </c>
      <c r="U101" s="1367">
        <f>IF($R101-SUM($T101:T101)=0,0,IF(OR($R101&lt;=0,$R101&lt;=SUM($T101:T101)),0,IF((IF($J101=0,$O101,$J101)*$I101)&gt;=($R101-SUM($T101:T101)),($R101-SUM($T101:T101)),IF($J101=0,$O101,$J101)*$I101)))</f>
        <v>1000</v>
      </c>
      <c r="V101" s="1367">
        <f>IF($R101-SUM($T101:U101)=0,0,IF(OR($R101&lt;=0,$R101&lt;=SUM($T101:U101)),0,IF((IF($J101=0,$O101,$J101)*$I101)&gt;=($R101-SUM($T101:U101)),($R101-SUM($T101:U101)),IF($J101=0,$O101,$J101)*$I101)))</f>
        <v>0</v>
      </c>
      <c r="W101" s="1367">
        <f>IF($R101-SUM($T101:V101)=0,0,IF(OR($R101&lt;=0,$R101&lt;=SUM($T101:V101)),0,IF((IF($J101=0,$O101,$J101)*$I101)&gt;=($R101-SUM($T101:V101)),($R101-SUM($T101:V101)),IF($J101=0,$O101,$J101)*$I101)))</f>
        <v>0</v>
      </c>
      <c r="X101" s="1367">
        <f>IF($R101-SUM($T101:W101)=0,0,IF(OR($R101&lt;=0,$R101&lt;=SUM($T101:W101)),0,IF((IF($J101=0,$O101,$J101)*$I101)&gt;=($R101-SUM($T101:W101)),($R101-SUM($T101:W101)),IF($J101=0,$O101,$J101)*$I101)))</f>
        <v>0</v>
      </c>
      <c r="Y101" s="1367">
        <f>IF($R101-SUM($T101:X101)=0,0,IF(OR($R101&lt;=0,$R101&lt;=SUM($T101:X101)),0,IF((IF($J101=0,$O101,$J101)*$I101)&gt;=($R101-SUM($T101:X101)),($R101-SUM($T101:X101)),IF($J101=0,$O101,$J101)*$I101)))</f>
        <v>0</v>
      </c>
      <c r="Z101" s="1367">
        <f>IF($R101-SUM($T101:Y101)=0,0,IF(OR($R101&lt;=0,$R101&lt;=SUM($T101:Y101)),0,IF((IF($J101=0,$O101,$J101)*$I101)&gt;=($R101-SUM($T101:Y101)),($R101-SUM($T101:Y101)),IF($J101=0,$O101,$J101)*$I101)))</f>
        <v>0</v>
      </c>
      <c r="AA101" s="1367">
        <f>IF($R101-SUM($T101:Z101)=0,0,IF(OR($R101&lt;=0,$R101&lt;=SUM($T101:Z101)),0,IF((IF($J101=0,$O101,$J101)*$I101)&gt;=($R101-SUM($T101:Z101)),($R101-SUM($T101:Z101)),IF($J101=0,$O101,$J101)*$I101)))</f>
        <v>0</v>
      </c>
      <c r="AB101" s="1367">
        <f>IF($R101-SUM($T101:AA101)=0,0,IF(OR($R101&lt;=0,$R101&lt;=SUM($T101:AA101)),0,IF((IF($J101=0,$O101,$J101)*$I101)&gt;=($R101-SUM($T101:AA101)),($R101-SUM($T101:AA101)),IF($J101=0,$O101,$J101)*$I101)))</f>
        <v>0</v>
      </c>
      <c r="AC101" s="1367">
        <f>IF($R101-SUM($T101:AB101)=0,0,IF(OR($R101&lt;=0,$R101&lt;=SUM($T101:AB101)),0,IF((IF($J101=0,$O101,$J101)*$I101)&gt;=($R101-SUM($T101:AB101)),($R101-SUM($T101:AB101)),IF($J101=0,$O101,$J101)*$I101)))</f>
        <v>0</v>
      </c>
      <c r="AD101" s="1367">
        <f>IF($R101-SUM($T101:AC101)=0,0,IF(OR($R101&lt;=0,$R101&lt;=SUM($T101:AC101)),0,IF((IF($J101=0,$O101,$J101)*$I101)&gt;=($R101-SUM($T101:AC101)),($R101-SUM($T101:AC101)),IF($J101=0,$O101,$J101)*$I101)))</f>
        <v>0</v>
      </c>
      <c r="AF101" s="1319" t="b">
        <f t="shared" si="37"/>
        <v>1</v>
      </c>
      <c r="AG101" s="1319" t="str">
        <f t="shared" si="38"/>
        <v>Checked</v>
      </c>
      <c r="AH101" s="1318" t="str">
        <f t="shared" si="39"/>
        <v>Checked</v>
      </c>
    </row>
    <row r="102" spans="2:34" outlineLevel="1" x14ac:dyDescent="0.3">
      <c r="B102" s="1356" t="s">
        <v>2237</v>
      </c>
      <c r="C102" s="1356" t="s">
        <v>1971</v>
      </c>
      <c r="D102" s="1322" t="s">
        <v>2236</v>
      </c>
      <c r="E102" s="1357">
        <v>10</v>
      </c>
      <c r="F102" s="1333">
        <f t="shared" si="30"/>
        <v>0</v>
      </c>
      <c r="G102" s="1358">
        <f t="shared" si="31"/>
        <v>0</v>
      </c>
      <c r="H102" s="1359">
        <f t="shared" si="32"/>
        <v>0</v>
      </c>
      <c r="I102" s="1360">
        <f t="shared" si="33"/>
        <v>0.1</v>
      </c>
      <c r="J102" s="1361">
        <v>72000000</v>
      </c>
      <c r="K102" s="1362">
        <v>67883183</v>
      </c>
      <c r="L102" s="1356">
        <v>0</v>
      </c>
      <c r="M102" s="1356">
        <v>0</v>
      </c>
      <c r="N102" s="1361">
        <f t="shared" si="34"/>
        <v>4116817</v>
      </c>
      <c r="O102" s="1363"/>
      <c r="P102" s="1356">
        <v>0</v>
      </c>
      <c r="Q102" s="1364">
        <v>4115817</v>
      </c>
      <c r="R102" s="1365">
        <f t="shared" si="35"/>
        <v>1000</v>
      </c>
      <c r="S102" s="1364"/>
      <c r="T102" s="1366">
        <f t="shared" si="36"/>
        <v>0</v>
      </c>
      <c r="U102" s="1367">
        <f>IF($R102-SUM($T102:T102)=0,0,IF(OR($R102&lt;=0,$R102&lt;=SUM($T102:T102)),0,IF((IF($J102=0,$O102,$J102)*$I102)&gt;=($R102-SUM($T102:T102)),($R102-SUM($T102:T102)),IF($J102=0,$O102,$J102)*$I102)))</f>
        <v>1000</v>
      </c>
      <c r="V102" s="1367">
        <f>IF($R102-SUM($T102:U102)=0,0,IF(OR($R102&lt;=0,$R102&lt;=SUM($T102:U102)),0,IF((IF($J102=0,$O102,$J102)*$I102)&gt;=($R102-SUM($T102:U102)),($R102-SUM($T102:U102)),IF($J102=0,$O102,$J102)*$I102)))</f>
        <v>0</v>
      </c>
      <c r="W102" s="1367">
        <f>IF($R102-SUM($T102:V102)=0,0,IF(OR($R102&lt;=0,$R102&lt;=SUM($T102:V102)),0,IF((IF($J102=0,$O102,$J102)*$I102)&gt;=($R102-SUM($T102:V102)),($R102-SUM($T102:V102)),IF($J102=0,$O102,$J102)*$I102)))</f>
        <v>0</v>
      </c>
      <c r="X102" s="1367">
        <f>IF($R102-SUM($T102:W102)=0,0,IF(OR($R102&lt;=0,$R102&lt;=SUM($T102:W102)),0,IF((IF($J102=0,$O102,$J102)*$I102)&gt;=($R102-SUM($T102:W102)),($R102-SUM($T102:W102)),IF($J102=0,$O102,$J102)*$I102)))</f>
        <v>0</v>
      </c>
      <c r="Y102" s="1367">
        <f>IF($R102-SUM($T102:X102)=0,0,IF(OR($R102&lt;=0,$R102&lt;=SUM($T102:X102)),0,IF((IF($J102=0,$O102,$J102)*$I102)&gt;=($R102-SUM($T102:X102)),($R102-SUM($T102:X102)),IF($J102=0,$O102,$J102)*$I102)))</f>
        <v>0</v>
      </c>
      <c r="Z102" s="1367">
        <f>IF($R102-SUM($T102:Y102)=0,0,IF(OR($R102&lt;=0,$R102&lt;=SUM($T102:Y102)),0,IF((IF($J102=0,$O102,$J102)*$I102)&gt;=($R102-SUM($T102:Y102)),($R102-SUM($T102:Y102)),IF($J102=0,$O102,$J102)*$I102)))</f>
        <v>0</v>
      </c>
      <c r="AA102" s="1367">
        <f>IF($R102-SUM($T102:Z102)=0,0,IF(OR($R102&lt;=0,$R102&lt;=SUM($T102:Z102)),0,IF((IF($J102=0,$O102,$J102)*$I102)&gt;=($R102-SUM($T102:Z102)),($R102-SUM($T102:Z102)),IF($J102=0,$O102,$J102)*$I102)))</f>
        <v>0</v>
      </c>
      <c r="AB102" s="1367">
        <f>IF($R102-SUM($T102:AA102)=0,0,IF(OR($R102&lt;=0,$R102&lt;=SUM($T102:AA102)),0,IF((IF($J102=0,$O102,$J102)*$I102)&gt;=($R102-SUM($T102:AA102)),($R102-SUM($T102:AA102)),IF($J102=0,$O102,$J102)*$I102)))</f>
        <v>0</v>
      </c>
      <c r="AC102" s="1367">
        <f>IF($R102-SUM($T102:AB102)=0,0,IF(OR($R102&lt;=0,$R102&lt;=SUM($T102:AB102)),0,IF((IF($J102=0,$O102,$J102)*$I102)&gt;=($R102-SUM($T102:AB102)),($R102-SUM($T102:AB102)),IF($J102=0,$O102,$J102)*$I102)))</f>
        <v>0</v>
      </c>
      <c r="AD102" s="1367">
        <f>IF($R102-SUM($T102:AC102)=0,0,IF(OR($R102&lt;=0,$R102&lt;=SUM($T102:AC102)),0,IF((IF($J102=0,$O102,$J102)*$I102)&gt;=($R102-SUM($T102:AC102)),($R102-SUM($T102:AC102)),IF($J102=0,$O102,$J102)*$I102)))</f>
        <v>0</v>
      </c>
      <c r="AF102" s="1319" t="b">
        <f t="shared" si="37"/>
        <v>1</v>
      </c>
      <c r="AG102" s="1319" t="str">
        <f t="shared" si="38"/>
        <v>Checked</v>
      </c>
      <c r="AH102" s="1318" t="str">
        <f t="shared" si="39"/>
        <v>Checked</v>
      </c>
    </row>
    <row r="103" spans="2:34" outlineLevel="1" x14ac:dyDescent="0.3">
      <c r="B103" s="1356" t="s">
        <v>2238</v>
      </c>
      <c r="C103" s="1356" t="s">
        <v>1971</v>
      </c>
      <c r="D103" s="1322" t="s">
        <v>2239</v>
      </c>
      <c r="E103" s="1357">
        <v>10</v>
      </c>
      <c r="F103" s="1333">
        <f t="shared" si="30"/>
        <v>0</v>
      </c>
      <c r="G103" s="1358">
        <f t="shared" si="31"/>
        <v>0</v>
      </c>
      <c r="H103" s="1359">
        <f t="shared" si="32"/>
        <v>0</v>
      </c>
      <c r="I103" s="1360">
        <f t="shared" si="33"/>
        <v>0.1</v>
      </c>
      <c r="J103" s="1361">
        <v>500000000</v>
      </c>
      <c r="K103" s="1362">
        <v>470684137</v>
      </c>
      <c r="L103" s="1356">
        <v>0</v>
      </c>
      <c r="M103" s="1356">
        <v>0</v>
      </c>
      <c r="N103" s="1361">
        <f t="shared" si="34"/>
        <v>29315863</v>
      </c>
      <c r="O103" s="1363"/>
      <c r="P103" s="1356">
        <v>0</v>
      </c>
      <c r="Q103" s="1364">
        <v>29314863</v>
      </c>
      <c r="R103" s="1365">
        <f t="shared" si="35"/>
        <v>1000</v>
      </c>
      <c r="S103" s="1364"/>
      <c r="T103" s="1366">
        <f t="shared" si="36"/>
        <v>0</v>
      </c>
      <c r="U103" s="1367">
        <f>IF($R103-SUM($T103:T103)=0,0,IF(OR($R103&lt;=0,$R103&lt;=SUM($T103:T103)),0,IF((IF($J103=0,$O103,$J103)*$I103)&gt;=($R103-SUM($T103:T103)),($R103-SUM($T103:T103)),IF($J103=0,$O103,$J103)*$I103)))</f>
        <v>1000</v>
      </c>
      <c r="V103" s="1367">
        <f>IF($R103-SUM($T103:U103)=0,0,IF(OR($R103&lt;=0,$R103&lt;=SUM($T103:U103)),0,IF((IF($J103=0,$O103,$J103)*$I103)&gt;=($R103-SUM($T103:U103)),($R103-SUM($T103:U103)),IF($J103=0,$O103,$J103)*$I103)))</f>
        <v>0</v>
      </c>
      <c r="W103" s="1367">
        <f>IF($R103-SUM($T103:V103)=0,0,IF(OR($R103&lt;=0,$R103&lt;=SUM($T103:V103)),0,IF((IF($J103=0,$O103,$J103)*$I103)&gt;=($R103-SUM($T103:V103)),($R103-SUM($T103:V103)),IF($J103=0,$O103,$J103)*$I103)))</f>
        <v>0</v>
      </c>
      <c r="X103" s="1367">
        <f>IF($R103-SUM($T103:W103)=0,0,IF(OR($R103&lt;=0,$R103&lt;=SUM($T103:W103)),0,IF((IF($J103=0,$O103,$J103)*$I103)&gt;=($R103-SUM($T103:W103)),($R103-SUM($T103:W103)),IF($J103=0,$O103,$J103)*$I103)))</f>
        <v>0</v>
      </c>
      <c r="Y103" s="1367">
        <f>IF($R103-SUM($T103:X103)=0,0,IF(OR($R103&lt;=0,$R103&lt;=SUM($T103:X103)),0,IF((IF($J103=0,$O103,$J103)*$I103)&gt;=($R103-SUM($T103:X103)),($R103-SUM($T103:X103)),IF($J103=0,$O103,$J103)*$I103)))</f>
        <v>0</v>
      </c>
      <c r="Z103" s="1367">
        <f>IF($R103-SUM($T103:Y103)=0,0,IF(OR($R103&lt;=0,$R103&lt;=SUM($T103:Y103)),0,IF((IF($J103=0,$O103,$J103)*$I103)&gt;=($R103-SUM($T103:Y103)),($R103-SUM($T103:Y103)),IF($J103=0,$O103,$J103)*$I103)))</f>
        <v>0</v>
      </c>
      <c r="AA103" s="1367">
        <f>IF($R103-SUM($T103:Z103)=0,0,IF(OR($R103&lt;=0,$R103&lt;=SUM($T103:Z103)),0,IF((IF($J103=0,$O103,$J103)*$I103)&gt;=($R103-SUM($T103:Z103)),($R103-SUM($T103:Z103)),IF($J103=0,$O103,$J103)*$I103)))</f>
        <v>0</v>
      </c>
      <c r="AB103" s="1367">
        <f>IF($R103-SUM($T103:AA103)=0,0,IF(OR($R103&lt;=0,$R103&lt;=SUM($T103:AA103)),0,IF((IF($J103=0,$O103,$J103)*$I103)&gt;=($R103-SUM($T103:AA103)),($R103-SUM($T103:AA103)),IF($J103=0,$O103,$J103)*$I103)))</f>
        <v>0</v>
      </c>
      <c r="AC103" s="1367">
        <f>IF($R103-SUM($T103:AB103)=0,0,IF(OR($R103&lt;=0,$R103&lt;=SUM($T103:AB103)),0,IF((IF($J103=0,$O103,$J103)*$I103)&gt;=($R103-SUM($T103:AB103)),($R103-SUM($T103:AB103)),IF($J103=0,$O103,$J103)*$I103)))</f>
        <v>0</v>
      </c>
      <c r="AD103" s="1367">
        <f>IF($R103-SUM($T103:AC103)=0,0,IF(OR($R103&lt;=0,$R103&lt;=SUM($T103:AC103)),0,IF((IF($J103=0,$O103,$J103)*$I103)&gt;=($R103-SUM($T103:AC103)),($R103-SUM($T103:AC103)),IF($J103=0,$O103,$J103)*$I103)))</f>
        <v>0</v>
      </c>
      <c r="AF103" s="1319" t="b">
        <f t="shared" si="37"/>
        <v>1</v>
      </c>
      <c r="AG103" s="1319" t="str">
        <f t="shared" si="38"/>
        <v>Checked</v>
      </c>
      <c r="AH103" s="1318" t="str">
        <f t="shared" si="39"/>
        <v>Checked</v>
      </c>
    </row>
    <row r="104" spans="2:34" outlineLevel="1" x14ac:dyDescent="0.3">
      <c r="B104" s="1356" t="s">
        <v>2240</v>
      </c>
      <c r="C104" s="1356" t="s">
        <v>1971</v>
      </c>
      <c r="D104" s="1322" t="s">
        <v>2241</v>
      </c>
      <c r="E104" s="1357">
        <v>10</v>
      </c>
      <c r="F104" s="1333">
        <f t="shared" si="30"/>
        <v>0</v>
      </c>
      <c r="G104" s="1358">
        <f t="shared" si="31"/>
        <v>0</v>
      </c>
      <c r="H104" s="1359">
        <f t="shared" si="32"/>
        <v>0</v>
      </c>
      <c r="I104" s="1360">
        <f t="shared" si="33"/>
        <v>0.1</v>
      </c>
      <c r="J104" s="1361">
        <v>2000000</v>
      </c>
      <c r="K104" s="1362">
        <v>1879828</v>
      </c>
      <c r="L104" s="1356">
        <v>0</v>
      </c>
      <c r="M104" s="1356">
        <v>0</v>
      </c>
      <c r="N104" s="1361">
        <f t="shared" si="34"/>
        <v>120172</v>
      </c>
      <c r="O104" s="1363"/>
      <c r="P104" s="1356">
        <v>0</v>
      </c>
      <c r="Q104" s="1364">
        <v>119172</v>
      </c>
      <c r="R104" s="1365">
        <f t="shared" si="35"/>
        <v>1000</v>
      </c>
      <c r="S104" s="1364"/>
      <c r="T104" s="1366">
        <f t="shared" si="36"/>
        <v>0</v>
      </c>
      <c r="U104" s="1367">
        <f>IF($R104-SUM($T104:T104)=0,0,IF(OR($R104&lt;=0,$R104&lt;=SUM($T104:T104)),0,IF((IF($J104=0,$O104,$J104)*$I104)&gt;=($R104-SUM($T104:T104)),($R104-SUM($T104:T104)),IF($J104=0,$O104,$J104)*$I104)))</f>
        <v>1000</v>
      </c>
      <c r="V104" s="1367">
        <f>IF($R104-SUM($T104:U104)=0,0,IF(OR($R104&lt;=0,$R104&lt;=SUM($T104:U104)),0,IF((IF($J104=0,$O104,$J104)*$I104)&gt;=($R104-SUM($T104:U104)),($R104-SUM($T104:U104)),IF($J104=0,$O104,$J104)*$I104)))</f>
        <v>0</v>
      </c>
      <c r="W104" s="1367">
        <f>IF($R104-SUM($T104:V104)=0,0,IF(OR($R104&lt;=0,$R104&lt;=SUM($T104:V104)),0,IF((IF($J104=0,$O104,$J104)*$I104)&gt;=($R104-SUM($T104:V104)),($R104-SUM($T104:V104)),IF($J104=0,$O104,$J104)*$I104)))</f>
        <v>0</v>
      </c>
      <c r="X104" s="1367">
        <f>IF($R104-SUM($T104:W104)=0,0,IF(OR($R104&lt;=0,$R104&lt;=SUM($T104:W104)),0,IF((IF($J104=0,$O104,$J104)*$I104)&gt;=($R104-SUM($T104:W104)),($R104-SUM($T104:W104)),IF($J104=0,$O104,$J104)*$I104)))</f>
        <v>0</v>
      </c>
      <c r="Y104" s="1367">
        <f>IF($R104-SUM($T104:X104)=0,0,IF(OR($R104&lt;=0,$R104&lt;=SUM($T104:X104)),0,IF((IF($J104=0,$O104,$J104)*$I104)&gt;=($R104-SUM($T104:X104)),($R104-SUM($T104:X104)),IF($J104=0,$O104,$J104)*$I104)))</f>
        <v>0</v>
      </c>
      <c r="Z104" s="1367">
        <f>IF($R104-SUM($T104:Y104)=0,0,IF(OR($R104&lt;=0,$R104&lt;=SUM($T104:Y104)),0,IF((IF($J104=0,$O104,$J104)*$I104)&gt;=($R104-SUM($T104:Y104)),($R104-SUM($T104:Y104)),IF($J104=0,$O104,$J104)*$I104)))</f>
        <v>0</v>
      </c>
      <c r="AA104" s="1367">
        <f>IF($R104-SUM($T104:Z104)=0,0,IF(OR($R104&lt;=0,$R104&lt;=SUM($T104:Z104)),0,IF((IF($J104=0,$O104,$J104)*$I104)&gt;=($R104-SUM($T104:Z104)),($R104-SUM($T104:Z104)),IF($J104=0,$O104,$J104)*$I104)))</f>
        <v>0</v>
      </c>
      <c r="AB104" s="1367">
        <f>IF($R104-SUM($T104:AA104)=0,0,IF(OR($R104&lt;=0,$R104&lt;=SUM($T104:AA104)),0,IF((IF($J104=0,$O104,$J104)*$I104)&gt;=($R104-SUM($T104:AA104)),($R104-SUM($T104:AA104)),IF($J104=0,$O104,$J104)*$I104)))</f>
        <v>0</v>
      </c>
      <c r="AC104" s="1367">
        <f>IF($R104-SUM($T104:AB104)=0,0,IF(OR($R104&lt;=0,$R104&lt;=SUM($T104:AB104)),0,IF((IF($J104=0,$O104,$J104)*$I104)&gt;=($R104-SUM($T104:AB104)),($R104-SUM($T104:AB104)),IF($J104=0,$O104,$J104)*$I104)))</f>
        <v>0</v>
      </c>
      <c r="AD104" s="1367">
        <f>IF($R104-SUM($T104:AC104)=0,0,IF(OR($R104&lt;=0,$R104&lt;=SUM($T104:AC104)),0,IF((IF($J104=0,$O104,$J104)*$I104)&gt;=($R104-SUM($T104:AC104)),($R104-SUM($T104:AC104)),IF($J104=0,$O104,$J104)*$I104)))</f>
        <v>0</v>
      </c>
      <c r="AF104" s="1319" t="b">
        <f t="shared" si="37"/>
        <v>1</v>
      </c>
      <c r="AG104" s="1319" t="str">
        <f t="shared" si="38"/>
        <v>Checked</v>
      </c>
      <c r="AH104" s="1318" t="str">
        <f t="shared" si="39"/>
        <v>Checked</v>
      </c>
    </row>
    <row r="105" spans="2:34" outlineLevel="1" x14ac:dyDescent="0.3">
      <c r="B105" s="1356" t="s">
        <v>2242</v>
      </c>
      <c r="C105" s="1356" t="s">
        <v>1971</v>
      </c>
      <c r="D105" s="1322" t="s">
        <v>2243</v>
      </c>
      <c r="E105" s="1357">
        <v>10</v>
      </c>
      <c r="F105" s="1333">
        <f t="shared" si="30"/>
        <v>0</v>
      </c>
      <c r="G105" s="1358">
        <f t="shared" si="31"/>
        <v>0</v>
      </c>
      <c r="H105" s="1359">
        <f t="shared" si="32"/>
        <v>0</v>
      </c>
      <c r="I105" s="1360">
        <f t="shared" si="33"/>
        <v>0.1</v>
      </c>
      <c r="J105" s="1361">
        <v>12900000</v>
      </c>
      <c r="K105" s="1362">
        <v>12124896</v>
      </c>
      <c r="L105" s="1356">
        <v>0</v>
      </c>
      <c r="M105" s="1356">
        <v>0</v>
      </c>
      <c r="N105" s="1361">
        <f t="shared" si="34"/>
        <v>775104</v>
      </c>
      <c r="O105" s="1363"/>
      <c r="P105" s="1356">
        <v>0</v>
      </c>
      <c r="Q105" s="1364">
        <v>774104</v>
      </c>
      <c r="R105" s="1365">
        <f t="shared" si="35"/>
        <v>1000</v>
      </c>
      <c r="S105" s="1364"/>
      <c r="T105" s="1366">
        <f t="shared" si="36"/>
        <v>0</v>
      </c>
      <c r="U105" s="1367">
        <f>IF($R105-SUM($T105:T105)=0,0,IF(OR($R105&lt;=0,$R105&lt;=SUM($T105:T105)),0,IF((IF($J105=0,$O105,$J105)*$I105)&gt;=($R105-SUM($T105:T105)),($R105-SUM($T105:T105)),IF($J105=0,$O105,$J105)*$I105)))</f>
        <v>1000</v>
      </c>
      <c r="V105" s="1367">
        <f>IF($R105-SUM($T105:U105)=0,0,IF(OR($R105&lt;=0,$R105&lt;=SUM($T105:U105)),0,IF((IF($J105=0,$O105,$J105)*$I105)&gt;=($R105-SUM($T105:U105)),($R105-SUM($T105:U105)),IF($J105=0,$O105,$J105)*$I105)))</f>
        <v>0</v>
      </c>
      <c r="W105" s="1367">
        <f>IF($R105-SUM($T105:V105)=0,0,IF(OR($R105&lt;=0,$R105&lt;=SUM($T105:V105)),0,IF((IF($J105=0,$O105,$J105)*$I105)&gt;=($R105-SUM($T105:V105)),($R105-SUM($T105:V105)),IF($J105=0,$O105,$J105)*$I105)))</f>
        <v>0</v>
      </c>
      <c r="X105" s="1367">
        <f>IF($R105-SUM($T105:W105)=0,0,IF(OR($R105&lt;=0,$R105&lt;=SUM($T105:W105)),0,IF((IF($J105=0,$O105,$J105)*$I105)&gt;=($R105-SUM($T105:W105)),($R105-SUM($T105:W105)),IF($J105=0,$O105,$J105)*$I105)))</f>
        <v>0</v>
      </c>
      <c r="Y105" s="1367">
        <f>IF($R105-SUM($T105:X105)=0,0,IF(OR($R105&lt;=0,$R105&lt;=SUM($T105:X105)),0,IF((IF($J105=0,$O105,$J105)*$I105)&gt;=($R105-SUM($T105:X105)),($R105-SUM($T105:X105)),IF($J105=0,$O105,$J105)*$I105)))</f>
        <v>0</v>
      </c>
      <c r="Z105" s="1367">
        <f>IF($R105-SUM($T105:Y105)=0,0,IF(OR($R105&lt;=0,$R105&lt;=SUM($T105:Y105)),0,IF((IF($J105=0,$O105,$J105)*$I105)&gt;=($R105-SUM($T105:Y105)),($R105-SUM($T105:Y105)),IF($J105=0,$O105,$J105)*$I105)))</f>
        <v>0</v>
      </c>
      <c r="AA105" s="1367">
        <f>IF($R105-SUM($T105:Z105)=0,0,IF(OR($R105&lt;=0,$R105&lt;=SUM($T105:Z105)),0,IF((IF($J105=0,$O105,$J105)*$I105)&gt;=($R105-SUM($T105:Z105)),($R105-SUM($T105:Z105)),IF($J105=0,$O105,$J105)*$I105)))</f>
        <v>0</v>
      </c>
      <c r="AB105" s="1367">
        <f>IF($R105-SUM($T105:AA105)=0,0,IF(OR($R105&lt;=0,$R105&lt;=SUM($T105:AA105)),0,IF((IF($J105=0,$O105,$J105)*$I105)&gt;=($R105-SUM($T105:AA105)),($R105-SUM($T105:AA105)),IF($J105=0,$O105,$J105)*$I105)))</f>
        <v>0</v>
      </c>
      <c r="AC105" s="1367">
        <f>IF($R105-SUM($T105:AB105)=0,0,IF(OR($R105&lt;=0,$R105&lt;=SUM($T105:AB105)),0,IF((IF($J105=0,$O105,$J105)*$I105)&gt;=($R105-SUM($T105:AB105)),($R105-SUM($T105:AB105)),IF($J105=0,$O105,$J105)*$I105)))</f>
        <v>0</v>
      </c>
      <c r="AD105" s="1367">
        <f>IF($R105-SUM($T105:AC105)=0,0,IF(OR($R105&lt;=0,$R105&lt;=SUM($T105:AC105)),0,IF((IF($J105=0,$O105,$J105)*$I105)&gt;=($R105-SUM($T105:AC105)),($R105-SUM($T105:AC105)),IF($J105=0,$O105,$J105)*$I105)))</f>
        <v>0</v>
      </c>
      <c r="AF105" s="1319" t="b">
        <f t="shared" si="37"/>
        <v>1</v>
      </c>
      <c r="AG105" s="1319" t="str">
        <f t="shared" si="38"/>
        <v>Checked</v>
      </c>
      <c r="AH105" s="1318" t="str">
        <f t="shared" si="39"/>
        <v>Checked</v>
      </c>
    </row>
    <row r="106" spans="2:34" outlineLevel="1" x14ac:dyDescent="0.3">
      <c r="B106" s="1356" t="s">
        <v>2179</v>
      </c>
      <c r="C106" s="1356" t="s">
        <v>1971</v>
      </c>
      <c r="D106" s="1322" t="s">
        <v>2244</v>
      </c>
      <c r="E106" s="1357">
        <v>10</v>
      </c>
      <c r="F106" s="1333">
        <f t="shared" si="30"/>
        <v>0</v>
      </c>
      <c r="G106" s="1358">
        <f t="shared" si="31"/>
        <v>0</v>
      </c>
      <c r="H106" s="1359">
        <f t="shared" si="32"/>
        <v>0</v>
      </c>
      <c r="I106" s="1360">
        <f t="shared" si="33"/>
        <v>0.1</v>
      </c>
      <c r="J106" s="1361">
        <v>45759600</v>
      </c>
      <c r="K106" s="1362">
        <v>42744024</v>
      </c>
      <c r="L106" s="1356">
        <v>0</v>
      </c>
      <c r="M106" s="1356">
        <v>0</v>
      </c>
      <c r="N106" s="1361">
        <f t="shared" si="34"/>
        <v>3015576</v>
      </c>
      <c r="O106" s="1363"/>
      <c r="P106" s="1356">
        <v>0</v>
      </c>
      <c r="Q106" s="1364">
        <v>3014576</v>
      </c>
      <c r="R106" s="1365">
        <f t="shared" si="35"/>
        <v>1000</v>
      </c>
      <c r="S106" s="1364"/>
      <c r="T106" s="1366">
        <f t="shared" si="36"/>
        <v>0</v>
      </c>
      <c r="U106" s="1367">
        <f>IF($R106-SUM($T106:T106)=0,0,IF(OR($R106&lt;=0,$R106&lt;=SUM($T106:T106)),0,IF((IF($J106=0,$O106,$J106)*$I106)&gt;=($R106-SUM($T106:T106)),($R106-SUM($T106:T106)),IF($J106=0,$O106,$J106)*$I106)))</f>
        <v>1000</v>
      </c>
      <c r="V106" s="1367">
        <f>IF($R106-SUM($T106:U106)=0,0,IF(OR($R106&lt;=0,$R106&lt;=SUM($T106:U106)),0,IF((IF($J106=0,$O106,$J106)*$I106)&gt;=($R106-SUM($T106:U106)),($R106-SUM($T106:U106)),IF($J106=0,$O106,$J106)*$I106)))</f>
        <v>0</v>
      </c>
      <c r="W106" s="1367">
        <f>IF($R106-SUM($T106:V106)=0,0,IF(OR($R106&lt;=0,$R106&lt;=SUM($T106:V106)),0,IF((IF($J106=0,$O106,$J106)*$I106)&gt;=($R106-SUM($T106:V106)),($R106-SUM($T106:V106)),IF($J106=0,$O106,$J106)*$I106)))</f>
        <v>0</v>
      </c>
      <c r="X106" s="1367">
        <f>IF($R106-SUM($T106:W106)=0,0,IF(OR($R106&lt;=0,$R106&lt;=SUM($T106:W106)),0,IF((IF($J106=0,$O106,$J106)*$I106)&gt;=($R106-SUM($T106:W106)),($R106-SUM($T106:W106)),IF($J106=0,$O106,$J106)*$I106)))</f>
        <v>0</v>
      </c>
      <c r="Y106" s="1367">
        <f>IF($R106-SUM($T106:X106)=0,0,IF(OR($R106&lt;=0,$R106&lt;=SUM($T106:X106)),0,IF((IF($J106=0,$O106,$J106)*$I106)&gt;=($R106-SUM($T106:X106)),($R106-SUM($T106:X106)),IF($J106=0,$O106,$J106)*$I106)))</f>
        <v>0</v>
      </c>
      <c r="Z106" s="1367">
        <f>IF($R106-SUM($T106:Y106)=0,0,IF(OR($R106&lt;=0,$R106&lt;=SUM($T106:Y106)),0,IF((IF($J106=0,$O106,$J106)*$I106)&gt;=($R106-SUM($T106:Y106)),($R106-SUM($T106:Y106)),IF($J106=0,$O106,$J106)*$I106)))</f>
        <v>0</v>
      </c>
      <c r="AA106" s="1367">
        <f>IF($R106-SUM($T106:Z106)=0,0,IF(OR($R106&lt;=0,$R106&lt;=SUM($T106:Z106)),0,IF((IF($J106=0,$O106,$J106)*$I106)&gt;=($R106-SUM($T106:Z106)),($R106-SUM($T106:Z106)),IF($J106=0,$O106,$J106)*$I106)))</f>
        <v>0</v>
      </c>
      <c r="AB106" s="1367">
        <f>IF($R106-SUM($T106:AA106)=0,0,IF(OR($R106&lt;=0,$R106&lt;=SUM($T106:AA106)),0,IF((IF($J106=0,$O106,$J106)*$I106)&gt;=($R106-SUM($T106:AA106)),($R106-SUM($T106:AA106)),IF($J106=0,$O106,$J106)*$I106)))</f>
        <v>0</v>
      </c>
      <c r="AC106" s="1367">
        <f>IF($R106-SUM($T106:AB106)=0,0,IF(OR($R106&lt;=0,$R106&lt;=SUM($T106:AB106)),0,IF((IF($J106=0,$O106,$J106)*$I106)&gt;=($R106-SUM($T106:AB106)),($R106-SUM($T106:AB106)),IF($J106=0,$O106,$J106)*$I106)))</f>
        <v>0</v>
      </c>
      <c r="AD106" s="1367">
        <f>IF($R106-SUM($T106:AC106)=0,0,IF(OR($R106&lt;=0,$R106&lt;=SUM($T106:AC106)),0,IF((IF($J106=0,$O106,$J106)*$I106)&gt;=($R106-SUM($T106:AC106)),($R106-SUM($T106:AC106)),IF($J106=0,$O106,$J106)*$I106)))</f>
        <v>0</v>
      </c>
      <c r="AF106" s="1319" t="b">
        <f t="shared" si="37"/>
        <v>1</v>
      </c>
      <c r="AG106" s="1319" t="str">
        <f t="shared" si="38"/>
        <v>Checked</v>
      </c>
      <c r="AH106" s="1318" t="str">
        <f t="shared" si="39"/>
        <v>Checked</v>
      </c>
    </row>
    <row r="107" spans="2:34" outlineLevel="1" x14ac:dyDescent="0.3">
      <c r="B107" s="1356" t="s">
        <v>2245</v>
      </c>
      <c r="C107" s="1356" t="s">
        <v>1971</v>
      </c>
      <c r="D107" s="1322" t="s">
        <v>2176</v>
      </c>
      <c r="E107" s="1357">
        <v>10</v>
      </c>
      <c r="F107" s="1333">
        <f t="shared" si="30"/>
        <v>1</v>
      </c>
      <c r="G107" s="1358">
        <f t="shared" si="31"/>
        <v>0</v>
      </c>
      <c r="H107" s="1359">
        <f t="shared" si="32"/>
        <v>0</v>
      </c>
      <c r="I107" s="1360">
        <f t="shared" si="33"/>
        <v>0.1</v>
      </c>
      <c r="J107" s="1361">
        <v>54818182</v>
      </c>
      <c r="K107" s="1362">
        <v>51018408</v>
      </c>
      <c r="L107" s="1356">
        <v>0</v>
      </c>
      <c r="M107" s="1356">
        <v>0</v>
      </c>
      <c r="N107" s="1361">
        <f t="shared" si="34"/>
        <v>3799774</v>
      </c>
      <c r="O107" s="1363"/>
      <c r="P107" s="1356">
        <v>0</v>
      </c>
      <c r="Q107" s="1364">
        <v>984141</v>
      </c>
      <c r="R107" s="1365">
        <f t="shared" si="35"/>
        <v>2815633</v>
      </c>
      <c r="S107" s="1364"/>
      <c r="T107" s="1366">
        <f t="shared" si="36"/>
        <v>0</v>
      </c>
      <c r="U107" s="1367">
        <f>IF($R107-SUM($T107:T107)=0,0,IF(OR($R107&lt;=0,$R107&lt;=SUM($T107:T107)),0,IF((IF($J107=0,$O107,$J107)*$I107)&gt;=($R107-SUM($T107:T107)),($R107-SUM($T107:T107)),IF($J107=0,$O107,$J107)*$I107)))</f>
        <v>2815633</v>
      </c>
      <c r="V107" s="1367">
        <f>IF($R107-SUM($T107:U107)=0,0,IF(OR($R107&lt;=0,$R107&lt;=SUM($T107:U107)),0,IF((IF($J107=0,$O107,$J107)*$I107)&gt;=($R107-SUM($T107:U107)),($R107-SUM($T107:U107)),IF($J107=0,$O107,$J107)*$I107)))</f>
        <v>0</v>
      </c>
      <c r="W107" s="1367">
        <f>IF($R107-SUM($T107:V107)=0,0,IF(OR($R107&lt;=0,$R107&lt;=SUM($T107:V107)),0,IF((IF($J107=0,$O107,$J107)*$I107)&gt;=($R107-SUM($T107:V107)),($R107-SUM($T107:V107)),IF($J107=0,$O107,$J107)*$I107)))</f>
        <v>0</v>
      </c>
      <c r="X107" s="1367">
        <f>IF($R107-SUM($T107:W107)=0,0,IF(OR($R107&lt;=0,$R107&lt;=SUM($T107:W107)),0,IF((IF($J107=0,$O107,$J107)*$I107)&gt;=($R107-SUM($T107:W107)),($R107-SUM($T107:W107)),IF($J107=0,$O107,$J107)*$I107)))</f>
        <v>0</v>
      </c>
      <c r="Y107" s="1367">
        <f>IF($R107-SUM($T107:X107)=0,0,IF(OR($R107&lt;=0,$R107&lt;=SUM($T107:X107)),0,IF((IF($J107=0,$O107,$J107)*$I107)&gt;=($R107-SUM($T107:X107)),($R107-SUM($T107:X107)),IF($J107=0,$O107,$J107)*$I107)))</f>
        <v>0</v>
      </c>
      <c r="Z107" s="1367">
        <f>IF($R107-SUM($T107:Y107)=0,0,IF(OR($R107&lt;=0,$R107&lt;=SUM($T107:Y107)),0,IF((IF($J107=0,$O107,$J107)*$I107)&gt;=($R107-SUM($T107:Y107)),($R107-SUM($T107:Y107)),IF($J107=0,$O107,$J107)*$I107)))</f>
        <v>0</v>
      </c>
      <c r="AA107" s="1367">
        <f>IF($R107-SUM($T107:Z107)=0,0,IF(OR($R107&lt;=0,$R107&lt;=SUM($T107:Z107)),0,IF((IF($J107=0,$O107,$J107)*$I107)&gt;=($R107-SUM($T107:Z107)),($R107-SUM($T107:Z107)),IF($J107=0,$O107,$J107)*$I107)))</f>
        <v>0</v>
      </c>
      <c r="AB107" s="1367">
        <f>IF($R107-SUM($T107:AA107)=0,0,IF(OR($R107&lt;=0,$R107&lt;=SUM($T107:AA107)),0,IF((IF($J107=0,$O107,$J107)*$I107)&gt;=($R107-SUM($T107:AA107)),($R107-SUM($T107:AA107)),IF($J107=0,$O107,$J107)*$I107)))</f>
        <v>0</v>
      </c>
      <c r="AC107" s="1367">
        <f>IF($R107-SUM($T107:AB107)=0,0,IF(OR($R107&lt;=0,$R107&lt;=SUM($T107:AB107)),0,IF((IF($J107=0,$O107,$J107)*$I107)&gt;=($R107-SUM($T107:AB107)),($R107-SUM($T107:AB107)),IF($J107=0,$O107,$J107)*$I107)))</f>
        <v>0</v>
      </c>
      <c r="AD107" s="1367">
        <f>IF($R107-SUM($T107:AC107)=0,0,IF(OR($R107&lt;=0,$R107&lt;=SUM($T107:AC107)),0,IF((IF($J107=0,$O107,$J107)*$I107)&gt;=($R107-SUM($T107:AC107)),($R107-SUM($T107:AC107)),IF($J107=0,$O107,$J107)*$I107)))</f>
        <v>0</v>
      </c>
      <c r="AF107" s="1319" t="b">
        <f t="shared" si="37"/>
        <v>1</v>
      </c>
      <c r="AG107" s="1319" t="str">
        <f t="shared" si="38"/>
        <v>Checked</v>
      </c>
      <c r="AH107" s="1318" t="str">
        <f t="shared" si="39"/>
        <v>Checked</v>
      </c>
    </row>
    <row r="108" spans="2:34" outlineLevel="1" x14ac:dyDescent="0.3">
      <c r="B108" s="1356" t="s">
        <v>2246</v>
      </c>
      <c r="C108" s="1356" t="s">
        <v>1971</v>
      </c>
      <c r="D108" s="1322" t="s">
        <v>2247</v>
      </c>
      <c r="E108" s="1357">
        <v>10</v>
      </c>
      <c r="F108" s="1333">
        <f t="shared" si="30"/>
        <v>1</v>
      </c>
      <c r="G108" s="1358">
        <f t="shared" si="31"/>
        <v>0</v>
      </c>
      <c r="H108" s="1359">
        <f t="shared" si="32"/>
        <v>0</v>
      </c>
      <c r="I108" s="1360">
        <f t="shared" si="33"/>
        <v>0.1</v>
      </c>
      <c r="J108" s="1361">
        <v>12000000</v>
      </c>
      <c r="K108" s="1362">
        <v>11097581</v>
      </c>
      <c r="L108" s="1356">
        <v>0</v>
      </c>
      <c r="M108" s="1356">
        <v>0</v>
      </c>
      <c r="N108" s="1361">
        <f t="shared" si="34"/>
        <v>902419</v>
      </c>
      <c r="O108" s="1363"/>
      <c r="P108" s="1356">
        <v>0</v>
      </c>
      <c r="Q108" s="1364">
        <v>233726</v>
      </c>
      <c r="R108" s="1365">
        <f t="shared" si="35"/>
        <v>668693</v>
      </c>
      <c r="S108" s="1364"/>
      <c r="T108" s="1366">
        <f t="shared" si="36"/>
        <v>0</v>
      </c>
      <c r="U108" s="1367">
        <f>IF($R108-SUM($T108:T108)=0,0,IF(OR($R108&lt;=0,$R108&lt;=SUM($T108:T108)),0,IF((IF($J108=0,$O108,$J108)*$I108)&gt;=($R108-SUM($T108:T108)),($R108-SUM($T108:T108)),IF($J108=0,$O108,$J108)*$I108)))</f>
        <v>668693</v>
      </c>
      <c r="V108" s="1367">
        <f>IF($R108-SUM($T108:U108)=0,0,IF(OR($R108&lt;=0,$R108&lt;=SUM($T108:U108)),0,IF((IF($J108=0,$O108,$J108)*$I108)&gt;=($R108-SUM($T108:U108)),($R108-SUM($T108:U108)),IF($J108=0,$O108,$J108)*$I108)))</f>
        <v>0</v>
      </c>
      <c r="W108" s="1367">
        <f>IF($R108-SUM($T108:V108)=0,0,IF(OR($R108&lt;=0,$R108&lt;=SUM($T108:V108)),0,IF((IF($J108=0,$O108,$J108)*$I108)&gt;=($R108-SUM($T108:V108)),($R108-SUM($T108:V108)),IF($J108=0,$O108,$J108)*$I108)))</f>
        <v>0</v>
      </c>
      <c r="X108" s="1367">
        <f>IF($R108-SUM($T108:W108)=0,0,IF(OR($R108&lt;=0,$R108&lt;=SUM($T108:W108)),0,IF((IF($J108=0,$O108,$J108)*$I108)&gt;=($R108-SUM($T108:W108)),($R108-SUM($T108:W108)),IF($J108=0,$O108,$J108)*$I108)))</f>
        <v>0</v>
      </c>
      <c r="Y108" s="1367">
        <f>IF($R108-SUM($T108:X108)=0,0,IF(OR($R108&lt;=0,$R108&lt;=SUM($T108:X108)),0,IF((IF($J108=0,$O108,$J108)*$I108)&gt;=($R108-SUM($T108:X108)),($R108-SUM($T108:X108)),IF($J108=0,$O108,$J108)*$I108)))</f>
        <v>0</v>
      </c>
      <c r="Z108" s="1367">
        <f>IF($R108-SUM($T108:Y108)=0,0,IF(OR($R108&lt;=0,$R108&lt;=SUM($T108:Y108)),0,IF((IF($J108=0,$O108,$J108)*$I108)&gt;=($R108-SUM($T108:Y108)),($R108-SUM($T108:Y108)),IF($J108=0,$O108,$J108)*$I108)))</f>
        <v>0</v>
      </c>
      <c r="AA108" s="1367">
        <f>IF($R108-SUM($T108:Z108)=0,0,IF(OR($R108&lt;=0,$R108&lt;=SUM($T108:Z108)),0,IF((IF($J108=0,$O108,$J108)*$I108)&gt;=($R108-SUM($T108:Z108)),($R108-SUM($T108:Z108)),IF($J108=0,$O108,$J108)*$I108)))</f>
        <v>0</v>
      </c>
      <c r="AB108" s="1367">
        <f>IF($R108-SUM($T108:AA108)=0,0,IF(OR($R108&lt;=0,$R108&lt;=SUM($T108:AA108)),0,IF((IF($J108=0,$O108,$J108)*$I108)&gt;=($R108-SUM($T108:AA108)),($R108-SUM($T108:AA108)),IF($J108=0,$O108,$J108)*$I108)))</f>
        <v>0</v>
      </c>
      <c r="AC108" s="1367">
        <f>IF($R108-SUM($T108:AB108)=0,0,IF(OR($R108&lt;=0,$R108&lt;=SUM($T108:AB108)),0,IF((IF($J108=0,$O108,$J108)*$I108)&gt;=($R108-SUM($T108:AB108)),($R108-SUM($T108:AB108)),IF($J108=0,$O108,$J108)*$I108)))</f>
        <v>0</v>
      </c>
      <c r="AD108" s="1367">
        <f>IF($R108-SUM($T108:AC108)=0,0,IF(OR($R108&lt;=0,$R108&lt;=SUM($T108:AC108)),0,IF((IF($J108=0,$O108,$J108)*$I108)&gt;=($R108-SUM($T108:AC108)),($R108-SUM($T108:AC108)),IF($J108=0,$O108,$J108)*$I108)))</f>
        <v>0</v>
      </c>
      <c r="AF108" s="1319" t="b">
        <f t="shared" si="37"/>
        <v>1</v>
      </c>
      <c r="AG108" s="1319" t="str">
        <f t="shared" si="38"/>
        <v>Checked</v>
      </c>
      <c r="AH108" s="1318" t="str">
        <f t="shared" si="39"/>
        <v>Checked</v>
      </c>
    </row>
    <row r="109" spans="2:34" outlineLevel="1" x14ac:dyDescent="0.3">
      <c r="B109" s="1356" t="s">
        <v>2248</v>
      </c>
      <c r="C109" s="1356" t="s">
        <v>1971</v>
      </c>
      <c r="D109" s="1322" t="s">
        <v>2249</v>
      </c>
      <c r="E109" s="1357">
        <v>10</v>
      </c>
      <c r="F109" s="1333">
        <f t="shared" si="30"/>
        <v>1</v>
      </c>
      <c r="G109" s="1358">
        <f t="shared" si="31"/>
        <v>0</v>
      </c>
      <c r="H109" s="1359">
        <f t="shared" si="32"/>
        <v>0</v>
      </c>
      <c r="I109" s="1360">
        <f t="shared" si="33"/>
        <v>0.1</v>
      </c>
      <c r="J109" s="1361">
        <v>67000000</v>
      </c>
      <c r="K109" s="1362">
        <v>61830058</v>
      </c>
      <c r="L109" s="1356">
        <v>0</v>
      </c>
      <c r="M109" s="1356">
        <v>0</v>
      </c>
      <c r="N109" s="1361">
        <f t="shared" si="34"/>
        <v>5169942</v>
      </c>
      <c r="O109" s="1363"/>
      <c r="P109" s="1356">
        <v>0</v>
      </c>
      <c r="Q109" s="1364">
        <v>1339014</v>
      </c>
      <c r="R109" s="1365">
        <f t="shared" si="35"/>
        <v>3830928</v>
      </c>
      <c r="S109" s="1364"/>
      <c r="T109" s="1366">
        <f t="shared" si="36"/>
        <v>0</v>
      </c>
      <c r="U109" s="1367">
        <f>IF($R109-SUM($T109:T109)=0,0,IF(OR($R109&lt;=0,$R109&lt;=SUM($T109:T109)),0,IF((IF($J109=0,$O109,$J109)*$I109)&gt;=($R109-SUM($T109:T109)),($R109-SUM($T109:T109)),IF($J109=0,$O109,$J109)*$I109)))</f>
        <v>3830928</v>
      </c>
      <c r="V109" s="1367">
        <f>IF($R109-SUM($T109:U109)=0,0,IF(OR($R109&lt;=0,$R109&lt;=SUM($T109:U109)),0,IF((IF($J109=0,$O109,$J109)*$I109)&gt;=($R109-SUM($T109:U109)),($R109-SUM($T109:U109)),IF($J109=0,$O109,$J109)*$I109)))</f>
        <v>0</v>
      </c>
      <c r="W109" s="1367">
        <f>IF($R109-SUM($T109:V109)=0,0,IF(OR($R109&lt;=0,$R109&lt;=SUM($T109:V109)),0,IF((IF($J109=0,$O109,$J109)*$I109)&gt;=($R109-SUM($T109:V109)),($R109-SUM($T109:V109)),IF($J109=0,$O109,$J109)*$I109)))</f>
        <v>0</v>
      </c>
      <c r="X109" s="1367">
        <f>IF($R109-SUM($T109:W109)=0,0,IF(OR($R109&lt;=0,$R109&lt;=SUM($T109:W109)),0,IF((IF($J109=0,$O109,$J109)*$I109)&gt;=($R109-SUM($T109:W109)),($R109-SUM($T109:W109)),IF($J109=0,$O109,$J109)*$I109)))</f>
        <v>0</v>
      </c>
      <c r="Y109" s="1367">
        <f>IF($R109-SUM($T109:X109)=0,0,IF(OR($R109&lt;=0,$R109&lt;=SUM($T109:X109)),0,IF((IF($J109=0,$O109,$J109)*$I109)&gt;=($R109-SUM($T109:X109)),($R109-SUM($T109:X109)),IF($J109=0,$O109,$J109)*$I109)))</f>
        <v>0</v>
      </c>
      <c r="Z109" s="1367">
        <f>IF($R109-SUM($T109:Y109)=0,0,IF(OR($R109&lt;=0,$R109&lt;=SUM($T109:Y109)),0,IF((IF($J109=0,$O109,$J109)*$I109)&gt;=($R109-SUM($T109:Y109)),($R109-SUM($T109:Y109)),IF($J109=0,$O109,$J109)*$I109)))</f>
        <v>0</v>
      </c>
      <c r="AA109" s="1367">
        <f>IF($R109-SUM($T109:Z109)=0,0,IF(OR($R109&lt;=0,$R109&lt;=SUM($T109:Z109)),0,IF((IF($J109=0,$O109,$J109)*$I109)&gt;=($R109-SUM($T109:Z109)),($R109-SUM($T109:Z109)),IF($J109=0,$O109,$J109)*$I109)))</f>
        <v>0</v>
      </c>
      <c r="AB109" s="1367">
        <f>IF($R109-SUM($T109:AA109)=0,0,IF(OR($R109&lt;=0,$R109&lt;=SUM($T109:AA109)),0,IF((IF($J109=0,$O109,$J109)*$I109)&gt;=($R109-SUM($T109:AA109)),($R109-SUM($T109:AA109)),IF($J109=0,$O109,$J109)*$I109)))</f>
        <v>0</v>
      </c>
      <c r="AC109" s="1367">
        <f>IF($R109-SUM($T109:AB109)=0,0,IF(OR($R109&lt;=0,$R109&lt;=SUM($T109:AB109)),0,IF((IF($J109=0,$O109,$J109)*$I109)&gt;=($R109-SUM($T109:AB109)),($R109-SUM($T109:AB109)),IF($J109=0,$O109,$J109)*$I109)))</f>
        <v>0</v>
      </c>
      <c r="AD109" s="1367">
        <f>IF($R109-SUM($T109:AC109)=0,0,IF(OR($R109&lt;=0,$R109&lt;=SUM($T109:AC109)),0,IF((IF($J109=0,$O109,$J109)*$I109)&gt;=($R109-SUM($T109:AC109)),($R109-SUM($T109:AC109)),IF($J109=0,$O109,$J109)*$I109)))</f>
        <v>0</v>
      </c>
      <c r="AF109" s="1319" t="b">
        <f t="shared" si="37"/>
        <v>1</v>
      </c>
      <c r="AG109" s="1319" t="str">
        <f t="shared" si="38"/>
        <v>Checked</v>
      </c>
      <c r="AH109" s="1318" t="str">
        <f t="shared" si="39"/>
        <v>Checked</v>
      </c>
    </row>
    <row r="110" spans="2:34" outlineLevel="1" x14ac:dyDescent="0.3">
      <c r="B110" s="1356" t="s">
        <v>2250</v>
      </c>
      <c r="C110" s="1356" t="s">
        <v>1971</v>
      </c>
      <c r="D110" s="1322" t="s">
        <v>2251</v>
      </c>
      <c r="E110" s="1357">
        <v>10</v>
      </c>
      <c r="F110" s="1333">
        <f t="shared" si="30"/>
        <v>1</v>
      </c>
      <c r="G110" s="1358">
        <f t="shared" si="31"/>
        <v>0</v>
      </c>
      <c r="H110" s="1359">
        <f t="shared" si="32"/>
        <v>0</v>
      </c>
      <c r="I110" s="1360">
        <f t="shared" si="33"/>
        <v>0.1</v>
      </c>
      <c r="J110" s="1361">
        <v>17000000</v>
      </c>
      <c r="K110" s="1362">
        <v>15488114</v>
      </c>
      <c r="L110" s="1356">
        <v>0</v>
      </c>
      <c r="M110" s="1356">
        <v>0</v>
      </c>
      <c r="N110" s="1361">
        <f t="shared" si="34"/>
        <v>1511886</v>
      </c>
      <c r="O110" s="1363"/>
      <c r="P110" s="1356">
        <v>0</v>
      </c>
      <c r="Q110" s="1364">
        <v>391578</v>
      </c>
      <c r="R110" s="1365">
        <f t="shared" si="35"/>
        <v>1120308</v>
      </c>
      <c r="S110" s="1364"/>
      <c r="T110" s="1366">
        <f t="shared" si="36"/>
        <v>0</v>
      </c>
      <c r="U110" s="1367">
        <f>IF($R110-SUM($T110:T110)=0,0,IF(OR($R110&lt;=0,$R110&lt;=SUM($T110:T110)),0,IF((IF($J110=0,$O110,$J110)*$I110)&gt;=($R110-SUM($T110:T110)),($R110-SUM($T110:T110)),IF($J110=0,$O110,$J110)*$I110)))</f>
        <v>1120308</v>
      </c>
      <c r="V110" s="1367">
        <f>IF($R110-SUM($T110:U110)=0,0,IF(OR($R110&lt;=0,$R110&lt;=SUM($T110:U110)),0,IF((IF($J110=0,$O110,$J110)*$I110)&gt;=($R110-SUM($T110:U110)),($R110-SUM($T110:U110)),IF($J110=0,$O110,$J110)*$I110)))</f>
        <v>0</v>
      </c>
      <c r="W110" s="1367">
        <f>IF($R110-SUM($T110:V110)=0,0,IF(OR($R110&lt;=0,$R110&lt;=SUM($T110:V110)),0,IF((IF($J110=0,$O110,$J110)*$I110)&gt;=($R110-SUM($T110:V110)),($R110-SUM($T110:V110)),IF($J110=0,$O110,$J110)*$I110)))</f>
        <v>0</v>
      </c>
      <c r="X110" s="1367">
        <f>IF($R110-SUM($T110:W110)=0,0,IF(OR($R110&lt;=0,$R110&lt;=SUM($T110:W110)),0,IF((IF($J110=0,$O110,$J110)*$I110)&gt;=($R110-SUM($T110:W110)),($R110-SUM($T110:W110)),IF($J110=0,$O110,$J110)*$I110)))</f>
        <v>0</v>
      </c>
      <c r="Y110" s="1367">
        <f>IF($R110-SUM($T110:X110)=0,0,IF(OR($R110&lt;=0,$R110&lt;=SUM($T110:X110)),0,IF((IF($J110=0,$O110,$J110)*$I110)&gt;=($R110-SUM($T110:X110)),($R110-SUM($T110:X110)),IF($J110=0,$O110,$J110)*$I110)))</f>
        <v>0</v>
      </c>
      <c r="Z110" s="1367">
        <f>IF($R110-SUM($T110:Y110)=0,0,IF(OR($R110&lt;=0,$R110&lt;=SUM($T110:Y110)),0,IF((IF($J110=0,$O110,$J110)*$I110)&gt;=($R110-SUM($T110:Y110)),($R110-SUM($T110:Y110)),IF($J110=0,$O110,$J110)*$I110)))</f>
        <v>0</v>
      </c>
      <c r="AA110" s="1367">
        <f>IF($R110-SUM($T110:Z110)=0,0,IF(OR($R110&lt;=0,$R110&lt;=SUM($T110:Z110)),0,IF((IF($J110=0,$O110,$J110)*$I110)&gt;=($R110-SUM($T110:Z110)),($R110-SUM($T110:Z110)),IF($J110=0,$O110,$J110)*$I110)))</f>
        <v>0</v>
      </c>
      <c r="AB110" s="1367">
        <f>IF($R110-SUM($T110:AA110)=0,0,IF(OR($R110&lt;=0,$R110&lt;=SUM($T110:AA110)),0,IF((IF($J110=0,$O110,$J110)*$I110)&gt;=($R110-SUM($T110:AA110)),($R110-SUM($T110:AA110)),IF($J110=0,$O110,$J110)*$I110)))</f>
        <v>0</v>
      </c>
      <c r="AC110" s="1367">
        <f>IF($R110-SUM($T110:AB110)=0,0,IF(OR($R110&lt;=0,$R110&lt;=SUM($T110:AB110)),0,IF((IF($J110=0,$O110,$J110)*$I110)&gt;=($R110-SUM($T110:AB110)),($R110-SUM($T110:AB110)),IF($J110=0,$O110,$J110)*$I110)))</f>
        <v>0</v>
      </c>
      <c r="AD110" s="1367">
        <f>IF($R110-SUM($T110:AC110)=0,0,IF(OR($R110&lt;=0,$R110&lt;=SUM($T110:AC110)),0,IF((IF($J110=0,$O110,$J110)*$I110)&gt;=($R110-SUM($T110:AC110)),($R110-SUM($T110:AC110)),IF($J110=0,$O110,$J110)*$I110)))</f>
        <v>0</v>
      </c>
      <c r="AF110" s="1319" t="b">
        <f t="shared" si="37"/>
        <v>1</v>
      </c>
      <c r="AG110" s="1319" t="str">
        <f t="shared" si="38"/>
        <v>Checked</v>
      </c>
      <c r="AH110" s="1318" t="str">
        <f t="shared" si="39"/>
        <v>Checked</v>
      </c>
    </row>
    <row r="111" spans="2:34" outlineLevel="1" x14ac:dyDescent="0.3">
      <c r="B111" s="1356" t="s">
        <v>2252</v>
      </c>
      <c r="C111" s="1356" t="s">
        <v>1971</v>
      </c>
      <c r="D111" s="1322" t="s">
        <v>2251</v>
      </c>
      <c r="E111" s="1357">
        <v>10</v>
      </c>
      <c r="F111" s="1333">
        <f t="shared" si="30"/>
        <v>1</v>
      </c>
      <c r="G111" s="1358">
        <f t="shared" si="31"/>
        <v>0</v>
      </c>
      <c r="H111" s="1359">
        <f t="shared" si="32"/>
        <v>0</v>
      </c>
      <c r="I111" s="1360">
        <f t="shared" si="33"/>
        <v>0.1</v>
      </c>
      <c r="J111" s="1361">
        <v>31500000</v>
      </c>
      <c r="K111" s="1362">
        <v>28698567</v>
      </c>
      <c r="L111" s="1356">
        <v>0</v>
      </c>
      <c r="M111" s="1356">
        <v>0</v>
      </c>
      <c r="N111" s="1361">
        <f t="shared" si="34"/>
        <v>2801433</v>
      </c>
      <c r="O111" s="1363"/>
      <c r="P111" s="1356">
        <v>0</v>
      </c>
      <c r="Q111" s="1364">
        <v>725571</v>
      </c>
      <c r="R111" s="1365">
        <f t="shared" si="35"/>
        <v>2075862</v>
      </c>
      <c r="S111" s="1364"/>
      <c r="T111" s="1366">
        <f t="shared" si="36"/>
        <v>0</v>
      </c>
      <c r="U111" s="1367">
        <f>IF($R111-SUM($T111:T111)=0,0,IF(OR($R111&lt;=0,$R111&lt;=SUM($T111:T111)),0,IF((IF($J111=0,$O111,$J111)*$I111)&gt;=($R111-SUM($T111:T111)),($R111-SUM($T111:T111)),IF($J111=0,$O111,$J111)*$I111)))</f>
        <v>2075862</v>
      </c>
      <c r="V111" s="1367">
        <f>IF($R111-SUM($T111:U111)=0,0,IF(OR($R111&lt;=0,$R111&lt;=SUM($T111:U111)),0,IF((IF($J111=0,$O111,$J111)*$I111)&gt;=($R111-SUM($T111:U111)),($R111-SUM($T111:U111)),IF($J111=0,$O111,$J111)*$I111)))</f>
        <v>0</v>
      </c>
      <c r="W111" s="1367">
        <f>IF($R111-SUM($T111:V111)=0,0,IF(OR($R111&lt;=0,$R111&lt;=SUM($T111:V111)),0,IF((IF($J111=0,$O111,$J111)*$I111)&gt;=($R111-SUM($T111:V111)),($R111-SUM($T111:V111)),IF($J111=0,$O111,$J111)*$I111)))</f>
        <v>0</v>
      </c>
      <c r="X111" s="1367">
        <f>IF($R111-SUM($T111:W111)=0,0,IF(OR($R111&lt;=0,$R111&lt;=SUM($T111:W111)),0,IF((IF($J111=0,$O111,$J111)*$I111)&gt;=($R111-SUM($T111:W111)),($R111-SUM($T111:W111)),IF($J111=0,$O111,$J111)*$I111)))</f>
        <v>0</v>
      </c>
      <c r="Y111" s="1367">
        <f>IF($R111-SUM($T111:X111)=0,0,IF(OR($R111&lt;=0,$R111&lt;=SUM($T111:X111)),0,IF((IF($J111=0,$O111,$J111)*$I111)&gt;=($R111-SUM($T111:X111)),($R111-SUM($T111:X111)),IF($J111=0,$O111,$J111)*$I111)))</f>
        <v>0</v>
      </c>
      <c r="Z111" s="1367">
        <f>IF($R111-SUM($T111:Y111)=0,0,IF(OR($R111&lt;=0,$R111&lt;=SUM($T111:Y111)),0,IF((IF($J111=0,$O111,$J111)*$I111)&gt;=($R111-SUM($T111:Y111)),($R111-SUM($T111:Y111)),IF($J111=0,$O111,$J111)*$I111)))</f>
        <v>0</v>
      </c>
      <c r="AA111" s="1367">
        <f>IF($R111-SUM($T111:Z111)=0,0,IF(OR($R111&lt;=0,$R111&lt;=SUM($T111:Z111)),0,IF((IF($J111=0,$O111,$J111)*$I111)&gt;=($R111-SUM($T111:Z111)),($R111-SUM($T111:Z111)),IF($J111=0,$O111,$J111)*$I111)))</f>
        <v>0</v>
      </c>
      <c r="AB111" s="1367">
        <f>IF($R111-SUM($T111:AA111)=0,0,IF(OR($R111&lt;=0,$R111&lt;=SUM($T111:AA111)),0,IF((IF($J111=0,$O111,$J111)*$I111)&gt;=($R111-SUM($T111:AA111)),($R111-SUM($T111:AA111)),IF($J111=0,$O111,$J111)*$I111)))</f>
        <v>0</v>
      </c>
      <c r="AC111" s="1367">
        <f>IF($R111-SUM($T111:AB111)=0,0,IF(OR($R111&lt;=0,$R111&lt;=SUM($T111:AB111)),0,IF((IF($J111=0,$O111,$J111)*$I111)&gt;=($R111-SUM($T111:AB111)),($R111-SUM($T111:AB111)),IF($J111=0,$O111,$J111)*$I111)))</f>
        <v>0</v>
      </c>
      <c r="AD111" s="1367">
        <f>IF($R111-SUM($T111:AC111)=0,0,IF(OR($R111&lt;=0,$R111&lt;=SUM($T111:AC111)),0,IF((IF($J111=0,$O111,$J111)*$I111)&gt;=($R111-SUM($T111:AC111)),($R111-SUM($T111:AC111)),IF($J111=0,$O111,$J111)*$I111)))</f>
        <v>0</v>
      </c>
      <c r="AF111" s="1319" t="b">
        <f t="shared" si="37"/>
        <v>1</v>
      </c>
      <c r="AG111" s="1319" t="str">
        <f t="shared" si="38"/>
        <v>Checked</v>
      </c>
      <c r="AH111" s="1318" t="str">
        <f t="shared" si="39"/>
        <v>Checked</v>
      </c>
    </row>
    <row r="112" spans="2:34" outlineLevel="1" x14ac:dyDescent="0.3">
      <c r="B112" s="1356" t="s">
        <v>2253</v>
      </c>
      <c r="C112" s="1356" t="s">
        <v>1971</v>
      </c>
      <c r="D112" s="1322" t="s">
        <v>2251</v>
      </c>
      <c r="E112" s="1357">
        <v>10</v>
      </c>
      <c r="F112" s="1333">
        <f t="shared" si="30"/>
        <v>1</v>
      </c>
      <c r="G112" s="1358">
        <f t="shared" si="31"/>
        <v>0</v>
      </c>
      <c r="H112" s="1359">
        <f t="shared" si="32"/>
        <v>0</v>
      </c>
      <c r="I112" s="1360">
        <f t="shared" si="33"/>
        <v>0.1</v>
      </c>
      <c r="J112" s="1361">
        <v>16500000</v>
      </c>
      <c r="K112" s="1362">
        <v>15032581</v>
      </c>
      <c r="L112" s="1356">
        <v>0</v>
      </c>
      <c r="M112" s="1356">
        <v>0</v>
      </c>
      <c r="N112" s="1361">
        <f t="shared" si="34"/>
        <v>1467419</v>
      </c>
      <c r="O112" s="1363"/>
      <c r="P112" s="1356">
        <v>0</v>
      </c>
      <c r="Q112" s="1364">
        <v>380061</v>
      </c>
      <c r="R112" s="1365">
        <f t="shared" si="35"/>
        <v>1087358</v>
      </c>
      <c r="S112" s="1364"/>
      <c r="T112" s="1366">
        <f t="shared" si="36"/>
        <v>0</v>
      </c>
      <c r="U112" s="1367">
        <f>IF($R112-SUM($T112:T112)=0,0,IF(OR($R112&lt;=0,$R112&lt;=SUM($T112:T112)),0,IF((IF($J112=0,$O112,$J112)*$I112)&gt;=($R112-SUM($T112:T112)),($R112-SUM($T112:T112)),IF($J112=0,$O112,$J112)*$I112)))</f>
        <v>1087358</v>
      </c>
      <c r="V112" s="1367">
        <f>IF($R112-SUM($T112:U112)=0,0,IF(OR($R112&lt;=0,$R112&lt;=SUM($T112:U112)),0,IF((IF($J112=0,$O112,$J112)*$I112)&gt;=($R112-SUM($T112:U112)),($R112-SUM($T112:U112)),IF($J112=0,$O112,$J112)*$I112)))</f>
        <v>0</v>
      </c>
      <c r="W112" s="1367">
        <f>IF($R112-SUM($T112:V112)=0,0,IF(OR($R112&lt;=0,$R112&lt;=SUM($T112:V112)),0,IF((IF($J112=0,$O112,$J112)*$I112)&gt;=($R112-SUM($T112:V112)),($R112-SUM($T112:V112)),IF($J112=0,$O112,$J112)*$I112)))</f>
        <v>0</v>
      </c>
      <c r="X112" s="1367">
        <f>IF($R112-SUM($T112:W112)=0,0,IF(OR($R112&lt;=0,$R112&lt;=SUM($T112:W112)),0,IF((IF($J112=0,$O112,$J112)*$I112)&gt;=($R112-SUM($T112:W112)),($R112-SUM($T112:W112)),IF($J112=0,$O112,$J112)*$I112)))</f>
        <v>0</v>
      </c>
      <c r="Y112" s="1367">
        <f>IF($R112-SUM($T112:X112)=0,0,IF(OR($R112&lt;=0,$R112&lt;=SUM($T112:X112)),0,IF((IF($J112=0,$O112,$J112)*$I112)&gt;=($R112-SUM($T112:X112)),($R112-SUM($T112:X112)),IF($J112=0,$O112,$J112)*$I112)))</f>
        <v>0</v>
      </c>
      <c r="Z112" s="1367">
        <f>IF($R112-SUM($T112:Y112)=0,0,IF(OR($R112&lt;=0,$R112&lt;=SUM($T112:Y112)),0,IF((IF($J112=0,$O112,$J112)*$I112)&gt;=($R112-SUM($T112:Y112)),($R112-SUM($T112:Y112)),IF($J112=0,$O112,$J112)*$I112)))</f>
        <v>0</v>
      </c>
      <c r="AA112" s="1367">
        <f>IF($R112-SUM($T112:Z112)=0,0,IF(OR($R112&lt;=0,$R112&lt;=SUM($T112:Z112)),0,IF((IF($J112=0,$O112,$J112)*$I112)&gt;=($R112-SUM($T112:Z112)),($R112-SUM($T112:Z112)),IF($J112=0,$O112,$J112)*$I112)))</f>
        <v>0</v>
      </c>
      <c r="AB112" s="1367">
        <f>IF($R112-SUM($T112:AA112)=0,0,IF(OR($R112&lt;=0,$R112&lt;=SUM($T112:AA112)),0,IF((IF($J112=0,$O112,$J112)*$I112)&gt;=($R112-SUM($T112:AA112)),($R112-SUM($T112:AA112)),IF($J112=0,$O112,$J112)*$I112)))</f>
        <v>0</v>
      </c>
      <c r="AC112" s="1367">
        <f>IF($R112-SUM($T112:AB112)=0,0,IF(OR($R112&lt;=0,$R112&lt;=SUM($T112:AB112)),0,IF((IF($J112=0,$O112,$J112)*$I112)&gt;=($R112-SUM($T112:AB112)),($R112-SUM($T112:AB112)),IF($J112=0,$O112,$J112)*$I112)))</f>
        <v>0</v>
      </c>
      <c r="AD112" s="1367">
        <f>IF($R112-SUM($T112:AC112)=0,0,IF(OR($R112&lt;=0,$R112&lt;=SUM($T112:AC112)),0,IF((IF($J112=0,$O112,$J112)*$I112)&gt;=($R112-SUM($T112:AC112)),($R112-SUM($T112:AC112)),IF($J112=0,$O112,$J112)*$I112)))</f>
        <v>0</v>
      </c>
      <c r="AF112" s="1319" t="b">
        <f t="shared" si="37"/>
        <v>1</v>
      </c>
      <c r="AG112" s="1319" t="str">
        <f t="shared" si="38"/>
        <v>Checked</v>
      </c>
      <c r="AH112" s="1318" t="str">
        <f t="shared" si="39"/>
        <v>Checked</v>
      </c>
    </row>
    <row r="113" spans="2:34" outlineLevel="1" x14ac:dyDescent="0.3">
      <c r="B113" s="1356" t="s">
        <v>2253</v>
      </c>
      <c r="C113" s="1356" t="s">
        <v>1971</v>
      </c>
      <c r="D113" s="1322" t="s">
        <v>2251</v>
      </c>
      <c r="E113" s="1357">
        <v>10</v>
      </c>
      <c r="F113" s="1333">
        <f t="shared" si="30"/>
        <v>1</v>
      </c>
      <c r="G113" s="1358">
        <f t="shared" si="31"/>
        <v>0</v>
      </c>
      <c r="H113" s="1359">
        <f t="shared" si="32"/>
        <v>0</v>
      </c>
      <c r="I113" s="1360">
        <f t="shared" si="33"/>
        <v>0.1</v>
      </c>
      <c r="J113" s="1361">
        <v>16500000</v>
      </c>
      <c r="K113" s="1362">
        <v>15032581</v>
      </c>
      <c r="L113" s="1356">
        <v>0</v>
      </c>
      <c r="M113" s="1356">
        <v>0</v>
      </c>
      <c r="N113" s="1361">
        <f t="shared" si="34"/>
        <v>1467419</v>
      </c>
      <c r="O113" s="1363"/>
      <c r="P113" s="1356">
        <v>0</v>
      </c>
      <c r="Q113" s="1364">
        <v>380061</v>
      </c>
      <c r="R113" s="1365">
        <f t="shared" si="35"/>
        <v>1087358</v>
      </c>
      <c r="S113" s="1364"/>
      <c r="T113" s="1366">
        <f t="shared" si="36"/>
        <v>0</v>
      </c>
      <c r="U113" s="1367">
        <f>IF($R113-SUM($T113:T113)=0,0,IF(OR($R113&lt;=0,$R113&lt;=SUM($T113:T113)),0,IF((IF($J113=0,$O113,$J113)*$I113)&gt;=($R113-SUM($T113:T113)),($R113-SUM($T113:T113)),IF($J113=0,$O113,$J113)*$I113)))</f>
        <v>1087358</v>
      </c>
      <c r="V113" s="1367">
        <f>IF($R113-SUM($T113:U113)=0,0,IF(OR($R113&lt;=0,$R113&lt;=SUM($T113:U113)),0,IF((IF($J113=0,$O113,$J113)*$I113)&gt;=($R113-SUM($T113:U113)),($R113-SUM($T113:U113)),IF($J113=0,$O113,$J113)*$I113)))</f>
        <v>0</v>
      </c>
      <c r="W113" s="1367">
        <f>IF($R113-SUM($T113:V113)=0,0,IF(OR($R113&lt;=0,$R113&lt;=SUM($T113:V113)),0,IF((IF($J113=0,$O113,$J113)*$I113)&gt;=($R113-SUM($T113:V113)),($R113-SUM($T113:V113)),IF($J113=0,$O113,$J113)*$I113)))</f>
        <v>0</v>
      </c>
      <c r="X113" s="1367">
        <f>IF($R113-SUM($T113:W113)=0,0,IF(OR($R113&lt;=0,$R113&lt;=SUM($T113:W113)),0,IF((IF($J113=0,$O113,$J113)*$I113)&gt;=($R113-SUM($T113:W113)),($R113-SUM($T113:W113)),IF($J113=0,$O113,$J113)*$I113)))</f>
        <v>0</v>
      </c>
      <c r="Y113" s="1367">
        <f>IF($R113-SUM($T113:X113)=0,0,IF(OR($R113&lt;=0,$R113&lt;=SUM($T113:X113)),0,IF((IF($J113=0,$O113,$J113)*$I113)&gt;=($R113-SUM($T113:X113)),($R113-SUM($T113:X113)),IF($J113=0,$O113,$J113)*$I113)))</f>
        <v>0</v>
      </c>
      <c r="Z113" s="1367">
        <f>IF($R113-SUM($T113:Y113)=0,0,IF(OR($R113&lt;=0,$R113&lt;=SUM($T113:Y113)),0,IF((IF($J113=0,$O113,$J113)*$I113)&gt;=($R113-SUM($T113:Y113)),($R113-SUM($T113:Y113)),IF($J113=0,$O113,$J113)*$I113)))</f>
        <v>0</v>
      </c>
      <c r="AA113" s="1367">
        <f>IF($R113-SUM($T113:Z113)=0,0,IF(OR($R113&lt;=0,$R113&lt;=SUM($T113:Z113)),0,IF((IF($J113=0,$O113,$J113)*$I113)&gt;=($R113-SUM($T113:Z113)),($R113-SUM($T113:Z113)),IF($J113=0,$O113,$J113)*$I113)))</f>
        <v>0</v>
      </c>
      <c r="AB113" s="1367">
        <f>IF($R113-SUM($T113:AA113)=0,0,IF(OR($R113&lt;=0,$R113&lt;=SUM($T113:AA113)),0,IF((IF($J113=0,$O113,$J113)*$I113)&gt;=($R113-SUM($T113:AA113)),($R113-SUM($T113:AA113)),IF($J113=0,$O113,$J113)*$I113)))</f>
        <v>0</v>
      </c>
      <c r="AC113" s="1367">
        <f>IF($R113-SUM($T113:AB113)=0,0,IF(OR($R113&lt;=0,$R113&lt;=SUM($T113:AB113)),0,IF((IF($J113=0,$O113,$J113)*$I113)&gt;=($R113-SUM($T113:AB113)),($R113-SUM($T113:AB113)),IF($J113=0,$O113,$J113)*$I113)))</f>
        <v>0</v>
      </c>
      <c r="AD113" s="1367">
        <f>IF($R113-SUM($T113:AC113)=0,0,IF(OR($R113&lt;=0,$R113&lt;=SUM($T113:AC113)),0,IF((IF($J113=0,$O113,$J113)*$I113)&gt;=($R113-SUM($T113:AC113)),($R113-SUM($T113:AC113)),IF($J113=0,$O113,$J113)*$I113)))</f>
        <v>0</v>
      </c>
      <c r="AF113" s="1319" t="b">
        <f t="shared" si="37"/>
        <v>1</v>
      </c>
      <c r="AG113" s="1319" t="str">
        <f t="shared" si="38"/>
        <v>Checked</v>
      </c>
      <c r="AH113" s="1318" t="str">
        <f t="shared" si="39"/>
        <v>Checked</v>
      </c>
    </row>
    <row r="114" spans="2:34" outlineLevel="1" x14ac:dyDescent="0.3">
      <c r="B114" s="1356" t="s">
        <v>2254</v>
      </c>
      <c r="C114" s="1356" t="s">
        <v>1971</v>
      </c>
      <c r="D114" s="1322" t="s">
        <v>2251</v>
      </c>
      <c r="E114" s="1357">
        <v>10</v>
      </c>
      <c r="F114" s="1333">
        <f t="shared" si="30"/>
        <v>1</v>
      </c>
      <c r="G114" s="1358">
        <f t="shared" si="31"/>
        <v>0</v>
      </c>
      <c r="H114" s="1359">
        <f t="shared" si="32"/>
        <v>0</v>
      </c>
      <c r="I114" s="1360">
        <f t="shared" si="33"/>
        <v>0.1</v>
      </c>
      <c r="J114" s="1361">
        <v>16500000</v>
      </c>
      <c r="K114" s="1362">
        <v>15032581</v>
      </c>
      <c r="L114" s="1356">
        <v>0</v>
      </c>
      <c r="M114" s="1356">
        <v>0</v>
      </c>
      <c r="N114" s="1361">
        <f t="shared" si="34"/>
        <v>1467419</v>
      </c>
      <c r="O114" s="1363"/>
      <c r="P114" s="1356">
        <v>0</v>
      </c>
      <c r="Q114" s="1364">
        <v>380061</v>
      </c>
      <c r="R114" s="1365">
        <f t="shared" si="35"/>
        <v>1087358</v>
      </c>
      <c r="S114" s="1364"/>
      <c r="T114" s="1366">
        <f t="shared" si="36"/>
        <v>0</v>
      </c>
      <c r="U114" s="1367">
        <f>IF($R114-SUM($T114:T114)=0,0,IF(OR($R114&lt;=0,$R114&lt;=SUM($T114:T114)),0,IF((IF($J114=0,$O114,$J114)*$I114)&gt;=($R114-SUM($T114:T114)),($R114-SUM($T114:T114)),IF($J114=0,$O114,$J114)*$I114)))</f>
        <v>1087358</v>
      </c>
      <c r="V114" s="1367">
        <f>IF($R114-SUM($T114:U114)=0,0,IF(OR($R114&lt;=0,$R114&lt;=SUM($T114:U114)),0,IF((IF($J114=0,$O114,$J114)*$I114)&gt;=($R114-SUM($T114:U114)),($R114-SUM($T114:U114)),IF($J114=0,$O114,$J114)*$I114)))</f>
        <v>0</v>
      </c>
      <c r="W114" s="1367">
        <f>IF($R114-SUM($T114:V114)=0,0,IF(OR($R114&lt;=0,$R114&lt;=SUM($T114:V114)),0,IF((IF($J114=0,$O114,$J114)*$I114)&gt;=($R114-SUM($T114:V114)),($R114-SUM($T114:V114)),IF($J114=0,$O114,$J114)*$I114)))</f>
        <v>0</v>
      </c>
      <c r="X114" s="1367">
        <f>IF($R114-SUM($T114:W114)=0,0,IF(OR($R114&lt;=0,$R114&lt;=SUM($T114:W114)),0,IF((IF($J114=0,$O114,$J114)*$I114)&gt;=($R114-SUM($T114:W114)),($R114-SUM($T114:W114)),IF($J114=0,$O114,$J114)*$I114)))</f>
        <v>0</v>
      </c>
      <c r="Y114" s="1367">
        <f>IF($R114-SUM($T114:X114)=0,0,IF(OR($R114&lt;=0,$R114&lt;=SUM($T114:X114)),0,IF((IF($J114=0,$O114,$J114)*$I114)&gt;=($R114-SUM($T114:X114)),($R114-SUM($T114:X114)),IF($J114=0,$O114,$J114)*$I114)))</f>
        <v>0</v>
      </c>
      <c r="Z114" s="1367">
        <f>IF($R114-SUM($T114:Y114)=0,0,IF(OR($R114&lt;=0,$R114&lt;=SUM($T114:Y114)),0,IF((IF($J114=0,$O114,$J114)*$I114)&gt;=($R114-SUM($T114:Y114)),($R114-SUM($T114:Y114)),IF($J114=0,$O114,$J114)*$I114)))</f>
        <v>0</v>
      </c>
      <c r="AA114" s="1367">
        <f>IF($R114-SUM($T114:Z114)=0,0,IF(OR($R114&lt;=0,$R114&lt;=SUM($T114:Z114)),0,IF((IF($J114=0,$O114,$J114)*$I114)&gt;=($R114-SUM($T114:Z114)),($R114-SUM($T114:Z114)),IF($J114=0,$O114,$J114)*$I114)))</f>
        <v>0</v>
      </c>
      <c r="AB114" s="1367">
        <f>IF($R114-SUM($T114:AA114)=0,0,IF(OR($R114&lt;=0,$R114&lt;=SUM($T114:AA114)),0,IF((IF($J114=0,$O114,$J114)*$I114)&gt;=($R114-SUM($T114:AA114)),($R114-SUM($T114:AA114)),IF($J114=0,$O114,$J114)*$I114)))</f>
        <v>0</v>
      </c>
      <c r="AC114" s="1367">
        <f>IF($R114-SUM($T114:AB114)=0,0,IF(OR($R114&lt;=0,$R114&lt;=SUM($T114:AB114)),0,IF((IF($J114=0,$O114,$J114)*$I114)&gt;=($R114-SUM($T114:AB114)),($R114-SUM($T114:AB114)),IF($J114=0,$O114,$J114)*$I114)))</f>
        <v>0</v>
      </c>
      <c r="AD114" s="1367">
        <f>IF($R114-SUM($T114:AC114)=0,0,IF(OR($R114&lt;=0,$R114&lt;=SUM($T114:AC114)),0,IF((IF($J114=0,$O114,$J114)*$I114)&gt;=($R114-SUM($T114:AC114)),($R114-SUM($T114:AC114)),IF($J114=0,$O114,$J114)*$I114)))</f>
        <v>0</v>
      </c>
      <c r="AF114" s="1319" t="b">
        <f t="shared" si="37"/>
        <v>1</v>
      </c>
      <c r="AG114" s="1319" t="str">
        <f t="shared" si="38"/>
        <v>Checked</v>
      </c>
      <c r="AH114" s="1318" t="str">
        <f t="shared" si="39"/>
        <v>Checked</v>
      </c>
    </row>
    <row r="115" spans="2:34" outlineLevel="1" x14ac:dyDescent="0.3">
      <c r="B115" s="1356" t="s">
        <v>2255</v>
      </c>
      <c r="C115" s="1356" t="s">
        <v>1971</v>
      </c>
      <c r="D115" s="1322" t="s">
        <v>2251</v>
      </c>
      <c r="E115" s="1357">
        <v>10</v>
      </c>
      <c r="F115" s="1333">
        <f t="shared" si="30"/>
        <v>1</v>
      </c>
      <c r="G115" s="1358">
        <f t="shared" si="31"/>
        <v>0</v>
      </c>
      <c r="H115" s="1359">
        <f t="shared" si="32"/>
        <v>0</v>
      </c>
      <c r="I115" s="1360">
        <f t="shared" si="33"/>
        <v>0.1</v>
      </c>
      <c r="J115" s="1361">
        <v>25939170</v>
      </c>
      <c r="K115" s="1362">
        <v>23632285</v>
      </c>
      <c r="L115" s="1356">
        <v>0</v>
      </c>
      <c r="M115" s="1356">
        <v>0</v>
      </c>
      <c r="N115" s="1361">
        <f t="shared" si="34"/>
        <v>2306885</v>
      </c>
      <c r="O115" s="1363"/>
      <c r="P115" s="1356">
        <v>0</v>
      </c>
      <c r="Q115" s="1364">
        <v>597483</v>
      </c>
      <c r="R115" s="1365">
        <f t="shared" si="35"/>
        <v>1709402</v>
      </c>
      <c r="S115" s="1364"/>
      <c r="T115" s="1366">
        <f t="shared" si="36"/>
        <v>0</v>
      </c>
      <c r="U115" s="1367">
        <f>IF($R115-SUM($T115:T115)=0,0,IF(OR($R115&lt;=0,$R115&lt;=SUM($T115:T115)),0,IF((IF($J115=0,$O115,$J115)*$I115)&gt;=($R115-SUM($T115:T115)),($R115-SUM($T115:T115)),IF($J115=0,$O115,$J115)*$I115)))</f>
        <v>1709402</v>
      </c>
      <c r="V115" s="1367">
        <f>IF($R115-SUM($T115:U115)=0,0,IF(OR($R115&lt;=0,$R115&lt;=SUM($T115:U115)),0,IF((IF($J115=0,$O115,$J115)*$I115)&gt;=($R115-SUM($T115:U115)),($R115-SUM($T115:U115)),IF($J115=0,$O115,$J115)*$I115)))</f>
        <v>0</v>
      </c>
      <c r="W115" s="1367">
        <f>IF($R115-SUM($T115:V115)=0,0,IF(OR($R115&lt;=0,$R115&lt;=SUM($T115:V115)),0,IF((IF($J115=0,$O115,$J115)*$I115)&gt;=($R115-SUM($T115:V115)),($R115-SUM($T115:V115)),IF($J115=0,$O115,$J115)*$I115)))</f>
        <v>0</v>
      </c>
      <c r="X115" s="1367">
        <f>IF($R115-SUM($T115:W115)=0,0,IF(OR($R115&lt;=0,$R115&lt;=SUM($T115:W115)),0,IF((IF($J115=0,$O115,$J115)*$I115)&gt;=($R115-SUM($T115:W115)),($R115-SUM($T115:W115)),IF($J115=0,$O115,$J115)*$I115)))</f>
        <v>0</v>
      </c>
      <c r="Y115" s="1367">
        <f>IF($R115-SUM($T115:X115)=0,0,IF(OR($R115&lt;=0,$R115&lt;=SUM($T115:X115)),0,IF((IF($J115=0,$O115,$J115)*$I115)&gt;=($R115-SUM($T115:X115)),($R115-SUM($T115:X115)),IF($J115=0,$O115,$J115)*$I115)))</f>
        <v>0</v>
      </c>
      <c r="Z115" s="1367">
        <f>IF($R115-SUM($T115:Y115)=0,0,IF(OR($R115&lt;=0,$R115&lt;=SUM($T115:Y115)),0,IF((IF($J115=0,$O115,$J115)*$I115)&gt;=($R115-SUM($T115:Y115)),($R115-SUM($T115:Y115)),IF($J115=0,$O115,$J115)*$I115)))</f>
        <v>0</v>
      </c>
      <c r="AA115" s="1367">
        <f>IF($R115-SUM($T115:Z115)=0,0,IF(OR($R115&lt;=0,$R115&lt;=SUM($T115:Z115)),0,IF((IF($J115=0,$O115,$J115)*$I115)&gt;=($R115-SUM($T115:Z115)),($R115-SUM($T115:Z115)),IF($J115=0,$O115,$J115)*$I115)))</f>
        <v>0</v>
      </c>
      <c r="AB115" s="1367">
        <f>IF($R115-SUM($T115:AA115)=0,0,IF(OR($R115&lt;=0,$R115&lt;=SUM($T115:AA115)),0,IF((IF($J115=0,$O115,$J115)*$I115)&gt;=($R115-SUM($T115:AA115)),($R115-SUM($T115:AA115)),IF($J115=0,$O115,$J115)*$I115)))</f>
        <v>0</v>
      </c>
      <c r="AC115" s="1367">
        <f>IF($R115-SUM($T115:AB115)=0,0,IF(OR($R115&lt;=0,$R115&lt;=SUM($T115:AB115)),0,IF((IF($J115=0,$O115,$J115)*$I115)&gt;=($R115-SUM($T115:AB115)),($R115-SUM($T115:AB115)),IF($J115=0,$O115,$J115)*$I115)))</f>
        <v>0</v>
      </c>
      <c r="AD115" s="1367">
        <f>IF($R115-SUM($T115:AC115)=0,0,IF(OR($R115&lt;=0,$R115&lt;=SUM($T115:AC115)),0,IF((IF($J115=0,$O115,$J115)*$I115)&gt;=($R115-SUM($T115:AC115)),($R115-SUM($T115:AC115)),IF($J115=0,$O115,$J115)*$I115)))</f>
        <v>0</v>
      </c>
      <c r="AF115" s="1319" t="b">
        <f t="shared" si="37"/>
        <v>1</v>
      </c>
      <c r="AG115" s="1319" t="str">
        <f t="shared" si="38"/>
        <v>Checked</v>
      </c>
      <c r="AH115" s="1318" t="str">
        <f t="shared" si="39"/>
        <v>Checked</v>
      </c>
    </row>
    <row r="116" spans="2:34" outlineLevel="1" x14ac:dyDescent="0.3">
      <c r="B116" s="1356" t="s">
        <v>2179</v>
      </c>
      <c r="C116" s="1356" t="s">
        <v>1971</v>
      </c>
      <c r="D116" s="1322" t="s">
        <v>2256</v>
      </c>
      <c r="E116" s="1357">
        <v>10</v>
      </c>
      <c r="F116" s="1333">
        <f t="shared" si="30"/>
        <v>2</v>
      </c>
      <c r="G116" s="1358">
        <f t="shared" si="31"/>
        <v>0</v>
      </c>
      <c r="H116" s="1359">
        <f t="shared" si="32"/>
        <v>0</v>
      </c>
      <c r="I116" s="1360">
        <f t="shared" si="33"/>
        <v>0.1</v>
      </c>
      <c r="J116" s="1361">
        <v>100591605</v>
      </c>
      <c r="K116" s="1362">
        <v>90915565</v>
      </c>
      <c r="L116" s="1356">
        <v>0</v>
      </c>
      <c r="M116" s="1356">
        <v>0</v>
      </c>
      <c r="N116" s="1361">
        <f t="shared" si="34"/>
        <v>9676040</v>
      </c>
      <c r="O116" s="1363"/>
      <c r="P116" s="1356">
        <v>0</v>
      </c>
      <c r="Q116" s="1364">
        <v>2506094</v>
      </c>
      <c r="R116" s="1365">
        <f t="shared" si="35"/>
        <v>7169946</v>
      </c>
      <c r="S116" s="1364"/>
      <c r="T116" s="1366">
        <f t="shared" si="36"/>
        <v>0</v>
      </c>
      <c r="U116" s="1367">
        <f>IF($R116-SUM($T116:T116)=0,0,IF(OR($R116&lt;=0,$R116&lt;=SUM($T116:T116)),0,IF((IF($J116=0,$O116,$J116)*$I116)&gt;=($R116-SUM($T116:T116)),($R116-SUM($T116:T116)),IF($J116=0,$O116,$J116)*$I116)))</f>
        <v>7169946</v>
      </c>
      <c r="V116" s="1367">
        <f>IF($R116-SUM($T116:U116)=0,0,IF(OR($R116&lt;=0,$R116&lt;=SUM($T116:U116)),0,IF((IF($J116=0,$O116,$J116)*$I116)&gt;=($R116-SUM($T116:U116)),($R116-SUM($T116:U116)),IF($J116=0,$O116,$J116)*$I116)))</f>
        <v>0</v>
      </c>
      <c r="W116" s="1367">
        <f>IF($R116-SUM($T116:V116)=0,0,IF(OR($R116&lt;=0,$R116&lt;=SUM($T116:V116)),0,IF((IF($J116=0,$O116,$J116)*$I116)&gt;=($R116-SUM($T116:V116)),($R116-SUM($T116:V116)),IF($J116=0,$O116,$J116)*$I116)))</f>
        <v>0</v>
      </c>
      <c r="X116" s="1367">
        <f>IF($R116-SUM($T116:W116)=0,0,IF(OR($R116&lt;=0,$R116&lt;=SUM($T116:W116)),0,IF((IF($J116=0,$O116,$J116)*$I116)&gt;=($R116-SUM($T116:W116)),($R116-SUM($T116:W116)),IF($J116=0,$O116,$J116)*$I116)))</f>
        <v>0</v>
      </c>
      <c r="Y116" s="1367">
        <f>IF($R116-SUM($T116:X116)=0,0,IF(OR($R116&lt;=0,$R116&lt;=SUM($T116:X116)),0,IF((IF($J116=0,$O116,$J116)*$I116)&gt;=($R116-SUM($T116:X116)),($R116-SUM($T116:X116)),IF($J116=0,$O116,$J116)*$I116)))</f>
        <v>0</v>
      </c>
      <c r="Z116" s="1367">
        <f>IF($R116-SUM($T116:Y116)=0,0,IF(OR($R116&lt;=0,$R116&lt;=SUM($T116:Y116)),0,IF((IF($J116=0,$O116,$J116)*$I116)&gt;=($R116-SUM($T116:Y116)),($R116-SUM($T116:Y116)),IF($J116=0,$O116,$J116)*$I116)))</f>
        <v>0</v>
      </c>
      <c r="AA116" s="1367">
        <f>IF($R116-SUM($T116:Z116)=0,0,IF(OR($R116&lt;=0,$R116&lt;=SUM($T116:Z116)),0,IF((IF($J116=0,$O116,$J116)*$I116)&gt;=($R116-SUM($T116:Z116)),($R116-SUM($T116:Z116)),IF($J116=0,$O116,$J116)*$I116)))</f>
        <v>0</v>
      </c>
      <c r="AB116" s="1367">
        <f>IF($R116-SUM($T116:AA116)=0,0,IF(OR($R116&lt;=0,$R116&lt;=SUM($T116:AA116)),0,IF((IF($J116=0,$O116,$J116)*$I116)&gt;=($R116-SUM($T116:AA116)),($R116-SUM($T116:AA116)),IF($J116=0,$O116,$J116)*$I116)))</f>
        <v>0</v>
      </c>
      <c r="AC116" s="1367">
        <f>IF($R116-SUM($T116:AB116)=0,0,IF(OR($R116&lt;=0,$R116&lt;=SUM($T116:AB116)),0,IF((IF($J116=0,$O116,$J116)*$I116)&gt;=($R116-SUM($T116:AB116)),($R116-SUM($T116:AB116)),IF($J116=0,$O116,$J116)*$I116)))</f>
        <v>0</v>
      </c>
      <c r="AD116" s="1367">
        <f>IF($R116-SUM($T116:AC116)=0,0,IF(OR($R116&lt;=0,$R116&lt;=SUM($T116:AC116)),0,IF((IF($J116=0,$O116,$J116)*$I116)&gt;=($R116-SUM($T116:AC116)),($R116-SUM($T116:AC116)),IF($J116=0,$O116,$J116)*$I116)))</f>
        <v>0</v>
      </c>
      <c r="AF116" s="1319" t="b">
        <f t="shared" si="37"/>
        <v>1</v>
      </c>
      <c r="AG116" s="1319" t="str">
        <f t="shared" si="38"/>
        <v>Checked</v>
      </c>
      <c r="AH116" s="1318" t="str">
        <f t="shared" si="39"/>
        <v>Checked</v>
      </c>
    </row>
    <row r="117" spans="2:34" outlineLevel="1" x14ac:dyDescent="0.3">
      <c r="B117" s="1356" t="s">
        <v>2177</v>
      </c>
      <c r="C117" s="1356" t="s">
        <v>1971</v>
      </c>
      <c r="D117" s="1322" t="s">
        <v>2256</v>
      </c>
      <c r="E117" s="1357">
        <v>10</v>
      </c>
      <c r="F117" s="1333">
        <f t="shared" si="30"/>
        <v>2</v>
      </c>
      <c r="G117" s="1358">
        <f t="shared" si="31"/>
        <v>0</v>
      </c>
      <c r="H117" s="1359">
        <f t="shared" si="32"/>
        <v>0</v>
      </c>
      <c r="I117" s="1360">
        <f t="shared" si="33"/>
        <v>0.1</v>
      </c>
      <c r="J117" s="1361">
        <v>150000000</v>
      </c>
      <c r="K117" s="1362">
        <v>135571302</v>
      </c>
      <c r="L117" s="1356">
        <v>0</v>
      </c>
      <c r="M117" s="1356">
        <v>0</v>
      </c>
      <c r="N117" s="1361">
        <f t="shared" si="34"/>
        <v>14428698</v>
      </c>
      <c r="O117" s="1363"/>
      <c r="P117" s="1356">
        <v>0</v>
      </c>
      <c r="Q117" s="1364">
        <v>3737032</v>
      </c>
      <c r="R117" s="1365">
        <f t="shared" si="35"/>
        <v>10691666</v>
      </c>
      <c r="S117" s="1364"/>
      <c r="T117" s="1366">
        <f t="shared" si="36"/>
        <v>0</v>
      </c>
      <c r="U117" s="1367">
        <f>IF($R117-SUM($T117:T117)=0,0,IF(OR($R117&lt;=0,$R117&lt;=SUM($T117:T117)),0,IF((IF($J117=0,$O117,$J117)*$I117)&gt;=($R117-SUM($T117:T117)),($R117-SUM($T117:T117)),IF($J117=0,$O117,$J117)*$I117)))</f>
        <v>10691666</v>
      </c>
      <c r="V117" s="1367">
        <f>IF($R117-SUM($T117:U117)=0,0,IF(OR($R117&lt;=0,$R117&lt;=SUM($T117:U117)),0,IF((IF($J117=0,$O117,$J117)*$I117)&gt;=($R117-SUM($T117:U117)),($R117-SUM($T117:U117)),IF($J117=0,$O117,$J117)*$I117)))</f>
        <v>0</v>
      </c>
      <c r="W117" s="1367">
        <f>IF($R117-SUM($T117:V117)=0,0,IF(OR($R117&lt;=0,$R117&lt;=SUM($T117:V117)),0,IF((IF($J117=0,$O117,$J117)*$I117)&gt;=($R117-SUM($T117:V117)),($R117-SUM($T117:V117)),IF($J117=0,$O117,$J117)*$I117)))</f>
        <v>0</v>
      </c>
      <c r="X117" s="1367">
        <f>IF($R117-SUM($T117:W117)=0,0,IF(OR($R117&lt;=0,$R117&lt;=SUM($T117:W117)),0,IF((IF($J117=0,$O117,$J117)*$I117)&gt;=($R117-SUM($T117:W117)),($R117-SUM($T117:W117)),IF($J117=0,$O117,$J117)*$I117)))</f>
        <v>0</v>
      </c>
      <c r="Y117" s="1367">
        <f>IF($R117-SUM($T117:X117)=0,0,IF(OR($R117&lt;=0,$R117&lt;=SUM($T117:X117)),0,IF((IF($J117=0,$O117,$J117)*$I117)&gt;=($R117-SUM($T117:X117)),($R117-SUM($T117:X117)),IF($J117=0,$O117,$J117)*$I117)))</f>
        <v>0</v>
      </c>
      <c r="Z117" s="1367">
        <f>IF($R117-SUM($T117:Y117)=0,0,IF(OR($R117&lt;=0,$R117&lt;=SUM($T117:Y117)),0,IF((IF($J117=0,$O117,$J117)*$I117)&gt;=($R117-SUM($T117:Y117)),($R117-SUM($T117:Y117)),IF($J117=0,$O117,$J117)*$I117)))</f>
        <v>0</v>
      </c>
      <c r="AA117" s="1367">
        <f>IF($R117-SUM($T117:Z117)=0,0,IF(OR($R117&lt;=0,$R117&lt;=SUM($T117:Z117)),0,IF((IF($J117=0,$O117,$J117)*$I117)&gt;=($R117-SUM($T117:Z117)),($R117-SUM($T117:Z117)),IF($J117=0,$O117,$J117)*$I117)))</f>
        <v>0</v>
      </c>
      <c r="AB117" s="1367">
        <f>IF($R117-SUM($T117:AA117)=0,0,IF(OR($R117&lt;=0,$R117&lt;=SUM($T117:AA117)),0,IF((IF($J117=0,$O117,$J117)*$I117)&gt;=($R117-SUM($T117:AA117)),($R117-SUM($T117:AA117)),IF($J117=0,$O117,$J117)*$I117)))</f>
        <v>0</v>
      </c>
      <c r="AC117" s="1367">
        <f>IF($R117-SUM($T117:AB117)=0,0,IF(OR($R117&lt;=0,$R117&lt;=SUM($T117:AB117)),0,IF((IF($J117=0,$O117,$J117)*$I117)&gt;=($R117-SUM($T117:AB117)),($R117-SUM($T117:AB117)),IF($J117=0,$O117,$J117)*$I117)))</f>
        <v>0</v>
      </c>
      <c r="AD117" s="1367">
        <f>IF($R117-SUM($T117:AC117)=0,0,IF(OR($R117&lt;=0,$R117&lt;=SUM($T117:AC117)),0,IF((IF($J117=0,$O117,$J117)*$I117)&gt;=($R117-SUM($T117:AC117)),($R117-SUM($T117:AC117)),IF($J117=0,$O117,$J117)*$I117)))</f>
        <v>0</v>
      </c>
      <c r="AF117" s="1319" t="b">
        <f t="shared" si="37"/>
        <v>1</v>
      </c>
      <c r="AG117" s="1319" t="str">
        <f t="shared" si="38"/>
        <v>Checked</v>
      </c>
      <c r="AH117" s="1318" t="str">
        <f t="shared" si="39"/>
        <v>Checked</v>
      </c>
    </row>
    <row r="118" spans="2:34" outlineLevel="1" x14ac:dyDescent="0.3">
      <c r="B118" s="1356" t="s">
        <v>2257</v>
      </c>
      <c r="C118" s="1356" t="s">
        <v>1971</v>
      </c>
      <c r="D118" s="1322" t="s">
        <v>2258</v>
      </c>
      <c r="E118" s="1357">
        <v>10</v>
      </c>
      <c r="F118" s="1333">
        <f t="shared" si="30"/>
        <v>2</v>
      </c>
      <c r="G118" s="1358">
        <f t="shared" si="31"/>
        <v>0</v>
      </c>
      <c r="H118" s="1359">
        <f t="shared" si="32"/>
        <v>0</v>
      </c>
      <c r="I118" s="1360">
        <f t="shared" si="33"/>
        <v>0.1</v>
      </c>
      <c r="J118" s="1361">
        <v>2100000</v>
      </c>
      <c r="K118" s="1362">
        <v>1886877</v>
      </c>
      <c r="L118" s="1356">
        <v>0</v>
      </c>
      <c r="M118" s="1356">
        <v>0</v>
      </c>
      <c r="N118" s="1361">
        <f t="shared" si="34"/>
        <v>213123</v>
      </c>
      <c r="O118" s="1363"/>
      <c r="P118" s="1356">
        <v>0</v>
      </c>
      <c r="Q118" s="1364">
        <v>55198</v>
      </c>
      <c r="R118" s="1365">
        <f t="shared" si="35"/>
        <v>157925</v>
      </c>
      <c r="S118" s="1364"/>
      <c r="T118" s="1366">
        <f t="shared" si="36"/>
        <v>0</v>
      </c>
      <c r="U118" s="1367">
        <f>IF($R118-SUM($T118:T118)=0,0,IF(OR($R118&lt;=0,$R118&lt;=SUM($T118:T118)),0,IF((IF($J118=0,$O118,$J118)*$I118)&gt;=($R118-SUM($T118:T118)),($R118-SUM($T118:T118)),IF($J118=0,$O118,$J118)*$I118)))</f>
        <v>157925</v>
      </c>
      <c r="V118" s="1367">
        <f>IF($R118-SUM($T118:U118)=0,0,IF(OR($R118&lt;=0,$R118&lt;=SUM($T118:U118)),0,IF((IF($J118=0,$O118,$J118)*$I118)&gt;=($R118-SUM($T118:U118)),($R118-SUM($T118:U118)),IF($J118=0,$O118,$J118)*$I118)))</f>
        <v>0</v>
      </c>
      <c r="W118" s="1367">
        <f>IF($R118-SUM($T118:V118)=0,0,IF(OR($R118&lt;=0,$R118&lt;=SUM($T118:V118)),0,IF((IF($J118=0,$O118,$J118)*$I118)&gt;=($R118-SUM($T118:V118)),($R118-SUM($T118:V118)),IF($J118=0,$O118,$J118)*$I118)))</f>
        <v>0</v>
      </c>
      <c r="X118" s="1367">
        <f>IF($R118-SUM($T118:W118)=0,0,IF(OR($R118&lt;=0,$R118&lt;=SUM($T118:W118)),0,IF((IF($J118=0,$O118,$J118)*$I118)&gt;=($R118-SUM($T118:W118)),($R118-SUM($T118:W118)),IF($J118=0,$O118,$J118)*$I118)))</f>
        <v>0</v>
      </c>
      <c r="Y118" s="1367">
        <f>IF($R118-SUM($T118:X118)=0,0,IF(OR($R118&lt;=0,$R118&lt;=SUM($T118:X118)),0,IF((IF($J118=0,$O118,$J118)*$I118)&gt;=($R118-SUM($T118:X118)),($R118-SUM($T118:X118)),IF($J118=0,$O118,$J118)*$I118)))</f>
        <v>0</v>
      </c>
      <c r="Z118" s="1367">
        <f>IF($R118-SUM($T118:Y118)=0,0,IF(OR($R118&lt;=0,$R118&lt;=SUM($T118:Y118)),0,IF((IF($J118=0,$O118,$J118)*$I118)&gt;=($R118-SUM($T118:Y118)),($R118-SUM($T118:Y118)),IF($J118=0,$O118,$J118)*$I118)))</f>
        <v>0</v>
      </c>
      <c r="AA118" s="1367">
        <f>IF($R118-SUM($T118:Z118)=0,0,IF(OR($R118&lt;=0,$R118&lt;=SUM($T118:Z118)),0,IF((IF($J118=0,$O118,$J118)*$I118)&gt;=($R118-SUM($T118:Z118)),($R118-SUM($T118:Z118)),IF($J118=0,$O118,$J118)*$I118)))</f>
        <v>0</v>
      </c>
      <c r="AB118" s="1367">
        <f>IF($R118-SUM($T118:AA118)=0,0,IF(OR($R118&lt;=0,$R118&lt;=SUM($T118:AA118)),0,IF((IF($J118=0,$O118,$J118)*$I118)&gt;=($R118-SUM($T118:AA118)),($R118-SUM($T118:AA118)),IF($J118=0,$O118,$J118)*$I118)))</f>
        <v>0</v>
      </c>
      <c r="AC118" s="1367">
        <f>IF($R118-SUM($T118:AB118)=0,0,IF(OR($R118&lt;=0,$R118&lt;=SUM($T118:AB118)),0,IF((IF($J118=0,$O118,$J118)*$I118)&gt;=($R118-SUM($T118:AB118)),($R118-SUM($T118:AB118)),IF($J118=0,$O118,$J118)*$I118)))</f>
        <v>0</v>
      </c>
      <c r="AD118" s="1367">
        <f>IF($R118-SUM($T118:AC118)=0,0,IF(OR($R118&lt;=0,$R118&lt;=SUM($T118:AC118)),0,IF((IF($J118=0,$O118,$J118)*$I118)&gt;=($R118-SUM($T118:AC118)),($R118-SUM($T118:AC118)),IF($J118=0,$O118,$J118)*$I118)))</f>
        <v>0</v>
      </c>
      <c r="AF118" s="1319" t="b">
        <f t="shared" si="37"/>
        <v>1</v>
      </c>
      <c r="AG118" s="1319" t="str">
        <f t="shared" si="38"/>
        <v>Checked</v>
      </c>
      <c r="AH118" s="1318" t="str">
        <f t="shared" si="39"/>
        <v>Checked</v>
      </c>
    </row>
    <row r="119" spans="2:34" outlineLevel="1" x14ac:dyDescent="0.3">
      <c r="B119" s="1356" t="s">
        <v>2257</v>
      </c>
      <c r="C119" s="1356" t="s">
        <v>1971</v>
      </c>
      <c r="D119" s="1322" t="s">
        <v>2258</v>
      </c>
      <c r="E119" s="1357">
        <v>10</v>
      </c>
      <c r="F119" s="1333">
        <f t="shared" si="30"/>
        <v>2</v>
      </c>
      <c r="G119" s="1358">
        <f t="shared" si="31"/>
        <v>0</v>
      </c>
      <c r="H119" s="1359">
        <f t="shared" si="32"/>
        <v>0</v>
      </c>
      <c r="I119" s="1360">
        <f t="shared" si="33"/>
        <v>0.1</v>
      </c>
      <c r="J119" s="1361">
        <v>2100000</v>
      </c>
      <c r="K119" s="1362">
        <v>1886877</v>
      </c>
      <c r="L119" s="1356">
        <v>0</v>
      </c>
      <c r="M119" s="1356">
        <v>0</v>
      </c>
      <c r="N119" s="1361">
        <f t="shared" si="34"/>
        <v>213123</v>
      </c>
      <c r="O119" s="1363"/>
      <c r="P119" s="1356">
        <v>0</v>
      </c>
      <c r="Q119" s="1364">
        <v>55198</v>
      </c>
      <c r="R119" s="1365">
        <f t="shared" si="35"/>
        <v>157925</v>
      </c>
      <c r="S119" s="1364"/>
      <c r="T119" s="1366">
        <f t="shared" si="36"/>
        <v>0</v>
      </c>
      <c r="U119" s="1367">
        <f>IF($R119-SUM($T119:T119)=0,0,IF(OR($R119&lt;=0,$R119&lt;=SUM($T119:T119)),0,IF((IF($J119=0,$O119,$J119)*$I119)&gt;=($R119-SUM($T119:T119)),($R119-SUM($T119:T119)),IF($J119=0,$O119,$J119)*$I119)))</f>
        <v>157925</v>
      </c>
      <c r="V119" s="1367">
        <f>IF($R119-SUM($T119:U119)=0,0,IF(OR($R119&lt;=0,$R119&lt;=SUM($T119:U119)),0,IF((IF($J119=0,$O119,$J119)*$I119)&gt;=($R119-SUM($T119:U119)),($R119-SUM($T119:U119)),IF($J119=0,$O119,$J119)*$I119)))</f>
        <v>0</v>
      </c>
      <c r="W119" s="1367">
        <f>IF($R119-SUM($T119:V119)=0,0,IF(OR($R119&lt;=0,$R119&lt;=SUM($T119:V119)),0,IF((IF($J119=0,$O119,$J119)*$I119)&gt;=($R119-SUM($T119:V119)),($R119-SUM($T119:V119)),IF($J119=0,$O119,$J119)*$I119)))</f>
        <v>0</v>
      </c>
      <c r="X119" s="1367">
        <f>IF($R119-SUM($T119:W119)=0,0,IF(OR($R119&lt;=0,$R119&lt;=SUM($T119:W119)),0,IF((IF($J119=0,$O119,$J119)*$I119)&gt;=($R119-SUM($T119:W119)),($R119-SUM($T119:W119)),IF($J119=0,$O119,$J119)*$I119)))</f>
        <v>0</v>
      </c>
      <c r="Y119" s="1367">
        <f>IF($R119-SUM($T119:X119)=0,0,IF(OR($R119&lt;=0,$R119&lt;=SUM($T119:X119)),0,IF((IF($J119=0,$O119,$J119)*$I119)&gt;=($R119-SUM($T119:X119)),($R119-SUM($T119:X119)),IF($J119=0,$O119,$J119)*$I119)))</f>
        <v>0</v>
      </c>
      <c r="Z119" s="1367">
        <f>IF($R119-SUM($T119:Y119)=0,0,IF(OR($R119&lt;=0,$R119&lt;=SUM($T119:Y119)),0,IF((IF($J119=0,$O119,$J119)*$I119)&gt;=($R119-SUM($T119:Y119)),($R119-SUM($T119:Y119)),IF($J119=0,$O119,$J119)*$I119)))</f>
        <v>0</v>
      </c>
      <c r="AA119" s="1367">
        <f>IF($R119-SUM($T119:Z119)=0,0,IF(OR($R119&lt;=0,$R119&lt;=SUM($T119:Z119)),0,IF((IF($J119=0,$O119,$J119)*$I119)&gt;=($R119-SUM($T119:Z119)),($R119-SUM($T119:Z119)),IF($J119=0,$O119,$J119)*$I119)))</f>
        <v>0</v>
      </c>
      <c r="AB119" s="1367">
        <f>IF($R119-SUM($T119:AA119)=0,0,IF(OR($R119&lt;=0,$R119&lt;=SUM($T119:AA119)),0,IF((IF($J119=0,$O119,$J119)*$I119)&gt;=($R119-SUM($T119:AA119)),($R119-SUM($T119:AA119)),IF($J119=0,$O119,$J119)*$I119)))</f>
        <v>0</v>
      </c>
      <c r="AC119" s="1367">
        <f>IF($R119-SUM($T119:AB119)=0,0,IF(OR($R119&lt;=0,$R119&lt;=SUM($T119:AB119)),0,IF((IF($J119=0,$O119,$J119)*$I119)&gt;=($R119-SUM($T119:AB119)),($R119-SUM($T119:AB119)),IF($J119=0,$O119,$J119)*$I119)))</f>
        <v>0</v>
      </c>
      <c r="AD119" s="1367">
        <f>IF($R119-SUM($T119:AC119)=0,0,IF(OR($R119&lt;=0,$R119&lt;=SUM($T119:AC119)),0,IF((IF($J119=0,$O119,$J119)*$I119)&gt;=($R119-SUM($T119:AC119)),($R119-SUM($T119:AC119)),IF($J119=0,$O119,$J119)*$I119)))</f>
        <v>0</v>
      </c>
      <c r="AF119" s="1319" t="b">
        <f t="shared" si="37"/>
        <v>1</v>
      </c>
      <c r="AG119" s="1319" t="str">
        <f t="shared" si="38"/>
        <v>Checked</v>
      </c>
      <c r="AH119" s="1318" t="str">
        <f t="shared" si="39"/>
        <v>Checked</v>
      </c>
    </row>
    <row r="120" spans="2:34" outlineLevel="1" x14ac:dyDescent="0.3">
      <c r="B120" s="1356" t="s">
        <v>2259</v>
      </c>
      <c r="C120" s="1356" t="s">
        <v>1971</v>
      </c>
      <c r="D120" s="1322" t="s">
        <v>2258</v>
      </c>
      <c r="E120" s="1357">
        <v>10</v>
      </c>
      <c r="F120" s="1333">
        <f t="shared" ref="F120:F183" si="40">MAX((E120-(YEAR($E$4)-YEAR(D120))),0)</f>
        <v>2</v>
      </c>
      <c r="G120" s="1358">
        <f t="shared" ref="G120:G183" si="41">IF(YEAR(D120)=YEAR($E$4),IF($E$2=$E$4,0,IF(D120&lt;$E$4,$E$2-$E$4,$E$2-D120)),$E$2-$E$4)</f>
        <v>0</v>
      </c>
      <c r="H120" s="1359">
        <f t="shared" ref="H120:H183" si="42">G120/365</f>
        <v>0</v>
      </c>
      <c r="I120" s="1360">
        <f t="shared" ref="I120:I183" si="43">1/E120</f>
        <v>0.1</v>
      </c>
      <c r="J120" s="1361">
        <v>3150000</v>
      </c>
      <c r="K120" s="1362">
        <v>2830316</v>
      </c>
      <c r="L120" s="1356">
        <v>0</v>
      </c>
      <c r="M120" s="1356">
        <v>0</v>
      </c>
      <c r="N120" s="1361">
        <f t="shared" ref="N120:N183" si="44">J120-K120-L120+M120</f>
        <v>319684</v>
      </c>
      <c r="O120" s="1363"/>
      <c r="P120" s="1356">
        <v>0</v>
      </c>
      <c r="Q120" s="1364">
        <v>82798</v>
      </c>
      <c r="R120" s="1365">
        <f t="shared" ref="R120:R183" si="45">MAX(IF(J120=0,(O120-P120-Q120),(N120-P120-Q120)),0)</f>
        <v>236886</v>
      </c>
      <c r="S120" s="1364"/>
      <c r="T120" s="1366">
        <f t="shared" ref="T120:T183" si="46">IF(R120=0,0,MIN(IF(J120=0,O120*I120*H120,J120*I120*H120),R120))</f>
        <v>0</v>
      </c>
      <c r="U120" s="1367">
        <f>IF($R120-SUM($T120:T120)=0,0,IF(OR($R120&lt;=0,$R120&lt;=SUM($T120:T120)),0,IF((IF($J120=0,$O120,$J120)*$I120)&gt;=($R120-SUM($T120:T120)),($R120-SUM($T120:T120)),IF($J120=0,$O120,$J120)*$I120)))</f>
        <v>236886</v>
      </c>
      <c r="V120" s="1367">
        <f>IF($R120-SUM($T120:U120)=0,0,IF(OR($R120&lt;=0,$R120&lt;=SUM($T120:U120)),0,IF((IF($J120=0,$O120,$J120)*$I120)&gt;=($R120-SUM($T120:U120)),($R120-SUM($T120:U120)),IF($J120=0,$O120,$J120)*$I120)))</f>
        <v>0</v>
      </c>
      <c r="W120" s="1367">
        <f>IF($R120-SUM($T120:V120)=0,0,IF(OR($R120&lt;=0,$R120&lt;=SUM($T120:V120)),0,IF((IF($J120=0,$O120,$J120)*$I120)&gt;=($R120-SUM($T120:V120)),($R120-SUM($T120:V120)),IF($J120=0,$O120,$J120)*$I120)))</f>
        <v>0</v>
      </c>
      <c r="X120" s="1367">
        <f>IF($R120-SUM($T120:W120)=0,0,IF(OR($R120&lt;=0,$R120&lt;=SUM($T120:W120)),0,IF((IF($J120=0,$O120,$J120)*$I120)&gt;=($R120-SUM($T120:W120)),($R120-SUM($T120:W120)),IF($J120=0,$O120,$J120)*$I120)))</f>
        <v>0</v>
      </c>
      <c r="Y120" s="1367">
        <f>IF($R120-SUM($T120:X120)=0,0,IF(OR($R120&lt;=0,$R120&lt;=SUM($T120:X120)),0,IF((IF($J120=0,$O120,$J120)*$I120)&gt;=($R120-SUM($T120:X120)),($R120-SUM($T120:X120)),IF($J120=0,$O120,$J120)*$I120)))</f>
        <v>0</v>
      </c>
      <c r="Z120" s="1367">
        <f>IF($R120-SUM($T120:Y120)=0,0,IF(OR($R120&lt;=0,$R120&lt;=SUM($T120:Y120)),0,IF((IF($J120=0,$O120,$J120)*$I120)&gt;=($R120-SUM($T120:Y120)),($R120-SUM($T120:Y120)),IF($J120=0,$O120,$J120)*$I120)))</f>
        <v>0</v>
      </c>
      <c r="AA120" s="1367">
        <f>IF($R120-SUM($T120:Z120)=0,0,IF(OR($R120&lt;=0,$R120&lt;=SUM($T120:Z120)),0,IF((IF($J120=0,$O120,$J120)*$I120)&gt;=($R120-SUM($T120:Z120)),($R120-SUM($T120:Z120)),IF($J120=0,$O120,$J120)*$I120)))</f>
        <v>0</v>
      </c>
      <c r="AB120" s="1367">
        <f>IF($R120-SUM($T120:AA120)=0,0,IF(OR($R120&lt;=0,$R120&lt;=SUM($T120:AA120)),0,IF((IF($J120=0,$O120,$J120)*$I120)&gt;=($R120-SUM($T120:AA120)),($R120-SUM($T120:AA120)),IF($J120=0,$O120,$J120)*$I120)))</f>
        <v>0</v>
      </c>
      <c r="AC120" s="1367">
        <f>IF($R120-SUM($T120:AB120)=0,0,IF(OR($R120&lt;=0,$R120&lt;=SUM($T120:AB120)),0,IF((IF($J120=0,$O120,$J120)*$I120)&gt;=($R120-SUM($T120:AB120)),($R120-SUM($T120:AB120)),IF($J120=0,$O120,$J120)*$I120)))</f>
        <v>0</v>
      </c>
      <c r="AD120" s="1367">
        <f>IF($R120-SUM($T120:AC120)=0,0,IF(OR($R120&lt;=0,$R120&lt;=SUM($T120:AC120)),0,IF((IF($J120=0,$O120,$J120)*$I120)&gt;=($R120-SUM($T120:AC120)),($R120-SUM($T120:AC120)),IF($J120=0,$O120,$J120)*$I120)))</f>
        <v>0</v>
      </c>
      <c r="AF120" s="1319" t="b">
        <f t="shared" ref="AF120:AF183" si="47">IF(AD120=0,SUM(T120:AD120)=R120,"Check")</f>
        <v>1</v>
      </c>
      <c r="AG120" s="1319" t="str">
        <f t="shared" ref="AG120:AG183" si="48">IF(R120=0,SUM(T120:AD120)=0,"Checked")</f>
        <v>Checked</v>
      </c>
      <c r="AH120" s="1318" t="str">
        <f t="shared" ref="AH120:AH183" si="49">IF((R120-T120)&gt;U120,IF(J120=0,O120,J120)*I120=U120,"Checked")</f>
        <v>Checked</v>
      </c>
    </row>
    <row r="121" spans="2:34" outlineLevel="1" x14ac:dyDescent="0.3">
      <c r="B121" s="1356" t="s">
        <v>2259</v>
      </c>
      <c r="C121" s="1356" t="s">
        <v>1971</v>
      </c>
      <c r="D121" s="1322" t="s">
        <v>2258</v>
      </c>
      <c r="E121" s="1357">
        <v>10</v>
      </c>
      <c r="F121" s="1333">
        <f t="shared" si="40"/>
        <v>2</v>
      </c>
      <c r="G121" s="1358">
        <f t="shared" si="41"/>
        <v>0</v>
      </c>
      <c r="H121" s="1359">
        <f t="shared" si="42"/>
        <v>0</v>
      </c>
      <c r="I121" s="1360">
        <f t="shared" si="43"/>
        <v>0.1</v>
      </c>
      <c r="J121" s="1361">
        <v>3150000</v>
      </c>
      <c r="K121" s="1362">
        <v>2830316</v>
      </c>
      <c r="L121" s="1356">
        <v>0</v>
      </c>
      <c r="M121" s="1356">
        <v>0</v>
      </c>
      <c r="N121" s="1361">
        <f t="shared" si="44"/>
        <v>319684</v>
      </c>
      <c r="O121" s="1363"/>
      <c r="P121" s="1356">
        <v>0</v>
      </c>
      <c r="Q121" s="1364">
        <v>82798</v>
      </c>
      <c r="R121" s="1365">
        <f t="shared" si="45"/>
        <v>236886</v>
      </c>
      <c r="S121" s="1364"/>
      <c r="T121" s="1366">
        <f t="shared" si="46"/>
        <v>0</v>
      </c>
      <c r="U121" s="1367">
        <f>IF($R121-SUM($T121:T121)=0,0,IF(OR($R121&lt;=0,$R121&lt;=SUM($T121:T121)),0,IF((IF($J121=0,$O121,$J121)*$I121)&gt;=($R121-SUM($T121:T121)),($R121-SUM($T121:T121)),IF($J121=0,$O121,$J121)*$I121)))</f>
        <v>236886</v>
      </c>
      <c r="V121" s="1367">
        <f>IF($R121-SUM($T121:U121)=0,0,IF(OR($R121&lt;=0,$R121&lt;=SUM($T121:U121)),0,IF((IF($J121=0,$O121,$J121)*$I121)&gt;=($R121-SUM($T121:U121)),($R121-SUM($T121:U121)),IF($J121=0,$O121,$J121)*$I121)))</f>
        <v>0</v>
      </c>
      <c r="W121" s="1367">
        <f>IF($R121-SUM($T121:V121)=0,0,IF(OR($R121&lt;=0,$R121&lt;=SUM($T121:V121)),0,IF((IF($J121=0,$O121,$J121)*$I121)&gt;=($R121-SUM($T121:V121)),($R121-SUM($T121:V121)),IF($J121=0,$O121,$J121)*$I121)))</f>
        <v>0</v>
      </c>
      <c r="X121" s="1367">
        <f>IF($R121-SUM($T121:W121)=0,0,IF(OR($R121&lt;=0,$R121&lt;=SUM($T121:W121)),0,IF((IF($J121=0,$O121,$J121)*$I121)&gt;=($R121-SUM($T121:W121)),($R121-SUM($T121:W121)),IF($J121=0,$O121,$J121)*$I121)))</f>
        <v>0</v>
      </c>
      <c r="Y121" s="1367">
        <f>IF($R121-SUM($T121:X121)=0,0,IF(OR($R121&lt;=0,$R121&lt;=SUM($T121:X121)),0,IF((IF($J121=0,$O121,$J121)*$I121)&gt;=($R121-SUM($T121:X121)),($R121-SUM($T121:X121)),IF($J121=0,$O121,$J121)*$I121)))</f>
        <v>0</v>
      </c>
      <c r="Z121" s="1367">
        <f>IF($R121-SUM($T121:Y121)=0,0,IF(OR($R121&lt;=0,$R121&lt;=SUM($T121:Y121)),0,IF((IF($J121=0,$O121,$J121)*$I121)&gt;=($R121-SUM($T121:Y121)),($R121-SUM($T121:Y121)),IF($J121=0,$O121,$J121)*$I121)))</f>
        <v>0</v>
      </c>
      <c r="AA121" s="1367">
        <f>IF($R121-SUM($T121:Z121)=0,0,IF(OR($R121&lt;=0,$R121&lt;=SUM($T121:Z121)),0,IF((IF($J121=0,$O121,$J121)*$I121)&gt;=($R121-SUM($T121:Z121)),($R121-SUM($T121:Z121)),IF($J121=0,$O121,$J121)*$I121)))</f>
        <v>0</v>
      </c>
      <c r="AB121" s="1367">
        <f>IF($R121-SUM($T121:AA121)=0,0,IF(OR($R121&lt;=0,$R121&lt;=SUM($T121:AA121)),0,IF((IF($J121=0,$O121,$J121)*$I121)&gt;=($R121-SUM($T121:AA121)),($R121-SUM($T121:AA121)),IF($J121=0,$O121,$J121)*$I121)))</f>
        <v>0</v>
      </c>
      <c r="AC121" s="1367">
        <f>IF($R121-SUM($T121:AB121)=0,0,IF(OR($R121&lt;=0,$R121&lt;=SUM($T121:AB121)),0,IF((IF($J121=0,$O121,$J121)*$I121)&gt;=($R121-SUM($T121:AB121)),($R121-SUM($T121:AB121)),IF($J121=0,$O121,$J121)*$I121)))</f>
        <v>0</v>
      </c>
      <c r="AD121" s="1367">
        <f>IF($R121-SUM($T121:AC121)=0,0,IF(OR($R121&lt;=0,$R121&lt;=SUM($T121:AC121)),0,IF((IF($J121=0,$O121,$J121)*$I121)&gt;=($R121-SUM($T121:AC121)),($R121-SUM($T121:AC121)),IF($J121=0,$O121,$J121)*$I121)))</f>
        <v>0</v>
      </c>
      <c r="AF121" s="1319" t="b">
        <f t="shared" si="47"/>
        <v>1</v>
      </c>
      <c r="AG121" s="1319" t="str">
        <f t="shared" si="48"/>
        <v>Checked</v>
      </c>
      <c r="AH121" s="1318" t="str">
        <f t="shared" si="49"/>
        <v>Checked</v>
      </c>
    </row>
    <row r="122" spans="2:34" outlineLevel="1" x14ac:dyDescent="0.3">
      <c r="B122" s="1356" t="s">
        <v>2260</v>
      </c>
      <c r="C122" s="1356" t="s">
        <v>1971</v>
      </c>
      <c r="D122" s="1322" t="s">
        <v>2258</v>
      </c>
      <c r="E122" s="1357">
        <v>10</v>
      </c>
      <c r="F122" s="1333">
        <f t="shared" si="40"/>
        <v>2</v>
      </c>
      <c r="G122" s="1358">
        <f t="shared" si="41"/>
        <v>0</v>
      </c>
      <c r="H122" s="1359">
        <f t="shared" si="42"/>
        <v>0</v>
      </c>
      <c r="I122" s="1360">
        <f t="shared" si="43"/>
        <v>0.1</v>
      </c>
      <c r="J122" s="1361">
        <v>8300000</v>
      </c>
      <c r="K122" s="1362">
        <v>7457660</v>
      </c>
      <c r="L122" s="1356">
        <v>0</v>
      </c>
      <c r="M122" s="1356">
        <v>0</v>
      </c>
      <c r="N122" s="1361">
        <f t="shared" si="44"/>
        <v>842340</v>
      </c>
      <c r="O122" s="1363"/>
      <c r="P122" s="1356">
        <v>0</v>
      </c>
      <c r="Q122" s="1364">
        <v>218166</v>
      </c>
      <c r="R122" s="1365">
        <f t="shared" si="45"/>
        <v>624174</v>
      </c>
      <c r="S122" s="1364"/>
      <c r="T122" s="1366">
        <f t="shared" si="46"/>
        <v>0</v>
      </c>
      <c r="U122" s="1367">
        <f>IF($R122-SUM($T122:T122)=0,0,IF(OR($R122&lt;=0,$R122&lt;=SUM($T122:T122)),0,IF((IF($J122=0,$O122,$J122)*$I122)&gt;=($R122-SUM($T122:T122)),($R122-SUM($T122:T122)),IF($J122=0,$O122,$J122)*$I122)))</f>
        <v>624174</v>
      </c>
      <c r="V122" s="1367">
        <f>IF($R122-SUM($T122:U122)=0,0,IF(OR($R122&lt;=0,$R122&lt;=SUM($T122:U122)),0,IF((IF($J122=0,$O122,$J122)*$I122)&gt;=($R122-SUM($T122:U122)),($R122-SUM($T122:U122)),IF($J122=0,$O122,$J122)*$I122)))</f>
        <v>0</v>
      </c>
      <c r="W122" s="1367">
        <f>IF($R122-SUM($T122:V122)=0,0,IF(OR($R122&lt;=0,$R122&lt;=SUM($T122:V122)),0,IF((IF($J122=0,$O122,$J122)*$I122)&gt;=($R122-SUM($T122:V122)),($R122-SUM($T122:V122)),IF($J122=0,$O122,$J122)*$I122)))</f>
        <v>0</v>
      </c>
      <c r="X122" s="1367">
        <f>IF($R122-SUM($T122:W122)=0,0,IF(OR($R122&lt;=0,$R122&lt;=SUM($T122:W122)),0,IF((IF($J122=0,$O122,$J122)*$I122)&gt;=($R122-SUM($T122:W122)),($R122-SUM($T122:W122)),IF($J122=0,$O122,$J122)*$I122)))</f>
        <v>0</v>
      </c>
      <c r="Y122" s="1367">
        <f>IF($R122-SUM($T122:X122)=0,0,IF(OR($R122&lt;=0,$R122&lt;=SUM($T122:X122)),0,IF((IF($J122=0,$O122,$J122)*$I122)&gt;=($R122-SUM($T122:X122)),($R122-SUM($T122:X122)),IF($J122=0,$O122,$J122)*$I122)))</f>
        <v>0</v>
      </c>
      <c r="Z122" s="1367">
        <f>IF($R122-SUM($T122:Y122)=0,0,IF(OR($R122&lt;=0,$R122&lt;=SUM($T122:Y122)),0,IF((IF($J122=0,$O122,$J122)*$I122)&gt;=($R122-SUM($T122:Y122)),($R122-SUM($T122:Y122)),IF($J122=0,$O122,$J122)*$I122)))</f>
        <v>0</v>
      </c>
      <c r="AA122" s="1367">
        <f>IF($R122-SUM($T122:Z122)=0,0,IF(OR($R122&lt;=0,$R122&lt;=SUM($T122:Z122)),0,IF((IF($J122=0,$O122,$J122)*$I122)&gt;=($R122-SUM($T122:Z122)),($R122-SUM($T122:Z122)),IF($J122=0,$O122,$J122)*$I122)))</f>
        <v>0</v>
      </c>
      <c r="AB122" s="1367">
        <f>IF($R122-SUM($T122:AA122)=0,0,IF(OR($R122&lt;=0,$R122&lt;=SUM($T122:AA122)),0,IF((IF($J122=0,$O122,$J122)*$I122)&gt;=($R122-SUM($T122:AA122)),($R122-SUM($T122:AA122)),IF($J122=0,$O122,$J122)*$I122)))</f>
        <v>0</v>
      </c>
      <c r="AC122" s="1367">
        <f>IF($R122-SUM($T122:AB122)=0,0,IF(OR($R122&lt;=0,$R122&lt;=SUM($T122:AB122)),0,IF((IF($J122=0,$O122,$J122)*$I122)&gt;=($R122-SUM($T122:AB122)),($R122-SUM($T122:AB122)),IF($J122=0,$O122,$J122)*$I122)))</f>
        <v>0</v>
      </c>
      <c r="AD122" s="1367">
        <f>IF($R122-SUM($T122:AC122)=0,0,IF(OR($R122&lt;=0,$R122&lt;=SUM($T122:AC122)),0,IF((IF($J122=0,$O122,$J122)*$I122)&gt;=($R122-SUM($T122:AC122)),($R122-SUM($T122:AC122)),IF($J122=0,$O122,$J122)*$I122)))</f>
        <v>0</v>
      </c>
      <c r="AF122" s="1319" t="b">
        <f t="shared" si="47"/>
        <v>1</v>
      </c>
      <c r="AG122" s="1319" t="str">
        <f t="shared" si="48"/>
        <v>Checked</v>
      </c>
      <c r="AH122" s="1318" t="str">
        <f t="shared" si="49"/>
        <v>Checked</v>
      </c>
    </row>
    <row r="123" spans="2:34" outlineLevel="1" x14ac:dyDescent="0.3">
      <c r="B123" s="1356" t="s">
        <v>2261</v>
      </c>
      <c r="C123" s="1356" t="s">
        <v>1971</v>
      </c>
      <c r="D123" s="1322" t="s">
        <v>2262</v>
      </c>
      <c r="E123" s="1357">
        <v>10</v>
      </c>
      <c r="F123" s="1333">
        <f t="shared" si="40"/>
        <v>2</v>
      </c>
      <c r="G123" s="1358">
        <f t="shared" si="41"/>
        <v>0</v>
      </c>
      <c r="H123" s="1359">
        <f t="shared" si="42"/>
        <v>0</v>
      </c>
      <c r="I123" s="1360">
        <f t="shared" si="43"/>
        <v>0.1</v>
      </c>
      <c r="J123" s="1361">
        <v>32000000</v>
      </c>
      <c r="K123" s="1362">
        <v>28667711</v>
      </c>
      <c r="L123" s="1356">
        <v>0</v>
      </c>
      <c r="M123" s="1356">
        <v>0</v>
      </c>
      <c r="N123" s="1361">
        <f t="shared" si="44"/>
        <v>3332289</v>
      </c>
      <c r="O123" s="1363"/>
      <c r="P123" s="1363">
        <v>0</v>
      </c>
      <c r="Q123" s="1364">
        <v>863062</v>
      </c>
      <c r="R123" s="1365">
        <f t="shared" si="45"/>
        <v>2469227</v>
      </c>
      <c r="S123" s="1364"/>
      <c r="T123" s="1366">
        <f t="shared" si="46"/>
        <v>0</v>
      </c>
      <c r="U123" s="1367">
        <f>IF($R123-SUM($T123:T123)=0,0,IF(OR($R123&lt;=0,$R123&lt;=SUM($T123:T123)),0,IF((IF($J123=0,$O123,$J123)*$I123)&gt;=($R123-SUM($T123:T123)),($R123-SUM($T123:T123)),IF($J123=0,$O123,$J123)*$I123)))</f>
        <v>2469227</v>
      </c>
      <c r="V123" s="1367">
        <f>IF($R123-SUM($T123:U123)=0,0,IF(OR($R123&lt;=0,$R123&lt;=SUM($T123:U123)),0,IF((IF($J123=0,$O123,$J123)*$I123)&gt;=($R123-SUM($T123:U123)),($R123-SUM($T123:U123)),IF($J123=0,$O123,$J123)*$I123)))</f>
        <v>0</v>
      </c>
      <c r="W123" s="1367">
        <f>IF($R123-SUM($T123:V123)=0,0,IF(OR($R123&lt;=0,$R123&lt;=SUM($T123:V123)),0,IF((IF($J123=0,$O123,$J123)*$I123)&gt;=($R123-SUM($T123:V123)),($R123-SUM($T123:V123)),IF($J123=0,$O123,$J123)*$I123)))</f>
        <v>0</v>
      </c>
      <c r="X123" s="1367">
        <f>IF($R123-SUM($T123:W123)=0,0,IF(OR($R123&lt;=0,$R123&lt;=SUM($T123:W123)),0,IF((IF($J123=0,$O123,$J123)*$I123)&gt;=($R123-SUM($T123:W123)),($R123-SUM($T123:W123)),IF($J123=0,$O123,$J123)*$I123)))</f>
        <v>0</v>
      </c>
      <c r="Y123" s="1367">
        <f>IF($R123-SUM($T123:X123)=0,0,IF(OR($R123&lt;=0,$R123&lt;=SUM($T123:X123)),0,IF((IF($J123=0,$O123,$J123)*$I123)&gt;=($R123-SUM($T123:X123)),($R123-SUM($T123:X123)),IF($J123=0,$O123,$J123)*$I123)))</f>
        <v>0</v>
      </c>
      <c r="Z123" s="1367">
        <f>IF($R123-SUM($T123:Y123)=0,0,IF(OR($R123&lt;=0,$R123&lt;=SUM($T123:Y123)),0,IF((IF($J123=0,$O123,$J123)*$I123)&gt;=($R123-SUM($T123:Y123)),($R123-SUM($T123:Y123)),IF($J123=0,$O123,$J123)*$I123)))</f>
        <v>0</v>
      </c>
      <c r="AA123" s="1367">
        <f>IF($R123-SUM($T123:Z123)=0,0,IF(OR($R123&lt;=0,$R123&lt;=SUM($T123:Z123)),0,IF((IF($J123=0,$O123,$J123)*$I123)&gt;=($R123-SUM($T123:Z123)),($R123-SUM($T123:Z123)),IF($J123=0,$O123,$J123)*$I123)))</f>
        <v>0</v>
      </c>
      <c r="AB123" s="1367">
        <f>IF($R123-SUM($T123:AA123)=0,0,IF(OR($R123&lt;=0,$R123&lt;=SUM($T123:AA123)),0,IF((IF($J123=0,$O123,$J123)*$I123)&gt;=($R123-SUM($T123:AA123)),($R123-SUM($T123:AA123)),IF($J123=0,$O123,$J123)*$I123)))</f>
        <v>0</v>
      </c>
      <c r="AC123" s="1367">
        <f>IF($R123-SUM($T123:AB123)=0,0,IF(OR($R123&lt;=0,$R123&lt;=SUM($T123:AB123)),0,IF((IF($J123=0,$O123,$J123)*$I123)&gt;=($R123-SUM($T123:AB123)),($R123-SUM($T123:AB123)),IF($J123=0,$O123,$J123)*$I123)))</f>
        <v>0</v>
      </c>
      <c r="AD123" s="1367">
        <f>IF($R123-SUM($T123:AC123)=0,0,IF(OR($R123&lt;=0,$R123&lt;=SUM($T123:AC123)),0,IF((IF($J123=0,$O123,$J123)*$I123)&gt;=($R123-SUM($T123:AC123)),($R123-SUM($T123:AC123)),IF($J123=0,$O123,$J123)*$I123)))</f>
        <v>0</v>
      </c>
      <c r="AF123" s="1319" t="b">
        <f t="shared" si="47"/>
        <v>1</v>
      </c>
      <c r="AG123" s="1319" t="str">
        <f t="shared" si="48"/>
        <v>Checked</v>
      </c>
      <c r="AH123" s="1318" t="str">
        <f t="shared" si="49"/>
        <v>Checked</v>
      </c>
    </row>
    <row r="124" spans="2:34" outlineLevel="1" x14ac:dyDescent="0.3">
      <c r="B124" s="1356" t="s">
        <v>2227</v>
      </c>
      <c r="C124" s="1356" t="s">
        <v>1971</v>
      </c>
      <c r="D124" s="1322" t="s">
        <v>2262</v>
      </c>
      <c r="E124" s="1357">
        <v>10</v>
      </c>
      <c r="F124" s="1333">
        <f t="shared" si="40"/>
        <v>2</v>
      </c>
      <c r="G124" s="1358">
        <f t="shared" si="41"/>
        <v>0</v>
      </c>
      <c r="H124" s="1359">
        <f t="shared" si="42"/>
        <v>0</v>
      </c>
      <c r="I124" s="1360">
        <f t="shared" si="43"/>
        <v>0.1</v>
      </c>
      <c r="J124" s="1361">
        <v>18000000</v>
      </c>
      <c r="K124" s="1362">
        <v>16125587</v>
      </c>
      <c r="L124" s="1356">
        <v>0</v>
      </c>
      <c r="M124" s="1356">
        <v>0</v>
      </c>
      <c r="N124" s="1361">
        <f t="shared" si="44"/>
        <v>1874413</v>
      </c>
      <c r="O124" s="1363"/>
      <c r="P124" s="1356">
        <v>0</v>
      </c>
      <c r="Q124" s="1364">
        <v>485472</v>
      </c>
      <c r="R124" s="1365">
        <f t="shared" si="45"/>
        <v>1388941</v>
      </c>
      <c r="S124" s="1364"/>
      <c r="T124" s="1366">
        <f t="shared" si="46"/>
        <v>0</v>
      </c>
      <c r="U124" s="1367">
        <f>IF($R124-SUM($T124:T124)=0,0,IF(OR($R124&lt;=0,$R124&lt;=SUM($T124:T124)),0,IF((IF($J124=0,$O124,$J124)*$I124)&gt;=($R124-SUM($T124:T124)),($R124-SUM($T124:T124)),IF($J124=0,$O124,$J124)*$I124)))</f>
        <v>1388941</v>
      </c>
      <c r="V124" s="1367">
        <f>IF($R124-SUM($T124:U124)=0,0,IF(OR($R124&lt;=0,$R124&lt;=SUM($T124:U124)),0,IF((IF($J124=0,$O124,$J124)*$I124)&gt;=($R124-SUM($T124:U124)),($R124-SUM($T124:U124)),IF($J124=0,$O124,$J124)*$I124)))</f>
        <v>0</v>
      </c>
      <c r="W124" s="1367">
        <f>IF($R124-SUM($T124:V124)=0,0,IF(OR($R124&lt;=0,$R124&lt;=SUM($T124:V124)),0,IF((IF($J124=0,$O124,$J124)*$I124)&gt;=($R124-SUM($T124:V124)),($R124-SUM($T124:V124)),IF($J124=0,$O124,$J124)*$I124)))</f>
        <v>0</v>
      </c>
      <c r="X124" s="1367">
        <f>IF($R124-SUM($T124:W124)=0,0,IF(OR($R124&lt;=0,$R124&lt;=SUM($T124:W124)),0,IF((IF($J124=0,$O124,$J124)*$I124)&gt;=($R124-SUM($T124:W124)),($R124-SUM($T124:W124)),IF($J124=0,$O124,$J124)*$I124)))</f>
        <v>0</v>
      </c>
      <c r="Y124" s="1367">
        <f>IF($R124-SUM($T124:X124)=0,0,IF(OR($R124&lt;=0,$R124&lt;=SUM($T124:X124)),0,IF((IF($J124=0,$O124,$J124)*$I124)&gt;=($R124-SUM($T124:X124)),($R124-SUM($T124:X124)),IF($J124=0,$O124,$J124)*$I124)))</f>
        <v>0</v>
      </c>
      <c r="Z124" s="1367">
        <f>IF($R124-SUM($T124:Y124)=0,0,IF(OR($R124&lt;=0,$R124&lt;=SUM($T124:Y124)),0,IF((IF($J124=0,$O124,$J124)*$I124)&gt;=($R124-SUM($T124:Y124)),($R124-SUM($T124:Y124)),IF($J124=0,$O124,$J124)*$I124)))</f>
        <v>0</v>
      </c>
      <c r="AA124" s="1367">
        <f>IF($R124-SUM($T124:Z124)=0,0,IF(OR($R124&lt;=0,$R124&lt;=SUM($T124:Z124)),0,IF((IF($J124=0,$O124,$J124)*$I124)&gt;=($R124-SUM($T124:Z124)),($R124-SUM($T124:Z124)),IF($J124=0,$O124,$J124)*$I124)))</f>
        <v>0</v>
      </c>
      <c r="AB124" s="1367">
        <f>IF($R124-SUM($T124:AA124)=0,0,IF(OR($R124&lt;=0,$R124&lt;=SUM($T124:AA124)),0,IF((IF($J124=0,$O124,$J124)*$I124)&gt;=($R124-SUM($T124:AA124)),($R124-SUM($T124:AA124)),IF($J124=0,$O124,$J124)*$I124)))</f>
        <v>0</v>
      </c>
      <c r="AC124" s="1367">
        <f>IF($R124-SUM($T124:AB124)=0,0,IF(OR($R124&lt;=0,$R124&lt;=SUM($T124:AB124)),0,IF((IF($J124=0,$O124,$J124)*$I124)&gt;=($R124-SUM($T124:AB124)),($R124-SUM($T124:AB124)),IF($J124=0,$O124,$J124)*$I124)))</f>
        <v>0</v>
      </c>
      <c r="AD124" s="1367">
        <f>IF($R124-SUM($T124:AC124)=0,0,IF(OR($R124&lt;=0,$R124&lt;=SUM($T124:AC124)),0,IF((IF($J124=0,$O124,$J124)*$I124)&gt;=($R124-SUM($T124:AC124)),($R124-SUM($T124:AC124)),IF($J124=0,$O124,$J124)*$I124)))</f>
        <v>0</v>
      </c>
      <c r="AF124" s="1319" t="b">
        <f t="shared" si="47"/>
        <v>1</v>
      </c>
      <c r="AG124" s="1319" t="str">
        <f t="shared" si="48"/>
        <v>Checked</v>
      </c>
      <c r="AH124" s="1318" t="str">
        <f t="shared" si="49"/>
        <v>Checked</v>
      </c>
    </row>
    <row r="125" spans="2:34" outlineLevel="1" x14ac:dyDescent="0.3">
      <c r="B125" s="1356" t="s">
        <v>2263</v>
      </c>
      <c r="C125" s="1356" t="s">
        <v>1971</v>
      </c>
      <c r="D125" s="1322" t="s">
        <v>2264</v>
      </c>
      <c r="E125" s="1357">
        <v>10</v>
      </c>
      <c r="F125" s="1333">
        <f t="shared" si="40"/>
        <v>3</v>
      </c>
      <c r="G125" s="1358">
        <f t="shared" si="41"/>
        <v>0</v>
      </c>
      <c r="H125" s="1359">
        <f t="shared" si="42"/>
        <v>0</v>
      </c>
      <c r="I125" s="1360">
        <f t="shared" si="43"/>
        <v>0.1</v>
      </c>
      <c r="J125" s="1361">
        <v>15460000</v>
      </c>
      <c r="K125" s="1362">
        <v>13397854</v>
      </c>
      <c r="L125" s="1356">
        <v>0</v>
      </c>
      <c r="M125" s="1356">
        <v>0</v>
      </c>
      <c r="N125" s="1361">
        <f t="shared" si="44"/>
        <v>2062146</v>
      </c>
      <c r="O125" s="1363"/>
      <c r="P125" s="1356">
        <v>0</v>
      </c>
      <c r="Q125" s="1364">
        <v>534095</v>
      </c>
      <c r="R125" s="1365">
        <f t="shared" si="45"/>
        <v>1528051</v>
      </c>
      <c r="S125" s="1364"/>
      <c r="T125" s="1366">
        <f t="shared" si="46"/>
        <v>0</v>
      </c>
      <c r="U125" s="1367">
        <f>IF($R125-SUM($T125:T125)=0,0,IF(OR($R125&lt;=0,$R125&lt;=SUM($T125:T125)),0,IF((IF($J125=0,$O125,$J125)*$I125)&gt;=($R125-SUM($T125:T125)),($R125-SUM($T125:T125)),IF($J125=0,$O125,$J125)*$I125)))</f>
        <v>1528051</v>
      </c>
      <c r="V125" s="1367">
        <f>IF($R125-SUM($T125:U125)=0,0,IF(OR($R125&lt;=0,$R125&lt;=SUM($T125:U125)),0,IF((IF($J125=0,$O125,$J125)*$I125)&gt;=($R125-SUM($T125:U125)),($R125-SUM($T125:U125)),IF($J125=0,$O125,$J125)*$I125)))</f>
        <v>0</v>
      </c>
      <c r="W125" s="1367">
        <f>IF($R125-SUM($T125:V125)=0,0,IF(OR($R125&lt;=0,$R125&lt;=SUM($T125:V125)),0,IF((IF($J125=0,$O125,$J125)*$I125)&gt;=($R125-SUM($T125:V125)),($R125-SUM($T125:V125)),IF($J125=0,$O125,$J125)*$I125)))</f>
        <v>0</v>
      </c>
      <c r="X125" s="1367">
        <f>IF($R125-SUM($T125:W125)=0,0,IF(OR($R125&lt;=0,$R125&lt;=SUM($T125:W125)),0,IF((IF($J125=0,$O125,$J125)*$I125)&gt;=($R125-SUM($T125:W125)),($R125-SUM($T125:W125)),IF($J125=0,$O125,$J125)*$I125)))</f>
        <v>0</v>
      </c>
      <c r="Y125" s="1367">
        <f>IF($R125-SUM($T125:X125)=0,0,IF(OR($R125&lt;=0,$R125&lt;=SUM($T125:X125)),0,IF((IF($J125=0,$O125,$J125)*$I125)&gt;=($R125-SUM($T125:X125)),($R125-SUM($T125:X125)),IF($J125=0,$O125,$J125)*$I125)))</f>
        <v>0</v>
      </c>
      <c r="Z125" s="1367">
        <f>IF($R125-SUM($T125:Y125)=0,0,IF(OR($R125&lt;=0,$R125&lt;=SUM($T125:Y125)),0,IF((IF($J125=0,$O125,$J125)*$I125)&gt;=($R125-SUM($T125:Y125)),($R125-SUM($T125:Y125)),IF($J125=0,$O125,$J125)*$I125)))</f>
        <v>0</v>
      </c>
      <c r="AA125" s="1367">
        <f>IF($R125-SUM($T125:Z125)=0,0,IF(OR($R125&lt;=0,$R125&lt;=SUM($T125:Z125)),0,IF((IF($J125=0,$O125,$J125)*$I125)&gt;=($R125-SUM($T125:Z125)),($R125-SUM($T125:Z125)),IF($J125=0,$O125,$J125)*$I125)))</f>
        <v>0</v>
      </c>
      <c r="AB125" s="1367">
        <f>IF($R125-SUM($T125:AA125)=0,0,IF(OR($R125&lt;=0,$R125&lt;=SUM($T125:AA125)),0,IF((IF($J125=0,$O125,$J125)*$I125)&gt;=($R125-SUM($T125:AA125)),($R125-SUM($T125:AA125)),IF($J125=0,$O125,$J125)*$I125)))</f>
        <v>0</v>
      </c>
      <c r="AC125" s="1367">
        <f>IF($R125-SUM($T125:AB125)=0,0,IF(OR($R125&lt;=0,$R125&lt;=SUM($T125:AB125)),0,IF((IF($J125=0,$O125,$J125)*$I125)&gt;=($R125-SUM($T125:AB125)),($R125-SUM($T125:AB125)),IF($J125=0,$O125,$J125)*$I125)))</f>
        <v>0</v>
      </c>
      <c r="AD125" s="1367">
        <f>IF($R125-SUM($T125:AC125)=0,0,IF(OR($R125&lt;=0,$R125&lt;=SUM($T125:AC125)),0,IF((IF($J125=0,$O125,$J125)*$I125)&gt;=($R125-SUM($T125:AC125)),($R125-SUM($T125:AC125)),IF($J125=0,$O125,$J125)*$I125)))</f>
        <v>0</v>
      </c>
      <c r="AF125" s="1319" t="b">
        <f t="shared" si="47"/>
        <v>1</v>
      </c>
      <c r="AG125" s="1319" t="str">
        <f t="shared" si="48"/>
        <v>Checked</v>
      </c>
      <c r="AH125" s="1318" t="str">
        <f t="shared" si="49"/>
        <v>Checked</v>
      </c>
    </row>
    <row r="126" spans="2:34" outlineLevel="1" x14ac:dyDescent="0.3">
      <c r="B126" s="1356" t="s">
        <v>2265</v>
      </c>
      <c r="C126" s="1356" t="s">
        <v>1971</v>
      </c>
      <c r="D126" s="1322" t="s">
        <v>2266</v>
      </c>
      <c r="E126" s="1357">
        <v>10</v>
      </c>
      <c r="F126" s="1333">
        <f t="shared" si="40"/>
        <v>3</v>
      </c>
      <c r="G126" s="1358">
        <f t="shared" si="41"/>
        <v>0</v>
      </c>
      <c r="H126" s="1359">
        <f t="shared" si="42"/>
        <v>0</v>
      </c>
      <c r="I126" s="1360">
        <f t="shared" si="43"/>
        <v>0.1</v>
      </c>
      <c r="J126" s="1361">
        <v>22000000</v>
      </c>
      <c r="K126" s="1362">
        <v>18672486</v>
      </c>
      <c r="L126" s="1356">
        <v>0</v>
      </c>
      <c r="M126" s="1356">
        <v>0</v>
      </c>
      <c r="N126" s="1361">
        <f t="shared" si="44"/>
        <v>3327514</v>
      </c>
      <c r="O126" s="1363"/>
      <c r="P126" s="1356">
        <v>0</v>
      </c>
      <c r="Q126" s="1364">
        <v>861826</v>
      </c>
      <c r="R126" s="1365">
        <f t="shared" si="45"/>
        <v>2465688</v>
      </c>
      <c r="S126" s="1364"/>
      <c r="T126" s="1366">
        <f t="shared" si="46"/>
        <v>0</v>
      </c>
      <c r="U126" s="1367">
        <f>IF($R126-SUM($T126:T126)=0,0,IF(OR($R126&lt;=0,$R126&lt;=SUM($T126:T126)),0,IF((IF($J126=0,$O126,$J126)*$I126)&gt;=($R126-SUM($T126:T126)),($R126-SUM($T126:T126)),IF($J126=0,$O126,$J126)*$I126)))</f>
        <v>2200000</v>
      </c>
      <c r="V126" s="1367">
        <f>IF($R126-SUM($T126:U126)=0,0,IF(OR($R126&lt;=0,$R126&lt;=SUM($T126:U126)),0,IF((IF($J126=0,$O126,$J126)*$I126)&gt;=($R126-SUM($T126:U126)),($R126-SUM($T126:U126)),IF($J126=0,$O126,$J126)*$I126)))</f>
        <v>265688</v>
      </c>
      <c r="W126" s="1367">
        <f>IF($R126-SUM($T126:V126)=0,0,IF(OR($R126&lt;=0,$R126&lt;=SUM($T126:V126)),0,IF((IF($J126=0,$O126,$J126)*$I126)&gt;=($R126-SUM($T126:V126)),($R126-SUM($T126:V126)),IF($J126=0,$O126,$J126)*$I126)))</f>
        <v>0</v>
      </c>
      <c r="X126" s="1367">
        <f>IF($R126-SUM($T126:W126)=0,0,IF(OR($R126&lt;=0,$R126&lt;=SUM($T126:W126)),0,IF((IF($J126=0,$O126,$J126)*$I126)&gt;=($R126-SUM($T126:W126)),($R126-SUM($T126:W126)),IF($J126=0,$O126,$J126)*$I126)))</f>
        <v>0</v>
      </c>
      <c r="Y126" s="1367">
        <f>IF($R126-SUM($T126:X126)=0,0,IF(OR($R126&lt;=0,$R126&lt;=SUM($T126:X126)),0,IF((IF($J126=0,$O126,$J126)*$I126)&gt;=($R126-SUM($T126:X126)),($R126-SUM($T126:X126)),IF($J126=0,$O126,$J126)*$I126)))</f>
        <v>0</v>
      </c>
      <c r="Z126" s="1367">
        <f>IF($R126-SUM($T126:Y126)=0,0,IF(OR($R126&lt;=0,$R126&lt;=SUM($T126:Y126)),0,IF((IF($J126=0,$O126,$J126)*$I126)&gt;=($R126-SUM($T126:Y126)),($R126-SUM($T126:Y126)),IF($J126=0,$O126,$J126)*$I126)))</f>
        <v>0</v>
      </c>
      <c r="AA126" s="1367">
        <f>IF($R126-SUM($T126:Z126)=0,0,IF(OR($R126&lt;=0,$R126&lt;=SUM($T126:Z126)),0,IF((IF($J126=0,$O126,$J126)*$I126)&gt;=($R126-SUM($T126:Z126)),($R126-SUM($T126:Z126)),IF($J126=0,$O126,$J126)*$I126)))</f>
        <v>0</v>
      </c>
      <c r="AB126" s="1367">
        <f>IF($R126-SUM($T126:AA126)=0,0,IF(OR($R126&lt;=0,$R126&lt;=SUM($T126:AA126)),0,IF((IF($J126=0,$O126,$J126)*$I126)&gt;=($R126-SUM($T126:AA126)),($R126-SUM($T126:AA126)),IF($J126=0,$O126,$J126)*$I126)))</f>
        <v>0</v>
      </c>
      <c r="AC126" s="1367">
        <f>IF($R126-SUM($T126:AB126)=0,0,IF(OR($R126&lt;=0,$R126&lt;=SUM($T126:AB126)),0,IF((IF($J126=0,$O126,$J126)*$I126)&gt;=($R126-SUM($T126:AB126)),($R126-SUM($T126:AB126)),IF($J126=0,$O126,$J126)*$I126)))</f>
        <v>0</v>
      </c>
      <c r="AD126" s="1367">
        <f>IF($R126-SUM($T126:AC126)=0,0,IF(OR($R126&lt;=0,$R126&lt;=SUM($T126:AC126)),0,IF((IF($J126=0,$O126,$J126)*$I126)&gt;=($R126-SUM($T126:AC126)),($R126-SUM($T126:AC126)),IF($J126=0,$O126,$J126)*$I126)))</f>
        <v>0</v>
      </c>
      <c r="AF126" s="1319" t="b">
        <f t="shared" si="47"/>
        <v>1</v>
      </c>
      <c r="AG126" s="1319" t="str">
        <f t="shared" si="48"/>
        <v>Checked</v>
      </c>
      <c r="AH126" s="1318" t="b">
        <f t="shared" si="49"/>
        <v>1</v>
      </c>
    </row>
    <row r="127" spans="2:34" outlineLevel="1" x14ac:dyDescent="0.3">
      <c r="B127" s="1356" t="s">
        <v>2267</v>
      </c>
      <c r="C127" s="1356" t="s">
        <v>1971</v>
      </c>
      <c r="D127" s="1322" t="s">
        <v>2268</v>
      </c>
      <c r="E127" s="1357">
        <v>10</v>
      </c>
      <c r="F127" s="1333">
        <f t="shared" si="40"/>
        <v>3</v>
      </c>
      <c r="G127" s="1358">
        <f t="shared" si="41"/>
        <v>0</v>
      </c>
      <c r="H127" s="1359">
        <f t="shared" si="42"/>
        <v>0</v>
      </c>
      <c r="I127" s="1360">
        <f t="shared" si="43"/>
        <v>0.1</v>
      </c>
      <c r="J127" s="1361">
        <v>14785000</v>
      </c>
      <c r="K127" s="1362">
        <v>12654411</v>
      </c>
      <c r="L127" s="1356">
        <v>0</v>
      </c>
      <c r="M127" s="1356">
        <v>0</v>
      </c>
      <c r="N127" s="1361">
        <f t="shared" si="44"/>
        <v>2130589</v>
      </c>
      <c r="O127" s="1363"/>
      <c r="P127" s="1356">
        <v>0</v>
      </c>
      <c r="Q127" s="1364">
        <v>551822</v>
      </c>
      <c r="R127" s="1365">
        <f t="shared" si="45"/>
        <v>1578767</v>
      </c>
      <c r="S127" s="1364"/>
      <c r="T127" s="1366">
        <f t="shared" si="46"/>
        <v>0</v>
      </c>
      <c r="U127" s="1367">
        <f>IF($R127-SUM($T127:T127)=0,0,IF(OR($R127&lt;=0,$R127&lt;=SUM($T127:T127)),0,IF((IF($J127=0,$O127,$J127)*$I127)&gt;=($R127-SUM($T127:T127)),($R127-SUM($T127:T127)),IF($J127=0,$O127,$J127)*$I127)))</f>
        <v>1478500</v>
      </c>
      <c r="V127" s="1367">
        <f>IF($R127-SUM($T127:U127)=0,0,IF(OR($R127&lt;=0,$R127&lt;=SUM($T127:U127)),0,IF((IF($J127=0,$O127,$J127)*$I127)&gt;=($R127-SUM($T127:U127)),($R127-SUM($T127:U127)),IF($J127=0,$O127,$J127)*$I127)))</f>
        <v>100267</v>
      </c>
      <c r="W127" s="1367">
        <f>IF($R127-SUM($T127:V127)=0,0,IF(OR($R127&lt;=0,$R127&lt;=SUM($T127:V127)),0,IF((IF($J127=0,$O127,$J127)*$I127)&gt;=($R127-SUM($T127:V127)),($R127-SUM($T127:V127)),IF($J127=0,$O127,$J127)*$I127)))</f>
        <v>0</v>
      </c>
      <c r="X127" s="1367">
        <f>IF($R127-SUM($T127:W127)=0,0,IF(OR($R127&lt;=0,$R127&lt;=SUM($T127:W127)),0,IF((IF($J127=0,$O127,$J127)*$I127)&gt;=($R127-SUM($T127:W127)),($R127-SUM($T127:W127)),IF($J127=0,$O127,$J127)*$I127)))</f>
        <v>0</v>
      </c>
      <c r="Y127" s="1367">
        <f>IF($R127-SUM($T127:X127)=0,0,IF(OR($R127&lt;=0,$R127&lt;=SUM($T127:X127)),0,IF((IF($J127=0,$O127,$J127)*$I127)&gt;=($R127-SUM($T127:X127)),($R127-SUM($T127:X127)),IF($J127=0,$O127,$J127)*$I127)))</f>
        <v>0</v>
      </c>
      <c r="Z127" s="1367">
        <f>IF($R127-SUM($T127:Y127)=0,0,IF(OR($R127&lt;=0,$R127&lt;=SUM($T127:Y127)),0,IF((IF($J127=0,$O127,$J127)*$I127)&gt;=($R127-SUM($T127:Y127)),($R127-SUM($T127:Y127)),IF($J127=0,$O127,$J127)*$I127)))</f>
        <v>0</v>
      </c>
      <c r="AA127" s="1367">
        <f>IF($R127-SUM($T127:Z127)=0,0,IF(OR($R127&lt;=0,$R127&lt;=SUM($T127:Z127)),0,IF((IF($J127=0,$O127,$J127)*$I127)&gt;=($R127-SUM($T127:Z127)),($R127-SUM($T127:Z127)),IF($J127=0,$O127,$J127)*$I127)))</f>
        <v>0</v>
      </c>
      <c r="AB127" s="1367">
        <f>IF($R127-SUM($T127:AA127)=0,0,IF(OR($R127&lt;=0,$R127&lt;=SUM($T127:AA127)),0,IF((IF($J127=0,$O127,$J127)*$I127)&gt;=($R127-SUM($T127:AA127)),($R127-SUM($T127:AA127)),IF($J127=0,$O127,$J127)*$I127)))</f>
        <v>0</v>
      </c>
      <c r="AC127" s="1367">
        <f>IF($R127-SUM($T127:AB127)=0,0,IF(OR($R127&lt;=0,$R127&lt;=SUM($T127:AB127)),0,IF((IF($J127=0,$O127,$J127)*$I127)&gt;=($R127-SUM($T127:AB127)),($R127-SUM($T127:AB127)),IF($J127=0,$O127,$J127)*$I127)))</f>
        <v>0</v>
      </c>
      <c r="AD127" s="1367">
        <f>IF($R127-SUM($T127:AC127)=0,0,IF(OR($R127&lt;=0,$R127&lt;=SUM($T127:AC127)),0,IF((IF($J127=0,$O127,$J127)*$I127)&gt;=($R127-SUM($T127:AC127)),($R127-SUM($T127:AC127)),IF($J127=0,$O127,$J127)*$I127)))</f>
        <v>0</v>
      </c>
      <c r="AF127" s="1319" t="b">
        <f t="shared" si="47"/>
        <v>1</v>
      </c>
      <c r="AG127" s="1319" t="str">
        <f t="shared" si="48"/>
        <v>Checked</v>
      </c>
      <c r="AH127" s="1318" t="b">
        <f t="shared" si="49"/>
        <v>1</v>
      </c>
    </row>
    <row r="128" spans="2:34" outlineLevel="1" x14ac:dyDescent="0.3">
      <c r="B128" s="1356" t="s">
        <v>2269</v>
      </c>
      <c r="C128" s="1356" t="s">
        <v>1971</v>
      </c>
      <c r="D128" s="1322" t="s">
        <v>2270</v>
      </c>
      <c r="E128" s="1357">
        <v>10</v>
      </c>
      <c r="F128" s="1333">
        <f t="shared" si="40"/>
        <v>3</v>
      </c>
      <c r="G128" s="1358">
        <f t="shared" si="41"/>
        <v>0</v>
      </c>
      <c r="H128" s="1359">
        <f t="shared" si="42"/>
        <v>0</v>
      </c>
      <c r="I128" s="1360">
        <f t="shared" si="43"/>
        <v>0.1</v>
      </c>
      <c r="J128" s="1361">
        <v>14727273</v>
      </c>
      <c r="K128" s="1362">
        <v>12394523</v>
      </c>
      <c r="L128" s="1356">
        <v>0</v>
      </c>
      <c r="M128" s="1356">
        <v>0</v>
      </c>
      <c r="N128" s="1361">
        <f t="shared" si="44"/>
        <v>2332750</v>
      </c>
      <c r="O128" s="1363"/>
      <c r="P128" s="1356">
        <v>0</v>
      </c>
      <c r="Q128" s="1364">
        <v>604182</v>
      </c>
      <c r="R128" s="1365">
        <f t="shared" si="45"/>
        <v>1728568</v>
      </c>
      <c r="S128" s="1364"/>
      <c r="T128" s="1366">
        <f t="shared" si="46"/>
        <v>0</v>
      </c>
      <c r="U128" s="1367">
        <f>IF($R128-SUM($T128:T128)=0,0,IF(OR($R128&lt;=0,$R128&lt;=SUM($T128:T128)),0,IF((IF($J128=0,$O128,$J128)*$I128)&gt;=($R128-SUM($T128:T128)),($R128-SUM($T128:T128)),IF($J128=0,$O128,$J128)*$I128)))</f>
        <v>1472727.3</v>
      </c>
      <c r="V128" s="1367">
        <f>IF($R128-SUM($T128:U128)=0,0,IF(OR($R128&lt;=0,$R128&lt;=SUM($T128:U128)),0,IF((IF($J128=0,$O128,$J128)*$I128)&gt;=($R128-SUM($T128:U128)),($R128-SUM($T128:U128)),IF($J128=0,$O128,$J128)*$I128)))</f>
        <v>255840.69999999995</v>
      </c>
      <c r="W128" s="1367">
        <f>IF($R128-SUM($T128:V128)=0,0,IF(OR($R128&lt;=0,$R128&lt;=SUM($T128:V128)),0,IF((IF($J128=0,$O128,$J128)*$I128)&gt;=($R128-SUM($T128:V128)),($R128-SUM($T128:V128)),IF($J128=0,$O128,$J128)*$I128)))</f>
        <v>0</v>
      </c>
      <c r="X128" s="1367">
        <f>IF($R128-SUM($T128:W128)=0,0,IF(OR($R128&lt;=0,$R128&lt;=SUM($T128:W128)),0,IF((IF($J128=0,$O128,$J128)*$I128)&gt;=($R128-SUM($T128:W128)),($R128-SUM($T128:W128)),IF($J128=0,$O128,$J128)*$I128)))</f>
        <v>0</v>
      </c>
      <c r="Y128" s="1367">
        <f>IF($R128-SUM($T128:X128)=0,0,IF(OR($R128&lt;=0,$R128&lt;=SUM($T128:X128)),0,IF((IF($J128=0,$O128,$J128)*$I128)&gt;=($R128-SUM($T128:X128)),($R128-SUM($T128:X128)),IF($J128=0,$O128,$J128)*$I128)))</f>
        <v>0</v>
      </c>
      <c r="Z128" s="1367">
        <f>IF($R128-SUM($T128:Y128)=0,0,IF(OR($R128&lt;=0,$R128&lt;=SUM($T128:Y128)),0,IF((IF($J128=0,$O128,$J128)*$I128)&gt;=($R128-SUM($T128:Y128)),($R128-SUM($T128:Y128)),IF($J128=0,$O128,$J128)*$I128)))</f>
        <v>0</v>
      </c>
      <c r="AA128" s="1367">
        <f>IF($R128-SUM($T128:Z128)=0,0,IF(OR($R128&lt;=0,$R128&lt;=SUM($T128:Z128)),0,IF((IF($J128=0,$O128,$J128)*$I128)&gt;=($R128-SUM($T128:Z128)),($R128-SUM($T128:Z128)),IF($J128=0,$O128,$J128)*$I128)))</f>
        <v>0</v>
      </c>
      <c r="AB128" s="1367">
        <f>IF($R128-SUM($T128:AA128)=0,0,IF(OR($R128&lt;=0,$R128&lt;=SUM($T128:AA128)),0,IF((IF($J128=0,$O128,$J128)*$I128)&gt;=($R128-SUM($T128:AA128)),($R128-SUM($T128:AA128)),IF($J128=0,$O128,$J128)*$I128)))</f>
        <v>0</v>
      </c>
      <c r="AC128" s="1367">
        <f>IF($R128-SUM($T128:AB128)=0,0,IF(OR($R128&lt;=0,$R128&lt;=SUM($T128:AB128)),0,IF((IF($J128=0,$O128,$J128)*$I128)&gt;=($R128-SUM($T128:AB128)),($R128-SUM($T128:AB128)),IF($J128=0,$O128,$J128)*$I128)))</f>
        <v>0</v>
      </c>
      <c r="AD128" s="1367">
        <f>IF($R128-SUM($T128:AC128)=0,0,IF(OR($R128&lt;=0,$R128&lt;=SUM($T128:AC128)),0,IF((IF($J128=0,$O128,$J128)*$I128)&gt;=($R128-SUM($T128:AC128)),($R128-SUM($T128:AC128)),IF($J128=0,$O128,$J128)*$I128)))</f>
        <v>0</v>
      </c>
      <c r="AF128" s="1319" t="b">
        <f t="shared" si="47"/>
        <v>1</v>
      </c>
      <c r="AG128" s="1319" t="str">
        <f t="shared" si="48"/>
        <v>Checked</v>
      </c>
      <c r="AH128" s="1318" t="b">
        <f t="shared" si="49"/>
        <v>1</v>
      </c>
    </row>
    <row r="129" spans="2:34" outlineLevel="1" x14ac:dyDescent="0.3">
      <c r="B129" s="1356" t="s">
        <v>2271</v>
      </c>
      <c r="C129" s="1356" t="s">
        <v>1971</v>
      </c>
      <c r="D129" s="1322" t="s">
        <v>2272</v>
      </c>
      <c r="E129" s="1357">
        <v>10</v>
      </c>
      <c r="F129" s="1333">
        <f t="shared" si="40"/>
        <v>3</v>
      </c>
      <c r="G129" s="1358">
        <f t="shared" si="41"/>
        <v>0</v>
      </c>
      <c r="H129" s="1359">
        <f t="shared" si="42"/>
        <v>0</v>
      </c>
      <c r="I129" s="1360">
        <f t="shared" si="43"/>
        <v>0.1</v>
      </c>
      <c r="J129" s="1361">
        <v>14987000</v>
      </c>
      <c r="K129" s="1362">
        <v>12613110</v>
      </c>
      <c r="L129" s="1356">
        <v>0</v>
      </c>
      <c r="M129" s="1356">
        <v>0</v>
      </c>
      <c r="N129" s="1361">
        <f t="shared" si="44"/>
        <v>2373890</v>
      </c>
      <c r="O129" s="1363"/>
      <c r="P129" s="1356">
        <v>0</v>
      </c>
      <c r="Q129" s="1364">
        <v>614837</v>
      </c>
      <c r="R129" s="1365">
        <f t="shared" si="45"/>
        <v>1759053</v>
      </c>
      <c r="S129" s="1364"/>
      <c r="T129" s="1366">
        <f t="shared" si="46"/>
        <v>0</v>
      </c>
      <c r="U129" s="1367">
        <f>IF($R129-SUM($T129:T129)=0,0,IF(OR($R129&lt;=0,$R129&lt;=SUM($T129:T129)),0,IF((IF($J129=0,$O129,$J129)*$I129)&gt;=($R129-SUM($T129:T129)),($R129-SUM($T129:T129)),IF($J129=0,$O129,$J129)*$I129)))</f>
        <v>1498700</v>
      </c>
      <c r="V129" s="1367">
        <f>IF($R129-SUM($T129:U129)=0,0,IF(OR($R129&lt;=0,$R129&lt;=SUM($T129:U129)),0,IF((IF($J129=0,$O129,$J129)*$I129)&gt;=($R129-SUM($T129:U129)),($R129-SUM($T129:U129)),IF($J129=0,$O129,$J129)*$I129)))</f>
        <v>260353</v>
      </c>
      <c r="W129" s="1367">
        <f>IF($R129-SUM($T129:V129)=0,0,IF(OR($R129&lt;=0,$R129&lt;=SUM($T129:V129)),0,IF((IF($J129=0,$O129,$J129)*$I129)&gt;=($R129-SUM($T129:V129)),($R129-SUM($T129:V129)),IF($J129=0,$O129,$J129)*$I129)))</f>
        <v>0</v>
      </c>
      <c r="X129" s="1367">
        <f>IF($R129-SUM($T129:W129)=0,0,IF(OR($R129&lt;=0,$R129&lt;=SUM($T129:W129)),0,IF((IF($J129=0,$O129,$J129)*$I129)&gt;=($R129-SUM($T129:W129)),($R129-SUM($T129:W129)),IF($J129=0,$O129,$J129)*$I129)))</f>
        <v>0</v>
      </c>
      <c r="Y129" s="1367">
        <f>IF($R129-SUM($T129:X129)=0,0,IF(OR($R129&lt;=0,$R129&lt;=SUM($T129:X129)),0,IF((IF($J129=0,$O129,$J129)*$I129)&gt;=($R129-SUM($T129:X129)),($R129-SUM($T129:X129)),IF($J129=0,$O129,$J129)*$I129)))</f>
        <v>0</v>
      </c>
      <c r="Z129" s="1367">
        <f>IF($R129-SUM($T129:Y129)=0,0,IF(OR($R129&lt;=0,$R129&lt;=SUM($T129:Y129)),0,IF((IF($J129=0,$O129,$J129)*$I129)&gt;=($R129-SUM($T129:Y129)),($R129-SUM($T129:Y129)),IF($J129=0,$O129,$J129)*$I129)))</f>
        <v>0</v>
      </c>
      <c r="AA129" s="1367">
        <f>IF($R129-SUM($T129:Z129)=0,0,IF(OR($R129&lt;=0,$R129&lt;=SUM($T129:Z129)),0,IF((IF($J129=0,$O129,$J129)*$I129)&gt;=($R129-SUM($T129:Z129)),($R129-SUM($T129:Z129)),IF($J129=0,$O129,$J129)*$I129)))</f>
        <v>0</v>
      </c>
      <c r="AB129" s="1367">
        <f>IF($R129-SUM($T129:AA129)=0,0,IF(OR($R129&lt;=0,$R129&lt;=SUM($T129:AA129)),0,IF((IF($J129=0,$O129,$J129)*$I129)&gt;=($R129-SUM($T129:AA129)),($R129-SUM($T129:AA129)),IF($J129=0,$O129,$J129)*$I129)))</f>
        <v>0</v>
      </c>
      <c r="AC129" s="1367">
        <f>IF($R129-SUM($T129:AB129)=0,0,IF(OR($R129&lt;=0,$R129&lt;=SUM($T129:AB129)),0,IF((IF($J129=0,$O129,$J129)*$I129)&gt;=($R129-SUM($T129:AB129)),($R129-SUM($T129:AB129)),IF($J129=0,$O129,$J129)*$I129)))</f>
        <v>0</v>
      </c>
      <c r="AD129" s="1367">
        <f>IF($R129-SUM($T129:AC129)=0,0,IF(OR($R129&lt;=0,$R129&lt;=SUM($T129:AC129)),0,IF((IF($J129=0,$O129,$J129)*$I129)&gt;=($R129-SUM($T129:AC129)),($R129-SUM($T129:AC129)),IF($J129=0,$O129,$J129)*$I129)))</f>
        <v>0</v>
      </c>
      <c r="AF129" s="1319" t="b">
        <f t="shared" si="47"/>
        <v>1</v>
      </c>
      <c r="AG129" s="1319" t="str">
        <f t="shared" si="48"/>
        <v>Checked</v>
      </c>
      <c r="AH129" s="1318" t="b">
        <f t="shared" si="49"/>
        <v>1</v>
      </c>
    </row>
    <row r="130" spans="2:34" outlineLevel="1" x14ac:dyDescent="0.3">
      <c r="B130" s="1356" t="s">
        <v>2273</v>
      </c>
      <c r="C130" s="1356" t="s">
        <v>1971</v>
      </c>
      <c r="D130" s="1322" t="s">
        <v>2274</v>
      </c>
      <c r="E130" s="1357">
        <v>10</v>
      </c>
      <c r="F130" s="1333">
        <f t="shared" si="40"/>
        <v>4</v>
      </c>
      <c r="G130" s="1358">
        <f t="shared" si="41"/>
        <v>0</v>
      </c>
      <c r="H130" s="1359">
        <f t="shared" si="42"/>
        <v>0</v>
      </c>
      <c r="I130" s="1360">
        <f t="shared" si="43"/>
        <v>0.1</v>
      </c>
      <c r="J130" s="1361">
        <v>55000000</v>
      </c>
      <c r="K130" s="1362">
        <v>45099568</v>
      </c>
      <c r="L130" s="1356">
        <v>0</v>
      </c>
      <c r="M130" s="1356">
        <v>0</v>
      </c>
      <c r="N130" s="1361">
        <f t="shared" si="44"/>
        <v>9900432</v>
      </c>
      <c r="O130" s="1363"/>
      <c r="P130" s="1356">
        <v>0</v>
      </c>
      <c r="Q130" s="1364">
        <v>2564211</v>
      </c>
      <c r="R130" s="1365">
        <f t="shared" si="45"/>
        <v>7336221</v>
      </c>
      <c r="S130" s="1364"/>
      <c r="T130" s="1366">
        <f t="shared" si="46"/>
        <v>0</v>
      </c>
      <c r="U130" s="1367">
        <f>IF($R130-SUM($T130:T130)=0,0,IF(OR($R130&lt;=0,$R130&lt;=SUM($T130:T130)),0,IF((IF($J130=0,$O130,$J130)*$I130)&gt;=($R130-SUM($T130:T130)),($R130-SUM($T130:T130)),IF($J130=0,$O130,$J130)*$I130)))</f>
        <v>5500000</v>
      </c>
      <c r="V130" s="1367">
        <f>IF($R130-SUM($T130:U130)=0,0,IF(OR($R130&lt;=0,$R130&lt;=SUM($T130:U130)),0,IF((IF($J130=0,$O130,$J130)*$I130)&gt;=($R130-SUM($T130:U130)),($R130-SUM($T130:U130)),IF($J130=0,$O130,$J130)*$I130)))</f>
        <v>1836221</v>
      </c>
      <c r="W130" s="1367">
        <f>IF($R130-SUM($T130:V130)=0,0,IF(OR($R130&lt;=0,$R130&lt;=SUM($T130:V130)),0,IF((IF($J130=0,$O130,$J130)*$I130)&gt;=($R130-SUM($T130:V130)),($R130-SUM($T130:V130)),IF($J130=0,$O130,$J130)*$I130)))</f>
        <v>0</v>
      </c>
      <c r="X130" s="1367">
        <f>IF($R130-SUM($T130:W130)=0,0,IF(OR($R130&lt;=0,$R130&lt;=SUM($T130:W130)),0,IF((IF($J130=0,$O130,$J130)*$I130)&gt;=($R130-SUM($T130:W130)),($R130-SUM($T130:W130)),IF($J130=0,$O130,$J130)*$I130)))</f>
        <v>0</v>
      </c>
      <c r="Y130" s="1367">
        <f>IF($R130-SUM($T130:X130)=0,0,IF(OR($R130&lt;=0,$R130&lt;=SUM($T130:X130)),0,IF((IF($J130=0,$O130,$J130)*$I130)&gt;=($R130-SUM($T130:X130)),($R130-SUM($T130:X130)),IF($J130=0,$O130,$J130)*$I130)))</f>
        <v>0</v>
      </c>
      <c r="Z130" s="1367">
        <f>IF($R130-SUM($T130:Y130)=0,0,IF(OR($R130&lt;=0,$R130&lt;=SUM($T130:Y130)),0,IF((IF($J130=0,$O130,$J130)*$I130)&gt;=($R130-SUM($T130:Y130)),($R130-SUM($T130:Y130)),IF($J130=0,$O130,$J130)*$I130)))</f>
        <v>0</v>
      </c>
      <c r="AA130" s="1367">
        <f>IF($R130-SUM($T130:Z130)=0,0,IF(OR($R130&lt;=0,$R130&lt;=SUM($T130:Z130)),0,IF((IF($J130=0,$O130,$J130)*$I130)&gt;=($R130-SUM($T130:Z130)),($R130-SUM($T130:Z130)),IF($J130=0,$O130,$J130)*$I130)))</f>
        <v>0</v>
      </c>
      <c r="AB130" s="1367">
        <f>IF($R130-SUM($T130:AA130)=0,0,IF(OR($R130&lt;=0,$R130&lt;=SUM($T130:AA130)),0,IF((IF($J130=0,$O130,$J130)*$I130)&gt;=($R130-SUM($T130:AA130)),($R130-SUM($T130:AA130)),IF($J130=0,$O130,$J130)*$I130)))</f>
        <v>0</v>
      </c>
      <c r="AC130" s="1367">
        <f>IF($R130-SUM($T130:AB130)=0,0,IF(OR($R130&lt;=0,$R130&lt;=SUM($T130:AB130)),0,IF((IF($J130=0,$O130,$J130)*$I130)&gt;=($R130-SUM($T130:AB130)),($R130-SUM($T130:AB130)),IF($J130=0,$O130,$J130)*$I130)))</f>
        <v>0</v>
      </c>
      <c r="AD130" s="1367">
        <f>IF($R130-SUM($T130:AC130)=0,0,IF(OR($R130&lt;=0,$R130&lt;=SUM($T130:AC130)),0,IF((IF($J130=0,$O130,$J130)*$I130)&gt;=($R130-SUM($T130:AC130)),($R130-SUM($T130:AC130)),IF($J130=0,$O130,$J130)*$I130)))</f>
        <v>0</v>
      </c>
      <c r="AF130" s="1319" t="b">
        <f t="shared" si="47"/>
        <v>1</v>
      </c>
      <c r="AG130" s="1319" t="str">
        <f t="shared" si="48"/>
        <v>Checked</v>
      </c>
      <c r="AH130" s="1318" t="b">
        <f t="shared" si="49"/>
        <v>1</v>
      </c>
    </row>
    <row r="131" spans="2:34" outlineLevel="1" x14ac:dyDescent="0.3">
      <c r="B131" s="1356" t="s">
        <v>2275</v>
      </c>
      <c r="C131" s="1356" t="s">
        <v>1971</v>
      </c>
      <c r="D131" s="1322" t="s">
        <v>2276</v>
      </c>
      <c r="E131" s="1357">
        <v>10</v>
      </c>
      <c r="F131" s="1333">
        <f t="shared" si="40"/>
        <v>4</v>
      </c>
      <c r="G131" s="1358">
        <f t="shared" si="41"/>
        <v>0</v>
      </c>
      <c r="H131" s="1359">
        <f t="shared" si="42"/>
        <v>0</v>
      </c>
      <c r="I131" s="1360">
        <f t="shared" si="43"/>
        <v>0.1</v>
      </c>
      <c r="J131" s="1361">
        <v>21490000</v>
      </c>
      <c r="K131" s="1362">
        <v>17621630</v>
      </c>
      <c r="L131" s="1356">
        <v>0</v>
      </c>
      <c r="M131" s="1356">
        <v>0</v>
      </c>
      <c r="N131" s="1361">
        <f t="shared" si="44"/>
        <v>3868370</v>
      </c>
      <c r="O131" s="1363"/>
      <c r="P131" s="1356">
        <v>0</v>
      </c>
      <c r="Q131" s="1364">
        <v>1001907</v>
      </c>
      <c r="R131" s="1365">
        <f t="shared" si="45"/>
        <v>2866463</v>
      </c>
      <c r="S131" s="1364"/>
      <c r="T131" s="1366">
        <f t="shared" si="46"/>
        <v>0</v>
      </c>
      <c r="U131" s="1367">
        <f>IF($R131-SUM($T131:T131)=0,0,IF(OR($R131&lt;=0,$R131&lt;=SUM($T131:T131)),0,IF((IF($J131=0,$O131,$J131)*$I131)&gt;=($R131-SUM($T131:T131)),($R131-SUM($T131:T131)),IF($J131=0,$O131,$J131)*$I131)))</f>
        <v>2149000</v>
      </c>
      <c r="V131" s="1367">
        <f>IF($R131-SUM($T131:U131)=0,0,IF(OR($R131&lt;=0,$R131&lt;=SUM($T131:U131)),0,IF((IF($J131=0,$O131,$J131)*$I131)&gt;=($R131-SUM($T131:U131)),($R131-SUM($T131:U131)),IF($J131=0,$O131,$J131)*$I131)))</f>
        <v>717463</v>
      </c>
      <c r="W131" s="1367">
        <f>IF($R131-SUM($T131:V131)=0,0,IF(OR($R131&lt;=0,$R131&lt;=SUM($T131:V131)),0,IF((IF($J131=0,$O131,$J131)*$I131)&gt;=($R131-SUM($T131:V131)),($R131-SUM($T131:V131)),IF($J131=0,$O131,$J131)*$I131)))</f>
        <v>0</v>
      </c>
      <c r="X131" s="1367">
        <f>IF($R131-SUM($T131:W131)=0,0,IF(OR($R131&lt;=0,$R131&lt;=SUM($T131:W131)),0,IF((IF($J131=0,$O131,$J131)*$I131)&gt;=($R131-SUM($T131:W131)),($R131-SUM($T131:W131)),IF($J131=0,$O131,$J131)*$I131)))</f>
        <v>0</v>
      </c>
      <c r="Y131" s="1367">
        <f>IF($R131-SUM($T131:X131)=0,0,IF(OR($R131&lt;=0,$R131&lt;=SUM($T131:X131)),0,IF((IF($J131=0,$O131,$J131)*$I131)&gt;=($R131-SUM($T131:X131)),($R131-SUM($T131:X131)),IF($J131=0,$O131,$J131)*$I131)))</f>
        <v>0</v>
      </c>
      <c r="Z131" s="1367">
        <f>IF($R131-SUM($T131:Y131)=0,0,IF(OR($R131&lt;=0,$R131&lt;=SUM($T131:Y131)),0,IF((IF($J131=0,$O131,$J131)*$I131)&gt;=($R131-SUM($T131:Y131)),($R131-SUM($T131:Y131)),IF($J131=0,$O131,$J131)*$I131)))</f>
        <v>0</v>
      </c>
      <c r="AA131" s="1367">
        <f>IF($R131-SUM($T131:Z131)=0,0,IF(OR($R131&lt;=0,$R131&lt;=SUM($T131:Z131)),0,IF((IF($J131=0,$O131,$J131)*$I131)&gt;=($R131-SUM($T131:Z131)),($R131-SUM($T131:Z131)),IF($J131=0,$O131,$J131)*$I131)))</f>
        <v>0</v>
      </c>
      <c r="AB131" s="1367">
        <f>IF($R131-SUM($T131:AA131)=0,0,IF(OR($R131&lt;=0,$R131&lt;=SUM($T131:AA131)),0,IF((IF($J131=0,$O131,$J131)*$I131)&gt;=($R131-SUM($T131:AA131)),($R131-SUM($T131:AA131)),IF($J131=0,$O131,$J131)*$I131)))</f>
        <v>0</v>
      </c>
      <c r="AC131" s="1367">
        <f>IF($R131-SUM($T131:AB131)=0,0,IF(OR($R131&lt;=0,$R131&lt;=SUM($T131:AB131)),0,IF((IF($J131=0,$O131,$J131)*$I131)&gt;=($R131-SUM($T131:AB131)),($R131-SUM($T131:AB131)),IF($J131=0,$O131,$J131)*$I131)))</f>
        <v>0</v>
      </c>
      <c r="AD131" s="1367">
        <f>IF($R131-SUM($T131:AC131)=0,0,IF(OR($R131&lt;=0,$R131&lt;=SUM($T131:AC131)),0,IF((IF($J131=0,$O131,$J131)*$I131)&gt;=($R131-SUM($T131:AC131)),($R131-SUM($T131:AC131)),IF($J131=0,$O131,$J131)*$I131)))</f>
        <v>0</v>
      </c>
      <c r="AF131" s="1319" t="b">
        <f t="shared" si="47"/>
        <v>1</v>
      </c>
      <c r="AG131" s="1319" t="str">
        <f t="shared" si="48"/>
        <v>Checked</v>
      </c>
      <c r="AH131" s="1318" t="b">
        <f t="shared" si="49"/>
        <v>1</v>
      </c>
    </row>
    <row r="132" spans="2:34" outlineLevel="1" x14ac:dyDescent="0.3">
      <c r="B132" s="1356" t="s">
        <v>2277</v>
      </c>
      <c r="C132" s="1356" t="s">
        <v>1971</v>
      </c>
      <c r="D132" s="1322" t="s">
        <v>2278</v>
      </c>
      <c r="E132" s="1357">
        <v>10</v>
      </c>
      <c r="F132" s="1333">
        <f t="shared" si="40"/>
        <v>4</v>
      </c>
      <c r="G132" s="1358">
        <f t="shared" si="41"/>
        <v>0</v>
      </c>
      <c r="H132" s="1359">
        <f t="shared" si="42"/>
        <v>0</v>
      </c>
      <c r="I132" s="1360">
        <f t="shared" si="43"/>
        <v>0.1</v>
      </c>
      <c r="J132" s="1361">
        <v>14400000</v>
      </c>
      <c r="K132" s="1362">
        <v>11738452</v>
      </c>
      <c r="L132" s="1356">
        <v>0</v>
      </c>
      <c r="M132" s="1356">
        <v>0</v>
      </c>
      <c r="N132" s="1361">
        <f t="shared" si="44"/>
        <v>2661548</v>
      </c>
      <c r="O132" s="1363"/>
      <c r="P132" s="1356">
        <v>0</v>
      </c>
      <c r="Q132" s="1364">
        <v>689340</v>
      </c>
      <c r="R132" s="1365">
        <f t="shared" si="45"/>
        <v>1972208</v>
      </c>
      <c r="S132" s="1364"/>
      <c r="T132" s="1366">
        <f t="shared" si="46"/>
        <v>0</v>
      </c>
      <c r="U132" s="1367">
        <f>IF($R132-SUM($T132:T132)=0,0,IF(OR($R132&lt;=0,$R132&lt;=SUM($T132:T132)),0,IF((IF($J132=0,$O132,$J132)*$I132)&gt;=($R132-SUM($T132:T132)),($R132-SUM($T132:T132)),IF($J132=0,$O132,$J132)*$I132)))</f>
        <v>1440000</v>
      </c>
      <c r="V132" s="1367">
        <f>IF($R132-SUM($T132:U132)=0,0,IF(OR($R132&lt;=0,$R132&lt;=SUM($T132:U132)),0,IF((IF($J132=0,$O132,$J132)*$I132)&gt;=($R132-SUM($T132:U132)),($R132-SUM($T132:U132)),IF($J132=0,$O132,$J132)*$I132)))</f>
        <v>532208</v>
      </c>
      <c r="W132" s="1367">
        <f>IF($R132-SUM($T132:V132)=0,0,IF(OR($R132&lt;=0,$R132&lt;=SUM($T132:V132)),0,IF((IF($J132=0,$O132,$J132)*$I132)&gt;=($R132-SUM($T132:V132)),($R132-SUM($T132:V132)),IF($J132=0,$O132,$J132)*$I132)))</f>
        <v>0</v>
      </c>
      <c r="X132" s="1367">
        <f>IF($R132-SUM($T132:W132)=0,0,IF(OR($R132&lt;=0,$R132&lt;=SUM($T132:W132)),0,IF((IF($J132=0,$O132,$J132)*$I132)&gt;=($R132-SUM($T132:W132)),($R132-SUM($T132:W132)),IF($J132=0,$O132,$J132)*$I132)))</f>
        <v>0</v>
      </c>
      <c r="Y132" s="1367">
        <f>IF($R132-SUM($T132:X132)=0,0,IF(OR($R132&lt;=0,$R132&lt;=SUM($T132:X132)),0,IF((IF($J132=0,$O132,$J132)*$I132)&gt;=($R132-SUM($T132:X132)),($R132-SUM($T132:X132)),IF($J132=0,$O132,$J132)*$I132)))</f>
        <v>0</v>
      </c>
      <c r="Z132" s="1367">
        <f>IF($R132-SUM($T132:Y132)=0,0,IF(OR($R132&lt;=0,$R132&lt;=SUM($T132:Y132)),0,IF((IF($J132=0,$O132,$J132)*$I132)&gt;=($R132-SUM($T132:Y132)),($R132-SUM($T132:Y132)),IF($J132=0,$O132,$J132)*$I132)))</f>
        <v>0</v>
      </c>
      <c r="AA132" s="1367">
        <f>IF($R132-SUM($T132:Z132)=0,0,IF(OR($R132&lt;=0,$R132&lt;=SUM($T132:Z132)),0,IF((IF($J132=0,$O132,$J132)*$I132)&gt;=($R132-SUM($T132:Z132)),($R132-SUM($T132:Z132)),IF($J132=0,$O132,$J132)*$I132)))</f>
        <v>0</v>
      </c>
      <c r="AB132" s="1367">
        <f>IF($R132-SUM($T132:AA132)=0,0,IF(OR($R132&lt;=0,$R132&lt;=SUM($T132:AA132)),0,IF((IF($J132=0,$O132,$J132)*$I132)&gt;=($R132-SUM($T132:AA132)),($R132-SUM($T132:AA132)),IF($J132=0,$O132,$J132)*$I132)))</f>
        <v>0</v>
      </c>
      <c r="AC132" s="1367">
        <f>IF($R132-SUM($T132:AB132)=0,0,IF(OR($R132&lt;=0,$R132&lt;=SUM($T132:AB132)),0,IF((IF($J132=0,$O132,$J132)*$I132)&gt;=($R132-SUM($T132:AB132)),($R132-SUM($T132:AB132)),IF($J132=0,$O132,$J132)*$I132)))</f>
        <v>0</v>
      </c>
      <c r="AD132" s="1367">
        <f>IF($R132-SUM($T132:AC132)=0,0,IF(OR($R132&lt;=0,$R132&lt;=SUM($T132:AC132)),0,IF((IF($J132=0,$O132,$J132)*$I132)&gt;=($R132-SUM($T132:AC132)),($R132-SUM($T132:AC132)),IF($J132=0,$O132,$J132)*$I132)))</f>
        <v>0</v>
      </c>
      <c r="AF132" s="1319" t="b">
        <f t="shared" si="47"/>
        <v>1</v>
      </c>
      <c r="AG132" s="1319" t="str">
        <f t="shared" si="48"/>
        <v>Checked</v>
      </c>
      <c r="AH132" s="1318" t="b">
        <f t="shared" si="49"/>
        <v>1</v>
      </c>
    </row>
    <row r="133" spans="2:34" outlineLevel="1" x14ac:dyDescent="0.3">
      <c r="B133" s="1356" t="s">
        <v>2279</v>
      </c>
      <c r="C133" s="1356" t="s">
        <v>1971</v>
      </c>
      <c r="D133" s="1322" t="s">
        <v>2280</v>
      </c>
      <c r="E133" s="1357">
        <v>10</v>
      </c>
      <c r="F133" s="1333">
        <f t="shared" si="40"/>
        <v>4</v>
      </c>
      <c r="G133" s="1358">
        <f t="shared" si="41"/>
        <v>0</v>
      </c>
      <c r="H133" s="1359">
        <f t="shared" si="42"/>
        <v>0</v>
      </c>
      <c r="I133" s="1360">
        <f t="shared" si="43"/>
        <v>0.1</v>
      </c>
      <c r="J133" s="1361">
        <v>3000000</v>
      </c>
      <c r="K133" s="1362">
        <v>2503371</v>
      </c>
      <c r="L133" s="1356">
        <v>0</v>
      </c>
      <c r="M133" s="1356">
        <v>0</v>
      </c>
      <c r="N133" s="1361">
        <f t="shared" si="44"/>
        <v>496629</v>
      </c>
      <c r="O133" s="1363"/>
      <c r="P133" s="1356">
        <v>0</v>
      </c>
      <c r="Q133" s="1364">
        <v>128626</v>
      </c>
      <c r="R133" s="1365">
        <f t="shared" si="45"/>
        <v>368003</v>
      </c>
      <c r="S133" s="1364"/>
      <c r="T133" s="1366">
        <f t="shared" si="46"/>
        <v>0</v>
      </c>
      <c r="U133" s="1367">
        <f>IF($R133-SUM($T133:T133)=0,0,IF(OR($R133&lt;=0,$R133&lt;=SUM($T133:T133)),0,IF((IF($J133=0,$O133,$J133)*$I133)&gt;=($R133-SUM($T133:T133)),($R133-SUM($T133:T133)),IF($J133=0,$O133,$J133)*$I133)))</f>
        <v>300000</v>
      </c>
      <c r="V133" s="1367">
        <f>IF($R133-SUM($T133:U133)=0,0,IF(OR($R133&lt;=0,$R133&lt;=SUM($T133:U133)),0,IF((IF($J133=0,$O133,$J133)*$I133)&gt;=($R133-SUM($T133:U133)),($R133-SUM($T133:U133)),IF($J133=0,$O133,$J133)*$I133)))</f>
        <v>68003</v>
      </c>
      <c r="W133" s="1367">
        <f>IF($R133-SUM($T133:V133)=0,0,IF(OR($R133&lt;=0,$R133&lt;=SUM($T133:V133)),0,IF((IF($J133=0,$O133,$J133)*$I133)&gt;=($R133-SUM($T133:V133)),($R133-SUM($T133:V133)),IF($J133=0,$O133,$J133)*$I133)))</f>
        <v>0</v>
      </c>
      <c r="X133" s="1367">
        <f>IF($R133-SUM($T133:W133)=0,0,IF(OR($R133&lt;=0,$R133&lt;=SUM($T133:W133)),0,IF((IF($J133=0,$O133,$J133)*$I133)&gt;=($R133-SUM($T133:W133)),($R133-SUM($T133:W133)),IF($J133=0,$O133,$J133)*$I133)))</f>
        <v>0</v>
      </c>
      <c r="Y133" s="1367">
        <f>IF($R133-SUM($T133:X133)=0,0,IF(OR($R133&lt;=0,$R133&lt;=SUM($T133:X133)),0,IF((IF($J133=0,$O133,$J133)*$I133)&gt;=($R133-SUM($T133:X133)),($R133-SUM($T133:X133)),IF($J133=0,$O133,$J133)*$I133)))</f>
        <v>0</v>
      </c>
      <c r="Z133" s="1367">
        <f>IF($R133-SUM($T133:Y133)=0,0,IF(OR($R133&lt;=0,$R133&lt;=SUM($T133:Y133)),0,IF((IF($J133=0,$O133,$J133)*$I133)&gt;=($R133-SUM($T133:Y133)),($R133-SUM($T133:Y133)),IF($J133=0,$O133,$J133)*$I133)))</f>
        <v>0</v>
      </c>
      <c r="AA133" s="1367">
        <f>IF($R133-SUM($T133:Z133)=0,0,IF(OR($R133&lt;=0,$R133&lt;=SUM($T133:Z133)),0,IF((IF($J133=0,$O133,$J133)*$I133)&gt;=($R133-SUM($T133:Z133)),($R133-SUM($T133:Z133)),IF($J133=0,$O133,$J133)*$I133)))</f>
        <v>0</v>
      </c>
      <c r="AB133" s="1367">
        <f>IF($R133-SUM($T133:AA133)=0,0,IF(OR($R133&lt;=0,$R133&lt;=SUM($T133:AA133)),0,IF((IF($J133=0,$O133,$J133)*$I133)&gt;=($R133-SUM($T133:AA133)),($R133-SUM($T133:AA133)),IF($J133=0,$O133,$J133)*$I133)))</f>
        <v>0</v>
      </c>
      <c r="AC133" s="1367">
        <f>IF($R133-SUM($T133:AB133)=0,0,IF(OR($R133&lt;=0,$R133&lt;=SUM($T133:AB133)),0,IF((IF($J133=0,$O133,$J133)*$I133)&gt;=($R133-SUM($T133:AB133)),($R133-SUM($T133:AB133)),IF($J133=0,$O133,$J133)*$I133)))</f>
        <v>0</v>
      </c>
      <c r="AD133" s="1367">
        <f>IF($R133-SUM($T133:AC133)=0,0,IF(OR($R133&lt;=0,$R133&lt;=SUM($T133:AC133)),0,IF((IF($J133=0,$O133,$J133)*$I133)&gt;=($R133-SUM($T133:AC133)),($R133-SUM($T133:AC133)),IF($J133=0,$O133,$J133)*$I133)))</f>
        <v>0</v>
      </c>
      <c r="AF133" s="1319" t="b">
        <f t="shared" si="47"/>
        <v>1</v>
      </c>
      <c r="AG133" s="1319" t="str">
        <f t="shared" si="48"/>
        <v>Checked</v>
      </c>
      <c r="AH133" s="1318" t="b">
        <f t="shared" si="49"/>
        <v>1</v>
      </c>
    </row>
    <row r="134" spans="2:34" outlineLevel="1" x14ac:dyDescent="0.3">
      <c r="B134" s="1356" t="s">
        <v>2279</v>
      </c>
      <c r="C134" s="1356" t="s">
        <v>1971</v>
      </c>
      <c r="D134" s="1322" t="s">
        <v>2281</v>
      </c>
      <c r="E134" s="1357">
        <v>10</v>
      </c>
      <c r="F134" s="1333">
        <f t="shared" si="40"/>
        <v>4</v>
      </c>
      <c r="G134" s="1358">
        <f t="shared" si="41"/>
        <v>0</v>
      </c>
      <c r="H134" s="1359">
        <f t="shared" si="42"/>
        <v>0</v>
      </c>
      <c r="I134" s="1360">
        <f t="shared" si="43"/>
        <v>0.1</v>
      </c>
      <c r="J134" s="1361">
        <v>1500000</v>
      </c>
      <c r="K134" s="1362">
        <v>1251685</v>
      </c>
      <c r="L134" s="1356">
        <v>0</v>
      </c>
      <c r="M134" s="1356">
        <v>0</v>
      </c>
      <c r="N134" s="1361">
        <f t="shared" si="44"/>
        <v>248315</v>
      </c>
      <c r="O134" s="1363"/>
      <c r="P134" s="1356">
        <v>0</v>
      </c>
      <c r="Q134" s="1364">
        <v>64313</v>
      </c>
      <c r="R134" s="1365">
        <f t="shared" si="45"/>
        <v>184002</v>
      </c>
      <c r="S134" s="1364"/>
      <c r="T134" s="1366">
        <f t="shared" si="46"/>
        <v>0</v>
      </c>
      <c r="U134" s="1367">
        <f>IF($R134-SUM($T134:T134)=0,0,IF(OR($R134&lt;=0,$R134&lt;=SUM($T134:T134)),0,IF((IF($J134=0,$O134,$J134)*$I134)&gt;=($R134-SUM($T134:T134)),($R134-SUM($T134:T134)),IF($J134=0,$O134,$J134)*$I134)))</f>
        <v>150000</v>
      </c>
      <c r="V134" s="1367">
        <f>IF($R134-SUM($T134:U134)=0,0,IF(OR($R134&lt;=0,$R134&lt;=SUM($T134:U134)),0,IF((IF($J134=0,$O134,$J134)*$I134)&gt;=($R134-SUM($T134:U134)),($R134-SUM($T134:U134)),IF($J134=0,$O134,$J134)*$I134)))</f>
        <v>34002</v>
      </c>
      <c r="W134" s="1367">
        <f>IF($R134-SUM($T134:V134)=0,0,IF(OR($R134&lt;=0,$R134&lt;=SUM($T134:V134)),0,IF((IF($J134=0,$O134,$J134)*$I134)&gt;=($R134-SUM($T134:V134)),($R134-SUM($T134:V134)),IF($J134=0,$O134,$J134)*$I134)))</f>
        <v>0</v>
      </c>
      <c r="X134" s="1367">
        <f>IF($R134-SUM($T134:W134)=0,0,IF(OR($R134&lt;=0,$R134&lt;=SUM($T134:W134)),0,IF((IF($J134=0,$O134,$J134)*$I134)&gt;=($R134-SUM($T134:W134)),($R134-SUM($T134:W134)),IF($J134=0,$O134,$J134)*$I134)))</f>
        <v>0</v>
      </c>
      <c r="Y134" s="1367">
        <f>IF($R134-SUM($T134:X134)=0,0,IF(OR($R134&lt;=0,$R134&lt;=SUM($T134:X134)),0,IF((IF($J134=0,$O134,$J134)*$I134)&gt;=($R134-SUM($T134:X134)),($R134-SUM($T134:X134)),IF($J134=0,$O134,$J134)*$I134)))</f>
        <v>0</v>
      </c>
      <c r="Z134" s="1367">
        <f>IF($R134-SUM($T134:Y134)=0,0,IF(OR($R134&lt;=0,$R134&lt;=SUM($T134:Y134)),0,IF((IF($J134=0,$O134,$J134)*$I134)&gt;=($R134-SUM($T134:Y134)),($R134-SUM($T134:Y134)),IF($J134=0,$O134,$J134)*$I134)))</f>
        <v>0</v>
      </c>
      <c r="AA134" s="1367">
        <f>IF($R134-SUM($T134:Z134)=0,0,IF(OR($R134&lt;=0,$R134&lt;=SUM($T134:Z134)),0,IF((IF($J134=0,$O134,$J134)*$I134)&gt;=($R134-SUM($T134:Z134)),($R134-SUM($T134:Z134)),IF($J134=0,$O134,$J134)*$I134)))</f>
        <v>0</v>
      </c>
      <c r="AB134" s="1367">
        <f>IF($R134-SUM($T134:AA134)=0,0,IF(OR($R134&lt;=0,$R134&lt;=SUM($T134:AA134)),0,IF((IF($J134=0,$O134,$J134)*$I134)&gt;=($R134-SUM($T134:AA134)),($R134-SUM($T134:AA134)),IF($J134=0,$O134,$J134)*$I134)))</f>
        <v>0</v>
      </c>
      <c r="AC134" s="1367">
        <f>IF($R134-SUM($T134:AB134)=0,0,IF(OR($R134&lt;=0,$R134&lt;=SUM($T134:AB134)),0,IF((IF($J134=0,$O134,$J134)*$I134)&gt;=($R134-SUM($T134:AB134)),($R134-SUM($T134:AB134)),IF($J134=0,$O134,$J134)*$I134)))</f>
        <v>0</v>
      </c>
      <c r="AD134" s="1367">
        <f>IF($R134-SUM($T134:AC134)=0,0,IF(OR($R134&lt;=0,$R134&lt;=SUM($T134:AC134)),0,IF((IF($J134=0,$O134,$J134)*$I134)&gt;=($R134-SUM($T134:AC134)),($R134-SUM($T134:AC134)),IF($J134=0,$O134,$J134)*$I134)))</f>
        <v>0</v>
      </c>
      <c r="AF134" s="1319" t="b">
        <f t="shared" si="47"/>
        <v>1</v>
      </c>
      <c r="AG134" s="1319" t="str">
        <f t="shared" si="48"/>
        <v>Checked</v>
      </c>
      <c r="AH134" s="1318" t="b">
        <f t="shared" si="49"/>
        <v>1</v>
      </c>
    </row>
    <row r="135" spans="2:34" outlineLevel="1" x14ac:dyDescent="0.3">
      <c r="B135" s="1356" t="s">
        <v>2282</v>
      </c>
      <c r="C135" s="1356" t="s">
        <v>1971</v>
      </c>
      <c r="D135" s="1322" t="s">
        <v>2283</v>
      </c>
      <c r="E135" s="1357">
        <v>10</v>
      </c>
      <c r="F135" s="1333">
        <f t="shared" si="40"/>
        <v>4</v>
      </c>
      <c r="G135" s="1358">
        <f t="shared" si="41"/>
        <v>0</v>
      </c>
      <c r="H135" s="1359">
        <f t="shared" si="42"/>
        <v>0</v>
      </c>
      <c r="I135" s="1360">
        <f t="shared" si="43"/>
        <v>0.1</v>
      </c>
      <c r="J135" s="1361">
        <v>75000000</v>
      </c>
      <c r="K135" s="1362">
        <v>60052871</v>
      </c>
      <c r="L135" s="1356">
        <v>0</v>
      </c>
      <c r="M135" s="1356">
        <v>0</v>
      </c>
      <c r="N135" s="1361">
        <f t="shared" si="44"/>
        <v>14947129</v>
      </c>
      <c r="O135" s="1363"/>
      <c r="P135" s="1356">
        <v>0</v>
      </c>
      <c r="Q135" s="1364">
        <v>3871306</v>
      </c>
      <c r="R135" s="1365">
        <f t="shared" si="45"/>
        <v>11075823</v>
      </c>
      <c r="S135" s="1364"/>
      <c r="T135" s="1366">
        <f t="shared" si="46"/>
        <v>0</v>
      </c>
      <c r="U135" s="1367">
        <f>IF($R135-SUM($T135:T135)=0,0,IF(OR($R135&lt;=0,$R135&lt;=SUM($T135:T135)),0,IF((IF($J135=0,$O135,$J135)*$I135)&gt;=($R135-SUM($T135:T135)),($R135-SUM($T135:T135)),IF($J135=0,$O135,$J135)*$I135)))</f>
        <v>7500000</v>
      </c>
      <c r="V135" s="1367">
        <f>IF($R135-SUM($T135:U135)=0,0,IF(OR($R135&lt;=0,$R135&lt;=SUM($T135:U135)),0,IF((IF($J135=0,$O135,$J135)*$I135)&gt;=($R135-SUM($T135:U135)),($R135-SUM($T135:U135)),IF($J135=0,$O135,$J135)*$I135)))</f>
        <v>3575823</v>
      </c>
      <c r="W135" s="1367">
        <f>IF($R135-SUM($T135:V135)=0,0,IF(OR($R135&lt;=0,$R135&lt;=SUM($T135:V135)),0,IF((IF($J135=0,$O135,$J135)*$I135)&gt;=($R135-SUM($T135:V135)),($R135-SUM($T135:V135)),IF($J135=0,$O135,$J135)*$I135)))</f>
        <v>0</v>
      </c>
      <c r="X135" s="1367">
        <f>IF($R135-SUM($T135:W135)=0,0,IF(OR($R135&lt;=0,$R135&lt;=SUM($T135:W135)),0,IF((IF($J135=0,$O135,$J135)*$I135)&gt;=($R135-SUM($T135:W135)),($R135-SUM($T135:W135)),IF($J135=0,$O135,$J135)*$I135)))</f>
        <v>0</v>
      </c>
      <c r="Y135" s="1367">
        <f>IF($R135-SUM($T135:X135)=0,0,IF(OR($R135&lt;=0,$R135&lt;=SUM($T135:X135)),0,IF((IF($J135=0,$O135,$J135)*$I135)&gt;=($R135-SUM($T135:X135)),($R135-SUM($T135:X135)),IF($J135=0,$O135,$J135)*$I135)))</f>
        <v>0</v>
      </c>
      <c r="Z135" s="1367">
        <f>IF($R135-SUM($T135:Y135)=0,0,IF(OR($R135&lt;=0,$R135&lt;=SUM($T135:Y135)),0,IF((IF($J135=0,$O135,$J135)*$I135)&gt;=($R135-SUM($T135:Y135)),($R135-SUM($T135:Y135)),IF($J135=0,$O135,$J135)*$I135)))</f>
        <v>0</v>
      </c>
      <c r="AA135" s="1367">
        <f>IF($R135-SUM($T135:Z135)=0,0,IF(OR($R135&lt;=0,$R135&lt;=SUM($T135:Z135)),0,IF((IF($J135=0,$O135,$J135)*$I135)&gt;=($R135-SUM($T135:Z135)),($R135-SUM($T135:Z135)),IF($J135=0,$O135,$J135)*$I135)))</f>
        <v>0</v>
      </c>
      <c r="AB135" s="1367">
        <f>IF($R135-SUM($T135:AA135)=0,0,IF(OR($R135&lt;=0,$R135&lt;=SUM($T135:AA135)),0,IF((IF($J135=0,$O135,$J135)*$I135)&gt;=($R135-SUM($T135:AA135)),($R135-SUM($T135:AA135)),IF($J135=0,$O135,$J135)*$I135)))</f>
        <v>0</v>
      </c>
      <c r="AC135" s="1367">
        <f>IF($R135-SUM($T135:AB135)=0,0,IF(OR($R135&lt;=0,$R135&lt;=SUM($T135:AB135)),0,IF((IF($J135=0,$O135,$J135)*$I135)&gt;=($R135-SUM($T135:AB135)),($R135-SUM($T135:AB135)),IF($J135=0,$O135,$J135)*$I135)))</f>
        <v>0</v>
      </c>
      <c r="AD135" s="1367">
        <f>IF($R135-SUM($T135:AC135)=0,0,IF(OR($R135&lt;=0,$R135&lt;=SUM($T135:AC135)),0,IF((IF($J135=0,$O135,$J135)*$I135)&gt;=($R135-SUM($T135:AC135)),($R135-SUM($T135:AC135)),IF($J135=0,$O135,$J135)*$I135)))</f>
        <v>0</v>
      </c>
      <c r="AF135" s="1319" t="b">
        <f t="shared" si="47"/>
        <v>1</v>
      </c>
      <c r="AG135" s="1319" t="str">
        <f t="shared" si="48"/>
        <v>Checked</v>
      </c>
      <c r="AH135" s="1318" t="b">
        <f t="shared" si="49"/>
        <v>1</v>
      </c>
    </row>
    <row r="136" spans="2:34" outlineLevel="1" x14ac:dyDescent="0.3">
      <c r="B136" s="1356" t="s">
        <v>2284</v>
      </c>
      <c r="C136" s="1356" t="s">
        <v>1971</v>
      </c>
      <c r="D136" s="1322" t="s">
        <v>2285</v>
      </c>
      <c r="E136" s="1357">
        <v>10</v>
      </c>
      <c r="F136" s="1333">
        <f t="shared" si="40"/>
        <v>4</v>
      </c>
      <c r="G136" s="1358">
        <f t="shared" si="41"/>
        <v>0</v>
      </c>
      <c r="H136" s="1359">
        <f t="shared" si="42"/>
        <v>0</v>
      </c>
      <c r="I136" s="1360">
        <f t="shared" si="43"/>
        <v>0.1</v>
      </c>
      <c r="J136" s="1361">
        <v>8182000</v>
      </c>
      <c r="K136" s="1362">
        <v>6433011</v>
      </c>
      <c r="L136" s="1356">
        <v>0</v>
      </c>
      <c r="M136" s="1356">
        <v>0</v>
      </c>
      <c r="N136" s="1361">
        <f t="shared" si="44"/>
        <v>1748989</v>
      </c>
      <c r="O136" s="1363"/>
      <c r="P136" s="1356">
        <v>0</v>
      </c>
      <c r="Q136" s="1364">
        <v>452988</v>
      </c>
      <c r="R136" s="1365">
        <f t="shared" si="45"/>
        <v>1296001</v>
      </c>
      <c r="S136" s="1364"/>
      <c r="T136" s="1366">
        <f t="shared" si="46"/>
        <v>0</v>
      </c>
      <c r="U136" s="1367">
        <f>IF($R136-SUM($T136:T136)=0,0,IF(OR($R136&lt;=0,$R136&lt;=SUM($T136:T136)),0,IF((IF($J136=0,$O136,$J136)*$I136)&gt;=($R136-SUM($T136:T136)),($R136-SUM($T136:T136)),IF($J136=0,$O136,$J136)*$I136)))</f>
        <v>818200</v>
      </c>
      <c r="V136" s="1367">
        <f>IF($R136-SUM($T136:U136)=0,0,IF(OR($R136&lt;=0,$R136&lt;=SUM($T136:U136)),0,IF((IF($J136=0,$O136,$J136)*$I136)&gt;=($R136-SUM($T136:U136)),($R136-SUM($T136:U136)),IF($J136=0,$O136,$J136)*$I136)))</f>
        <v>477801</v>
      </c>
      <c r="W136" s="1367">
        <f>IF($R136-SUM($T136:V136)=0,0,IF(OR($R136&lt;=0,$R136&lt;=SUM($T136:V136)),0,IF((IF($J136=0,$O136,$J136)*$I136)&gt;=($R136-SUM($T136:V136)),($R136-SUM($T136:V136)),IF($J136=0,$O136,$J136)*$I136)))</f>
        <v>0</v>
      </c>
      <c r="X136" s="1367">
        <f>IF($R136-SUM($T136:W136)=0,0,IF(OR($R136&lt;=0,$R136&lt;=SUM($T136:W136)),0,IF((IF($J136=0,$O136,$J136)*$I136)&gt;=($R136-SUM($T136:W136)),($R136-SUM($T136:W136)),IF($J136=0,$O136,$J136)*$I136)))</f>
        <v>0</v>
      </c>
      <c r="Y136" s="1367">
        <f>IF($R136-SUM($T136:X136)=0,0,IF(OR($R136&lt;=0,$R136&lt;=SUM($T136:X136)),0,IF((IF($J136=0,$O136,$J136)*$I136)&gt;=($R136-SUM($T136:X136)),($R136-SUM($T136:X136)),IF($J136=0,$O136,$J136)*$I136)))</f>
        <v>0</v>
      </c>
      <c r="Z136" s="1367">
        <f>IF($R136-SUM($T136:Y136)=0,0,IF(OR($R136&lt;=0,$R136&lt;=SUM($T136:Y136)),0,IF((IF($J136=0,$O136,$J136)*$I136)&gt;=($R136-SUM($T136:Y136)),($R136-SUM($T136:Y136)),IF($J136=0,$O136,$J136)*$I136)))</f>
        <v>0</v>
      </c>
      <c r="AA136" s="1367">
        <f>IF($R136-SUM($T136:Z136)=0,0,IF(OR($R136&lt;=0,$R136&lt;=SUM($T136:Z136)),0,IF((IF($J136=0,$O136,$J136)*$I136)&gt;=($R136-SUM($T136:Z136)),($R136-SUM($T136:Z136)),IF($J136=0,$O136,$J136)*$I136)))</f>
        <v>0</v>
      </c>
      <c r="AB136" s="1367">
        <f>IF($R136-SUM($T136:AA136)=0,0,IF(OR($R136&lt;=0,$R136&lt;=SUM($T136:AA136)),0,IF((IF($J136=0,$O136,$J136)*$I136)&gt;=($R136-SUM($T136:AA136)),($R136-SUM($T136:AA136)),IF($J136=0,$O136,$J136)*$I136)))</f>
        <v>0</v>
      </c>
      <c r="AC136" s="1367">
        <f>IF($R136-SUM($T136:AB136)=0,0,IF(OR($R136&lt;=0,$R136&lt;=SUM($T136:AB136)),0,IF((IF($J136=0,$O136,$J136)*$I136)&gt;=($R136-SUM($T136:AB136)),($R136-SUM($T136:AB136)),IF($J136=0,$O136,$J136)*$I136)))</f>
        <v>0</v>
      </c>
      <c r="AD136" s="1367">
        <f>IF($R136-SUM($T136:AC136)=0,0,IF(OR($R136&lt;=0,$R136&lt;=SUM($T136:AC136)),0,IF((IF($J136=0,$O136,$J136)*$I136)&gt;=($R136-SUM($T136:AC136)),($R136-SUM($T136:AC136)),IF($J136=0,$O136,$J136)*$I136)))</f>
        <v>0</v>
      </c>
      <c r="AF136" s="1319" t="b">
        <f t="shared" si="47"/>
        <v>1</v>
      </c>
      <c r="AG136" s="1319" t="str">
        <f t="shared" si="48"/>
        <v>Checked</v>
      </c>
      <c r="AH136" s="1318" t="b">
        <f t="shared" si="49"/>
        <v>1</v>
      </c>
    </row>
    <row r="137" spans="2:34" outlineLevel="1" x14ac:dyDescent="0.3">
      <c r="B137" s="1356" t="s">
        <v>2286</v>
      </c>
      <c r="C137" s="1356" t="s">
        <v>1971</v>
      </c>
      <c r="D137" s="1322" t="s">
        <v>2285</v>
      </c>
      <c r="E137" s="1357">
        <v>10</v>
      </c>
      <c r="F137" s="1333">
        <f t="shared" si="40"/>
        <v>4</v>
      </c>
      <c r="G137" s="1358">
        <f t="shared" si="41"/>
        <v>0</v>
      </c>
      <c r="H137" s="1359">
        <f t="shared" si="42"/>
        <v>0</v>
      </c>
      <c r="I137" s="1360">
        <f t="shared" si="43"/>
        <v>0.1</v>
      </c>
      <c r="J137" s="1361">
        <v>8182000</v>
      </c>
      <c r="K137" s="1362">
        <v>6433011</v>
      </c>
      <c r="L137" s="1356">
        <v>0</v>
      </c>
      <c r="M137" s="1356">
        <v>0</v>
      </c>
      <c r="N137" s="1361">
        <f t="shared" si="44"/>
        <v>1748989</v>
      </c>
      <c r="O137" s="1363"/>
      <c r="P137" s="1356">
        <v>0</v>
      </c>
      <c r="Q137" s="1364">
        <v>452988</v>
      </c>
      <c r="R137" s="1365">
        <f t="shared" si="45"/>
        <v>1296001</v>
      </c>
      <c r="S137" s="1364"/>
      <c r="T137" s="1366">
        <f t="shared" si="46"/>
        <v>0</v>
      </c>
      <c r="U137" s="1367">
        <f>IF($R137-SUM($T137:T137)=0,0,IF(OR($R137&lt;=0,$R137&lt;=SUM($T137:T137)),0,IF((IF($J137=0,$O137,$J137)*$I137)&gt;=($R137-SUM($T137:T137)),($R137-SUM($T137:T137)),IF($J137=0,$O137,$J137)*$I137)))</f>
        <v>818200</v>
      </c>
      <c r="V137" s="1367">
        <f>IF($R137-SUM($T137:U137)=0,0,IF(OR($R137&lt;=0,$R137&lt;=SUM($T137:U137)),0,IF((IF($J137=0,$O137,$J137)*$I137)&gt;=($R137-SUM($T137:U137)),($R137-SUM($T137:U137)),IF($J137=0,$O137,$J137)*$I137)))</f>
        <v>477801</v>
      </c>
      <c r="W137" s="1367">
        <f>IF($R137-SUM($T137:V137)=0,0,IF(OR($R137&lt;=0,$R137&lt;=SUM($T137:V137)),0,IF((IF($J137=0,$O137,$J137)*$I137)&gt;=($R137-SUM($T137:V137)),($R137-SUM($T137:V137)),IF($J137=0,$O137,$J137)*$I137)))</f>
        <v>0</v>
      </c>
      <c r="X137" s="1367">
        <f>IF($R137-SUM($T137:W137)=0,0,IF(OR($R137&lt;=0,$R137&lt;=SUM($T137:W137)),0,IF((IF($J137=0,$O137,$J137)*$I137)&gt;=($R137-SUM($T137:W137)),($R137-SUM($T137:W137)),IF($J137=0,$O137,$J137)*$I137)))</f>
        <v>0</v>
      </c>
      <c r="Y137" s="1367">
        <f>IF($R137-SUM($T137:X137)=0,0,IF(OR($R137&lt;=0,$R137&lt;=SUM($T137:X137)),0,IF((IF($J137=0,$O137,$J137)*$I137)&gt;=($R137-SUM($T137:X137)),($R137-SUM($T137:X137)),IF($J137=0,$O137,$J137)*$I137)))</f>
        <v>0</v>
      </c>
      <c r="Z137" s="1367">
        <f>IF($R137-SUM($T137:Y137)=0,0,IF(OR($R137&lt;=0,$R137&lt;=SUM($T137:Y137)),0,IF((IF($J137=0,$O137,$J137)*$I137)&gt;=($R137-SUM($T137:Y137)),($R137-SUM($T137:Y137)),IF($J137=0,$O137,$J137)*$I137)))</f>
        <v>0</v>
      </c>
      <c r="AA137" s="1367">
        <f>IF($R137-SUM($T137:Z137)=0,0,IF(OR($R137&lt;=0,$R137&lt;=SUM($T137:Z137)),0,IF((IF($J137=0,$O137,$J137)*$I137)&gt;=($R137-SUM($T137:Z137)),($R137-SUM($T137:Z137)),IF($J137=0,$O137,$J137)*$I137)))</f>
        <v>0</v>
      </c>
      <c r="AB137" s="1367">
        <f>IF($R137-SUM($T137:AA137)=0,0,IF(OR($R137&lt;=0,$R137&lt;=SUM($T137:AA137)),0,IF((IF($J137=0,$O137,$J137)*$I137)&gt;=($R137-SUM($T137:AA137)),($R137-SUM($T137:AA137)),IF($J137=0,$O137,$J137)*$I137)))</f>
        <v>0</v>
      </c>
      <c r="AC137" s="1367">
        <f>IF($R137-SUM($T137:AB137)=0,0,IF(OR($R137&lt;=0,$R137&lt;=SUM($T137:AB137)),0,IF((IF($J137=0,$O137,$J137)*$I137)&gt;=($R137-SUM($T137:AB137)),($R137-SUM($T137:AB137)),IF($J137=0,$O137,$J137)*$I137)))</f>
        <v>0</v>
      </c>
      <c r="AD137" s="1367">
        <f>IF($R137-SUM($T137:AC137)=0,0,IF(OR($R137&lt;=0,$R137&lt;=SUM($T137:AC137)),0,IF((IF($J137=0,$O137,$J137)*$I137)&gt;=($R137-SUM($T137:AC137)),($R137-SUM($T137:AC137)),IF($J137=0,$O137,$J137)*$I137)))</f>
        <v>0</v>
      </c>
      <c r="AF137" s="1319" t="b">
        <f t="shared" si="47"/>
        <v>1</v>
      </c>
      <c r="AG137" s="1319" t="str">
        <f t="shared" si="48"/>
        <v>Checked</v>
      </c>
      <c r="AH137" s="1318" t="b">
        <f t="shared" si="49"/>
        <v>1</v>
      </c>
    </row>
    <row r="138" spans="2:34" outlineLevel="1" x14ac:dyDescent="0.3">
      <c r="B138" s="1356" t="s">
        <v>2287</v>
      </c>
      <c r="C138" s="1356" t="s">
        <v>1971</v>
      </c>
      <c r="D138" s="1322" t="s">
        <v>2285</v>
      </c>
      <c r="E138" s="1357">
        <v>10</v>
      </c>
      <c r="F138" s="1333">
        <f t="shared" si="40"/>
        <v>4</v>
      </c>
      <c r="G138" s="1358">
        <f t="shared" si="41"/>
        <v>0</v>
      </c>
      <c r="H138" s="1359">
        <f t="shared" si="42"/>
        <v>0</v>
      </c>
      <c r="I138" s="1360">
        <f t="shared" si="43"/>
        <v>0.1</v>
      </c>
      <c r="J138" s="1361">
        <v>8182000</v>
      </c>
      <c r="K138" s="1362">
        <v>6433011</v>
      </c>
      <c r="L138" s="1356">
        <v>0</v>
      </c>
      <c r="M138" s="1356">
        <v>0</v>
      </c>
      <c r="N138" s="1361">
        <f t="shared" si="44"/>
        <v>1748989</v>
      </c>
      <c r="O138" s="1363"/>
      <c r="P138" s="1356">
        <v>0</v>
      </c>
      <c r="Q138" s="1364">
        <v>452988</v>
      </c>
      <c r="R138" s="1365">
        <f t="shared" si="45"/>
        <v>1296001</v>
      </c>
      <c r="S138" s="1364"/>
      <c r="T138" s="1366">
        <f t="shared" si="46"/>
        <v>0</v>
      </c>
      <c r="U138" s="1367">
        <f>IF($R138-SUM($T138:T138)=0,0,IF(OR($R138&lt;=0,$R138&lt;=SUM($T138:T138)),0,IF((IF($J138=0,$O138,$J138)*$I138)&gt;=($R138-SUM($T138:T138)),($R138-SUM($T138:T138)),IF($J138=0,$O138,$J138)*$I138)))</f>
        <v>818200</v>
      </c>
      <c r="V138" s="1367">
        <f>IF($R138-SUM($T138:U138)=0,0,IF(OR($R138&lt;=0,$R138&lt;=SUM($T138:U138)),0,IF((IF($J138=0,$O138,$J138)*$I138)&gt;=($R138-SUM($T138:U138)),($R138-SUM($T138:U138)),IF($J138=0,$O138,$J138)*$I138)))</f>
        <v>477801</v>
      </c>
      <c r="W138" s="1367">
        <f>IF($R138-SUM($T138:V138)=0,0,IF(OR($R138&lt;=0,$R138&lt;=SUM($T138:V138)),0,IF((IF($J138=0,$O138,$J138)*$I138)&gt;=($R138-SUM($T138:V138)),($R138-SUM($T138:V138)),IF($J138=0,$O138,$J138)*$I138)))</f>
        <v>0</v>
      </c>
      <c r="X138" s="1367">
        <f>IF($R138-SUM($T138:W138)=0,0,IF(OR($R138&lt;=0,$R138&lt;=SUM($T138:W138)),0,IF((IF($J138=0,$O138,$J138)*$I138)&gt;=($R138-SUM($T138:W138)),($R138-SUM($T138:W138)),IF($J138=0,$O138,$J138)*$I138)))</f>
        <v>0</v>
      </c>
      <c r="Y138" s="1367">
        <f>IF($R138-SUM($T138:X138)=0,0,IF(OR($R138&lt;=0,$R138&lt;=SUM($T138:X138)),0,IF((IF($J138=0,$O138,$J138)*$I138)&gt;=($R138-SUM($T138:X138)),($R138-SUM($T138:X138)),IF($J138=0,$O138,$J138)*$I138)))</f>
        <v>0</v>
      </c>
      <c r="Z138" s="1367">
        <f>IF($R138-SUM($T138:Y138)=0,0,IF(OR($R138&lt;=0,$R138&lt;=SUM($T138:Y138)),0,IF((IF($J138=0,$O138,$J138)*$I138)&gt;=($R138-SUM($T138:Y138)),($R138-SUM($T138:Y138)),IF($J138=0,$O138,$J138)*$I138)))</f>
        <v>0</v>
      </c>
      <c r="AA138" s="1367">
        <f>IF($R138-SUM($T138:Z138)=0,0,IF(OR($R138&lt;=0,$R138&lt;=SUM($T138:Z138)),0,IF((IF($J138=0,$O138,$J138)*$I138)&gt;=($R138-SUM($T138:Z138)),($R138-SUM($T138:Z138)),IF($J138=0,$O138,$J138)*$I138)))</f>
        <v>0</v>
      </c>
      <c r="AB138" s="1367">
        <f>IF($R138-SUM($T138:AA138)=0,0,IF(OR($R138&lt;=0,$R138&lt;=SUM($T138:AA138)),0,IF((IF($J138=0,$O138,$J138)*$I138)&gt;=($R138-SUM($T138:AA138)),($R138-SUM($T138:AA138)),IF($J138=0,$O138,$J138)*$I138)))</f>
        <v>0</v>
      </c>
      <c r="AC138" s="1367">
        <f>IF($R138-SUM($T138:AB138)=0,0,IF(OR($R138&lt;=0,$R138&lt;=SUM($T138:AB138)),0,IF((IF($J138=0,$O138,$J138)*$I138)&gt;=($R138-SUM($T138:AB138)),($R138-SUM($T138:AB138)),IF($J138=0,$O138,$J138)*$I138)))</f>
        <v>0</v>
      </c>
      <c r="AD138" s="1367">
        <f>IF($R138-SUM($T138:AC138)=0,0,IF(OR($R138&lt;=0,$R138&lt;=SUM($T138:AC138)),0,IF((IF($J138=0,$O138,$J138)*$I138)&gt;=($R138-SUM($T138:AC138)),($R138-SUM($T138:AC138)),IF($J138=0,$O138,$J138)*$I138)))</f>
        <v>0</v>
      </c>
      <c r="AF138" s="1319" t="b">
        <f t="shared" si="47"/>
        <v>1</v>
      </c>
      <c r="AG138" s="1319" t="str">
        <f t="shared" si="48"/>
        <v>Checked</v>
      </c>
      <c r="AH138" s="1318" t="b">
        <f t="shared" si="49"/>
        <v>1</v>
      </c>
    </row>
    <row r="139" spans="2:34" outlineLevel="1" x14ac:dyDescent="0.3">
      <c r="B139" s="1356" t="s">
        <v>2288</v>
      </c>
      <c r="C139" s="1356" t="s">
        <v>1971</v>
      </c>
      <c r="D139" s="1322" t="s">
        <v>2285</v>
      </c>
      <c r="E139" s="1357">
        <v>10</v>
      </c>
      <c r="F139" s="1333">
        <f t="shared" si="40"/>
        <v>4</v>
      </c>
      <c r="G139" s="1358">
        <f t="shared" si="41"/>
        <v>0</v>
      </c>
      <c r="H139" s="1359">
        <f t="shared" si="42"/>
        <v>0</v>
      </c>
      <c r="I139" s="1360">
        <f t="shared" si="43"/>
        <v>0.1</v>
      </c>
      <c r="J139" s="1361">
        <v>8182000</v>
      </c>
      <c r="K139" s="1362">
        <v>6433011</v>
      </c>
      <c r="L139" s="1356">
        <v>0</v>
      </c>
      <c r="M139" s="1356">
        <v>0</v>
      </c>
      <c r="N139" s="1361">
        <f t="shared" si="44"/>
        <v>1748989</v>
      </c>
      <c r="O139" s="1363"/>
      <c r="P139" s="1356">
        <v>0</v>
      </c>
      <c r="Q139" s="1364">
        <v>452988</v>
      </c>
      <c r="R139" s="1365">
        <f t="shared" si="45"/>
        <v>1296001</v>
      </c>
      <c r="S139" s="1364"/>
      <c r="T139" s="1366">
        <f t="shared" si="46"/>
        <v>0</v>
      </c>
      <c r="U139" s="1367">
        <f>IF($R139-SUM($T139:T139)=0,0,IF(OR($R139&lt;=0,$R139&lt;=SUM($T139:T139)),0,IF((IF($J139=0,$O139,$J139)*$I139)&gt;=($R139-SUM($T139:T139)),($R139-SUM($T139:T139)),IF($J139=0,$O139,$J139)*$I139)))</f>
        <v>818200</v>
      </c>
      <c r="V139" s="1367">
        <f>IF($R139-SUM($T139:U139)=0,0,IF(OR($R139&lt;=0,$R139&lt;=SUM($T139:U139)),0,IF((IF($J139=0,$O139,$J139)*$I139)&gt;=($R139-SUM($T139:U139)),($R139-SUM($T139:U139)),IF($J139=0,$O139,$J139)*$I139)))</f>
        <v>477801</v>
      </c>
      <c r="W139" s="1367">
        <f>IF($R139-SUM($T139:V139)=0,0,IF(OR($R139&lt;=0,$R139&lt;=SUM($T139:V139)),0,IF((IF($J139=0,$O139,$J139)*$I139)&gt;=($R139-SUM($T139:V139)),($R139-SUM($T139:V139)),IF($J139=0,$O139,$J139)*$I139)))</f>
        <v>0</v>
      </c>
      <c r="X139" s="1367">
        <f>IF($R139-SUM($T139:W139)=0,0,IF(OR($R139&lt;=0,$R139&lt;=SUM($T139:W139)),0,IF((IF($J139=0,$O139,$J139)*$I139)&gt;=($R139-SUM($T139:W139)),($R139-SUM($T139:W139)),IF($J139=0,$O139,$J139)*$I139)))</f>
        <v>0</v>
      </c>
      <c r="Y139" s="1367">
        <f>IF($R139-SUM($T139:X139)=0,0,IF(OR($R139&lt;=0,$R139&lt;=SUM($T139:X139)),0,IF((IF($J139=0,$O139,$J139)*$I139)&gt;=($R139-SUM($T139:X139)),($R139-SUM($T139:X139)),IF($J139=0,$O139,$J139)*$I139)))</f>
        <v>0</v>
      </c>
      <c r="Z139" s="1367">
        <f>IF($R139-SUM($T139:Y139)=0,0,IF(OR($R139&lt;=0,$R139&lt;=SUM($T139:Y139)),0,IF((IF($J139=0,$O139,$J139)*$I139)&gt;=($R139-SUM($T139:Y139)),($R139-SUM($T139:Y139)),IF($J139=0,$O139,$J139)*$I139)))</f>
        <v>0</v>
      </c>
      <c r="AA139" s="1367">
        <f>IF($R139-SUM($T139:Z139)=0,0,IF(OR($R139&lt;=0,$R139&lt;=SUM($T139:Z139)),0,IF((IF($J139=0,$O139,$J139)*$I139)&gt;=($R139-SUM($T139:Z139)),($R139-SUM($T139:Z139)),IF($J139=0,$O139,$J139)*$I139)))</f>
        <v>0</v>
      </c>
      <c r="AB139" s="1367">
        <f>IF($R139-SUM($T139:AA139)=0,0,IF(OR($R139&lt;=0,$R139&lt;=SUM($T139:AA139)),0,IF((IF($J139=0,$O139,$J139)*$I139)&gt;=($R139-SUM($T139:AA139)),($R139-SUM($T139:AA139)),IF($J139=0,$O139,$J139)*$I139)))</f>
        <v>0</v>
      </c>
      <c r="AC139" s="1367">
        <f>IF($R139-SUM($T139:AB139)=0,0,IF(OR($R139&lt;=0,$R139&lt;=SUM($T139:AB139)),0,IF((IF($J139=0,$O139,$J139)*$I139)&gt;=($R139-SUM($T139:AB139)),($R139-SUM($T139:AB139)),IF($J139=0,$O139,$J139)*$I139)))</f>
        <v>0</v>
      </c>
      <c r="AD139" s="1367">
        <f>IF($R139-SUM($T139:AC139)=0,0,IF(OR($R139&lt;=0,$R139&lt;=SUM($T139:AC139)),0,IF((IF($J139=0,$O139,$J139)*$I139)&gt;=($R139-SUM($T139:AC139)),($R139-SUM($T139:AC139)),IF($J139=0,$O139,$J139)*$I139)))</f>
        <v>0</v>
      </c>
      <c r="AF139" s="1319" t="b">
        <f t="shared" si="47"/>
        <v>1</v>
      </c>
      <c r="AG139" s="1319" t="str">
        <f t="shared" si="48"/>
        <v>Checked</v>
      </c>
      <c r="AH139" s="1318" t="b">
        <f t="shared" si="49"/>
        <v>1</v>
      </c>
    </row>
    <row r="140" spans="2:34" outlineLevel="1" x14ac:dyDescent="0.3">
      <c r="B140" s="1356" t="s">
        <v>2289</v>
      </c>
      <c r="C140" s="1356" t="s">
        <v>1971</v>
      </c>
      <c r="D140" s="1322" t="s">
        <v>2285</v>
      </c>
      <c r="E140" s="1357">
        <v>10</v>
      </c>
      <c r="F140" s="1333">
        <f t="shared" si="40"/>
        <v>4</v>
      </c>
      <c r="G140" s="1358">
        <f t="shared" si="41"/>
        <v>0</v>
      </c>
      <c r="H140" s="1359">
        <f t="shared" si="42"/>
        <v>0</v>
      </c>
      <c r="I140" s="1360">
        <f t="shared" si="43"/>
        <v>0.1</v>
      </c>
      <c r="J140" s="1361">
        <v>8182000</v>
      </c>
      <c r="K140" s="1362">
        <v>6433011</v>
      </c>
      <c r="L140" s="1356">
        <v>0</v>
      </c>
      <c r="M140" s="1356">
        <v>0</v>
      </c>
      <c r="N140" s="1361">
        <f t="shared" si="44"/>
        <v>1748989</v>
      </c>
      <c r="O140" s="1363"/>
      <c r="P140" s="1356">
        <v>0</v>
      </c>
      <c r="Q140" s="1364">
        <v>452988</v>
      </c>
      <c r="R140" s="1365">
        <f t="shared" si="45"/>
        <v>1296001</v>
      </c>
      <c r="S140" s="1364"/>
      <c r="T140" s="1366">
        <f t="shared" si="46"/>
        <v>0</v>
      </c>
      <c r="U140" s="1367">
        <f>IF($R140-SUM($T140:T140)=0,0,IF(OR($R140&lt;=0,$R140&lt;=SUM($T140:T140)),0,IF((IF($J140=0,$O140,$J140)*$I140)&gt;=($R140-SUM($T140:T140)),($R140-SUM($T140:T140)),IF($J140=0,$O140,$J140)*$I140)))</f>
        <v>818200</v>
      </c>
      <c r="V140" s="1367">
        <f>IF($R140-SUM($T140:U140)=0,0,IF(OR($R140&lt;=0,$R140&lt;=SUM($T140:U140)),0,IF((IF($J140=0,$O140,$J140)*$I140)&gt;=($R140-SUM($T140:U140)),($R140-SUM($T140:U140)),IF($J140=0,$O140,$J140)*$I140)))</f>
        <v>477801</v>
      </c>
      <c r="W140" s="1367">
        <f>IF($R140-SUM($T140:V140)=0,0,IF(OR($R140&lt;=0,$R140&lt;=SUM($T140:V140)),0,IF((IF($J140=0,$O140,$J140)*$I140)&gt;=($R140-SUM($T140:V140)),($R140-SUM($T140:V140)),IF($J140=0,$O140,$J140)*$I140)))</f>
        <v>0</v>
      </c>
      <c r="X140" s="1367">
        <f>IF($R140-SUM($T140:W140)=0,0,IF(OR($R140&lt;=0,$R140&lt;=SUM($T140:W140)),0,IF((IF($J140=0,$O140,$J140)*$I140)&gt;=($R140-SUM($T140:W140)),($R140-SUM($T140:W140)),IF($J140=0,$O140,$J140)*$I140)))</f>
        <v>0</v>
      </c>
      <c r="Y140" s="1367">
        <f>IF($R140-SUM($T140:X140)=0,0,IF(OR($R140&lt;=0,$R140&lt;=SUM($T140:X140)),0,IF((IF($J140=0,$O140,$J140)*$I140)&gt;=($R140-SUM($T140:X140)),($R140-SUM($T140:X140)),IF($J140=0,$O140,$J140)*$I140)))</f>
        <v>0</v>
      </c>
      <c r="Z140" s="1367">
        <f>IF($R140-SUM($T140:Y140)=0,0,IF(OR($R140&lt;=0,$R140&lt;=SUM($T140:Y140)),0,IF((IF($J140=0,$O140,$J140)*$I140)&gt;=($R140-SUM($T140:Y140)),($R140-SUM($T140:Y140)),IF($J140=0,$O140,$J140)*$I140)))</f>
        <v>0</v>
      </c>
      <c r="AA140" s="1367">
        <f>IF($R140-SUM($T140:Z140)=0,0,IF(OR($R140&lt;=0,$R140&lt;=SUM($T140:Z140)),0,IF((IF($J140=0,$O140,$J140)*$I140)&gt;=($R140-SUM($T140:Z140)),($R140-SUM($T140:Z140)),IF($J140=0,$O140,$J140)*$I140)))</f>
        <v>0</v>
      </c>
      <c r="AB140" s="1367">
        <f>IF($R140-SUM($T140:AA140)=0,0,IF(OR($R140&lt;=0,$R140&lt;=SUM($T140:AA140)),0,IF((IF($J140=0,$O140,$J140)*$I140)&gt;=($R140-SUM($T140:AA140)),($R140-SUM($T140:AA140)),IF($J140=0,$O140,$J140)*$I140)))</f>
        <v>0</v>
      </c>
      <c r="AC140" s="1367">
        <f>IF($R140-SUM($T140:AB140)=0,0,IF(OR($R140&lt;=0,$R140&lt;=SUM($T140:AB140)),0,IF((IF($J140=0,$O140,$J140)*$I140)&gt;=($R140-SUM($T140:AB140)),($R140-SUM($T140:AB140)),IF($J140=0,$O140,$J140)*$I140)))</f>
        <v>0</v>
      </c>
      <c r="AD140" s="1367">
        <f>IF($R140-SUM($T140:AC140)=0,0,IF(OR($R140&lt;=0,$R140&lt;=SUM($T140:AC140)),0,IF((IF($J140=0,$O140,$J140)*$I140)&gt;=($R140-SUM($T140:AC140)),($R140-SUM($T140:AC140)),IF($J140=0,$O140,$J140)*$I140)))</f>
        <v>0</v>
      </c>
      <c r="AF140" s="1319" t="b">
        <f t="shared" si="47"/>
        <v>1</v>
      </c>
      <c r="AG140" s="1319" t="str">
        <f t="shared" si="48"/>
        <v>Checked</v>
      </c>
      <c r="AH140" s="1318" t="b">
        <f t="shared" si="49"/>
        <v>1</v>
      </c>
    </row>
    <row r="141" spans="2:34" outlineLevel="1" x14ac:dyDescent="0.3">
      <c r="B141" s="1356" t="s">
        <v>2290</v>
      </c>
      <c r="C141" s="1356" t="s">
        <v>1971</v>
      </c>
      <c r="D141" s="1322" t="s">
        <v>2291</v>
      </c>
      <c r="E141" s="1357">
        <v>10</v>
      </c>
      <c r="F141" s="1333">
        <f t="shared" si="40"/>
        <v>4</v>
      </c>
      <c r="G141" s="1358">
        <f t="shared" si="41"/>
        <v>0</v>
      </c>
      <c r="H141" s="1359">
        <f t="shared" si="42"/>
        <v>0</v>
      </c>
      <c r="I141" s="1360">
        <f t="shared" si="43"/>
        <v>0.1</v>
      </c>
      <c r="J141" s="1361">
        <v>6500000</v>
      </c>
      <c r="K141" s="1362">
        <v>5110556</v>
      </c>
      <c r="L141" s="1356">
        <v>0</v>
      </c>
      <c r="M141" s="1356">
        <v>0</v>
      </c>
      <c r="N141" s="1361">
        <f t="shared" si="44"/>
        <v>1389444</v>
      </c>
      <c r="O141" s="1363"/>
      <c r="P141" s="1356">
        <v>0</v>
      </c>
      <c r="Q141" s="1364">
        <v>359865</v>
      </c>
      <c r="R141" s="1365">
        <f t="shared" si="45"/>
        <v>1029579</v>
      </c>
      <c r="S141" s="1364"/>
      <c r="T141" s="1366">
        <f t="shared" si="46"/>
        <v>0</v>
      </c>
      <c r="U141" s="1367">
        <f>IF($R141-SUM($T141:T141)=0,0,IF(OR($R141&lt;=0,$R141&lt;=SUM($T141:T141)),0,IF((IF($J141=0,$O141,$J141)*$I141)&gt;=($R141-SUM($T141:T141)),($R141-SUM($T141:T141)),IF($J141=0,$O141,$J141)*$I141)))</f>
        <v>650000</v>
      </c>
      <c r="V141" s="1367">
        <f>IF($R141-SUM($T141:U141)=0,0,IF(OR($R141&lt;=0,$R141&lt;=SUM($T141:U141)),0,IF((IF($J141=0,$O141,$J141)*$I141)&gt;=($R141-SUM($T141:U141)),($R141-SUM($T141:U141)),IF($J141=0,$O141,$J141)*$I141)))</f>
        <v>379579</v>
      </c>
      <c r="W141" s="1367">
        <f>IF($R141-SUM($T141:V141)=0,0,IF(OR($R141&lt;=0,$R141&lt;=SUM($T141:V141)),0,IF((IF($J141=0,$O141,$J141)*$I141)&gt;=($R141-SUM($T141:V141)),($R141-SUM($T141:V141)),IF($J141=0,$O141,$J141)*$I141)))</f>
        <v>0</v>
      </c>
      <c r="X141" s="1367">
        <f>IF($R141-SUM($T141:W141)=0,0,IF(OR($R141&lt;=0,$R141&lt;=SUM($T141:W141)),0,IF((IF($J141=0,$O141,$J141)*$I141)&gt;=($R141-SUM($T141:W141)),($R141-SUM($T141:W141)),IF($J141=0,$O141,$J141)*$I141)))</f>
        <v>0</v>
      </c>
      <c r="Y141" s="1367">
        <f>IF($R141-SUM($T141:X141)=0,0,IF(OR($R141&lt;=0,$R141&lt;=SUM($T141:X141)),0,IF((IF($J141=0,$O141,$J141)*$I141)&gt;=($R141-SUM($T141:X141)),($R141-SUM($T141:X141)),IF($J141=0,$O141,$J141)*$I141)))</f>
        <v>0</v>
      </c>
      <c r="Z141" s="1367">
        <f>IF($R141-SUM($T141:Y141)=0,0,IF(OR($R141&lt;=0,$R141&lt;=SUM($T141:Y141)),0,IF((IF($J141=0,$O141,$J141)*$I141)&gt;=($R141-SUM($T141:Y141)),($R141-SUM($T141:Y141)),IF($J141=0,$O141,$J141)*$I141)))</f>
        <v>0</v>
      </c>
      <c r="AA141" s="1367">
        <f>IF($R141-SUM($T141:Z141)=0,0,IF(OR($R141&lt;=0,$R141&lt;=SUM($T141:Z141)),0,IF((IF($J141=0,$O141,$J141)*$I141)&gt;=($R141-SUM($T141:Z141)),($R141-SUM($T141:Z141)),IF($J141=0,$O141,$J141)*$I141)))</f>
        <v>0</v>
      </c>
      <c r="AB141" s="1367">
        <f>IF($R141-SUM($T141:AA141)=0,0,IF(OR($R141&lt;=0,$R141&lt;=SUM($T141:AA141)),0,IF((IF($J141=0,$O141,$J141)*$I141)&gt;=($R141-SUM($T141:AA141)),($R141-SUM($T141:AA141)),IF($J141=0,$O141,$J141)*$I141)))</f>
        <v>0</v>
      </c>
      <c r="AC141" s="1367">
        <f>IF($R141-SUM($T141:AB141)=0,0,IF(OR($R141&lt;=0,$R141&lt;=SUM($T141:AB141)),0,IF((IF($J141=0,$O141,$J141)*$I141)&gt;=($R141-SUM($T141:AB141)),($R141-SUM($T141:AB141)),IF($J141=0,$O141,$J141)*$I141)))</f>
        <v>0</v>
      </c>
      <c r="AD141" s="1367">
        <f>IF($R141-SUM($T141:AC141)=0,0,IF(OR($R141&lt;=0,$R141&lt;=SUM($T141:AC141)),0,IF((IF($J141=0,$O141,$J141)*$I141)&gt;=($R141-SUM($T141:AC141)),($R141-SUM($T141:AC141)),IF($J141=0,$O141,$J141)*$I141)))</f>
        <v>0</v>
      </c>
      <c r="AF141" s="1319" t="b">
        <f t="shared" si="47"/>
        <v>1</v>
      </c>
      <c r="AG141" s="1319" t="str">
        <f t="shared" si="48"/>
        <v>Checked</v>
      </c>
      <c r="AH141" s="1318" t="b">
        <f t="shared" si="49"/>
        <v>1</v>
      </c>
    </row>
    <row r="142" spans="2:34" outlineLevel="1" x14ac:dyDescent="0.3">
      <c r="B142" s="1356" t="s">
        <v>2292</v>
      </c>
      <c r="C142" s="1356" t="s">
        <v>1971</v>
      </c>
      <c r="D142" s="1322" t="s">
        <v>2293</v>
      </c>
      <c r="E142" s="1357">
        <v>10</v>
      </c>
      <c r="F142" s="1333">
        <f t="shared" si="40"/>
        <v>4</v>
      </c>
      <c r="G142" s="1358">
        <f t="shared" si="41"/>
        <v>0</v>
      </c>
      <c r="H142" s="1359">
        <f t="shared" si="42"/>
        <v>0</v>
      </c>
      <c r="I142" s="1360">
        <f t="shared" si="43"/>
        <v>0.1</v>
      </c>
      <c r="J142" s="1361">
        <v>4500000</v>
      </c>
      <c r="K142" s="1362">
        <v>3516378</v>
      </c>
      <c r="L142" s="1356">
        <v>0</v>
      </c>
      <c r="M142" s="1356">
        <v>0</v>
      </c>
      <c r="N142" s="1361">
        <f t="shared" si="44"/>
        <v>983622</v>
      </c>
      <c r="O142" s="1363"/>
      <c r="P142" s="1356">
        <v>0</v>
      </c>
      <c r="Q142" s="1364">
        <v>254758</v>
      </c>
      <c r="R142" s="1365">
        <f t="shared" si="45"/>
        <v>728864</v>
      </c>
      <c r="S142" s="1364"/>
      <c r="T142" s="1366">
        <f t="shared" si="46"/>
        <v>0</v>
      </c>
      <c r="U142" s="1367">
        <f>IF($R142-SUM($T142:T142)=0,0,IF(OR($R142&lt;=0,$R142&lt;=SUM($T142:T142)),0,IF((IF($J142=0,$O142,$J142)*$I142)&gt;=($R142-SUM($T142:T142)),($R142-SUM($T142:T142)),IF($J142=0,$O142,$J142)*$I142)))</f>
        <v>450000</v>
      </c>
      <c r="V142" s="1367">
        <f>IF($R142-SUM($T142:U142)=0,0,IF(OR($R142&lt;=0,$R142&lt;=SUM($T142:U142)),0,IF((IF($J142=0,$O142,$J142)*$I142)&gt;=($R142-SUM($T142:U142)),($R142-SUM($T142:U142)),IF($J142=0,$O142,$J142)*$I142)))</f>
        <v>278864</v>
      </c>
      <c r="W142" s="1367">
        <f>IF($R142-SUM($T142:V142)=0,0,IF(OR($R142&lt;=0,$R142&lt;=SUM($T142:V142)),0,IF((IF($J142=0,$O142,$J142)*$I142)&gt;=($R142-SUM($T142:V142)),($R142-SUM($T142:V142)),IF($J142=0,$O142,$J142)*$I142)))</f>
        <v>0</v>
      </c>
      <c r="X142" s="1367">
        <f>IF($R142-SUM($T142:W142)=0,0,IF(OR($R142&lt;=0,$R142&lt;=SUM($T142:W142)),0,IF((IF($J142=0,$O142,$J142)*$I142)&gt;=($R142-SUM($T142:W142)),($R142-SUM($T142:W142)),IF($J142=0,$O142,$J142)*$I142)))</f>
        <v>0</v>
      </c>
      <c r="Y142" s="1367">
        <f>IF($R142-SUM($T142:X142)=0,0,IF(OR($R142&lt;=0,$R142&lt;=SUM($T142:X142)),0,IF((IF($J142=0,$O142,$J142)*$I142)&gt;=($R142-SUM($T142:X142)),($R142-SUM($T142:X142)),IF($J142=0,$O142,$J142)*$I142)))</f>
        <v>0</v>
      </c>
      <c r="Z142" s="1367">
        <f>IF($R142-SUM($T142:Y142)=0,0,IF(OR($R142&lt;=0,$R142&lt;=SUM($T142:Y142)),0,IF((IF($J142=0,$O142,$J142)*$I142)&gt;=($R142-SUM($T142:Y142)),($R142-SUM($T142:Y142)),IF($J142=0,$O142,$J142)*$I142)))</f>
        <v>0</v>
      </c>
      <c r="AA142" s="1367">
        <f>IF($R142-SUM($T142:Z142)=0,0,IF(OR($R142&lt;=0,$R142&lt;=SUM($T142:Z142)),0,IF((IF($J142=0,$O142,$J142)*$I142)&gt;=($R142-SUM($T142:Z142)),($R142-SUM($T142:Z142)),IF($J142=0,$O142,$J142)*$I142)))</f>
        <v>0</v>
      </c>
      <c r="AB142" s="1367">
        <f>IF($R142-SUM($T142:AA142)=0,0,IF(OR($R142&lt;=0,$R142&lt;=SUM($T142:AA142)),0,IF((IF($J142=0,$O142,$J142)*$I142)&gt;=($R142-SUM($T142:AA142)),($R142-SUM($T142:AA142)),IF($J142=0,$O142,$J142)*$I142)))</f>
        <v>0</v>
      </c>
      <c r="AC142" s="1367">
        <f>IF($R142-SUM($T142:AB142)=0,0,IF(OR($R142&lt;=0,$R142&lt;=SUM($T142:AB142)),0,IF((IF($J142=0,$O142,$J142)*$I142)&gt;=($R142-SUM($T142:AB142)),($R142-SUM($T142:AB142)),IF($J142=0,$O142,$J142)*$I142)))</f>
        <v>0</v>
      </c>
      <c r="AD142" s="1367">
        <f>IF($R142-SUM($T142:AC142)=0,0,IF(OR($R142&lt;=0,$R142&lt;=SUM($T142:AC142)),0,IF((IF($J142=0,$O142,$J142)*$I142)&gt;=($R142-SUM($T142:AC142)),($R142-SUM($T142:AC142)),IF($J142=0,$O142,$J142)*$I142)))</f>
        <v>0</v>
      </c>
      <c r="AF142" s="1319" t="b">
        <f t="shared" si="47"/>
        <v>1</v>
      </c>
      <c r="AG142" s="1319" t="str">
        <f t="shared" si="48"/>
        <v>Checked</v>
      </c>
      <c r="AH142" s="1318" t="b">
        <f t="shared" si="49"/>
        <v>1</v>
      </c>
    </row>
    <row r="143" spans="2:34" outlineLevel="1" x14ac:dyDescent="0.3">
      <c r="B143" s="1356" t="s">
        <v>2294</v>
      </c>
      <c r="C143" s="1356" t="s">
        <v>1971</v>
      </c>
      <c r="D143" s="1322" t="s">
        <v>2295</v>
      </c>
      <c r="E143" s="1357">
        <v>10</v>
      </c>
      <c r="F143" s="1333">
        <f t="shared" si="40"/>
        <v>4</v>
      </c>
      <c r="G143" s="1358">
        <f t="shared" si="41"/>
        <v>0</v>
      </c>
      <c r="H143" s="1359">
        <f t="shared" si="42"/>
        <v>0</v>
      </c>
      <c r="I143" s="1360">
        <f t="shared" si="43"/>
        <v>0.1</v>
      </c>
      <c r="J143" s="1361">
        <v>3800000</v>
      </c>
      <c r="K143" s="1362">
        <v>2969386</v>
      </c>
      <c r="L143" s="1356">
        <v>0</v>
      </c>
      <c r="M143" s="1356">
        <v>0</v>
      </c>
      <c r="N143" s="1361">
        <f t="shared" si="44"/>
        <v>830614</v>
      </c>
      <c r="O143" s="1363"/>
      <c r="P143" s="1356">
        <v>0</v>
      </c>
      <c r="Q143" s="1364">
        <v>215129</v>
      </c>
      <c r="R143" s="1365">
        <f t="shared" si="45"/>
        <v>615485</v>
      </c>
      <c r="S143" s="1364"/>
      <c r="T143" s="1366">
        <f t="shared" si="46"/>
        <v>0</v>
      </c>
      <c r="U143" s="1367">
        <f>IF($R143-SUM($T143:T143)=0,0,IF(OR($R143&lt;=0,$R143&lt;=SUM($T143:T143)),0,IF((IF($J143=0,$O143,$J143)*$I143)&gt;=($R143-SUM($T143:T143)),($R143-SUM($T143:T143)),IF($J143=0,$O143,$J143)*$I143)))</f>
        <v>380000</v>
      </c>
      <c r="V143" s="1367">
        <f>IF($R143-SUM($T143:U143)=0,0,IF(OR($R143&lt;=0,$R143&lt;=SUM($T143:U143)),0,IF((IF($J143=0,$O143,$J143)*$I143)&gt;=($R143-SUM($T143:U143)),($R143-SUM($T143:U143)),IF($J143=0,$O143,$J143)*$I143)))</f>
        <v>235485</v>
      </c>
      <c r="W143" s="1367">
        <f>IF($R143-SUM($T143:V143)=0,0,IF(OR($R143&lt;=0,$R143&lt;=SUM($T143:V143)),0,IF((IF($J143=0,$O143,$J143)*$I143)&gt;=($R143-SUM($T143:V143)),($R143-SUM($T143:V143)),IF($J143=0,$O143,$J143)*$I143)))</f>
        <v>0</v>
      </c>
      <c r="X143" s="1367">
        <f>IF($R143-SUM($T143:W143)=0,0,IF(OR($R143&lt;=0,$R143&lt;=SUM($T143:W143)),0,IF((IF($J143=0,$O143,$J143)*$I143)&gt;=($R143-SUM($T143:W143)),($R143-SUM($T143:W143)),IF($J143=0,$O143,$J143)*$I143)))</f>
        <v>0</v>
      </c>
      <c r="Y143" s="1367">
        <f>IF($R143-SUM($T143:X143)=0,0,IF(OR($R143&lt;=0,$R143&lt;=SUM($T143:X143)),0,IF((IF($J143=0,$O143,$J143)*$I143)&gt;=($R143-SUM($T143:X143)),($R143-SUM($T143:X143)),IF($J143=0,$O143,$J143)*$I143)))</f>
        <v>0</v>
      </c>
      <c r="Z143" s="1367">
        <f>IF($R143-SUM($T143:Y143)=0,0,IF(OR($R143&lt;=0,$R143&lt;=SUM($T143:Y143)),0,IF((IF($J143=0,$O143,$J143)*$I143)&gt;=($R143-SUM($T143:Y143)),($R143-SUM($T143:Y143)),IF($J143=0,$O143,$J143)*$I143)))</f>
        <v>0</v>
      </c>
      <c r="AA143" s="1367">
        <f>IF($R143-SUM($T143:Z143)=0,0,IF(OR($R143&lt;=0,$R143&lt;=SUM($T143:Z143)),0,IF((IF($J143=0,$O143,$J143)*$I143)&gt;=($R143-SUM($T143:Z143)),($R143-SUM($T143:Z143)),IF($J143=0,$O143,$J143)*$I143)))</f>
        <v>0</v>
      </c>
      <c r="AB143" s="1367">
        <f>IF($R143-SUM($T143:AA143)=0,0,IF(OR($R143&lt;=0,$R143&lt;=SUM($T143:AA143)),0,IF((IF($J143=0,$O143,$J143)*$I143)&gt;=($R143-SUM($T143:AA143)),($R143-SUM($T143:AA143)),IF($J143=0,$O143,$J143)*$I143)))</f>
        <v>0</v>
      </c>
      <c r="AC143" s="1367">
        <f>IF($R143-SUM($T143:AB143)=0,0,IF(OR($R143&lt;=0,$R143&lt;=SUM($T143:AB143)),0,IF((IF($J143=0,$O143,$J143)*$I143)&gt;=($R143-SUM($T143:AB143)),($R143-SUM($T143:AB143)),IF($J143=0,$O143,$J143)*$I143)))</f>
        <v>0</v>
      </c>
      <c r="AD143" s="1367">
        <f>IF($R143-SUM($T143:AC143)=0,0,IF(OR($R143&lt;=0,$R143&lt;=SUM($T143:AC143)),0,IF((IF($J143=0,$O143,$J143)*$I143)&gt;=($R143-SUM($T143:AC143)),($R143-SUM($T143:AC143)),IF($J143=0,$O143,$J143)*$I143)))</f>
        <v>0</v>
      </c>
      <c r="AF143" s="1319" t="b">
        <f t="shared" si="47"/>
        <v>1</v>
      </c>
      <c r="AG143" s="1319" t="str">
        <f t="shared" si="48"/>
        <v>Checked</v>
      </c>
      <c r="AH143" s="1318" t="b">
        <f t="shared" si="49"/>
        <v>1</v>
      </c>
    </row>
    <row r="144" spans="2:34" outlineLevel="1" x14ac:dyDescent="0.3">
      <c r="B144" s="1356" t="s">
        <v>2296</v>
      </c>
      <c r="C144" s="1356" t="s">
        <v>1971</v>
      </c>
      <c r="D144" s="1322" t="s">
        <v>2297</v>
      </c>
      <c r="E144" s="1357">
        <v>10</v>
      </c>
      <c r="F144" s="1333">
        <f t="shared" si="40"/>
        <v>4</v>
      </c>
      <c r="G144" s="1358">
        <f t="shared" si="41"/>
        <v>0</v>
      </c>
      <c r="H144" s="1359">
        <f t="shared" si="42"/>
        <v>0</v>
      </c>
      <c r="I144" s="1360">
        <f t="shared" si="43"/>
        <v>0.1</v>
      </c>
      <c r="J144" s="1361">
        <v>20000000</v>
      </c>
      <c r="K144" s="1362">
        <v>15724790</v>
      </c>
      <c r="L144" s="1356">
        <v>0</v>
      </c>
      <c r="M144" s="1356">
        <v>0</v>
      </c>
      <c r="N144" s="1361">
        <f t="shared" si="44"/>
        <v>4275210</v>
      </c>
      <c r="O144" s="1363"/>
      <c r="P144" s="1356">
        <v>0</v>
      </c>
      <c r="Q144" s="1364">
        <v>1107279</v>
      </c>
      <c r="R144" s="1365">
        <f t="shared" si="45"/>
        <v>3167931</v>
      </c>
      <c r="S144" s="1364"/>
      <c r="T144" s="1366">
        <f t="shared" si="46"/>
        <v>0</v>
      </c>
      <c r="U144" s="1367">
        <f>IF($R144-SUM($T144:T144)=0,0,IF(OR($R144&lt;=0,$R144&lt;=SUM($T144:T144)),0,IF((IF($J144=0,$O144,$J144)*$I144)&gt;=($R144-SUM($T144:T144)),($R144-SUM($T144:T144)),IF($J144=0,$O144,$J144)*$I144)))</f>
        <v>2000000</v>
      </c>
      <c r="V144" s="1367">
        <f>IF($R144-SUM($T144:U144)=0,0,IF(OR($R144&lt;=0,$R144&lt;=SUM($T144:U144)),0,IF((IF($J144=0,$O144,$J144)*$I144)&gt;=($R144-SUM($T144:U144)),($R144-SUM($T144:U144)),IF($J144=0,$O144,$J144)*$I144)))</f>
        <v>1167931</v>
      </c>
      <c r="W144" s="1367">
        <f>IF($R144-SUM($T144:V144)=0,0,IF(OR($R144&lt;=0,$R144&lt;=SUM($T144:V144)),0,IF((IF($J144=0,$O144,$J144)*$I144)&gt;=($R144-SUM($T144:V144)),($R144-SUM($T144:V144)),IF($J144=0,$O144,$J144)*$I144)))</f>
        <v>0</v>
      </c>
      <c r="X144" s="1367">
        <f>IF($R144-SUM($T144:W144)=0,0,IF(OR($R144&lt;=0,$R144&lt;=SUM($T144:W144)),0,IF((IF($J144=0,$O144,$J144)*$I144)&gt;=($R144-SUM($T144:W144)),($R144-SUM($T144:W144)),IF($J144=0,$O144,$J144)*$I144)))</f>
        <v>0</v>
      </c>
      <c r="Y144" s="1367">
        <f>IF($R144-SUM($T144:X144)=0,0,IF(OR($R144&lt;=0,$R144&lt;=SUM($T144:X144)),0,IF((IF($J144=0,$O144,$J144)*$I144)&gt;=($R144-SUM($T144:X144)),($R144-SUM($T144:X144)),IF($J144=0,$O144,$J144)*$I144)))</f>
        <v>0</v>
      </c>
      <c r="Z144" s="1367">
        <f>IF($R144-SUM($T144:Y144)=0,0,IF(OR($R144&lt;=0,$R144&lt;=SUM($T144:Y144)),0,IF((IF($J144=0,$O144,$J144)*$I144)&gt;=($R144-SUM($T144:Y144)),($R144-SUM($T144:Y144)),IF($J144=0,$O144,$J144)*$I144)))</f>
        <v>0</v>
      </c>
      <c r="AA144" s="1367">
        <f>IF($R144-SUM($T144:Z144)=0,0,IF(OR($R144&lt;=0,$R144&lt;=SUM($T144:Z144)),0,IF((IF($J144=0,$O144,$J144)*$I144)&gt;=($R144-SUM($T144:Z144)),($R144-SUM($T144:Z144)),IF($J144=0,$O144,$J144)*$I144)))</f>
        <v>0</v>
      </c>
      <c r="AB144" s="1367">
        <f>IF($R144-SUM($T144:AA144)=0,0,IF(OR($R144&lt;=0,$R144&lt;=SUM($T144:AA144)),0,IF((IF($J144=0,$O144,$J144)*$I144)&gt;=($R144-SUM($T144:AA144)),($R144-SUM($T144:AA144)),IF($J144=0,$O144,$J144)*$I144)))</f>
        <v>0</v>
      </c>
      <c r="AC144" s="1367">
        <f>IF($R144-SUM($T144:AB144)=0,0,IF(OR($R144&lt;=0,$R144&lt;=SUM($T144:AB144)),0,IF((IF($J144=0,$O144,$J144)*$I144)&gt;=($R144-SUM($T144:AB144)),($R144-SUM($T144:AB144)),IF($J144=0,$O144,$J144)*$I144)))</f>
        <v>0</v>
      </c>
      <c r="AD144" s="1367">
        <f>IF($R144-SUM($T144:AC144)=0,0,IF(OR($R144&lt;=0,$R144&lt;=SUM($T144:AC144)),0,IF((IF($J144=0,$O144,$J144)*$I144)&gt;=($R144-SUM($T144:AC144)),($R144-SUM($T144:AC144)),IF($J144=0,$O144,$J144)*$I144)))</f>
        <v>0</v>
      </c>
      <c r="AF144" s="1319" t="b">
        <f t="shared" si="47"/>
        <v>1</v>
      </c>
      <c r="AG144" s="1319" t="str">
        <f t="shared" si="48"/>
        <v>Checked</v>
      </c>
      <c r="AH144" s="1318" t="b">
        <f t="shared" si="49"/>
        <v>1</v>
      </c>
    </row>
    <row r="145" spans="2:34" outlineLevel="1" x14ac:dyDescent="0.3">
      <c r="B145" s="1356" t="s">
        <v>2296</v>
      </c>
      <c r="C145" s="1356" t="s">
        <v>1971</v>
      </c>
      <c r="D145" s="1322" t="s">
        <v>2298</v>
      </c>
      <c r="E145" s="1357">
        <v>10</v>
      </c>
      <c r="F145" s="1333">
        <f t="shared" si="40"/>
        <v>5</v>
      </c>
      <c r="G145" s="1358">
        <f t="shared" si="41"/>
        <v>0</v>
      </c>
      <c r="H145" s="1359">
        <f t="shared" si="42"/>
        <v>0</v>
      </c>
      <c r="I145" s="1360">
        <f t="shared" si="43"/>
        <v>0.1</v>
      </c>
      <c r="J145" s="1361">
        <v>15908000</v>
      </c>
      <c r="K145" s="1362">
        <v>12250571</v>
      </c>
      <c r="L145" s="1356">
        <v>0</v>
      </c>
      <c r="M145" s="1356">
        <v>0</v>
      </c>
      <c r="N145" s="1361">
        <f t="shared" si="44"/>
        <v>3657429</v>
      </c>
      <c r="O145" s="1363"/>
      <c r="P145" s="1356">
        <v>0</v>
      </c>
      <c r="Q145" s="1364">
        <v>947274</v>
      </c>
      <c r="R145" s="1365">
        <f t="shared" si="45"/>
        <v>2710155</v>
      </c>
      <c r="S145" s="1364"/>
      <c r="T145" s="1366">
        <f t="shared" si="46"/>
        <v>0</v>
      </c>
      <c r="U145" s="1367">
        <f>IF($R145-SUM($T145:T145)=0,0,IF(OR($R145&lt;=0,$R145&lt;=SUM($T145:T145)),0,IF((IF($J145=0,$O145,$J145)*$I145)&gt;=($R145-SUM($T145:T145)),($R145-SUM($T145:T145)),IF($J145=0,$O145,$J145)*$I145)))</f>
        <v>1590800</v>
      </c>
      <c r="V145" s="1367">
        <f>IF($R145-SUM($T145:U145)=0,0,IF(OR($R145&lt;=0,$R145&lt;=SUM($T145:U145)),0,IF((IF($J145=0,$O145,$J145)*$I145)&gt;=($R145-SUM($T145:U145)),($R145-SUM($T145:U145)),IF($J145=0,$O145,$J145)*$I145)))</f>
        <v>1119355</v>
      </c>
      <c r="W145" s="1367">
        <f>IF($R145-SUM($T145:V145)=0,0,IF(OR($R145&lt;=0,$R145&lt;=SUM($T145:V145)),0,IF((IF($J145=0,$O145,$J145)*$I145)&gt;=($R145-SUM($T145:V145)),($R145-SUM($T145:V145)),IF($J145=0,$O145,$J145)*$I145)))</f>
        <v>0</v>
      </c>
      <c r="X145" s="1367">
        <f>IF($R145-SUM($T145:W145)=0,0,IF(OR($R145&lt;=0,$R145&lt;=SUM($T145:W145)),0,IF((IF($J145=0,$O145,$J145)*$I145)&gt;=($R145-SUM($T145:W145)),($R145-SUM($T145:W145)),IF($J145=0,$O145,$J145)*$I145)))</f>
        <v>0</v>
      </c>
      <c r="Y145" s="1367">
        <f>IF($R145-SUM($T145:X145)=0,0,IF(OR($R145&lt;=0,$R145&lt;=SUM($T145:X145)),0,IF((IF($J145=0,$O145,$J145)*$I145)&gt;=($R145-SUM($T145:X145)),($R145-SUM($T145:X145)),IF($J145=0,$O145,$J145)*$I145)))</f>
        <v>0</v>
      </c>
      <c r="Z145" s="1367">
        <f>IF($R145-SUM($T145:Y145)=0,0,IF(OR($R145&lt;=0,$R145&lt;=SUM($T145:Y145)),0,IF((IF($J145=0,$O145,$J145)*$I145)&gt;=($R145-SUM($T145:Y145)),($R145-SUM($T145:Y145)),IF($J145=0,$O145,$J145)*$I145)))</f>
        <v>0</v>
      </c>
      <c r="AA145" s="1367">
        <f>IF($R145-SUM($T145:Z145)=0,0,IF(OR($R145&lt;=0,$R145&lt;=SUM($T145:Z145)),0,IF((IF($J145=0,$O145,$J145)*$I145)&gt;=($R145-SUM($T145:Z145)),($R145-SUM($T145:Z145)),IF($J145=0,$O145,$J145)*$I145)))</f>
        <v>0</v>
      </c>
      <c r="AB145" s="1367">
        <f>IF($R145-SUM($T145:AA145)=0,0,IF(OR($R145&lt;=0,$R145&lt;=SUM($T145:AA145)),0,IF((IF($J145=0,$O145,$J145)*$I145)&gt;=($R145-SUM($T145:AA145)),($R145-SUM($T145:AA145)),IF($J145=0,$O145,$J145)*$I145)))</f>
        <v>0</v>
      </c>
      <c r="AC145" s="1367">
        <f>IF($R145-SUM($T145:AB145)=0,0,IF(OR($R145&lt;=0,$R145&lt;=SUM($T145:AB145)),0,IF((IF($J145=0,$O145,$J145)*$I145)&gt;=($R145-SUM($T145:AB145)),($R145-SUM($T145:AB145)),IF($J145=0,$O145,$J145)*$I145)))</f>
        <v>0</v>
      </c>
      <c r="AD145" s="1367">
        <f>IF($R145-SUM($T145:AC145)=0,0,IF(OR($R145&lt;=0,$R145&lt;=SUM($T145:AC145)),0,IF((IF($J145=0,$O145,$J145)*$I145)&gt;=($R145-SUM($T145:AC145)),($R145-SUM($T145:AC145)),IF($J145=0,$O145,$J145)*$I145)))</f>
        <v>0</v>
      </c>
      <c r="AF145" s="1319" t="b">
        <f t="shared" si="47"/>
        <v>1</v>
      </c>
      <c r="AG145" s="1319" t="str">
        <f t="shared" si="48"/>
        <v>Checked</v>
      </c>
      <c r="AH145" s="1318" t="b">
        <f t="shared" si="49"/>
        <v>1</v>
      </c>
    </row>
    <row r="146" spans="2:34" outlineLevel="1" x14ac:dyDescent="0.3">
      <c r="B146" s="1356" t="s">
        <v>2299</v>
      </c>
      <c r="C146" s="1356" t="s">
        <v>1971</v>
      </c>
      <c r="D146" s="1322" t="s">
        <v>2300</v>
      </c>
      <c r="E146" s="1357">
        <v>10</v>
      </c>
      <c r="F146" s="1333">
        <f t="shared" si="40"/>
        <v>5</v>
      </c>
      <c r="G146" s="1358">
        <f t="shared" si="41"/>
        <v>0</v>
      </c>
      <c r="H146" s="1359">
        <f t="shared" si="42"/>
        <v>0</v>
      </c>
      <c r="I146" s="1360">
        <f t="shared" si="43"/>
        <v>0.1</v>
      </c>
      <c r="J146" s="1361">
        <v>260000000</v>
      </c>
      <c r="K146" s="1362">
        <v>198531223</v>
      </c>
      <c r="L146" s="1356">
        <v>0</v>
      </c>
      <c r="M146" s="1356">
        <v>0</v>
      </c>
      <c r="N146" s="1361">
        <f t="shared" si="44"/>
        <v>61468777</v>
      </c>
      <c r="O146" s="1363"/>
      <c r="P146" s="1356">
        <v>0</v>
      </c>
      <c r="Q146" s="1364">
        <v>15920413</v>
      </c>
      <c r="R146" s="1365">
        <f t="shared" si="45"/>
        <v>45548364</v>
      </c>
      <c r="S146" s="1364"/>
      <c r="T146" s="1366">
        <f t="shared" si="46"/>
        <v>0</v>
      </c>
      <c r="U146" s="1367">
        <f>IF($R146-SUM($T146:T146)=0,0,IF(OR($R146&lt;=0,$R146&lt;=SUM($T146:T146)),0,IF((IF($J146=0,$O146,$J146)*$I146)&gt;=($R146-SUM($T146:T146)),($R146-SUM($T146:T146)),IF($J146=0,$O146,$J146)*$I146)))</f>
        <v>26000000</v>
      </c>
      <c r="V146" s="1367">
        <f>IF($R146-SUM($T146:U146)=0,0,IF(OR($R146&lt;=0,$R146&lt;=SUM($T146:U146)),0,IF((IF($J146=0,$O146,$J146)*$I146)&gt;=($R146-SUM($T146:U146)),($R146-SUM($T146:U146)),IF($J146=0,$O146,$J146)*$I146)))</f>
        <v>19548364</v>
      </c>
      <c r="W146" s="1367">
        <f>IF($R146-SUM($T146:V146)=0,0,IF(OR($R146&lt;=0,$R146&lt;=SUM($T146:V146)),0,IF((IF($J146=0,$O146,$J146)*$I146)&gt;=($R146-SUM($T146:V146)),($R146-SUM($T146:V146)),IF($J146=0,$O146,$J146)*$I146)))</f>
        <v>0</v>
      </c>
      <c r="X146" s="1367">
        <f>IF($R146-SUM($T146:W146)=0,0,IF(OR($R146&lt;=0,$R146&lt;=SUM($T146:W146)),0,IF((IF($J146=0,$O146,$J146)*$I146)&gt;=($R146-SUM($T146:W146)),($R146-SUM($T146:W146)),IF($J146=0,$O146,$J146)*$I146)))</f>
        <v>0</v>
      </c>
      <c r="Y146" s="1367">
        <f>IF($R146-SUM($T146:X146)=0,0,IF(OR($R146&lt;=0,$R146&lt;=SUM($T146:X146)),0,IF((IF($J146=0,$O146,$J146)*$I146)&gt;=($R146-SUM($T146:X146)),($R146-SUM($T146:X146)),IF($J146=0,$O146,$J146)*$I146)))</f>
        <v>0</v>
      </c>
      <c r="Z146" s="1367">
        <f>IF($R146-SUM($T146:Y146)=0,0,IF(OR($R146&lt;=0,$R146&lt;=SUM($T146:Y146)),0,IF((IF($J146=0,$O146,$J146)*$I146)&gt;=($R146-SUM($T146:Y146)),($R146-SUM($T146:Y146)),IF($J146=0,$O146,$J146)*$I146)))</f>
        <v>0</v>
      </c>
      <c r="AA146" s="1367">
        <f>IF($R146-SUM($T146:Z146)=0,0,IF(OR($R146&lt;=0,$R146&lt;=SUM($T146:Z146)),0,IF((IF($J146=0,$O146,$J146)*$I146)&gt;=($R146-SUM($T146:Z146)),($R146-SUM($T146:Z146)),IF($J146=0,$O146,$J146)*$I146)))</f>
        <v>0</v>
      </c>
      <c r="AB146" s="1367">
        <f>IF($R146-SUM($T146:AA146)=0,0,IF(OR($R146&lt;=0,$R146&lt;=SUM($T146:AA146)),0,IF((IF($J146=0,$O146,$J146)*$I146)&gt;=($R146-SUM($T146:AA146)),($R146-SUM($T146:AA146)),IF($J146=0,$O146,$J146)*$I146)))</f>
        <v>0</v>
      </c>
      <c r="AC146" s="1367">
        <f>IF($R146-SUM($T146:AB146)=0,0,IF(OR($R146&lt;=0,$R146&lt;=SUM($T146:AB146)),0,IF((IF($J146=0,$O146,$J146)*$I146)&gt;=($R146-SUM($T146:AB146)),($R146-SUM($T146:AB146)),IF($J146=0,$O146,$J146)*$I146)))</f>
        <v>0</v>
      </c>
      <c r="AD146" s="1367">
        <f>IF($R146-SUM($T146:AC146)=0,0,IF(OR($R146&lt;=0,$R146&lt;=SUM($T146:AC146)),0,IF((IF($J146=0,$O146,$J146)*$I146)&gt;=($R146-SUM($T146:AC146)),($R146-SUM($T146:AC146)),IF($J146=0,$O146,$J146)*$I146)))</f>
        <v>0</v>
      </c>
      <c r="AF146" s="1319" t="b">
        <f t="shared" si="47"/>
        <v>1</v>
      </c>
      <c r="AG146" s="1319" t="str">
        <f t="shared" si="48"/>
        <v>Checked</v>
      </c>
      <c r="AH146" s="1318" t="b">
        <f t="shared" si="49"/>
        <v>1</v>
      </c>
    </row>
    <row r="147" spans="2:34" outlineLevel="1" x14ac:dyDescent="0.3">
      <c r="B147" s="1356" t="s">
        <v>2234</v>
      </c>
      <c r="C147" s="1356" t="s">
        <v>1971</v>
      </c>
      <c r="D147" s="1322" t="s">
        <v>2301</v>
      </c>
      <c r="E147" s="1357">
        <v>10</v>
      </c>
      <c r="F147" s="1333">
        <f t="shared" si="40"/>
        <v>5</v>
      </c>
      <c r="G147" s="1358">
        <f t="shared" si="41"/>
        <v>0</v>
      </c>
      <c r="H147" s="1359">
        <f t="shared" si="42"/>
        <v>0</v>
      </c>
      <c r="I147" s="1360">
        <f t="shared" si="43"/>
        <v>0.1</v>
      </c>
      <c r="J147" s="1361">
        <v>16020000</v>
      </c>
      <c r="K147" s="1362">
        <v>12232576</v>
      </c>
      <c r="L147" s="1356">
        <v>0</v>
      </c>
      <c r="M147" s="1356">
        <v>0</v>
      </c>
      <c r="N147" s="1361">
        <f t="shared" si="44"/>
        <v>3787424</v>
      </c>
      <c r="O147" s="1363"/>
      <c r="P147" s="1356">
        <v>0</v>
      </c>
      <c r="Q147" s="1364">
        <v>980942</v>
      </c>
      <c r="R147" s="1365">
        <f t="shared" si="45"/>
        <v>2806482</v>
      </c>
      <c r="S147" s="1364"/>
      <c r="T147" s="1366">
        <f t="shared" si="46"/>
        <v>0</v>
      </c>
      <c r="U147" s="1367">
        <f>IF($R147-SUM($T147:T147)=0,0,IF(OR($R147&lt;=0,$R147&lt;=SUM($T147:T147)),0,IF((IF($J147=0,$O147,$J147)*$I147)&gt;=($R147-SUM($T147:T147)),($R147-SUM($T147:T147)),IF($J147=0,$O147,$J147)*$I147)))</f>
        <v>1602000</v>
      </c>
      <c r="V147" s="1367">
        <f>IF($R147-SUM($T147:U147)=0,0,IF(OR($R147&lt;=0,$R147&lt;=SUM($T147:U147)),0,IF((IF($J147=0,$O147,$J147)*$I147)&gt;=($R147-SUM($T147:U147)),($R147-SUM($T147:U147)),IF($J147=0,$O147,$J147)*$I147)))</f>
        <v>1204482</v>
      </c>
      <c r="W147" s="1367">
        <f>IF($R147-SUM($T147:V147)=0,0,IF(OR($R147&lt;=0,$R147&lt;=SUM($T147:V147)),0,IF((IF($J147=0,$O147,$J147)*$I147)&gt;=($R147-SUM($T147:V147)),($R147-SUM($T147:V147)),IF($J147=0,$O147,$J147)*$I147)))</f>
        <v>0</v>
      </c>
      <c r="X147" s="1367">
        <f>IF($R147-SUM($T147:W147)=0,0,IF(OR($R147&lt;=0,$R147&lt;=SUM($T147:W147)),0,IF((IF($J147=0,$O147,$J147)*$I147)&gt;=($R147-SUM($T147:W147)),($R147-SUM($T147:W147)),IF($J147=0,$O147,$J147)*$I147)))</f>
        <v>0</v>
      </c>
      <c r="Y147" s="1367">
        <f>IF($R147-SUM($T147:X147)=0,0,IF(OR($R147&lt;=0,$R147&lt;=SUM($T147:X147)),0,IF((IF($J147=0,$O147,$J147)*$I147)&gt;=($R147-SUM($T147:X147)),($R147-SUM($T147:X147)),IF($J147=0,$O147,$J147)*$I147)))</f>
        <v>0</v>
      </c>
      <c r="Z147" s="1367">
        <f>IF($R147-SUM($T147:Y147)=0,0,IF(OR($R147&lt;=0,$R147&lt;=SUM($T147:Y147)),0,IF((IF($J147=0,$O147,$J147)*$I147)&gt;=($R147-SUM($T147:Y147)),($R147-SUM($T147:Y147)),IF($J147=0,$O147,$J147)*$I147)))</f>
        <v>0</v>
      </c>
      <c r="AA147" s="1367">
        <f>IF($R147-SUM($T147:Z147)=0,0,IF(OR($R147&lt;=0,$R147&lt;=SUM($T147:Z147)),0,IF((IF($J147=0,$O147,$J147)*$I147)&gt;=($R147-SUM($T147:Z147)),($R147-SUM($T147:Z147)),IF($J147=0,$O147,$J147)*$I147)))</f>
        <v>0</v>
      </c>
      <c r="AB147" s="1367">
        <f>IF($R147-SUM($T147:AA147)=0,0,IF(OR($R147&lt;=0,$R147&lt;=SUM($T147:AA147)),0,IF((IF($J147=0,$O147,$J147)*$I147)&gt;=($R147-SUM($T147:AA147)),($R147-SUM($T147:AA147)),IF($J147=0,$O147,$J147)*$I147)))</f>
        <v>0</v>
      </c>
      <c r="AC147" s="1367">
        <f>IF($R147-SUM($T147:AB147)=0,0,IF(OR($R147&lt;=0,$R147&lt;=SUM($T147:AB147)),0,IF((IF($J147=0,$O147,$J147)*$I147)&gt;=($R147-SUM($T147:AB147)),($R147-SUM($T147:AB147)),IF($J147=0,$O147,$J147)*$I147)))</f>
        <v>0</v>
      </c>
      <c r="AD147" s="1367">
        <f>IF($R147-SUM($T147:AC147)=0,0,IF(OR($R147&lt;=0,$R147&lt;=SUM($T147:AC147)),0,IF((IF($J147=0,$O147,$J147)*$I147)&gt;=($R147-SUM($T147:AC147)),($R147-SUM($T147:AC147)),IF($J147=0,$O147,$J147)*$I147)))</f>
        <v>0</v>
      </c>
      <c r="AF147" s="1319" t="b">
        <f t="shared" si="47"/>
        <v>1</v>
      </c>
      <c r="AG147" s="1319" t="str">
        <f t="shared" si="48"/>
        <v>Checked</v>
      </c>
      <c r="AH147" s="1318" t="b">
        <f t="shared" si="49"/>
        <v>1</v>
      </c>
    </row>
    <row r="148" spans="2:34" outlineLevel="1" x14ac:dyDescent="0.3">
      <c r="B148" s="1356" t="s">
        <v>2302</v>
      </c>
      <c r="C148" s="1356" t="s">
        <v>1971</v>
      </c>
      <c r="D148" s="1322" t="s">
        <v>2301</v>
      </c>
      <c r="E148" s="1357">
        <v>10</v>
      </c>
      <c r="F148" s="1333">
        <f t="shared" si="40"/>
        <v>5</v>
      </c>
      <c r="G148" s="1358">
        <f t="shared" si="41"/>
        <v>0</v>
      </c>
      <c r="H148" s="1359">
        <f t="shared" si="42"/>
        <v>0</v>
      </c>
      <c r="I148" s="1360">
        <f t="shared" si="43"/>
        <v>0.1</v>
      </c>
      <c r="J148" s="1361">
        <v>19430000</v>
      </c>
      <c r="K148" s="1362">
        <v>14836389</v>
      </c>
      <c r="L148" s="1356">
        <v>0</v>
      </c>
      <c r="M148" s="1356">
        <v>0</v>
      </c>
      <c r="N148" s="1361">
        <f t="shared" si="44"/>
        <v>4593611</v>
      </c>
      <c r="O148" s="1363"/>
      <c r="P148" s="1356">
        <v>0</v>
      </c>
      <c r="Q148" s="1364">
        <v>1189745</v>
      </c>
      <c r="R148" s="1365">
        <f t="shared" si="45"/>
        <v>3403866</v>
      </c>
      <c r="S148" s="1364"/>
      <c r="T148" s="1366">
        <f t="shared" si="46"/>
        <v>0</v>
      </c>
      <c r="U148" s="1367">
        <f>IF($R148-SUM($T148:T148)=0,0,IF(OR($R148&lt;=0,$R148&lt;=SUM($T148:T148)),0,IF((IF($J148=0,$O148,$J148)*$I148)&gt;=($R148-SUM($T148:T148)),($R148-SUM($T148:T148)),IF($J148=0,$O148,$J148)*$I148)))</f>
        <v>1943000</v>
      </c>
      <c r="V148" s="1367">
        <f>IF($R148-SUM($T148:U148)=0,0,IF(OR($R148&lt;=0,$R148&lt;=SUM($T148:U148)),0,IF((IF($J148=0,$O148,$J148)*$I148)&gt;=($R148-SUM($T148:U148)),($R148-SUM($T148:U148)),IF($J148=0,$O148,$J148)*$I148)))</f>
        <v>1460866</v>
      </c>
      <c r="W148" s="1367">
        <f>IF($R148-SUM($T148:V148)=0,0,IF(OR($R148&lt;=0,$R148&lt;=SUM($T148:V148)),0,IF((IF($J148=0,$O148,$J148)*$I148)&gt;=($R148-SUM($T148:V148)),($R148-SUM($T148:V148)),IF($J148=0,$O148,$J148)*$I148)))</f>
        <v>0</v>
      </c>
      <c r="X148" s="1367">
        <f>IF($R148-SUM($T148:W148)=0,0,IF(OR($R148&lt;=0,$R148&lt;=SUM($T148:W148)),0,IF((IF($J148=0,$O148,$J148)*$I148)&gt;=($R148-SUM($T148:W148)),($R148-SUM($T148:W148)),IF($J148=0,$O148,$J148)*$I148)))</f>
        <v>0</v>
      </c>
      <c r="Y148" s="1367">
        <f>IF($R148-SUM($T148:X148)=0,0,IF(OR($R148&lt;=0,$R148&lt;=SUM($T148:X148)),0,IF((IF($J148=0,$O148,$J148)*$I148)&gt;=($R148-SUM($T148:X148)),($R148-SUM($T148:X148)),IF($J148=0,$O148,$J148)*$I148)))</f>
        <v>0</v>
      </c>
      <c r="Z148" s="1367">
        <f>IF($R148-SUM($T148:Y148)=0,0,IF(OR($R148&lt;=0,$R148&lt;=SUM($T148:Y148)),0,IF((IF($J148=0,$O148,$J148)*$I148)&gt;=($R148-SUM($T148:Y148)),($R148-SUM($T148:Y148)),IF($J148=0,$O148,$J148)*$I148)))</f>
        <v>0</v>
      </c>
      <c r="AA148" s="1367">
        <f>IF($R148-SUM($T148:Z148)=0,0,IF(OR($R148&lt;=0,$R148&lt;=SUM($T148:Z148)),0,IF((IF($J148=0,$O148,$J148)*$I148)&gt;=($R148-SUM($T148:Z148)),($R148-SUM($T148:Z148)),IF($J148=0,$O148,$J148)*$I148)))</f>
        <v>0</v>
      </c>
      <c r="AB148" s="1367">
        <f>IF($R148-SUM($T148:AA148)=0,0,IF(OR($R148&lt;=0,$R148&lt;=SUM($T148:AA148)),0,IF((IF($J148=0,$O148,$J148)*$I148)&gt;=($R148-SUM($T148:AA148)),($R148-SUM($T148:AA148)),IF($J148=0,$O148,$J148)*$I148)))</f>
        <v>0</v>
      </c>
      <c r="AC148" s="1367">
        <f>IF($R148-SUM($T148:AB148)=0,0,IF(OR($R148&lt;=0,$R148&lt;=SUM($T148:AB148)),0,IF((IF($J148=0,$O148,$J148)*$I148)&gt;=($R148-SUM($T148:AB148)),($R148-SUM($T148:AB148)),IF($J148=0,$O148,$J148)*$I148)))</f>
        <v>0</v>
      </c>
      <c r="AD148" s="1367">
        <f>IF($R148-SUM($T148:AC148)=0,0,IF(OR($R148&lt;=0,$R148&lt;=SUM($T148:AC148)),0,IF((IF($J148=0,$O148,$J148)*$I148)&gt;=($R148-SUM($T148:AC148)),($R148-SUM($T148:AC148)),IF($J148=0,$O148,$J148)*$I148)))</f>
        <v>0</v>
      </c>
      <c r="AF148" s="1319" t="b">
        <f t="shared" si="47"/>
        <v>1</v>
      </c>
      <c r="AG148" s="1319" t="str">
        <f t="shared" si="48"/>
        <v>Checked</v>
      </c>
      <c r="AH148" s="1318" t="b">
        <f t="shared" si="49"/>
        <v>1</v>
      </c>
    </row>
    <row r="149" spans="2:34" outlineLevel="1" x14ac:dyDescent="0.3">
      <c r="B149" s="1356" t="s">
        <v>2303</v>
      </c>
      <c r="C149" s="1356" t="s">
        <v>1971</v>
      </c>
      <c r="D149" s="1322" t="s">
        <v>2301</v>
      </c>
      <c r="E149" s="1357">
        <v>10</v>
      </c>
      <c r="F149" s="1333">
        <f t="shared" si="40"/>
        <v>5</v>
      </c>
      <c r="G149" s="1358">
        <f t="shared" si="41"/>
        <v>0</v>
      </c>
      <c r="H149" s="1359">
        <f t="shared" si="42"/>
        <v>0</v>
      </c>
      <c r="I149" s="1360">
        <f t="shared" si="43"/>
        <v>0.1</v>
      </c>
      <c r="J149" s="1361">
        <v>11385000</v>
      </c>
      <c r="K149" s="1362">
        <v>8693376</v>
      </c>
      <c r="L149" s="1356">
        <v>0</v>
      </c>
      <c r="M149" s="1356">
        <v>0</v>
      </c>
      <c r="N149" s="1361">
        <f t="shared" si="44"/>
        <v>2691624</v>
      </c>
      <c r="O149" s="1363"/>
      <c r="P149" s="1356">
        <v>0</v>
      </c>
      <c r="Q149" s="1364">
        <v>697130</v>
      </c>
      <c r="R149" s="1365">
        <f t="shared" si="45"/>
        <v>1994494</v>
      </c>
      <c r="S149" s="1364"/>
      <c r="T149" s="1366">
        <f t="shared" si="46"/>
        <v>0</v>
      </c>
      <c r="U149" s="1367">
        <f>IF($R149-SUM($T149:T149)=0,0,IF(OR($R149&lt;=0,$R149&lt;=SUM($T149:T149)),0,IF((IF($J149=0,$O149,$J149)*$I149)&gt;=($R149-SUM($T149:T149)),($R149-SUM($T149:T149)),IF($J149=0,$O149,$J149)*$I149)))</f>
        <v>1138500</v>
      </c>
      <c r="V149" s="1367">
        <f>IF($R149-SUM($T149:U149)=0,0,IF(OR($R149&lt;=0,$R149&lt;=SUM($T149:U149)),0,IF((IF($J149=0,$O149,$J149)*$I149)&gt;=($R149-SUM($T149:U149)),($R149-SUM($T149:U149)),IF($J149=0,$O149,$J149)*$I149)))</f>
        <v>855994</v>
      </c>
      <c r="W149" s="1367">
        <f>IF($R149-SUM($T149:V149)=0,0,IF(OR($R149&lt;=0,$R149&lt;=SUM($T149:V149)),0,IF((IF($J149=0,$O149,$J149)*$I149)&gt;=($R149-SUM($T149:V149)),($R149-SUM($T149:V149)),IF($J149=0,$O149,$J149)*$I149)))</f>
        <v>0</v>
      </c>
      <c r="X149" s="1367">
        <f>IF($R149-SUM($T149:W149)=0,0,IF(OR($R149&lt;=0,$R149&lt;=SUM($T149:W149)),0,IF((IF($J149=0,$O149,$J149)*$I149)&gt;=($R149-SUM($T149:W149)),($R149-SUM($T149:W149)),IF($J149=0,$O149,$J149)*$I149)))</f>
        <v>0</v>
      </c>
      <c r="Y149" s="1367">
        <f>IF($R149-SUM($T149:X149)=0,0,IF(OR($R149&lt;=0,$R149&lt;=SUM($T149:X149)),0,IF((IF($J149=0,$O149,$J149)*$I149)&gt;=($R149-SUM($T149:X149)),($R149-SUM($T149:X149)),IF($J149=0,$O149,$J149)*$I149)))</f>
        <v>0</v>
      </c>
      <c r="Z149" s="1367">
        <f>IF($R149-SUM($T149:Y149)=0,0,IF(OR($R149&lt;=0,$R149&lt;=SUM($T149:Y149)),0,IF((IF($J149=0,$O149,$J149)*$I149)&gt;=($R149-SUM($T149:Y149)),($R149-SUM($T149:Y149)),IF($J149=0,$O149,$J149)*$I149)))</f>
        <v>0</v>
      </c>
      <c r="AA149" s="1367">
        <f>IF($R149-SUM($T149:Z149)=0,0,IF(OR($R149&lt;=0,$R149&lt;=SUM($T149:Z149)),0,IF((IF($J149=0,$O149,$J149)*$I149)&gt;=($R149-SUM($T149:Z149)),($R149-SUM($T149:Z149)),IF($J149=0,$O149,$J149)*$I149)))</f>
        <v>0</v>
      </c>
      <c r="AB149" s="1367">
        <f>IF($R149-SUM($T149:AA149)=0,0,IF(OR($R149&lt;=0,$R149&lt;=SUM($T149:AA149)),0,IF((IF($J149=0,$O149,$J149)*$I149)&gt;=($R149-SUM($T149:AA149)),($R149-SUM($T149:AA149)),IF($J149=0,$O149,$J149)*$I149)))</f>
        <v>0</v>
      </c>
      <c r="AC149" s="1367">
        <f>IF($R149-SUM($T149:AB149)=0,0,IF(OR($R149&lt;=0,$R149&lt;=SUM($T149:AB149)),0,IF((IF($J149=0,$O149,$J149)*$I149)&gt;=($R149-SUM($T149:AB149)),($R149-SUM($T149:AB149)),IF($J149=0,$O149,$J149)*$I149)))</f>
        <v>0</v>
      </c>
      <c r="AD149" s="1367">
        <f>IF($R149-SUM($T149:AC149)=0,0,IF(OR($R149&lt;=0,$R149&lt;=SUM($T149:AC149)),0,IF((IF($J149=0,$O149,$J149)*$I149)&gt;=($R149-SUM($T149:AC149)),($R149-SUM($T149:AC149)),IF($J149=0,$O149,$J149)*$I149)))</f>
        <v>0</v>
      </c>
      <c r="AF149" s="1319" t="b">
        <f t="shared" si="47"/>
        <v>1</v>
      </c>
      <c r="AG149" s="1319" t="str">
        <f t="shared" si="48"/>
        <v>Checked</v>
      </c>
      <c r="AH149" s="1318" t="b">
        <f t="shared" si="49"/>
        <v>1</v>
      </c>
    </row>
    <row r="150" spans="2:34" outlineLevel="1" x14ac:dyDescent="0.3">
      <c r="B150" s="1356" t="s">
        <v>2304</v>
      </c>
      <c r="C150" s="1356" t="s">
        <v>1971</v>
      </c>
      <c r="D150" s="1322" t="s">
        <v>2305</v>
      </c>
      <c r="E150" s="1357">
        <v>10</v>
      </c>
      <c r="F150" s="1333">
        <f t="shared" si="40"/>
        <v>5</v>
      </c>
      <c r="G150" s="1358">
        <f t="shared" si="41"/>
        <v>0</v>
      </c>
      <c r="H150" s="1359">
        <f t="shared" si="42"/>
        <v>0</v>
      </c>
      <c r="I150" s="1360">
        <f t="shared" si="43"/>
        <v>0.1</v>
      </c>
      <c r="J150" s="1361">
        <v>87000000</v>
      </c>
      <c r="K150" s="1362">
        <v>65865478</v>
      </c>
      <c r="L150" s="1356">
        <v>0</v>
      </c>
      <c r="M150" s="1356">
        <v>0</v>
      </c>
      <c r="N150" s="1361">
        <f t="shared" si="44"/>
        <v>21134522</v>
      </c>
      <c r="O150" s="1363"/>
      <c r="P150" s="1356">
        <v>0</v>
      </c>
      <c r="Q150" s="1364">
        <v>5473841</v>
      </c>
      <c r="R150" s="1365">
        <f t="shared" si="45"/>
        <v>15660681</v>
      </c>
      <c r="S150" s="1364"/>
      <c r="T150" s="1366">
        <f t="shared" si="46"/>
        <v>0</v>
      </c>
      <c r="U150" s="1367">
        <f>IF($R150-SUM($T150:T150)=0,0,IF(OR($R150&lt;=0,$R150&lt;=SUM($T150:T150)),0,IF((IF($J150=0,$O150,$J150)*$I150)&gt;=($R150-SUM($T150:T150)),($R150-SUM($T150:T150)),IF($J150=0,$O150,$J150)*$I150)))</f>
        <v>8700000</v>
      </c>
      <c r="V150" s="1367">
        <f>IF($R150-SUM($T150:U150)=0,0,IF(OR($R150&lt;=0,$R150&lt;=SUM($T150:U150)),0,IF((IF($J150=0,$O150,$J150)*$I150)&gt;=($R150-SUM($T150:U150)),($R150-SUM($T150:U150)),IF($J150=0,$O150,$J150)*$I150)))</f>
        <v>6960681</v>
      </c>
      <c r="W150" s="1367">
        <f>IF($R150-SUM($T150:V150)=0,0,IF(OR($R150&lt;=0,$R150&lt;=SUM($T150:V150)),0,IF((IF($J150=0,$O150,$J150)*$I150)&gt;=($R150-SUM($T150:V150)),($R150-SUM($T150:V150)),IF($J150=0,$O150,$J150)*$I150)))</f>
        <v>0</v>
      </c>
      <c r="X150" s="1367">
        <f>IF($R150-SUM($T150:W150)=0,0,IF(OR($R150&lt;=0,$R150&lt;=SUM($T150:W150)),0,IF((IF($J150=0,$O150,$J150)*$I150)&gt;=($R150-SUM($T150:W150)),($R150-SUM($T150:W150)),IF($J150=0,$O150,$J150)*$I150)))</f>
        <v>0</v>
      </c>
      <c r="Y150" s="1367">
        <f>IF($R150-SUM($T150:X150)=0,0,IF(OR($R150&lt;=0,$R150&lt;=SUM($T150:X150)),0,IF((IF($J150=0,$O150,$J150)*$I150)&gt;=($R150-SUM($T150:X150)),($R150-SUM($T150:X150)),IF($J150=0,$O150,$J150)*$I150)))</f>
        <v>0</v>
      </c>
      <c r="Z150" s="1367">
        <f>IF($R150-SUM($T150:Y150)=0,0,IF(OR($R150&lt;=0,$R150&lt;=SUM($T150:Y150)),0,IF((IF($J150=0,$O150,$J150)*$I150)&gt;=($R150-SUM($T150:Y150)),($R150-SUM($T150:Y150)),IF($J150=0,$O150,$J150)*$I150)))</f>
        <v>0</v>
      </c>
      <c r="AA150" s="1367">
        <f>IF($R150-SUM($T150:Z150)=0,0,IF(OR($R150&lt;=0,$R150&lt;=SUM($T150:Z150)),0,IF((IF($J150=0,$O150,$J150)*$I150)&gt;=($R150-SUM($T150:Z150)),($R150-SUM($T150:Z150)),IF($J150=0,$O150,$J150)*$I150)))</f>
        <v>0</v>
      </c>
      <c r="AB150" s="1367">
        <f>IF($R150-SUM($T150:AA150)=0,0,IF(OR($R150&lt;=0,$R150&lt;=SUM($T150:AA150)),0,IF((IF($J150=0,$O150,$J150)*$I150)&gt;=($R150-SUM($T150:AA150)),($R150-SUM($T150:AA150)),IF($J150=0,$O150,$J150)*$I150)))</f>
        <v>0</v>
      </c>
      <c r="AC150" s="1367">
        <f>IF($R150-SUM($T150:AB150)=0,0,IF(OR($R150&lt;=0,$R150&lt;=SUM($T150:AB150)),0,IF((IF($J150=0,$O150,$J150)*$I150)&gt;=($R150-SUM($T150:AB150)),($R150-SUM($T150:AB150)),IF($J150=0,$O150,$J150)*$I150)))</f>
        <v>0</v>
      </c>
      <c r="AD150" s="1367">
        <f>IF($R150-SUM($T150:AC150)=0,0,IF(OR($R150&lt;=0,$R150&lt;=SUM($T150:AC150)),0,IF((IF($J150=0,$O150,$J150)*$I150)&gt;=($R150-SUM($T150:AC150)),($R150-SUM($T150:AC150)),IF($J150=0,$O150,$J150)*$I150)))</f>
        <v>0</v>
      </c>
      <c r="AF150" s="1319" t="b">
        <f t="shared" si="47"/>
        <v>1</v>
      </c>
      <c r="AG150" s="1319" t="str">
        <f t="shared" si="48"/>
        <v>Checked</v>
      </c>
      <c r="AH150" s="1318" t="b">
        <f t="shared" si="49"/>
        <v>1</v>
      </c>
    </row>
    <row r="151" spans="2:34" outlineLevel="1" x14ac:dyDescent="0.3">
      <c r="B151" s="1356" t="s">
        <v>2306</v>
      </c>
      <c r="C151" s="1356" t="s">
        <v>1971</v>
      </c>
      <c r="D151" s="1322" t="s">
        <v>2307</v>
      </c>
      <c r="E151" s="1357">
        <v>10</v>
      </c>
      <c r="F151" s="1333">
        <f t="shared" si="40"/>
        <v>5</v>
      </c>
      <c r="G151" s="1358">
        <f t="shared" si="41"/>
        <v>0</v>
      </c>
      <c r="H151" s="1359">
        <f t="shared" si="42"/>
        <v>0</v>
      </c>
      <c r="I151" s="1360">
        <f t="shared" si="43"/>
        <v>0.1</v>
      </c>
      <c r="J151" s="1361">
        <v>7000000</v>
      </c>
      <c r="K151" s="1362">
        <v>5253970</v>
      </c>
      <c r="L151" s="1356">
        <v>0</v>
      </c>
      <c r="M151" s="1356">
        <v>0</v>
      </c>
      <c r="N151" s="1361">
        <f t="shared" si="44"/>
        <v>1746030</v>
      </c>
      <c r="O151" s="1363"/>
      <c r="P151" s="1356">
        <v>0</v>
      </c>
      <c r="Q151" s="1364">
        <v>452221</v>
      </c>
      <c r="R151" s="1365">
        <f t="shared" si="45"/>
        <v>1293809</v>
      </c>
      <c r="S151" s="1364"/>
      <c r="T151" s="1366">
        <f t="shared" si="46"/>
        <v>0</v>
      </c>
      <c r="U151" s="1367">
        <f>IF($R151-SUM($T151:T151)=0,0,IF(OR($R151&lt;=0,$R151&lt;=SUM($T151:T151)),0,IF((IF($J151=0,$O151,$J151)*$I151)&gt;=($R151-SUM($T151:T151)),($R151-SUM($T151:T151)),IF($J151=0,$O151,$J151)*$I151)))</f>
        <v>700000</v>
      </c>
      <c r="V151" s="1367">
        <f>IF($R151-SUM($T151:U151)=0,0,IF(OR($R151&lt;=0,$R151&lt;=SUM($T151:U151)),0,IF((IF($J151=0,$O151,$J151)*$I151)&gt;=($R151-SUM($T151:U151)),($R151-SUM($T151:U151)),IF($J151=0,$O151,$J151)*$I151)))</f>
        <v>593809</v>
      </c>
      <c r="W151" s="1367">
        <f>IF($R151-SUM($T151:V151)=0,0,IF(OR($R151&lt;=0,$R151&lt;=SUM($T151:V151)),0,IF((IF($J151=0,$O151,$J151)*$I151)&gt;=($R151-SUM($T151:V151)),($R151-SUM($T151:V151)),IF($J151=0,$O151,$J151)*$I151)))</f>
        <v>0</v>
      </c>
      <c r="X151" s="1367">
        <f>IF($R151-SUM($T151:W151)=0,0,IF(OR($R151&lt;=0,$R151&lt;=SUM($T151:W151)),0,IF((IF($J151=0,$O151,$J151)*$I151)&gt;=($R151-SUM($T151:W151)),($R151-SUM($T151:W151)),IF($J151=0,$O151,$J151)*$I151)))</f>
        <v>0</v>
      </c>
      <c r="Y151" s="1367">
        <f>IF($R151-SUM($T151:X151)=0,0,IF(OR($R151&lt;=0,$R151&lt;=SUM($T151:X151)),0,IF((IF($J151=0,$O151,$J151)*$I151)&gt;=($R151-SUM($T151:X151)),($R151-SUM($T151:X151)),IF($J151=0,$O151,$J151)*$I151)))</f>
        <v>0</v>
      </c>
      <c r="Z151" s="1367">
        <f>IF($R151-SUM($T151:Y151)=0,0,IF(OR($R151&lt;=0,$R151&lt;=SUM($T151:Y151)),0,IF((IF($J151=0,$O151,$J151)*$I151)&gt;=($R151-SUM($T151:Y151)),($R151-SUM($T151:Y151)),IF($J151=0,$O151,$J151)*$I151)))</f>
        <v>0</v>
      </c>
      <c r="AA151" s="1367">
        <f>IF($R151-SUM($T151:Z151)=0,0,IF(OR($R151&lt;=0,$R151&lt;=SUM($T151:Z151)),0,IF((IF($J151=0,$O151,$J151)*$I151)&gt;=($R151-SUM($T151:Z151)),($R151-SUM($T151:Z151)),IF($J151=0,$O151,$J151)*$I151)))</f>
        <v>0</v>
      </c>
      <c r="AB151" s="1367">
        <f>IF($R151-SUM($T151:AA151)=0,0,IF(OR($R151&lt;=0,$R151&lt;=SUM($T151:AA151)),0,IF((IF($J151=0,$O151,$J151)*$I151)&gt;=($R151-SUM($T151:AA151)),($R151-SUM($T151:AA151)),IF($J151=0,$O151,$J151)*$I151)))</f>
        <v>0</v>
      </c>
      <c r="AC151" s="1367">
        <f>IF($R151-SUM($T151:AB151)=0,0,IF(OR($R151&lt;=0,$R151&lt;=SUM($T151:AB151)),0,IF((IF($J151=0,$O151,$J151)*$I151)&gt;=($R151-SUM($T151:AB151)),($R151-SUM($T151:AB151)),IF($J151=0,$O151,$J151)*$I151)))</f>
        <v>0</v>
      </c>
      <c r="AD151" s="1367">
        <f>IF($R151-SUM($T151:AC151)=0,0,IF(OR($R151&lt;=0,$R151&lt;=SUM($T151:AC151)),0,IF((IF($J151=0,$O151,$J151)*$I151)&gt;=($R151-SUM($T151:AC151)),($R151-SUM($T151:AC151)),IF($J151=0,$O151,$J151)*$I151)))</f>
        <v>0</v>
      </c>
      <c r="AF151" s="1319" t="b">
        <f t="shared" si="47"/>
        <v>1</v>
      </c>
      <c r="AG151" s="1319" t="str">
        <f t="shared" si="48"/>
        <v>Checked</v>
      </c>
      <c r="AH151" s="1318" t="b">
        <f t="shared" si="49"/>
        <v>1</v>
      </c>
    </row>
    <row r="152" spans="2:34" outlineLevel="1" x14ac:dyDescent="0.3">
      <c r="B152" s="1356" t="s">
        <v>2308</v>
      </c>
      <c r="C152" s="1356" t="s">
        <v>1971</v>
      </c>
      <c r="D152" s="1322" t="s">
        <v>2309</v>
      </c>
      <c r="E152" s="1357">
        <v>10</v>
      </c>
      <c r="F152" s="1333">
        <f t="shared" si="40"/>
        <v>5</v>
      </c>
      <c r="G152" s="1358">
        <f t="shared" si="41"/>
        <v>0</v>
      </c>
      <c r="H152" s="1359">
        <f t="shared" si="42"/>
        <v>0</v>
      </c>
      <c r="I152" s="1360">
        <f t="shared" si="43"/>
        <v>0.1</v>
      </c>
      <c r="J152" s="1361">
        <v>900000000</v>
      </c>
      <c r="K152" s="1362">
        <v>681367028</v>
      </c>
      <c r="L152" s="1356">
        <v>0</v>
      </c>
      <c r="M152" s="1356">
        <v>0</v>
      </c>
      <c r="N152" s="1361">
        <f t="shared" si="44"/>
        <v>218632972</v>
      </c>
      <c r="O152" s="1363"/>
      <c r="P152" s="1356">
        <v>0</v>
      </c>
      <c r="Q152" s="1364">
        <v>56625939</v>
      </c>
      <c r="R152" s="1365">
        <f t="shared" si="45"/>
        <v>162007033</v>
      </c>
      <c r="S152" s="1364"/>
      <c r="T152" s="1366">
        <f t="shared" si="46"/>
        <v>0</v>
      </c>
      <c r="U152" s="1367">
        <f>IF($R152-SUM($T152:T152)=0,0,IF(OR($R152&lt;=0,$R152&lt;=SUM($T152:T152)),0,IF((IF($J152=0,$O152,$J152)*$I152)&gt;=($R152-SUM($T152:T152)),($R152-SUM($T152:T152)),IF($J152=0,$O152,$J152)*$I152)))</f>
        <v>90000000</v>
      </c>
      <c r="V152" s="1367">
        <f>IF($R152-SUM($T152:U152)=0,0,IF(OR($R152&lt;=0,$R152&lt;=SUM($T152:U152)),0,IF((IF($J152=0,$O152,$J152)*$I152)&gt;=($R152-SUM($T152:U152)),($R152-SUM($T152:U152)),IF($J152=0,$O152,$J152)*$I152)))</f>
        <v>72007033</v>
      </c>
      <c r="W152" s="1367">
        <f>IF($R152-SUM($T152:V152)=0,0,IF(OR($R152&lt;=0,$R152&lt;=SUM($T152:V152)),0,IF((IF($J152=0,$O152,$J152)*$I152)&gt;=($R152-SUM($T152:V152)),($R152-SUM($T152:V152)),IF($J152=0,$O152,$J152)*$I152)))</f>
        <v>0</v>
      </c>
      <c r="X152" s="1367">
        <f>IF($R152-SUM($T152:W152)=0,0,IF(OR($R152&lt;=0,$R152&lt;=SUM($T152:W152)),0,IF((IF($J152=0,$O152,$J152)*$I152)&gt;=($R152-SUM($T152:W152)),($R152-SUM($T152:W152)),IF($J152=0,$O152,$J152)*$I152)))</f>
        <v>0</v>
      </c>
      <c r="Y152" s="1367">
        <f>IF($R152-SUM($T152:X152)=0,0,IF(OR($R152&lt;=0,$R152&lt;=SUM($T152:X152)),0,IF((IF($J152=0,$O152,$J152)*$I152)&gt;=($R152-SUM($T152:X152)),($R152-SUM($T152:X152)),IF($J152=0,$O152,$J152)*$I152)))</f>
        <v>0</v>
      </c>
      <c r="Z152" s="1367">
        <f>IF($R152-SUM($T152:Y152)=0,0,IF(OR($R152&lt;=0,$R152&lt;=SUM($T152:Y152)),0,IF((IF($J152=0,$O152,$J152)*$I152)&gt;=($R152-SUM($T152:Y152)),($R152-SUM($T152:Y152)),IF($J152=0,$O152,$J152)*$I152)))</f>
        <v>0</v>
      </c>
      <c r="AA152" s="1367">
        <f>IF($R152-SUM($T152:Z152)=0,0,IF(OR($R152&lt;=0,$R152&lt;=SUM($T152:Z152)),0,IF((IF($J152=0,$O152,$J152)*$I152)&gt;=($R152-SUM($T152:Z152)),($R152-SUM($T152:Z152)),IF($J152=0,$O152,$J152)*$I152)))</f>
        <v>0</v>
      </c>
      <c r="AB152" s="1367">
        <f>IF($R152-SUM($T152:AA152)=0,0,IF(OR($R152&lt;=0,$R152&lt;=SUM($T152:AA152)),0,IF((IF($J152=0,$O152,$J152)*$I152)&gt;=($R152-SUM($T152:AA152)),($R152-SUM($T152:AA152)),IF($J152=0,$O152,$J152)*$I152)))</f>
        <v>0</v>
      </c>
      <c r="AC152" s="1367">
        <f>IF($R152-SUM($T152:AB152)=0,0,IF(OR($R152&lt;=0,$R152&lt;=SUM($T152:AB152)),0,IF((IF($J152=0,$O152,$J152)*$I152)&gt;=($R152-SUM($T152:AB152)),($R152-SUM($T152:AB152)),IF($J152=0,$O152,$J152)*$I152)))</f>
        <v>0</v>
      </c>
      <c r="AD152" s="1367">
        <f>IF($R152-SUM($T152:AC152)=0,0,IF(OR($R152&lt;=0,$R152&lt;=SUM($T152:AC152)),0,IF((IF($J152=0,$O152,$J152)*$I152)&gt;=($R152-SUM($T152:AC152)),($R152-SUM($T152:AC152)),IF($J152=0,$O152,$J152)*$I152)))</f>
        <v>0</v>
      </c>
      <c r="AF152" s="1319" t="b">
        <f t="shared" si="47"/>
        <v>1</v>
      </c>
      <c r="AG152" s="1319" t="str">
        <f t="shared" si="48"/>
        <v>Checked</v>
      </c>
      <c r="AH152" s="1318" t="b">
        <f t="shared" si="49"/>
        <v>1</v>
      </c>
    </row>
    <row r="153" spans="2:34" outlineLevel="1" x14ac:dyDescent="0.3">
      <c r="B153" s="1356" t="s">
        <v>2310</v>
      </c>
      <c r="C153" s="1356" t="s">
        <v>1971</v>
      </c>
      <c r="D153" s="1322" t="s">
        <v>2311</v>
      </c>
      <c r="E153" s="1357">
        <v>10</v>
      </c>
      <c r="F153" s="1333">
        <f t="shared" si="40"/>
        <v>5</v>
      </c>
      <c r="G153" s="1358">
        <f t="shared" si="41"/>
        <v>0</v>
      </c>
      <c r="H153" s="1359">
        <f t="shared" si="42"/>
        <v>0</v>
      </c>
      <c r="I153" s="1360">
        <f t="shared" si="43"/>
        <v>0.1</v>
      </c>
      <c r="J153" s="1361">
        <v>21100000</v>
      </c>
      <c r="K153" s="1362">
        <v>15699668</v>
      </c>
      <c r="L153" s="1356">
        <v>0</v>
      </c>
      <c r="M153" s="1356">
        <v>0</v>
      </c>
      <c r="N153" s="1361">
        <f t="shared" si="44"/>
        <v>5400332</v>
      </c>
      <c r="O153" s="1363"/>
      <c r="P153" s="1356">
        <v>0</v>
      </c>
      <c r="Q153" s="1364">
        <v>1398685</v>
      </c>
      <c r="R153" s="1365">
        <f t="shared" si="45"/>
        <v>4001647</v>
      </c>
      <c r="S153" s="1364"/>
      <c r="T153" s="1366">
        <f t="shared" si="46"/>
        <v>0</v>
      </c>
      <c r="U153" s="1367">
        <f>IF($R153-SUM($T153:T153)=0,0,IF(OR($R153&lt;=0,$R153&lt;=SUM($T153:T153)),0,IF((IF($J153=0,$O153,$J153)*$I153)&gt;=($R153-SUM($T153:T153)),($R153-SUM($T153:T153)),IF($J153=0,$O153,$J153)*$I153)))</f>
        <v>2110000</v>
      </c>
      <c r="V153" s="1367">
        <f>IF($R153-SUM($T153:U153)=0,0,IF(OR($R153&lt;=0,$R153&lt;=SUM($T153:U153)),0,IF((IF($J153=0,$O153,$J153)*$I153)&gt;=($R153-SUM($T153:U153)),($R153-SUM($T153:U153)),IF($J153=0,$O153,$J153)*$I153)))</f>
        <v>1891647</v>
      </c>
      <c r="W153" s="1367">
        <f>IF($R153-SUM($T153:V153)=0,0,IF(OR($R153&lt;=0,$R153&lt;=SUM($T153:V153)),0,IF((IF($J153=0,$O153,$J153)*$I153)&gt;=($R153-SUM($T153:V153)),($R153-SUM($T153:V153)),IF($J153=0,$O153,$J153)*$I153)))</f>
        <v>0</v>
      </c>
      <c r="X153" s="1367">
        <f>IF($R153-SUM($T153:W153)=0,0,IF(OR($R153&lt;=0,$R153&lt;=SUM($T153:W153)),0,IF((IF($J153=0,$O153,$J153)*$I153)&gt;=($R153-SUM($T153:W153)),($R153-SUM($T153:W153)),IF($J153=0,$O153,$J153)*$I153)))</f>
        <v>0</v>
      </c>
      <c r="Y153" s="1367">
        <f>IF($R153-SUM($T153:X153)=0,0,IF(OR($R153&lt;=0,$R153&lt;=SUM($T153:X153)),0,IF((IF($J153=0,$O153,$J153)*$I153)&gt;=($R153-SUM($T153:X153)),($R153-SUM($T153:X153)),IF($J153=0,$O153,$J153)*$I153)))</f>
        <v>0</v>
      </c>
      <c r="Z153" s="1367">
        <f>IF($R153-SUM($T153:Y153)=0,0,IF(OR($R153&lt;=0,$R153&lt;=SUM($T153:Y153)),0,IF((IF($J153=0,$O153,$J153)*$I153)&gt;=($R153-SUM($T153:Y153)),($R153-SUM($T153:Y153)),IF($J153=0,$O153,$J153)*$I153)))</f>
        <v>0</v>
      </c>
      <c r="AA153" s="1367">
        <f>IF($R153-SUM($T153:Z153)=0,0,IF(OR($R153&lt;=0,$R153&lt;=SUM($T153:Z153)),0,IF((IF($J153=0,$O153,$J153)*$I153)&gt;=($R153-SUM($T153:Z153)),($R153-SUM($T153:Z153)),IF($J153=0,$O153,$J153)*$I153)))</f>
        <v>0</v>
      </c>
      <c r="AB153" s="1367">
        <f>IF($R153-SUM($T153:AA153)=0,0,IF(OR($R153&lt;=0,$R153&lt;=SUM($T153:AA153)),0,IF((IF($J153=0,$O153,$J153)*$I153)&gt;=($R153-SUM($T153:AA153)),($R153-SUM($T153:AA153)),IF($J153=0,$O153,$J153)*$I153)))</f>
        <v>0</v>
      </c>
      <c r="AC153" s="1367">
        <f>IF($R153-SUM($T153:AB153)=0,0,IF(OR($R153&lt;=0,$R153&lt;=SUM($T153:AB153)),0,IF((IF($J153=0,$O153,$J153)*$I153)&gt;=($R153-SUM($T153:AB153)),($R153-SUM($T153:AB153)),IF($J153=0,$O153,$J153)*$I153)))</f>
        <v>0</v>
      </c>
      <c r="AD153" s="1367">
        <f>IF($R153-SUM($T153:AC153)=0,0,IF(OR($R153&lt;=0,$R153&lt;=SUM($T153:AC153)),0,IF((IF($J153=0,$O153,$J153)*$I153)&gt;=($R153-SUM($T153:AC153)),($R153-SUM($T153:AC153)),IF($J153=0,$O153,$J153)*$I153)))</f>
        <v>0</v>
      </c>
      <c r="AF153" s="1319" t="b">
        <f t="shared" si="47"/>
        <v>1</v>
      </c>
      <c r="AG153" s="1319" t="str">
        <f t="shared" si="48"/>
        <v>Checked</v>
      </c>
      <c r="AH153" s="1318" t="b">
        <f t="shared" si="49"/>
        <v>1</v>
      </c>
    </row>
    <row r="154" spans="2:34" outlineLevel="1" x14ac:dyDescent="0.3">
      <c r="B154" s="1356" t="s">
        <v>2254</v>
      </c>
      <c r="C154" s="1356" t="s">
        <v>1971</v>
      </c>
      <c r="D154" s="1322" t="s">
        <v>2311</v>
      </c>
      <c r="E154" s="1357">
        <v>10</v>
      </c>
      <c r="F154" s="1333">
        <f t="shared" si="40"/>
        <v>5</v>
      </c>
      <c r="G154" s="1358">
        <f t="shared" si="41"/>
        <v>0</v>
      </c>
      <c r="H154" s="1359">
        <f t="shared" si="42"/>
        <v>0</v>
      </c>
      <c r="I154" s="1360">
        <f t="shared" si="43"/>
        <v>0.1</v>
      </c>
      <c r="J154" s="1361">
        <v>19540000</v>
      </c>
      <c r="K154" s="1362">
        <v>14538934</v>
      </c>
      <c r="L154" s="1356">
        <v>0</v>
      </c>
      <c r="M154" s="1356">
        <v>0</v>
      </c>
      <c r="N154" s="1361">
        <f t="shared" si="44"/>
        <v>5001066</v>
      </c>
      <c r="O154" s="1363"/>
      <c r="P154" s="1356">
        <v>0</v>
      </c>
      <c r="Q154" s="1364">
        <v>1295276</v>
      </c>
      <c r="R154" s="1365">
        <f t="shared" si="45"/>
        <v>3705790</v>
      </c>
      <c r="S154" s="1364"/>
      <c r="T154" s="1366">
        <f t="shared" si="46"/>
        <v>0</v>
      </c>
      <c r="U154" s="1367">
        <f>IF($R154-SUM($T154:T154)=0,0,IF(OR($R154&lt;=0,$R154&lt;=SUM($T154:T154)),0,IF((IF($J154=0,$O154,$J154)*$I154)&gt;=($R154-SUM($T154:T154)),($R154-SUM($T154:T154)),IF($J154=0,$O154,$J154)*$I154)))</f>
        <v>1954000</v>
      </c>
      <c r="V154" s="1367">
        <f>IF($R154-SUM($T154:U154)=0,0,IF(OR($R154&lt;=0,$R154&lt;=SUM($T154:U154)),0,IF((IF($J154=0,$O154,$J154)*$I154)&gt;=($R154-SUM($T154:U154)),($R154-SUM($T154:U154)),IF($J154=0,$O154,$J154)*$I154)))</f>
        <v>1751790</v>
      </c>
      <c r="W154" s="1367">
        <f>IF($R154-SUM($T154:V154)=0,0,IF(OR($R154&lt;=0,$R154&lt;=SUM($T154:V154)),0,IF((IF($J154=0,$O154,$J154)*$I154)&gt;=($R154-SUM($T154:V154)),($R154-SUM($T154:V154)),IF($J154=0,$O154,$J154)*$I154)))</f>
        <v>0</v>
      </c>
      <c r="X154" s="1367">
        <f>IF($R154-SUM($T154:W154)=0,0,IF(OR($R154&lt;=0,$R154&lt;=SUM($T154:W154)),0,IF((IF($J154=0,$O154,$J154)*$I154)&gt;=($R154-SUM($T154:W154)),($R154-SUM($T154:W154)),IF($J154=0,$O154,$J154)*$I154)))</f>
        <v>0</v>
      </c>
      <c r="Y154" s="1367">
        <f>IF($R154-SUM($T154:X154)=0,0,IF(OR($R154&lt;=0,$R154&lt;=SUM($T154:X154)),0,IF((IF($J154=0,$O154,$J154)*$I154)&gt;=($R154-SUM($T154:X154)),($R154-SUM($T154:X154)),IF($J154=0,$O154,$J154)*$I154)))</f>
        <v>0</v>
      </c>
      <c r="Z154" s="1367">
        <f>IF($R154-SUM($T154:Y154)=0,0,IF(OR($R154&lt;=0,$R154&lt;=SUM($T154:Y154)),0,IF((IF($J154=0,$O154,$J154)*$I154)&gt;=($R154-SUM($T154:Y154)),($R154-SUM($T154:Y154)),IF($J154=0,$O154,$J154)*$I154)))</f>
        <v>0</v>
      </c>
      <c r="AA154" s="1367">
        <f>IF($R154-SUM($T154:Z154)=0,0,IF(OR($R154&lt;=0,$R154&lt;=SUM($T154:Z154)),0,IF((IF($J154=0,$O154,$J154)*$I154)&gt;=($R154-SUM($T154:Z154)),($R154-SUM($T154:Z154)),IF($J154=0,$O154,$J154)*$I154)))</f>
        <v>0</v>
      </c>
      <c r="AB154" s="1367">
        <f>IF($R154-SUM($T154:AA154)=0,0,IF(OR($R154&lt;=0,$R154&lt;=SUM($T154:AA154)),0,IF((IF($J154=0,$O154,$J154)*$I154)&gt;=($R154-SUM($T154:AA154)),($R154-SUM($T154:AA154)),IF($J154=0,$O154,$J154)*$I154)))</f>
        <v>0</v>
      </c>
      <c r="AC154" s="1367">
        <f>IF($R154-SUM($T154:AB154)=0,0,IF(OR($R154&lt;=0,$R154&lt;=SUM($T154:AB154)),0,IF((IF($J154=0,$O154,$J154)*$I154)&gt;=($R154-SUM($T154:AB154)),($R154-SUM($T154:AB154)),IF($J154=0,$O154,$J154)*$I154)))</f>
        <v>0</v>
      </c>
      <c r="AD154" s="1367">
        <f>IF($R154-SUM($T154:AC154)=0,0,IF(OR($R154&lt;=0,$R154&lt;=SUM($T154:AC154)),0,IF((IF($J154=0,$O154,$J154)*$I154)&gt;=($R154-SUM($T154:AC154)),($R154-SUM($T154:AC154)),IF($J154=0,$O154,$J154)*$I154)))</f>
        <v>0</v>
      </c>
      <c r="AF154" s="1319" t="b">
        <f t="shared" si="47"/>
        <v>1</v>
      </c>
      <c r="AG154" s="1319" t="str">
        <f t="shared" si="48"/>
        <v>Checked</v>
      </c>
      <c r="AH154" s="1318" t="b">
        <f t="shared" si="49"/>
        <v>1</v>
      </c>
    </row>
    <row r="155" spans="2:34" outlineLevel="1" x14ac:dyDescent="0.3">
      <c r="B155" s="1356" t="s">
        <v>2312</v>
      </c>
      <c r="C155" s="1356" t="s">
        <v>1971</v>
      </c>
      <c r="D155" s="1322" t="s">
        <v>2313</v>
      </c>
      <c r="E155" s="1357">
        <v>10</v>
      </c>
      <c r="F155" s="1333">
        <f t="shared" si="40"/>
        <v>5</v>
      </c>
      <c r="G155" s="1358">
        <f t="shared" si="41"/>
        <v>0</v>
      </c>
      <c r="H155" s="1359">
        <f t="shared" si="42"/>
        <v>0</v>
      </c>
      <c r="I155" s="1360">
        <f t="shared" si="43"/>
        <v>0.1</v>
      </c>
      <c r="J155" s="1361">
        <v>3050000</v>
      </c>
      <c r="K155" s="1362">
        <v>2249535</v>
      </c>
      <c r="L155" s="1356">
        <v>0</v>
      </c>
      <c r="M155" s="1356">
        <v>0</v>
      </c>
      <c r="N155" s="1361">
        <f t="shared" si="44"/>
        <v>800465</v>
      </c>
      <c r="O155" s="1363"/>
      <c r="P155" s="1356">
        <v>0</v>
      </c>
      <c r="Q155" s="1364">
        <v>207320</v>
      </c>
      <c r="R155" s="1365">
        <f t="shared" si="45"/>
        <v>593145</v>
      </c>
      <c r="S155" s="1364"/>
      <c r="T155" s="1366">
        <f t="shared" si="46"/>
        <v>0</v>
      </c>
      <c r="U155" s="1367">
        <f>IF($R155-SUM($T155:T155)=0,0,IF(OR($R155&lt;=0,$R155&lt;=SUM($T155:T155)),0,IF((IF($J155=0,$O155,$J155)*$I155)&gt;=($R155-SUM($T155:T155)),($R155-SUM($T155:T155)),IF($J155=0,$O155,$J155)*$I155)))</f>
        <v>305000</v>
      </c>
      <c r="V155" s="1367">
        <f>IF($R155-SUM($T155:U155)=0,0,IF(OR($R155&lt;=0,$R155&lt;=SUM($T155:U155)),0,IF((IF($J155=0,$O155,$J155)*$I155)&gt;=($R155-SUM($T155:U155)),($R155-SUM($T155:U155)),IF($J155=0,$O155,$J155)*$I155)))</f>
        <v>288145</v>
      </c>
      <c r="W155" s="1367">
        <f>IF($R155-SUM($T155:V155)=0,0,IF(OR($R155&lt;=0,$R155&lt;=SUM($T155:V155)),0,IF((IF($J155=0,$O155,$J155)*$I155)&gt;=($R155-SUM($T155:V155)),($R155-SUM($T155:V155)),IF($J155=0,$O155,$J155)*$I155)))</f>
        <v>0</v>
      </c>
      <c r="X155" s="1367">
        <f>IF($R155-SUM($T155:W155)=0,0,IF(OR($R155&lt;=0,$R155&lt;=SUM($T155:W155)),0,IF((IF($J155=0,$O155,$J155)*$I155)&gt;=($R155-SUM($T155:W155)),($R155-SUM($T155:W155)),IF($J155=0,$O155,$J155)*$I155)))</f>
        <v>0</v>
      </c>
      <c r="Y155" s="1367">
        <f>IF($R155-SUM($T155:X155)=0,0,IF(OR($R155&lt;=0,$R155&lt;=SUM($T155:X155)),0,IF((IF($J155=0,$O155,$J155)*$I155)&gt;=($R155-SUM($T155:X155)),($R155-SUM($T155:X155)),IF($J155=0,$O155,$J155)*$I155)))</f>
        <v>0</v>
      </c>
      <c r="Z155" s="1367">
        <f>IF($R155-SUM($T155:Y155)=0,0,IF(OR($R155&lt;=0,$R155&lt;=SUM($T155:Y155)),0,IF((IF($J155=0,$O155,$J155)*$I155)&gt;=($R155-SUM($T155:Y155)),($R155-SUM($T155:Y155)),IF($J155=0,$O155,$J155)*$I155)))</f>
        <v>0</v>
      </c>
      <c r="AA155" s="1367">
        <f>IF($R155-SUM($T155:Z155)=0,0,IF(OR($R155&lt;=0,$R155&lt;=SUM($T155:Z155)),0,IF((IF($J155=0,$O155,$J155)*$I155)&gt;=($R155-SUM($T155:Z155)),($R155-SUM($T155:Z155)),IF($J155=0,$O155,$J155)*$I155)))</f>
        <v>0</v>
      </c>
      <c r="AB155" s="1367">
        <f>IF($R155-SUM($T155:AA155)=0,0,IF(OR($R155&lt;=0,$R155&lt;=SUM($T155:AA155)),0,IF((IF($J155=0,$O155,$J155)*$I155)&gt;=($R155-SUM($T155:AA155)),($R155-SUM($T155:AA155)),IF($J155=0,$O155,$J155)*$I155)))</f>
        <v>0</v>
      </c>
      <c r="AC155" s="1367">
        <f>IF($R155-SUM($T155:AB155)=0,0,IF(OR($R155&lt;=0,$R155&lt;=SUM($T155:AB155)),0,IF((IF($J155=0,$O155,$J155)*$I155)&gt;=($R155-SUM($T155:AB155)),($R155-SUM($T155:AB155)),IF($J155=0,$O155,$J155)*$I155)))</f>
        <v>0</v>
      </c>
      <c r="AD155" s="1367">
        <f>IF($R155-SUM($T155:AC155)=0,0,IF(OR($R155&lt;=0,$R155&lt;=SUM($T155:AC155)),0,IF((IF($J155=0,$O155,$J155)*$I155)&gt;=($R155-SUM($T155:AC155)),($R155-SUM($T155:AC155)),IF($J155=0,$O155,$J155)*$I155)))</f>
        <v>0</v>
      </c>
      <c r="AF155" s="1319" t="b">
        <f t="shared" si="47"/>
        <v>1</v>
      </c>
      <c r="AG155" s="1319" t="str">
        <f t="shared" si="48"/>
        <v>Checked</v>
      </c>
      <c r="AH155" s="1318" t="b">
        <f t="shared" si="49"/>
        <v>1</v>
      </c>
    </row>
    <row r="156" spans="2:34" outlineLevel="1" x14ac:dyDescent="0.3">
      <c r="B156" s="1356" t="s">
        <v>2314</v>
      </c>
      <c r="C156" s="1356" t="s">
        <v>1971</v>
      </c>
      <c r="D156" s="1322" t="s">
        <v>2315</v>
      </c>
      <c r="E156" s="1357">
        <v>10</v>
      </c>
      <c r="F156" s="1333">
        <f t="shared" si="40"/>
        <v>5</v>
      </c>
      <c r="G156" s="1358">
        <f t="shared" si="41"/>
        <v>0</v>
      </c>
      <c r="H156" s="1359">
        <f t="shared" si="42"/>
        <v>0</v>
      </c>
      <c r="I156" s="1360">
        <f t="shared" si="43"/>
        <v>0.1</v>
      </c>
      <c r="J156" s="1361">
        <v>16970000</v>
      </c>
      <c r="K156" s="1362">
        <v>12405846</v>
      </c>
      <c r="L156" s="1356">
        <v>0</v>
      </c>
      <c r="M156" s="1356">
        <v>0</v>
      </c>
      <c r="N156" s="1361">
        <f t="shared" si="44"/>
        <v>4564154</v>
      </c>
      <c r="O156" s="1363"/>
      <c r="P156" s="1356">
        <v>0</v>
      </c>
      <c r="Q156" s="1364">
        <v>1182115</v>
      </c>
      <c r="R156" s="1365">
        <f t="shared" si="45"/>
        <v>3382039</v>
      </c>
      <c r="S156" s="1364"/>
      <c r="T156" s="1366">
        <f t="shared" si="46"/>
        <v>0</v>
      </c>
      <c r="U156" s="1367">
        <f>IF($R156-SUM($T156:T156)=0,0,IF(OR($R156&lt;=0,$R156&lt;=SUM($T156:T156)),0,IF((IF($J156=0,$O156,$J156)*$I156)&gt;=($R156-SUM($T156:T156)),($R156-SUM($T156:T156)),IF($J156=0,$O156,$J156)*$I156)))</f>
        <v>1697000</v>
      </c>
      <c r="V156" s="1367">
        <f>IF($R156-SUM($T156:U156)=0,0,IF(OR($R156&lt;=0,$R156&lt;=SUM($T156:U156)),0,IF((IF($J156=0,$O156,$J156)*$I156)&gt;=($R156-SUM($T156:U156)),($R156-SUM($T156:U156)),IF($J156=0,$O156,$J156)*$I156)))</f>
        <v>1685039</v>
      </c>
      <c r="W156" s="1367">
        <f>IF($R156-SUM($T156:V156)=0,0,IF(OR($R156&lt;=0,$R156&lt;=SUM($T156:V156)),0,IF((IF($J156=0,$O156,$J156)*$I156)&gt;=($R156-SUM($T156:V156)),($R156-SUM($T156:V156)),IF($J156=0,$O156,$J156)*$I156)))</f>
        <v>0</v>
      </c>
      <c r="X156" s="1367">
        <f>IF($R156-SUM($T156:W156)=0,0,IF(OR($R156&lt;=0,$R156&lt;=SUM($T156:W156)),0,IF((IF($J156=0,$O156,$J156)*$I156)&gt;=($R156-SUM($T156:W156)),($R156-SUM($T156:W156)),IF($J156=0,$O156,$J156)*$I156)))</f>
        <v>0</v>
      </c>
      <c r="Y156" s="1367">
        <f>IF($R156-SUM($T156:X156)=0,0,IF(OR($R156&lt;=0,$R156&lt;=SUM($T156:X156)),0,IF((IF($J156=0,$O156,$J156)*$I156)&gt;=($R156-SUM($T156:X156)),($R156-SUM($T156:X156)),IF($J156=0,$O156,$J156)*$I156)))</f>
        <v>0</v>
      </c>
      <c r="Z156" s="1367">
        <f>IF($R156-SUM($T156:Y156)=0,0,IF(OR($R156&lt;=0,$R156&lt;=SUM($T156:Y156)),0,IF((IF($J156=0,$O156,$J156)*$I156)&gt;=($R156-SUM($T156:Y156)),($R156-SUM($T156:Y156)),IF($J156=0,$O156,$J156)*$I156)))</f>
        <v>0</v>
      </c>
      <c r="AA156" s="1367">
        <f>IF($R156-SUM($T156:Z156)=0,0,IF(OR($R156&lt;=0,$R156&lt;=SUM($T156:Z156)),0,IF((IF($J156=0,$O156,$J156)*$I156)&gt;=($R156-SUM($T156:Z156)),($R156-SUM($T156:Z156)),IF($J156=0,$O156,$J156)*$I156)))</f>
        <v>0</v>
      </c>
      <c r="AB156" s="1367">
        <f>IF($R156-SUM($T156:AA156)=0,0,IF(OR($R156&lt;=0,$R156&lt;=SUM($T156:AA156)),0,IF((IF($J156=0,$O156,$J156)*$I156)&gt;=($R156-SUM($T156:AA156)),($R156-SUM($T156:AA156)),IF($J156=0,$O156,$J156)*$I156)))</f>
        <v>0</v>
      </c>
      <c r="AC156" s="1367">
        <f>IF($R156-SUM($T156:AB156)=0,0,IF(OR($R156&lt;=0,$R156&lt;=SUM($T156:AB156)),0,IF((IF($J156=0,$O156,$J156)*$I156)&gt;=($R156-SUM($T156:AB156)),($R156-SUM($T156:AB156)),IF($J156=0,$O156,$J156)*$I156)))</f>
        <v>0</v>
      </c>
      <c r="AD156" s="1367">
        <f>IF($R156-SUM($T156:AC156)=0,0,IF(OR($R156&lt;=0,$R156&lt;=SUM($T156:AC156)),0,IF((IF($J156=0,$O156,$J156)*$I156)&gt;=($R156-SUM($T156:AC156)),($R156-SUM($T156:AC156)),IF($J156=0,$O156,$J156)*$I156)))</f>
        <v>0</v>
      </c>
      <c r="AF156" s="1319" t="b">
        <f t="shared" si="47"/>
        <v>1</v>
      </c>
      <c r="AG156" s="1319" t="str">
        <f t="shared" si="48"/>
        <v>Checked</v>
      </c>
      <c r="AH156" s="1318" t="b">
        <f t="shared" si="49"/>
        <v>1</v>
      </c>
    </row>
    <row r="157" spans="2:34" outlineLevel="1" x14ac:dyDescent="0.3">
      <c r="B157" s="1356" t="s">
        <v>2316</v>
      </c>
      <c r="C157" s="1356" t="s">
        <v>1971</v>
      </c>
      <c r="D157" s="1322" t="s">
        <v>2317</v>
      </c>
      <c r="E157" s="1357">
        <v>10</v>
      </c>
      <c r="F157" s="1333">
        <f t="shared" si="40"/>
        <v>5</v>
      </c>
      <c r="G157" s="1358">
        <f t="shared" si="41"/>
        <v>0</v>
      </c>
      <c r="H157" s="1359">
        <f t="shared" si="42"/>
        <v>0</v>
      </c>
      <c r="I157" s="1360">
        <f t="shared" si="43"/>
        <v>0.1</v>
      </c>
      <c r="J157" s="1361">
        <v>23741000</v>
      </c>
      <c r="K157" s="1362">
        <v>16737812</v>
      </c>
      <c r="L157" s="1356">
        <v>0</v>
      </c>
      <c r="M157" s="1356">
        <v>0</v>
      </c>
      <c r="N157" s="1361">
        <f t="shared" si="44"/>
        <v>7003188</v>
      </c>
      <c r="O157" s="1363"/>
      <c r="P157" s="1356">
        <v>0</v>
      </c>
      <c r="Q157" s="1364">
        <v>1813825</v>
      </c>
      <c r="R157" s="1365">
        <f t="shared" si="45"/>
        <v>5189363</v>
      </c>
      <c r="S157" s="1364"/>
      <c r="T157" s="1366">
        <f t="shared" si="46"/>
        <v>0</v>
      </c>
      <c r="U157" s="1367">
        <f>IF($R157-SUM($T157:T157)=0,0,IF(OR($R157&lt;=0,$R157&lt;=SUM($T157:T157)),0,IF((IF($J157=0,$O157,$J157)*$I157)&gt;=($R157-SUM($T157:T157)),($R157-SUM($T157:T157)),IF($J157=0,$O157,$J157)*$I157)))</f>
        <v>2374100</v>
      </c>
      <c r="V157" s="1367">
        <f>IF($R157-SUM($T157:U157)=0,0,IF(OR($R157&lt;=0,$R157&lt;=SUM($T157:U157)),0,IF((IF($J157=0,$O157,$J157)*$I157)&gt;=($R157-SUM($T157:U157)),($R157-SUM($T157:U157)),IF($J157=0,$O157,$J157)*$I157)))</f>
        <v>2374100</v>
      </c>
      <c r="W157" s="1367">
        <f>IF($R157-SUM($T157:V157)=0,0,IF(OR($R157&lt;=0,$R157&lt;=SUM($T157:V157)),0,IF((IF($J157=0,$O157,$J157)*$I157)&gt;=($R157-SUM($T157:V157)),($R157-SUM($T157:V157)),IF($J157=0,$O157,$J157)*$I157)))</f>
        <v>441163</v>
      </c>
      <c r="X157" s="1367">
        <f>IF($R157-SUM($T157:W157)=0,0,IF(OR($R157&lt;=0,$R157&lt;=SUM($T157:W157)),0,IF((IF($J157=0,$O157,$J157)*$I157)&gt;=($R157-SUM($T157:W157)),($R157-SUM($T157:W157)),IF($J157=0,$O157,$J157)*$I157)))</f>
        <v>0</v>
      </c>
      <c r="Y157" s="1367">
        <f>IF($R157-SUM($T157:X157)=0,0,IF(OR($R157&lt;=0,$R157&lt;=SUM($T157:X157)),0,IF((IF($J157=0,$O157,$J157)*$I157)&gt;=($R157-SUM($T157:X157)),($R157-SUM($T157:X157)),IF($J157=0,$O157,$J157)*$I157)))</f>
        <v>0</v>
      </c>
      <c r="Z157" s="1367">
        <f>IF($R157-SUM($T157:Y157)=0,0,IF(OR($R157&lt;=0,$R157&lt;=SUM($T157:Y157)),0,IF((IF($J157=0,$O157,$J157)*$I157)&gt;=($R157-SUM($T157:Y157)),($R157-SUM($T157:Y157)),IF($J157=0,$O157,$J157)*$I157)))</f>
        <v>0</v>
      </c>
      <c r="AA157" s="1367">
        <f>IF($R157-SUM($T157:Z157)=0,0,IF(OR($R157&lt;=0,$R157&lt;=SUM($T157:Z157)),0,IF((IF($J157=0,$O157,$J157)*$I157)&gt;=($R157-SUM($T157:Z157)),($R157-SUM($T157:Z157)),IF($J157=0,$O157,$J157)*$I157)))</f>
        <v>0</v>
      </c>
      <c r="AB157" s="1367">
        <f>IF($R157-SUM($T157:AA157)=0,0,IF(OR($R157&lt;=0,$R157&lt;=SUM($T157:AA157)),0,IF((IF($J157=0,$O157,$J157)*$I157)&gt;=($R157-SUM($T157:AA157)),($R157-SUM($T157:AA157)),IF($J157=0,$O157,$J157)*$I157)))</f>
        <v>0</v>
      </c>
      <c r="AC157" s="1367">
        <f>IF($R157-SUM($T157:AB157)=0,0,IF(OR($R157&lt;=0,$R157&lt;=SUM($T157:AB157)),0,IF((IF($J157=0,$O157,$J157)*$I157)&gt;=($R157-SUM($T157:AB157)),($R157-SUM($T157:AB157)),IF($J157=0,$O157,$J157)*$I157)))</f>
        <v>0</v>
      </c>
      <c r="AD157" s="1367">
        <f>IF($R157-SUM($T157:AC157)=0,0,IF(OR($R157&lt;=0,$R157&lt;=SUM($T157:AC157)),0,IF((IF($J157=0,$O157,$J157)*$I157)&gt;=($R157-SUM($T157:AC157)),($R157-SUM($T157:AC157)),IF($J157=0,$O157,$J157)*$I157)))</f>
        <v>0</v>
      </c>
      <c r="AF157" s="1319" t="b">
        <f t="shared" si="47"/>
        <v>1</v>
      </c>
      <c r="AG157" s="1319" t="str">
        <f t="shared" si="48"/>
        <v>Checked</v>
      </c>
      <c r="AH157" s="1318" t="b">
        <f t="shared" si="49"/>
        <v>1</v>
      </c>
    </row>
    <row r="158" spans="2:34" outlineLevel="1" x14ac:dyDescent="0.3">
      <c r="B158" s="1356" t="s">
        <v>2318</v>
      </c>
      <c r="C158" s="1356" t="s">
        <v>1971</v>
      </c>
      <c r="D158" s="1322" t="s">
        <v>2319</v>
      </c>
      <c r="E158" s="1357">
        <v>10</v>
      </c>
      <c r="F158" s="1333">
        <f t="shared" si="40"/>
        <v>5</v>
      </c>
      <c r="G158" s="1358">
        <f t="shared" si="41"/>
        <v>0</v>
      </c>
      <c r="H158" s="1359">
        <f t="shared" si="42"/>
        <v>0</v>
      </c>
      <c r="I158" s="1360">
        <f t="shared" si="43"/>
        <v>0.1</v>
      </c>
      <c r="J158" s="1361">
        <v>36650000</v>
      </c>
      <c r="K158" s="1362">
        <v>25838879</v>
      </c>
      <c r="L158" s="1356">
        <v>0</v>
      </c>
      <c r="M158" s="1356">
        <v>0</v>
      </c>
      <c r="N158" s="1361">
        <f t="shared" si="44"/>
        <v>10811121</v>
      </c>
      <c r="O158" s="1363"/>
      <c r="P158" s="1356">
        <v>0</v>
      </c>
      <c r="Q158" s="1364">
        <v>2800080</v>
      </c>
      <c r="R158" s="1365">
        <f t="shared" si="45"/>
        <v>8011041</v>
      </c>
      <c r="S158" s="1364"/>
      <c r="T158" s="1366">
        <f t="shared" si="46"/>
        <v>0</v>
      </c>
      <c r="U158" s="1367">
        <f>IF($R158-SUM($T158:T158)=0,0,IF(OR($R158&lt;=0,$R158&lt;=SUM($T158:T158)),0,IF((IF($J158=0,$O158,$J158)*$I158)&gt;=($R158-SUM($T158:T158)),($R158-SUM($T158:T158)),IF($J158=0,$O158,$J158)*$I158)))</f>
        <v>3665000</v>
      </c>
      <c r="V158" s="1367">
        <f>IF($R158-SUM($T158:U158)=0,0,IF(OR($R158&lt;=0,$R158&lt;=SUM($T158:U158)),0,IF((IF($J158=0,$O158,$J158)*$I158)&gt;=($R158-SUM($T158:U158)),($R158-SUM($T158:U158)),IF($J158=0,$O158,$J158)*$I158)))</f>
        <v>3665000</v>
      </c>
      <c r="W158" s="1367">
        <f>IF($R158-SUM($T158:V158)=0,0,IF(OR($R158&lt;=0,$R158&lt;=SUM($T158:V158)),0,IF((IF($J158=0,$O158,$J158)*$I158)&gt;=($R158-SUM($T158:V158)),($R158-SUM($T158:V158)),IF($J158=0,$O158,$J158)*$I158)))</f>
        <v>681041</v>
      </c>
      <c r="X158" s="1367">
        <f>IF($R158-SUM($T158:W158)=0,0,IF(OR($R158&lt;=0,$R158&lt;=SUM($T158:W158)),0,IF((IF($J158=0,$O158,$J158)*$I158)&gt;=($R158-SUM($T158:W158)),($R158-SUM($T158:W158)),IF($J158=0,$O158,$J158)*$I158)))</f>
        <v>0</v>
      </c>
      <c r="Y158" s="1367">
        <f>IF($R158-SUM($T158:X158)=0,0,IF(OR($R158&lt;=0,$R158&lt;=SUM($T158:X158)),0,IF((IF($J158=0,$O158,$J158)*$I158)&gt;=($R158-SUM($T158:X158)),($R158-SUM($T158:X158)),IF($J158=0,$O158,$J158)*$I158)))</f>
        <v>0</v>
      </c>
      <c r="Z158" s="1367">
        <f>IF($R158-SUM($T158:Y158)=0,0,IF(OR($R158&lt;=0,$R158&lt;=SUM($T158:Y158)),0,IF((IF($J158=0,$O158,$J158)*$I158)&gt;=($R158-SUM($T158:Y158)),($R158-SUM($T158:Y158)),IF($J158=0,$O158,$J158)*$I158)))</f>
        <v>0</v>
      </c>
      <c r="AA158" s="1367">
        <f>IF($R158-SUM($T158:Z158)=0,0,IF(OR($R158&lt;=0,$R158&lt;=SUM($T158:Z158)),0,IF((IF($J158=0,$O158,$J158)*$I158)&gt;=($R158-SUM($T158:Z158)),($R158-SUM($T158:Z158)),IF($J158=0,$O158,$J158)*$I158)))</f>
        <v>0</v>
      </c>
      <c r="AB158" s="1367">
        <f>IF($R158-SUM($T158:AA158)=0,0,IF(OR($R158&lt;=0,$R158&lt;=SUM($T158:AA158)),0,IF((IF($J158=0,$O158,$J158)*$I158)&gt;=($R158-SUM($T158:AA158)),($R158-SUM($T158:AA158)),IF($J158=0,$O158,$J158)*$I158)))</f>
        <v>0</v>
      </c>
      <c r="AC158" s="1367">
        <f>IF($R158-SUM($T158:AB158)=0,0,IF(OR($R158&lt;=0,$R158&lt;=SUM($T158:AB158)),0,IF((IF($J158=0,$O158,$J158)*$I158)&gt;=($R158-SUM($T158:AB158)),($R158-SUM($T158:AB158)),IF($J158=0,$O158,$J158)*$I158)))</f>
        <v>0</v>
      </c>
      <c r="AD158" s="1367">
        <f>IF($R158-SUM($T158:AC158)=0,0,IF(OR($R158&lt;=0,$R158&lt;=SUM($T158:AC158)),0,IF((IF($J158=0,$O158,$J158)*$I158)&gt;=($R158-SUM($T158:AC158)),($R158-SUM($T158:AC158)),IF($J158=0,$O158,$J158)*$I158)))</f>
        <v>0</v>
      </c>
      <c r="AF158" s="1319" t="b">
        <f t="shared" si="47"/>
        <v>1</v>
      </c>
      <c r="AG158" s="1319" t="str">
        <f t="shared" si="48"/>
        <v>Checked</v>
      </c>
      <c r="AH158" s="1318" t="b">
        <f t="shared" si="49"/>
        <v>1</v>
      </c>
    </row>
    <row r="159" spans="2:34" outlineLevel="1" x14ac:dyDescent="0.3">
      <c r="B159" s="1356" t="s">
        <v>2320</v>
      </c>
      <c r="C159" s="1356" t="s">
        <v>1971</v>
      </c>
      <c r="D159" s="1322" t="s">
        <v>2321</v>
      </c>
      <c r="E159" s="1357">
        <v>10</v>
      </c>
      <c r="F159" s="1333">
        <f t="shared" si="40"/>
        <v>6</v>
      </c>
      <c r="G159" s="1358">
        <f t="shared" si="41"/>
        <v>0</v>
      </c>
      <c r="H159" s="1359">
        <f t="shared" si="42"/>
        <v>0</v>
      </c>
      <c r="I159" s="1360">
        <f t="shared" si="43"/>
        <v>0.1</v>
      </c>
      <c r="J159" s="1361">
        <v>2500000</v>
      </c>
      <c r="K159" s="1362">
        <v>1746274</v>
      </c>
      <c r="L159" s="1356">
        <v>0</v>
      </c>
      <c r="M159" s="1356">
        <v>0</v>
      </c>
      <c r="N159" s="1361">
        <f t="shared" si="44"/>
        <v>753726</v>
      </c>
      <c r="O159" s="1363"/>
      <c r="P159" s="1356">
        <v>0</v>
      </c>
      <c r="Q159" s="1364">
        <v>195215</v>
      </c>
      <c r="R159" s="1365">
        <f t="shared" si="45"/>
        <v>558511</v>
      </c>
      <c r="S159" s="1364"/>
      <c r="T159" s="1366">
        <f t="shared" si="46"/>
        <v>0</v>
      </c>
      <c r="U159" s="1367">
        <f>IF($R159-SUM($T159:T159)=0,0,IF(OR($R159&lt;=0,$R159&lt;=SUM($T159:T159)),0,IF((IF($J159=0,$O159,$J159)*$I159)&gt;=($R159-SUM($T159:T159)),($R159-SUM($T159:T159)),IF($J159=0,$O159,$J159)*$I159)))</f>
        <v>250000</v>
      </c>
      <c r="V159" s="1367">
        <f>IF($R159-SUM($T159:U159)=0,0,IF(OR($R159&lt;=0,$R159&lt;=SUM($T159:U159)),0,IF((IF($J159=0,$O159,$J159)*$I159)&gt;=($R159-SUM($T159:U159)),($R159-SUM($T159:U159)),IF($J159=0,$O159,$J159)*$I159)))</f>
        <v>250000</v>
      </c>
      <c r="W159" s="1367">
        <f>IF($R159-SUM($T159:V159)=0,0,IF(OR($R159&lt;=0,$R159&lt;=SUM($T159:V159)),0,IF((IF($J159=0,$O159,$J159)*$I159)&gt;=($R159-SUM($T159:V159)),($R159-SUM($T159:V159)),IF($J159=0,$O159,$J159)*$I159)))</f>
        <v>58511</v>
      </c>
      <c r="X159" s="1367">
        <f>IF($R159-SUM($T159:W159)=0,0,IF(OR($R159&lt;=0,$R159&lt;=SUM($T159:W159)),0,IF((IF($J159=0,$O159,$J159)*$I159)&gt;=($R159-SUM($T159:W159)),($R159-SUM($T159:W159)),IF($J159=0,$O159,$J159)*$I159)))</f>
        <v>0</v>
      </c>
      <c r="Y159" s="1367">
        <f>IF($R159-SUM($T159:X159)=0,0,IF(OR($R159&lt;=0,$R159&lt;=SUM($T159:X159)),0,IF((IF($J159=0,$O159,$J159)*$I159)&gt;=($R159-SUM($T159:X159)),($R159-SUM($T159:X159)),IF($J159=0,$O159,$J159)*$I159)))</f>
        <v>0</v>
      </c>
      <c r="Z159" s="1367">
        <f>IF($R159-SUM($T159:Y159)=0,0,IF(OR($R159&lt;=0,$R159&lt;=SUM($T159:Y159)),0,IF((IF($J159=0,$O159,$J159)*$I159)&gt;=($R159-SUM($T159:Y159)),($R159-SUM($T159:Y159)),IF($J159=0,$O159,$J159)*$I159)))</f>
        <v>0</v>
      </c>
      <c r="AA159" s="1367">
        <f>IF($R159-SUM($T159:Z159)=0,0,IF(OR($R159&lt;=0,$R159&lt;=SUM($T159:Z159)),0,IF((IF($J159=0,$O159,$J159)*$I159)&gt;=($R159-SUM($T159:Z159)),($R159-SUM($T159:Z159)),IF($J159=0,$O159,$J159)*$I159)))</f>
        <v>0</v>
      </c>
      <c r="AB159" s="1367">
        <f>IF($R159-SUM($T159:AA159)=0,0,IF(OR($R159&lt;=0,$R159&lt;=SUM($T159:AA159)),0,IF((IF($J159=0,$O159,$J159)*$I159)&gt;=($R159-SUM($T159:AA159)),($R159-SUM($T159:AA159)),IF($J159=0,$O159,$J159)*$I159)))</f>
        <v>0</v>
      </c>
      <c r="AC159" s="1367">
        <f>IF($R159-SUM($T159:AB159)=0,0,IF(OR($R159&lt;=0,$R159&lt;=SUM($T159:AB159)),0,IF((IF($J159=0,$O159,$J159)*$I159)&gt;=($R159-SUM($T159:AB159)),($R159-SUM($T159:AB159)),IF($J159=0,$O159,$J159)*$I159)))</f>
        <v>0</v>
      </c>
      <c r="AD159" s="1367">
        <f>IF($R159-SUM($T159:AC159)=0,0,IF(OR($R159&lt;=0,$R159&lt;=SUM($T159:AC159)),0,IF((IF($J159=0,$O159,$J159)*$I159)&gt;=($R159-SUM($T159:AC159)),($R159-SUM($T159:AC159)),IF($J159=0,$O159,$J159)*$I159)))</f>
        <v>0</v>
      </c>
      <c r="AF159" s="1319" t="b">
        <f t="shared" si="47"/>
        <v>1</v>
      </c>
      <c r="AG159" s="1319" t="str">
        <f t="shared" si="48"/>
        <v>Checked</v>
      </c>
      <c r="AH159" s="1318" t="b">
        <f t="shared" si="49"/>
        <v>1</v>
      </c>
    </row>
    <row r="160" spans="2:34" outlineLevel="1" x14ac:dyDescent="0.3">
      <c r="B160" s="1356" t="s">
        <v>2269</v>
      </c>
      <c r="C160" s="1356" t="s">
        <v>1971</v>
      </c>
      <c r="D160" s="1322" t="s">
        <v>2322</v>
      </c>
      <c r="E160" s="1357">
        <v>10</v>
      </c>
      <c r="F160" s="1333">
        <f t="shared" si="40"/>
        <v>6</v>
      </c>
      <c r="G160" s="1358">
        <f t="shared" si="41"/>
        <v>0</v>
      </c>
      <c r="H160" s="1359">
        <f t="shared" si="42"/>
        <v>0</v>
      </c>
      <c r="I160" s="1360">
        <f t="shared" si="43"/>
        <v>0.1</v>
      </c>
      <c r="J160" s="1361">
        <v>12709090</v>
      </c>
      <c r="K160" s="1362">
        <v>8542607</v>
      </c>
      <c r="L160" s="1356">
        <v>0</v>
      </c>
      <c r="M160" s="1356">
        <v>0</v>
      </c>
      <c r="N160" s="1361">
        <f t="shared" si="44"/>
        <v>4166483</v>
      </c>
      <c r="O160" s="1363"/>
      <c r="P160" s="1356">
        <v>0</v>
      </c>
      <c r="Q160" s="1364">
        <v>1079119</v>
      </c>
      <c r="R160" s="1365">
        <f t="shared" si="45"/>
        <v>3087364</v>
      </c>
      <c r="S160" s="1364"/>
      <c r="T160" s="1366">
        <f t="shared" si="46"/>
        <v>0</v>
      </c>
      <c r="U160" s="1367">
        <f>IF($R160-SUM($T160:T160)=0,0,IF(OR($R160&lt;=0,$R160&lt;=SUM($T160:T160)),0,IF((IF($J160=0,$O160,$J160)*$I160)&gt;=($R160-SUM($T160:T160)),($R160-SUM($T160:T160)),IF($J160=0,$O160,$J160)*$I160)))</f>
        <v>1270909</v>
      </c>
      <c r="V160" s="1367">
        <f>IF($R160-SUM($T160:U160)=0,0,IF(OR($R160&lt;=0,$R160&lt;=SUM($T160:U160)),0,IF((IF($J160=0,$O160,$J160)*$I160)&gt;=($R160-SUM($T160:U160)),($R160-SUM($T160:U160)),IF($J160=0,$O160,$J160)*$I160)))</f>
        <v>1270909</v>
      </c>
      <c r="W160" s="1367">
        <f>IF($R160-SUM($T160:V160)=0,0,IF(OR($R160&lt;=0,$R160&lt;=SUM($T160:V160)),0,IF((IF($J160=0,$O160,$J160)*$I160)&gt;=($R160-SUM($T160:V160)),($R160-SUM($T160:V160)),IF($J160=0,$O160,$J160)*$I160)))</f>
        <v>545546</v>
      </c>
      <c r="X160" s="1367">
        <f>IF($R160-SUM($T160:W160)=0,0,IF(OR($R160&lt;=0,$R160&lt;=SUM($T160:W160)),0,IF((IF($J160=0,$O160,$J160)*$I160)&gt;=($R160-SUM($T160:W160)),($R160-SUM($T160:W160)),IF($J160=0,$O160,$J160)*$I160)))</f>
        <v>0</v>
      </c>
      <c r="Y160" s="1367">
        <f>IF($R160-SUM($T160:X160)=0,0,IF(OR($R160&lt;=0,$R160&lt;=SUM($T160:X160)),0,IF((IF($J160=0,$O160,$J160)*$I160)&gt;=($R160-SUM($T160:X160)),($R160-SUM($T160:X160)),IF($J160=0,$O160,$J160)*$I160)))</f>
        <v>0</v>
      </c>
      <c r="Z160" s="1367">
        <f>IF($R160-SUM($T160:Y160)=0,0,IF(OR($R160&lt;=0,$R160&lt;=SUM($T160:Y160)),0,IF((IF($J160=0,$O160,$J160)*$I160)&gt;=($R160-SUM($T160:Y160)),($R160-SUM($T160:Y160)),IF($J160=0,$O160,$J160)*$I160)))</f>
        <v>0</v>
      </c>
      <c r="AA160" s="1367">
        <f>IF($R160-SUM($T160:Z160)=0,0,IF(OR($R160&lt;=0,$R160&lt;=SUM($T160:Z160)),0,IF((IF($J160=0,$O160,$J160)*$I160)&gt;=($R160-SUM($T160:Z160)),($R160-SUM($T160:Z160)),IF($J160=0,$O160,$J160)*$I160)))</f>
        <v>0</v>
      </c>
      <c r="AB160" s="1367">
        <f>IF($R160-SUM($T160:AA160)=0,0,IF(OR($R160&lt;=0,$R160&lt;=SUM($T160:AA160)),0,IF((IF($J160=0,$O160,$J160)*$I160)&gt;=($R160-SUM($T160:AA160)),($R160-SUM($T160:AA160)),IF($J160=0,$O160,$J160)*$I160)))</f>
        <v>0</v>
      </c>
      <c r="AC160" s="1367">
        <f>IF($R160-SUM($T160:AB160)=0,0,IF(OR($R160&lt;=0,$R160&lt;=SUM($T160:AB160)),0,IF((IF($J160=0,$O160,$J160)*$I160)&gt;=($R160-SUM($T160:AB160)),($R160-SUM($T160:AB160)),IF($J160=0,$O160,$J160)*$I160)))</f>
        <v>0</v>
      </c>
      <c r="AD160" s="1367">
        <f>IF($R160-SUM($T160:AC160)=0,0,IF(OR($R160&lt;=0,$R160&lt;=SUM($T160:AC160)),0,IF((IF($J160=0,$O160,$J160)*$I160)&gt;=($R160-SUM($T160:AC160)),($R160-SUM($T160:AC160)),IF($J160=0,$O160,$J160)*$I160)))</f>
        <v>0</v>
      </c>
      <c r="AF160" s="1319" t="b">
        <f t="shared" si="47"/>
        <v>1</v>
      </c>
      <c r="AG160" s="1319" t="str">
        <f t="shared" si="48"/>
        <v>Checked</v>
      </c>
      <c r="AH160" s="1318" t="b">
        <f t="shared" si="49"/>
        <v>1</v>
      </c>
    </row>
    <row r="161" spans="2:34" outlineLevel="1" x14ac:dyDescent="0.3">
      <c r="B161" s="1356" t="s">
        <v>2323</v>
      </c>
      <c r="C161" s="1356" t="s">
        <v>1971</v>
      </c>
      <c r="D161" s="1322" t="s">
        <v>2322</v>
      </c>
      <c r="E161" s="1357">
        <v>10</v>
      </c>
      <c r="F161" s="1333">
        <f t="shared" si="40"/>
        <v>6</v>
      </c>
      <c r="G161" s="1358">
        <f t="shared" si="41"/>
        <v>0</v>
      </c>
      <c r="H161" s="1359">
        <f t="shared" si="42"/>
        <v>0</v>
      </c>
      <c r="I161" s="1360">
        <f t="shared" si="43"/>
        <v>0.1</v>
      </c>
      <c r="J161" s="1361">
        <v>14563637</v>
      </c>
      <c r="K161" s="1362">
        <v>9789170</v>
      </c>
      <c r="L161" s="1356">
        <v>0</v>
      </c>
      <c r="M161" s="1356">
        <v>0</v>
      </c>
      <c r="N161" s="1361">
        <f t="shared" si="44"/>
        <v>4774467</v>
      </c>
      <c r="O161" s="1363"/>
      <c r="P161" s="1356">
        <v>0</v>
      </c>
      <c r="Q161" s="1364">
        <v>1236586</v>
      </c>
      <c r="R161" s="1365">
        <f t="shared" si="45"/>
        <v>3537881</v>
      </c>
      <c r="S161" s="1364"/>
      <c r="T161" s="1366">
        <f t="shared" si="46"/>
        <v>0</v>
      </c>
      <c r="U161" s="1367">
        <f>IF($R161-SUM($T161:T161)=0,0,IF(OR($R161&lt;=0,$R161&lt;=SUM($T161:T161)),0,IF((IF($J161=0,$O161,$J161)*$I161)&gt;=($R161-SUM($T161:T161)),($R161-SUM($T161:T161)),IF($J161=0,$O161,$J161)*$I161)))</f>
        <v>1456363.7000000002</v>
      </c>
      <c r="V161" s="1367">
        <f>IF($R161-SUM($T161:U161)=0,0,IF(OR($R161&lt;=0,$R161&lt;=SUM($T161:U161)),0,IF((IF($J161=0,$O161,$J161)*$I161)&gt;=($R161-SUM($T161:U161)),($R161-SUM($T161:U161)),IF($J161=0,$O161,$J161)*$I161)))</f>
        <v>1456363.7000000002</v>
      </c>
      <c r="W161" s="1367">
        <f>IF($R161-SUM($T161:V161)=0,0,IF(OR($R161&lt;=0,$R161&lt;=SUM($T161:V161)),0,IF((IF($J161=0,$O161,$J161)*$I161)&gt;=($R161-SUM($T161:V161)),($R161-SUM($T161:V161)),IF($J161=0,$O161,$J161)*$I161)))</f>
        <v>625153.59999999963</v>
      </c>
      <c r="X161" s="1367">
        <f>IF($R161-SUM($T161:W161)=0,0,IF(OR($R161&lt;=0,$R161&lt;=SUM($T161:W161)),0,IF((IF($J161=0,$O161,$J161)*$I161)&gt;=($R161-SUM($T161:W161)),($R161-SUM($T161:W161)),IF($J161=0,$O161,$J161)*$I161)))</f>
        <v>0</v>
      </c>
      <c r="Y161" s="1367">
        <f>IF($R161-SUM($T161:X161)=0,0,IF(OR($R161&lt;=0,$R161&lt;=SUM($T161:X161)),0,IF((IF($J161=0,$O161,$J161)*$I161)&gt;=($R161-SUM($T161:X161)),($R161-SUM($T161:X161)),IF($J161=0,$O161,$J161)*$I161)))</f>
        <v>0</v>
      </c>
      <c r="Z161" s="1367">
        <f>IF($R161-SUM($T161:Y161)=0,0,IF(OR($R161&lt;=0,$R161&lt;=SUM($T161:Y161)),0,IF((IF($J161=0,$O161,$J161)*$I161)&gt;=($R161-SUM($T161:Y161)),($R161-SUM($T161:Y161)),IF($J161=0,$O161,$J161)*$I161)))</f>
        <v>0</v>
      </c>
      <c r="AA161" s="1367">
        <f>IF($R161-SUM($T161:Z161)=0,0,IF(OR($R161&lt;=0,$R161&lt;=SUM($T161:Z161)),0,IF((IF($J161=0,$O161,$J161)*$I161)&gt;=($R161-SUM($T161:Z161)),($R161-SUM($T161:Z161)),IF($J161=0,$O161,$J161)*$I161)))</f>
        <v>0</v>
      </c>
      <c r="AB161" s="1367">
        <f>IF($R161-SUM($T161:AA161)=0,0,IF(OR($R161&lt;=0,$R161&lt;=SUM($T161:AA161)),0,IF((IF($J161=0,$O161,$J161)*$I161)&gt;=($R161-SUM($T161:AA161)),($R161-SUM($T161:AA161)),IF($J161=0,$O161,$J161)*$I161)))</f>
        <v>0</v>
      </c>
      <c r="AC161" s="1367">
        <f>IF($R161-SUM($T161:AB161)=0,0,IF(OR($R161&lt;=0,$R161&lt;=SUM($T161:AB161)),0,IF((IF($J161=0,$O161,$J161)*$I161)&gt;=($R161-SUM($T161:AB161)),($R161-SUM($T161:AB161)),IF($J161=0,$O161,$J161)*$I161)))</f>
        <v>0</v>
      </c>
      <c r="AD161" s="1367">
        <f>IF($R161-SUM($T161:AC161)=0,0,IF(OR($R161&lt;=0,$R161&lt;=SUM($T161:AC161)),0,IF((IF($J161=0,$O161,$J161)*$I161)&gt;=($R161-SUM($T161:AC161)),($R161-SUM($T161:AC161)),IF($J161=0,$O161,$J161)*$I161)))</f>
        <v>0</v>
      </c>
      <c r="AF161" s="1319" t="b">
        <f t="shared" si="47"/>
        <v>1</v>
      </c>
      <c r="AG161" s="1319" t="str">
        <f t="shared" si="48"/>
        <v>Checked</v>
      </c>
      <c r="AH161" s="1318" t="b">
        <f t="shared" si="49"/>
        <v>1</v>
      </c>
    </row>
    <row r="162" spans="2:34" outlineLevel="1" x14ac:dyDescent="0.3">
      <c r="B162" s="1356" t="s">
        <v>2324</v>
      </c>
      <c r="C162" s="1356" t="s">
        <v>1971</v>
      </c>
      <c r="D162" s="1322" t="s">
        <v>2325</v>
      </c>
      <c r="E162" s="1357">
        <v>10</v>
      </c>
      <c r="F162" s="1333">
        <f t="shared" si="40"/>
        <v>6</v>
      </c>
      <c r="G162" s="1358">
        <f t="shared" si="41"/>
        <v>0</v>
      </c>
      <c r="H162" s="1359">
        <f t="shared" si="42"/>
        <v>0</v>
      </c>
      <c r="I162" s="1360">
        <f t="shared" si="43"/>
        <v>0.1</v>
      </c>
      <c r="J162" s="1361">
        <v>8900000</v>
      </c>
      <c r="K162" s="1362">
        <v>5904114</v>
      </c>
      <c r="L162" s="1356">
        <v>0</v>
      </c>
      <c r="M162" s="1356">
        <v>0</v>
      </c>
      <c r="N162" s="1361">
        <f t="shared" si="44"/>
        <v>2995886</v>
      </c>
      <c r="O162" s="1363"/>
      <c r="P162" s="1356">
        <v>0</v>
      </c>
      <c r="Q162" s="1364">
        <v>775934</v>
      </c>
      <c r="R162" s="1365">
        <f t="shared" si="45"/>
        <v>2219952</v>
      </c>
      <c r="S162" s="1364"/>
      <c r="T162" s="1366">
        <f t="shared" si="46"/>
        <v>0</v>
      </c>
      <c r="U162" s="1367">
        <f>IF($R162-SUM($T162:T162)=0,0,IF(OR($R162&lt;=0,$R162&lt;=SUM($T162:T162)),0,IF((IF($J162=0,$O162,$J162)*$I162)&gt;=($R162-SUM($T162:T162)),($R162-SUM($T162:T162)),IF($J162=0,$O162,$J162)*$I162)))</f>
        <v>890000</v>
      </c>
      <c r="V162" s="1367">
        <f>IF($R162-SUM($T162:U162)=0,0,IF(OR($R162&lt;=0,$R162&lt;=SUM($T162:U162)),0,IF((IF($J162=0,$O162,$J162)*$I162)&gt;=($R162-SUM($T162:U162)),($R162-SUM($T162:U162)),IF($J162=0,$O162,$J162)*$I162)))</f>
        <v>890000</v>
      </c>
      <c r="W162" s="1367">
        <f>IF($R162-SUM($T162:V162)=0,0,IF(OR($R162&lt;=0,$R162&lt;=SUM($T162:V162)),0,IF((IF($J162=0,$O162,$J162)*$I162)&gt;=($R162-SUM($T162:V162)),($R162-SUM($T162:V162)),IF($J162=0,$O162,$J162)*$I162)))</f>
        <v>439952</v>
      </c>
      <c r="X162" s="1367">
        <f>IF($R162-SUM($T162:W162)=0,0,IF(OR($R162&lt;=0,$R162&lt;=SUM($T162:W162)),0,IF((IF($J162=0,$O162,$J162)*$I162)&gt;=($R162-SUM($T162:W162)),($R162-SUM($T162:W162)),IF($J162=0,$O162,$J162)*$I162)))</f>
        <v>0</v>
      </c>
      <c r="Y162" s="1367">
        <f>IF($R162-SUM($T162:X162)=0,0,IF(OR($R162&lt;=0,$R162&lt;=SUM($T162:X162)),0,IF((IF($J162=0,$O162,$J162)*$I162)&gt;=($R162-SUM($T162:X162)),($R162-SUM($T162:X162)),IF($J162=0,$O162,$J162)*$I162)))</f>
        <v>0</v>
      </c>
      <c r="Z162" s="1367">
        <f>IF($R162-SUM($T162:Y162)=0,0,IF(OR($R162&lt;=0,$R162&lt;=SUM($T162:Y162)),0,IF((IF($J162=0,$O162,$J162)*$I162)&gt;=($R162-SUM($T162:Y162)),($R162-SUM($T162:Y162)),IF($J162=0,$O162,$J162)*$I162)))</f>
        <v>0</v>
      </c>
      <c r="AA162" s="1367">
        <f>IF($R162-SUM($T162:Z162)=0,0,IF(OR($R162&lt;=0,$R162&lt;=SUM($T162:Z162)),0,IF((IF($J162=0,$O162,$J162)*$I162)&gt;=($R162-SUM($T162:Z162)),($R162-SUM($T162:Z162)),IF($J162=0,$O162,$J162)*$I162)))</f>
        <v>0</v>
      </c>
      <c r="AB162" s="1367">
        <f>IF($R162-SUM($T162:AA162)=0,0,IF(OR($R162&lt;=0,$R162&lt;=SUM($T162:AA162)),0,IF((IF($J162=0,$O162,$J162)*$I162)&gt;=($R162-SUM($T162:AA162)),($R162-SUM($T162:AA162)),IF($J162=0,$O162,$J162)*$I162)))</f>
        <v>0</v>
      </c>
      <c r="AC162" s="1367">
        <f>IF($R162-SUM($T162:AB162)=0,0,IF(OR($R162&lt;=0,$R162&lt;=SUM($T162:AB162)),0,IF((IF($J162=0,$O162,$J162)*$I162)&gt;=($R162-SUM($T162:AB162)),($R162-SUM($T162:AB162)),IF($J162=0,$O162,$J162)*$I162)))</f>
        <v>0</v>
      </c>
      <c r="AD162" s="1367">
        <f>IF($R162-SUM($T162:AC162)=0,0,IF(OR($R162&lt;=0,$R162&lt;=SUM($T162:AC162)),0,IF((IF($J162=0,$O162,$J162)*$I162)&gt;=($R162-SUM($T162:AC162)),($R162-SUM($T162:AC162)),IF($J162=0,$O162,$J162)*$I162)))</f>
        <v>0</v>
      </c>
      <c r="AF162" s="1319" t="b">
        <f t="shared" si="47"/>
        <v>1</v>
      </c>
      <c r="AG162" s="1319" t="str">
        <f t="shared" si="48"/>
        <v>Checked</v>
      </c>
      <c r="AH162" s="1318" t="b">
        <f t="shared" si="49"/>
        <v>1</v>
      </c>
    </row>
    <row r="163" spans="2:34" outlineLevel="1" x14ac:dyDescent="0.3">
      <c r="B163" s="1356" t="s">
        <v>2326</v>
      </c>
      <c r="C163" s="1356" t="s">
        <v>1971</v>
      </c>
      <c r="D163" s="1322" t="s">
        <v>2327</v>
      </c>
      <c r="E163" s="1357">
        <v>10</v>
      </c>
      <c r="F163" s="1333">
        <f t="shared" si="40"/>
        <v>6</v>
      </c>
      <c r="G163" s="1358">
        <f t="shared" si="41"/>
        <v>0</v>
      </c>
      <c r="H163" s="1359">
        <f t="shared" si="42"/>
        <v>0</v>
      </c>
      <c r="I163" s="1360">
        <f t="shared" si="43"/>
        <v>0.1</v>
      </c>
      <c r="J163" s="1361">
        <v>16800000</v>
      </c>
      <c r="K163" s="1362">
        <v>10849784</v>
      </c>
      <c r="L163" s="1356">
        <v>0</v>
      </c>
      <c r="M163" s="1356">
        <v>0</v>
      </c>
      <c r="N163" s="1361">
        <f t="shared" si="44"/>
        <v>5950216</v>
      </c>
      <c r="O163" s="1363"/>
      <c r="P163" s="1356">
        <v>0</v>
      </c>
      <c r="Q163" s="1364">
        <v>1541105</v>
      </c>
      <c r="R163" s="1365">
        <f t="shared" si="45"/>
        <v>4409111</v>
      </c>
      <c r="S163" s="1364"/>
      <c r="T163" s="1366">
        <f t="shared" si="46"/>
        <v>0</v>
      </c>
      <c r="U163" s="1367">
        <f>IF($R163-SUM($T163:T163)=0,0,IF(OR($R163&lt;=0,$R163&lt;=SUM($T163:T163)),0,IF((IF($J163=0,$O163,$J163)*$I163)&gt;=($R163-SUM($T163:T163)),($R163-SUM($T163:T163)),IF($J163=0,$O163,$J163)*$I163)))</f>
        <v>1680000</v>
      </c>
      <c r="V163" s="1367">
        <f>IF($R163-SUM($T163:U163)=0,0,IF(OR($R163&lt;=0,$R163&lt;=SUM($T163:U163)),0,IF((IF($J163=0,$O163,$J163)*$I163)&gt;=($R163-SUM($T163:U163)),($R163-SUM($T163:U163)),IF($J163=0,$O163,$J163)*$I163)))</f>
        <v>1680000</v>
      </c>
      <c r="W163" s="1367">
        <f>IF($R163-SUM($T163:V163)=0,0,IF(OR($R163&lt;=0,$R163&lt;=SUM($T163:V163)),0,IF((IF($J163=0,$O163,$J163)*$I163)&gt;=($R163-SUM($T163:V163)),($R163-SUM($T163:V163)),IF($J163=0,$O163,$J163)*$I163)))</f>
        <v>1049111</v>
      </c>
      <c r="X163" s="1367">
        <f>IF($R163-SUM($T163:W163)=0,0,IF(OR($R163&lt;=0,$R163&lt;=SUM($T163:W163)),0,IF((IF($J163=0,$O163,$J163)*$I163)&gt;=($R163-SUM($T163:W163)),($R163-SUM($T163:W163)),IF($J163=0,$O163,$J163)*$I163)))</f>
        <v>0</v>
      </c>
      <c r="Y163" s="1367">
        <f>IF($R163-SUM($T163:X163)=0,0,IF(OR($R163&lt;=0,$R163&lt;=SUM($T163:X163)),0,IF((IF($J163=0,$O163,$J163)*$I163)&gt;=($R163-SUM($T163:X163)),($R163-SUM($T163:X163)),IF($J163=0,$O163,$J163)*$I163)))</f>
        <v>0</v>
      </c>
      <c r="Z163" s="1367">
        <f>IF($R163-SUM($T163:Y163)=0,0,IF(OR($R163&lt;=0,$R163&lt;=SUM($T163:Y163)),0,IF((IF($J163=0,$O163,$J163)*$I163)&gt;=($R163-SUM($T163:Y163)),($R163-SUM($T163:Y163)),IF($J163=0,$O163,$J163)*$I163)))</f>
        <v>0</v>
      </c>
      <c r="AA163" s="1367">
        <f>IF($R163-SUM($T163:Z163)=0,0,IF(OR($R163&lt;=0,$R163&lt;=SUM($T163:Z163)),0,IF((IF($J163=0,$O163,$J163)*$I163)&gt;=($R163-SUM($T163:Z163)),($R163-SUM($T163:Z163)),IF($J163=0,$O163,$J163)*$I163)))</f>
        <v>0</v>
      </c>
      <c r="AB163" s="1367">
        <f>IF($R163-SUM($T163:AA163)=0,0,IF(OR($R163&lt;=0,$R163&lt;=SUM($T163:AA163)),0,IF((IF($J163=0,$O163,$J163)*$I163)&gt;=($R163-SUM($T163:AA163)),($R163-SUM($T163:AA163)),IF($J163=0,$O163,$J163)*$I163)))</f>
        <v>0</v>
      </c>
      <c r="AC163" s="1367">
        <f>IF($R163-SUM($T163:AB163)=0,0,IF(OR($R163&lt;=0,$R163&lt;=SUM($T163:AB163)),0,IF((IF($J163=0,$O163,$J163)*$I163)&gt;=($R163-SUM($T163:AB163)),($R163-SUM($T163:AB163)),IF($J163=0,$O163,$J163)*$I163)))</f>
        <v>0</v>
      </c>
      <c r="AD163" s="1367">
        <f>IF($R163-SUM($T163:AC163)=0,0,IF(OR($R163&lt;=0,$R163&lt;=SUM($T163:AC163)),0,IF((IF($J163=0,$O163,$J163)*$I163)&gt;=($R163-SUM($T163:AC163)),($R163-SUM($T163:AC163)),IF($J163=0,$O163,$J163)*$I163)))</f>
        <v>0</v>
      </c>
      <c r="AF163" s="1319" t="b">
        <f t="shared" si="47"/>
        <v>1</v>
      </c>
      <c r="AG163" s="1319" t="str">
        <f t="shared" si="48"/>
        <v>Checked</v>
      </c>
      <c r="AH163" s="1318" t="b">
        <f t="shared" si="49"/>
        <v>1</v>
      </c>
    </row>
    <row r="164" spans="2:34" outlineLevel="1" x14ac:dyDescent="0.3">
      <c r="B164" s="1356" t="s">
        <v>2328</v>
      </c>
      <c r="C164" s="1356" t="s">
        <v>1971</v>
      </c>
      <c r="D164" s="1322" t="s">
        <v>2327</v>
      </c>
      <c r="E164" s="1357">
        <v>10</v>
      </c>
      <c r="F164" s="1333">
        <f t="shared" si="40"/>
        <v>6</v>
      </c>
      <c r="G164" s="1358">
        <f t="shared" si="41"/>
        <v>0</v>
      </c>
      <c r="H164" s="1359">
        <f t="shared" si="42"/>
        <v>0</v>
      </c>
      <c r="I164" s="1360">
        <f t="shared" si="43"/>
        <v>0.1</v>
      </c>
      <c r="J164" s="1361">
        <v>8900000</v>
      </c>
      <c r="K164" s="1362">
        <v>5747801</v>
      </c>
      <c r="L164" s="1356">
        <v>0</v>
      </c>
      <c r="M164" s="1356">
        <v>0</v>
      </c>
      <c r="N164" s="1361">
        <f t="shared" si="44"/>
        <v>3152199</v>
      </c>
      <c r="O164" s="1363"/>
      <c r="P164" s="1356">
        <v>0</v>
      </c>
      <c r="Q164" s="1364">
        <v>816419</v>
      </c>
      <c r="R164" s="1365">
        <f t="shared" si="45"/>
        <v>2335780</v>
      </c>
      <c r="S164" s="1364"/>
      <c r="T164" s="1366">
        <f t="shared" si="46"/>
        <v>0</v>
      </c>
      <c r="U164" s="1367">
        <f>IF($R164-SUM($T164:T164)=0,0,IF(OR($R164&lt;=0,$R164&lt;=SUM($T164:T164)),0,IF((IF($J164=0,$O164,$J164)*$I164)&gt;=($R164-SUM($T164:T164)),($R164-SUM($T164:T164)),IF($J164=0,$O164,$J164)*$I164)))</f>
        <v>890000</v>
      </c>
      <c r="V164" s="1367">
        <f>IF($R164-SUM($T164:U164)=0,0,IF(OR($R164&lt;=0,$R164&lt;=SUM($T164:U164)),0,IF((IF($J164=0,$O164,$J164)*$I164)&gt;=($R164-SUM($T164:U164)),($R164-SUM($T164:U164)),IF($J164=0,$O164,$J164)*$I164)))</f>
        <v>890000</v>
      </c>
      <c r="W164" s="1367">
        <f>IF($R164-SUM($T164:V164)=0,0,IF(OR($R164&lt;=0,$R164&lt;=SUM($T164:V164)),0,IF((IF($J164=0,$O164,$J164)*$I164)&gt;=($R164-SUM($T164:V164)),($R164-SUM($T164:V164)),IF($J164=0,$O164,$J164)*$I164)))</f>
        <v>555780</v>
      </c>
      <c r="X164" s="1367">
        <f>IF($R164-SUM($T164:W164)=0,0,IF(OR($R164&lt;=0,$R164&lt;=SUM($T164:W164)),0,IF((IF($J164=0,$O164,$J164)*$I164)&gt;=($R164-SUM($T164:W164)),($R164-SUM($T164:W164)),IF($J164=0,$O164,$J164)*$I164)))</f>
        <v>0</v>
      </c>
      <c r="Y164" s="1367">
        <f>IF($R164-SUM($T164:X164)=0,0,IF(OR($R164&lt;=0,$R164&lt;=SUM($T164:X164)),0,IF((IF($J164=0,$O164,$J164)*$I164)&gt;=($R164-SUM($T164:X164)),($R164-SUM($T164:X164)),IF($J164=0,$O164,$J164)*$I164)))</f>
        <v>0</v>
      </c>
      <c r="Z164" s="1367">
        <f>IF($R164-SUM($T164:Y164)=0,0,IF(OR($R164&lt;=0,$R164&lt;=SUM($T164:Y164)),0,IF((IF($J164=0,$O164,$J164)*$I164)&gt;=($R164-SUM($T164:Y164)),($R164-SUM($T164:Y164)),IF($J164=0,$O164,$J164)*$I164)))</f>
        <v>0</v>
      </c>
      <c r="AA164" s="1367">
        <f>IF($R164-SUM($T164:Z164)=0,0,IF(OR($R164&lt;=0,$R164&lt;=SUM($T164:Z164)),0,IF((IF($J164=0,$O164,$J164)*$I164)&gt;=($R164-SUM($T164:Z164)),($R164-SUM($T164:Z164)),IF($J164=0,$O164,$J164)*$I164)))</f>
        <v>0</v>
      </c>
      <c r="AB164" s="1367">
        <f>IF($R164-SUM($T164:AA164)=0,0,IF(OR($R164&lt;=0,$R164&lt;=SUM($T164:AA164)),0,IF((IF($J164=0,$O164,$J164)*$I164)&gt;=($R164-SUM($T164:AA164)),($R164-SUM($T164:AA164)),IF($J164=0,$O164,$J164)*$I164)))</f>
        <v>0</v>
      </c>
      <c r="AC164" s="1367">
        <f>IF($R164-SUM($T164:AB164)=0,0,IF(OR($R164&lt;=0,$R164&lt;=SUM($T164:AB164)),0,IF((IF($J164=0,$O164,$J164)*$I164)&gt;=($R164-SUM($T164:AB164)),($R164-SUM($T164:AB164)),IF($J164=0,$O164,$J164)*$I164)))</f>
        <v>0</v>
      </c>
      <c r="AD164" s="1367">
        <f>IF($R164-SUM($T164:AC164)=0,0,IF(OR($R164&lt;=0,$R164&lt;=SUM($T164:AC164)),0,IF((IF($J164=0,$O164,$J164)*$I164)&gt;=($R164-SUM($T164:AC164)),($R164-SUM($T164:AC164)),IF($J164=0,$O164,$J164)*$I164)))</f>
        <v>0</v>
      </c>
      <c r="AF164" s="1319" t="b">
        <f t="shared" si="47"/>
        <v>1</v>
      </c>
      <c r="AG164" s="1319" t="str">
        <f t="shared" si="48"/>
        <v>Checked</v>
      </c>
      <c r="AH164" s="1318" t="b">
        <f t="shared" si="49"/>
        <v>1</v>
      </c>
    </row>
    <row r="165" spans="2:34" outlineLevel="1" x14ac:dyDescent="0.3">
      <c r="B165" s="1356" t="s">
        <v>2329</v>
      </c>
      <c r="C165" s="1356" t="s">
        <v>1971</v>
      </c>
      <c r="D165" s="1322" t="s">
        <v>2330</v>
      </c>
      <c r="E165" s="1357">
        <v>10</v>
      </c>
      <c r="F165" s="1333">
        <f t="shared" si="40"/>
        <v>6</v>
      </c>
      <c r="G165" s="1358">
        <f t="shared" si="41"/>
        <v>0</v>
      </c>
      <c r="H165" s="1359">
        <f t="shared" si="42"/>
        <v>0</v>
      </c>
      <c r="I165" s="1360">
        <f t="shared" si="43"/>
        <v>0.1</v>
      </c>
      <c r="J165" s="1361">
        <v>2000000</v>
      </c>
      <c r="K165" s="1362">
        <v>1221387</v>
      </c>
      <c r="L165" s="1356">
        <v>0</v>
      </c>
      <c r="M165" s="1356">
        <v>0</v>
      </c>
      <c r="N165" s="1361">
        <f t="shared" si="44"/>
        <v>778613</v>
      </c>
      <c r="O165" s="1363"/>
      <c r="P165" s="1356">
        <v>0</v>
      </c>
      <c r="Q165" s="1364">
        <v>201660</v>
      </c>
      <c r="R165" s="1365">
        <f t="shared" si="45"/>
        <v>576953</v>
      </c>
      <c r="S165" s="1364"/>
      <c r="T165" s="1366">
        <f t="shared" si="46"/>
        <v>0</v>
      </c>
      <c r="U165" s="1367">
        <f>IF($R165-SUM($T165:T165)=0,0,IF(OR($R165&lt;=0,$R165&lt;=SUM($T165:T165)),0,IF((IF($J165=0,$O165,$J165)*$I165)&gt;=($R165-SUM($T165:T165)),($R165-SUM($T165:T165)),IF($J165=0,$O165,$J165)*$I165)))</f>
        <v>200000</v>
      </c>
      <c r="V165" s="1367">
        <f>IF($R165-SUM($T165:U165)=0,0,IF(OR($R165&lt;=0,$R165&lt;=SUM($T165:U165)),0,IF((IF($J165=0,$O165,$J165)*$I165)&gt;=($R165-SUM($T165:U165)),($R165-SUM($T165:U165)),IF($J165=0,$O165,$J165)*$I165)))</f>
        <v>200000</v>
      </c>
      <c r="W165" s="1367">
        <f>IF($R165-SUM($T165:V165)=0,0,IF(OR($R165&lt;=0,$R165&lt;=SUM($T165:V165)),0,IF((IF($J165=0,$O165,$J165)*$I165)&gt;=($R165-SUM($T165:V165)),($R165-SUM($T165:V165)),IF($J165=0,$O165,$J165)*$I165)))</f>
        <v>176953</v>
      </c>
      <c r="X165" s="1367">
        <f>IF($R165-SUM($T165:W165)=0,0,IF(OR($R165&lt;=0,$R165&lt;=SUM($T165:W165)),0,IF((IF($J165=0,$O165,$J165)*$I165)&gt;=($R165-SUM($T165:W165)),($R165-SUM($T165:W165)),IF($J165=0,$O165,$J165)*$I165)))</f>
        <v>0</v>
      </c>
      <c r="Y165" s="1367">
        <f>IF($R165-SUM($T165:X165)=0,0,IF(OR($R165&lt;=0,$R165&lt;=SUM($T165:X165)),0,IF((IF($J165=0,$O165,$J165)*$I165)&gt;=($R165-SUM($T165:X165)),($R165-SUM($T165:X165)),IF($J165=0,$O165,$J165)*$I165)))</f>
        <v>0</v>
      </c>
      <c r="Z165" s="1367">
        <f>IF($R165-SUM($T165:Y165)=0,0,IF(OR($R165&lt;=0,$R165&lt;=SUM($T165:Y165)),0,IF((IF($J165=0,$O165,$J165)*$I165)&gt;=($R165-SUM($T165:Y165)),($R165-SUM($T165:Y165)),IF($J165=0,$O165,$J165)*$I165)))</f>
        <v>0</v>
      </c>
      <c r="AA165" s="1367">
        <f>IF($R165-SUM($T165:Z165)=0,0,IF(OR($R165&lt;=0,$R165&lt;=SUM($T165:Z165)),0,IF((IF($J165=0,$O165,$J165)*$I165)&gt;=($R165-SUM($T165:Z165)),($R165-SUM($T165:Z165)),IF($J165=0,$O165,$J165)*$I165)))</f>
        <v>0</v>
      </c>
      <c r="AB165" s="1367">
        <f>IF($R165-SUM($T165:AA165)=0,0,IF(OR($R165&lt;=0,$R165&lt;=SUM($T165:AA165)),0,IF((IF($J165=0,$O165,$J165)*$I165)&gt;=($R165-SUM($T165:AA165)),($R165-SUM($T165:AA165)),IF($J165=0,$O165,$J165)*$I165)))</f>
        <v>0</v>
      </c>
      <c r="AC165" s="1367">
        <f>IF($R165-SUM($T165:AB165)=0,0,IF(OR($R165&lt;=0,$R165&lt;=SUM($T165:AB165)),0,IF((IF($J165=0,$O165,$J165)*$I165)&gt;=($R165-SUM($T165:AB165)),($R165-SUM($T165:AB165)),IF($J165=0,$O165,$J165)*$I165)))</f>
        <v>0</v>
      </c>
      <c r="AD165" s="1367">
        <f>IF($R165-SUM($T165:AC165)=0,0,IF(OR($R165&lt;=0,$R165&lt;=SUM($T165:AC165)),0,IF((IF($J165=0,$O165,$J165)*$I165)&gt;=($R165-SUM($T165:AC165)),($R165-SUM($T165:AC165)),IF($J165=0,$O165,$J165)*$I165)))</f>
        <v>0</v>
      </c>
      <c r="AF165" s="1319" t="b">
        <f t="shared" si="47"/>
        <v>1</v>
      </c>
      <c r="AG165" s="1319" t="str">
        <f t="shared" si="48"/>
        <v>Checked</v>
      </c>
      <c r="AH165" s="1318" t="b">
        <f t="shared" si="49"/>
        <v>1</v>
      </c>
    </row>
    <row r="166" spans="2:34" outlineLevel="1" x14ac:dyDescent="0.3">
      <c r="B166" s="1356" t="s">
        <v>2331</v>
      </c>
      <c r="C166" s="1356" t="s">
        <v>1971</v>
      </c>
      <c r="D166" s="1322" t="s">
        <v>2332</v>
      </c>
      <c r="E166" s="1357">
        <v>10</v>
      </c>
      <c r="F166" s="1333">
        <f t="shared" si="40"/>
        <v>7</v>
      </c>
      <c r="G166" s="1358">
        <f t="shared" si="41"/>
        <v>0</v>
      </c>
      <c r="H166" s="1359">
        <f t="shared" si="42"/>
        <v>0</v>
      </c>
      <c r="I166" s="1360">
        <f t="shared" si="43"/>
        <v>0.1</v>
      </c>
      <c r="J166" s="1361">
        <v>3100000</v>
      </c>
      <c r="K166" s="1362">
        <v>1801967</v>
      </c>
      <c r="L166" s="1356">
        <v>0</v>
      </c>
      <c r="M166" s="1356">
        <v>0</v>
      </c>
      <c r="N166" s="1361">
        <f t="shared" si="44"/>
        <v>1298033</v>
      </c>
      <c r="O166" s="1363"/>
      <c r="P166" s="1356">
        <v>0</v>
      </c>
      <c r="Q166" s="1364">
        <v>336190</v>
      </c>
      <c r="R166" s="1365">
        <f t="shared" si="45"/>
        <v>961843</v>
      </c>
      <c r="S166" s="1364"/>
      <c r="T166" s="1366">
        <f t="shared" si="46"/>
        <v>0</v>
      </c>
      <c r="U166" s="1367">
        <f>IF($R166-SUM($T166:T166)=0,0,IF(OR($R166&lt;=0,$R166&lt;=SUM($T166:T166)),0,IF((IF($J166=0,$O166,$J166)*$I166)&gt;=($R166-SUM($T166:T166)),($R166-SUM($T166:T166)),IF($J166=0,$O166,$J166)*$I166)))</f>
        <v>310000</v>
      </c>
      <c r="V166" s="1367">
        <f>IF($R166-SUM($T166:U166)=0,0,IF(OR($R166&lt;=0,$R166&lt;=SUM($T166:U166)),0,IF((IF($J166=0,$O166,$J166)*$I166)&gt;=($R166-SUM($T166:U166)),($R166-SUM($T166:U166)),IF($J166=0,$O166,$J166)*$I166)))</f>
        <v>310000</v>
      </c>
      <c r="W166" s="1367">
        <f>IF($R166-SUM($T166:V166)=0,0,IF(OR($R166&lt;=0,$R166&lt;=SUM($T166:V166)),0,IF((IF($J166=0,$O166,$J166)*$I166)&gt;=($R166-SUM($T166:V166)),($R166-SUM($T166:V166)),IF($J166=0,$O166,$J166)*$I166)))</f>
        <v>310000</v>
      </c>
      <c r="X166" s="1367">
        <f>IF($R166-SUM($T166:W166)=0,0,IF(OR($R166&lt;=0,$R166&lt;=SUM($T166:W166)),0,IF((IF($J166=0,$O166,$J166)*$I166)&gt;=($R166-SUM($T166:W166)),($R166-SUM($T166:W166)),IF($J166=0,$O166,$J166)*$I166)))</f>
        <v>31843</v>
      </c>
      <c r="Y166" s="1367">
        <f>IF($R166-SUM($T166:X166)=0,0,IF(OR($R166&lt;=0,$R166&lt;=SUM($T166:X166)),0,IF((IF($J166=0,$O166,$J166)*$I166)&gt;=($R166-SUM($T166:X166)),($R166-SUM($T166:X166)),IF($J166=0,$O166,$J166)*$I166)))</f>
        <v>0</v>
      </c>
      <c r="Z166" s="1367">
        <f>IF($R166-SUM($T166:Y166)=0,0,IF(OR($R166&lt;=0,$R166&lt;=SUM($T166:Y166)),0,IF((IF($J166=0,$O166,$J166)*$I166)&gt;=($R166-SUM($T166:Y166)),($R166-SUM($T166:Y166)),IF($J166=0,$O166,$J166)*$I166)))</f>
        <v>0</v>
      </c>
      <c r="AA166" s="1367">
        <f>IF($R166-SUM($T166:Z166)=0,0,IF(OR($R166&lt;=0,$R166&lt;=SUM($T166:Z166)),0,IF((IF($J166=0,$O166,$J166)*$I166)&gt;=($R166-SUM($T166:Z166)),($R166-SUM($T166:Z166)),IF($J166=0,$O166,$J166)*$I166)))</f>
        <v>0</v>
      </c>
      <c r="AB166" s="1367">
        <f>IF($R166-SUM($T166:AA166)=0,0,IF(OR($R166&lt;=0,$R166&lt;=SUM($T166:AA166)),0,IF((IF($J166=0,$O166,$J166)*$I166)&gt;=($R166-SUM($T166:AA166)),($R166-SUM($T166:AA166)),IF($J166=0,$O166,$J166)*$I166)))</f>
        <v>0</v>
      </c>
      <c r="AC166" s="1367">
        <f>IF($R166-SUM($T166:AB166)=0,0,IF(OR($R166&lt;=0,$R166&lt;=SUM($T166:AB166)),0,IF((IF($J166=0,$O166,$J166)*$I166)&gt;=($R166-SUM($T166:AB166)),($R166-SUM($T166:AB166)),IF($J166=0,$O166,$J166)*$I166)))</f>
        <v>0</v>
      </c>
      <c r="AD166" s="1367">
        <f>IF($R166-SUM($T166:AC166)=0,0,IF(OR($R166&lt;=0,$R166&lt;=SUM($T166:AC166)),0,IF((IF($J166=0,$O166,$J166)*$I166)&gt;=($R166-SUM($T166:AC166)),($R166-SUM($T166:AC166)),IF($J166=0,$O166,$J166)*$I166)))</f>
        <v>0</v>
      </c>
      <c r="AF166" s="1319" t="b">
        <f t="shared" si="47"/>
        <v>1</v>
      </c>
      <c r="AG166" s="1319" t="str">
        <f t="shared" si="48"/>
        <v>Checked</v>
      </c>
      <c r="AH166" s="1318" t="b">
        <f t="shared" si="49"/>
        <v>1</v>
      </c>
    </row>
    <row r="167" spans="2:34" outlineLevel="1" x14ac:dyDescent="0.3">
      <c r="B167" s="1356" t="s">
        <v>2333</v>
      </c>
      <c r="C167" s="1356" t="s">
        <v>1971</v>
      </c>
      <c r="D167" s="1322" t="s">
        <v>2334</v>
      </c>
      <c r="E167" s="1357">
        <v>10</v>
      </c>
      <c r="F167" s="1333">
        <f t="shared" si="40"/>
        <v>7</v>
      </c>
      <c r="G167" s="1358">
        <f t="shared" si="41"/>
        <v>0</v>
      </c>
      <c r="H167" s="1359">
        <f t="shared" si="42"/>
        <v>0</v>
      </c>
      <c r="I167" s="1360">
        <f t="shared" si="43"/>
        <v>0.1</v>
      </c>
      <c r="J167" s="1361">
        <v>12400000</v>
      </c>
      <c r="K167" s="1362">
        <v>7060918</v>
      </c>
      <c r="L167" s="1356">
        <v>0</v>
      </c>
      <c r="M167" s="1356">
        <v>0</v>
      </c>
      <c r="N167" s="1361">
        <f t="shared" si="44"/>
        <v>5339082</v>
      </c>
      <c r="O167" s="1363"/>
      <c r="P167" s="1356">
        <v>0</v>
      </c>
      <c r="Q167" s="1364">
        <v>1382822</v>
      </c>
      <c r="R167" s="1365">
        <f t="shared" si="45"/>
        <v>3956260</v>
      </c>
      <c r="S167" s="1364"/>
      <c r="T167" s="1366">
        <f t="shared" si="46"/>
        <v>0</v>
      </c>
      <c r="U167" s="1367">
        <f>IF($R167-SUM($T167:T167)=0,0,IF(OR($R167&lt;=0,$R167&lt;=SUM($T167:T167)),0,IF((IF($J167=0,$O167,$J167)*$I167)&gt;=($R167-SUM($T167:T167)),($R167-SUM($T167:T167)),IF($J167=0,$O167,$J167)*$I167)))</f>
        <v>1240000</v>
      </c>
      <c r="V167" s="1367">
        <f>IF($R167-SUM($T167:U167)=0,0,IF(OR($R167&lt;=0,$R167&lt;=SUM($T167:U167)),0,IF((IF($J167=0,$O167,$J167)*$I167)&gt;=($R167-SUM($T167:U167)),($R167-SUM($T167:U167)),IF($J167=0,$O167,$J167)*$I167)))</f>
        <v>1240000</v>
      </c>
      <c r="W167" s="1367">
        <f>IF($R167-SUM($T167:V167)=0,0,IF(OR($R167&lt;=0,$R167&lt;=SUM($T167:V167)),0,IF((IF($J167=0,$O167,$J167)*$I167)&gt;=($R167-SUM($T167:V167)),($R167-SUM($T167:V167)),IF($J167=0,$O167,$J167)*$I167)))</f>
        <v>1240000</v>
      </c>
      <c r="X167" s="1367">
        <f>IF($R167-SUM($T167:W167)=0,0,IF(OR($R167&lt;=0,$R167&lt;=SUM($T167:W167)),0,IF((IF($J167=0,$O167,$J167)*$I167)&gt;=($R167-SUM($T167:W167)),($R167-SUM($T167:W167)),IF($J167=0,$O167,$J167)*$I167)))</f>
        <v>236260</v>
      </c>
      <c r="Y167" s="1367">
        <f>IF($R167-SUM($T167:X167)=0,0,IF(OR($R167&lt;=0,$R167&lt;=SUM($T167:X167)),0,IF((IF($J167=0,$O167,$J167)*$I167)&gt;=($R167-SUM($T167:X167)),($R167-SUM($T167:X167)),IF($J167=0,$O167,$J167)*$I167)))</f>
        <v>0</v>
      </c>
      <c r="Z167" s="1367">
        <f>IF($R167-SUM($T167:Y167)=0,0,IF(OR($R167&lt;=0,$R167&lt;=SUM($T167:Y167)),0,IF((IF($J167=0,$O167,$J167)*$I167)&gt;=($R167-SUM($T167:Y167)),($R167-SUM($T167:Y167)),IF($J167=0,$O167,$J167)*$I167)))</f>
        <v>0</v>
      </c>
      <c r="AA167" s="1367">
        <f>IF($R167-SUM($T167:Z167)=0,0,IF(OR($R167&lt;=0,$R167&lt;=SUM($T167:Z167)),0,IF((IF($J167=0,$O167,$J167)*$I167)&gt;=($R167-SUM($T167:Z167)),($R167-SUM($T167:Z167)),IF($J167=0,$O167,$J167)*$I167)))</f>
        <v>0</v>
      </c>
      <c r="AB167" s="1367">
        <f>IF($R167-SUM($T167:AA167)=0,0,IF(OR($R167&lt;=0,$R167&lt;=SUM($T167:AA167)),0,IF((IF($J167=0,$O167,$J167)*$I167)&gt;=($R167-SUM($T167:AA167)),($R167-SUM($T167:AA167)),IF($J167=0,$O167,$J167)*$I167)))</f>
        <v>0</v>
      </c>
      <c r="AC167" s="1367">
        <f>IF($R167-SUM($T167:AB167)=0,0,IF(OR($R167&lt;=0,$R167&lt;=SUM($T167:AB167)),0,IF((IF($J167=0,$O167,$J167)*$I167)&gt;=($R167-SUM($T167:AB167)),($R167-SUM($T167:AB167)),IF($J167=0,$O167,$J167)*$I167)))</f>
        <v>0</v>
      </c>
      <c r="AD167" s="1367">
        <f>IF($R167-SUM($T167:AC167)=0,0,IF(OR($R167&lt;=0,$R167&lt;=SUM($T167:AC167)),0,IF((IF($J167=0,$O167,$J167)*$I167)&gt;=($R167-SUM($T167:AC167)),($R167-SUM($T167:AC167)),IF($J167=0,$O167,$J167)*$I167)))</f>
        <v>0</v>
      </c>
      <c r="AF167" s="1319" t="b">
        <f t="shared" si="47"/>
        <v>1</v>
      </c>
      <c r="AG167" s="1319" t="str">
        <f t="shared" si="48"/>
        <v>Checked</v>
      </c>
      <c r="AH167" s="1318" t="b">
        <f t="shared" si="49"/>
        <v>1</v>
      </c>
    </row>
    <row r="168" spans="2:34" outlineLevel="1" x14ac:dyDescent="0.3">
      <c r="B168" s="1356" t="s">
        <v>2335</v>
      </c>
      <c r="C168" s="1356" t="s">
        <v>1971</v>
      </c>
      <c r="D168" s="1322" t="s">
        <v>2336</v>
      </c>
      <c r="E168" s="1357">
        <v>10</v>
      </c>
      <c r="F168" s="1333">
        <f t="shared" si="40"/>
        <v>7</v>
      </c>
      <c r="G168" s="1358">
        <f t="shared" si="41"/>
        <v>0</v>
      </c>
      <c r="H168" s="1359">
        <f t="shared" si="42"/>
        <v>0</v>
      </c>
      <c r="I168" s="1360">
        <f t="shared" si="43"/>
        <v>0.1</v>
      </c>
      <c r="J168" s="1361">
        <v>16154000</v>
      </c>
      <c r="K168" s="1362">
        <v>9007114</v>
      </c>
      <c r="L168" s="1356">
        <v>0</v>
      </c>
      <c r="M168" s="1356">
        <v>0</v>
      </c>
      <c r="N168" s="1361">
        <f t="shared" si="44"/>
        <v>7146886</v>
      </c>
      <c r="O168" s="1363"/>
      <c r="P168" s="1356">
        <v>0</v>
      </c>
      <c r="Q168" s="1364">
        <v>1851043</v>
      </c>
      <c r="R168" s="1365">
        <f t="shared" si="45"/>
        <v>5295843</v>
      </c>
      <c r="S168" s="1364"/>
      <c r="T168" s="1366">
        <f t="shared" si="46"/>
        <v>0</v>
      </c>
      <c r="U168" s="1367">
        <f>IF($R168-SUM($T168:T168)=0,0,IF(OR($R168&lt;=0,$R168&lt;=SUM($T168:T168)),0,IF((IF($J168=0,$O168,$J168)*$I168)&gt;=($R168-SUM($T168:T168)),($R168-SUM($T168:T168)),IF($J168=0,$O168,$J168)*$I168)))</f>
        <v>1615400</v>
      </c>
      <c r="V168" s="1367">
        <f>IF($R168-SUM($T168:U168)=0,0,IF(OR($R168&lt;=0,$R168&lt;=SUM($T168:U168)),0,IF((IF($J168=0,$O168,$J168)*$I168)&gt;=($R168-SUM($T168:U168)),($R168-SUM($T168:U168)),IF($J168=0,$O168,$J168)*$I168)))</f>
        <v>1615400</v>
      </c>
      <c r="W168" s="1367">
        <f>IF($R168-SUM($T168:V168)=0,0,IF(OR($R168&lt;=0,$R168&lt;=SUM($T168:V168)),0,IF((IF($J168=0,$O168,$J168)*$I168)&gt;=($R168-SUM($T168:V168)),($R168-SUM($T168:V168)),IF($J168=0,$O168,$J168)*$I168)))</f>
        <v>1615400</v>
      </c>
      <c r="X168" s="1367">
        <f>IF($R168-SUM($T168:W168)=0,0,IF(OR($R168&lt;=0,$R168&lt;=SUM($T168:W168)),0,IF((IF($J168=0,$O168,$J168)*$I168)&gt;=($R168-SUM($T168:W168)),($R168-SUM($T168:W168)),IF($J168=0,$O168,$J168)*$I168)))</f>
        <v>449643</v>
      </c>
      <c r="Y168" s="1367">
        <f>IF($R168-SUM($T168:X168)=0,0,IF(OR($R168&lt;=0,$R168&lt;=SUM($T168:X168)),0,IF((IF($J168=0,$O168,$J168)*$I168)&gt;=($R168-SUM($T168:X168)),($R168-SUM($T168:X168)),IF($J168=0,$O168,$J168)*$I168)))</f>
        <v>0</v>
      </c>
      <c r="Z168" s="1367">
        <f>IF($R168-SUM($T168:Y168)=0,0,IF(OR($R168&lt;=0,$R168&lt;=SUM($T168:Y168)),0,IF((IF($J168=0,$O168,$J168)*$I168)&gt;=($R168-SUM($T168:Y168)),($R168-SUM($T168:Y168)),IF($J168=0,$O168,$J168)*$I168)))</f>
        <v>0</v>
      </c>
      <c r="AA168" s="1367">
        <f>IF($R168-SUM($T168:Z168)=0,0,IF(OR($R168&lt;=0,$R168&lt;=SUM($T168:Z168)),0,IF((IF($J168=0,$O168,$J168)*$I168)&gt;=($R168-SUM($T168:Z168)),($R168-SUM($T168:Z168)),IF($J168=0,$O168,$J168)*$I168)))</f>
        <v>0</v>
      </c>
      <c r="AB168" s="1367">
        <f>IF($R168-SUM($T168:AA168)=0,0,IF(OR($R168&lt;=0,$R168&lt;=SUM($T168:AA168)),0,IF((IF($J168=0,$O168,$J168)*$I168)&gt;=($R168-SUM($T168:AA168)),($R168-SUM($T168:AA168)),IF($J168=0,$O168,$J168)*$I168)))</f>
        <v>0</v>
      </c>
      <c r="AC168" s="1367">
        <f>IF($R168-SUM($T168:AB168)=0,0,IF(OR($R168&lt;=0,$R168&lt;=SUM($T168:AB168)),0,IF((IF($J168=0,$O168,$J168)*$I168)&gt;=($R168-SUM($T168:AB168)),($R168-SUM($T168:AB168)),IF($J168=0,$O168,$J168)*$I168)))</f>
        <v>0</v>
      </c>
      <c r="AD168" s="1367">
        <f>IF($R168-SUM($T168:AC168)=0,0,IF(OR($R168&lt;=0,$R168&lt;=SUM($T168:AC168)),0,IF((IF($J168=0,$O168,$J168)*$I168)&gt;=($R168-SUM($T168:AC168)),($R168-SUM($T168:AC168)),IF($J168=0,$O168,$J168)*$I168)))</f>
        <v>0</v>
      </c>
      <c r="AF168" s="1319" t="b">
        <f t="shared" si="47"/>
        <v>1</v>
      </c>
      <c r="AG168" s="1319" t="str">
        <f t="shared" si="48"/>
        <v>Checked</v>
      </c>
      <c r="AH168" s="1318" t="b">
        <f t="shared" si="49"/>
        <v>1</v>
      </c>
    </row>
    <row r="169" spans="2:34" outlineLevel="1" x14ac:dyDescent="0.3">
      <c r="B169" s="1356" t="s">
        <v>2337</v>
      </c>
      <c r="C169" s="1356" t="s">
        <v>1971</v>
      </c>
      <c r="D169" s="1322" t="s">
        <v>2336</v>
      </c>
      <c r="E169" s="1357">
        <v>10</v>
      </c>
      <c r="F169" s="1333">
        <f t="shared" si="40"/>
        <v>7</v>
      </c>
      <c r="G169" s="1358">
        <f t="shared" si="41"/>
        <v>0</v>
      </c>
      <c r="H169" s="1359">
        <f t="shared" si="42"/>
        <v>0</v>
      </c>
      <c r="I169" s="1360">
        <f t="shared" si="43"/>
        <v>0.1</v>
      </c>
      <c r="J169" s="1361">
        <v>21251494</v>
      </c>
      <c r="K169" s="1362">
        <v>11849364</v>
      </c>
      <c r="L169" s="1356">
        <v>0</v>
      </c>
      <c r="M169" s="1356">
        <v>0</v>
      </c>
      <c r="N169" s="1361">
        <f t="shared" si="44"/>
        <v>9402130</v>
      </c>
      <c r="O169" s="1363"/>
      <c r="P169" s="1356">
        <v>0</v>
      </c>
      <c r="Q169" s="1364">
        <v>2435151</v>
      </c>
      <c r="R169" s="1365">
        <f t="shared" si="45"/>
        <v>6966979</v>
      </c>
      <c r="S169" s="1364"/>
      <c r="T169" s="1366">
        <f t="shared" si="46"/>
        <v>0</v>
      </c>
      <c r="U169" s="1367">
        <f>IF($R169-SUM($T169:T169)=0,0,IF(OR($R169&lt;=0,$R169&lt;=SUM($T169:T169)),0,IF((IF($J169=0,$O169,$J169)*$I169)&gt;=($R169-SUM($T169:T169)),($R169-SUM($T169:T169)),IF($J169=0,$O169,$J169)*$I169)))</f>
        <v>2125149.4</v>
      </c>
      <c r="V169" s="1367">
        <f>IF($R169-SUM($T169:U169)=0,0,IF(OR($R169&lt;=0,$R169&lt;=SUM($T169:U169)),0,IF((IF($J169=0,$O169,$J169)*$I169)&gt;=($R169-SUM($T169:U169)),($R169-SUM($T169:U169)),IF($J169=0,$O169,$J169)*$I169)))</f>
        <v>2125149.4</v>
      </c>
      <c r="W169" s="1367">
        <f>IF($R169-SUM($T169:V169)=0,0,IF(OR($R169&lt;=0,$R169&lt;=SUM($T169:V169)),0,IF((IF($J169=0,$O169,$J169)*$I169)&gt;=($R169-SUM($T169:V169)),($R169-SUM($T169:V169)),IF($J169=0,$O169,$J169)*$I169)))</f>
        <v>2125149.4</v>
      </c>
      <c r="X169" s="1367">
        <f>IF($R169-SUM($T169:W169)=0,0,IF(OR($R169&lt;=0,$R169&lt;=SUM($T169:W169)),0,IF((IF($J169=0,$O169,$J169)*$I169)&gt;=($R169-SUM($T169:W169)),($R169-SUM($T169:W169)),IF($J169=0,$O169,$J169)*$I169)))</f>
        <v>591530.80000000075</v>
      </c>
      <c r="Y169" s="1367">
        <f>IF($R169-SUM($T169:X169)=0,0,IF(OR($R169&lt;=0,$R169&lt;=SUM($T169:X169)),0,IF((IF($J169=0,$O169,$J169)*$I169)&gt;=($R169-SUM($T169:X169)),($R169-SUM($T169:X169)),IF($J169=0,$O169,$J169)*$I169)))</f>
        <v>0</v>
      </c>
      <c r="Z169" s="1367">
        <f>IF($R169-SUM($T169:Y169)=0,0,IF(OR($R169&lt;=0,$R169&lt;=SUM($T169:Y169)),0,IF((IF($J169=0,$O169,$J169)*$I169)&gt;=($R169-SUM($T169:Y169)),($R169-SUM($T169:Y169)),IF($J169=0,$O169,$J169)*$I169)))</f>
        <v>0</v>
      </c>
      <c r="AA169" s="1367">
        <f>IF($R169-SUM($T169:Z169)=0,0,IF(OR($R169&lt;=0,$R169&lt;=SUM($T169:Z169)),0,IF((IF($J169=0,$O169,$J169)*$I169)&gt;=($R169-SUM($T169:Z169)),($R169-SUM($T169:Z169)),IF($J169=0,$O169,$J169)*$I169)))</f>
        <v>0</v>
      </c>
      <c r="AB169" s="1367">
        <f>IF($R169-SUM($T169:AA169)=0,0,IF(OR($R169&lt;=0,$R169&lt;=SUM($T169:AA169)),0,IF((IF($J169=0,$O169,$J169)*$I169)&gt;=($R169-SUM($T169:AA169)),($R169-SUM($T169:AA169)),IF($J169=0,$O169,$J169)*$I169)))</f>
        <v>0</v>
      </c>
      <c r="AC169" s="1367">
        <f>IF($R169-SUM($T169:AB169)=0,0,IF(OR($R169&lt;=0,$R169&lt;=SUM($T169:AB169)),0,IF((IF($J169=0,$O169,$J169)*$I169)&gt;=($R169-SUM($T169:AB169)),($R169-SUM($T169:AB169)),IF($J169=0,$O169,$J169)*$I169)))</f>
        <v>0</v>
      </c>
      <c r="AD169" s="1367">
        <f>IF($R169-SUM($T169:AC169)=0,0,IF(OR($R169&lt;=0,$R169&lt;=SUM($T169:AC169)),0,IF((IF($J169=0,$O169,$J169)*$I169)&gt;=($R169-SUM($T169:AC169)),($R169-SUM($T169:AC169)),IF($J169=0,$O169,$J169)*$I169)))</f>
        <v>0</v>
      </c>
      <c r="AF169" s="1319" t="b">
        <f t="shared" si="47"/>
        <v>1</v>
      </c>
      <c r="AG169" s="1319" t="str">
        <f t="shared" si="48"/>
        <v>Checked</v>
      </c>
      <c r="AH169" s="1318" t="b">
        <f t="shared" si="49"/>
        <v>1</v>
      </c>
    </row>
    <row r="170" spans="2:34" outlineLevel="1" x14ac:dyDescent="0.3">
      <c r="B170" s="1356" t="s">
        <v>2338</v>
      </c>
      <c r="C170" s="1356" t="s">
        <v>1971</v>
      </c>
      <c r="D170" s="1322" t="s">
        <v>2339</v>
      </c>
      <c r="E170" s="1357">
        <v>10</v>
      </c>
      <c r="F170" s="1333">
        <f t="shared" si="40"/>
        <v>7</v>
      </c>
      <c r="G170" s="1358">
        <f t="shared" si="41"/>
        <v>0</v>
      </c>
      <c r="H170" s="1359">
        <f t="shared" si="42"/>
        <v>0</v>
      </c>
      <c r="I170" s="1360">
        <f t="shared" si="43"/>
        <v>0.1</v>
      </c>
      <c r="J170" s="1361">
        <v>200000000</v>
      </c>
      <c r="K170" s="1362">
        <v>109145396</v>
      </c>
      <c r="L170" s="1356">
        <v>0</v>
      </c>
      <c r="M170" s="1356">
        <v>0</v>
      </c>
      <c r="N170" s="1361">
        <f t="shared" si="44"/>
        <v>90854604</v>
      </c>
      <c r="O170" s="1363"/>
      <c r="P170" s="1356">
        <v>0</v>
      </c>
      <c r="Q170" s="1364">
        <v>23531342</v>
      </c>
      <c r="R170" s="1365">
        <f t="shared" si="45"/>
        <v>67323262</v>
      </c>
      <c r="S170" s="1364"/>
      <c r="T170" s="1366">
        <f t="shared" si="46"/>
        <v>0</v>
      </c>
      <c r="U170" s="1367">
        <f>IF($R170-SUM($T170:T170)=0,0,IF(OR($R170&lt;=0,$R170&lt;=SUM($T170:T170)),0,IF((IF($J170=0,$O170,$J170)*$I170)&gt;=($R170-SUM($T170:T170)),($R170-SUM($T170:T170)),IF($J170=0,$O170,$J170)*$I170)))</f>
        <v>20000000</v>
      </c>
      <c r="V170" s="1367">
        <f>IF($R170-SUM($T170:U170)=0,0,IF(OR($R170&lt;=0,$R170&lt;=SUM($T170:U170)),0,IF((IF($J170=0,$O170,$J170)*$I170)&gt;=($R170-SUM($T170:U170)),($R170-SUM($T170:U170)),IF($J170=0,$O170,$J170)*$I170)))</f>
        <v>20000000</v>
      </c>
      <c r="W170" s="1367">
        <f>IF($R170-SUM($T170:V170)=0,0,IF(OR($R170&lt;=0,$R170&lt;=SUM($T170:V170)),0,IF((IF($J170=0,$O170,$J170)*$I170)&gt;=($R170-SUM($T170:V170)),($R170-SUM($T170:V170)),IF($J170=0,$O170,$J170)*$I170)))</f>
        <v>20000000</v>
      </c>
      <c r="X170" s="1367">
        <f>IF($R170-SUM($T170:W170)=0,0,IF(OR($R170&lt;=0,$R170&lt;=SUM($T170:W170)),0,IF((IF($J170=0,$O170,$J170)*$I170)&gt;=($R170-SUM($T170:W170)),($R170-SUM($T170:W170)),IF($J170=0,$O170,$J170)*$I170)))</f>
        <v>7323262</v>
      </c>
      <c r="Y170" s="1367">
        <f>IF($R170-SUM($T170:X170)=0,0,IF(OR($R170&lt;=0,$R170&lt;=SUM($T170:X170)),0,IF((IF($J170=0,$O170,$J170)*$I170)&gt;=($R170-SUM($T170:X170)),($R170-SUM($T170:X170)),IF($J170=0,$O170,$J170)*$I170)))</f>
        <v>0</v>
      </c>
      <c r="Z170" s="1367">
        <f>IF($R170-SUM($T170:Y170)=0,0,IF(OR($R170&lt;=0,$R170&lt;=SUM($T170:Y170)),0,IF((IF($J170=0,$O170,$J170)*$I170)&gt;=($R170-SUM($T170:Y170)),($R170-SUM($T170:Y170)),IF($J170=0,$O170,$J170)*$I170)))</f>
        <v>0</v>
      </c>
      <c r="AA170" s="1367">
        <f>IF($R170-SUM($T170:Z170)=0,0,IF(OR($R170&lt;=0,$R170&lt;=SUM($T170:Z170)),0,IF((IF($J170=0,$O170,$J170)*$I170)&gt;=($R170-SUM($T170:Z170)),($R170-SUM($T170:Z170)),IF($J170=0,$O170,$J170)*$I170)))</f>
        <v>0</v>
      </c>
      <c r="AB170" s="1367">
        <f>IF($R170-SUM($T170:AA170)=0,0,IF(OR($R170&lt;=0,$R170&lt;=SUM($T170:AA170)),0,IF((IF($J170=0,$O170,$J170)*$I170)&gt;=($R170-SUM($T170:AA170)),($R170-SUM($T170:AA170)),IF($J170=0,$O170,$J170)*$I170)))</f>
        <v>0</v>
      </c>
      <c r="AC170" s="1367">
        <f>IF($R170-SUM($T170:AB170)=0,0,IF(OR($R170&lt;=0,$R170&lt;=SUM($T170:AB170)),0,IF((IF($J170=0,$O170,$J170)*$I170)&gt;=($R170-SUM($T170:AB170)),($R170-SUM($T170:AB170)),IF($J170=0,$O170,$J170)*$I170)))</f>
        <v>0</v>
      </c>
      <c r="AD170" s="1367">
        <f>IF($R170-SUM($T170:AC170)=0,0,IF(OR($R170&lt;=0,$R170&lt;=SUM($T170:AC170)),0,IF((IF($J170=0,$O170,$J170)*$I170)&gt;=($R170-SUM($T170:AC170)),($R170-SUM($T170:AC170)),IF($J170=0,$O170,$J170)*$I170)))</f>
        <v>0</v>
      </c>
      <c r="AF170" s="1319" t="b">
        <f t="shared" si="47"/>
        <v>1</v>
      </c>
      <c r="AG170" s="1319" t="str">
        <f t="shared" si="48"/>
        <v>Checked</v>
      </c>
      <c r="AH170" s="1318" t="b">
        <f t="shared" si="49"/>
        <v>1</v>
      </c>
    </row>
    <row r="171" spans="2:34" outlineLevel="1" x14ac:dyDescent="0.3">
      <c r="B171" s="1356" t="s">
        <v>2340</v>
      </c>
      <c r="C171" s="1356" t="s">
        <v>1971</v>
      </c>
      <c r="D171" s="1322" t="s">
        <v>2341</v>
      </c>
      <c r="E171" s="1357">
        <v>10</v>
      </c>
      <c r="F171" s="1333">
        <f t="shared" si="40"/>
        <v>7</v>
      </c>
      <c r="G171" s="1358">
        <f t="shared" si="41"/>
        <v>0</v>
      </c>
      <c r="H171" s="1359">
        <f t="shared" si="42"/>
        <v>0</v>
      </c>
      <c r="I171" s="1360">
        <f t="shared" si="43"/>
        <v>0.1</v>
      </c>
      <c r="J171" s="1361">
        <v>5520000</v>
      </c>
      <c r="K171" s="1362">
        <v>2685325</v>
      </c>
      <c r="L171" s="1356">
        <v>0</v>
      </c>
      <c r="M171" s="1356">
        <v>0</v>
      </c>
      <c r="N171" s="1361">
        <f t="shared" si="44"/>
        <v>2834675</v>
      </c>
      <c r="O171" s="1363"/>
      <c r="P171" s="1356">
        <v>0</v>
      </c>
      <c r="Q171" s="1364">
        <v>734180</v>
      </c>
      <c r="R171" s="1365">
        <f t="shared" si="45"/>
        <v>2100495</v>
      </c>
      <c r="S171" s="1364"/>
      <c r="T171" s="1366">
        <f t="shared" si="46"/>
        <v>0</v>
      </c>
      <c r="U171" s="1367">
        <f>IF($R171-SUM($T171:T171)=0,0,IF(OR($R171&lt;=0,$R171&lt;=SUM($T171:T171)),0,IF((IF($J171=0,$O171,$J171)*$I171)&gt;=($R171-SUM($T171:T171)),($R171-SUM($T171:T171)),IF($J171=0,$O171,$J171)*$I171)))</f>
        <v>552000</v>
      </c>
      <c r="V171" s="1367">
        <f>IF($R171-SUM($T171:U171)=0,0,IF(OR($R171&lt;=0,$R171&lt;=SUM($T171:U171)),0,IF((IF($J171=0,$O171,$J171)*$I171)&gt;=($R171-SUM($T171:U171)),($R171-SUM($T171:U171)),IF($J171=0,$O171,$J171)*$I171)))</f>
        <v>552000</v>
      </c>
      <c r="W171" s="1367">
        <f>IF($R171-SUM($T171:V171)=0,0,IF(OR($R171&lt;=0,$R171&lt;=SUM($T171:V171)),0,IF((IF($J171=0,$O171,$J171)*$I171)&gt;=($R171-SUM($T171:V171)),($R171-SUM($T171:V171)),IF($J171=0,$O171,$J171)*$I171)))</f>
        <v>552000</v>
      </c>
      <c r="X171" s="1367">
        <f>IF($R171-SUM($T171:W171)=0,0,IF(OR($R171&lt;=0,$R171&lt;=SUM($T171:W171)),0,IF((IF($J171=0,$O171,$J171)*$I171)&gt;=($R171-SUM($T171:W171)),($R171-SUM($T171:W171)),IF($J171=0,$O171,$J171)*$I171)))</f>
        <v>444495</v>
      </c>
      <c r="Y171" s="1367">
        <f>IF($R171-SUM($T171:X171)=0,0,IF(OR($R171&lt;=0,$R171&lt;=SUM($T171:X171)),0,IF((IF($J171=0,$O171,$J171)*$I171)&gt;=($R171-SUM($T171:X171)),($R171-SUM($T171:X171)),IF($J171=0,$O171,$J171)*$I171)))</f>
        <v>0</v>
      </c>
      <c r="Z171" s="1367">
        <f>IF($R171-SUM($T171:Y171)=0,0,IF(OR($R171&lt;=0,$R171&lt;=SUM($T171:Y171)),0,IF((IF($J171=0,$O171,$J171)*$I171)&gt;=($R171-SUM($T171:Y171)),($R171-SUM($T171:Y171)),IF($J171=0,$O171,$J171)*$I171)))</f>
        <v>0</v>
      </c>
      <c r="AA171" s="1367">
        <f>IF($R171-SUM($T171:Z171)=0,0,IF(OR($R171&lt;=0,$R171&lt;=SUM($T171:Z171)),0,IF((IF($J171=0,$O171,$J171)*$I171)&gt;=($R171-SUM($T171:Z171)),($R171-SUM($T171:Z171)),IF($J171=0,$O171,$J171)*$I171)))</f>
        <v>0</v>
      </c>
      <c r="AB171" s="1367">
        <f>IF($R171-SUM($T171:AA171)=0,0,IF(OR($R171&lt;=0,$R171&lt;=SUM($T171:AA171)),0,IF((IF($J171=0,$O171,$J171)*$I171)&gt;=($R171-SUM($T171:AA171)),($R171-SUM($T171:AA171)),IF($J171=0,$O171,$J171)*$I171)))</f>
        <v>0</v>
      </c>
      <c r="AC171" s="1367">
        <f>IF($R171-SUM($T171:AB171)=0,0,IF(OR($R171&lt;=0,$R171&lt;=SUM($T171:AB171)),0,IF((IF($J171=0,$O171,$J171)*$I171)&gt;=($R171-SUM($T171:AB171)),($R171-SUM($T171:AB171)),IF($J171=0,$O171,$J171)*$I171)))</f>
        <v>0</v>
      </c>
      <c r="AD171" s="1367">
        <f>IF($R171-SUM($T171:AC171)=0,0,IF(OR($R171&lt;=0,$R171&lt;=SUM($T171:AC171)),0,IF((IF($J171=0,$O171,$J171)*$I171)&gt;=($R171-SUM($T171:AC171)),($R171-SUM($T171:AC171)),IF($J171=0,$O171,$J171)*$I171)))</f>
        <v>0</v>
      </c>
      <c r="AF171" s="1319" t="b">
        <f t="shared" si="47"/>
        <v>1</v>
      </c>
      <c r="AG171" s="1319" t="str">
        <f t="shared" si="48"/>
        <v>Checked</v>
      </c>
      <c r="AH171" s="1318" t="b">
        <f t="shared" si="49"/>
        <v>1</v>
      </c>
    </row>
    <row r="172" spans="2:34" outlineLevel="1" x14ac:dyDescent="0.3">
      <c r="B172" s="1356" t="s">
        <v>2342</v>
      </c>
      <c r="C172" s="1356" t="s">
        <v>1971</v>
      </c>
      <c r="D172" s="1322" t="s">
        <v>2343</v>
      </c>
      <c r="E172" s="1357">
        <v>10</v>
      </c>
      <c r="F172" s="1333">
        <f t="shared" si="40"/>
        <v>7</v>
      </c>
      <c r="G172" s="1358">
        <f t="shared" si="41"/>
        <v>0</v>
      </c>
      <c r="H172" s="1359">
        <f t="shared" si="42"/>
        <v>0</v>
      </c>
      <c r="I172" s="1360">
        <f t="shared" si="43"/>
        <v>0.1</v>
      </c>
      <c r="J172" s="1361">
        <v>99000000</v>
      </c>
      <c r="K172" s="1362">
        <v>45814229</v>
      </c>
      <c r="L172" s="1356">
        <v>0</v>
      </c>
      <c r="M172" s="1356">
        <v>0</v>
      </c>
      <c r="N172" s="1361">
        <f t="shared" si="44"/>
        <v>53185771</v>
      </c>
      <c r="O172" s="1363"/>
      <c r="P172" s="1356">
        <v>0</v>
      </c>
      <c r="Q172" s="1364">
        <v>13775114</v>
      </c>
      <c r="R172" s="1365">
        <f t="shared" si="45"/>
        <v>39410657</v>
      </c>
      <c r="S172" s="1364"/>
      <c r="T172" s="1366">
        <f t="shared" si="46"/>
        <v>0</v>
      </c>
      <c r="U172" s="1367">
        <f>IF($R172-SUM($T172:T172)=0,0,IF(OR($R172&lt;=0,$R172&lt;=SUM($T172:T172)),0,IF((IF($J172=0,$O172,$J172)*$I172)&gt;=($R172-SUM($T172:T172)),($R172-SUM($T172:T172)),IF($J172=0,$O172,$J172)*$I172)))</f>
        <v>9900000</v>
      </c>
      <c r="V172" s="1367">
        <f>IF($R172-SUM($T172:U172)=0,0,IF(OR($R172&lt;=0,$R172&lt;=SUM($T172:U172)),0,IF((IF($J172=0,$O172,$J172)*$I172)&gt;=($R172-SUM($T172:U172)),($R172-SUM($T172:U172)),IF($J172=0,$O172,$J172)*$I172)))</f>
        <v>9900000</v>
      </c>
      <c r="W172" s="1367">
        <f>IF($R172-SUM($T172:V172)=0,0,IF(OR($R172&lt;=0,$R172&lt;=SUM($T172:V172)),0,IF((IF($J172=0,$O172,$J172)*$I172)&gt;=($R172-SUM($T172:V172)),($R172-SUM($T172:V172)),IF($J172=0,$O172,$J172)*$I172)))</f>
        <v>9900000</v>
      </c>
      <c r="X172" s="1367">
        <f>IF($R172-SUM($T172:W172)=0,0,IF(OR($R172&lt;=0,$R172&lt;=SUM($T172:W172)),0,IF((IF($J172=0,$O172,$J172)*$I172)&gt;=($R172-SUM($T172:W172)),($R172-SUM($T172:W172)),IF($J172=0,$O172,$J172)*$I172)))</f>
        <v>9710657</v>
      </c>
      <c r="Y172" s="1367">
        <f>IF($R172-SUM($T172:X172)=0,0,IF(OR($R172&lt;=0,$R172&lt;=SUM($T172:X172)),0,IF((IF($J172=0,$O172,$J172)*$I172)&gt;=($R172-SUM($T172:X172)),($R172-SUM($T172:X172)),IF($J172=0,$O172,$J172)*$I172)))</f>
        <v>0</v>
      </c>
      <c r="Z172" s="1367">
        <f>IF($R172-SUM($T172:Y172)=0,0,IF(OR($R172&lt;=0,$R172&lt;=SUM($T172:Y172)),0,IF((IF($J172=0,$O172,$J172)*$I172)&gt;=($R172-SUM($T172:Y172)),($R172-SUM($T172:Y172)),IF($J172=0,$O172,$J172)*$I172)))</f>
        <v>0</v>
      </c>
      <c r="AA172" s="1367">
        <f>IF($R172-SUM($T172:Z172)=0,0,IF(OR($R172&lt;=0,$R172&lt;=SUM($T172:Z172)),0,IF((IF($J172=0,$O172,$J172)*$I172)&gt;=($R172-SUM($T172:Z172)),($R172-SUM($T172:Z172)),IF($J172=0,$O172,$J172)*$I172)))</f>
        <v>0</v>
      </c>
      <c r="AB172" s="1367">
        <f>IF($R172-SUM($T172:AA172)=0,0,IF(OR($R172&lt;=0,$R172&lt;=SUM($T172:AA172)),0,IF((IF($J172=0,$O172,$J172)*$I172)&gt;=($R172-SUM($T172:AA172)),($R172-SUM($T172:AA172)),IF($J172=0,$O172,$J172)*$I172)))</f>
        <v>0</v>
      </c>
      <c r="AC172" s="1367">
        <f>IF($R172-SUM($T172:AB172)=0,0,IF(OR($R172&lt;=0,$R172&lt;=SUM($T172:AB172)),0,IF((IF($J172=0,$O172,$J172)*$I172)&gt;=($R172-SUM($T172:AB172)),($R172-SUM($T172:AB172)),IF($J172=0,$O172,$J172)*$I172)))</f>
        <v>0</v>
      </c>
      <c r="AD172" s="1367">
        <f>IF($R172-SUM($T172:AC172)=0,0,IF(OR($R172&lt;=0,$R172&lt;=SUM($T172:AC172)),0,IF((IF($J172=0,$O172,$J172)*$I172)&gt;=($R172-SUM($T172:AC172)),($R172-SUM($T172:AC172)),IF($J172=0,$O172,$J172)*$I172)))</f>
        <v>0</v>
      </c>
      <c r="AF172" s="1319" t="b">
        <f t="shared" si="47"/>
        <v>1</v>
      </c>
      <c r="AG172" s="1319" t="str">
        <f t="shared" si="48"/>
        <v>Checked</v>
      </c>
      <c r="AH172" s="1318" t="b">
        <f t="shared" si="49"/>
        <v>1</v>
      </c>
    </row>
    <row r="173" spans="2:34" outlineLevel="1" x14ac:dyDescent="0.3">
      <c r="B173" s="1356" t="s">
        <v>2344</v>
      </c>
      <c r="C173" s="1356" t="s">
        <v>1971</v>
      </c>
      <c r="D173" s="1322" t="s">
        <v>2343</v>
      </c>
      <c r="E173" s="1357">
        <v>10</v>
      </c>
      <c r="F173" s="1333">
        <f t="shared" si="40"/>
        <v>7</v>
      </c>
      <c r="G173" s="1358">
        <f t="shared" si="41"/>
        <v>0</v>
      </c>
      <c r="H173" s="1359">
        <f t="shared" si="42"/>
        <v>0</v>
      </c>
      <c r="I173" s="1360">
        <f t="shared" si="43"/>
        <v>0.1</v>
      </c>
      <c r="J173" s="1361">
        <v>65900000</v>
      </c>
      <c r="K173" s="1362">
        <v>30496542</v>
      </c>
      <c r="L173" s="1356">
        <v>0</v>
      </c>
      <c r="M173" s="1356">
        <v>0</v>
      </c>
      <c r="N173" s="1361">
        <f t="shared" si="44"/>
        <v>35403458</v>
      </c>
      <c r="O173" s="1363"/>
      <c r="P173" s="1356">
        <v>0</v>
      </c>
      <c r="Q173" s="1364">
        <v>9169495</v>
      </c>
      <c r="R173" s="1365">
        <f t="shared" si="45"/>
        <v>26233963</v>
      </c>
      <c r="S173" s="1364"/>
      <c r="T173" s="1366">
        <f t="shared" si="46"/>
        <v>0</v>
      </c>
      <c r="U173" s="1367">
        <f>IF($R173-SUM($T173:T173)=0,0,IF(OR($R173&lt;=0,$R173&lt;=SUM($T173:T173)),0,IF((IF($J173=0,$O173,$J173)*$I173)&gt;=($R173-SUM($T173:T173)),($R173-SUM($T173:T173)),IF($J173=0,$O173,$J173)*$I173)))</f>
        <v>6590000</v>
      </c>
      <c r="V173" s="1367">
        <f>IF($R173-SUM($T173:U173)=0,0,IF(OR($R173&lt;=0,$R173&lt;=SUM($T173:U173)),0,IF((IF($J173=0,$O173,$J173)*$I173)&gt;=($R173-SUM($T173:U173)),($R173-SUM($T173:U173)),IF($J173=0,$O173,$J173)*$I173)))</f>
        <v>6590000</v>
      </c>
      <c r="W173" s="1367">
        <f>IF($R173-SUM($T173:V173)=0,0,IF(OR($R173&lt;=0,$R173&lt;=SUM($T173:V173)),0,IF((IF($J173=0,$O173,$J173)*$I173)&gt;=($R173-SUM($T173:V173)),($R173-SUM($T173:V173)),IF($J173=0,$O173,$J173)*$I173)))</f>
        <v>6590000</v>
      </c>
      <c r="X173" s="1367">
        <f>IF($R173-SUM($T173:W173)=0,0,IF(OR($R173&lt;=0,$R173&lt;=SUM($T173:W173)),0,IF((IF($J173=0,$O173,$J173)*$I173)&gt;=($R173-SUM($T173:W173)),($R173-SUM($T173:W173)),IF($J173=0,$O173,$J173)*$I173)))</f>
        <v>6463963</v>
      </c>
      <c r="Y173" s="1367">
        <f>IF($R173-SUM($T173:X173)=0,0,IF(OR($R173&lt;=0,$R173&lt;=SUM($T173:X173)),0,IF((IF($J173=0,$O173,$J173)*$I173)&gt;=($R173-SUM($T173:X173)),($R173-SUM($T173:X173)),IF($J173=0,$O173,$J173)*$I173)))</f>
        <v>0</v>
      </c>
      <c r="Z173" s="1367">
        <f>IF($R173-SUM($T173:Y173)=0,0,IF(OR($R173&lt;=0,$R173&lt;=SUM($T173:Y173)),0,IF((IF($J173=0,$O173,$J173)*$I173)&gt;=($R173-SUM($T173:Y173)),($R173-SUM($T173:Y173)),IF($J173=0,$O173,$J173)*$I173)))</f>
        <v>0</v>
      </c>
      <c r="AA173" s="1367">
        <f>IF($R173-SUM($T173:Z173)=0,0,IF(OR($R173&lt;=0,$R173&lt;=SUM($T173:Z173)),0,IF((IF($J173=0,$O173,$J173)*$I173)&gt;=($R173-SUM($T173:Z173)),($R173-SUM($T173:Z173)),IF($J173=0,$O173,$J173)*$I173)))</f>
        <v>0</v>
      </c>
      <c r="AB173" s="1367">
        <f>IF($R173-SUM($T173:AA173)=0,0,IF(OR($R173&lt;=0,$R173&lt;=SUM($T173:AA173)),0,IF((IF($J173=0,$O173,$J173)*$I173)&gt;=($R173-SUM($T173:AA173)),($R173-SUM($T173:AA173)),IF($J173=0,$O173,$J173)*$I173)))</f>
        <v>0</v>
      </c>
      <c r="AC173" s="1367">
        <f>IF($R173-SUM($T173:AB173)=0,0,IF(OR($R173&lt;=0,$R173&lt;=SUM($T173:AB173)),0,IF((IF($J173=0,$O173,$J173)*$I173)&gt;=($R173-SUM($T173:AB173)),($R173-SUM($T173:AB173)),IF($J173=0,$O173,$J173)*$I173)))</f>
        <v>0</v>
      </c>
      <c r="AD173" s="1367">
        <f>IF($R173-SUM($T173:AC173)=0,0,IF(OR($R173&lt;=0,$R173&lt;=SUM($T173:AC173)),0,IF((IF($J173=0,$O173,$J173)*$I173)&gt;=($R173-SUM($T173:AC173)),($R173-SUM($T173:AC173)),IF($J173=0,$O173,$J173)*$I173)))</f>
        <v>0</v>
      </c>
      <c r="AF173" s="1319" t="b">
        <f t="shared" si="47"/>
        <v>1</v>
      </c>
      <c r="AG173" s="1319" t="str">
        <f t="shared" si="48"/>
        <v>Checked</v>
      </c>
      <c r="AH173" s="1318" t="b">
        <f t="shared" si="49"/>
        <v>1</v>
      </c>
    </row>
    <row r="174" spans="2:34" outlineLevel="1" x14ac:dyDescent="0.3">
      <c r="B174" s="1356" t="s">
        <v>2345</v>
      </c>
      <c r="C174" s="1356" t="s">
        <v>1971</v>
      </c>
      <c r="D174" s="1322" t="s">
        <v>2346</v>
      </c>
      <c r="E174" s="1357">
        <v>10</v>
      </c>
      <c r="F174" s="1333">
        <f t="shared" si="40"/>
        <v>8</v>
      </c>
      <c r="G174" s="1358">
        <f t="shared" si="41"/>
        <v>0</v>
      </c>
      <c r="H174" s="1359">
        <f t="shared" si="42"/>
        <v>0</v>
      </c>
      <c r="I174" s="1360">
        <f t="shared" si="43"/>
        <v>0.1</v>
      </c>
      <c r="J174" s="1361">
        <v>29925000</v>
      </c>
      <c r="K174" s="1362">
        <v>10622162</v>
      </c>
      <c r="L174" s="1356">
        <v>0</v>
      </c>
      <c r="M174" s="1356">
        <v>0</v>
      </c>
      <c r="N174" s="1361">
        <f t="shared" si="44"/>
        <v>19302838</v>
      </c>
      <c r="O174" s="1363"/>
      <c r="P174" s="1356">
        <v>0</v>
      </c>
      <c r="Q174" s="1364">
        <v>4999435</v>
      </c>
      <c r="R174" s="1365">
        <f t="shared" si="45"/>
        <v>14303403</v>
      </c>
      <c r="S174" s="1364"/>
      <c r="T174" s="1366">
        <f t="shared" si="46"/>
        <v>0</v>
      </c>
      <c r="U174" s="1367">
        <f>IF($R174-SUM($T174:T174)=0,0,IF(OR($R174&lt;=0,$R174&lt;=SUM($T174:T174)),0,IF((IF($J174=0,$O174,$J174)*$I174)&gt;=($R174-SUM($T174:T174)),($R174-SUM($T174:T174)),IF($J174=0,$O174,$J174)*$I174)))</f>
        <v>2992500</v>
      </c>
      <c r="V174" s="1367">
        <f>IF($R174-SUM($T174:U174)=0,0,IF(OR($R174&lt;=0,$R174&lt;=SUM($T174:U174)),0,IF((IF($J174=0,$O174,$J174)*$I174)&gt;=($R174-SUM($T174:U174)),($R174-SUM($T174:U174)),IF($J174=0,$O174,$J174)*$I174)))</f>
        <v>2992500</v>
      </c>
      <c r="W174" s="1367">
        <f>IF($R174-SUM($T174:V174)=0,0,IF(OR($R174&lt;=0,$R174&lt;=SUM($T174:V174)),0,IF((IF($J174=0,$O174,$J174)*$I174)&gt;=($R174-SUM($T174:V174)),($R174-SUM($T174:V174)),IF($J174=0,$O174,$J174)*$I174)))</f>
        <v>2992500</v>
      </c>
      <c r="X174" s="1367">
        <f>IF($R174-SUM($T174:W174)=0,0,IF(OR($R174&lt;=0,$R174&lt;=SUM($T174:W174)),0,IF((IF($J174=0,$O174,$J174)*$I174)&gt;=($R174-SUM($T174:W174)),($R174-SUM($T174:W174)),IF($J174=0,$O174,$J174)*$I174)))</f>
        <v>2992500</v>
      </c>
      <c r="Y174" s="1367">
        <f>IF($R174-SUM($T174:X174)=0,0,IF(OR($R174&lt;=0,$R174&lt;=SUM($T174:X174)),0,IF((IF($J174=0,$O174,$J174)*$I174)&gt;=($R174-SUM($T174:X174)),($R174-SUM($T174:X174)),IF($J174=0,$O174,$J174)*$I174)))</f>
        <v>2333403</v>
      </c>
      <c r="Z174" s="1367">
        <f>IF($R174-SUM($T174:Y174)=0,0,IF(OR($R174&lt;=0,$R174&lt;=SUM($T174:Y174)),0,IF((IF($J174=0,$O174,$J174)*$I174)&gt;=($R174-SUM($T174:Y174)),($R174-SUM($T174:Y174)),IF($J174=0,$O174,$J174)*$I174)))</f>
        <v>0</v>
      </c>
      <c r="AA174" s="1367">
        <f>IF($R174-SUM($T174:Z174)=0,0,IF(OR($R174&lt;=0,$R174&lt;=SUM($T174:Z174)),0,IF((IF($J174=0,$O174,$J174)*$I174)&gt;=($R174-SUM($T174:Z174)),($R174-SUM($T174:Z174)),IF($J174=0,$O174,$J174)*$I174)))</f>
        <v>0</v>
      </c>
      <c r="AB174" s="1367">
        <f>IF($R174-SUM($T174:AA174)=0,0,IF(OR($R174&lt;=0,$R174&lt;=SUM($T174:AA174)),0,IF((IF($J174=0,$O174,$J174)*$I174)&gt;=($R174-SUM($T174:AA174)),($R174-SUM($T174:AA174)),IF($J174=0,$O174,$J174)*$I174)))</f>
        <v>0</v>
      </c>
      <c r="AC174" s="1367">
        <f>IF($R174-SUM($T174:AB174)=0,0,IF(OR($R174&lt;=0,$R174&lt;=SUM($T174:AB174)),0,IF((IF($J174=0,$O174,$J174)*$I174)&gt;=($R174-SUM($T174:AB174)),($R174-SUM($T174:AB174)),IF($J174=0,$O174,$J174)*$I174)))</f>
        <v>0</v>
      </c>
      <c r="AD174" s="1367">
        <f>IF($R174-SUM($T174:AC174)=0,0,IF(OR($R174&lt;=0,$R174&lt;=SUM($T174:AC174)),0,IF((IF($J174=0,$O174,$J174)*$I174)&gt;=($R174-SUM($T174:AC174)),($R174-SUM($T174:AC174)),IF($J174=0,$O174,$J174)*$I174)))</f>
        <v>0</v>
      </c>
      <c r="AF174" s="1319" t="b">
        <f t="shared" si="47"/>
        <v>1</v>
      </c>
      <c r="AG174" s="1319" t="str">
        <f t="shared" si="48"/>
        <v>Checked</v>
      </c>
      <c r="AH174" s="1318" t="b">
        <f t="shared" si="49"/>
        <v>1</v>
      </c>
    </row>
    <row r="175" spans="2:34" outlineLevel="1" x14ac:dyDescent="0.3">
      <c r="B175" s="1356" t="s">
        <v>2347</v>
      </c>
      <c r="C175" s="1356" t="s">
        <v>1971</v>
      </c>
      <c r="D175" s="1322" t="s">
        <v>2348</v>
      </c>
      <c r="E175" s="1357">
        <v>10</v>
      </c>
      <c r="F175" s="1333">
        <f t="shared" si="40"/>
        <v>8</v>
      </c>
      <c r="G175" s="1358">
        <f t="shared" si="41"/>
        <v>0</v>
      </c>
      <c r="H175" s="1359">
        <f t="shared" si="42"/>
        <v>0</v>
      </c>
      <c r="I175" s="1360">
        <f t="shared" si="43"/>
        <v>0.1</v>
      </c>
      <c r="J175" s="1361">
        <v>1000000</v>
      </c>
      <c r="K175" s="1362">
        <v>354959</v>
      </c>
      <c r="L175" s="1356">
        <v>0</v>
      </c>
      <c r="M175" s="1356">
        <v>0</v>
      </c>
      <c r="N175" s="1361">
        <f t="shared" si="44"/>
        <v>645041</v>
      </c>
      <c r="O175" s="1363"/>
      <c r="P175" s="1356">
        <v>0</v>
      </c>
      <c r="Q175" s="1364">
        <v>167065</v>
      </c>
      <c r="R175" s="1365">
        <f t="shared" si="45"/>
        <v>477976</v>
      </c>
      <c r="S175" s="1364"/>
      <c r="T175" s="1366">
        <f t="shared" si="46"/>
        <v>0</v>
      </c>
      <c r="U175" s="1367">
        <f>IF($R175-SUM($T175:T175)=0,0,IF(OR($R175&lt;=0,$R175&lt;=SUM($T175:T175)),0,IF((IF($J175=0,$O175,$J175)*$I175)&gt;=($R175-SUM($T175:T175)),($R175-SUM($T175:T175)),IF($J175=0,$O175,$J175)*$I175)))</f>
        <v>100000</v>
      </c>
      <c r="V175" s="1367">
        <f>IF($R175-SUM($T175:U175)=0,0,IF(OR($R175&lt;=0,$R175&lt;=SUM($T175:U175)),0,IF((IF($J175=0,$O175,$J175)*$I175)&gt;=($R175-SUM($T175:U175)),($R175-SUM($T175:U175)),IF($J175=0,$O175,$J175)*$I175)))</f>
        <v>100000</v>
      </c>
      <c r="W175" s="1367">
        <f>IF($R175-SUM($T175:V175)=0,0,IF(OR($R175&lt;=0,$R175&lt;=SUM($T175:V175)),0,IF((IF($J175=0,$O175,$J175)*$I175)&gt;=($R175-SUM($T175:V175)),($R175-SUM($T175:V175)),IF($J175=0,$O175,$J175)*$I175)))</f>
        <v>100000</v>
      </c>
      <c r="X175" s="1367">
        <f>IF($R175-SUM($T175:W175)=0,0,IF(OR($R175&lt;=0,$R175&lt;=SUM($T175:W175)),0,IF((IF($J175=0,$O175,$J175)*$I175)&gt;=($R175-SUM($T175:W175)),($R175-SUM($T175:W175)),IF($J175=0,$O175,$J175)*$I175)))</f>
        <v>100000</v>
      </c>
      <c r="Y175" s="1367">
        <f>IF($R175-SUM($T175:X175)=0,0,IF(OR($R175&lt;=0,$R175&lt;=SUM($T175:X175)),0,IF((IF($J175=0,$O175,$J175)*$I175)&gt;=($R175-SUM($T175:X175)),($R175-SUM($T175:X175)),IF($J175=0,$O175,$J175)*$I175)))</f>
        <v>77976</v>
      </c>
      <c r="Z175" s="1367">
        <f>IF($R175-SUM($T175:Y175)=0,0,IF(OR($R175&lt;=0,$R175&lt;=SUM($T175:Y175)),0,IF((IF($J175=0,$O175,$J175)*$I175)&gt;=($R175-SUM($T175:Y175)),($R175-SUM($T175:Y175)),IF($J175=0,$O175,$J175)*$I175)))</f>
        <v>0</v>
      </c>
      <c r="AA175" s="1367">
        <f>IF($R175-SUM($T175:Z175)=0,0,IF(OR($R175&lt;=0,$R175&lt;=SUM($T175:Z175)),0,IF((IF($J175=0,$O175,$J175)*$I175)&gt;=($R175-SUM($T175:Z175)),($R175-SUM($T175:Z175)),IF($J175=0,$O175,$J175)*$I175)))</f>
        <v>0</v>
      </c>
      <c r="AB175" s="1367">
        <f>IF($R175-SUM($T175:AA175)=0,0,IF(OR($R175&lt;=0,$R175&lt;=SUM($T175:AA175)),0,IF((IF($J175=0,$O175,$J175)*$I175)&gt;=($R175-SUM($T175:AA175)),($R175-SUM($T175:AA175)),IF($J175=0,$O175,$J175)*$I175)))</f>
        <v>0</v>
      </c>
      <c r="AC175" s="1367">
        <f>IF($R175-SUM($T175:AB175)=0,0,IF(OR($R175&lt;=0,$R175&lt;=SUM($T175:AB175)),0,IF((IF($J175=0,$O175,$J175)*$I175)&gt;=($R175-SUM($T175:AB175)),($R175-SUM($T175:AB175)),IF($J175=0,$O175,$J175)*$I175)))</f>
        <v>0</v>
      </c>
      <c r="AD175" s="1367">
        <f>IF($R175-SUM($T175:AC175)=0,0,IF(OR($R175&lt;=0,$R175&lt;=SUM($T175:AC175)),0,IF((IF($J175=0,$O175,$J175)*$I175)&gt;=($R175-SUM($T175:AC175)),($R175-SUM($T175:AC175)),IF($J175=0,$O175,$J175)*$I175)))</f>
        <v>0</v>
      </c>
      <c r="AF175" s="1319" t="b">
        <f t="shared" si="47"/>
        <v>1</v>
      </c>
      <c r="AG175" s="1319" t="str">
        <f t="shared" si="48"/>
        <v>Checked</v>
      </c>
      <c r="AH175" s="1318" t="b">
        <f t="shared" si="49"/>
        <v>1</v>
      </c>
    </row>
    <row r="176" spans="2:34" outlineLevel="1" x14ac:dyDescent="0.3">
      <c r="B176" s="1356" t="s">
        <v>2349</v>
      </c>
      <c r="C176" s="1356" t="s">
        <v>1971</v>
      </c>
      <c r="D176" s="1322" t="s">
        <v>2348</v>
      </c>
      <c r="E176" s="1357">
        <v>10</v>
      </c>
      <c r="F176" s="1333">
        <f t="shared" si="40"/>
        <v>8</v>
      </c>
      <c r="G176" s="1358">
        <f t="shared" si="41"/>
        <v>0</v>
      </c>
      <c r="H176" s="1359">
        <f t="shared" si="42"/>
        <v>0</v>
      </c>
      <c r="I176" s="1360">
        <f t="shared" si="43"/>
        <v>0.1</v>
      </c>
      <c r="J176" s="1361">
        <v>2500000</v>
      </c>
      <c r="K176" s="1362">
        <v>887398</v>
      </c>
      <c r="L176" s="1356">
        <v>0</v>
      </c>
      <c r="M176" s="1356">
        <v>0</v>
      </c>
      <c r="N176" s="1361">
        <f t="shared" si="44"/>
        <v>1612602</v>
      </c>
      <c r="O176" s="1363"/>
      <c r="P176" s="1356">
        <v>0</v>
      </c>
      <c r="Q176" s="1364">
        <v>417663</v>
      </c>
      <c r="R176" s="1365">
        <f t="shared" si="45"/>
        <v>1194939</v>
      </c>
      <c r="S176" s="1364"/>
      <c r="T176" s="1366">
        <f t="shared" si="46"/>
        <v>0</v>
      </c>
      <c r="U176" s="1367">
        <f>IF($R176-SUM($T176:T176)=0,0,IF(OR($R176&lt;=0,$R176&lt;=SUM($T176:T176)),0,IF((IF($J176=0,$O176,$J176)*$I176)&gt;=($R176-SUM($T176:T176)),($R176-SUM($T176:T176)),IF($J176=0,$O176,$J176)*$I176)))</f>
        <v>250000</v>
      </c>
      <c r="V176" s="1367">
        <f>IF($R176-SUM($T176:U176)=0,0,IF(OR($R176&lt;=0,$R176&lt;=SUM($T176:U176)),0,IF((IF($J176=0,$O176,$J176)*$I176)&gt;=($R176-SUM($T176:U176)),($R176-SUM($T176:U176)),IF($J176=0,$O176,$J176)*$I176)))</f>
        <v>250000</v>
      </c>
      <c r="W176" s="1367">
        <f>IF($R176-SUM($T176:V176)=0,0,IF(OR($R176&lt;=0,$R176&lt;=SUM($T176:V176)),0,IF((IF($J176=0,$O176,$J176)*$I176)&gt;=($R176-SUM($T176:V176)),($R176-SUM($T176:V176)),IF($J176=0,$O176,$J176)*$I176)))</f>
        <v>250000</v>
      </c>
      <c r="X176" s="1367">
        <f>IF($R176-SUM($T176:W176)=0,0,IF(OR($R176&lt;=0,$R176&lt;=SUM($T176:W176)),0,IF((IF($J176=0,$O176,$J176)*$I176)&gt;=($R176-SUM($T176:W176)),($R176-SUM($T176:W176)),IF($J176=0,$O176,$J176)*$I176)))</f>
        <v>250000</v>
      </c>
      <c r="Y176" s="1367">
        <f>IF($R176-SUM($T176:X176)=0,0,IF(OR($R176&lt;=0,$R176&lt;=SUM($T176:X176)),0,IF((IF($J176=0,$O176,$J176)*$I176)&gt;=($R176-SUM($T176:X176)),($R176-SUM($T176:X176)),IF($J176=0,$O176,$J176)*$I176)))</f>
        <v>194939</v>
      </c>
      <c r="Z176" s="1367">
        <f>IF($R176-SUM($T176:Y176)=0,0,IF(OR($R176&lt;=0,$R176&lt;=SUM($T176:Y176)),0,IF((IF($J176=0,$O176,$J176)*$I176)&gt;=($R176-SUM($T176:Y176)),($R176-SUM($T176:Y176)),IF($J176=0,$O176,$J176)*$I176)))</f>
        <v>0</v>
      </c>
      <c r="AA176" s="1367">
        <f>IF($R176-SUM($T176:Z176)=0,0,IF(OR($R176&lt;=0,$R176&lt;=SUM($T176:Z176)),0,IF((IF($J176=0,$O176,$J176)*$I176)&gt;=($R176-SUM($T176:Z176)),($R176-SUM($T176:Z176)),IF($J176=0,$O176,$J176)*$I176)))</f>
        <v>0</v>
      </c>
      <c r="AB176" s="1367">
        <f>IF($R176-SUM($T176:AA176)=0,0,IF(OR($R176&lt;=0,$R176&lt;=SUM($T176:AA176)),0,IF((IF($J176=0,$O176,$J176)*$I176)&gt;=($R176-SUM($T176:AA176)),($R176-SUM($T176:AA176)),IF($J176=0,$O176,$J176)*$I176)))</f>
        <v>0</v>
      </c>
      <c r="AC176" s="1367">
        <f>IF($R176-SUM($T176:AB176)=0,0,IF(OR($R176&lt;=0,$R176&lt;=SUM($T176:AB176)),0,IF((IF($J176=0,$O176,$J176)*$I176)&gt;=($R176-SUM($T176:AB176)),($R176-SUM($T176:AB176)),IF($J176=0,$O176,$J176)*$I176)))</f>
        <v>0</v>
      </c>
      <c r="AD176" s="1367">
        <f>IF($R176-SUM($T176:AC176)=0,0,IF(OR($R176&lt;=0,$R176&lt;=SUM($T176:AC176)),0,IF((IF($J176=0,$O176,$J176)*$I176)&gt;=($R176-SUM($T176:AC176)),($R176-SUM($T176:AC176)),IF($J176=0,$O176,$J176)*$I176)))</f>
        <v>0</v>
      </c>
      <c r="AF176" s="1319" t="b">
        <f t="shared" si="47"/>
        <v>1</v>
      </c>
      <c r="AG176" s="1319" t="str">
        <f t="shared" si="48"/>
        <v>Checked</v>
      </c>
      <c r="AH176" s="1318" t="b">
        <f t="shared" si="49"/>
        <v>1</v>
      </c>
    </row>
    <row r="177" spans="2:34" outlineLevel="1" x14ac:dyDescent="0.3">
      <c r="B177" s="1356" t="s">
        <v>2261</v>
      </c>
      <c r="C177" s="1356" t="s">
        <v>1971</v>
      </c>
      <c r="D177" s="1322" t="s">
        <v>2350</v>
      </c>
      <c r="E177" s="1357">
        <v>10</v>
      </c>
      <c r="F177" s="1333">
        <f t="shared" si="40"/>
        <v>8</v>
      </c>
      <c r="G177" s="1358">
        <f t="shared" si="41"/>
        <v>0</v>
      </c>
      <c r="H177" s="1359">
        <f t="shared" si="42"/>
        <v>0</v>
      </c>
      <c r="I177" s="1360">
        <f t="shared" si="43"/>
        <v>0.1</v>
      </c>
      <c r="J177" s="1361">
        <v>15400000</v>
      </c>
      <c r="K177" s="1362">
        <v>5220079</v>
      </c>
      <c r="L177" s="1356">
        <v>0</v>
      </c>
      <c r="M177" s="1356">
        <v>0</v>
      </c>
      <c r="N177" s="1361">
        <f t="shared" si="44"/>
        <v>10179921</v>
      </c>
      <c r="O177" s="1363"/>
      <c r="P177" s="1356">
        <v>0</v>
      </c>
      <c r="Q177" s="1364">
        <v>2636599</v>
      </c>
      <c r="R177" s="1365">
        <f t="shared" si="45"/>
        <v>7543322</v>
      </c>
      <c r="S177" s="1364"/>
      <c r="T177" s="1366">
        <f t="shared" si="46"/>
        <v>0</v>
      </c>
      <c r="U177" s="1367">
        <f>IF($R177-SUM($T177:T177)=0,0,IF(OR($R177&lt;=0,$R177&lt;=SUM($T177:T177)),0,IF((IF($J177=0,$O177,$J177)*$I177)&gt;=($R177-SUM($T177:T177)),($R177-SUM($T177:T177)),IF($J177=0,$O177,$J177)*$I177)))</f>
        <v>1540000</v>
      </c>
      <c r="V177" s="1367">
        <f>IF($R177-SUM($T177:U177)=0,0,IF(OR($R177&lt;=0,$R177&lt;=SUM($T177:U177)),0,IF((IF($J177=0,$O177,$J177)*$I177)&gt;=($R177-SUM($T177:U177)),($R177-SUM($T177:U177)),IF($J177=0,$O177,$J177)*$I177)))</f>
        <v>1540000</v>
      </c>
      <c r="W177" s="1367">
        <f>IF($R177-SUM($T177:V177)=0,0,IF(OR($R177&lt;=0,$R177&lt;=SUM($T177:V177)),0,IF((IF($J177=0,$O177,$J177)*$I177)&gt;=($R177-SUM($T177:V177)),($R177-SUM($T177:V177)),IF($J177=0,$O177,$J177)*$I177)))</f>
        <v>1540000</v>
      </c>
      <c r="X177" s="1367">
        <f>IF($R177-SUM($T177:W177)=0,0,IF(OR($R177&lt;=0,$R177&lt;=SUM($T177:W177)),0,IF((IF($J177=0,$O177,$J177)*$I177)&gt;=($R177-SUM($T177:W177)),($R177-SUM($T177:W177)),IF($J177=0,$O177,$J177)*$I177)))</f>
        <v>1540000</v>
      </c>
      <c r="Y177" s="1367">
        <f>IF($R177-SUM($T177:X177)=0,0,IF(OR($R177&lt;=0,$R177&lt;=SUM($T177:X177)),0,IF((IF($J177=0,$O177,$J177)*$I177)&gt;=($R177-SUM($T177:X177)),($R177-SUM($T177:X177)),IF($J177=0,$O177,$J177)*$I177)))</f>
        <v>1383322</v>
      </c>
      <c r="Z177" s="1367">
        <f>IF($R177-SUM($T177:Y177)=0,0,IF(OR($R177&lt;=0,$R177&lt;=SUM($T177:Y177)),0,IF((IF($J177=0,$O177,$J177)*$I177)&gt;=($R177-SUM($T177:Y177)),($R177-SUM($T177:Y177)),IF($J177=0,$O177,$J177)*$I177)))</f>
        <v>0</v>
      </c>
      <c r="AA177" s="1367">
        <f>IF($R177-SUM($T177:Z177)=0,0,IF(OR($R177&lt;=0,$R177&lt;=SUM($T177:Z177)),0,IF((IF($J177=0,$O177,$J177)*$I177)&gt;=($R177-SUM($T177:Z177)),($R177-SUM($T177:Z177)),IF($J177=0,$O177,$J177)*$I177)))</f>
        <v>0</v>
      </c>
      <c r="AB177" s="1367">
        <f>IF($R177-SUM($T177:AA177)=0,0,IF(OR($R177&lt;=0,$R177&lt;=SUM($T177:AA177)),0,IF((IF($J177=0,$O177,$J177)*$I177)&gt;=($R177-SUM($T177:AA177)),($R177-SUM($T177:AA177)),IF($J177=0,$O177,$J177)*$I177)))</f>
        <v>0</v>
      </c>
      <c r="AC177" s="1367">
        <f>IF($R177-SUM($T177:AB177)=0,0,IF(OR($R177&lt;=0,$R177&lt;=SUM($T177:AB177)),0,IF((IF($J177=0,$O177,$J177)*$I177)&gt;=($R177-SUM($T177:AB177)),($R177-SUM($T177:AB177)),IF($J177=0,$O177,$J177)*$I177)))</f>
        <v>0</v>
      </c>
      <c r="AD177" s="1367">
        <f>IF($R177-SUM($T177:AC177)=0,0,IF(OR($R177&lt;=0,$R177&lt;=SUM($T177:AC177)),0,IF((IF($J177=0,$O177,$J177)*$I177)&gt;=($R177-SUM($T177:AC177)),($R177-SUM($T177:AC177)),IF($J177=0,$O177,$J177)*$I177)))</f>
        <v>0</v>
      </c>
      <c r="AF177" s="1319" t="b">
        <f t="shared" si="47"/>
        <v>1</v>
      </c>
      <c r="AG177" s="1319" t="str">
        <f t="shared" si="48"/>
        <v>Checked</v>
      </c>
      <c r="AH177" s="1318" t="b">
        <f t="shared" si="49"/>
        <v>1</v>
      </c>
    </row>
    <row r="178" spans="2:34" outlineLevel="1" x14ac:dyDescent="0.3">
      <c r="B178" s="1356" t="s">
        <v>2351</v>
      </c>
      <c r="C178" s="1356" t="s">
        <v>1971</v>
      </c>
      <c r="D178" s="1322" t="s">
        <v>2350</v>
      </c>
      <c r="E178" s="1357">
        <v>10</v>
      </c>
      <c r="F178" s="1333">
        <f t="shared" si="40"/>
        <v>8</v>
      </c>
      <c r="G178" s="1358">
        <f t="shared" si="41"/>
        <v>0</v>
      </c>
      <c r="H178" s="1359">
        <f t="shared" si="42"/>
        <v>0</v>
      </c>
      <c r="I178" s="1360">
        <f t="shared" si="43"/>
        <v>0.1</v>
      </c>
      <c r="J178" s="1361">
        <v>7400000</v>
      </c>
      <c r="K178" s="1362">
        <v>2508350</v>
      </c>
      <c r="L178" s="1356">
        <v>0</v>
      </c>
      <c r="M178" s="1356">
        <v>0</v>
      </c>
      <c r="N178" s="1361">
        <f t="shared" si="44"/>
        <v>4891650</v>
      </c>
      <c r="O178" s="1363"/>
      <c r="P178" s="1356">
        <v>0</v>
      </c>
      <c r="Q178" s="1364">
        <v>1266937</v>
      </c>
      <c r="R178" s="1365">
        <f t="shared" si="45"/>
        <v>3624713</v>
      </c>
      <c r="S178" s="1364"/>
      <c r="T178" s="1366">
        <f t="shared" si="46"/>
        <v>0</v>
      </c>
      <c r="U178" s="1367">
        <f>IF($R178-SUM($T178:T178)=0,0,IF(OR($R178&lt;=0,$R178&lt;=SUM($T178:T178)),0,IF((IF($J178=0,$O178,$J178)*$I178)&gt;=($R178-SUM($T178:T178)),($R178-SUM($T178:T178)),IF($J178=0,$O178,$J178)*$I178)))</f>
        <v>740000</v>
      </c>
      <c r="V178" s="1367">
        <f>IF($R178-SUM($T178:U178)=0,0,IF(OR($R178&lt;=0,$R178&lt;=SUM($T178:U178)),0,IF((IF($J178=0,$O178,$J178)*$I178)&gt;=($R178-SUM($T178:U178)),($R178-SUM($T178:U178)),IF($J178=0,$O178,$J178)*$I178)))</f>
        <v>740000</v>
      </c>
      <c r="W178" s="1367">
        <f>IF($R178-SUM($T178:V178)=0,0,IF(OR($R178&lt;=0,$R178&lt;=SUM($T178:V178)),0,IF((IF($J178=0,$O178,$J178)*$I178)&gt;=($R178-SUM($T178:V178)),($R178-SUM($T178:V178)),IF($J178=0,$O178,$J178)*$I178)))</f>
        <v>740000</v>
      </c>
      <c r="X178" s="1367">
        <f>IF($R178-SUM($T178:W178)=0,0,IF(OR($R178&lt;=0,$R178&lt;=SUM($T178:W178)),0,IF((IF($J178=0,$O178,$J178)*$I178)&gt;=($R178-SUM($T178:W178)),($R178-SUM($T178:W178)),IF($J178=0,$O178,$J178)*$I178)))</f>
        <v>740000</v>
      </c>
      <c r="Y178" s="1367">
        <f>IF($R178-SUM($T178:X178)=0,0,IF(OR($R178&lt;=0,$R178&lt;=SUM($T178:X178)),0,IF((IF($J178=0,$O178,$J178)*$I178)&gt;=($R178-SUM($T178:X178)),($R178-SUM($T178:X178)),IF($J178=0,$O178,$J178)*$I178)))</f>
        <v>664713</v>
      </c>
      <c r="Z178" s="1367">
        <f>IF($R178-SUM($T178:Y178)=0,0,IF(OR($R178&lt;=0,$R178&lt;=SUM($T178:Y178)),0,IF((IF($J178=0,$O178,$J178)*$I178)&gt;=($R178-SUM($T178:Y178)),($R178-SUM($T178:Y178)),IF($J178=0,$O178,$J178)*$I178)))</f>
        <v>0</v>
      </c>
      <c r="AA178" s="1367">
        <f>IF($R178-SUM($T178:Z178)=0,0,IF(OR($R178&lt;=0,$R178&lt;=SUM($T178:Z178)),0,IF((IF($J178=0,$O178,$J178)*$I178)&gt;=($R178-SUM($T178:Z178)),($R178-SUM($T178:Z178)),IF($J178=0,$O178,$J178)*$I178)))</f>
        <v>0</v>
      </c>
      <c r="AB178" s="1367">
        <f>IF($R178-SUM($T178:AA178)=0,0,IF(OR($R178&lt;=0,$R178&lt;=SUM($T178:AA178)),0,IF((IF($J178=0,$O178,$J178)*$I178)&gt;=($R178-SUM($T178:AA178)),($R178-SUM($T178:AA178)),IF($J178=0,$O178,$J178)*$I178)))</f>
        <v>0</v>
      </c>
      <c r="AC178" s="1367">
        <f>IF($R178-SUM($T178:AB178)=0,0,IF(OR($R178&lt;=0,$R178&lt;=SUM($T178:AB178)),0,IF((IF($J178=0,$O178,$J178)*$I178)&gt;=($R178-SUM($T178:AB178)),($R178-SUM($T178:AB178)),IF($J178=0,$O178,$J178)*$I178)))</f>
        <v>0</v>
      </c>
      <c r="AD178" s="1367">
        <f>IF($R178-SUM($T178:AC178)=0,0,IF(OR($R178&lt;=0,$R178&lt;=SUM($T178:AC178)),0,IF((IF($J178=0,$O178,$J178)*$I178)&gt;=($R178-SUM($T178:AC178)),($R178-SUM($T178:AC178)),IF($J178=0,$O178,$J178)*$I178)))</f>
        <v>0</v>
      </c>
      <c r="AF178" s="1319" t="b">
        <f t="shared" si="47"/>
        <v>1</v>
      </c>
      <c r="AG178" s="1319" t="str">
        <f t="shared" si="48"/>
        <v>Checked</v>
      </c>
      <c r="AH178" s="1318" t="b">
        <f t="shared" si="49"/>
        <v>1</v>
      </c>
    </row>
    <row r="179" spans="2:34" outlineLevel="1" x14ac:dyDescent="0.3">
      <c r="B179" s="1356" t="s">
        <v>2352</v>
      </c>
      <c r="C179" s="1356" t="s">
        <v>1971</v>
      </c>
      <c r="D179" s="1322" t="s">
        <v>2353</v>
      </c>
      <c r="E179" s="1357">
        <v>10</v>
      </c>
      <c r="F179" s="1333">
        <f t="shared" si="40"/>
        <v>8</v>
      </c>
      <c r="G179" s="1358">
        <f t="shared" si="41"/>
        <v>0</v>
      </c>
      <c r="H179" s="1359">
        <f t="shared" si="42"/>
        <v>0</v>
      </c>
      <c r="I179" s="1360">
        <f t="shared" si="43"/>
        <v>0.1</v>
      </c>
      <c r="J179" s="1361">
        <v>6081816</v>
      </c>
      <c r="K179" s="1362">
        <v>2061530</v>
      </c>
      <c r="L179" s="1356">
        <v>0</v>
      </c>
      <c r="M179" s="1356">
        <v>0</v>
      </c>
      <c r="N179" s="1361">
        <f t="shared" si="44"/>
        <v>4020286</v>
      </c>
      <c r="O179" s="1363"/>
      <c r="P179" s="1356">
        <v>0</v>
      </c>
      <c r="Q179" s="1364">
        <v>1041254</v>
      </c>
      <c r="R179" s="1365">
        <f t="shared" si="45"/>
        <v>2979032</v>
      </c>
      <c r="S179" s="1364"/>
      <c r="T179" s="1366">
        <f t="shared" si="46"/>
        <v>0</v>
      </c>
      <c r="U179" s="1367">
        <f>IF($R179-SUM($T179:T179)=0,0,IF(OR($R179&lt;=0,$R179&lt;=SUM($T179:T179)),0,IF((IF($J179=0,$O179,$J179)*$I179)&gt;=($R179-SUM($T179:T179)),($R179-SUM($T179:T179)),IF($J179=0,$O179,$J179)*$I179)))</f>
        <v>608181.6</v>
      </c>
      <c r="V179" s="1367">
        <f>IF($R179-SUM($T179:U179)=0,0,IF(OR($R179&lt;=0,$R179&lt;=SUM($T179:U179)),0,IF((IF($J179=0,$O179,$J179)*$I179)&gt;=($R179-SUM($T179:U179)),($R179-SUM($T179:U179)),IF($J179=0,$O179,$J179)*$I179)))</f>
        <v>608181.6</v>
      </c>
      <c r="W179" s="1367">
        <f>IF($R179-SUM($T179:V179)=0,0,IF(OR($R179&lt;=0,$R179&lt;=SUM($T179:V179)),0,IF((IF($J179=0,$O179,$J179)*$I179)&gt;=($R179-SUM($T179:V179)),($R179-SUM($T179:V179)),IF($J179=0,$O179,$J179)*$I179)))</f>
        <v>608181.6</v>
      </c>
      <c r="X179" s="1367">
        <f>IF($R179-SUM($T179:W179)=0,0,IF(OR($R179&lt;=0,$R179&lt;=SUM($T179:W179)),0,IF((IF($J179=0,$O179,$J179)*$I179)&gt;=($R179-SUM($T179:W179)),($R179-SUM($T179:W179)),IF($J179=0,$O179,$J179)*$I179)))</f>
        <v>608181.6</v>
      </c>
      <c r="Y179" s="1367">
        <f>IF($R179-SUM($T179:X179)=0,0,IF(OR($R179&lt;=0,$R179&lt;=SUM($T179:X179)),0,IF((IF($J179=0,$O179,$J179)*$I179)&gt;=($R179-SUM($T179:X179)),($R179-SUM($T179:X179)),IF($J179=0,$O179,$J179)*$I179)))</f>
        <v>546305.60000000009</v>
      </c>
      <c r="Z179" s="1367">
        <f>IF($R179-SUM($T179:Y179)=0,0,IF(OR($R179&lt;=0,$R179&lt;=SUM($T179:Y179)),0,IF((IF($J179=0,$O179,$J179)*$I179)&gt;=($R179-SUM($T179:Y179)),($R179-SUM($T179:Y179)),IF($J179=0,$O179,$J179)*$I179)))</f>
        <v>0</v>
      </c>
      <c r="AA179" s="1367">
        <f>IF($R179-SUM($T179:Z179)=0,0,IF(OR($R179&lt;=0,$R179&lt;=SUM($T179:Z179)),0,IF((IF($J179=0,$O179,$J179)*$I179)&gt;=($R179-SUM($T179:Z179)),($R179-SUM($T179:Z179)),IF($J179=0,$O179,$J179)*$I179)))</f>
        <v>0</v>
      </c>
      <c r="AB179" s="1367">
        <f>IF($R179-SUM($T179:AA179)=0,0,IF(OR($R179&lt;=0,$R179&lt;=SUM($T179:AA179)),0,IF((IF($J179=0,$O179,$J179)*$I179)&gt;=($R179-SUM($T179:AA179)),($R179-SUM($T179:AA179)),IF($J179=0,$O179,$J179)*$I179)))</f>
        <v>0</v>
      </c>
      <c r="AC179" s="1367">
        <f>IF($R179-SUM($T179:AB179)=0,0,IF(OR($R179&lt;=0,$R179&lt;=SUM($T179:AB179)),0,IF((IF($J179=0,$O179,$J179)*$I179)&gt;=($R179-SUM($T179:AB179)),($R179-SUM($T179:AB179)),IF($J179=0,$O179,$J179)*$I179)))</f>
        <v>0</v>
      </c>
      <c r="AD179" s="1367">
        <f>IF($R179-SUM($T179:AC179)=0,0,IF(OR($R179&lt;=0,$R179&lt;=SUM($T179:AC179)),0,IF((IF($J179=0,$O179,$J179)*$I179)&gt;=($R179-SUM($T179:AC179)),($R179-SUM($T179:AC179)),IF($J179=0,$O179,$J179)*$I179)))</f>
        <v>0</v>
      </c>
      <c r="AF179" s="1319" t="b">
        <f t="shared" si="47"/>
        <v>1</v>
      </c>
      <c r="AG179" s="1319" t="str">
        <f t="shared" si="48"/>
        <v>Checked</v>
      </c>
      <c r="AH179" s="1318" t="b">
        <f t="shared" si="49"/>
        <v>1</v>
      </c>
    </row>
    <row r="180" spans="2:34" outlineLevel="1" x14ac:dyDescent="0.3">
      <c r="B180" s="1356" t="s">
        <v>2354</v>
      </c>
      <c r="C180" s="1356" t="s">
        <v>1971</v>
      </c>
      <c r="D180" s="1322" t="s">
        <v>2355</v>
      </c>
      <c r="E180" s="1357">
        <v>10</v>
      </c>
      <c r="F180" s="1333">
        <f t="shared" si="40"/>
        <v>8</v>
      </c>
      <c r="G180" s="1358">
        <f t="shared" si="41"/>
        <v>0</v>
      </c>
      <c r="H180" s="1359">
        <f t="shared" si="42"/>
        <v>0</v>
      </c>
      <c r="I180" s="1360">
        <f t="shared" si="43"/>
        <v>0.1</v>
      </c>
      <c r="J180" s="1361">
        <v>3650000</v>
      </c>
      <c r="K180" s="1362">
        <v>1062100</v>
      </c>
      <c r="L180" s="1356">
        <v>0</v>
      </c>
      <c r="M180" s="1356">
        <v>0</v>
      </c>
      <c r="N180" s="1361">
        <f t="shared" si="44"/>
        <v>2587900</v>
      </c>
      <c r="O180" s="1363"/>
      <c r="P180" s="1356">
        <v>0</v>
      </c>
      <c r="Q180" s="1364">
        <v>670266</v>
      </c>
      <c r="R180" s="1365">
        <f t="shared" si="45"/>
        <v>1917634</v>
      </c>
      <c r="S180" s="1364"/>
      <c r="T180" s="1366">
        <f t="shared" si="46"/>
        <v>0</v>
      </c>
      <c r="U180" s="1367">
        <f>IF($R180-SUM($T180:T180)=0,0,IF(OR($R180&lt;=0,$R180&lt;=SUM($T180:T180)),0,IF((IF($J180=0,$O180,$J180)*$I180)&gt;=($R180-SUM($T180:T180)),($R180-SUM($T180:T180)),IF($J180=0,$O180,$J180)*$I180)))</f>
        <v>365000</v>
      </c>
      <c r="V180" s="1367">
        <f>IF($R180-SUM($T180:U180)=0,0,IF(OR($R180&lt;=0,$R180&lt;=SUM($T180:U180)),0,IF((IF($J180=0,$O180,$J180)*$I180)&gt;=($R180-SUM($T180:U180)),($R180-SUM($T180:U180)),IF($J180=0,$O180,$J180)*$I180)))</f>
        <v>365000</v>
      </c>
      <c r="W180" s="1367">
        <f>IF($R180-SUM($T180:V180)=0,0,IF(OR($R180&lt;=0,$R180&lt;=SUM($T180:V180)),0,IF((IF($J180=0,$O180,$J180)*$I180)&gt;=($R180-SUM($T180:V180)),($R180-SUM($T180:V180)),IF($J180=0,$O180,$J180)*$I180)))</f>
        <v>365000</v>
      </c>
      <c r="X180" s="1367">
        <f>IF($R180-SUM($T180:W180)=0,0,IF(OR($R180&lt;=0,$R180&lt;=SUM($T180:W180)),0,IF((IF($J180=0,$O180,$J180)*$I180)&gt;=($R180-SUM($T180:W180)),($R180-SUM($T180:W180)),IF($J180=0,$O180,$J180)*$I180)))</f>
        <v>365000</v>
      </c>
      <c r="Y180" s="1367">
        <f>IF($R180-SUM($T180:X180)=0,0,IF(OR($R180&lt;=0,$R180&lt;=SUM($T180:X180)),0,IF((IF($J180=0,$O180,$J180)*$I180)&gt;=($R180-SUM($T180:X180)),($R180-SUM($T180:X180)),IF($J180=0,$O180,$J180)*$I180)))</f>
        <v>365000</v>
      </c>
      <c r="Z180" s="1367">
        <f>IF($R180-SUM($T180:Y180)=0,0,IF(OR($R180&lt;=0,$R180&lt;=SUM($T180:Y180)),0,IF((IF($J180=0,$O180,$J180)*$I180)&gt;=($R180-SUM($T180:Y180)),($R180-SUM($T180:Y180)),IF($J180=0,$O180,$J180)*$I180)))</f>
        <v>92634</v>
      </c>
      <c r="AA180" s="1367">
        <f>IF($R180-SUM($T180:Z180)=0,0,IF(OR($R180&lt;=0,$R180&lt;=SUM($T180:Z180)),0,IF((IF($J180=0,$O180,$J180)*$I180)&gt;=($R180-SUM($T180:Z180)),($R180-SUM($T180:Z180)),IF($J180=0,$O180,$J180)*$I180)))</f>
        <v>0</v>
      </c>
      <c r="AB180" s="1367">
        <f>IF($R180-SUM($T180:AA180)=0,0,IF(OR($R180&lt;=0,$R180&lt;=SUM($T180:AA180)),0,IF((IF($J180=0,$O180,$J180)*$I180)&gt;=($R180-SUM($T180:AA180)),($R180-SUM($T180:AA180)),IF($J180=0,$O180,$J180)*$I180)))</f>
        <v>0</v>
      </c>
      <c r="AC180" s="1367">
        <f>IF($R180-SUM($T180:AB180)=0,0,IF(OR($R180&lt;=0,$R180&lt;=SUM($T180:AB180)),0,IF((IF($J180=0,$O180,$J180)*$I180)&gt;=($R180-SUM($T180:AB180)),($R180-SUM($T180:AB180)),IF($J180=0,$O180,$J180)*$I180)))</f>
        <v>0</v>
      </c>
      <c r="AD180" s="1367">
        <f>IF($R180-SUM($T180:AC180)=0,0,IF(OR($R180&lt;=0,$R180&lt;=SUM($T180:AC180)),0,IF((IF($J180=0,$O180,$J180)*$I180)&gt;=($R180-SUM($T180:AC180)),($R180-SUM($T180:AC180)),IF($J180=0,$O180,$J180)*$I180)))</f>
        <v>0</v>
      </c>
      <c r="AF180" s="1319" t="b">
        <f t="shared" si="47"/>
        <v>1</v>
      </c>
      <c r="AG180" s="1319" t="str">
        <f t="shared" si="48"/>
        <v>Checked</v>
      </c>
      <c r="AH180" s="1318" t="b">
        <f t="shared" si="49"/>
        <v>1</v>
      </c>
    </row>
    <row r="181" spans="2:34" outlineLevel="1" x14ac:dyDescent="0.3">
      <c r="B181" s="1356" t="s">
        <v>2356</v>
      </c>
      <c r="C181" s="1356" t="s">
        <v>1971</v>
      </c>
      <c r="D181" s="1322" t="s">
        <v>2357</v>
      </c>
      <c r="E181" s="1357">
        <v>10</v>
      </c>
      <c r="F181" s="1333">
        <f t="shared" si="40"/>
        <v>9</v>
      </c>
      <c r="G181" s="1358">
        <f t="shared" si="41"/>
        <v>0</v>
      </c>
      <c r="H181" s="1359">
        <f t="shared" si="42"/>
        <v>0</v>
      </c>
      <c r="I181" s="1360">
        <f t="shared" si="43"/>
        <v>0.1</v>
      </c>
      <c r="J181" s="1361">
        <v>16290000</v>
      </c>
      <c r="K181" s="1362">
        <v>3515925</v>
      </c>
      <c r="L181" s="1356">
        <v>0</v>
      </c>
      <c r="M181" s="1356">
        <v>0</v>
      </c>
      <c r="N181" s="1361">
        <f t="shared" si="44"/>
        <v>12774075</v>
      </c>
      <c r="O181" s="1363"/>
      <c r="P181" s="1356">
        <v>0</v>
      </c>
      <c r="Q181" s="1364">
        <v>3308485</v>
      </c>
      <c r="R181" s="1365">
        <f t="shared" si="45"/>
        <v>9465590</v>
      </c>
      <c r="S181" s="1364"/>
      <c r="T181" s="1366">
        <f t="shared" si="46"/>
        <v>0</v>
      </c>
      <c r="U181" s="1367">
        <f>IF($R181-SUM($T181:T181)=0,0,IF(OR($R181&lt;=0,$R181&lt;=SUM($T181:T181)),0,IF((IF($J181=0,$O181,$J181)*$I181)&gt;=($R181-SUM($T181:T181)),($R181-SUM($T181:T181)),IF($J181=0,$O181,$J181)*$I181)))</f>
        <v>1629000</v>
      </c>
      <c r="V181" s="1367">
        <f>IF($R181-SUM($T181:U181)=0,0,IF(OR($R181&lt;=0,$R181&lt;=SUM($T181:U181)),0,IF((IF($J181=0,$O181,$J181)*$I181)&gt;=($R181-SUM($T181:U181)),($R181-SUM($T181:U181)),IF($J181=0,$O181,$J181)*$I181)))</f>
        <v>1629000</v>
      </c>
      <c r="W181" s="1367">
        <f>IF($R181-SUM($T181:V181)=0,0,IF(OR($R181&lt;=0,$R181&lt;=SUM($T181:V181)),0,IF((IF($J181=0,$O181,$J181)*$I181)&gt;=($R181-SUM($T181:V181)),($R181-SUM($T181:V181)),IF($J181=0,$O181,$J181)*$I181)))</f>
        <v>1629000</v>
      </c>
      <c r="X181" s="1367">
        <f>IF($R181-SUM($T181:W181)=0,0,IF(OR($R181&lt;=0,$R181&lt;=SUM($T181:W181)),0,IF((IF($J181=0,$O181,$J181)*$I181)&gt;=($R181-SUM($T181:W181)),($R181-SUM($T181:W181)),IF($J181=0,$O181,$J181)*$I181)))</f>
        <v>1629000</v>
      </c>
      <c r="Y181" s="1367">
        <f>IF($R181-SUM($T181:X181)=0,0,IF(OR($R181&lt;=0,$R181&lt;=SUM($T181:X181)),0,IF((IF($J181=0,$O181,$J181)*$I181)&gt;=($R181-SUM($T181:X181)),($R181-SUM($T181:X181)),IF($J181=0,$O181,$J181)*$I181)))</f>
        <v>1629000</v>
      </c>
      <c r="Z181" s="1367">
        <f>IF($R181-SUM($T181:Y181)=0,0,IF(OR($R181&lt;=0,$R181&lt;=SUM($T181:Y181)),0,IF((IF($J181=0,$O181,$J181)*$I181)&gt;=($R181-SUM($T181:Y181)),($R181-SUM($T181:Y181)),IF($J181=0,$O181,$J181)*$I181)))</f>
        <v>1320590</v>
      </c>
      <c r="AA181" s="1367">
        <f>IF($R181-SUM($T181:Z181)=0,0,IF(OR($R181&lt;=0,$R181&lt;=SUM($T181:Z181)),0,IF((IF($J181=0,$O181,$J181)*$I181)&gt;=($R181-SUM($T181:Z181)),($R181-SUM($T181:Z181)),IF($J181=0,$O181,$J181)*$I181)))</f>
        <v>0</v>
      </c>
      <c r="AB181" s="1367">
        <f>IF($R181-SUM($T181:AA181)=0,0,IF(OR($R181&lt;=0,$R181&lt;=SUM($T181:AA181)),0,IF((IF($J181=0,$O181,$J181)*$I181)&gt;=($R181-SUM($T181:AA181)),($R181-SUM($T181:AA181)),IF($J181=0,$O181,$J181)*$I181)))</f>
        <v>0</v>
      </c>
      <c r="AC181" s="1367">
        <f>IF($R181-SUM($T181:AB181)=0,0,IF(OR($R181&lt;=0,$R181&lt;=SUM($T181:AB181)),0,IF((IF($J181=0,$O181,$J181)*$I181)&gt;=($R181-SUM($T181:AB181)),($R181-SUM($T181:AB181)),IF($J181=0,$O181,$J181)*$I181)))</f>
        <v>0</v>
      </c>
      <c r="AD181" s="1367">
        <f>IF($R181-SUM($T181:AC181)=0,0,IF(OR($R181&lt;=0,$R181&lt;=SUM($T181:AC181)),0,IF((IF($J181=0,$O181,$J181)*$I181)&gt;=($R181-SUM($T181:AC181)),($R181-SUM($T181:AC181)),IF($J181=0,$O181,$J181)*$I181)))</f>
        <v>0</v>
      </c>
      <c r="AF181" s="1319" t="b">
        <f t="shared" si="47"/>
        <v>1</v>
      </c>
      <c r="AG181" s="1319" t="str">
        <f t="shared" si="48"/>
        <v>Checked</v>
      </c>
      <c r="AH181" s="1318" t="b">
        <f t="shared" si="49"/>
        <v>1</v>
      </c>
    </row>
    <row r="182" spans="2:34" outlineLevel="1" x14ac:dyDescent="0.3">
      <c r="B182" s="1356" t="s">
        <v>2358</v>
      </c>
      <c r="C182" s="1356" t="s">
        <v>1971</v>
      </c>
      <c r="D182" s="1322" t="s">
        <v>2359</v>
      </c>
      <c r="E182" s="1357">
        <v>10</v>
      </c>
      <c r="F182" s="1333">
        <f t="shared" si="40"/>
        <v>9</v>
      </c>
      <c r="G182" s="1358">
        <f t="shared" si="41"/>
        <v>0</v>
      </c>
      <c r="H182" s="1359">
        <f t="shared" si="42"/>
        <v>0</v>
      </c>
      <c r="I182" s="1360">
        <f t="shared" si="43"/>
        <v>0.1</v>
      </c>
      <c r="J182" s="1361">
        <v>1345365</v>
      </c>
      <c r="K182" s="1362">
        <v>261337</v>
      </c>
      <c r="L182" s="1356">
        <v>0</v>
      </c>
      <c r="M182" s="1356">
        <v>0</v>
      </c>
      <c r="N182" s="1361">
        <f t="shared" si="44"/>
        <v>1084028</v>
      </c>
      <c r="O182" s="1363"/>
      <c r="P182" s="1356">
        <v>0</v>
      </c>
      <c r="Q182" s="1364">
        <v>280763</v>
      </c>
      <c r="R182" s="1365">
        <f t="shared" si="45"/>
        <v>803265</v>
      </c>
      <c r="S182" s="1364"/>
      <c r="T182" s="1366">
        <f t="shared" si="46"/>
        <v>0</v>
      </c>
      <c r="U182" s="1367">
        <f>IF($R182-SUM($T182:T182)=0,0,IF(OR($R182&lt;=0,$R182&lt;=SUM($T182:T182)),0,IF((IF($J182=0,$O182,$J182)*$I182)&gt;=($R182-SUM($T182:T182)),($R182-SUM($T182:T182)),IF($J182=0,$O182,$J182)*$I182)))</f>
        <v>134536.5</v>
      </c>
      <c r="V182" s="1367">
        <f>IF($R182-SUM($T182:U182)=0,0,IF(OR($R182&lt;=0,$R182&lt;=SUM($T182:U182)),0,IF((IF($J182=0,$O182,$J182)*$I182)&gt;=($R182-SUM($T182:U182)),($R182-SUM($T182:U182)),IF($J182=0,$O182,$J182)*$I182)))</f>
        <v>134536.5</v>
      </c>
      <c r="W182" s="1367">
        <f>IF($R182-SUM($T182:V182)=0,0,IF(OR($R182&lt;=0,$R182&lt;=SUM($T182:V182)),0,IF((IF($J182=0,$O182,$J182)*$I182)&gt;=($R182-SUM($T182:V182)),($R182-SUM($T182:V182)),IF($J182=0,$O182,$J182)*$I182)))</f>
        <v>134536.5</v>
      </c>
      <c r="X182" s="1367">
        <f>IF($R182-SUM($T182:W182)=0,0,IF(OR($R182&lt;=0,$R182&lt;=SUM($T182:W182)),0,IF((IF($J182=0,$O182,$J182)*$I182)&gt;=($R182-SUM($T182:W182)),($R182-SUM($T182:W182)),IF($J182=0,$O182,$J182)*$I182)))</f>
        <v>134536.5</v>
      </c>
      <c r="Y182" s="1367">
        <f>IF($R182-SUM($T182:X182)=0,0,IF(OR($R182&lt;=0,$R182&lt;=SUM($T182:X182)),0,IF((IF($J182=0,$O182,$J182)*$I182)&gt;=($R182-SUM($T182:X182)),($R182-SUM($T182:X182)),IF($J182=0,$O182,$J182)*$I182)))</f>
        <v>134536.5</v>
      </c>
      <c r="Z182" s="1367">
        <f>IF($R182-SUM($T182:Y182)=0,0,IF(OR($R182&lt;=0,$R182&lt;=SUM($T182:Y182)),0,IF((IF($J182=0,$O182,$J182)*$I182)&gt;=($R182-SUM($T182:Y182)),($R182-SUM($T182:Y182)),IF($J182=0,$O182,$J182)*$I182)))</f>
        <v>130582.5</v>
      </c>
      <c r="AA182" s="1367">
        <f>IF($R182-SUM($T182:Z182)=0,0,IF(OR($R182&lt;=0,$R182&lt;=SUM($T182:Z182)),0,IF((IF($J182=0,$O182,$J182)*$I182)&gt;=($R182-SUM($T182:Z182)),($R182-SUM($T182:Z182)),IF($J182=0,$O182,$J182)*$I182)))</f>
        <v>0</v>
      </c>
      <c r="AB182" s="1367">
        <f>IF($R182-SUM($T182:AA182)=0,0,IF(OR($R182&lt;=0,$R182&lt;=SUM($T182:AA182)),0,IF((IF($J182=0,$O182,$J182)*$I182)&gt;=($R182-SUM($T182:AA182)),($R182-SUM($T182:AA182)),IF($J182=0,$O182,$J182)*$I182)))</f>
        <v>0</v>
      </c>
      <c r="AC182" s="1367">
        <f>IF($R182-SUM($T182:AB182)=0,0,IF(OR($R182&lt;=0,$R182&lt;=SUM($T182:AB182)),0,IF((IF($J182=0,$O182,$J182)*$I182)&gt;=($R182-SUM($T182:AB182)),($R182-SUM($T182:AB182)),IF($J182=0,$O182,$J182)*$I182)))</f>
        <v>0</v>
      </c>
      <c r="AD182" s="1367">
        <f>IF($R182-SUM($T182:AC182)=0,0,IF(OR($R182&lt;=0,$R182&lt;=SUM($T182:AC182)),0,IF((IF($J182=0,$O182,$J182)*$I182)&gt;=($R182-SUM($T182:AC182)),($R182-SUM($T182:AC182)),IF($J182=0,$O182,$J182)*$I182)))</f>
        <v>0</v>
      </c>
      <c r="AF182" s="1319" t="b">
        <f t="shared" si="47"/>
        <v>1</v>
      </c>
      <c r="AG182" s="1319" t="str">
        <f t="shared" si="48"/>
        <v>Checked</v>
      </c>
      <c r="AH182" s="1318" t="b">
        <f t="shared" si="49"/>
        <v>1</v>
      </c>
    </row>
    <row r="183" spans="2:34" outlineLevel="1" x14ac:dyDescent="0.3">
      <c r="B183" s="1356" t="s">
        <v>2360</v>
      </c>
      <c r="C183" s="1356" t="s">
        <v>1971</v>
      </c>
      <c r="D183" s="1322" t="s">
        <v>2361</v>
      </c>
      <c r="E183" s="1357">
        <v>10</v>
      </c>
      <c r="F183" s="1333">
        <f t="shared" si="40"/>
        <v>9</v>
      </c>
      <c r="G183" s="1358">
        <f t="shared" si="41"/>
        <v>0</v>
      </c>
      <c r="H183" s="1359">
        <f t="shared" si="42"/>
        <v>0</v>
      </c>
      <c r="I183" s="1360">
        <f t="shared" si="43"/>
        <v>0.1</v>
      </c>
      <c r="J183" s="1361">
        <v>80000000</v>
      </c>
      <c r="K183" s="1362">
        <v>12086666</v>
      </c>
      <c r="L183" s="1356">
        <v>0</v>
      </c>
      <c r="M183" s="1356">
        <v>0</v>
      </c>
      <c r="N183" s="1361">
        <f t="shared" si="44"/>
        <v>67913334</v>
      </c>
      <c r="O183" s="1363"/>
      <c r="P183" s="1356">
        <v>0</v>
      </c>
      <c r="Q183" s="1364">
        <v>17589553</v>
      </c>
      <c r="R183" s="1365">
        <f t="shared" si="45"/>
        <v>50323781</v>
      </c>
      <c r="S183" s="1364"/>
      <c r="T183" s="1366">
        <f t="shared" si="46"/>
        <v>0</v>
      </c>
      <c r="U183" s="1367">
        <f>IF($R183-SUM($T183:T183)=0,0,IF(OR($R183&lt;=0,$R183&lt;=SUM($T183:T183)),0,IF((IF($J183=0,$O183,$J183)*$I183)&gt;=($R183-SUM($T183:T183)),($R183-SUM($T183:T183)),IF($J183=0,$O183,$J183)*$I183)))</f>
        <v>8000000</v>
      </c>
      <c r="V183" s="1367">
        <f>IF($R183-SUM($T183:U183)=0,0,IF(OR($R183&lt;=0,$R183&lt;=SUM($T183:U183)),0,IF((IF($J183=0,$O183,$J183)*$I183)&gt;=($R183-SUM($T183:U183)),($R183-SUM($T183:U183)),IF($J183=0,$O183,$J183)*$I183)))</f>
        <v>8000000</v>
      </c>
      <c r="W183" s="1367">
        <f>IF($R183-SUM($T183:V183)=0,0,IF(OR($R183&lt;=0,$R183&lt;=SUM($T183:V183)),0,IF((IF($J183=0,$O183,$J183)*$I183)&gt;=($R183-SUM($T183:V183)),($R183-SUM($T183:V183)),IF($J183=0,$O183,$J183)*$I183)))</f>
        <v>8000000</v>
      </c>
      <c r="X183" s="1367">
        <f>IF($R183-SUM($T183:W183)=0,0,IF(OR($R183&lt;=0,$R183&lt;=SUM($T183:W183)),0,IF((IF($J183=0,$O183,$J183)*$I183)&gt;=($R183-SUM($T183:W183)),($R183-SUM($T183:W183)),IF($J183=0,$O183,$J183)*$I183)))</f>
        <v>8000000</v>
      </c>
      <c r="Y183" s="1367">
        <f>IF($R183-SUM($T183:X183)=0,0,IF(OR($R183&lt;=0,$R183&lt;=SUM($T183:X183)),0,IF((IF($J183=0,$O183,$J183)*$I183)&gt;=($R183-SUM($T183:X183)),($R183-SUM($T183:X183)),IF($J183=0,$O183,$J183)*$I183)))</f>
        <v>8000000</v>
      </c>
      <c r="Z183" s="1367">
        <f>IF($R183-SUM($T183:Y183)=0,0,IF(OR($R183&lt;=0,$R183&lt;=SUM($T183:Y183)),0,IF((IF($J183=0,$O183,$J183)*$I183)&gt;=($R183-SUM($T183:Y183)),($R183-SUM($T183:Y183)),IF($J183=0,$O183,$J183)*$I183)))</f>
        <v>8000000</v>
      </c>
      <c r="AA183" s="1367">
        <f>IF($R183-SUM($T183:Z183)=0,0,IF(OR($R183&lt;=0,$R183&lt;=SUM($T183:Z183)),0,IF((IF($J183=0,$O183,$J183)*$I183)&gt;=($R183-SUM($T183:Z183)),($R183-SUM($T183:Z183)),IF($J183=0,$O183,$J183)*$I183)))</f>
        <v>2323781</v>
      </c>
      <c r="AB183" s="1367">
        <f>IF($R183-SUM($T183:AA183)=0,0,IF(OR($R183&lt;=0,$R183&lt;=SUM($T183:AA183)),0,IF((IF($J183=0,$O183,$J183)*$I183)&gt;=($R183-SUM($T183:AA183)),($R183-SUM($T183:AA183)),IF($J183=0,$O183,$J183)*$I183)))</f>
        <v>0</v>
      </c>
      <c r="AC183" s="1367">
        <f>IF($R183-SUM($T183:AB183)=0,0,IF(OR($R183&lt;=0,$R183&lt;=SUM($T183:AB183)),0,IF((IF($J183=0,$O183,$J183)*$I183)&gt;=($R183-SUM($T183:AB183)),($R183-SUM($T183:AB183)),IF($J183=0,$O183,$J183)*$I183)))</f>
        <v>0</v>
      </c>
      <c r="AD183" s="1367">
        <f>IF($R183-SUM($T183:AC183)=0,0,IF(OR($R183&lt;=0,$R183&lt;=SUM($T183:AC183)),0,IF((IF($J183=0,$O183,$J183)*$I183)&gt;=($R183-SUM($T183:AC183)),($R183-SUM($T183:AC183)),IF($J183=0,$O183,$J183)*$I183)))</f>
        <v>0</v>
      </c>
      <c r="AF183" s="1319" t="b">
        <f t="shared" si="47"/>
        <v>1</v>
      </c>
      <c r="AG183" s="1319" t="str">
        <f t="shared" si="48"/>
        <v>Checked</v>
      </c>
      <c r="AH183" s="1318" t="b">
        <f t="shared" si="49"/>
        <v>1</v>
      </c>
    </row>
    <row r="184" spans="2:34" outlineLevel="1" x14ac:dyDescent="0.3">
      <c r="B184" s="1356" t="s">
        <v>2362</v>
      </c>
      <c r="C184" s="1356" t="s">
        <v>1971</v>
      </c>
      <c r="D184" s="1322" t="s">
        <v>2363</v>
      </c>
      <c r="E184" s="1357">
        <v>10</v>
      </c>
      <c r="F184" s="1333">
        <f t="shared" ref="F184:F202" si="50">MAX((E184-(YEAR($E$4)-YEAR(D184))),0)</f>
        <v>9</v>
      </c>
      <c r="G184" s="1358">
        <f t="shared" ref="G184:G202" si="51">IF(YEAR(D184)=YEAR($E$4),IF($E$2=$E$4,0,IF(D184&lt;$E$4,$E$2-$E$4,$E$2-D184)),$E$2-$E$4)</f>
        <v>0</v>
      </c>
      <c r="H184" s="1359">
        <f t="shared" ref="H184:H202" si="52">G184/365</f>
        <v>0</v>
      </c>
      <c r="I184" s="1360">
        <f t="shared" ref="I184:I202" si="53">1/E184</f>
        <v>0.1</v>
      </c>
      <c r="J184" s="1361">
        <v>140000000</v>
      </c>
      <c r="K184" s="1362">
        <v>15108333</v>
      </c>
      <c r="L184" s="1356">
        <v>0</v>
      </c>
      <c r="M184" s="1356">
        <v>0</v>
      </c>
      <c r="N184" s="1361">
        <f t="shared" ref="N184:N202" si="54">J184-K184-L184+M184</f>
        <v>124891667</v>
      </c>
      <c r="O184" s="1363"/>
      <c r="P184" s="1356">
        <v>0</v>
      </c>
      <c r="Q184" s="1364">
        <v>32346941</v>
      </c>
      <c r="R184" s="1365">
        <f t="shared" ref="R184:R202" si="55">MAX(IF(J184=0,(O184-P184-Q184),(N184-P184-Q184)),0)</f>
        <v>92544726</v>
      </c>
      <c r="S184" s="1364"/>
      <c r="T184" s="1366">
        <f t="shared" ref="T184:T202" si="56">IF(R184=0,0,MIN(IF(J184=0,O184*I184*H184,J184*I184*H184),R184))</f>
        <v>0</v>
      </c>
      <c r="U184" s="1367">
        <f>IF($R184-SUM($T184:T184)=0,0,IF(OR($R184&lt;=0,$R184&lt;=SUM($T184:T184)),0,IF((IF($J184=0,$O184,$J184)*$I184)&gt;=($R184-SUM($T184:T184)),($R184-SUM($T184:T184)),IF($J184=0,$O184,$J184)*$I184)))</f>
        <v>14000000</v>
      </c>
      <c r="V184" s="1367">
        <f>IF($R184-SUM($T184:U184)=0,0,IF(OR($R184&lt;=0,$R184&lt;=SUM($T184:U184)),0,IF((IF($J184=0,$O184,$J184)*$I184)&gt;=($R184-SUM($T184:U184)),($R184-SUM($T184:U184)),IF($J184=0,$O184,$J184)*$I184)))</f>
        <v>14000000</v>
      </c>
      <c r="W184" s="1367">
        <f>IF($R184-SUM($T184:V184)=0,0,IF(OR($R184&lt;=0,$R184&lt;=SUM($T184:V184)),0,IF((IF($J184=0,$O184,$J184)*$I184)&gt;=($R184-SUM($T184:V184)),($R184-SUM($T184:V184)),IF($J184=0,$O184,$J184)*$I184)))</f>
        <v>14000000</v>
      </c>
      <c r="X184" s="1367">
        <f>IF($R184-SUM($T184:W184)=0,0,IF(OR($R184&lt;=0,$R184&lt;=SUM($T184:W184)),0,IF((IF($J184=0,$O184,$J184)*$I184)&gt;=($R184-SUM($T184:W184)),($R184-SUM($T184:W184)),IF($J184=0,$O184,$J184)*$I184)))</f>
        <v>14000000</v>
      </c>
      <c r="Y184" s="1367">
        <f>IF($R184-SUM($T184:X184)=0,0,IF(OR($R184&lt;=0,$R184&lt;=SUM($T184:X184)),0,IF((IF($J184=0,$O184,$J184)*$I184)&gt;=($R184-SUM($T184:X184)),($R184-SUM($T184:X184)),IF($J184=0,$O184,$J184)*$I184)))</f>
        <v>14000000</v>
      </c>
      <c r="Z184" s="1367">
        <f>IF($R184-SUM($T184:Y184)=0,0,IF(OR($R184&lt;=0,$R184&lt;=SUM($T184:Y184)),0,IF((IF($J184=0,$O184,$J184)*$I184)&gt;=($R184-SUM($T184:Y184)),($R184-SUM($T184:Y184)),IF($J184=0,$O184,$J184)*$I184)))</f>
        <v>14000000</v>
      </c>
      <c r="AA184" s="1367">
        <f>IF($R184-SUM($T184:Z184)=0,0,IF(OR($R184&lt;=0,$R184&lt;=SUM($T184:Z184)),0,IF((IF($J184=0,$O184,$J184)*$I184)&gt;=($R184-SUM($T184:Z184)),($R184-SUM($T184:Z184)),IF($J184=0,$O184,$J184)*$I184)))</f>
        <v>8544726</v>
      </c>
      <c r="AB184" s="1367">
        <f>IF($R184-SUM($T184:AA184)=0,0,IF(OR($R184&lt;=0,$R184&lt;=SUM($T184:AA184)),0,IF((IF($J184=0,$O184,$J184)*$I184)&gt;=($R184-SUM($T184:AA184)),($R184-SUM($T184:AA184)),IF($J184=0,$O184,$J184)*$I184)))</f>
        <v>0</v>
      </c>
      <c r="AC184" s="1367">
        <f>IF($R184-SUM($T184:AB184)=0,0,IF(OR($R184&lt;=0,$R184&lt;=SUM($T184:AB184)),0,IF((IF($J184=0,$O184,$J184)*$I184)&gt;=($R184-SUM($T184:AB184)),($R184-SUM($T184:AB184)),IF($J184=0,$O184,$J184)*$I184)))</f>
        <v>0</v>
      </c>
      <c r="AD184" s="1367">
        <f>IF($R184-SUM($T184:AC184)=0,0,IF(OR($R184&lt;=0,$R184&lt;=SUM($T184:AC184)),0,IF((IF($J184=0,$O184,$J184)*$I184)&gt;=($R184-SUM($T184:AC184)),($R184-SUM($T184:AC184)),IF($J184=0,$O184,$J184)*$I184)))</f>
        <v>0</v>
      </c>
      <c r="AF184" s="1319" t="b">
        <f t="shared" ref="AF184:AF202" si="57">IF(AD184=0,SUM(T184:AD184)=R184,"Check")</f>
        <v>1</v>
      </c>
      <c r="AG184" s="1319" t="str">
        <f t="shared" ref="AG184:AG202" si="58">IF(R184=0,SUM(T184:AD184)=0,"Checked")</f>
        <v>Checked</v>
      </c>
      <c r="AH184" s="1318" t="b">
        <f t="shared" ref="AH184:AH202" si="59">IF((R184-T184)&gt;U184,IF(J184=0,O184,J184)*I184=U184,"Checked")</f>
        <v>1</v>
      </c>
    </row>
    <row r="185" spans="2:34" outlineLevel="1" x14ac:dyDescent="0.3">
      <c r="B185" s="1356" t="s">
        <v>2364</v>
      </c>
      <c r="C185" s="1356" t="s">
        <v>1971</v>
      </c>
      <c r="D185" s="1322" t="s">
        <v>2363</v>
      </c>
      <c r="E185" s="1357">
        <v>10</v>
      </c>
      <c r="F185" s="1333">
        <f t="shared" si="50"/>
        <v>9</v>
      </c>
      <c r="G185" s="1358">
        <f t="shared" si="51"/>
        <v>0</v>
      </c>
      <c r="H185" s="1359">
        <f t="shared" si="52"/>
        <v>0</v>
      </c>
      <c r="I185" s="1360">
        <f t="shared" si="53"/>
        <v>0.1</v>
      </c>
      <c r="J185" s="1361">
        <v>116000000</v>
      </c>
      <c r="K185" s="1362">
        <v>12518333</v>
      </c>
      <c r="L185" s="1356">
        <v>0</v>
      </c>
      <c r="M185" s="1356">
        <v>0</v>
      </c>
      <c r="N185" s="1361">
        <f t="shared" si="54"/>
        <v>103481667</v>
      </c>
      <c r="O185" s="1363"/>
      <c r="P185" s="1356">
        <v>0</v>
      </c>
      <c r="Q185" s="1364">
        <v>26801751</v>
      </c>
      <c r="R185" s="1365">
        <f t="shared" si="55"/>
        <v>76679916</v>
      </c>
      <c r="S185" s="1364"/>
      <c r="T185" s="1366">
        <f t="shared" si="56"/>
        <v>0</v>
      </c>
      <c r="U185" s="1367">
        <f>IF($R185-SUM($T185:T185)=0,0,IF(OR($R185&lt;=0,$R185&lt;=SUM($T185:T185)),0,IF((IF($J185=0,$O185,$J185)*$I185)&gt;=($R185-SUM($T185:T185)),($R185-SUM($T185:T185)),IF($J185=0,$O185,$J185)*$I185)))</f>
        <v>11600000</v>
      </c>
      <c r="V185" s="1367">
        <f>IF($R185-SUM($T185:U185)=0,0,IF(OR($R185&lt;=0,$R185&lt;=SUM($T185:U185)),0,IF((IF($J185=0,$O185,$J185)*$I185)&gt;=($R185-SUM($T185:U185)),($R185-SUM($T185:U185)),IF($J185=0,$O185,$J185)*$I185)))</f>
        <v>11600000</v>
      </c>
      <c r="W185" s="1367">
        <f>IF($R185-SUM($T185:V185)=0,0,IF(OR($R185&lt;=0,$R185&lt;=SUM($T185:V185)),0,IF((IF($J185=0,$O185,$J185)*$I185)&gt;=($R185-SUM($T185:V185)),($R185-SUM($T185:V185)),IF($J185=0,$O185,$J185)*$I185)))</f>
        <v>11600000</v>
      </c>
      <c r="X185" s="1367">
        <f>IF($R185-SUM($T185:W185)=0,0,IF(OR($R185&lt;=0,$R185&lt;=SUM($T185:W185)),0,IF((IF($J185=0,$O185,$J185)*$I185)&gt;=($R185-SUM($T185:W185)),($R185-SUM($T185:W185)),IF($J185=0,$O185,$J185)*$I185)))</f>
        <v>11600000</v>
      </c>
      <c r="Y185" s="1367">
        <f>IF($R185-SUM($T185:X185)=0,0,IF(OR($R185&lt;=0,$R185&lt;=SUM($T185:X185)),0,IF((IF($J185=0,$O185,$J185)*$I185)&gt;=($R185-SUM($T185:X185)),($R185-SUM($T185:X185)),IF($J185=0,$O185,$J185)*$I185)))</f>
        <v>11600000</v>
      </c>
      <c r="Z185" s="1367">
        <f>IF($R185-SUM($T185:Y185)=0,0,IF(OR($R185&lt;=0,$R185&lt;=SUM($T185:Y185)),0,IF((IF($J185=0,$O185,$J185)*$I185)&gt;=($R185-SUM($T185:Y185)),($R185-SUM($T185:Y185)),IF($J185=0,$O185,$J185)*$I185)))</f>
        <v>11600000</v>
      </c>
      <c r="AA185" s="1367">
        <f>IF($R185-SUM($T185:Z185)=0,0,IF(OR($R185&lt;=0,$R185&lt;=SUM($T185:Z185)),0,IF((IF($J185=0,$O185,$J185)*$I185)&gt;=($R185-SUM($T185:Z185)),($R185-SUM($T185:Z185)),IF($J185=0,$O185,$J185)*$I185)))</f>
        <v>7079916</v>
      </c>
      <c r="AB185" s="1367">
        <f>IF($R185-SUM($T185:AA185)=0,0,IF(OR($R185&lt;=0,$R185&lt;=SUM($T185:AA185)),0,IF((IF($J185=0,$O185,$J185)*$I185)&gt;=($R185-SUM($T185:AA185)),($R185-SUM($T185:AA185)),IF($J185=0,$O185,$J185)*$I185)))</f>
        <v>0</v>
      </c>
      <c r="AC185" s="1367">
        <f>IF($R185-SUM($T185:AB185)=0,0,IF(OR($R185&lt;=0,$R185&lt;=SUM($T185:AB185)),0,IF((IF($J185=0,$O185,$J185)*$I185)&gt;=($R185-SUM($T185:AB185)),($R185-SUM($T185:AB185)),IF($J185=0,$O185,$J185)*$I185)))</f>
        <v>0</v>
      </c>
      <c r="AD185" s="1367">
        <f>IF($R185-SUM($T185:AC185)=0,0,IF(OR($R185&lt;=0,$R185&lt;=SUM($T185:AC185)),0,IF((IF($J185=0,$O185,$J185)*$I185)&gt;=($R185-SUM($T185:AC185)),($R185-SUM($T185:AC185)),IF($J185=0,$O185,$J185)*$I185)))</f>
        <v>0</v>
      </c>
      <c r="AF185" s="1319" t="b">
        <f t="shared" si="57"/>
        <v>1</v>
      </c>
      <c r="AG185" s="1319" t="str">
        <f t="shared" si="58"/>
        <v>Checked</v>
      </c>
      <c r="AH185" s="1318" t="b">
        <f t="shared" si="59"/>
        <v>1</v>
      </c>
    </row>
    <row r="186" spans="2:34" outlineLevel="1" x14ac:dyDescent="0.3">
      <c r="B186" s="1356" t="s">
        <v>2365</v>
      </c>
      <c r="C186" s="1356" t="s">
        <v>1971</v>
      </c>
      <c r="D186" s="1322" t="s">
        <v>2366</v>
      </c>
      <c r="E186" s="1357">
        <v>10</v>
      </c>
      <c r="F186" s="1333">
        <f t="shared" si="50"/>
        <v>9</v>
      </c>
      <c r="G186" s="1358">
        <f t="shared" si="51"/>
        <v>0</v>
      </c>
      <c r="H186" s="1359">
        <f t="shared" si="52"/>
        <v>0</v>
      </c>
      <c r="I186" s="1360">
        <f t="shared" si="53"/>
        <v>0.1</v>
      </c>
      <c r="J186" s="1361">
        <v>10000000</v>
      </c>
      <c r="K186" s="1362">
        <v>863333</v>
      </c>
      <c r="L186" s="1356">
        <v>0</v>
      </c>
      <c r="M186" s="1356">
        <v>0</v>
      </c>
      <c r="N186" s="1361">
        <f t="shared" si="54"/>
        <v>9136667</v>
      </c>
      <c r="O186" s="1363"/>
      <c r="P186" s="1356">
        <v>0</v>
      </c>
      <c r="Q186" s="1364">
        <v>2366396</v>
      </c>
      <c r="R186" s="1365">
        <f t="shared" si="55"/>
        <v>6770271</v>
      </c>
      <c r="S186" s="1364"/>
      <c r="T186" s="1366">
        <f t="shared" si="56"/>
        <v>0</v>
      </c>
      <c r="U186" s="1367">
        <f>IF($R186-SUM($T186:T186)=0,0,IF(OR($R186&lt;=0,$R186&lt;=SUM($T186:T186)),0,IF((IF($J186=0,$O186,$J186)*$I186)&gt;=($R186-SUM($T186:T186)),($R186-SUM($T186:T186)),IF($J186=0,$O186,$J186)*$I186)))</f>
        <v>1000000</v>
      </c>
      <c r="V186" s="1367">
        <f>IF($R186-SUM($T186:U186)=0,0,IF(OR($R186&lt;=0,$R186&lt;=SUM($T186:U186)),0,IF((IF($J186=0,$O186,$J186)*$I186)&gt;=($R186-SUM($T186:U186)),($R186-SUM($T186:U186)),IF($J186=0,$O186,$J186)*$I186)))</f>
        <v>1000000</v>
      </c>
      <c r="W186" s="1367">
        <f>IF($R186-SUM($T186:V186)=0,0,IF(OR($R186&lt;=0,$R186&lt;=SUM($T186:V186)),0,IF((IF($J186=0,$O186,$J186)*$I186)&gt;=($R186-SUM($T186:V186)),($R186-SUM($T186:V186)),IF($J186=0,$O186,$J186)*$I186)))</f>
        <v>1000000</v>
      </c>
      <c r="X186" s="1367">
        <f>IF($R186-SUM($T186:W186)=0,0,IF(OR($R186&lt;=0,$R186&lt;=SUM($T186:W186)),0,IF((IF($J186=0,$O186,$J186)*$I186)&gt;=($R186-SUM($T186:W186)),($R186-SUM($T186:W186)),IF($J186=0,$O186,$J186)*$I186)))</f>
        <v>1000000</v>
      </c>
      <c r="Y186" s="1367">
        <f>IF($R186-SUM($T186:X186)=0,0,IF(OR($R186&lt;=0,$R186&lt;=SUM($T186:X186)),0,IF((IF($J186=0,$O186,$J186)*$I186)&gt;=($R186-SUM($T186:X186)),($R186-SUM($T186:X186)),IF($J186=0,$O186,$J186)*$I186)))</f>
        <v>1000000</v>
      </c>
      <c r="Z186" s="1367">
        <f>IF($R186-SUM($T186:Y186)=0,0,IF(OR($R186&lt;=0,$R186&lt;=SUM($T186:Y186)),0,IF((IF($J186=0,$O186,$J186)*$I186)&gt;=($R186-SUM($T186:Y186)),($R186-SUM($T186:Y186)),IF($J186=0,$O186,$J186)*$I186)))</f>
        <v>1000000</v>
      </c>
      <c r="AA186" s="1367">
        <f>IF($R186-SUM($T186:Z186)=0,0,IF(OR($R186&lt;=0,$R186&lt;=SUM($T186:Z186)),0,IF((IF($J186=0,$O186,$J186)*$I186)&gt;=($R186-SUM($T186:Z186)),($R186-SUM($T186:Z186)),IF($J186=0,$O186,$J186)*$I186)))</f>
        <v>770271</v>
      </c>
      <c r="AB186" s="1367">
        <f>IF($R186-SUM($T186:AA186)=0,0,IF(OR($R186&lt;=0,$R186&lt;=SUM($T186:AA186)),0,IF((IF($J186=0,$O186,$J186)*$I186)&gt;=($R186-SUM($T186:AA186)),($R186-SUM($T186:AA186)),IF($J186=0,$O186,$J186)*$I186)))</f>
        <v>0</v>
      </c>
      <c r="AC186" s="1367">
        <f>IF($R186-SUM($T186:AB186)=0,0,IF(OR($R186&lt;=0,$R186&lt;=SUM($T186:AB186)),0,IF((IF($J186=0,$O186,$J186)*$I186)&gt;=($R186-SUM($T186:AB186)),($R186-SUM($T186:AB186)),IF($J186=0,$O186,$J186)*$I186)))</f>
        <v>0</v>
      </c>
      <c r="AD186" s="1367">
        <f>IF($R186-SUM($T186:AC186)=0,0,IF(OR($R186&lt;=0,$R186&lt;=SUM($T186:AC186)),0,IF((IF($J186=0,$O186,$J186)*$I186)&gt;=($R186-SUM($T186:AC186)),($R186-SUM($T186:AC186)),IF($J186=0,$O186,$J186)*$I186)))</f>
        <v>0</v>
      </c>
      <c r="AF186" s="1319" t="b">
        <f t="shared" si="57"/>
        <v>1</v>
      </c>
      <c r="AG186" s="1319" t="str">
        <f t="shared" si="58"/>
        <v>Checked</v>
      </c>
      <c r="AH186" s="1318" t="b">
        <f t="shared" si="59"/>
        <v>1</v>
      </c>
    </row>
    <row r="187" spans="2:34" outlineLevel="1" x14ac:dyDescent="0.3">
      <c r="B187" s="1356" t="s">
        <v>2173</v>
      </c>
      <c r="C187" s="1356" t="s">
        <v>1971</v>
      </c>
      <c r="D187" s="1322" t="s">
        <v>2367</v>
      </c>
      <c r="E187" s="1357">
        <v>10</v>
      </c>
      <c r="F187" s="1333">
        <f t="shared" si="50"/>
        <v>9</v>
      </c>
      <c r="G187" s="1358">
        <f t="shared" si="51"/>
        <v>0</v>
      </c>
      <c r="H187" s="1359">
        <f t="shared" si="52"/>
        <v>0</v>
      </c>
      <c r="I187" s="1360">
        <f t="shared" si="53"/>
        <v>0.1</v>
      </c>
      <c r="J187" s="1361">
        <v>12000000</v>
      </c>
      <c r="K187" s="1362">
        <v>1036000</v>
      </c>
      <c r="L187" s="1356">
        <v>0</v>
      </c>
      <c r="M187" s="1356">
        <v>0</v>
      </c>
      <c r="N187" s="1361">
        <f t="shared" si="54"/>
        <v>10964000</v>
      </c>
      <c r="O187" s="1363"/>
      <c r="P187" s="1356">
        <v>0</v>
      </c>
      <c r="Q187" s="1364">
        <v>2839676</v>
      </c>
      <c r="R187" s="1365">
        <f t="shared" si="55"/>
        <v>8124324</v>
      </c>
      <c r="S187" s="1364"/>
      <c r="T187" s="1366">
        <f t="shared" si="56"/>
        <v>0</v>
      </c>
      <c r="U187" s="1367">
        <f>IF($R187-SUM($T187:T187)=0,0,IF(OR($R187&lt;=0,$R187&lt;=SUM($T187:T187)),0,IF((IF($J187=0,$O187,$J187)*$I187)&gt;=($R187-SUM($T187:T187)),($R187-SUM($T187:T187)),IF($J187=0,$O187,$J187)*$I187)))</f>
        <v>1200000</v>
      </c>
      <c r="V187" s="1367">
        <f>IF($R187-SUM($T187:U187)=0,0,IF(OR($R187&lt;=0,$R187&lt;=SUM($T187:U187)),0,IF((IF($J187=0,$O187,$J187)*$I187)&gt;=($R187-SUM($T187:U187)),($R187-SUM($T187:U187)),IF($J187=0,$O187,$J187)*$I187)))</f>
        <v>1200000</v>
      </c>
      <c r="W187" s="1367">
        <f>IF($R187-SUM($T187:V187)=0,0,IF(OR($R187&lt;=0,$R187&lt;=SUM($T187:V187)),0,IF((IF($J187=0,$O187,$J187)*$I187)&gt;=($R187-SUM($T187:V187)),($R187-SUM($T187:V187)),IF($J187=0,$O187,$J187)*$I187)))</f>
        <v>1200000</v>
      </c>
      <c r="X187" s="1367">
        <f>IF($R187-SUM($T187:W187)=0,0,IF(OR($R187&lt;=0,$R187&lt;=SUM($T187:W187)),0,IF((IF($J187=0,$O187,$J187)*$I187)&gt;=($R187-SUM($T187:W187)),($R187-SUM($T187:W187)),IF($J187=0,$O187,$J187)*$I187)))</f>
        <v>1200000</v>
      </c>
      <c r="Y187" s="1367">
        <f>IF($R187-SUM($T187:X187)=0,0,IF(OR($R187&lt;=0,$R187&lt;=SUM($T187:X187)),0,IF((IF($J187=0,$O187,$J187)*$I187)&gt;=($R187-SUM($T187:X187)),($R187-SUM($T187:X187)),IF($J187=0,$O187,$J187)*$I187)))</f>
        <v>1200000</v>
      </c>
      <c r="Z187" s="1367">
        <f>IF($R187-SUM($T187:Y187)=0,0,IF(OR($R187&lt;=0,$R187&lt;=SUM($T187:Y187)),0,IF((IF($J187=0,$O187,$J187)*$I187)&gt;=($R187-SUM($T187:Y187)),($R187-SUM($T187:Y187)),IF($J187=0,$O187,$J187)*$I187)))</f>
        <v>1200000</v>
      </c>
      <c r="AA187" s="1367">
        <f>IF($R187-SUM($T187:Z187)=0,0,IF(OR($R187&lt;=0,$R187&lt;=SUM($T187:Z187)),0,IF((IF($J187=0,$O187,$J187)*$I187)&gt;=($R187-SUM($T187:Z187)),($R187-SUM($T187:Z187)),IF($J187=0,$O187,$J187)*$I187)))</f>
        <v>924324</v>
      </c>
      <c r="AB187" s="1367">
        <f>IF($R187-SUM($T187:AA187)=0,0,IF(OR($R187&lt;=0,$R187&lt;=SUM($T187:AA187)),0,IF((IF($J187=0,$O187,$J187)*$I187)&gt;=($R187-SUM($T187:AA187)),($R187-SUM($T187:AA187)),IF($J187=0,$O187,$J187)*$I187)))</f>
        <v>0</v>
      </c>
      <c r="AC187" s="1367">
        <f>IF($R187-SUM($T187:AB187)=0,0,IF(OR($R187&lt;=0,$R187&lt;=SUM($T187:AB187)),0,IF((IF($J187=0,$O187,$J187)*$I187)&gt;=($R187-SUM($T187:AB187)),($R187-SUM($T187:AB187)),IF($J187=0,$O187,$J187)*$I187)))</f>
        <v>0</v>
      </c>
      <c r="AD187" s="1367">
        <f>IF($R187-SUM($T187:AC187)=0,0,IF(OR($R187&lt;=0,$R187&lt;=SUM($T187:AC187)),0,IF((IF($J187=0,$O187,$J187)*$I187)&gt;=($R187-SUM($T187:AC187)),($R187-SUM($T187:AC187)),IF($J187=0,$O187,$J187)*$I187)))</f>
        <v>0</v>
      </c>
      <c r="AF187" s="1319" t="b">
        <f t="shared" si="57"/>
        <v>1</v>
      </c>
      <c r="AG187" s="1319" t="str">
        <f t="shared" si="58"/>
        <v>Checked</v>
      </c>
      <c r="AH187" s="1318" t="b">
        <f t="shared" si="59"/>
        <v>1</v>
      </c>
    </row>
    <row r="188" spans="2:34" outlineLevel="1" x14ac:dyDescent="0.3">
      <c r="B188" s="1356" t="s">
        <v>2368</v>
      </c>
      <c r="C188" s="1356" t="s">
        <v>1971</v>
      </c>
      <c r="D188" s="1322" t="s">
        <v>2369</v>
      </c>
      <c r="E188" s="1357">
        <v>10</v>
      </c>
      <c r="F188" s="1333">
        <f t="shared" si="50"/>
        <v>9</v>
      </c>
      <c r="G188" s="1358">
        <f t="shared" si="51"/>
        <v>0</v>
      </c>
      <c r="H188" s="1359">
        <f t="shared" si="52"/>
        <v>0</v>
      </c>
      <c r="I188" s="1360">
        <f t="shared" si="53"/>
        <v>0.1</v>
      </c>
      <c r="J188" s="1361">
        <v>530000000</v>
      </c>
      <c r="K188" s="1362">
        <v>45756666</v>
      </c>
      <c r="L188" s="1356">
        <v>0</v>
      </c>
      <c r="M188" s="1356">
        <v>0</v>
      </c>
      <c r="N188" s="1361">
        <f t="shared" si="54"/>
        <v>484243334</v>
      </c>
      <c r="O188" s="1363"/>
      <c r="P188" s="1356">
        <v>0</v>
      </c>
      <c r="Q188" s="1364">
        <v>125419023</v>
      </c>
      <c r="R188" s="1365">
        <f t="shared" si="55"/>
        <v>358824311</v>
      </c>
      <c r="S188" s="1364"/>
      <c r="T188" s="1366">
        <f t="shared" si="56"/>
        <v>0</v>
      </c>
      <c r="U188" s="1367">
        <f>IF($R188-SUM($T188:T188)=0,0,IF(OR($R188&lt;=0,$R188&lt;=SUM($T188:T188)),0,IF((IF($J188=0,$O188,$J188)*$I188)&gt;=($R188-SUM($T188:T188)),($R188-SUM($T188:T188)),IF($J188=0,$O188,$J188)*$I188)))</f>
        <v>53000000</v>
      </c>
      <c r="V188" s="1367">
        <f>IF($R188-SUM($T188:U188)=0,0,IF(OR($R188&lt;=0,$R188&lt;=SUM($T188:U188)),0,IF((IF($J188=0,$O188,$J188)*$I188)&gt;=($R188-SUM($T188:U188)),($R188-SUM($T188:U188)),IF($J188=0,$O188,$J188)*$I188)))</f>
        <v>53000000</v>
      </c>
      <c r="W188" s="1367">
        <f>IF($R188-SUM($T188:V188)=0,0,IF(OR($R188&lt;=0,$R188&lt;=SUM($T188:V188)),0,IF((IF($J188=0,$O188,$J188)*$I188)&gt;=($R188-SUM($T188:V188)),($R188-SUM($T188:V188)),IF($J188=0,$O188,$J188)*$I188)))</f>
        <v>53000000</v>
      </c>
      <c r="X188" s="1367">
        <f>IF($R188-SUM($T188:W188)=0,0,IF(OR($R188&lt;=0,$R188&lt;=SUM($T188:W188)),0,IF((IF($J188=0,$O188,$J188)*$I188)&gt;=($R188-SUM($T188:W188)),($R188-SUM($T188:W188)),IF($J188=0,$O188,$J188)*$I188)))</f>
        <v>53000000</v>
      </c>
      <c r="Y188" s="1367">
        <f>IF($R188-SUM($T188:X188)=0,0,IF(OR($R188&lt;=0,$R188&lt;=SUM($T188:X188)),0,IF((IF($J188=0,$O188,$J188)*$I188)&gt;=($R188-SUM($T188:X188)),($R188-SUM($T188:X188)),IF($J188=0,$O188,$J188)*$I188)))</f>
        <v>53000000</v>
      </c>
      <c r="Z188" s="1367">
        <f>IF($R188-SUM($T188:Y188)=0,0,IF(OR($R188&lt;=0,$R188&lt;=SUM($T188:Y188)),0,IF((IF($J188=0,$O188,$J188)*$I188)&gt;=($R188-SUM($T188:Y188)),($R188-SUM($T188:Y188)),IF($J188=0,$O188,$J188)*$I188)))</f>
        <v>53000000</v>
      </c>
      <c r="AA188" s="1367">
        <f>IF($R188-SUM($T188:Z188)=0,0,IF(OR($R188&lt;=0,$R188&lt;=SUM($T188:Z188)),0,IF((IF($J188=0,$O188,$J188)*$I188)&gt;=($R188-SUM($T188:Z188)),($R188-SUM($T188:Z188)),IF($J188=0,$O188,$J188)*$I188)))</f>
        <v>40824311</v>
      </c>
      <c r="AB188" s="1367">
        <f>IF($R188-SUM($T188:AA188)=0,0,IF(OR($R188&lt;=0,$R188&lt;=SUM($T188:AA188)),0,IF((IF($J188=0,$O188,$J188)*$I188)&gt;=($R188-SUM($T188:AA188)),($R188-SUM($T188:AA188)),IF($J188=0,$O188,$J188)*$I188)))</f>
        <v>0</v>
      </c>
      <c r="AC188" s="1367">
        <f>IF($R188-SUM($T188:AB188)=0,0,IF(OR($R188&lt;=0,$R188&lt;=SUM($T188:AB188)),0,IF((IF($J188=0,$O188,$J188)*$I188)&gt;=($R188-SUM($T188:AB188)),($R188-SUM($T188:AB188)),IF($J188=0,$O188,$J188)*$I188)))</f>
        <v>0</v>
      </c>
      <c r="AD188" s="1367">
        <f>IF($R188-SUM($T188:AC188)=0,0,IF(OR($R188&lt;=0,$R188&lt;=SUM($T188:AC188)),0,IF((IF($J188=0,$O188,$J188)*$I188)&gt;=($R188-SUM($T188:AC188)),($R188-SUM($T188:AC188)),IF($J188=0,$O188,$J188)*$I188)))</f>
        <v>0</v>
      </c>
      <c r="AF188" s="1319" t="b">
        <f t="shared" si="57"/>
        <v>1</v>
      </c>
      <c r="AG188" s="1319" t="str">
        <f t="shared" si="58"/>
        <v>Checked</v>
      </c>
      <c r="AH188" s="1318" t="b">
        <f t="shared" si="59"/>
        <v>1</v>
      </c>
    </row>
    <row r="189" spans="2:34" outlineLevel="1" x14ac:dyDescent="0.3">
      <c r="B189" s="1356" t="s">
        <v>2370</v>
      </c>
      <c r="C189" s="1356" t="s">
        <v>1971</v>
      </c>
      <c r="D189" s="1322" t="s">
        <v>2371</v>
      </c>
      <c r="E189" s="1357">
        <v>10</v>
      </c>
      <c r="F189" s="1333">
        <f t="shared" si="50"/>
        <v>9</v>
      </c>
      <c r="G189" s="1358">
        <f t="shared" si="51"/>
        <v>0</v>
      </c>
      <c r="H189" s="1359">
        <f t="shared" si="52"/>
        <v>0</v>
      </c>
      <c r="I189" s="1360">
        <f t="shared" si="53"/>
        <v>0.1</v>
      </c>
      <c r="J189" s="1361">
        <v>3700000</v>
      </c>
      <c r="K189" s="1362">
        <v>159716</v>
      </c>
      <c r="L189" s="1356">
        <v>0</v>
      </c>
      <c r="M189" s="1356">
        <v>0</v>
      </c>
      <c r="N189" s="1361">
        <f t="shared" si="54"/>
        <v>3540284</v>
      </c>
      <c r="O189" s="1363"/>
      <c r="P189" s="1356">
        <v>0</v>
      </c>
      <c r="Q189" s="1364">
        <v>916933</v>
      </c>
      <c r="R189" s="1365">
        <f t="shared" si="55"/>
        <v>2623351</v>
      </c>
      <c r="S189" s="1364"/>
      <c r="T189" s="1366">
        <f t="shared" si="56"/>
        <v>0</v>
      </c>
      <c r="U189" s="1367">
        <f>IF($R189-SUM($T189:T189)=0,0,IF(OR($R189&lt;=0,$R189&lt;=SUM($T189:T189)),0,IF((IF($J189=0,$O189,$J189)*$I189)&gt;=($R189-SUM($T189:T189)),($R189-SUM($T189:T189)),IF($J189=0,$O189,$J189)*$I189)))</f>
        <v>370000</v>
      </c>
      <c r="V189" s="1367">
        <f>IF($R189-SUM($T189:U189)=0,0,IF(OR($R189&lt;=0,$R189&lt;=SUM($T189:U189)),0,IF((IF($J189=0,$O189,$J189)*$I189)&gt;=($R189-SUM($T189:U189)),($R189-SUM($T189:U189)),IF($J189=0,$O189,$J189)*$I189)))</f>
        <v>370000</v>
      </c>
      <c r="W189" s="1367">
        <f>IF($R189-SUM($T189:V189)=0,0,IF(OR($R189&lt;=0,$R189&lt;=SUM($T189:V189)),0,IF((IF($J189=0,$O189,$J189)*$I189)&gt;=($R189-SUM($T189:V189)),($R189-SUM($T189:V189)),IF($J189=0,$O189,$J189)*$I189)))</f>
        <v>370000</v>
      </c>
      <c r="X189" s="1367">
        <f>IF($R189-SUM($T189:W189)=0,0,IF(OR($R189&lt;=0,$R189&lt;=SUM($T189:W189)),0,IF((IF($J189=0,$O189,$J189)*$I189)&gt;=($R189-SUM($T189:W189)),($R189-SUM($T189:W189)),IF($J189=0,$O189,$J189)*$I189)))</f>
        <v>370000</v>
      </c>
      <c r="Y189" s="1367">
        <f>IF($R189-SUM($T189:X189)=0,0,IF(OR($R189&lt;=0,$R189&lt;=SUM($T189:X189)),0,IF((IF($J189=0,$O189,$J189)*$I189)&gt;=($R189-SUM($T189:X189)),($R189-SUM($T189:X189)),IF($J189=0,$O189,$J189)*$I189)))</f>
        <v>370000</v>
      </c>
      <c r="Z189" s="1367">
        <f>IF($R189-SUM($T189:Y189)=0,0,IF(OR($R189&lt;=0,$R189&lt;=SUM($T189:Y189)),0,IF((IF($J189=0,$O189,$J189)*$I189)&gt;=($R189-SUM($T189:Y189)),($R189-SUM($T189:Y189)),IF($J189=0,$O189,$J189)*$I189)))</f>
        <v>370000</v>
      </c>
      <c r="AA189" s="1367">
        <f>IF($R189-SUM($T189:Z189)=0,0,IF(OR($R189&lt;=0,$R189&lt;=SUM($T189:Z189)),0,IF((IF($J189=0,$O189,$J189)*$I189)&gt;=($R189-SUM($T189:Z189)),($R189-SUM($T189:Z189)),IF($J189=0,$O189,$J189)*$I189)))</f>
        <v>370000</v>
      </c>
      <c r="AB189" s="1367">
        <f>IF($R189-SUM($T189:AA189)=0,0,IF(OR($R189&lt;=0,$R189&lt;=SUM($T189:AA189)),0,IF((IF($J189=0,$O189,$J189)*$I189)&gt;=($R189-SUM($T189:AA189)),($R189-SUM($T189:AA189)),IF($J189=0,$O189,$J189)*$I189)))</f>
        <v>33351</v>
      </c>
      <c r="AC189" s="1367">
        <f>IF($R189-SUM($T189:AB189)=0,0,IF(OR($R189&lt;=0,$R189&lt;=SUM($T189:AB189)),0,IF((IF($J189=0,$O189,$J189)*$I189)&gt;=($R189-SUM($T189:AB189)),($R189-SUM($T189:AB189)),IF($J189=0,$O189,$J189)*$I189)))</f>
        <v>0</v>
      </c>
      <c r="AD189" s="1367">
        <f>IF($R189-SUM($T189:AC189)=0,0,IF(OR($R189&lt;=0,$R189&lt;=SUM($T189:AC189)),0,IF((IF($J189=0,$O189,$J189)*$I189)&gt;=($R189-SUM($T189:AC189)),($R189-SUM($T189:AC189)),IF($J189=0,$O189,$J189)*$I189)))</f>
        <v>0</v>
      </c>
      <c r="AF189" s="1319" t="b">
        <f t="shared" si="57"/>
        <v>1</v>
      </c>
      <c r="AG189" s="1319" t="str">
        <f t="shared" si="58"/>
        <v>Checked</v>
      </c>
      <c r="AH189" s="1318" t="b">
        <f t="shared" si="59"/>
        <v>1</v>
      </c>
    </row>
    <row r="190" spans="2:34" outlineLevel="1" x14ac:dyDescent="0.3">
      <c r="B190" s="1356" t="s">
        <v>2173</v>
      </c>
      <c r="C190" s="1356" t="s">
        <v>1971</v>
      </c>
      <c r="D190" s="1322" t="s">
        <v>2372</v>
      </c>
      <c r="E190" s="1357">
        <v>10</v>
      </c>
      <c r="F190" s="1333">
        <f t="shared" si="50"/>
        <v>9</v>
      </c>
      <c r="G190" s="1358">
        <f t="shared" si="51"/>
        <v>0</v>
      </c>
      <c r="H190" s="1359">
        <f t="shared" si="52"/>
        <v>0</v>
      </c>
      <c r="I190" s="1360">
        <f t="shared" si="53"/>
        <v>0.1</v>
      </c>
      <c r="J190" s="1361">
        <v>9000000</v>
      </c>
      <c r="K190" s="1362">
        <v>194250</v>
      </c>
      <c r="L190" s="1356">
        <v>0</v>
      </c>
      <c r="M190" s="1356">
        <v>0</v>
      </c>
      <c r="N190" s="1361">
        <f t="shared" si="54"/>
        <v>8805750</v>
      </c>
      <c r="O190" s="1363"/>
      <c r="P190" s="1356">
        <v>0</v>
      </c>
      <c r="Q190" s="1364">
        <v>2280689</v>
      </c>
      <c r="R190" s="1365">
        <f t="shared" si="55"/>
        <v>6525061</v>
      </c>
      <c r="S190" s="1364"/>
      <c r="T190" s="1366">
        <f t="shared" si="56"/>
        <v>0</v>
      </c>
      <c r="U190" s="1367">
        <f>IF($R190-SUM($T190:T190)=0,0,IF(OR($R190&lt;=0,$R190&lt;=SUM($T190:T190)),0,IF((IF($J190=0,$O190,$J190)*$I190)&gt;=($R190-SUM($T190:T190)),($R190-SUM($T190:T190)),IF($J190=0,$O190,$J190)*$I190)))</f>
        <v>900000</v>
      </c>
      <c r="V190" s="1367">
        <f>IF($R190-SUM($T190:U190)=0,0,IF(OR($R190&lt;=0,$R190&lt;=SUM($T190:U190)),0,IF((IF($J190=0,$O190,$J190)*$I190)&gt;=($R190-SUM($T190:U190)),($R190-SUM($T190:U190)),IF($J190=0,$O190,$J190)*$I190)))</f>
        <v>900000</v>
      </c>
      <c r="W190" s="1367">
        <f>IF($R190-SUM($T190:V190)=0,0,IF(OR($R190&lt;=0,$R190&lt;=SUM($T190:V190)),0,IF((IF($J190=0,$O190,$J190)*$I190)&gt;=($R190-SUM($T190:V190)),($R190-SUM($T190:V190)),IF($J190=0,$O190,$J190)*$I190)))</f>
        <v>900000</v>
      </c>
      <c r="X190" s="1367">
        <f>IF($R190-SUM($T190:W190)=0,0,IF(OR($R190&lt;=0,$R190&lt;=SUM($T190:W190)),0,IF((IF($J190=0,$O190,$J190)*$I190)&gt;=($R190-SUM($T190:W190)),($R190-SUM($T190:W190)),IF($J190=0,$O190,$J190)*$I190)))</f>
        <v>900000</v>
      </c>
      <c r="Y190" s="1367">
        <f>IF($R190-SUM($T190:X190)=0,0,IF(OR($R190&lt;=0,$R190&lt;=SUM($T190:X190)),0,IF((IF($J190=0,$O190,$J190)*$I190)&gt;=($R190-SUM($T190:X190)),($R190-SUM($T190:X190)),IF($J190=0,$O190,$J190)*$I190)))</f>
        <v>900000</v>
      </c>
      <c r="Z190" s="1367">
        <f>IF($R190-SUM($T190:Y190)=0,0,IF(OR($R190&lt;=0,$R190&lt;=SUM($T190:Y190)),0,IF((IF($J190=0,$O190,$J190)*$I190)&gt;=($R190-SUM($T190:Y190)),($R190-SUM($T190:Y190)),IF($J190=0,$O190,$J190)*$I190)))</f>
        <v>900000</v>
      </c>
      <c r="AA190" s="1367">
        <f>IF($R190-SUM($T190:Z190)=0,0,IF(OR($R190&lt;=0,$R190&lt;=SUM($T190:Z190)),0,IF((IF($J190=0,$O190,$J190)*$I190)&gt;=($R190-SUM($T190:Z190)),($R190-SUM($T190:Z190)),IF($J190=0,$O190,$J190)*$I190)))</f>
        <v>900000</v>
      </c>
      <c r="AB190" s="1367">
        <f>IF($R190-SUM($T190:AA190)=0,0,IF(OR($R190&lt;=0,$R190&lt;=SUM($T190:AA190)),0,IF((IF($J190=0,$O190,$J190)*$I190)&gt;=($R190-SUM($T190:AA190)),($R190-SUM($T190:AA190)),IF($J190=0,$O190,$J190)*$I190)))</f>
        <v>225061</v>
      </c>
      <c r="AC190" s="1367">
        <f>IF($R190-SUM($T190:AB190)=0,0,IF(OR($R190&lt;=0,$R190&lt;=SUM($T190:AB190)),0,IF((IF($J190=0,$O190,$J190)*$I190)&gt;=($R190-SUM($T190:AB190)),($R190-SUM($T190:AB190)),IF($J190=0,$O190,$J190)*$I190)))</f>
        <v>0</v>
      </c>
      <c r="AD190" s="1367">
        <f>IF($R190-SUM($T190:AC190)=0,0,IF(OR($R190&lt;=0,$R190&lt;=SUM($T190:AC190)),0,IF((IF($J190=0,$O190,$J190)*$I190)&gt;=($R190-SUM($T190:AC190)),($R190-SUM($T190:AC190)),IF($J190=0,$O190,$J190)*$I190)))</f>
        <v>0</v>
      </c>
      <c r="AF190" s="1319" t="b">
        <f t="shared" si="57"/>
        <v>1</v>
      </c>
      <c r="AG190" s="1319" t="str">
        <f t="shared" si="58"/>
        <v>Checked</v>
      </c>
      <c r="AH190" s="1318" t="b">
        <f t="shared" si="59"/>
        <v>1</v>
      </c>
    </row>
    <row r="191" spans="2:34" outlineLevel="1" x14ac:dyDescent="0.3">
      <c r="B191" s="1356" t="s">
        <v>2373</v>
      </c>
      <c r="C191" s="1356" t="s">
        <v>1971</v>
      </c>
      <c r="D191" s="1322" t="s">
        <v>2374</v>
      </c>
      <c r="E191" s="1357">
        <v>10</v>
      </c>
      <c r="F191" s="1333">
        <f t="shared" si="50"/>
        <v>10</v>
      </c>
      <c r="G191" s="1358">
        <f t="shared" si="51"/>
        <v>0</v>
      </c>
      <c r="H191" s="1359">
        <f t="shared" si="52"/>
        <v>0</v>
      </c>
      <c r="I191" s="1360">
        <f t="shared" si="53"/>
        <v>0.1</v>
      </c>
      <c r="J191" s="1361">
        <v>15270000</v>
      </c>
      <c r="K191" s="1362"/>
      <c r="L191" s="1356">
        <v>0</v>
      </c>
      <c r="M191" s="1356">
        <v>0</v>
      </c>
      <c r="N191" s="1361">
        <f t="shared" si="54"/>
        <v>15270000</v>
      </c>
      <c r="O191" s="1363"/>
      <c r="P191" s="1356">
        <v>0</v>
      </c>
      <c r="Q191" s="1364">
        <v>3954930</v>
      </c>
      <c r="R191" s="1365">
        <f t="shared" si="55"/>
        <v>11315070</v>
      </c>
      <c r="S191" s="1364"/>
      <c r="T191" s="1366">
        <f t="shared" si="56"/>
        <v>0</v>
      </c>
      <c r="U191" s="1367">
        <f>IF($R191-SUM($T191:T191)=0,0,IF(OR($R191&lt;=0,$R191&lt;=SUM($T191:T191)),0,IF((IF($J191=0,$O191,$J191)*$I191)&gt;=($R191-SUM($T191:T191)),($R191-SUM($T191:T191)),IF($J191=0,$O191,$J191)*$I191)))</f>
        <v>1527000</v>
      </c>
      <c r="V191" s="1367">
        <f>IF($R191-SUM($T191:U191)=0,0,IF(OR($R191&lt;=0,$R191&lt;=SUM($T191:U191)),0,IF((IF($J191=0,$O191,$J191)*$I191)&gt;=($R191-SUM($T191:U191)),($R191-SUM($T191:U191)),IF($J191=0,$O191,$J191)*$I191)))</f>
        <v>1527000</v>
      </c>
      <c r="W191" s="1367">
        <f>IF($R191-SUM($T191:V191)=0,0,IF(OR($R191&lt;=0,$R191&lt;=SUM($T191:V191)),0,IF((IF($J191=0,$O191,$J191)*$I191)&gt;=($R191-SUM($T191:V191)),($R191-SUM($T191:V191)),IF($J191=0,$O191,$J191)*$I191)))</f>
        <v>1527000</v>
      </c>
      <c r="X191" s="1367">
        <f>IF($R191-SUM($T191:W191)=0,0,IF(OR($R191&lt;=0,$R191&lt;=SUM($T191:W191)),0,IF((IF($J191=0,$O191,$J191)*$I191)&gt;=($R191-SUM($T191:W191)),($R191-SUM($T191:W191)),IF($J191=0,$O191,$J191)*$I191)))</f>
        <v>1527000</v>
      </c>
      <c r="Y191" s="1367">
        <f>IF($R191-SUM($T191:X191)=0,0,IF(OR($R191&lt;=0,$R191&lt;=SUM($T191:X191)),0,IF((IF($J191=0,$O191,$J191)*$I191)&gt;=($R191-SUM($T191:X191)),($R191-SUM($T191:X191)),IF($J191=0,$O191,$J191)*$I191)))</f>
        <v>1527000</v>
      </c>
      <c r="Z191" s="1367">
        <f>IF($R191-SUM($T191:Y191)=0,0,IF(OR($R191&lt;=0,$R191&lt;=SUM($T191:Y191)),0,IF((IF($J191=0,$O191,$J191)*$I191)&gt;=($R191-SUM($T191:Y191)),($R191-SUM($T191:Y191)),IF($J191=0,$O191,$J191)*$I191)))</f>
        <v>1527000</v>
      </c>
      <c r="AA191" s="1367">
        <f>IF($R191-SUM($T191:Z191)=0,0,IF(OR($R191&lt;=0,$R191&lt;=SUM($T191:Z191)),0,IF((IF($J191=0,$O191,$J191)*$I191)&gt;=($R191-SUM($T191:Z191)),($R191-SUM($T191:Z191)),IF($J191=0,$O191,$J191)*$I191)))</f>
        <v>1527000</v>
      </c>
      <c r="AB191" s="1367">
        <f>IF($R191-SUM($T191:AA191)=0,0,IF(OR($R191&lt;=0,$R191&lt;=SUM($T191:AA191)),0,IF((IF($J191=0,$O191,$J191)*$I191)&gt;=($R191-SUM($T191:AA191)),($R191-SUM($T191:AA191)),IF($J191=0,$O191,$J191)*$I191)))</f>
        <v>626070</v>
      </c>
      <c r="AC191" s="1367">
        <f>IF($R191-SUM($T191:AB191)=0,0,IF(OR($R191&lt;=0,$R191&lt;=SUM($T191:AB191)),0,IF((IF($J191=0,$O191,$J191)*$I191)&gt;=($R191-SUM($T191:AB191)),($R191-SUM($T191:AB191)),IF($J191=0,$O191,$J191)*$I191)))</f>
        <v>0</v>
      </c>
      <c r="AD191" s="1367">
        <f>IF($R191-SUM($T191:AC191)=0,0,IF(OR($R191&lt;=0,$R191&lt;=SUM($T191:AC191)),0,IF((IF($J191=0,$O191,$J191)*$I191)&gt;=($R191-SUM($T191:AC191)),($R191-SUM($T191:AC191)),IF($J191=0,$O191,$J191)*$I191)))</f>
        <v>0</v>
      </c>
      <c r="AF191" s="1319" t="b">
        <f t="shared" si="57"/>
        <v>1</v>
      </c>
      <c r="AG191" s="1319" t="str">
        <f t="shared" si="58"/>
        <v>Checked</v>
      </c>
      <c r="AH191" s="1318" t="b">
        <f t="shared" si="59"/>
        <v>1</v>
      </c>
    </row>
    <row r="192" spans="2:34" outlineLevel="1" x14ac:dyDescent="0.3">
      <c r="B192" s="1356" t="s">
        <v>2375</v>
      </c>
      <c r="C192" s="1356" t="s">
        <v>1971</v>
      </c>
      <c r="D192" s="1322" t="s">
        <v>2374</v>
      </c>
      <c r="E192" s="1357">
        <v>10</v>
      </c>
      <c r="F192" s="1333">
        <f t="shared" si="50"/>
        <v>10</v>
      </c>
      <c r="G192" s="1358">
        <f t="shared" si="51"/>
        <v>0</v>
      </c>
      <c r="H192" s="1359">
        <f t="shared" si="52"/>
        <v>0</v>
      </c>
      <c r="I192" s="1360">
        <f t="shared" si="53"/>
        <v>0.1</v>
      </c>
      <c r="J192" s="1361">
        <v>8120000</v>
      </c>
      <c r="K192" s="1362"/>
      <c r="L192" s="1356">
        <v>0</v>
      </c>
      <c r="M192" s="1356">
        <v>0</v>
      </c>
      <c r="N192" s="1361">
        <f t="shared" si="54"/>
        <v>8120000</v>
      </c>
      <c r="O192" s="1363"/>
      <c r="P192" s="1356">
        <v>0</v>
      </c>
      <c r="Q192" s="1364">
        <v>2103080</v>
      </c>
      <c r="R192" s="1365">
        <f t="shared" si="55"/>
        <v>6016920</v>
      </c>
      <c r="S192" s="1364"/>
      <c r="T192" s="1366">
        <f t="shared" si="56"/>
        <v>0</v>
      </c>
      <c r="U192" s="1367">
        <f>IF($R192-SUM($T192:T192)=0,0,IF(OR($R192&lt;=0,$R192&lt;=SUM($T192:T192)),0,IF((IF($J192=0,$O192,$J192)*$I192)&gt;=($R192-SUM($T192:T192)),($R192-SUM($T192:T192)),IF($J192=0,$O192,$J192)*$I192)))</f>
        <v>812000</v>
      </c>
      <c r="V192" s="1367">
        <f>IF($R192-SUM($T192:U192)=0,0,IF(OR($R192&lt;=0,$R192&lt;=SUM($T192:U192)),0,IF((IF($J192=0,$O192,$J192)*$I192)&gt;=($R192-SUM($T192:U192)),($R192-SUM($T192:U192)),IF($J192=0,$O192,$J192)*$I192)))</f>
        <v>812000</v>
      </c>
      <c r="W192" s="1367">
        <f>IF($R192-SUM($T192:V192)=0,0,IF(OR($R192&lt;=0,$R192&lt;=SUM($T192:V192)),0,IF((IF($J192=0,$O192,$J192)*$I192)&gt;=($R192-SUM($T192:V192)),($R192-SUM($T192:V192)),IF($J192=0,$O192,$J192)*$I192)))</f>
        <v>812000</v>
      </c>
      <c r="X192" s="1367">
        <f>IF($R192-SUM($T192:W192)=0,0,IF(OR($R192&lt;=0,$R192&lt;=SUM($T192:W192)),0,IF((IF($J192=0,$O192,$J192)*$I192)&gt;=($R192-SUM($T192:W192)),($R192-SUM($T192:W192)),IF($J192=0,$O192,$J192)*$I192)))</f>
        <v>812000</v>
      </c>
      <c r="Y192" s="1367">
        <f>IF($R192-SUM($T192:X192)=0,0,IF(OR($R192&lt;=0,$R192&lt;=SUM($T192:X192)),0,IF((IF($J192=0,$O192,$J192)*$I192)&gt;=($R192-SUM($T192:X192)),($R192-SUM($T192:X192)),IF($J192=0,$O192,$J192)*$I192)))</f>
        <v>812000</v>
      </c>
      <c r="Z192" s="1367">
        <f>IF($R192-SUM($T192:Y192)=0,0,IF(OR($R192&lt;=0,$R192&lt;=SUM($T192:Y192)),0,IF((IF($J192=0,$O192,$J192)*$I192)&gt;=($R192-SUM($T192:Y192)),($R192-SUM($T192:Y192)),IF($J192=0,$O192,$J192)*$I192)))</f>
        <v>812000</v>
      </c>
      <c r="AA192" s="1367">
        <f>IF($R192-SUM($T192:Z192)=0,0,IF(OR($R192&lt;=0,$R192&lt;=SUM($T192:Z192)),0,IF((IF($J192=0,$O192,$J192)*$I192)&gt;=($R192-SUM($T192:Z192)),($R192-SUM($T192:Z192)),IF($J192=0,$O192,$J192)*$I192)))</f>
        <v>812000</v>
      </c>
      <c r="AB192" s="1367">
        <f>IF($R192-SUM($T192:AA192)=0,0,IF(OR($R192&lt;=0,$R192&lt;=SUM($T192:AA192)),0,IF((IF($J192=0,$O192,$J192)*$I192)&gt;=($R192-SUM($T192:AA192)),($R192-SUM($T192:AA192)),IF($J192=0,$O192,$J192)*$I192)))</f>
        <v>332920</v>
      </c>
      <c r="AC192" s="1367">
        <f>IF($R192-SUM($T192:AB192)=0,0,IF(OR($R192&lt;=0,$R192&lt;=SUM($T192:AB192)),0,IF((IF($J192=0,$O192,$J192)*$I192)&gt;=($R192-SUM($T192:AB192)),($R192-SUM($T192:AB192)),IF($J192=0,$O192,$J192)*$I192)))</f>
        <v>0</v>
      </c>
      <c r="AD192" s="1367">
        <f>IF($R192-SUM($T192:AC192)=0,0,IF(OR($R192&lt;=0,$R192&lt;=SUM($T192:AC192)),0,IF((IF($J192=0,$O192,$J192)*$I192)&gt;=($R192-SUM($T192:AC192)),($R192-SUM($T192:AC192)),IF($J192=0,$O192,$J192)*$I192)))</f>
        <v>0</v>
      </c>
      <c r="AF192" s="1319" t="b">
        <f t="shared" si="57"/>
        <v>1</v>
      </c>
      <c r="AG192" s="1319" t="str">
        <f t="shared" si="58"/>
        <v>Checked</v>
      </c>
      <c r="AH192" s="1318" t="b">
        <f t="shared" si="59"/>
        <v>1</v>
      </c>
    </row>
    <row r="193" spans="1:34" outlineLevel="1" x14ac:dyDescent="0.3">
      <c r="B193" s="1356" t="s">
        <v>2376</v>
      </c>
      <c r="C193" s="1356" t="s">
        <v>1971</v>
      </c>
      <c r="D193" s="1322" t="s">
        <v>2377</v>
      </c>
      <c r="E193" s="1357">
        <v>10</v>
      </c>
      <c r="F193" s="1333">
        <f t="shared" si="50"/>
        <v>10</v>
      </c>
      <c r="G193" s="1358">
        <f t="shared" si="51"/>
        <v>0</v>
      </c>
      <c r="H193" s="1359">
        <f t="shared" si="52"/>
        <v>0</v>
      </c>
      <c r="I193" s="1360">
        <f t="shared" si="53"/>
        <v>0.1</v>
      </c>
      <c r="J193" s="1361">
        <v>72000000</v>
      </c>
      <c r="K193" s="1362"/>
      <c r="L193" s="1356">
        <v>0</v>
      </c>
      <c r="M193" s="1356">
        <v>0</v>
      </c>
      <c r="N193" s="1361">
        <f t="shared" si="54"/>
        <v>72000000</v>
      </c>
      <c r="O193" s="1363"/>
      <c r="P193" s="1356">
        <v>0</v>
      </c>
      <c r="Q193" s="1364">
        <v>9324000</v>
      </c>
      <c r="R193" s="1365">
        <f t="shared" si="55"/>
        <v>62676000</v>
      </c>
      <c r="S193" s="1364"/>
      <c r="T193" s="1366">
        <f t="shared" si="56"/>
        <v>0</v>
      </c>
      <c r="U193" s="1367">
        <f>IF($R193-SUM($T193:T193)=0,0,IF(OR($R193&lt;=0,$R193&lt;=SUM($T193:T193)),0,IF((IF($J193=0,$O193,$J193)*$I193)&gt;=($R193-SUM($T193:T193)),($R193-SUM($T193:T193)),IF($J193=0,$O193,$J193)*$I193)))</f>
        <v>7200000</v>
      </c>
      <c r="V193" s="1367">
        <f>IF($R193-SUM($T193:U193)=0,0,IF(OR($R193&lt;=0,$R193&lt;=SUM($T193:U193)),0,IF((IF($J193=0,$O193,$J193)*$I193)&gt;=($R193-SUM($T193:U193)),($R193-SUM($T193:U193)),IF($J193=0,$O193,$J193)*$I193)))</f>
        <v>7200000</v>
      </c>
      <c r="W193" s="1367">
        <f>IF($R193-SUM($T193:V193)=0,0,IF(OR($R193&lt;=0,$R193&lt;=SUM($T193:V193)),0,IF((IF($J193=0,$O193,$J193)*$I193)&gt;=($R193-SUM($T193:V193)),($R193-SUM($T193:V193)),IF($J193=0,$O193,$J193)*$I193)))</f>
        <v>7200000</v>
      </c>
      <c r="X193" s="1367">
        <f>IF($R193-SUM($T193:W193)=0,0,IF(OR($R193&lt;=0,$R193&lt;=SUM($T193:W193)),0,IF((IF($J193=0,$O193,$J193)*$I193)&gt;=($R193-SUM($T193:W193)),($R193-SUM($T193:W193)),IF($J193=0,$O193,$J193)*$I193)))</f>
        <v>7200000</v>
      </c>
      <c r="Y193" s="1367">
        <f>IF($R193-SUM($T193:X193)=0,0,IF(OR($R193&lt;=0,$R193&lt;=SUM($T193:X193)),0,IF((IF($J193=0,$O193,$J193)*$I193)&gt;=($R193-SUM($T193:X193)),($R193-SUM($T193:X193)),IF($J193=0,$O193,$J193)*$I193)))</f>
        <v>7200000</v>
      </c>
      <c r="Z193" s="1367">
        <f>IF($R193-SUM($T193:Y193)=0,0,IF(OR($R193&lt;=0,$R193&lt;=SUM($T193:Y193)),0,IF((IF($J193=0,$O193,$J193)*$I193)&gt;=($R193-SUM($T193:Y193)),($R193-SUM($T193:Y193)),IF($J193=0,$O193,$J193)*$I193)))</f>
        <v>7200000</v>
      </c>
      <c r="AA193" s="1367">
        <f>IF($R193-SUM($T193:Z193)=0,0,IF(OR($R193&lt;=0,$R193&lt;=SUM($T193:Z193)),0,IF((IF($J193=0,$O193,$J193)*$I193)&gt;=($R193-SUM($T193:Z193)),($R193-SUM($T193:Z193)),IF($J193=0,$O193,$J193)*$I193)))</f>
        <v>7200000</v>
      </c>
      <c r="AB193" s="1367">
        <f>IF($R193-SUM($T193:AA193)=0,0,IF(OR($R193&lt;=0,$R193&lt;=SUM($T193:AA193)),0,IF((IF($J193=0,$O193,$J193)*$I193)&gt;=($R193-SUM($T193:AA193)),($R193-SUM($T193:AA193)),IF($J193=0,$O193,$J193)*$I193)))</f>
        <v>7200000</v>
      </c>
      <c r="AC193" s="1367">
        <f>IF($R193-SUM($T193:AB193)=0,0,IF(OR($R193&lt;=0,$R193&lt;=SUM($T193:AB193)),0,IF((IF($J193=0,$O193,$J193)*$I193)&gt;=($R193-SUM($T193:AB193)),($R193-SUM($T193:AB193)),IF($J193=0,$O193,$J193)*$I193)))</f>
        <v>5076000</v>
      </c>
      <c r="AD193" s="1367">
        <f>IF($R193-SUM($T193:AC193)=0,0,IF(OR($R193&lt;=0,$R193&lt;=SUM($T193:AC193)),0,IF((IF($J193=0,$O193,$J193)*$I193)&gt;=($R193-SUM($T193:AC193)),($R193-SUM($T193:AC193)),IF($J193=0,$O193,$J193)*$I193)))</f>
        <v>0</v>
      </c>
      <c r="AF193" s="1319" t="b">
        <f t="shared" si="57"/>
        <v>1</v>
      </c>
      <c r="AG193" s="1319" t="str">
        <f t="shared" si="58"/>
        <v>Checked</v>
      </c>
      <c r="AH193" s="1318" t="b">
        <f t="shared" si="59"/>
        <v>1</v>
      </c>
    </row>
    <row r="194" spans="1:34" outlineLevel="1" x14ac:dyDescent="0.3">
      <c r="B194" s="1356" t="s">
        <v>2378</v>
      </c>
      <c r="C194" s="1356" t="s">
        <v>1971</v>
      </c>
      <c r="D194" s="1322" t="s">
        <v>2379</v>
      </c>
      <c r="E194" s="1357">
        <v>10</v>
      </c>
      <c r="F194" s="1333">
        <f t="shared" si="50"/>
        <v>10</v>
      </c>
      <c r="G194" s="1358">
        <f t="shared" si="51"/>
        <v>0</v>
      </c>
      <c r="H194" s="1359">
        <f t="shared" si="52"/>
        <v>0</v>
      </c>
      <c r="I194" s="1360">
        <f t="shared" si="53"/>
        <v>0.1</v>
      </c>
      <c r="J194" s="1361">
        <v>25990000</v>
      </c>
      <c r="K194" s="1362"/>
      <c r="L194" s="1356">
        <v>0</v>
      </c>
      <c r="M194" s="1356">
        <v>0</v>
      </c>
      <c r="N194" s="1361">
        <f t="shared" si="54"/>
        <v>25990000</v>
      </c>
      <c r="O194" s="1363"/>
      <c r="P194" s="1356">
        <v>0</v>
      </c>
      <c r="Q194" s="1364">
        <v>2804754</v>
      </c>
      <c r="R194" s="1365">
        <f t="shared" si="55"/>
        <v>23185246</v>
      </c>
      <c r="S194" s="1364"/>
      <c r="T194" s="1366">
        <f t="shared" si="56"/>
        <v>0</v>
      </c>
      <c r="U194" s="1367">
        <f>IF($R194-SUM($T194:T194)=0,0,IF(OR($R194&lt;=0,$R194&lt;=SUM($T194:T194)),0,IF((IF($J194=0,$O194,$J194)*$I194)&gt;=($R194-SUM($T194:T194)),($R194-SUM($T194:T194)),IF($J194=0,$O194,$J194)*$I194)))</f>
        <v>2599000</v>
      </c>
      <c r="V194" s="1367">
        <f>IF($R194-SUM($T194:U194)=0,0,IF(OR($R194&lt;=0,$R194&lt;=SUM($T194:U194)),0,IF((IF($J194=0,$O194,$J194)*$I194)&gt;=($R194-SUM($T194:U194)),($R194-SUM($T194:U194)),IF($J194=0,$O194,$J194)*$I194)))</f>
        <v>2599000</v>
      </c>
      <c r="W194" s="1367">
        <f>IF($R194-SUM($T194:V194)=0,0,IF(OR($R194&lt;=0,$R194&lt;=SUM($T194:V194)),0,IF((IF($J194=0,$O194,$J194)*$I194)&gt;=($R194-SUM($T194:V194)),($R194-SUM($T194:V194)),IF($J194=0,$O194,$J194)*$I194)))</f>
        <v>2599000</v>
      </c>
      <c r="X194" s="1367">
        <f>IF($R194-SUM($T194:W194)=0,0,IF(OR($R194&lt;=0,$R194&lt;=SUM($T194:W194)),0,IF((IF($J194=0,$O194,$J194)*$I194)&gt;=($R194-SUM($T194:W194)),($R194-SUM($T194:W194)),IF($J194=0,$O194,$J194)*$I194)))</f>
        <v>2599000</v>
      </c>
      <c r="Y194" s="1367">
        <f>IF($R194-SUM($T194:X194)=0,0,IF(OR($R194&lt;=0,$R194&lt;=SUM($T194:X194)),0,IF((IF($J194=0,$O194,$J194)*$I194)&gt;=($R194-SUM($T194:X194)),($R194-SUM($T194:X194)),IF($J194=0,$O194,$J194)*$I194)))</f>
        <v>2599000</v>
      </c>
      <c r="Z194" s="1367">
        <f>IF($R194-SUM($T194:Y194)=0,0,IF(OR($R194&lt;=0,$R194&lt;=SUM($T194:Y194)),0,IF((IF($J194=0,$O194,$J194)*$I194)&gt;=($R194-SUM($T194:Y194)),($R194-SUM($T194:Y194)),IF($J194=0,$O194,$J194)*$I194)))</f>
        <v>2599000</v>
      </c>
      <c r="AA194" s="1367">
        <f>IF($R194-SUM($T194:Z194)=0,0,IF(OR($R194&lt;=0,$R194&lt;=SUM($T194:Z194)),0,IF((IF($J194=0,$O194,$J194)*$I194)&gt;=($R194-SUM($T194:Z194)),($R194-SUM($T194:Z194)),IF($J194=0,$O194,$J194)*$I194)))</f>
        <v>2599000</v>
      </c>
      <c r="AB194" s="1367">
        <f>IF($R194-SUM($T194:AA194)=0,0,IF(OR($R194&lt;=0,$R194&lt;=SUM($T194:AA194)),0,IF((IF($J194=0,$O194,$J194)*$I194)&gt;=($R194-SUM($T194:AA194)),($R194-SUM($T194:AA194)),IF($J194=0,$O194,$J194)*$I194)))</f>
        <v>2599000</v>
      </c>
      <c r="AC194" s="1367">
        <f>IF($R194-SUM($T194:AB194)=0,0,IF(OR($R194&lt;=0,$R194&lt;=SUM($T194:AB194)),0,IF((IF($J194=0,$O194,$J194)*$I194)&gt;=($R194-SUM($T194:AB194)),($R194-SUM($T194:AB194)),IF($J194=0,$O194,$J194)*$I194)))</f>
        <v>2393246</v>
      </c>
      <c r="AD194" s="1367">
        <f>IF($R194-SUM($T194:AC194)=0,0,IF(OR($R194&lt;=0,$R194&lt;=SUM($T194:AC194)),0,IF((IF($J194=0,$O194,$J194)*$I194)&gt;=($R194-SUM($T194:AC194)),($R194-SUM($T194:AC194)),IF($J194=0,$O194,$J194)*$I194)))</f>
        <v>0</v>
      </c>
      <c r="AF194" s="1319" t="b">
        <f t="shared" si="57"/>
        <v>1</v>
      </c>
      <c r="AG194" s="1319" t="str">
        <f t="shared" si="58"/>
        <v>Checked</v>
      </c>
      <c r="AH194" s="1318" t="b">
        <f t="shared" si="59"/>
        <v>1</v>
      </c>
    </row>
    <row r="195" spans="1:34" outlineLevel="1" x14ac:dyDescent="0.3">
      <c r="B195" s="1356" t="s">
        <v>2380</v>
      </c>
      <c r="C195" s="1356" t="s">
        <v>1971</v>
      </c>
      <c r="D195" s="1322" t="s">
        <v>2381</v>
      </c>
      <c r="E195" s="1357">
        <v>10</v>
      </c>
      <c r="F195" s="1333">
        <f t="shared" si="50"/>
        <v>10</v>
      </c>
      <c r="G195" s="1358">
        <f t="shared" si="51"/>
        <v>0</v>
      </c>
      <c r="H195" s="1359">
        <f t="shared" si="52"/>
        <v>0</v>
      </c>
      <c r="I195" s="1360">
        <f t="shared" si="53"/>
        <v>0.1</v>
      </c>
      <c r="J195" s="1361">
        <v>20800000</v>
      </c>
      <c r="K195" s="1362"/>
      <c r="L195" s="1356">
        <v>0</v>
      </c>
      <c r="M195" s="1356">
        <v>0</v>
      </c>
      <c r="N195" s="1361">
        <f t="shared" si="54"/>
        <v>20800000</v>
      </c>
      <c r="O195" s="1363"/>
      <c r="P195" s="1356">
        <v>0</v>
      </c>
      <c r="Q195" s="1364">
        <v>2244666</v>
      </c>
      <c r="R195" s="1365">
        <f t="shared" si="55"/>
        <v>18555334</v>
      </c>
      <c r="S195" s="1364"/>
      <c r="T195" s="1366">
        <f t="shared" si="56"/>
        <v>0</v>
      </c>
      <c r="U195" s="1367">
        <f>IF($R195-SUM($T195:T195)=0,0,IF(OR($R195&lt;=0,$R195&lt;=SUM($T195:T195)),0,IF((IF($J195=0,$O195,$J195)*$I195)&gt;=($R195-SUM($T195:T195)),($R195-SUM($T195:T195)),IF($J195=0,$O195,$J195)*$I195)))</f>
        <v>2080000</v>
      </c>
      <c r="V195" s="1367">
        <f>IF($R195-SUM($T195:U195)=0,0,IF(OR($R195&lt;=0,$R195&lt;=SUM($T195:U195)),0,IF((IF($J195=0,$O195,$J195)*$I195)&gt;=($R195-SUM($T195:U195)),($R195-SUM($T195:U195)),IF($J195=0,$O195,$J195)*$I195)))</f>
        <v>2080000</v>
      </c>
      <c r="W195" s="1367">
        <f>IF($R195-SUM($T195:V195)=0,0,IF(OR($R195&lt;=0,$R195&lt;=SUM($T195:V195)),0,IF((IF($J195=0,$O195,$J195)*$I195)&gt;=($R195-SUM($T195:V195)),($R195-SUM($T195:V195)),IF($J195=0,$O195,$J195)*$I195)))</f>
        <v>2080000</v>
      </c>
      <c r="X195" s="1367">
        <f>IF($R195-SUM($T195:W195)=0,0,IF(OR($R195&lt;=0,$R195&lt;=SUM($T195:W195)),0,IF((IF($J195=0,$O195,$J195)*$I195)&gt;=($R195-SUM($T195:W195)),($R195-SUM($T195:W195)),IF($J195=0,$O195,$J195)*$I195)))</f>
        <v>2080000</v>
      </c>
      <c r="Y195" s="1367">
        <f>IF($R195-SUM($T195:X195)=0,0,IF(OR($R195&lt;=0,$R195&lt;=SUM($T195:X195)),0,IF((IF($J195=0,$O195,$J195)*$I195)&gt;=($R195-SUM($T195:X195)),($R195-SUM($T195:X195)),IF($J195=0,$O195,$J195)*$I195)))</f>
        <v>2080000</v>
      </c>
      <c r="Z195" s="1367">
        <f>IF($R195-SUM($T195:Y195)=0,0,IF(OR($R195&lt;=0,$R195&lt;=SUM($T195:Y195)),0,IF((IF($J195=0,$O195,$J195)*$I195)&gt;=($R195-SUM($T195:Y195)),($R195-SUM($T195:Y195)),IF($J195=0,$O195,$J195)*$I195)))</f>
        <v>2080000</v>
      </c>
      <c r="AA195" s="1367">
        <f>IF($R195-SUM($T195:Z195)=0,0,IF(OR($R195&lt;=0,$R195&lt;=SUM($T195:Z195)),0,IF((IF($J195=0,$O195,$J195)*$I195)&gt;=($R195-SUM($T195:Z195)),($R195-SUM($T195:Z195)),IF($J195=0,$O195,$J195)*$I195)))</f>
        <v>2080000</v>
      </c>
      <c r="AB195" s="1367">
        <f>IF($R195-SUM($T195:AA195)=0,0,IF(OR($R195&lt;=0,$R195&lt;=SUM($T195:AA195)),0,IF((IF($J195=0,$O195,$J195)*$I195)&gt;=($R195-SUM($T195:AA195)),($R195-SUM($T195:AA195)),IF($J195=0,$O195,$J195)*$I195)))</f>
        <v>2080000</v>
      </c>
      <c r="AC195" s="1367">
        <f>IF($R195-SUM($T195:AB195)=0,0,IF(OR($R195&lt;=0,$R195&lt;=SUM($T195:AB195)),0,IF((IF($J195=0,$O195,$J195)*$I195)&gt;=($R195-SUM($T195:AB195)),($R195-SUM($T195:AB195)),IF($J195=0,$O195,$J195)*$I195)))</f>
        <v>1915334</v>
      </c>
      <c r="AD195" s="1367">
        <f>IF($R195-SUM($T195:AC195)=0,0,IF(OR($R195&lt;=0,$R195&lt;=SUM($T195:AC195)),0,IF((IF($J195=0,$O195,$J195)*$I195)&gt;=($R195-SUM($T195:AC195)),($R195-SUM($T195:AC195)),IF($J195=0,$O195,$J195)*$I195)))</f>
        <v>0</v>
      </c>
      <c r="AF195" s="1319" t="b">
        <f t="shared" si="57"/>
        <v>1</v>
      </c>
      <c r="AG195" s="1319" t="str">
        <f t="shared" si="58"/>
        <v>Checked</v>
      </c>
      <c r="AH195" s="1318" t="b">
        <f t="shared" si="59"/>
        <v>1</v>
      </c>
    </row>
    <row r="196" spans="1:34" outlineLevel="1" x14ac:dyDescent="0.3">
      <c r="B196" s="1356" t="s">
        <v>2382</v>
      </c>
      <c r="C196" s="1356" t="s">
        <v>1971</v>
      </c>
      <c r="D196" s="1322" t="s">
        <v>2381</v>
      </c>
      <c r="E196" s="1357">
        <v>10</v>
      </c>
      <c r="F196" s="1333">
        <f t="shared" si="50"/>
        <v>10</v>
      </c>
      <c r="G196" s="1358">
        <f t="shared" si="51"/>
        <v>0</v>
      </c>
      <c r="H196" s="1359">
        <f t="shared" si="52"/>
        <v>0</v>
      </c>
      <c r="I196" s="1360">
        <f t="shared" si="53"/>
        <v>0.1</v>
      </c>
      <c r="J196" s="1361">
        <v>7946000</v>
      </c>
      <c r="K196" s="1362"/>
      <c r="L196" s="1356">
        <v>0</v>
      </c>
      <c r="M196" s="1356">
        <v>0</v>
      </c>
      <c r="N196" s="1361">
        <f t="shared" si="54"/>
        <v>7946000</v>
      </c>
      <c r="O196" s="1363"/>
      <c r="P196" s="1356">
        <v>0</v>
      </c>
      <c r="Q196" s="1364">
        <v>857505</v>
      </c>
      <c r="R196" s="1365">
        <f t="shared" si="55"/>
        <v>7088495</v>
      </c>
      <c r="S196" s="1364"/>
      <c r="T196" s="1366">
        <f t="shared" si="56"/>
        <v>0</v>
      </c>
      <c r="U196" s="1367">
        <f>IF($R196-SUM($T196:T196)=0,0,IF(OR($R196&lt;=0,$R196&lt;=SUM($T196:T196)),0,IF((IF($J196=0,$O196,$J196)*$I196)&gt;=($R196-SUM($T196:T196)),($R196-SUM($T196:T196)),IF($J196=0,$O196,$J196)*$I196)))</f>
        <v>794600</v>
      </c>
      <c r="V196" s="1367">
        <f>IF($R196-SUM($T196:U196)=0,0,IF(OR($R196&lt;=0,$R196&lt;=SUM($T196:U196)),0,IF((IF($J196=0,$O196,$J196)*$I196)&gt;=($R196-SUM($T196:U196)),($R196-SUM($T196:U196)),IF($J196=0,$O196,$J196)*$I196)))</f>
        <v>794600</v>
      </c>
      <c r="W196" s="1367">
        <f>IF($R196-SUM($T196:V196)=0,0,IF(OR($R196&lt;=0,$R196&lt;=SUM($T196:V196)),0,IF((IF($J196=0,$O196,$J196)*$I196)&gt;=($R196-SUM($T196:V196)),($R196-SUM($T196:V196)),IF($J196=0,$O196,$J196)*$I196)))</f>
        <v>794600</v>
      </c>
      <c r="X196" s="1367">
        <f>IF($R196-SUM($T196:W196)=0,0,IF(OR($R196&lt;=0,$R196&lt;=SUM($T196:W196)),0,IF((IF($J196=0,$O196,$J196)*$I196)&gt;=($R196-SUM($T196:W196)),($R196-SUM($T196:W196)),IF($J196=0,$O196,$J196)*$I196)))</f>
        <v>794600</v>
      </c>
      <c r="Y196" s="1367">
        <f>IF($R196-SUM($T196:X196)=0,0,IF(OR($R196&lt;=0,$R196&lt;=SUM($T196:X196)),0,IF((IF($J196=0,$O196,$J196)*$I196)&gt;=($R196-SUM($T196:X196)),($R196-SUM($T196:X196)),IF($J196=0,$O196,$J196)*$I196)))</f>
        <v>794600</v>
      </c>
      <c r="Z196" s="1367">
        <f>IF($R196-SUM($T196:Y196)=0,0,IF(OR($R196&lt;=0,$R196&lt;=SUM($T196:Y196)),0,IF((IF($J196=0,$O196,$J196)*$I196)&gt;=($R196-SUM($T196:Y196)),($R196-SUM($T196:Y196)),IF($J196=0,$O196,$J196)*$I196)))</f>
        <v>794600</v>
      </c>
      <c r="AA196" s="1367">
        <f>IF($R196-SUM($T196:Z196)=0,0,IF(OR($R196&lt;=0,$R196&lt;=SUM($T196:Z196)),0,IF((IF($J196=0,$O196,$J196)*$I196)&gt;=($R196-SUM($T196:Z196)),($R196-SUM($T196:Z196)),IF($J196=0,$O196,$J196)*$I196)))</f>
        <v>794600</v>
      </c>
      <c r="AB196" s="1367">
        <f>IF($R196-SUM($T196:AA196)=0,0,IF(OR($R196&lt;=0,$R196&lt;=SUM($T196:AA196)),0,IF((IF($J196=0,$O196,$J196)*$I196)&gt;=($R196-SUM($T196:AA196)),($R196-SUM($T196:AA196)),IF($J196=0,$O196,$J196)*$I196)))</f>
        <v>794600</v>
      </c>
      <c r="AC196" s="1367">
        <f>IF($R196-SUM($T196:AB196)=0,0,IF(OR($R196&lt;=0,$R196&lt;=SUM($T196:AB196)),0,IF((IF($J196=0,$O196,$J196)*$I196)&gt;=($R196-SUM($T196:AB196)),($R196-SUM($T196:AB196)),IF($J196=0,$O196,$J196)*$I196)))</f>
        <v>731695</v>
      </c>
      <c r="AD196" s="1367">
        <f>IF($R196-SUM($T196:AC196)=0,0,IF(OR($R196&lt;=0,$R196&lt;=SUM($T196:AC196)),0,IF((IF($J196=0,$O196,$J196)*$I196)&gt;=($R196-SUM($T196:AC196)),($R196-SUM($T196:AC196)),IF($J196=0,$O196,$J196)*$I196)))</f>
        <v>0</v>
      </c>
      <c r="AF196" s="1319" t="b">
        <f t="shared" si="57"/>
        <v>1</v>
      </c>
      <c r="AG196" s="1319" t="str">
        <f t="shared" si="58"/>
        <v>Checked</v>
      </c>
      <c r="AH196" s="1318" t="b">
        <f t="shared" si="59"/>
        <v>1</v>
      </c>
    </row>
    <row r="197" spans="1:34" outlineLevel="1" x14ac:dyDescent="0.3">
      <c r="B197" s="1356" t="s">
        <v>2173</v>
      </c>
      <c r="C197" s="1356" t="s">
        <v>1971</v>
      </c>
      <c r="D197" s="1322" t="s">
        <v>2383</v>
      </c>
      <c r="E197" s="1357">
        <v>10</v>
      </c>
      <c r="F197" s="1333">
        <f t="shared" si="50"/>
        <v>10</v>
      </c>
      <c r="G197" s="1358">
        <f t="shared" si="51"/>
        <v>0</v>
      </c>
      <c r="H197" s="1359">
        <f t="shared" si="52"/>
        <v>0</v>
      </c>
      <c r="I197" s="1360">
        <f t="shared" si="53"/>
        <v>0.1</v>
      </c>
      <c r="J197" s="1361">
        <v>14500000</v>
      </c>
      <c r="K197" s="1362"/>
      <c r="L197" s="1356">
        <v>0</v>
      </c>
      <c r="M197" s="1356">
        <v>0</v>
      </c>
      <c r="N197" s="1361">
        <f t="shared" si="54"/>
        <v>14500000</v>
      </c>
      <c r="O197" s="1363"/>
      <c r="P197" s="1356">
        <v>0</v>
      </c>
      <c r="Q197" s="1364">
        <v>1251833</v>
      </c>
      <c r="R197" s="1365">
        <f t="shared" si="55"/>
        <v>13248167</v>
      </c>
      <c r="S197" s="1364"/>
      <c r="T197" s="1366">
        <f t="shared" si="56"/>
        <v>0</v>
      </c>
      <c r="U197" s="1367">
        <f>IF($R197-SUM($T197:T197)=0,0,IF(OR($R197&lt;=0,$R197&lt;=SUM($T197:T197)),0,IF((IF($J197=0,$O197,$J197)*$I197)&gt;=($R197-SUM($T197:T197)),($R197-SUM($T197:T197)),IF($J197=0,$O197,$J197)*$I197)))</f>
        <v>1450000</v>
      </c>
      <c r="V197" s="1367">
        <f>IF($R197-SUM($T197:U197)=0,0,IF(OR($R197&lt;=0,$R197&lt;=SUM($T197:U197)),0,IF((IF($J197=0,$O197,$J197)*$I197)&gt;=($R197-SUM($T197:U197)),($R197-SUM($T197:U197)),IF($J197=0,$O197,$J197)*$I197)))</f>
        <v>1450000</v>
      </c>
      <c r="W197" s="1367">
        <f>IF($R197-SUM($T197:V197)=0,0,IF(OR($R197&lt;=0,$R197&lt;=SUM($T197:V197)),0,IF((IF($J197=0,$O197,$J197)*$I197)&gt;=($R197-SUM($T197:V197)),($R197-SUM($T197:V197)),IF($J197=0,$O197,$J197)*$I197)))</f>
        <v>1450000</v>
      </c>
      <c r="X197" s="1367">
        <f>IF($R197-SUM($T197:W197)=0,0,IF(OR($R197&lt;=0,$R197&lt;=SUM($T197:W197)),0,IF((IF($J197=0,$O197,$J197)*$I197)&gt;=($R197-SUM($T197:W197)),($R197-SUM($T197:W197)),IF($J197=0,$O197,$J197)*$I197)))</f>
        <v>1450000</v>
      </c>
      <c r="Y197" s="1367">
        <f>IF($R197-SUM($T197:X197)=0,0,IF(OR($R197&lt;=0,$R197&lt;=SUM($T197:X197)),0,IF((IF($J197=0,$O197,$J197)*$I197)&gt;=($R197-SUM($T197:X197)),($R197-SUM($T197:X197)),IF($J197=0,$O197,$J197)*$I197)))</f>
        <v>1450000</v>
      </c>
      <c r="Z197" s="1367">
        <f>IF($R197-SUM($T197:Y197)=0,0,IF(OR($R197&lt;=0,$R197&lt;=SUM($T197:Y197)),0,IF((IF($J197=0,$O197,$J197)*$I197)&gt;=($R197-SUM($T197:Y197)),($R197-SUM($T197:Y197)),IF($J197=0,$O197,$J197)*$I197)))</f>
        <v>1450000</v>
      </c>
      <c r="AA197" s="1367">
        <f>IF($R197-SUM($T197:Z197)=0,0,IF(OR($R197&lt;=0,$R197&lt;=SUM($T197:Z197)),0,IF((IF($J197=0,$O197,$J197)*$I197)&gt;=($R197-SUM($T197:Z197)),($R197-SUM($T197:Z197)),IF($J197=0,$O197,$J197)*$I197)))</f>
        <v>1450000</v>
      </c>
      <c r="AB197" s="1367">
        <f>IF($R197-SUM($T197:AA197)=0,0,IF(OR($R197&lt;=0,$R197&lt;=SUM($T197:AA197)),0,IF((IF($J197=0,$O197,$J197)*$I197)&gt;=($R197-SUM($T197:AA197)),($R197-SUM($T197:AA197)),IF($J197=0,$O197,$J197)*$I197)))</f>
        <v>1450000</v>
      </c>
      <c r="AC197" s="1367">
        <f>IF($R197-SUM($T197:AB197)=0,0,IF(OR($R197&lt;=0,$R197&lt;=SUM($T197:AB197)),0,IF((IF($J197=0,$O197,$J197)*$I197)&gt;=($R197-SUM($T197:AB197)),($R197-SUM($T197:AB197)),IF($J197=0,$O197,$J197)*$I197)))</f>
        <v>1450000</v>
      </c>
      <c r="AD197" s="1367">
        <f>IF($R197-SUM($T197:AC197)=0,0,IF(OR($R197&lt;=0,$R197&lt;=SUM($T197:AC197)),0,IF((IF($J197=0,$O197,$J197)*$I197)&gt;=($R197-SUM($T197:AC197)),($R197-SUM($T197:AC197)),IF($J197=0,$O197,$J197)*$I197)))</f>
        <v>198167</v>
      </c>
      <c r="AF197" s="1319" t="str">
        <f t="shared" si="57"/>
        <v>Check</v>
      </c>
      <c r="AG197" s="1319" t="str">
        <f t="shared" si="58"/>
        <v>Checked</v>
      </c>
      <c r="AH197" s="1318" t="b">
        <f t="shared" si="59"/>
        <v>1</v>
      </c>
    </row>
    <row r="198" spans="1:34" outlineLevel="1" x14ac:dyDescent="0.3">
      <c r="B198" s="1356" t="s">
        <v>2384</v>
      </c>
      <c r="C198" s="1356" t="s">
        <v>1971</v>
      </c>
      <c r="D198" s="1322" t="s">
        <v>2385</v>
      </c>
      <c r="E198" s="1357">
        <v>10</v>
      </c>
      <c r="F198" s="1333">
        <f t="shared" si="50"/>
        <v>10</v>
      </c>
      <c r="G198" s="1358">
        <f t="shared" si="51"/>
        <v>0</v>
      </c>
      <c r="H198" s="1359">
        <f t="shared" si="52"/>
        <v>0</v>
      </c>
      <c r="I198" s="1360">
        <f t="shared" si="53"/>
        <v>0.1</v>
      </c>
      <c r="J198" s="1361">
        <v>10700000</v>
      </c>
      <c r="K198" s="1362"/>
      <c r="L198" s="1356">
        <v>0</v>
      </c>
      <c r="M198" s="1356">
        <v>0</v>
      </c>
      <c r="N198" s="1361">
        <f t="shared" si="54"/>
        <v>10700000</v>
      </c>
      <c r="O198" s="1363"/>
      <c r="P198" s="1356">
        <v>0</v>
      </c>
      <c r="Q198" s="1364">
        <v>923766</v>
      </c>
      <c r="R198" s="1365">
        <f t="shared" si="55"/>
        <v>9776234</v>
      </c>
      <c r="S198" s="1364"/>
      <c r="T198" s="1366">
        <f t="shared" si="56"/>
        <v>0</v>
      </c>
      <c r="U198" s="1367">
        <f>IF($R198-SUM($T198:T198)=0,0,IF(OR($R198&lt;=0,$R198&lt;=SUM($T198:T198)),0,IF((IF($J198=0,$O198,$J198)*$I198)&gt;=($R198-SUM($T198:T198)),($R198-SUM($T198:T198)),IF($J198=0,$O198,$J198)*$I198)))</f>
        <v>1070000</v>
      </c>
      <c r="V198" s="1367">
        <f>IF($R198-SUM($T198:U198)=0,0,IF(OR($R198&lt;=0,$R198&lt;=SUM($T198:U198)),0,IF((IF($J198=0,$O198,$J198)*$I198)&gt;=($R198-SUM($T198:U198)),($R198-SUM($T198:U198)),IF($J198=0,$O198,$J198)*$I198)))</f>
        <v>1070000</v>
      </c>
      <c r="W198" s="1367">
        <f>IF($R198-SUM($T198:V198)=0,0,IF(OR($R198&lt;=0,$R198&lt;=SUM($T198:V198)),0,IF((IF($J198=0,$O198,$J198)*$I198)&gt;=($R198-SUM($T198:V198)),($R198-SUM($T198:V198)),IF($J198=0,$O198,$J198)*$I198)))</f>
        <v>1070000</v>
      </c>
      <c r="X198" s="1367">
        <f>IF($R198-SUM($T198:W198)=0,0,IF(OR($R198&lt;=0,$R198&lt;=SUM($T198:W198)),0,IF((IF($J198=0,$O198,$J198)*$I198)&gt;=($R198-SUM($T198:W198)),($R198-SUM($T198:W198)),IF($J198=0,$O198,$J198)*$I198)))</f>
        <v>1070000</v>
      </c>
      <c r="Y198" s="1367">
        <f>IF($R198-SUM($T198:X198)=0,0,IF(OR($R198&lt;=0,$R198&lt;=SUM($T198:X198)),0,IF((IF($J198=0,$O198,$J198)*$I198)&gt;=($R198-SUM($T198:X198)),($R198-SUM($T198:X198)),IF($J198=0,$O198,$J198)*$I198)))</f>
        <v>1070000</v>
      </c>
      <c r="Z198" s="1367">
        <f>IF($R198-SUM($T198:Y198)=0,0,IF(OR($R198&lt;=0,$R198&lt;=SUM($T198:Y198)),0,IF((IF($J198=0,$O198,$J198)*$I198)&gt;=($R198-SUM($T198:Y198)),($R198-SUM($T198:Y198)),IF($J198=0,$O198,$J198)*$I198)))</f>
        <v>1070000</v>
      </c>
      <c r="AA198" s="1367">
        <f>IF($R198-SUM($T198:Z198)=0,0,IF(OR($R198&lt;=0,$R198&lt;=SUM($T198:Z198)),0,IF((IF($J198=0,$O198,$J198)*$I198)&gt;=($R198-SUM($T198:Z198)),($R198-SUM($T198:Z198)),IF($J198=0,$O198,$J198)*$I198)))</f>
        <v>1070000</v>
      </c>
      <c r="AB198" s="1367">
        <f>IF($R198-SUM($T198:AA198)=0,0,IF(OR($R198&lt;=0,$R198&lt;=SUM($T198:AA198)),0,IF((IF($J198=0,$O198,$J198)*$I198)&gt;=($R198-SUM($T198:AA198)),($R198-SUM($T198:AA198)),IF($J198=0,$O198,$J198)*$I198)))</f>
        <v>1070000</v>
      </c>
      <c r="AC198" s="1367">
        <f>IF($R198-SUM($T198:AB198)=0,0,IF(OR($R198&lt;=0,$R198&lt;=SUM($T198:AB198)),0,IF((IF($J198=0,$O198,$J198)*$I198)&gt;=($R198-SUM($T198:AB198)),($R198-SUM($T198:AB198)),IF($J198=0,$O198,$J198)*$I198)))</f>
        <v>1070000</v>
      </c>
      <c r="AD198" s="1367">
        <f>IF($R198-SUM($T198:AC198)=0,0,IF(OR($R198&lt;=0,$R198&lt;=SUM($T198:AC198)),0,IF((IF($J198=0,$O198,$J198)*$I198)&gt;=($R198-SUM($T198:AC198)),($R198-SUM($T198:AC198)),IF($J198=0,$O198,$J198)*$I198)))</f>
        <v>146234</v>
      </c>
      <c r="AF198" s="1319" t="str">
        <f t="shared" si="57"/>
        <v>Check</v>
      </c>
      <c r="AG198" s="1319" t="str">
        <f t="shared" si="58"/>
        <v>Checked</v>
      </c>
      <c r="AH198" s="1318" t="b">
        <f t="shared" si="59"/>
        <v>1</v>
      </c>
    </row>
    <row r="199" spans="1:34" outlineLevel="1" x14ac:dyDescent="0.3">
      <c r="B199" s="1356" t="s">
        <v>2386</v>
      </c>
      <c r="C199" s="1356" t="s">
        <v>1971</v>
      </c>
      <c r="D199" s="1322" t="s">
        <v>2385</v>
      </c>
      <c r="E199" s="1357">
        <v>10</v>
      </c>
      <c r="F199" s="1333">
        <f t="shared" si="50"/>
        <v>10</v>
      </c>
      <c r="G199" s="1358">
        <f t="shared" si="51"/>
        <v>0</v>
      </c>
      <c r="H199" s="1359">
        <f t="shared" si="52"/>
        <v>0</v>
      </c>
      <c r="I199" s="1360">
        <f t="shared" si="53"/>
        <v>0.1</v>
      </c>
      <c r="J199" s="1361">
        <v>9500000</v>
      </c>
      <c r="K199" s="1362"/>
      <c r="L199" s="1356">
        <v>0</v>
      </c>
      <c r="M199" s="1356">
        <v>0</v>
      </c>
      <c r="N199" s="1361">
        <f t="shared" si="54"/>
        <v>9500000</v>
      </c>
      <c r="O199" s="1363"/>
      <c r="P199" s="1356">
        <v>0</v>
      </c>
      <c r="Q199" s="1364">
        <v>820166</v>
      </c>
      <c r="R199" s="1365">
        <f t="shared" si="55"/>
        <v>8679834</v>
      </c>
      <c r="S199" s="1364"/>
      <c r="T199" s="1366">
        <f t="shared" si="56"/>
        <v>0</v>
      </c>
      <c r="U199" s="1367">
        <f>IF($R199-SUM($T199:T199)=0,0,IF(OR($R199&lt;=0,$R199&lt;=SUM($T199:T199)),0,IF((IF($J199=0,$O199,$J199)*$I199)&gt;=($R199-SUM($T199:T199)),($R199-SUM($T199:T199)),IF($J199=0,$O199,$J199)*$I199)))</f>
        <v>950000</v>
      </c>
      <c r="V199" s="1367">
        <f>IF($R199-SUM($T199:U199)=0,0,IF(OR($R199&lt;=0,$R199&lt;=SUM($T199:U199)),0,IF((IF($J199=0,$O199,$J199)*$I199)&gt;=($R199-SUM($T199:U199)),($R199-SUM($T199:U199)),IF($J199=0,$O199,$J199)*$I199)))</f>
        <v>950000</v>
      </c>
      <c r="W199" s="1367">
        <f>IF($R199-SUM($T199:V199)=0,0,IF(OR($R199&lt;=0,$R199&lt;=SUM($T199:V199)),0,IF((IF($J199=0,$O199,$J199)*$I199)&gt;=($R199-SUM($T199:V199)),($R199-SUM($T199:V199)),IF($J199=0,$O199,$J199)*$I199)))</f>
        <v>950000</v>
      </c>
      <c r="X199" s="1367">
        <f>IF($R199-SUM($T199:W199)=0,0,IF(OR($R199&lt;=0,$R199&lt;=SUM($T199:W199)),0,IF((IF($J199=0,$O199,$J199)*$I199)&gt;=($R199-SUM($T199:W199)),($R199-SUM($T199:W199)),IF($J199=0,$O199,$J199)*$I199)))</f>
        <v>950000</v>
      </c>
      <c r="Y199" s="1367">
        <f>IF($R199-SUM($T199:X199)=0,0,IF(OR($R199&lt;=0,$R199&lt;=SUM($T199:X199)),0,IF((IF($J199=0,$O199,$J199)*$I199)&gt;=($R199-SUM($T199:X199)),($R199-SUM($T199:X199)),IF($J199=0,$O199,$J199)*$I199)))</f>
        <v>950000</v>
      </c>
      <c r="Z199" s="1367">
        <f>IF($R199-SUM($T199:Y199)=0,0,IF(OR($R199&lt;=0,$R199&lt;=SUM($T199:Y199)),0,IF((IF($J199=0,$O199,$J199)*$I199)&gt;=($R199-SUM($T199:Y199)),($R199-SUM($T199:Y199)),IF($J199=0,$O199,$J199)*$I199)))</f>
        <v>950000</v>
      </c>
      <c r="AA199" s="1367">
        <f>IF($R199-SUM($T199:Z199)=0,0,IF(OR($R199&lt;=0,$R199&lt;=SUM($T199:Z199)),0,IF((IF($J199=0,$O199,$J199)*$I199)&gt;=($R199-SUM($T199:Z199)),($R199-SUM($T199:Z199)),IF($J199=0,$O199,$J199)*$I199)))</f>
        <v>950000</v>
      </c>
      <c r="AB199" s="1367">
        <f>IF($R199-SUM($T199:AA199)=0,0,IF(OR($R199&lt;=0,$R199&lt;=SUM($T199:AA199)),0,IF((IF($J199=0,$O199,$J199)*$I199)&gt;=($R199-SUM($T199:AA199)),($R199-SUM($T199:AA199)),IF($J199=0,$O199,$J199)*$I199)))</f>
        <v>950000</v>
      </c>
      <c r="AC199" s="1367">
        <f>IF($R199-SUM($T199:AB199)=0,0,IF(OR($R199&lt;=0,$R199&lt;=SUM($T199:AB199)),0,IF((IF($J199=0,$O199,$J199)*$I199)&gt;=($R199-SUM($T199:AB199)),($R199-SUM($T199:AB199)),IF($J199=0,$O199,$J199)*$I199)))</f>
        <v>950000</v>
      </c>
      <c r="AD199" s="1367">
        <f>IF($R199-SUM($T199:AC199)=0,0,IF(OR($R199&lt;=0,$R199&lt;=SUM($T199:AC199)),0,IF((IF($J199=0,$O199,$J199)*$I199)&gt;=($R199-SUM($T199:AC199)),($R199-SUM($T199:AC199)),IF($J199=0,$O199,$J199)*$I199)))</f>
        <v>129834</v>
      </c>
      <c r="AF199" s="1319" t="str">
        <f t="shared" si="57"/>
        <v>Check</v>
      </c>
      <c r="AG199" s="1319" t="str">
        <f t="shared" si="58"/>
        <v>Checked</v>
      </c>
      <c r="AH199" s="1318" t="b">
        <f t="shared" si="59"/>
        <v>1</v>
      </c>
    </row>
    <row r="200" spans="1:34" outlineLevel="1" x14ac:dyDescent="0.3">
      <c r="B200" s="1356" t="s">
        <v>2387</v>
      </c>
      <c r="C200" s="1356" t="s">
        <v>1971</v>
      </c>
      <c r="D200" s="1322" t="s">
        <v>2385</v>
      </c>
      <c r="E200" s="1357">
        <v>10</v>
      </c>
      <c r="F200" s="1333">
        <f t="shared" si="50"/>
        <v>10</v>
      </c>
      <c r="G200" s="1358">
        <f t="shared" si="51"/>
        <v>0</v>
      </c>
      <c r="H200" s="1359">
        <f t="shared" si="52"/>
        <v>0</v>
      </c>
      <c r="I200" s="1360">
        <f t="shared" si="53"/>
        <v>0.1</v>
      </c>
      <c r="J200" s="1361">
        <v>9880000</v>
      </c>
      <c r="K200" s="1362"/>
      <c r="L200" s="1356">
        <v>0</v>
      </c>
      <c r="M200" s="1356">
        <v>0</v>
      </c>
      <c r="N200" s="1361">
        <f t="shared" si="54"/>
        <v>9880000</v>
      </c>
      <c r="O200" s="1363"/>
      <c r="P200" s="1356">
        <v>0</v>
      </c>
      <c r="Q200" s="1364">
        <v>852973</v>
      </c>
      <c r="R200" s="1365">
        <f t="shared" si="55"/>
        <v>9027027</v>
      </c>
      <c r="S200" s="1364"/>
      <c r="T200" s="1366">
        <f t="shared" si="56"/>
        <v>0</v>
      </c>
      <c r="U200" s="1367">
        <f>IF($R200-SUM($T200:T200)=0,0,IF(OR($R200&lt;=0,$R200&lt;=SUM($T200:T200)),0,IF((IF($J200=0,$O200,$J200)*$I200)&gt;=($R200-SUM($T200:T200)),($R200-SUM($T200:T200)),IF($J200=0,$O200,$J200)*$I200)))</f>
        <v>988000</v>
      </c>
      <c r="V200" s="1367">
        <f>IF($R200-SUM($T200:U200)=0,0,IF(OR($R200&lt;=0,$R200&lt;=SUM($T200:U200)),0,IF((IF($J200=0,$O200,$J200)*$I200)&gt;=($R200-SUM($T200:U200)),($R200-SUM($T200:U200)),IF($J200=0,$O200,$J200)*$I200)))</f>
        <v>988000</v>
      </c>
      <c r="W200" s="1367">
        <f>IF($R200-SUM($T200:V200)=0,0,IF(OR($R200&lt;=0,$R200&lt;=SUM($T200:V200)),0,IF((IF($J200=0,$O200,$J200)*$I200)&gt;=($R200-SUM($T200:V200)),($R200-SUM($T200:V200)),IF($J200=0,$O200,$J200)*$I200)))</f>
        <v>988000</v>
      </c>
      <c r="X200" s="1367">
        <f>IF($R200-SUM($T200:W200)=0,0,IF(OR($R200&lt;=0,$R200&lt;=SUM($T200:W200)),0,IF((IF($J200=0,$O200,$J200)*$I200)&gt;=($R200-SUM($T200:W200)),($R200-SUM($T200:W200)),IF($J200=0,$O200,$J200)*$I200)))</f>
        <v>988000</v>
      </c>
      <c r="Y200" s="1367">
        <f>IF($R200-SUM($T200:X200)=0,0,IF(OR($R200&lt;=0,$R200&lt;=SUM($T200:X200)),0,IF((IF($J200=0,$O200,$J200)*$I200)&gt;=($R200-SUM($T200:X200)),($R200-SUM($T200:X200)),IF($J200=0,$O200,$J200)*$I200)))</f>
        <v>988000</v>
      </c>
      <c r="Z200" s="1367">
        <f>IF($R200-SUM($T200:Y200)=0,0,IF(OR($R200&lt;=0,$R200&lt;=SUM($T200:Y200)),0,IF((IF($J200=0,$O200,$J200)*$I200)&gt;=($R200-SUM($T200:Y200)),($R200-SUM($T200:Y200)),IF($J200=0,$O200,$J200)*$I200)))</f>
        <v>988000</v>
      </c>
      <c r="AA200" s="1367">
        <f>IF($R200-SUM($T200:Z200)=0,0,IF(OR($R200&lt;=0,$R200&lt;=SUM($T200:Z200)),0,IF((IF($J200=0,$O200,$J200)*$I200)&gt;=($R200-SUM($T200:Z200)),($R200-SUM($T200:Z200)),IF($J200=0,$O200,$J200)*$I200)))</f>
        <v>988000</v>
      </c>
      <c r="AB200" s="1367">
        <f>IF($R200-SUM($T200:AA200)=0,0,IF(OR($R200&lt;=0,$R200&lt;=SUM($T200:AA200)),0,IF((IF($J200=0,$O200,$J200)*$I200)&gt;=($R200-SUM($T200:AA200)),($R200-SUM($T200:AA200)),IF($J200=0,$O200,$J200)*$I200)))</f>
        <v>988000</v>
      </c>
      <c r="AC200" s="1367">
        <f>IF($R200-SUM($T200:AB200)=0,0,IF(OR($R200&lt;=0,$R200&lt;=SUM($T200:AB200)),0,IF((IF($J200=0,$O200,$J200)*$I200)&gt;=($R200-SUM($T200:AB200)),($R200-SUM($T200:AB200)),IF($J200=0,$O200,$J200)*$I200)))</f>
        <v>988000</v>
      </c>
      <c r="AD200" s="1367">
        <f>IF($R200-SUM($T200:AC200)=0,0,IF(OR($R200&lt;=0,$R200&lt;=SUM($T200:AC200)),0,IF((IF($J200=0,$O200,$J200)*$I200)&gt;=($R200-SUM($T200:AC200)),($R200-SUM($T200:AC200)),IF($J200=0,$O200,$J200)*$I200)))</f>
        <v>135027</v>
      </c>
      <c r="AF200" s="1319" t="str">
        <f t="shared" si="57"/>
        <v>Check</v>
      </c>
      <c r="AG200" s="1319" t="str">
        <f t="shared" si="58"/>
        <v>Checked</v>
      </c>
      <c r="AH200" s="1318" t="b">
        <f t="shared" si="59"/>
        <v>1</v>
      </c>
    </row>
    <row r="201" spans="1:34" outlineLevel="1" x14ac:dyDescent="0.3">
      <c r="B201" s="1356" t="s">
        <v>2388</v>
      </c>
      <c r="C201" s="1356" t="s">
        <v>1971</v>
      </c>
      <c r="D201" s="1322" t="s">
        <v>2389</v>
      </c>
      <c r="E201" s="1357">
        <v>10</v>
      </c>
      <c r="F201" s="1333">
        <f t="shared" si="50"/>
        <v>10</v>
      </c>
      <c r="G201" s="1358">
        <f t="shared" si="51"/>
        <v>0</v>
      </c>
      <c r="H201" s="1359">
        <f t="shared" si="52"/>
        <v>0</v>
      </c>
      <c r="I201" s="1360">
        <f t="shared" si="53"/>
        <v>0.1</v>
      </c>
      <c r="J201" s="1361">
        <v>18200000</v>
      </c>
      <c r="K201" s="1362"/>
      <c r="L201" s="1356">
        <v>0</v>
      </c>
      <c r="M201" s="1356">
        <v>0</v>
      </c>
      <c r="N201" s="1361">
        <f t="shared" si="54"/>
        <v>18200000</v>
      </c>
      <c r="O201" s="1363"/>
      <c r="P201" s="1356">
        <v>0</v>
      </c>
      <c r="Q201" s="1364">
        <v>1178450</v>
      </c>
      <c r="R201" s="1365">
        <f t="shared" si="55"/>
        <v>17021550</v>
      </c>
      <c r="S201" s="1364"/>
      <c r="T201" s="1366">
        <f t="shared" si="56"/>
        <v>0</v>
      </c>
      <c r="U201" s="1367">
        <f>IF($R201-SUM($T201:T201)=0,0,IF(OR($R201&lt;=0,$R201&lt;=SUM($T201:T201)),0,IF((IF($J201=0,$O201,$J201)*$I201)&gt;=($R201-SUM($T201:T201)),($R201-SUM($T201:T201)),IF($J201=0,$O201,$J201)*$I201)))</f>
        <v>1820000</v>
      </c>
      <c r="V201" s="1367">
        <f>IF($R201-SUM($T201:U201)=0,0,IF(OR($R201&lt;=0,$R201&lt;=SUM($T201:U201)),0,IF((IF($J201=0,$O201,$J201)*$I201)&gt;=($R201-SUM($T201:U201)),($R201-SUM($T201:U201)),IF($J201=0,$O201,$J201)*$I201)))</f>
        <v>1820000</v>
      </c>
      <c r="W201" s="1367">
        <f>IF($R201-SUM($T201:V201)=0,0,IF(OR($R201&lt;=0,$R201&lt;=SUM($T201:V201)),0,IF((IF($J201=0,$O201,$J201)*$I201)&gt;=($R201-SUM($T201:V201)),($R201-SUM($T201:V201)),IF($J201=0,$O201,$J201)*$I201)))</f>
        <v>1820000</v>
      </c>
      <c r="X201" s="1367">
        <f>IF($R201-SUM($T201:W201)=0,0,IF(OR($R201&lt;=0,$R201&lt;=SUM($T201:W201)),0,IF((IF($J201=0,$O201,$J201)*$I201)&gt;=($R201-SUM($T201:W201)),($R201-SUM($T201:W201)),IF($J201=0,$O201,$J201)*$I201)))</f>
        <v>1820000</v>
      </c>
      <c r="Y201" s="1367">
        <f>IF($R201-SUM($T201:X201)=0,0,IF(OR($R201&lt;=0,$R201&lt;=SUM($T201:X201)),0,IF((IF($J201=0,$O201,$J201)*$I201)&gt;=($R201-SUM($T201:X201)),($R201-SUM($T201:X201)),IF($J201=0,$O201,$J201)*$I201)))</f>
        <v>1820000</v>
      </c>
      <c r="Z201" s="1367">
        <f>IF($R201-SUM($T201:Y201)=0,0,IF(OR($R201&lt;=0,$R201&lt;=SUM($T201:Y201)),0,IF((IF($J201=0,$O201,$J201)*$I201)&gt;=($R201-SUM($T201:Y201)),($R201-SUM($T201:Y201)),IF($J201=0,$O201,$J201)*$I201)))</f>
        <v>1820000</v>
      </c>
      <c r="AA201" s="1367">
        <f>IF($R201-SUM($T201:Z201)=0,0,IF(OR($R201&lt;=0,$R201&lt;=SUM($T201:Z201)),0,IF((IF($J201=0,$O201,$J201)*$I201)&gt;=($R201-SUM($T201:Z201)),($R201-SUM($T201:Z201)),IF($J201=0,$O201,$J201)*$I201)))</f>
        <v>1820000</v>
      </c>
      <c r="AB201" s="1367">
        <f>IF($R201-SUM($T201:AA201)=0,0,IF(OR($R201&lt;=0,$R201&lt;=SUM($T201:AA201)),0,IF((IF($J201=0,$O201,$J201)*$I201)&gt;=($R201-SUM($T201:AA201)),($R201-SUM($T201:AA201)),IF($J201=0,$O201,$J201)*$I201)))</f>
        <v>1820000</v>
      </c>
      <c r="AC201" s="1367">
        <f>IF($R201-SUM($T201:AB201)=0,0,IF(OR($R201&lt;=0,$R201&lt;=SUM($T201:AB201)),0,IF((IF($J201=0,$O201,$J201)*$I201)&gt;=($R201-SUM($T201:AB201)),($R201-SUM($T201:AB201)),IF($J201=0,$O201,$J201)*$I201)))</f>
        <v>1820000</v>
      </c>
      <c r="AD201" s="1367">
        <f>IF($R201-SUM($T201:AC201)=0,0,IF(OR($R201&lt;=0,$R201&lt;=SUM($T201:AC201)),0,IF((IF($J201=0,$O201,$J201)*$I201)&gt;=($R201-SUM($T201:AC201)),($R201-SUM($T201:AC201)),IF($J201=0,$O201,$J201)*$I201)))</f>
        <v>641550</v>
      </c>
      <c r="AF201" s="1319" t="str">
        <f t="shared" si="57"/>
        <v>Check</v>
      </c>
      <c r="AG201" s="1319" t="str">
        <f t="shared" si="58"/>
        <v>Checked</v>
      </c>
      <c r="AH201" s="1318" t="b">
        <f t="shared" si="59"/>
        <v>1</v>
      </c>
    </row>
    <row r="202" spans="1:34" s="1383" customFormat="1" outlineLevel="1" x14ac:dyDescent="0.3">
      <c r="A202" s="1368"/>
      <c r="B202" s="1369" t="s">
        <v>2390</v>
      </c>
      <c r="C202" s="1369" t="s">
        <v>1971</v>
      </c>
      <c r="D202" s="1370" t="s">
        <v>2391</v>
      </c>
      <c r="E202" s="1371">
        <v>10</v>
      </c>
      <c r="F202" s="1371">
        <f t="shared" si="50"/>
        <v>10</v>
      </c>
      <c r="G202" s="1372">
        <f t="shared" si="51"/>
        <v>0</v>
      </c>
      <c r="H202" s="1373">
        <f t="shared" si="52"/>
        <v>0</v>
      </c>
      <c r="I202" s="1374">
        <f t="shared" si="53"/>
        <v>0.1</v>
      </c>
      <c r="J202" s="1375">
        <v>43800000</v>
      </c>
      <c r="K202" s="1376"/>
      <c r="L202" s="1369">
        <v>0</v>
      </c>
      <c r="M202" s="1369">
        <v>0</v>
      </c>
      <c r="N202" s="1375">
        <f t="shared" si="54"/>
        <v>43800000</v>
      </c>
      <c r="O202" s="1377"/>
      <c r="P202" s="1369">
        <v>0</v>
      </c>
      <c r="Q202" s="1378">
        <v>1890700</v>
      </c>
      <c r="R202" s="1376">
        <f t="shared" si="55"/>
        <v>41909300</v>
      </c>
      <c r="S202" s="1378"/>
      <c r="T202" s="1379">
        <f t="shared" si="56"/>
        <v>0</v>
      </c>
      <c r="U202" s="1380">
        <f>IF($R202-SUM($T202:T202)=0,0,IF(OR($R202&lt;=0,$R202&lt;=SUM($T202:T202)),0,IF((IF($J202=0,$O202,$J202)*$I202)&gt;=($R202-SUM($T202:T202)),($R202-SUM($T202:T202)),IF($J202=0,$O202,$J202)*$I202)))</f>
        <v>4380000</v>
      </c>
      <c r="V202" s="1380">
        <f>IF($R202-SUM($T202:U202)=0,0,IF(OR($R202&lt;=0,$R202&lt;=SUM($T202:U202)),0,IF((IF($J202=0,$O202,$J202)*$I202)&gt;=($R202-SUM($T202:U202)),($R202-SUM($T202:U202)),IF($J202=0,$O202,$J202)*$I202)))</f>
        <v>4380000</v>
      </c>
      <c r="W202" s="1380">
        <f>IF($R202-SUM($T202:V202)=0,0,IF(OR($R202&lt;=0,$R202&lt;=SUM($T202:V202)),0,IF((IF($J202=0,$O202,$J202)*$I202)&gt;=($R202-SUM($T202:V202)),($R202-SUM($T202:V202)),IF($J202=0,$O202,$J202)*$I202)))</f>
        <v>4380000</v>
      </c>
      <c r="X202" s="1380">
        <f>IF($R202-SUM($T202:W202)=0,0,IF(OR($R202&lt;=0,$R202&lt;=SUM($T202:W202)),0,IF((IF($J202=0,$O202,$J202)*$I202)&gt;=($R202-SUM($T202:W202)),($R202-SUM($T202:W202)),IF($J202=0,$O202,$J202)*$I202)))</f>
        <v>4380000</v>
      </c>
      <c r="Y202" s="1380">
        <f>IF($R202-SUM($T202:X202)=0,0,IF(OR($R202&lt;=0,$R202&lt;=SUM($T202:X202)),0,IF((IF($J202=0,$O202,$J202)*$I202)&gt;=($R202-SUM($T202:X202)),($R202-SUM($T202:X202)),IF($J202=0,$O202,$J202)*$I202)))</f>
        <v>4380000</v>
      </c>
      <c r="Z202" s="1380">
        <f>IF($R202-SUM($T202:Y202)=0,0,IF(OR($R202&lt;=0,$R202&lt;=SUM($T202:Y202)),0,IF((IF($J202=0,$O202,$J202)*$I202)&gt;=($R202-SUM($T202:Y202)),($R202-SUM($T202:Y202)),IF($J202=0,$O202,$J202)*$I202)))</f>
        <v>4380000</v>
      </c>
      <c r="AA202" s="1380">
        <f>IF($R202-SUM($T202:Z202)=0,0,IF(OR($R202&lt;=0,$R202&lt;=SUM($T202:Z202)),0,IF((IF($J202=0,$O202,$J202)*$I202)&gt;=($R202-SUM($T202:Z202)),($R202-SUM($T202:Z202)),IF($J202=0,$O202,$J202)*$I202)))</f>
        <v>4380000</v>
      </c>
      <c r="AB202" s="1380">
        <f>IF($R202-SUM($T202:AA202)=0,0,IF(OR($R202&lt;=0,$R202&lt;=SUM($T202:AA202)),0,IF((IF($J202=0,$O202,$J202)*$I202)&gt;=($R202-SUM($T202:AA202)),($R202-SUM($T202:AA202)),IF($J202=0,$O202,$J202)*$I202)))</f>
        <v>4380000</v>
      </c>
      <c r="AC202" s="1380">
        <f>IF($R202-SUM($T202:AB202)=0,0,IF(OR($R202&lt;=0,$R202&lt;=SUM($T202:AB202)),0,IF((IF($J202=0,$O202,$J202)*$I202)&gt;=($R202-SUM($T202:AB202)),($R202-SUM($T202:AB202)),IF($J202=0,$O202,$J202)*$I202)))</f>
        <v>4380000</v>
      </c>
      <c r="AD202" s="1380">
        <f>IF($R202-SUM($T202:AC202)=0,0,IF(OR($R202&lt;=0,$R202&lt;=SUM($T202:AC202)),0,IF((IF($J202=0,$O202,$J202)*$I202)&gt;=($R202-SUM($T202:AC202)),($R202-SUM($T202:AC202)),IF($J202=0,$O202,$J202)*$I202)))</f>
        <v>2489300</v>
      </c>
      <c r="AE202" s="1381"/>
      <c r="AF202" s="1382" t="str">
        <f t="shared" si="57"/>
        <v>Check</v>
      </c>
      <c r="AG202" s="1382" t="str">
        <f t="shared" si="58"/>
        <v>Checked</v>
      </c>
      <c r="AH202" s="1383" t="b">
        <f t="shared" si="59"/>
        <v>1</v>
      </c>
    </row>
    <row r="203" spans="1:34" s="1383" customFormat="1" outlineLevel="1" x14ac:dyDescent="0.3">
      <c r="A203" s="1368"/>
      <c r="B203" s="1369"/>
      <c r="C203" s="1369"/>
      <c r="D203" s="1370"/>
      <c r="E203" s="1371"/>
      <c r="F203" s="1371"/>
      <c r="G203" s="1372"/>
      <c r="H203" s="1373"/>
      <c r="I203" s="1374"/>
      <c r="J203" s="1375"/>
      <c r="K203" s="1376"/>
      <c r="L203" s="1369"/>
      <c r="M203" s="1369"/>
      <c r="N203" s="1375"/>
      <c r="O203" s="1377"/>
      <c r="P203" s="1369"/>
      <c r="Q203" s="1378"/>
      <c r="R203" s="1376"/>
      <c r="S203" s="1378"/>
      <c r="T203" s="1379"/>
      <c r="U203" s="1380"/>
      <c r="V203" s="1380"/>
      <c r="W203" s="1380"/>
      <c r="X203" s="1380"/>
      <c r="Y203" s="1380"/>
      <c r="Z203" s="1380"/>
      <c r="AA203" s="1380"/>
      <c r="AB203" s="1380"/>
      <c r="AC203" s="1380"/>
      <c r="AD203" s="1380"/>
      <c r="AE203" s="1381"/>
      <c r="AF203" s="1382"/>
      <c r="AG203" s="1382"/>
    </row>
    <row r="204" spans="1:34" outlineLevel="1" x14ac:dyDescent="0.3">
      <c r="B204" s="1356" t="s">
        <v>2392</v>
      </c>
      <c r="C204" s="1356" t="s">
        <v>1986</v>
      </c>
      <c r="D204" s="1322" t="s">
        <v>2174</v>
      </c>
      <c r="E204" s="1357">
        <v>5</v>
      </c>
      <c r="F204" s="1333">
        <f t="shared" ref="F204:F247" si="60">MAX((E204-(YEAR($E$4)-YEAR(D204))),0)</f>
        <v>0</v>
      </c>
      <c r="G204" s="1358">
        <f t="shared" ref="G204:G247" si="61">IF(YEAR(D204)=YEAR($E$4),IF($E$2=$E$4,0,IF(D204&lt;$E$4,$E$2-$E$4,$E$2-D204)),$E$2-$E$4)</f>
        <v>0</v>
      </c>
      <c r="H204" s="1359">
        <f t="shared" ref="H204:H247" si="62">G204/365</f>
        <v>0</v>
      </c>
      <c r="I204" s="1360">
        <f t="shared" ref="I204:I247" si="63">1/E204</f>
        <v>0.2</v>
      </c>
      <c r="J204" s="1361">
        <v>9398019</v>
      </c>
      <c r="K204" s="1362">
        <v>9397019</v>
      </c>
      <c r="L204" s="1356">
        <v>0</v>
      </c>
      <c r="M204" s="1356">
        <v>0</v>
      </c>
      <c r="N204" s="1361">
        <f t="shared" ref="N204:N247" si="64">J204-K204-L204+M204</f>
        <v>1000</v>
      </c>
      <c r="O204" s="1363">
        <v>0</v>
      </c>
      <c r="P204" s="1356">
        <v>0</v>
      </c>
      <c r="Q204" s="1364"/>
      <c r="R204" s="1365">
        <f t="shared" ref="R204:R247" si="65">MAX(IF(J204=0,(O204-P204-Q204),(N204-P204-Q204)),0)</f>
        <v>1000</v>
      </c>
      <c r="S204" s="1364"/>
      <c r="T204" s="1366">
        <f t="shared" ref="T204:T247" si="66">IF(R204=0,0,MIN(IF(J204=0,O204*I204*H204,J204*I204*H204),R204))</f>
        <v>0</v>
      </c>
      <c r="U204" s="1367">
        <f>IF($R204-SUM($T204:T204)=0,0,IF(OR($R204&lt;=0,$R204&lt;=SUM($T204:T204)),0,IF((IF($J204=0,$O204,$J204)*$I204)&gt;=($R204-SUM($T204:T204)),($R204-SUM($T204:T204)),IF($J204=0,$O204,$J204)*$I204)))</f>
        <v>1000</v>
      </c>
      <c r="V204" s="1367">
        <f>IF($R204-SUM($T204:U204)=0,0,IF(OR($R204&lt;=0,$R204&lt;=SUM($T204:U204)),0,IF((IF($J204=0,$O204,$J204)*$I204)&gt;=($R204-SUM($T204:U204)),($R204-SUM($T204:U204)),IF($J204=0,$O204,$J204)*$I204)))</f>
        <v>0</v>
      </c>
      <c r="W204" s="1367">
        <f>IF($R204-SUM($T204:V204)=0,0,IF(OR($R204&lt;=0,$R204&lt;=SUM($T204:V204)),0,IF((IF($J204=0,$O204,$J204)*$I204)&gt;=($R204-SUM($T204:V204)),($R204-SUM($T204:V204)),IF($J204=0,$O204,$J204)*$I204)))</f>
        <v>0</v>
      </c>
      <c r="X204" s="1367">
        <f>IF($R204-SUM($T204:W204)=0,0,IF(OR($R204&lt;=0,$R204&lt;=SUM($T204:W204)),0,IF((IF($J204=0,$O204,$J204)*$I204)&gt;=($R204-SUM($T204:W204)),($R204-SUM($T204:W204)),IF($J204=0,$O204,$J204)*$I204)))</f>
        <v>0</v>
      </c>
      <c r="Y204" s="1367">
        <f>IF($R204-SUM($T204:X204)=0,0,IF(OR($R204&lt;=0,$R204&lt;=SUM($T204:X204)),0,IF((IF($J204=0,$O204,$J204)*$I204)&gt;=($R204-SUM($T204:X204)),($R204-SUM($T204:X204)),IF($J204=0,$O204,$J204)*$I204)))</f>
        <v>0</v>
      </c>
      <c r="Z204" s="1367">
        <f>IF($R204-SUM($T204:Y204)=0,0,IF(OR($R204&lt;=0,$R204&lt;=SUM($T204:Y204)),0,IF((IF($J204=0,$O204,$J204)*$I204)&gt;=($R204-SUM($T204:Y204)),($R204-SUM($T204:Y204)),IF($J204=0,$O204,$J204)*$I204)))</f>
        <v>0</v>
      </c>
      <c r="AA204" s="1367">
        <f>IF($R204-SUM($T204:Z204)=0,0,IF(OR($R204&lt;=0,$R204&lt;=SUM($T204:Z204)),0,IF((IF($J204=0,$O204,$J204)*$I204)&gt;=($R204-SUM($T204:Z204)),($R204-SUM($T204:Z204)),IF($J204=0,$O204,$J204)*$I204)))</f>
        <v>0</v>
      </c>
      <c r="AB204" s="1367">
        <f>IF($R204-SUM($T204:AA204)=0,0,IF(OR($R204&lt;=0,$R204&lt;=SUM($T204:AA204)),0,IF((IF($J204=0,$O204,$J204)*$I204)&gt;=($R204-SUM($T204:AA204)),($R204-SUM($T204:AA204)),IF($J204=0,$O204,$J204)*$I204)))</f>
        <v>0</v>
      </c>
      <c r="AC204" s="1367">
        <f>IF($R204-SUM($T204:AB204)=0,0,IF(OR($R204&lt;=0,$R204&lt;=SUM($T204:AB204)),0,IF((IF($J204=0,$O204,$J204)*$I204)&gt;=($R204-SUM($T204:AB204)),($R204-SUM($T204:AB204)),IF($J204=0,$O204,$J204)*$I204)))</f>
        <v>0</v>
      </c>
      <c r="AD204" s="1367">
        <f>IF($R204-SUM($T204:AC204)=0,0,IF(OR($R204&lt;=0,$R204&lt;=SUM($T204:AC204)),0,IF((IF($J204=0,$O204,$J204)*$I204)&gt;=($R204-SUM($T204:AC204)),($R204-SUM($T204:AC204)),IF($J204=0,$O204,$J204)*$I204)))</f>
        <v>0</v>
      </c>
      <c r="AF204" s="1319" t="b">
        <f t="shared" ref="AF204:AF247" si="67">IF(AD204=0,SUM(T204:AD204)=R204,"Check")</f>
        <v>1</v>
      </c>
      <c r="AG204" s="1319" t="str">
        <f t="shared" ref="AG204:AG247" si="68">IF(R204=0,SUM(T204:AD204)=0,"Checked")</f>
        <v>Checked</v>
      </c>
      <c r="AH204" s="1318" t="str">
        <f t="shared" ref="AH204:AH247" si="69">IF((R204-T204)&gt;U204,IF(J204=0,O204,J204)*I204=U204,"Checked")</f>
        <v>Checked</v>
      </c>
    </row>
    <row r="205" spans="1:34" outlineLevel="1" x14ac:dyDescent="0.3">
      <c r="B205" s="1356" t="s">
        <v>2393</v>
      </c>
      <c r="C205" s="1356" t="s">
        <v>1986</v>
      </c>
      <c r="D205" s="1322" t="s">
        <v>2174</v>
      </c>
      <c r="E205" s="1357">
        <v>5</v>
      </c>
      <c r="F205" s="1333">
        <f t="shared" si="60"/>
        <v>0</v>
      </c>
      <c r="G205" s="1358">
        <f t="shared" si="61"/>
        <v>0</v>
      </c>
      <c r="H205" s="1359">
        <f t="shared" si="62"/>
        <v>0</v>
      </c>
      <c r="I205" s="1360">
        <f t="shared" si="63"/>
        <v>0.2</v>
      </c>
      <c r="J205" s="1361">
        <v>10396257</v>
      </c>
      <c r="K205" s="1362">
        <v>10395257</v>
      </c>
      <c r="L205" s="1356">
        <v>0</v>
      </c>
      <c r="M205" s="1356">
        <v>0</v>
      </c>
      <c r="N205" s="1361">
        <f t="shared" si="64"/>
        <v>1000</v>
      </c>
      <c r="O205" s="1363">
        <v>0</v>
      </c>
      <c r="P205" s="1356">
        <v>0</v>
      </c>
      <c r="Q205" s="1364"/>
      <c r="R205" s="1365">
        <f t="shared" si="65"/>
        <v>1000</v>
      </c>
      <c r="S205" s="1364"/>
      <c r="T205" s="1366">
        <f t="shared" si="66"/>
        <v>0</v>
      </c>
      <c r="U205" s="1367">
        <f>IF($R205-SUM($T205:T205)=0,0,IF(OR($R205&lt;=0,$R205&lt;=SUM($T205:T205)),0,IF((IF($J205=0,$O205,$J205)*$I205)&gt;=($R205-SUM($T205:T205)),($R205-SUM($T205:T205)),IF($J205=0,$O205,$J205)*$I205)))</f>
        <v>1000</v>
      </c>
      <c r="V205" s="1367">
        <f>IF($R205-SUM($T205:U205)=0,0,IF(OR($R205&lt;=0,$R205&lt;=SUM($T205:U205)),0,IF((IF($J205=0,$O205,$J205)*$I205)&gt;=($R205-SUM($T205:U205)),($R205-SUM($T205:U205)),IF($J205=0,$O205,$J205)*$I205)))</f>
        <v>0</v>
      </c>
      <c r="W205" s="1367">
        <f>IF($R205-SUM($T205:V205)=0,0,IF(OR($R205&lt;=0,$R205&lt;=SUM($T205:V205)),0,IF((IF($J205=0,$O205,$J205)*$I205)&gt;=($R205-SUM($T205:V205)),($R205-SUM($T205:V205)),IF($J205=0,$O205,$J205)*$I205)))</f>
        <v>0</v>
      </c>
      <c r="X205" s="1367">
        <f>IF($R205-SUM($T205:W205)=0,0,IF(OR($R205&lt;=0,$R205&lt;=SUM($T205:W205)),0,IF((IF($J205=0,$O205,$J205)*$I205)&gt;=($R205-SUM($T205:W205)),($R205-SUM($T205:W205)),IF($J205=0,$O205,$J205)*$I205)))</f>
        <v>0</v>
      </c>
      <c r="Y205" s="1367">
        <f>IF($R205-SUM($T205:X205)=0,0,IF(OR($R205&lt;=0,$R205&lt;=SUM($T205:X205)),0,IF((IF($J205=0,$O205,$J205)*$I205)&gt;=($R205-SUM($T205:X205)),($R205-SUM($T205:X205)),IF($J205=0,$O205,$J205)*$I205)))</f>
        <v>0</v>
      </c>
      <c r="Z205" s="1367">
        <f>IF($R205-SUM($T205:Y205)=0,0,IF(OR($R205&lt;=0,$R205&lt;=SUM($T205:Y205)),0,IF((IF($J205=0,$O205,$J205)*$I205)&gt;=($R205-SUM($T205:Y205)),($R205-SUM($T205:Y205)),IF($J205=0,$O205,$J205)*$I205)))</f>
        <v>0</v>
      </c>
      <c r="AA205" s="1367">
        <f>IF($R205-SUM($T205:Z205)=0,0,IF(OR($R205&lt;=0,$R205&lt;=SUM($T205:Z205)),0,IF((IF($J205=0,$O205,$J205)*$I205)&gt;=($R205-SUM($T205:Z205)),($R205-SUM($T205:Z205)),IF($J205=0,$O205,$J205)*$I205)))</f>
        <v>0</v>
      </c>
      <c r="AB205" s="1367">
        <f>IF($R205-SUM($T205:AA205)=0,0,IF(OR($R205&lt;=0,$R205&lt;=SUM($T205:AA205)),0,IF((IF($J205=0,$O205,$J205)*$I205)&gt;=($R205-SUM($T205:AA205)),($R205-SUM($T205:AA205)),IF($J205=0,$O205,$J205)*$I205)))</f>
        <v>0</v>
      </c>
      <c r="AC205" s="1367">
        <f>IF($R205-SUM($T205:AB205)=0,0,IF(OR($R205&lt;=0,$R205&lt;=SUM($T205:AB205)),0,IF((IF($J205=0,$O205,$J205)*$I205)&gt;=($R205-SUM($T205:AB205)),($R205-SUM($T205:AB205)),IF($J205=0,$O205,$J205)*$I205)))</f>
        <v>0</v>
      </c>
      <c r="AD205" s="1367">
        <f>IF($R205-SUM($T205:AC205)=0,0,IF(OR($R205&lt;=0,$R205&lt;=SUM($T205:AC205)),0,IF((IF($J205=0,$O205,$J205)*$I205)&gt;=($R205-SUM($T205:AC205)),($R205-SUM($T205:AC205)),IF($J205=0,$O205,$J205)*$I205)))</f>
        <v>0</v>
      </c>
      <c r="AF205" s="1319" t="b">
        <f t="shared" si="67"/>
        <v>1</v>
      </c>
      <c r="AG205" s="1319" t="str">
        <f t="shared" si="68"/>
        <v>Checked</v>
      </c>
      <c r="AH205" s="1318" t="str">
        <f t="shared" si="69"/>
        <v>Checked</v>
      </c>
    </row>
    <row r="206" spans="1:34" outlineLevel="1" x14ac:dyDescent="0.3">
      <c r="B206" s="1356" t="s">
        <v>2394</v>
      </c>
      <c r="C206" s="1356" t="s">
        <v>1986</v>
      </c>
      <c r="D206" s="1322" t="s">
        <v>2395</v>
      </c>
      <c r="E206" s="1357">
        <v>5</v>
      </c>
      <c r="F206" s="1333">
        <f t="shared" si="60"/>
        <v>0</v>
      </c>
      <c r="G206" s="1358">
        <f t="shared" si="61"/>
        <v>0</v>
      </c>
      <c r="H206" s="1359">
        <f t="shared" si="62"/>
        <v>0</v>
      </c>
      <c r="I206" s="1360">
        <f t="shared" si="63"/>
        <v>0.2</v>
      </c>
      <c r="J206" s="1361">
        <v>20680000</v>
      </c>
      <c r="K206" s="1362">
        <v>20679000</v>
      </c>
      <c r="L206" s="1356">
        <v>0</v>
      </c>
      <c r="M206" s="1356">
        <v>0</v>
      </c>
      <c r="N206" s="1361">
        <f t="shared" si="64"/>
        <v>1000</v>
      </c>
      <c r="O206" s="1363">
        <v>0</v>
      </c>
      <c r="P206" s="1356">
        <v>0</v>
      </c>
      <c r="Q206" s="1364"/>
      <c r="R206" s="1365">
        <f t="shared" si="65"/>
        <v>1000</v>
      </c>
      <c r="S206" s="1364"/>
      <c r="T206" s="1366">
        <f t="shared" si="66"/>
        <v>0</v>
      </c>
      <c r="U206" s="1367">
        <f>IF($R206-SUM($T206:T206)=0,0,IF(OR($R206&lt;=0,$R206&lt;=SUM($T206:T206)),0,IF((IF($J206=0,$O206,$J206)*$I206)&gt;=($R206-SUM($T206:T206)),($R206-SUM($T206:T206)),IF($J206=0,$O206,$J206)*$I206)))</f>
        <v>1000</v>
      </c>
      <c r="V206" s="1367">
        <f>IF($R206-SUM($T206:U206)=0,0,IF(OR($R206&lt;=0,$R206&lt;=SUM($T206:U206)),0,IF((IF($J206=0,$O206,$J206)*$I206)&gt;=($R206-SUM($T206:U206)),($R206-SUM($T206:U206)),IF($J206=0,$O206,$J206)*$I206)))</f>
        <v>0</v>
      </c>
      <c r="W206" s="1367">
        <f>IF($R206-SUM($T206:V206)=0,0,IF(OR($R206&lt;=0,$R206&lt;=SUM($T206:V206)),0,IF((IF($J206=0,$O206,$J206)*$I206)&gt;=($R206-SUM($T206:V206)),($R206-SUM($T206:V206)),IF($J206=0,$O206,$J206)*$I206)))</f>
        <v>0</v>
      </c>
      <c r="X206" s="1367">
        <f>IF($R206-SUM($T206:W206)=0,0,IF(OR($R206&lt;=0,$R206&lt;=SUM($T206:W206)),0,IF((IF($J206=0,$O206,$J206)*$I206)&gt;=($R206-SUM($T206:W206)),($R206-SUM($T206:W206)),IF($J206=0,$O206,$J206)*$I206)))</f>
        <v>0</v>
      </c>
      <c r="Y206" s="1367">
        <f>IF($R206-SUM($T206:X206)=0,0,IF(OR($R206&lt;=0,$R206&lt;=SUM($T206:X206)),0,IF((IF($J206=0,$O206,$J206)*$I206)&gt;=($R206-SUM($T206:X206)),($R206-SUM($T206:X206)),IF($J206=0,$O206,$J206)*$I206)))</f>
        <v>0</v>
      </c>
      <c r="Z206" s="1367">
        <f>IF($R206-SUM($T206:Y206)=0,0,IF(OR($R206&lt;=0,$R206&lt;=SUM($T206:Y206)),0,IF((IF($J206=0,$O206,$J206)*$I206)&gt;=($R206-SUM($T206:Y206)),($R206-SUM($T206:Y206)),IF($J206=0,$O206,$J206)*$I206)))</f>
        <v>0</v>
      </c>
      <c r="AA206" s="1367">
        <f>IF($R206-SUM($T206:Z206)=0,0,IF(OR($R206&lt;=0,$R206&lt;=SUM($T206:Z206)),0,IF((IF($J206=0,$O206,$J206)*$I206)&gt;=($R206-SUM($T206:Z206)),($R206-SUM($T206:Z206)),IF($J206=0,$O206,$J206)*$I206)))</f>
        <v>0</v>
      </c>
      <c r="AB206" s="1367">
        <f>IF($R206-SUM($T206:AA206)=0,0,IF(OR($R206&lt;=0,$R206&lt;=SUM($T206:AA206)),0,IF((IF($J206=0,$O206,$J206)*$I206)&gt;=($R206-SUM($T206:AA206)),($R206-SUM($T206:AA206)),IF($J206=0,$O206,$J206)*$I206)))</f>
        <v>0</v>
      </c>
      <c r="AC206" s="1367">
        <f>IF($R206-SUM($T206:AB206)=0,0,IF(OR($R206&lt;=0,$R206&lt;=SUM($T206:AB206)),0,IF((IF($J206=0,$O206,$J206)*$I206)&gt;=($R206-SUM($T206:AB206)),($R206-SUM($T206:AB206)),IF($J206=0,$O206,$J206)*$I206)))</f>
        <v>0</v>
      </c>
      <c r="AD206" s="1367">
        <f>IF($R206-SUM($T206:AC206)=0,0,IF(OR($R206&lt;=0,$R206&lt;=SUM($T206:AC206)),0,IF((IF($J206=0,$O206,$J206)*$I206)&gt;=($R206-SUM($T206:AC206)),($R206-SUM($T206:AC206)),IF($J206=0,$O206,$J206)*$I206)))</f>
        <v>0</v>
      </c>
      <c r="AF206" s="1319" t="b">
        <f t="shared" si="67"/>
        <v>1</v>
      </c>
      <c r="AG206" s="1319" t="str">
        <f t="shared" si="68"/>
        <v>Checked</v>
      </c>
      <c r="AH206" s="1318" t="str">
        <f t="shared" si="69"/>
        <v>Checked</v>
      </c>
    </row>
    <row r="207" spans="1:34" outlineLevel="1" x14ac:dyDescent="0.3">
      <c r="B207" s="1356" t="s">
        <v>2396</v>
      </c>
      <c r="C207" s="1356" t="s">
        <v>1986</v>
      </c>
      <c r="D207" s="1322" t="s">
        <v>2397</v>
      </c>
      <c r="E207" s="1357">
        <v>5</v>
      </c>
      <c r="F207" s="1333">
        <f t="shared" si="60"/>
        <v>0</v>
      </c>
      <c r="G207" s="1358">
        <f t="shared" si="61"/>
        <v>0</v>
      </c>
      <c r="H207" s="1359">
        <f t="shared" si="62"/>
        <v>0</v>
      </c>
      <c r="I207" s="1360">
        <f t="shared" si="63"/>
        <v>0.2</v>
      </c>
      <c r="J207" s="1361">
        <v>12320765</v>
      </c>
      <c r="K207" s="1362">
        <v>12319765</v>
      </c>
      <c r="L207" s="1356">
        <v>0</v>
      </c>
      <c r="M207" s="1356">
        <v>0</v>
      </c>
      <c r="N207" s="1361">
        <f t="shared" si="64"/>
        <v>1000</v>
      </c>
      <c r="O207" s="1363">
        <v>0</v>
      </c>
      <c r="P207" s="1356">
        <v>0</v>
      </c>
      <c r="Q207" s="1364"/>
      <c r="R207" s="1365">
        <f t="shared" si="65"/>
        <v>1000</v>
      </c>
      <c r="S207" s="1364"/>
      <c r="T207" s="1366">
        <f t="shared" si="66"/>
        <v>0</v>
      </c>
      <c r="U207" s="1367">
        <f>IF($R207-SUM($T207:T207)=0,0,IF(OR($R207&lt;=0,$R207&lt;=SUM($T207:T207)),0,IF((IF($J207=0,$O207,$J207)*$I207)&gt;=($R207-SUM($T207:T207)),($R207-SUM($T207:T207)),IF($J207=0,$O207,$J207)*$I207)))</f>
        <v>1000</v>
      </c>
      <c r="V207" s="1367">
        <f>IF($R207-SUM($T207:U207)=0,0,IF(OR($R207&lt;=0,$R207&lt;=SUM($T207:U207)),0,IF((IF($J207=0,$O207,$J207)*$I207)&gt;=($R207-SUM($T207:U207)),($R207-SUM($T207:U207)),IF($J207=0,$O207,$J207)*$I207)))</f>
        <v>0</v>
      </c>
      <c r="W207" s="1367">
        <f>IF($R207-SUM($T207:V207)=0,0,IF(OR($R207&lt;=0,$R207&lt;=SUM($T207:V207)),0,IF((IF($J207=0,$O207,$J207)*$I207)&gt;=($R207-SUM($T207:V207)),($R207-SUM($T207:V207)),IF($J207=0,$O207,$J207)*$I207)))</f>
        <v>0</v>
      </c>
      <c r="X207" s="1367">
        <f>IF($R207-SUM($T207:W207)=0,0,IF(OR($R207&lt;=0,$R207&lt;=SUM($T207:W207)),0,IF((IF($J207=0,$O207,$J207)*$I207)&gt;=($R207-SUM($T207:W207)),($R207-SUM($T207:W207)),IF($J207=0,$O207,$J207)*$I207)))</f>
        <v>0</v>
      </c>
      <c r="Y207" s="1367">
        <f>IF($R207-SUM($T207:X207)=0,0,IF(OR($R207&lt;=0,$R207&lt;=SUM($T207:X207)),0,IF((IF($J207=0,$O207,$J207)*$I207)&gt;=($R207-SUM($T207:X207)),($R207-SUM($T207:X207)),IF($J207=0,$O207,$J207)*$I207)))</f>
        <v>0</v>
      </c>
      <c r="Z207" s="1367">
        <f>IF($R207-SUM($T207:Y207)=0,0,IF(OR($R207&lt;=0,$R207&lt;=SUM($T207:Y207)),0,IF((IF($J207=0,$O207,$J207)*$I207)&gt;=($R207-SUM($T207:Y207)),($R207-SUM($T207:Y207)),IF($J207=0,$O207,$J207)*$I207)))</f>
        <v>0</v>
      </c>
      <c r="AA207" s="1367">
        <f>IF($R207-SUM($T207:Z207)=0,0,IF(OR($R207&lt;=0,$R207&lt;=SUM($T207:Z207)),0,IF((IF($J207=0,$O207,$J207)*$I207)&gt;=($R207-SUM($T207:Z207)),($R207-SUM($T207:Z207)),IF($J207=0,$O207,$J207)*$I207)))</f>
        <v>0</v>
      </c>
      <c r="AB207" s="1367">
        <f>IF($R207-SUM($T207:AA207)=0,0,IF(OR($R207&lt;=0,$R207&lt;=SUM($T207:AA207)),0,IF((IF($J207=0,$O207,$J207)*$I207)&gt;=($R207-SUM($T207:AA207)),($R207-SUM($T207:AA207)),IF($J207=0,$O207,$J207)*$I207)))</f>
        <v>0</v>
      </c>
      <c r="AC207" s="1367">
        <f>IF($R207-SUM($T207:AB207)=0,0,IF(OR($R207&lt;=0,$R207&lt;=SUM($T207:AB207)),0,IF((IF($J207=0,$O207,$J207)*$I207)&gt;=($R207-SUM($T207:AB207)),($R207-SUM($T207:AB207)),IF($J207=0,$O207,$J207)*$I207)))</f>
        <v>0</v>
      </c>
      <c r="AD207" s="1367">
        <f>IF($R207-SUM($T207:AC207)=0,0,IF(OR($R207&lt;=0,$R207&lt;=SUM($T207:AC207)),0,IF((IF($J207=0,$O207,$J207)*$I207)&gt;=($R207-SUM($T207:AC207)),($R207-SUM($T207:AC207)),IF($J207=0,$O207,$J207)*$I207)))</f>
        <v>0</v>
      </c>
      <c r="AF207" s="1319" t="b">
        <f t="shared" si="67"/>
        <v>1</v>
      </c>
      <c r="AG207" s="1319" t="str">
        <f t="shared" si="68"/>
        <v>Checked</v>
      </c>
      <c r="AH207" s="1318" t="str">
        <f t="shared" si="69"/>
        <v>Checked</v>
      </c>
    </row>
    <row r="208" spans="1:34" outlineLevel="1" x14ac:dyDescent="0.3">
      <c r="B208" s="1356" t="s">
        <v>2398</v>
      </c>
      <c r="C208" s="1356" t="s">
        <v>1986</v>
      </c>
      <c r="D208" s="1322" t="s">
        <v>2399</v>
      </c>
      <c r="E208" s="1357">
        <v>5</v>
      </c>
      <c r="F208" s="1333">
        <f t="shared" si="60"/>
        <v>0</v>
      </c>
      <c r="G208" s="1358">
        <f t="shared" si="61"/>
        <v>0</v>
      </c>
      <c r="H208" s="1359">
        <f t="shared" si="62"/>
        <v>0</v>
      </c>
      <c r="I208" s="1360">
        <f t="shared" si="63"/>
        <v>0.2</v>
      </c>
      <c r="J208" s="1361">
        <v>8816363</v>
      </c>
      <c r="K208" s="1362">
        <v>8815363</v>
      </c>
      <c r="L208" s="1356">
        <v>0</v>
      </c>
      <c r="M208" s="1356">
        <v>0</v>
      </c>
      <c r="N208" s="1361">
        <f t="shared" si="64"/>
        <v>1000</v>
      </c>
      <c r="O208" s="1363">
        <v>0</v>
      </c>
      <c r="P208" s="1356">
        <v>0</v>
      </c>
      <c r="Q208" s="1364"/>
      <c r="R208" s="1365">
        <f t="shared" si="65"/>
        <v>1000</v>
      </c>
      <c r="S208" s="1364"/>
      <c r="T208" s="1366">
        <f t="shared" si="66"/>
        <v>0</v>
      </c>
      <c r="U208" s="1367">
        <f>IF($R208-SUM($T208:T208)=0,0,IF(OR($R208&lt;=0,$R208&lt;=SUM($T208:T208)),0,IF((IF($J208=0,$O208,$J208)*$I208)&gt;=($R208-SUM($T208:T208)),($R208-SUM($T208:T208)),IF($J208=0,$O208,$J208)*$I208)))</f>
        <v>1000</v>
      </c>
      <c r="V208" s="1367">
        <f>IF($R208-SUM($T208:U208)=0,0,IF(OR($R208&lt;=0,$R208&lt;=SUM($T208:U208)),0,IF((IF($J208=0,$O208,$J208)*$I208)&gt;=($R208-SUM($T208:U208)),($R208-SUM($T208:U208)),IF($J208=0,$O208,$J208)*$I208)))</f>
        <v>0</v>
      </c>
      <c r="W208" s="1367">
        <f>IF($R208-SUM($T208:V208)=0,0,IF(OR($R208&lt;=0,$R208&lt;=SUM($T208:V208)),0,IF((IF($J208=0,$O208,$J208)*$I208)&gt;=($R208-SUM($T208:V208)),($R208-SUM($T208:V208)),IF($J208=0,$O208,$J208)*$I208)))</f>
        <v>0</v>
      </c>
      <c r="X208" s="1367">
        <f>IF($R208-SUM($T208:W208)=0,0,IF(OR($R208&lt;=0,$R208&lt;=SUM($T208:W208)),0,IF((IF($J208=0,$O208,$J208)*$I208)&gt;=($R208-SUM($T208:W208)),($R208-SUM($T208:W208)),IF($J208=0,$O208,$J208)*$I208)))</f>
        <v>0</v>
      </c>
      <c r="Y208" s="1367">
        <f>IF($R208-SUM($T208:X208)=0,0,IF(OR($R208&lt;=0,$R208&lt;=SUM($T208:X208)),0,IF((IF($J208=0,$O208,$J208)*$I208)&gt;=($R208-SUM($T208:X208)),($R208-SUM($T208:X208)),IF($J208=0,$O208,$J208)*$I208)))</f>
        <v>0</v>
      </c>
      <c r="Z208" s="1367">
        <f>IF($R208-SUM($T208:Y208)=0,0,IF(OR($R208&lt;=0,$R208&lt;=SUM($T208:Y208)),0,IF((IF($J208=0,$O208,$J208)*$I208)&gt;=($R208-SUM($T208:Y208)),($R208-SUM($T208:Y208)),IF($J208=0,$O208,$J208)*$I208)))</f>
        <v>0</v>
      </c>
      <c r="AA208" s="1367">
        <f>IF($R208-SUM($T208:Z208)=0,0,IF(OR($R208&lt;=0,$R208&lt;=SUM($T208:Z208)),0,IF((IF($J208=0,$O208,$J208)*$I208)&gt;=($R208-SUM($T208:Z208)),($R208-SUM($T208:Z208)),IF($J208=0,$O208,$J208)*$I208)))</f>
        <v>0</v>
      </c>
      <c r="AB208" s="1367">
        <f>IF($R208-SUM($T208:AA208)=0,0,IF(OR($R208&lt;=0,$R208&lt;=SUM($T208:AA208)),0,IF((IF($J208=0,$O208,$J208)*$I208)&gt;=($R208-SUM($T208:AA208)),($R208-SUM($T208:AA208)),IF($J208=0,$O208,$J208)*$I208)))</f>
        <v>0</v>
      </c>
      <c r="AC208" s="1367">
        <f>IF($R208-SUM($T208:AB208)=0,0,IF(OR($R208&lt;=0,$R208&lt;=SUM($T208:AB208)),0,IF((IF($J208=0,$O208,$J208)*$I208)&gt;=($R208-SUM($T208:AB208)),($R208-SUM($T208:AB208)),IF($J208=0,$O208,$J208)*$I208)))</f>
        <v>0</v>
      </c>
      <c r="AD208" s="1367">
        <f>IF($R208-SUM($T208:AC208)=0,0,IF(OR($R208&lt;=0,$R208&lt;=SUM($T208:AC208)),0,IF((IF($J208=0,$O208,$J208)*$I208)&gt;=($R208-SUM($T208:AC208)),($R208-SUM($T208:AC208)),IF($J208=0,$O208,$J208)*$I208)))</f>
        <v>0</v>
      </c>
      <c r="AF208" s="1319" t="b">
        <f t="shared" si="67"/>
        <v>1</v>
      </c>
      <c r="AG208" s="1319" t="str">
        <f t="shared" si="68"/>
        <v>Checked</v>
      </c>
      <c r="AH208" s="1318" t="str">
        <f t="shared" si="69"/>
        <v>Checked</v>
      </c>
    </row>
    <row r="209" spans="2:34" outlineLevel="1" x14ac:dyDescent="0.3">
      <c r="B209" s="1356" t="s">
        <v>2400</v>
      </c>
      <c r="C209" s="1356" t="s">
        <v>1986</v>
      </c>
      <c r="D209" s="1322" t="s">
        <v>2401</v>
      </c>
      <c r="E209" s="1357">
        <v>5</v>
      </c>
      <c r="F209" s="1333">
        <f t="shared" si="60"/>
        <v>0</v>
      </c>
      <c r="G209" s="1358">
        <f t="shared" si="61"/>
        <v>0</v>
      </c>
      <c r="H209" s="1359">
        <f t="shared" si="62"/>
        <v>0</v>
      </c>
      <c r="I209" s="1360">
        <f t="shared" si="63"/>
        <v>0.2</v>
      </c>
      <c r="J209" s="1361">
        <v>8311819</v>
      </c>
      <c r="K209" s="1362">
        <v>8310819</v>
      </c>
      <c r="L209" s="1356">
        <v>0</v>
      </c>
      <c r="M209" s="1356">
        <v>0</v>
      </c>
      <c r="N209" s="1361">
        <f t="shared" si="64"/>
        <v>1000</v>
      </c>
      <c r="O209" s="1363">
        <v>0</v>
      </c>
      <c r="P209" s="1356">
        <v>0</v>
      </c>
      <c r="Q209" s="1364"/>
      <c r="R209" s="1365">
        <f t="shared" si="65"/>
        <v>1000</v>
      </c>
      <c r="S209" s="1364"/>
      <c r="T209" s="1366">
        <f t="shared" si="66"/>
        <v>0</v>
      </c>
      <c r="U209" s="1367">
        <f>IF($R209-SUM($T209:T209)=0,0,IF(OR($R209&lt;=0,$R209&lt;=SUM($T209:T209)),0,IF((IF($J209=0,$O209,$J209)*$I209)&gt;=($R209-SUM($T209:T209)),($R209-SUM($T209:T209)),IF($J209=0,$O209,$J209)*$I209)))</f>
        <v>1000</v>
      </c>
      <c r="V209" s="1367">
        <f>IF($R209-SUM($T209:U209)=0,0,IF(OR($R209&lt;=0,$R209&lt;=SUM($T209:U209)),0,IF((IF($J209=0,$O209,$J209)*$I209)&gt;=($R209-SUM($T209:U209)),($R209-SUM($T209:U209)),IF($J209=0,$O209,$J209)*$I209)))</f>
        <v>0</v>
      </c>
      <c r="W209" s="1367">
        <f>IF($R209-SUM($T209:V209)=0,0,IF(OR($R209&lt;=0,$R209&lt;=SUM($T209:V209)),0,IF((IF($J209=0,$O209,$J209)*$I209)&gt;=($R209-SUM($T209:V209)),($R209-SUM($T209:V209)),IF($J209=0,$O209,$J209)*$I209)))</f>
        <v>0</v>
      </c>
      <c r="X209" s="1367">
        <f>IF($R209-SUM($T209:W209)=0,0,IF(OR($R209&lt;=0,$R209&lt;=SUM($T209:W209)),0,IF((IF($J209=0,$O209,$J209)*$I209)&gt;=($R209-SUM($T209:W209)),($R209-SUM($T209:W209)),IF($J209=0,$O209,$J209)*$I209)))</f>
        <v>0</v>
      </c>
      <c r="Y209" s="1367">
        <f>IF($R209-SUM($T209:X209)=0,0,IF(OR($R209&lt;=0,$R209&lt;=SUM($T209:X209)),0,IF((IF($J209=0,$O209,$J209)*$I209)&gt;=($R209-SUM($T209:X209)),($R209-SUM($T209:X209)),IF($J209=0,$O209,$J209)*$I209)))</f>
        <v>0</v>
      </c>
      <c r="Z209" s="1367">
        <f>IF($R209-SUM($T209:Y209)=0,0,IF(OR($R209&lt;=0,$R209&lt;=SUM($T209:Y209)),0,IF((IF($J209=0,$O209,$J209)*$I209)&gt;=($R209-SUM($T209:Y209)),($R209-SUM($T209:Y209)),IF($J209=0,$O209,$J209)*$I209)))</f>
        <v>0</v>
      </c>
      <c r="AA209" s="1367">
        <f>IF($R209-SUM($T209:Z209)=0,0,IF(OR($R209&lt;=0,$R209&lt;=SUM($T209:Z209)),0,IF((IF($J209=0,$O209,$J209)*$I209)&gt;=($R209-SUM($T209:Z209)),($R209-SUM($T209:Z209)),IF($J209=0,$O209,$J209)*$I209)))</f>
        <v>0</v>
      </c>
      <c r="AB209" s="1367">
        <f>IF($R209-SUM($T209:AA209)=0,0,IF(OR($R209&lt;=0,$R209&lt;=SUM($T209:AA209)),0,IF((IF($J209=0,$O209,$J209)*$I209)&gt;=($R209-SUM($T209:AA209)),($R209-SUM($T209:AA209)),IF($J209=0,$O209,$J209)*$I209)))</f>
        <v>0</v>
      </c>
      <c r="AC209" s="1367">
        <f>IF($R209-SUM($T209:AB209)=0,0,IF(OR($R209&lt;=0,$R209&lt;=SUM($T209:AB209)),0,IF((IF($J209=0,$O209,$J209)*$I209)&gt;=($R209-SUM($T209:AB209)),($R209-SUM($T209:AB209)),IF($J209=0,$O209,$J209)*$I209)))</f>
        <v>0</v>
      </c>
      <c r="AD209" s="1367">
        <f>IF($R209-SUM($T209:AC209)=0,0,IF(OR($R209&lt;=0,$R209&lt;=SUM($T209:AC209)),0,IF((IF($J209=0,$O209,$J209)*$I209)&gt;=($R209-SUM($T209:AC209)),($R209-SUM($T209:AC209)),IF($J209=0,$O209,$J209)*$I209)))</f>
        <v>0</v>
      </c>
      <c r="AF209" s="1319" t="b">
        <f t="shared" si="67"/>
        <v>1</v>
      </c>
      <c r="AG209" s="1319" t="str">
        <f t="shared" si="68"/>
        <v>Checked</v>
      </c>
      <c r="AH209" s="1318" t="str">
        <f t="shared" si="69"/>
        <v>Checked</v>
      </c>
    </row>
    <row r="210" spans="2:34" outlineLevel="1" x14ac:dyDescent="0.3">
      <c r="B210" s="1356" t="s">
        <v>2402</v>
      </c>
      <c r="C210" s="1356" t="s">
        <v>1986</v>
      </c>
      <c r="D210" s="1322" t="s">
        <v>2403</v>
      </c>
      <c r="E210" s="1357">
        <v>5</v>
      </c>
      <c r="F210" s="1333">
        <f t="shared" si="60"/>
        <v>0</v>
      </c>
      <c r="G210" s="1358">
        <f t="shared" si="61"/>
        <v>0</v>
      </c>
      <c r="H210" s="1359">
        <f t="shared" si="62"/>
        <v>0</v>
      </c>
      <c r="I210" s="1360">
        <f t="shared" si="63"/>
        <v>0.2</v>
      </c>
      <c r="J210" s="1361">
        <v>15000000</v>
      </c>
      <c r="K210" s="1362">
        <v>13643394</v>
      </c>
      <c r="L210" s="1356">
        <v>0</v>
      </c>
      <c r="M210" s="1356">
        <v>0</v>
      </c>
      <c r="N210" s="1361">
        <f t="shared" si="64"/>
        <v>1356606</v>
      </c>
      <c r="O210" s="1363">
        <v>0</v>
      </c>
      <c r="P210" s="1356">
        <v>0</v>
      </c>
      <c r="Q210" s="1364">
        <v>1355606</v>
      </c>
      <c r="R210" s="1365">
        <f t="shared" si="65"/>
        <v>1000</v>
      </c>
      <c r="S210" s="1364"/>
      <c r="T210" s="1366">
        <f t="shared" si="66"/>
        <v>0</v>
      </c>
      <c r="U210" s="1367">
        <f>IF($R210-SUM($T210:T210)=0,0,IF(OR($R210&lt;=0,$R210&lt;=SUM($T210:T210)),0,IF((IF($J210=0,$O210,$J210)*$I210)&gt;=($R210-SUM($T210:T210)),($R210-SUM($T210:T210)),IF($J210=0,$O210,$J210)*$I210)))</f>
        <v>1000</v>
      </c>
      <c r="V210" s="1367">
        <f>IF($R210-SUM($T210:U210)=0,0,IF(OR($R210&lt;=0,$R210&lt;=SUM($T210:U210)),0,IF((IF($J210=0,$O210,$J210)*$I210)&gt;=($R210-SUM($T210:U210)),($R210-SUM($T210:U210)),IF($J210=0,$O210,$J210)*$I210)))</f>
        <v>0</v>
      </c>
      <c r="W210" s="1367">
        <f>IF($R210-SUM($T210:V210)=0,0,IF(OR($R210&lt;=0,$R210&lt;=SUM($T210:V210)),0,IF((IF($J210=0,$O210,$J210)*$I210)&gt;=($R210-SUM($T210:V210)),($R210-SUM($T210:V210)),IF($J210=0,$O210,$J210)*$I210)))</f>
        <v>0</v>
      </c>
      <c r="X210" s="1367">
        <f>IF($R210-SUM($T210:W210)=0,0,IF(OR($R210&lt;=0,$R210&lt;=SUM($T210:W210)),0,IF((IF($J210=0,$O210,$J210)*$I210)&gt;=($R210-SUM($T210:W210)),($R210-SUM($T210:W210)),IF($J210=0,$O210,$J210)*$I210)))</f>
        <v>0</v>
      </c>
      <c r="Y210" s="1367">
        <f>IF($R210-SUM($T210:X210)=0,0,IF(OR($R210&lt;=0,$R210&lt;=SUM($T210:X210)),0,IF((IF($J210=0,$O210,$J210)*$I210)&gt;=($R210-SUM($T210:X210)),($R210-SUM($T210:X210)),IF($J210=0,$O210,$J210)*$I210)))</f>
        <v>0</v>
      </c>
      <c r="Z210" s="1367">
        <f>IF($R210-SUM($T210:Y210)=0,0,IF(OR($R210&lt;=0,$R210&lt;=SUM($T210:Y210)),0,IF((IF($J210=0,$O210,$J210)*$I210)&gt;=($R210-SUM($T210:Y210)),($R210-SUM($T210:Y210)),IF($J210=0,$O210,$J210)*$I210)))</f>
        <v>0</v>
      </c>
      <c r="AA210" s="1367">
        <f>IF($R210-SUM($T210:Z210)=0,0,IF(OR($R210&lt;=0,$R210&lt;=SUM($T210:Z210)),0,IF((IF($J210=0,$O210,$J210)*$I210)&gt;=($R210-SUM($T210:Z210)),($R210-SUM($T210:Z210)),IF($J210=0,$O210,$J210)*$I210)))</f>
        <v>0</v>
      </c>
      <c r="AB210" s="1367">
        <f>IF($R210-SUM($T210:AA210)=0,0,IF(OR($R210&lt;=0,$R210&lt;=SUM($T210:AA210)),0,IF((IF($J210=0,$O210,$J210)*$I210)&gt;=($R210-SUM($T210:AA210)),($R210-SUM($T210:AA210)),IF($J210=0,$O210,$J210)*$I210)))</f>
        <v>0</v>
      </c>
      <c r="AC210" s="1367">
        <f>IF($R210-SUM($T210:AB210)=0,0,IF(OR($R210&lt;=0,$R210&lt;=SUM($T210:AB210)),0,IF((IF($J210=0,$O210,$J210)*$I210)&gt;=($R210-SUM($T210:AB210)),($R210-SUM($T210:AB210)),IF($J210=0,$O210,$J210)*$I210)))</f>
        <v>0</v>
      </c>
      <c r="AD210" s="1367">
        <f>IF($R210-SUM($T210:AC210)=0,0,IF(OR($R210&lt;=0,$R210&lt;=SUM($T210:AC210)),0,IF((IF($J210=0,$O210,$J210)*$I210)&gt;=($R210-SUM($T210:AC210)),($R210-SUM($T210:AC210)),IF($J210=0,$O210,$J210)*$I210)))</f>
        <v>0</v>
      </c>
      <c r="AF210" s="1319" t="b">
        <f t="shared" si="67"/>
        <v>1</v>
      </c>
      <c r="AG210" s="1319" t="str">
        <f t="shared" si="68"/>
        <v>Checked</v>
      </c>
      <c r="AH210" s="1318" t="str">
        <f t="shared" si="69"/>
        <v>Checked</v>
      </c>
    </row>
    <row r="211" spans="2:34" outlineLevel="1" x14ac:dyDescent="0.3">
      <c r="B211" s="1356" t="s">
        <v>2404</v>
      </c>
      <c r="C211" s="1356" t="s">
        <v>1986</v>
      </c>
      <c r="D211" s="1322" t="s">
        <v>2405</v>
      </c>
      <c r="E211" s="1357">
        <v>5</v>
      </c>
      <c r="F211" s="1333">
        <f t="shared" si="60"/>
        <v>0</v>
      </c>
      <c r="G211" s="1358">
        <f t="shared" si="61"/>
        <v>0</v>
      </c>
      <c r="H211" s="1359">
        <f t="shared" si="62"/>
        <v>0</v>
      </c>
      <c r="I211" s="1360">
        <f t="shared" si="63"/>
        <v>0.2</v>
      </c>
      <c r="J211" s="1361">
        <v>10550230</v>
      </c>
      <c r="K211" s="1362">
        <v>10549230</v>
      </c>
      <c r="L211" s="1356">
        <v>0</v>
      </c>
      <c r="M211" s="1356">
        <v>0</v>
      </c>
      <c r="N211" s="1361">
        <f t="shared" si="64"/>
        <v>1000</v>
      </c>
      <c r="O211" s="1363">
        <v>0</v>
      </c>
      <c r="P211" s="1356">
        <v>0</v>
      </c>
      <c r="Q211" s="1364"/>
      <c r="R211" s="1365">
        <f t="shared" si="65"/>
        <v>1000</v>
      </c>
      <c r="S211" s="1364"/>
      <c r="T211" s="1366">
        <f t="shared" si="66"/>
        <v>0</v>
      </c>
      <c r="U211" s="1367">
        <f>IF($R211-SUM($T211:T211)=0,0,IF(OR($R211&lt;=0,$R211&lt;=SUM($T211:T211)),0,IF((IF($J211=0,$O211,$J211)*$I211)&gt;=($R211-SUM($T211:T211)),($R211-SUM($T211:T211)),IF($J211=0,$O211,$J211)*$I211)))</f>
        <v>1000</v>
      </c>
      <c r="V211" s="1367">
        <f>IF($R211-SUM($T211:U211)=0,0,IF(OR($R211&lt;=0,$R211&lt;=SUM($T211:U211)),0,IF((IF($J211=0,$O211,$J211)*$I211)&gt;=($R211-SUM($T211:U211)),($R211-SUM($T211:U211)),IF($J211=0,$O211,$J211)*$I211)))</f>
        <v>0</v>
      </c>
      <c r="W211" s="1367">
        <f>IF($R211-SUM($T211:V211)=0,0,IF(OR($R211&lt;=0,$R211&lt;=SUM($T211:V211)),0,IF((IF($J211=0,$O211,$J211)*$I211)&gt;=($R211-SUM($T211:V211)),($R211-SUM($T211:V211)),IF($J211=0,$O211,$J211)*$I211)))</f>
        <v>0</v>
      </c>
      <c r="X211" s="1367">
        <f>IF($R211-SUM($T211:W211)=0,0,IF(OR($R211&lt;=0,$R211&lt;=SUM($T211:W211)),0,IF((IF($J211=0,$O211,$J211)*$I211)&gt;=($R211-SUM($T211:W211)),($R211-SUM($T211:W211)),IF($J211=0,$O211,$J211)*$I211)))</f>
        <v>0</v>
      </c>
      <c r="Y211" s="1367">
        <f>IF($R211-SUM($T211:X211)=0,0,IF(OR($R211&lt;=0,$R211&lt;=SUM($T211:X211)),0,IF((IF($J211=0,$O211,$J211)*$I211)&gt;=($R211-SUM($T211:X211)),($R211-SUM($T211:X211)),IF($J211=0,$O211,$J211)*$I211)))</f>
        <v>0</v>
      </c>
      <c r="Z211" s="1367">
        <f>IF($R211-SUM($T211:Y211)=0,0,IF(OR($R211&lt;=0,$R211&lt;=SUM($T211:Y211)),0,IF((IF($J211=0,$O211,$J211)*$I211)&gt;=($R211-SUM($T211:Y211)),($R211-SUM($T211:Y211)),IF($J211=0,$O211,$J211)*$I211)))</f>
        <v>0</v>
      </c>
      <c r="AA211" s="1367">
        <f>IF($R211-SUM($T211:Z211)=0,0,IF(OR($R211&lt;=0,$R211&lt;=SUM($T211:Z211)),0,IF((IF($J211=0,$O211,$J211)*$I211)&gt;=($R211-SUM($T211:Z211)),($R211-SUM($T211:Z211)),IF($J211=0,$O211,$J211)*$I211)))</f>
        <v>0</v>
      </c>
      <c r="AB211" s="1367">
        <f>IF($R211-SUM($T211:AA211)=0,0,IF(OR($R211&lt;=0,$R211&lt;=SUM($T211:AA211)),0,IF((IF($J211=0,$O211,$J211)*$I211)&gt;=($R211-SUM($T211:AA211)),($R211-SUM($T211:AA211)),IF($J211=0,$O211,$J211)*$I211)))</f>
        <v>0</v>
      </c>
      <c r="AC211" s="1367">
        <f>IF($R211-SUM($T211:AB211)=0,0,IF(OR($R211&lt;=0,$R211&lt;=SUM($T211:AB211)),0,IF((IF($J211=0,$O211,$J211)*$I211)&gt;=($R211-SUM($T211:AB211)),($R211-SUM($T211:AB211)),IF($J211=0,$O211,$J211)*$I211)))</f>
        <v>0</v>
      </c>
      <c r="AD211" s="1367">
        <f>IF($R211-SUM($T211:AC211)=0,0,IF(OR($R211&lt;=0,$R211&lt;=SUM($T211:AC211)),0,IF((IF($J211=0,$O211,$J211)*$I211)&gt;=($R211-SUM($T211:AC211)),($R211-SUM($T211:AC211)),IF($J211=0,$O211,$J211)*$I211)))</f>
        <v>0</v>
      </c>
      <c r="AF211" s="1319" t="b">
        <f t="shared" si="67"/>
        <v>1</v>
      </c>
      <c r="AG211" s="1319" t="str">
        <f t="shared" si="68"/>
        <v>Checked</v>
      </c>
      <c r="AH211" s="1318" t="str">
        <f t="shared" si="69"/>
        <v>Checked</v>
      </c>
    </row>
    <row r="212" spans="2:34" outlineLevel="1" x14ac:dyDescent="0.3">
      <c r="B212" s="1356" t="s">
        <v>2406</v>
      </c>
      <c r="C212" s="1356" t="s">
        <v>1986</v>
      </c>
      <c r="D212" s="1322" t="s">
        <v>2407</v>
      </c>
      <c r="E212" s="1357">
        <v>5</v>
      </c>
      <c r="F212" s="1333">
        <f t="shared" si="60"/>
        <v>0</v>
      </c>
      <c r="G212" s="1358">
        <f t="shared" si="61"/>
        <v>0</v>
      </c>
      <c r="H212" s="1359">
        <f t="shared" si="62"/>
        <v>0</v>
      </c>
      <c r="I212" s="1360">
        <f t="shared" si="63"/>
        <v>0.2</v>
      </c>
      <c r="J212" s="1361">
        <v>50690950</v>
      </c>
      <c r="K212" s="1362">
        <v>50689950</v>
      </c>
      <c r="L212" s="1356">
        <v>0</v>
      </c>
      <c r="M212" s="1356">
        <v>0</v>
      </c>
      <c r="N212" s="1361">
        <f t="shared" si="64"/>
        <v>1000</v>
      </c>
      <c r="O212" s="1363">
        <v>0</v>
      </c>
      <c r="P212" s="1356">
        <v>0</v>
      </c>
      <c r="Q212" s="1364"/>
      <c r="R212" s="1365">
        <f t="shared" si="65"/>
        <v>1000</v>
      </c>
      <c r="S212" s="1364"/>
      <c r="T212" s="1366">
        <f t="shared" si="66"/>
        <v>0</v>
      </c>
      <c r="U212" s="1367">
        <f>IF($R212-SUM($T212:T212)=0,0,IF(OR($R212&lt;=0,$R212&lt;=SUM($T212:T212)),0,IF((IF($J212=0,$O212,$J212)*$I212)&gt;=($R212-SUM($T212:T212)),($R212-SUM($T212:T212)),IF($J212=0,$O212,$J212)*$I212)))</f>
        <v>1000</v>
      </c>
      <c r="V212" s="1367">
        <f>IF($R212-SUM($T212:U212)=0,0,IF(OR($R212&lt;=0,$R212&lt;=SUM($T212:U212)),0,IF((IF($J212=0,$O212,$J212)*$I212)&gt;=($R212-SUM($T212:U212)),($R212-SUM($T212:U212)),IF($J212=0,$O212,$J212)*$I212)))</f>
        <v>0</v>
      </c>
      <c r="W212" s="1367">
        <f>IF($R212-SUM($T212:V212)=0,0,IF(OR($R212&lt;=0,$R212&lt;=SUM($T212:V212)),0,IF((IF($J212=0,$O212,$J212)*$I212)&gt;=($R212-SUM($T212:V212)),($R212-SUM($T212:V212)),IF($J212=0,$O212,$J212)*$I212)))</f>
        <v>0</v>
      </c>
      <c r="X212" s="1367">
        <f>IF($R212-SUM($T212:W212)=0,0,IF(OR($R212&lt;=0,$R212&lt;=SUM($T212:W212)),0,IF((IF($J212=0,$O212,$J212)*$I212)&gt;=($R212-SUM($T212:W212)),($R212-SUM($T212:W212)),IF($J212=0,$O212,$J212)*$I212)))</f>
        <v>0</v>
      </c>
      <c r="Y212" s="1367">
        <f>IF($R212-SUM($T212:X212)=0,0,IF(OR($R212&lt;=0,$R212&lt;=SUM($T212:X212)),0,IF((IF($J212=0,$O212,$J212)*$I212)&gt;=($R212-SUM($T212:X212)),($R212-SUM($T212:X212)),IF($J212=0,$O212,$J212)*$I212)))</f>
        <v>0</v>
      </c>
      <c r="Z212" s="1367">
        <f>IF($R212-SUM($T212:Y212)=0,0,IF(OR($R212&lt;=0,$R212&lt;=SUM($T212:Y212)),0,IF((IF($J212=0,$O212,$J212)*$I212)&gt;=($R212-SUM($T212:Y212)),($R212-SUM($T212:Y212)),IF($J212=0,$O212,$J212)*$I212)))</f>
        <v>0</v>
      </c>
      <c r="AA212" s="1367">
        <f>IF($R212-SUM($T212:Z212)=0,0,IF(OR($R212&lt;=0,$R212&lt;=SUM($T212:Z212)),0,IF((IF($J212=0,$O212,$J212)*$I212)&gt;=($R212-SUM($T212:Z212)),($R212-SUM($T212:Z212)),IF($J212=0,$O212,$J212)*$I212)))</f>
        <v>0</v>
      </c>
      <c r="AB212" s="1367">
        <f>IF($R212-SUM($T212:AA212)=0,0,IF(OR($R212&lt;=0,$R212&lt;=SUM($T212:AA212)),0,IF((IF($J212=0,$O212,$J212)*$I212)&gt;=($R212-SUM($T212:AA212)),($R212-SUM($T212:AA212)),IF($J212=0,$O212,$J212)*$I212)))</f>
        <v>0</v>
      </c>
      <c r="AC212" s="1367">
        <f>IF($R212-SUM($T212:AB212)=0,0,IF(OR($R212&lt;=0,$R212&lt;=SUM($T212:AB212)),0,IF((IF($J212=0,$O212,$J212)*$I212)&gt;=($R212-SUM($T212:AB212)),($R212-SUM($T212:AB212)),IF($J212=0,$O212,$J212)*$I212)))</f>
        <v>0</v>
      </c>
      <c r="AD212" s="1367">
        <f>IF($R212-SUM($T212:AC212)=0,0,IF(OR($R212&lt;=0,$R212&lt;=SUM($T212:AC212)),0,IF((IF($J212=0,$O212,$J212)*$I212)&gt;=($R212-SUM($T212:AC212)),($R212-SUM($T212:AC212)),IF($J212=0,$O212,$J212)*$I212)))</f>
        <v>0</v>
      </c>
      <c r="AF212" s="1319" t="b">
        <f t="shared" si="67"/>
        <v>1</v>
      </c>
      <c r="AG212" s="1319" t="str">
        <f t="shared" si="68"/>
        <v>Checked</v>
      </c>
      <c r="AH212" s="1318" t="str">
        <f t="shared" si="69"/>
        <v>Checked</v>
      </c>
    </row>
    <row r="213" spans="2:34" outlineLevel="1" x14ac:dyDescent="0.3">
      <c r="B213" s="1356" t="s">
        <v>2408</v>
      </c>
      <c r="C213" s="1356" t="s">
        <v>1986</v>
      </c>
      <c r="D213" s="1322" t="s">
        <v>2409</v>
      </c>
      <c r="E213" s="1357">
        <v>5</v>
      </c>
      <c r="F213" s="1333">
        <f t="shared" si="60"/>
        <v>0</v>
      </c>
      <c r="G213" s="1358">
        <f t="shared" si="61"/>
        <v>0</v>
      </c>
      <c r="H213" s="1359">
        <f t="shared" si="62"/>
        <v>0</v>
      </c>
      <c r="I213" s="1360">
        <f t="shared" si="63"/>
        <v>0.2</v>
      </c>
      <c r="J213" s="1361">
        <v>8460000</v>
      </c>
      <c r="K213" s="1362">
        <v>8459000</v>
      </c>
      <c r="L213" s="1356">
        <v>0</v>
      </c>
      <c r="M213" s="1356">
        <v>0</v>
      </c>
      <c r="N213" s="1361">
        <f t="shared" si="64"/>
        <v>1000</v>
      </c>
      <c r="O213" s="1363">
        <v>0</v>
      </c>
      <c r="P213" s="1356">
        <v>0</v>
      </c>
      <c r="Q213" s="1364"/>
      <c r="R213" s="1365">
        <f t="shared" si="65"/>
        <v>1000</v>
      </c>
      <c r="S213" s="1364"/>
      <c r="T213" s="1366">
        <f t="shared" si="66"/>
        <v>0</v>
      </c>
      <c r="U213" s="1367">
        <f>IF($R213-SUM($T213:T213)=0,0,IF(OR($R213&lt;=0,$R213&lt;=SUM($T213:T213)),0,IF((IF($J213=0,$O213,$J213)*$I213)&gt;=($R213-SUM($T213:T213)),($R213-SUM($T213:T213)),IF($J213=0,$O213,$J213)*$I213)))</f>
        <v>1000</v>
      </c>
      <c r="V213" s="1367">
        <f>IF($R213-SUM($T213:U213)=0,0,IF(OR($R213&lt;=0,$R213&lt;=SUM($T213:U213)),0,IF((IF($J213=0,$O213,$J213)*$I213)&gt;=($R213-SUM($T213:U213)),($R213-SUM($T213:U213)),IF($J213=0,$O213,$J213)*$I213)))</f>
        <v>0</v>
      </c>
      <c r="W213" s="1367">
        <f>IF($R213-SUM($T213:V213)=0,0,IF(OR($R213&lt;=0,$R213&lt;=SUM($T213:V213)),0,IF((IF($J213=0,$O213,$J213)*$I213)&gt;=($R213-SUM($T213:V213)),($R213-SUM($T213:V213)),IF($J213=0,$O213,$J213)*$I213)))</f>
        <v>0</v>
      </c>
      <c r="X213" s="1367">
        <f>IF($R213-SUM($T213:W213)=0,0,IF(OR($R213&lt;=0,$R213&lt;=SUM($T213:W213)),0,IF((IF($J213=0,$O213,$J213)*$I213)&gt;=($R213-SUM($T213:W213)),($R213-SUM($T213:W213)),IF($J213=0,$O213,$J213)*$I213)))</f>
        <v>0</v>
      </c>
      <c r="Y213" s="1367">
        <f>IF($R213-SUM($T213:X213)=0,0,IF(OR($R213&lt;=0,$R213&lt;=SUM($T213:X213)),0,IF((IF($J213=0,$O213,$J213)*$I213)&gt;=($R213-SUM($T213:X213)),($R213-SUM($T213:X213)),IF($J213=0,$O213,$J213)*$I213)))</f>
        <v>0</v>
      </c>
      <c r="Z213" s="1367">
        <f>IF($R213-SUM($T213:Y213)=0,0,IF(OR($R213&lt;=0,$R213&lt;=SUM($T213:Y213)),0,IF((IF($J213=0,$O213,$J213)*$I213)&gt;=($R213-SUM($T213:Y213)),($R213-SUM($T213:Y213)),IF($J213=0,$O213,$J213)*$I213)))</f>
        <v>0</v>
      </c>
      <c r="AA213" s="1367">
        <f>IF($R213-SUM($T213:Z213)=0,0,IF(OR($R213&lt;=0,$R213&lt;=SUM($T213:Z213)),0,IF((IF($J213=0,$O213,$J213)*$I213)&gt;=($R213-SUM($T213:Z213)),($R213-SUM($T213:Z213)),IF($J213=0,$O213,$J213)*$I213)))</f>
        <v>0</v>
      </c>
      <c r="AB213" s="1367">
        <f>IF($R213-SUM($T213:AA213)=0,0,IF(OR($R213&lt;=0,$R213&lt;=SUM($T213:AA213)),0,IF((IF($J213=0,$O213,$J213)*$I213)&gt;=($R213-SUM($T213:AA213)),($R213-SUM($T213:AA213)),IF($J213=0,$O213,$J213)*$I213)))</f>
        <v>0</v>
      </c>
      <c r="AC213" s="1367">
        <f>IF($R213-SUM($T213:AB213)=0,0,IF(OR($R213&lt;=0,$R213&lt;=SUM($T213:AB213)),0,IF((IF($J213=0,$O213,$J213)*$I213)&gt;=($R213-SUM($T213:AB213)),($R213-SUM($T213:AB213)),IF($J213=0,$O213,$J213)*$I213)))</f>
        <v>0</v>
      </c>
      <c r="AD213" s="1367">
        <f>IF($R213-SUM($T213:AC213)=0,0,IF(OR($R213&lt;=0,$R213&lt;=SUM($T213:AC213)),0,IF((IF($J213=0,$O213,$J213)*$I213)&gt;=($R213-SUM($T213:AC213)),($R213-SUM($T213:AC213)),IF($J213=0,$O213,$J213)*$I213)))</f>
        <v>0</v>
      </c>
      <c r="AF213" s="1319" t="b">
        <f t="shared" si="67"/>
        <v>1</v>
      </c>
      <c r="AG213" s="1319" t="str">
        <f t="shared" si="68"/>
        <v>Checked</v>
      </c>
      <c r="AH213" s="1318" t="str">
        <f t="shared" si="69"/>
        <v>Checked</v>
      </c>
    </row>
    <row r="214" spans="2:34" outlineLevel="1" x14ac:dyDescent="0.3">
      <c r="B214" s="1356" t="s">
        <v>2410</v>
      </c>
      <c r="C214" s="1356" t="s">
        <v>1986</v>
      </c>
      <c r="D214" s="1322" t="s">
        <v>2411</v>
      </c>
      <c r="E214" s="1357">
        <v>5</v>
      </c>
      <c r="F214" s="1333">
        <f t="shared" si="60"/>
        <v>0</v>
      </c>
      <c r="G214" s="1358">
        <f t="shared" si="61"/>
        <v>0</v>
      </c>
      <c r="H214" s="1359">
        <f t="shared" si="62"/>
        <v>0</v>
      </c>
      <c r="I214" s="1360">
        <f t="shared" si="63"/>
        <v>0.2</v>
      </c>
      <c r="J214" s="1361">
        <v>15562997</v>
      </c>
      <c r="K214" s="1362">
        <v>15561997</v>
      </c>
      <c r="L214" s="1356">
        <v>0</v>
      </c>
      <c r="M214" s="1356">
        <v>0</v>
      </c>
      <c r="N214" s="1361">
        <f t="shared" si="64"/>
        <v>1000</v>
      </c>
      <c r="O214" s="1363">
        <v>0</v>
      </c>
      <c r="P214" s="1356">
        <v>0</v>
      </c>
      <c r="Q214" s="1364"/>
      <c r="R214" s="1365">
        <f t="shared" si="65"/>
        <v>1000</v>
      </c>
      <c r="S214" s="1364"/>
      <c r="T214" s="1366">
        <f t="shared" si="66"/>
        <v>0</v>
      </c>
      <c r="U214" s="1367">
        <f>IF($R214-SUM($T214:T214)=0,0,IF(OR($R214&lt;=0,$R214&lt;=SUM($T214:T214)),0,IF((IF($J214=0,$O214,$J214)*$I214)&gt;=($R214-SUM($T214:T214)),($R214-SUM($T214:T214)),IF($J214=0,$O214,$J214)*$I214)))</f>
        <v>1000</v>
      </c>
      <c r="V214" s="1367">
        <f>IF($R214-SUM($T214:U214)=0,0,IF(OR($R214&lt;=0,$R214&lt;=SUM($T214:U214)),0,IF((IF($J214=0,$O214,$J214)*$I214)&gt;=($R214-SUM($T214:U214)),($R214-SUM($T214:U214)),IF($J214=0,$O214,$J214)*$I214)))</f>
        <v>0</v>
      </c>
      <c r="W214" s="1367">
        <f>IF($R214-SUM($T214:V214)=0,0,IF(OR($R214&lt;=0,$R214&lt;=SUM($T214:V214)),0,IF((IF($J214=0,$O214,$J214)*$I214)&gt;=($R214-SUM($T214:V214)),($R214-SUM($T214:V214)),IF($J214=0,$O214,$J214)*$I214)))</f>
        <v>0</v>
      </c>
      <c r="X214" s="1367">
        <f>IF($R214-SUM($T214:W214)=0,0,IF(OR($R214&lt;=0,$R214&lt;=SUM($T214:W214)),0,IF((IF($J214=0,$O214,$J214)*$I214)&gt;=($R214-SUM($T214:W214)),($R214-SUM($T214:W214)),IF($J214=0,$O214,$J214)*$I214)))</f>
        <v>0</v>
      </c>
      <c r="Y214" s="1367">
        <f>IF($R214-SUM($T214:X214)=0,0,IF(OR($R214&lt;=0,$R214&lt;=SUM($T214:X214)),0,IF((IF($J214=0,$O214,$J214)*$I214)&gt;=($R214-SUM($T214:X214)),($R214-SUM($T214:X214)),IF($J214=0,$O214,$J214)*$I214)))</f>
        <v>0</v>
      </c>
      <c r="Z214" s="1367">
        <f>IF($R214-SUM($T214:Y214)=0,0,IF(OR($R214&lt;=0,$R214&lt;=SUM($T214:Y214)),0,IF((IF($J214=0,$O214,$J214)*$I214)&gt;=($R214-SUM($T214:Y214)),($R214-SUM($T214:Y214)),IF($J214=0,$O214,$J214)*$I214)))</f>
        <v>0</v>
      </c>
      <c r="AA214" s="1367">
        <f>IF($R214-SUM($T214:Z214)=0,0,IF(OR($R214&lt;=0,$R214&lt;=SUM($T214:Z214)),0,IF((IF($J214=0,$O214,$J214)*$I214)&gt;=($R214-SUM($T214:Z214)),($R214-SUM($T214:Z214)),IF($J214=0,$O214,$J214)*$I214)))</f>
        <v>0</v>
      </c>
      <c r="AB214" s="1367">
        <f>IF($R214-SUM($T214:AA214)=0,0,IF(OR($R214&lt;=0,$R214&lt;=SUM($T214:AA214)),0,IF((IF($J214=0,$O214,$J214)*$I214)&gt;=($R214-SUM($T214:AA214)),($R214-SUM($T214:AA214)),IF($J214=0,$O214,$J214)*$I214)))</f>
        <v>0</v>
      </c>
      <c r="AC214" s="1367">
        <f>IF($R214-SUM($T214:AB214)=0,0,IF(OR($R214&lt;=0,$R214&lt;=SUM($T214:AB214)),0,IF((IF($J214=0,$O214,$J214)*$I214)&gt;=($R214-SUM($T214:AB214)),($R214-SUM($T214:AB214)),IF($J214=0,$O214,$J214)*$I214)))</f>
        <v>0</v>
      </c>
      <c r="AD214" s="1367">
        <f>IF($R214-SUM($T214:AC214)=0,0,IF(OR($R214&lt;=0,$R214&lt;=SUM($T214:AC214)),0,IF((IF($J214=0,$O214,$J214)*$I214)&gt;=($R214-SUM($T214:AC214)),($R214-SUM($T214:AC214)),IF($J214=0,$O214,$J214)*$I214)))</f>
        <v>0</v>
      </c>
      <c r="AF214" s="1319" t="b">
        <f t="shared" si="67"/>
        <v>1</v>
      </c>
      <c r="AG214" s="1319" t="str">
        <f t="shared" si="68"/>
        <v>Checked</v>
      </c>
      <c r="AH214" s="1318" t="str">
        <f t="shared" si="69"/>
        <v>Checked</v>
      </c>
    </row>
    <row r="215" spans="2:34" outlineLevel="1" x14ac:dyDescent="0.3">
      <c r="B215" s="1356" t="s">
        <v>2412</v>
      </c>
      <c r="C215" s="1356" t="s">
        <v>1986</v>
      </c>
      <c r="D215" s="1322" t="s">
        <v>2413</v>
      </c>
      <c r="E215" s="1357">
        <v>5</v>
      </c>
      <c r="F215" s="1333">
        <f t="shared" si="60"/>
        <v>0</v>
      </c>
      <c r="G215" s="1358">
        <f t="shared" si="61"/>
        <v>0</v>
      </c>
      <c r="H215" s="1359">
        <f t="shared" si="62"/>
        <v>0</v>
      </c>
      <c r="I215" s="1360">
        <f t="shared" si="63"/>
        <v>0.2</v>
      </c>
      <c r="J215" s="1361">
        <v>14159674</v>
      </c>
      <c r="K215" s="1362">
        <v>14158674</v>
      </c>
      <c r="L215" s="1356">
        <v>0</v>
      </c>
      <c r="M215" s="1356">
        <v>0</v>
      </c>
      <c r="N215" s="1361">
        <f t="shared" si="64"/>
        <v>1000</v>
      </c>
      <c r="O215" s="1363">
        <v>0</v>
      </c>
      <c r="P215" s="1356">
        <v>0</v>
      </c>
      <c r="Q215" s="1364"/>
      <c r="R215" s="1365">
        <f t="shared" si="65"/>
        <v>1000</v>
      </c>
      <c r="S215" s="1364"/>
      <c r="T215" s="1366">
        <f t="shared" si="66"/>
        <v>0</v>
      </c>
      <c r="U215" s="1367">
        <f>IF($R215-SUM($T215:T215)=0,0,IF(OR($R215&lt;=0,$R215&lt;=SUM($T215:T215)),0,IF((IF($J215=0,$O215,$J215)*$I215)&gt;=($R215-SUM($T215:T215)),($R215-SUM($T215:T215)),IF($J215=0,$O215,$J215)*$I215)))</f>
        <v>1000</v>
      </c>
      <c r="V215" s="1367">
        <f>IF($R215-SUM($T215:U215)=0,0,IF(OR($R215&lt;=0,$R215&lt;=SUM($T215:U215)),0,IF((IF($J215=0,$O215,$J215)*$I215)&gt;=($R215-SUM($T215:U215)),($R215-SUM($T215:U215)),IF($J215=0,$O215,$J215)*$I215)))</f>
        <v>0</v>
      </c>
      <c r="W215" s="1367">
        <f>IF($R215-SUM($T215:V215)=0,0,IF(OR($R215&lt;=0,$R215&lt;=SUM($T215:V215)),0,IF((IF($J215=0,$O215,$J215)*$I215)&gt;=($R215-SUM($T215:V215)),($R215-SUM($T215:V215)),IF($J215=0,$O215,$J215)*$I215)))</f>
        <v>0</v>
      </c>
      <c r="X215" s="1367">
        <f>IF($R215-SUM($T215:W215)=0,0,IF(OR($R215&lt;=0,$R215&lt;=SUM($T215:W215)),0,IF((IF($J215=0,$O215,$J215)*$I215)&gt;=($R215-SUM($T215:W215)),($R215-SUM($T215:W215)),IF($J215=0,$O215,$J215)*$I215)))</f>
        <v>0</v>
      </c>
      <c r="Y215" s="1367">
        <f>IF($R215-SUM($T215:X215)=0,0,IF(OR($R215&lt;=0,$R215&lt;=SUM($T215:X215)),0,IF((IF($J215=0,$O215,$J215)*$I215)&gt;=($R215-SUM($T215:X215)),($R215-SUM($T215:X215)),IF($J215=0,$O215,$J215)*$I215)))</f>
        <v>0</v>
      </c>
      <c r="Z215" s="1367">
        <f>IF($R215-SUM($T215:Y215)=0,0,IF(OR($R215&lt;=0,$R215&lt;=SUM($T215:Y215)),0,IF((IF($J215=0,$O215,$J215)*$I215)&gt;=($R215-SUM($T215:Y215)),($R215-SUM($T215:Y215)),IF($J215=0,$O215,$J215)*$I215)))</f>
        <v>0</v>
      </c>
      <c r="AA215" s="1367">
        <f>IF($R215-SUM($T215:Z215)=0,0,IF(OR($R215&lt;=0,$R215&lt;=SUM($T215:Z215)),0,IF((IF($J215=0,$O215,$J215)*$I215)&gt;=($R215-SUM($T215:Z215)),($R215-SUM($T215:Z215)),IF($J215=0,$O215,$J215)*$I215)))</f>
        <v>0</v>
      </c>
      <c r="AB215" s="1367">
        <f>IF($R215-SUM($T215:AA215)=0,0,IF(OR($R215&lt;=0,$R215&lt;=SUM($T215:AA215)),0,IF((IF($J215=0,$O215,$J215)*$I215)&gt;=($R215-SUM($T215:AA215)),($R215-SUM($T215:AA215)),IF($J215=0,$O215,$J215)*$I215)))</f>
        <v>0</v>
      </c>
      <c r="AC215" s="1367">
        <f>IF($R215-SUM($T215:AB215)=0,0,IF(OR($R215&lt;=0,$R215&lt;=SUM($T215:AB215)),0,IF((IF($J215=0,$O215,$J215)*$I215)&gt;=($R215-SUM($T215:AB215)),($R215-SUM($T215:AB215)),IF($J215=0,$O215,$J215)*$I215)))</f>
        <v>0</v>
      </c>
      <c r="AD215" s="1367">
        <f>IF($R215-SUM($T215:AC215)=0,0,IF(OR($R215&lt;=0,$R215&lt;=SUM($T215:AC215)),0,IF((IF($J215=0,$O215,$J215)*$I215)&gt;=($R215-SUM($T215:AC215)),($R215-SUM($T215:AC215)),IF($J215=0,$O215,$J215)*$I215)))</f>
        <v>0</v>
      </c>
      <c r="AF215" s="1319" t="b">
        <f t="shared" si="67"/>
        <v>1</v>
      </c>
      <c r="AG215" s="1319" t="str">
        <f t="shared" si="68"/>
        <v>Checked</v>
      </c>
      <c r="AH215" s="1318" t="str">
        <f t="shared" si="69"/>
        <v>Checked</v>
      </c>
    </row>
    <row r="216" spans="2:34" outlineLevel="1" x14ac:dyDescent="0.3">
      <c r="B216" s="1356" t="s">
        <v>2414</v>
      </c>
      <c r="C216" s="1356" t="s">
        <v>1986</v>
      </c>
      <c r="D216" s="1322" t="s">
        <v>2415</v>
      </c>
      <c r="E216" s="1357">
        <v>5</v>
      </c>
      <c r="F216" s="1333">
        <f t="shared" si="60"/>
        <v>0</v>
      </c>
      <c r="G216" s="1358">
        <f t="shared" si="61"/>
        <v>0</v>
      </c>
      <c r="H216" s="1359">
        <f t="shared" si="62"/>
        <v>0</v>
      </c>
      <c r="I216" s="1360">
        <f t="shared" si="63"/>
        <v>0.2</v>
      </c>
      <c r="J216" s="1361">
        <v>16112230</v>
      </c>
      <c r="K216" s="1362">
        <v>16111230</v>
      </c>
      <c r="L216" s="1356">
        <v>0</v>
      </c>
      <c r="M216" s="1356">
        <v>0</v>
      </c>
      <c r="N216" s="1361">
        <f t="shared" si="64"/>
        <v>1000</v>
      </c>
      <c r="O216" s="1363">
        <v>0</v>
      </c>
      <c r="P216" s="1356">
        <v>0</v>
      </c>
      <c r="Q216" s="1364"/>
      <c r="R216" s="1365">
        <f t="shared" si="65"/>
        <v>1000</v>
      </c>
      <c r="S216" s="1364"/>
      <c r="T216" s="1366">
        <f t="shared" si="66"/>
        <v>0</v>
      </c>
      <c r="U216" s="1367">
        <f>IF($R216-SUM($T216:T216)=0,0,IF(OR($R216&lt;=0,$R216&lt;=SUM($T216:T216)),0,IF((IF($J216=0,$O216,$J216)*$I216)&gt;=($R216-SUM($T216:T216)),($R216-SUM($T216:T216)),IF($J216=0,$O216,$J216)*$I216)))</f>
        <v>1000</v>
      </c>
      <c r="V216" s="1367">
        <f>IF($R216-SUM($T216:U216)=0,0,IF(OR($R216&lt;=0,$R216&lt;=SUM($T216:U216)),0,IF((IF($J216=0,$O216,$J216)*$I216)&gt;=($R216-SUM($T216:U216)),($R216-SUM($T216:U216)),IF($J216=0,$O216,$J216)*$I216)))</f>
        <v>0</v>
      </c>
      <c r="W216" s="1367">
        <f>IF($R216-SUM($T216:V216)=0,0,IF(OR($R216&lt;=0,$R216&lt;=SUM($T216:V216)),0,IF((IF($J216=0,$O216,$J216)*$I216)&gt;=($R216-SUM($T216:V216)),($R216-SUM($T216:V216)),IF($J216=0,$O216,$J216)*$I216)))</f>
        <v>0</v>
      </c>
      <c r="X216" s="1367">
        <f>IF($R216-SUM($T216:W216)=0,0,IF(OR($R216&lt;=0,$R216&lt;=SUM($T216:W216)),0,IF((IF($J216=0,$O216,$J216)*$I216)&gt;=($R216-SUM($T216:W216)),($R216-SUM($T216:W216)),IF($J216=0,$O216,$J216)*$I216)))</f>
        <v>0</v>
      </c>
      <c r="Y216" s="1367">
        <f>IF($R216-SUM($T216:X216)=0,0,IF(OR($R216&lt;=0,$R216&lt;=SUM($T216:X216)),0,IF((IF($J216=0,$O216,$J216)*$I216)&gt;=($R216-SUM($T216:X216)),($R216-SUM($T216:X216)),IF($J216=0,$O216,$J216)*$I216)))</f>
        <v>0</v>
      </c>
      <c r="Z216" s="1367">
        <f>IF($R216-SUM($T216:Y216)=0,0,IF(OR($R216&lt;=0,$R216&lt;=SUM($T216:Y216)),0,IF((IF($J216=0,$O216,$J216)*$I216)&gt;=($R216-SUM($T216:Y216)),($R216-SUM($T216:Y216)),IF($J216=0,$O216,$J216)*$I216)))</f>
        <v>0</v>
      </c>
      <c r="AA216" s="1367">
        <f>IF($R216-SUM($T216:Z216)=0,0,IF(OR($R216&lt;=0,$R216&lt;=SUM($T216:Z216)),0,IF((IF($J216=0,$O216,$J216)*$I216)&gt;=($R216-SUM($T216:Z216)),($R216-SUM($T216:Z216)),IF($J216=0,$O216,$J216)*$I216)))</f>
        <v>0</v>
      </c>
      <c r="AB216" s="1367">
        <f>IF($R216-SUM($T216:AA216)=0,0,IF(OR($R216&lt;=0,$R216&lt;=SUM($T216:AA216)),0,IF((IF($J216=0,$O216,$J216)*$I216)&gt;=($R216-SUM($T216:AA216)),($R216-SUM($T216:AA216)),IF($J216=0,$O216,$J216)*$I216)))</f>
        <v>0</v>
      </c>
      <c r="AC216" s="1367">
        <f>IF($R216-SUM($T216:AB216)=0,0,IF(OR($R216&lt;=0,$R216&lt;=SUM($T216:AB216)),0,IF((IF($J216=0,$O216,$J216)*$I216)&gt;=($R216-SUM($T216:AB216)),($R216-SUM($T216:AB216)),IF($J216=0,$O216,$J216)*$I216)))</f>
        <v>0</v>
      </c>
      <c r="AD216" s="1367">
        <f>IF($R216-SUM($T216:AC216)=0,0,IF(OR($R216&lt;=0,$R216&lt;=SUM($T216:AC216)),0,IF((IF($J216=0,$O216,$J216)*$I216)&gt;=($R216-SUM($T216:AC216)),($R216-SUM($T216:AC216)),IF($J216=0,$O216,$J216)*$I216)))</f>
        <v>0</v>
      </c>
      <c r="AF216" s="1319" t="b">
        <f t="shared" si="67"/>
        <v>1</v>
      </c>
      <c r="AG216" s="1319" t="str">
        <f t="shared" si="68"/>
        <v>Checked</v>
      </c>
      <c r="AH216" s="1318" t="str">
        <f t="shared" si="69"/>
        <v>Checked</v>
      </c>
    </row>
    <row r="217" spans="2:34" outlineLevel="1" x14ac:dyDescent="0.3">
      <c r="B217" s="1356" t="s">
        <v>2416</v>
      </c>
      <c r="C217" s="1356" t="s">
        <v>1986</v>
      </c>
      <c r="D217" s="1322" t="s">
        <v>2417</v>
      </c>
      <c r="E217" s="1357">
        <v>2</v>
      </c>
      <c r="F217" s="1333">
        <f t="shared" si="60"/>
        <v>0</v>
      </c>
      <c r="G217" s="1358">
        <f t="shared" si="61"/>
        <v>0</v>
      </c>
      <c r="H217" s="1359">
        <f t="shared" si="62"/>
        <v>0</v>
      </c>
      <c r="I217" s="1360">
        <f t="shared" si="63"/>
        <v>0.5</v>
      </c>
      <c r="J217" s="1361">
        <v>3001667</v>
      </c>
      <c r="K217" s="1362">
        <v>3000667</v>
      </c>
      <c r="L217" s="1356">
        <v>0</v>
      </c>
      <c r="M217" s="1356">
        <v>0</v>
      </c>
      <c r="N217" s="1361">
        <f t="shared" si="64"/>
        <v>1000</v>
      </c>
      <c r="O217" s="1363">
        <v>0</v>
      </c>
      <c r="P217" s="1356">
        <v>0</v>
      </c>
      <c r="Q217" s="1364"/>
      <c r="R217" s="1365">
        <f t="shared" si="65"/>
        <v>1000</v>
      </c>
      <c r="S217" s="1364"/>
      <c r="T217" s="1366">
        <f t="shared" si="66"/>
        <v>0</v>
      </c>
      <c r="U217" s="1367">
        <f>IF($R217-SUM($T217:T217)=0,0,IF(OR($R217&lt;=0,$R217&lt;=SUM($T217:T217)),0,IF((IF($J217=0,$O217,$J217)*$I217)&gt;=($R217-SUM($T217:T217)),($R217-SUM($T217:T217)),IF($J217=0,$O217,$J217)*$I217)))</f>
        <v>1000</v>
      </c>
      <c r="V217" s="1367">
        <f>IF($R217-SUM($T217:U217)=0,0,IF(OR($R217&lt;=0,$R217&lt;=SUM($T217:U217)),0,IF((IF($J217=0,$O217,$J217)*$I217)&gt;=($R217-SUM($T217:U217)),($R217-SUM($T217:U217)),IF($J217=0,$O217,$J217)*$I217)))</f>
        <v>0</v>
      </c>
      <c r="W217" s="1367">
        <f>IF($R217-SUM($T217:V217)=0,0,IF(OR($R217&lt;=0,$R217&lt;=SUM($T217:V217)),0,IF((IF($J217=0,$O217,$J217)*$I217)&gt;=($R217-SUM($T217:V217)),($R217-SUM($T217:V217)),IF($J217=0,$O217,$J217)*$I217)))</f>
        <v>0</v>
      </c>
      <c r="X217" s="1367">
        <f>IF($R217-SUM($T217:W217)=0,0,IF(OR($R217&lt;=0,$R217&lt;=SUM($T217:W217)),0,IF((IF($J217=0,$O217,$J217)*$I217)&gt;=($R217-SUM($T217:W217)),($R217-SUM($T217:W217)),IF($J217=0,$O217,$J217)*$I217)))</f>
        <v>0</v>
      </c>
      <c r="Y217" s="1367">
        <f>IF($R217-SUM($T217:X217)=0,0,IF(OR($R217&lt;=0,$R217&lt;=SUM($T217:X217)),0,IF((IF($J217=0,$O217,$J217)*$I217)&gt;=($R217-SUM($T217:X217)),($R217-SUM($T217:X217)),IF($J217=0,$O217,$J217)*$I217)))</f>
        <v>0</v>
      </c>
      <c r="Z217" s="1367">
        <f>IF($R217-SUM($T217:Y217)=0,0,IF(OR($R217&lt;=0,$R217&lt;=SUM($T217:Y217)),0,IF((IF($J217=0,$O217,$J217)*$I217)&gt;=($R217-SUM($T217:Y217)),($R217-SUM($T217:Y217)),IF($J217=0,$O217,$J217)*$I217)))</f>
        <v>0</v>
      </c>
      <c r="AA217" s="1367">
        <f>IF($R217-SUM($T217:Z217)=0,0,IF(OR($R217&lt;=0,$R217&lt;=SUM($T217:Z217)),0,IF((IF($J217=0,$O217,$J217)*$I217)&gt;=($R217-SUM($T217:Z217)),($R217-SUM($T217:Z217)),IF($J217=0,$O217,$J217)*$I217)))</f>
        <v>0</v>
      </c>
      <c r="AB217" s="1367">
        <f>IF($R217-SUM($T217:AA217)=0,0,IF(OR($R217&lt;=0,$R217&lt;=SUM($T217:AA217)),0,IF((IF($J217=0,$O217,$J217)*$I217)&gt;=($R217-SUM($T217:AA217)),($R217-SUM($T217:AA217)),IF($J217=0,$O217,$J217)*$I217)))</f>
        <v>0</v>
      </c>
      <c r="AC217" s="1367">
        <f>IF($R217-SUM($T217:AB217)=0,0,IF(OR($R217&lt;=0,$R217&lt;=SUM($T217:AB217)),0,IF((IF($J217=0,$O217,$J217)*$I217)&gt;=($R217-SUM($T217:AB217)),($R217-SUM($T217:AB217)),IF($J217=0,$O217,$J217)*$I217)))</f>
        <v>0</v>
      </c>
      <c r="AD217" s="1367">
        <f>IF($R217-SUM($T217:AC217)=0,0,IF(OR($R217&lt;=0,$R217&lt;=SUM($T217:AC217)),0,IF((IF($J217=0,$O217,$J217)*$I217)&gt;=($R217-SUM($T217:AC217)),($R217-SUM($T217:AC217)),IF($J217=0,$O217,$J217)*$I217)))</f>
        <v>0</v>
      </c>
      <c r="AF217" s="1319" t="b">
        <f t="shared" si="67"/>
        <v>1</v>
      </c>
      <c r="AG217" s="1319" t="str">
        <f t="shared" si="68"/>
        <v>Checked</v>
      </c>
      <c r="AH217" s="1318" t="str">
        <f t="shared" si="69"/>
        <v>Checked</v>
      </c>
    </row>
    <row r="218" spans="2:34" outlineLevel="1" x14ac:dyDescent="0.3">
      <c r="B218" s="1356" t="s">
        <v>2418</v>
      </c>
      <c r="C218" s="1356" t="s">
        <v>1986</v>
      </c>
      <c r="D218" s="1322" t="s">
        <v>2419</v>
      </c>
      <c r="E218" s="1357">
        <v>5</v>
      </c>
      <c r="F218" s="1333">
        <f t="shared" si="60"/>
        <v>0</v>
      </c>
      <c r="G218" s="1358">
        <f t="shared" si="61"/>
        <v>0</v>
      </c>
      <c r="H218" s="1359">
        <f t="shared" si="62"/>
        <v>0</v>
      </c>
      <c r="I218" s="1360">
        <f t="shared" si="63"/>
        <v>0.2</v>
      </c>
      <c r="J218" s="1361">
        <v>38434270</v>
      </c>
      <c r="K218" s="1362">
        <v>36143893</v>
      </c>
      <c r="L218" s="1356">
        <v>0</v>
      </c>
      <c r="M218" s="1356">
        <v>0</v>
      </c>
      <c r="N218" s="1361">
        <f t="shared" si="64"/>
        <v>2290377</v>
      </c>
      <c r="O218" s="1363">
        <v>0</v>
      </c>
      <c r="P218" s="1356">
        <v>0</v>
      </c>
      <c r="Q218" s="1364">
        <v>2289377</v>
      </c>
      <c r="R218" s="1365">
        <f t="shared" si="65"/>
        <v>1000</v>
      </c>
      <c r="S218" s="1364"/>
      <c r="T218" s="1366">
        <f t="shared" si="66"/>
        <v>0</v>
      </c>
      <c r="U218" s="1367">
        <f>IF($R218-SUM($T218:T218)=0,0,IF(OR($R218&lt;=0,$R218&lt;=SUM($T218:T218)),0,IF((IF($J218=0,$O218,$J218)*$I218)&gt;=($R218-SUM($T218:T218)),($R218-SUM($T218:T218)),IF($J218=0,$O218,$J218)*$I218)))</f>
        <v>1000</v>
      </c>
      <c r="V218" s="1367">
        <f>IF($R218-SUM($T218:U218)=0,0,IF(OR($R218&lt;=0,$R218&lt;=SUM($T218:U218)),0,IF((IF($J218=0,$O218,$J218)*$I218)&gt;=($R218-SUM($T218:U218)),($R218-SUM($T218:U218)),IF($J218=0,$O218,$J218)*$I218)))</f>
        <v>0</v>
      </c>
      <c r="W218" s="1367">
        <f>IF($R218-SUM($T218:V218)=0,0,IF(OR($R218&lt;=0,$R218&lt;=SUM($T218:V218)),0,IF((IF($J218=0,$O218,$J218)*$I218)&gt;=($R218-SUM($T218:V218)),($R218-SUM($T218:V218)),IF($J218=0,$O218,$J218)*$I218)))</f>
        <v>0</v>
      </c>
      <c r="X218" s="1367">
        <f>IF($R218-SUM($T218:W218)=0,0,IF(OR($R218&lt;=0,$R218&lt;=SUM($T218:W218)),0,IF((IF($J218=0,$O218,$J218)*$I218)&gt;=($R218-SUM($T218:W218)),($R218-SUM($T218:W218)),IF($J218=0,$O218,$J218)*$I218)))</f>
        <v>0</v>
      </c>
      <c r="Y218" s="1367">
        <f>IF($R218-SUM($T218:X218)=0,0,IF(OR($R218&lt;=0,$R218&lt;=SUM($T218:X218)),0,IF((IF($J218=0,$O218,$J218)*$I218)&gt;=($R218-SUM($T218:X218)),($R218-SUM($T218:X218)),IF($J218=0,$O218,$J218)*$I218)))</f>
        <v>0</v>
      </c>
      <c r="Z218" s="1367">
        <f>IF($R218-SUM($T218:Y218)=0,0,IF(OR($R218&lt;=0,$R218&lt;=SUM($T218:Y218)),0,IF((IF($J218=0,$O218,$J218)*$I218)&gt;=($R218-SUM($T218:Y218)),($R218-SUM($T218:Y218)),IF($J218=0,$O218,$J218)*$I218)))</f>
        <v>0</v>
      </c>
      <c r="AA218" s="1367">
        <f>IF($R218-SUM($T218:Z218)=0,0,IF(OR($R218&lt;=0,$R218&lt;=SUM($T218:Z218)),0,IF((IF($J218=0,$O218,$J218)*$I218)&gt;=($R218-SUM($T218:Z218)),($R218-SUM($T218:Z218)),IF($J218=0,$O218,$J218)*$I218)))</f>
        <v>0</v>
      </c>
      <c r="AB218" s="1367">
        <f>IF($R218-SUM($T218:AA218)=0,0,IF(OR($R218&lt;=0,$R218&lt;=SUM($T218:AA218)),0,IF((IF($J218=0,$O218,$J218)*$I218)&gt;=($R218-SUM($T218:AA218)),($R218-SUM($T218:AA218)),IF($J218=0,$O218,$J218)*$I218)))</f>
        <v>0</v>
      </c>
      <c r="AC218" s="1367">
        <f>IF($R218-SUM($T218:AB218)=0,0,IF(OR($R218&lt;=0,$R218&lt;=SUM($T218:AB218)),0,IF((IF($J218=0,$O218,$J218)*$I218)&gt;=($R218-SUM($T218:AB218)),($R218-SUM($T218:AB218)),IF($J218=0,$O218,$J218)*$I218)))</f>
        <v>0</v>
      </c>
      <c r="AD218" s="1367">
        <f>IF($R218-SUM($T218:AC218)=0,0,IF(OR($R218&lt;=0,$R218&lt;=SUM($T218:AC218)),0,IF((IF($J218=0,$O218,$J218)*$I218)&gt;=($R218-SUM($T218:AC218)),($R218-SUM($T218:AC218)),IF($J218=0,$O218,$J218)*$I218)))</f>
        <v>0</v>
      </c>
      <c r="AF218" s="1319" t="b">
        <f t="shared" si="67"/>
        <v>1</v>
      </c>
      <c r="AG218" s="1319" t="str">
        <f t="shared" si="68"/>
        <v>Checked</v>
      </c>
      <c r="AH218" s="1318" t="str">
        <f t="shared" si="69"/>
        <v>Checked</v>
      </c>
    </row>
    <row r="219" spans="2:34" outlineLevel="1" x14ac:dyDescent="0.3">
      <c r="B219" s="1356" t="s">
        <v>2420</v>
      </c>
      <c r="C219" s="1356" t="s">
        <v>1986</v>
      </c>
      <c r="D219" s="1322" t="s">
        <v>2421</v>
      </c>
      <c r="E219" s="1357">
        <v>5</v>
      </c>
      <c r="F219" s="1333">
        <f t="shared" si="60"/>
        <v>0</v>
      </c>
      <c r="G219" s="1358">
        <f t="shared" si="61"/>
        <v>0</v>
      </c>
      <c r="H219" s="1359">
        <f t="shared" si="62"/>
        <v>0</v>
      </c>
      <c r="I219" s="1360">
        <f t="shared" si="63"/>
        <v>0.2</v>
      </c>
      <c r="J219" s="1361">
        <v>40000000</v>
      </c>
      <c r="K219" s="1362">
        <v>37595397</v>
      </c>
      <c r="L219" s="1356">
        <v>0</v>
      </c>
      <c r="M219" s="1356">
        <v>0</v>
      </c>
      <c r="N219" s="1361">
        <f t="shared" si="64"/>
        <v>2404603</v>
      </c>
      <c r="O219" s="1363">
        <v>130000000</v>
      </c>
      <c r="P219" s="1356">
        <v>0</v>
      </c>
      <c r="Q219" s="1364">
        <v>2403603</v>
      </c>
      <c r="R219" s="1365">
        <f t="shared" si="65"/>
        <v>1000</v>
      </c>
      <c r="S219" s="1364"/>
      <c r="T219" s="1366">
        <f t="shared" si="66"/>
        <v>0</v>
      </c>
      <c r="U219" s="1367">
        <f>IF($R219-SUM($T219:T219)=0,0,IF(OR($R219&lt;=0,$R219&lt;=SUM($T219:T219)),0,IF((IF($J219=0,$O219,$J219)*$I219)&gt;=($R219-SUM($T219:T219)),($R219-SUM($T219:T219)),IF($J219=0,$O219,$J219)*$I219)))</f>
        <v>1000</v>
      </c>
      <c r="V219" s="1367">
        <f>IF($R219-SUM($T219:U219)=0,0,IF(OR($R219&lt;=0,$R219&lt;=SUM($T219:U219)),0,IF((IF($J219=0,$O219,$J219)*$I219)&gt;=($R219-SUM($T219:U219)),($R219-SUM($T219:U219)),IF($J219=0,$O219,$J219)*$I219)))</f>
        <v>0</v>
      </c>
      <c r="W219" s="1367">
        <f>IF($R219-SUM($T219:V219)=0,0,IF(OR($R219&lt;=0,$R219&lt;=SUM($T219:V219)),0,IF((IF($J219=0,$O219,$J219)*$I219)&gt;=($R219-SUM($T219:V219)),($R219-SUM($T219:V219)),IF($J219=0,$O219,$J219)*$I219)))</f>
        <v>0</v>
      </c>
      <c r="X219" s="1367">
        <f>IF($R219-SUM($T219:W219)=0,0,IF(OR($R219&lt;=0,$R219&lt;=SUM($T219:W219)),0,IF((IF($J219=0,$O219,$J219)*$I219)&gt;=($R219-SUM($T219:W219)),($R219-SUM($T219:W219)),IF($J219=0,$O219,$J219)*$I219)))</f>
        <v>0</v>
      </c>
      <c r="Y219" s="1367">
        <f>IF($R219-SUM($T219:X219)=0,0,IF(OR($R219&lt;=0,$R219&lt;=SUM($T219:X219)),0,IF((IF($J219=0,$O219,$J219)*$I219)&gt;=($R219-SUM($T219:X219)),($R219-SUM($T219:X219)),IF($J219=0,$O219,$J219)*$I219)))</f>
        <v>0</v>
      </c>
      <c r="Z219" s="1367">
        <f>IF($R219-SUM($T219:Y219)=0,0,IF(OR($R219&lt;=0,$R219&lt;=SUM($T219:Y219)),0,IF((IF($J219=0,$O219,$J219)*$I219)&gt;=($R219-SUM($T219:Y219)),($R219-SUM($T219:Y219)),IF($J219=0,$O219,$J219)*$I219)))</f>
        <v>0</v>
      </c>
      <c r="AA219" s="1367">
        <f>IF($R219-SUM($T219:Z219)=0,0,IF(OR($R219&lt;=0,$R219&lt;=SUM($T219:Z219)),0,IF((IF($J219=0,$O219,$J219)*$I219)&gt;=($R219-SUM($T219:Z219)),($R219-SUM($T219:Z219)),IF($J219=0,$O219,$J219)*$I219)))</f>
        <v>0</v>
      </c>
      <c r="AB219" s="1367">
        <f>IF($R219-SUM($T219:AA219)=0,0,IF(OR($R219&lt;=0,$R219&lt;=SUM($T219:AA219)),0,IF((IF($J219=0,$O219,$J219)*$I219)&gt;=($R219-SUM($T219:AA219)),($R219-SUM($T219:AA219)),IF($J219=0,$O219,$J219)*$I219)))</f>
        <v>0</v>
      </c>
      <c r="AC219" s="1367">
        <f>IF($R219-SUM($T219:AB219)=0,0,IF(OR($R219&lt;=0,$R219&lt;=SUM($T219:AB219)),0,IF((IF($J219=0,$O219,$J219)*$I219)&gt;=($R219-SUM($T219:AB219)),($R219-SUM($T219:AB219)),IF($J219=0,$O219,$J219)*$I219)))</f>
        <v>0</v>
      </c>
      <c r="AD219" s="1367">
        <f>IF($R219-SUM($T219:AC219)=0,0,IF(OR($R219&lt;=0,$R219&lt;=SUM($T219:AC219)),0,IF((IF($J219=0,$O219,$J219)*$I219)&gt;=($R219-SUM($T219:AC219)),($R219-SUM($T219:AC219)),IF($J219=0,$O219,$J219)*$I219)))</f>
        <v>0</v>
      </c>
      <c r="AF219" s="1319" t="b">
        <f t="shared" si="67"/>
        <v>1</v>
      </c>
      <c r="AG219" s="1319" t="str">
        <f t="shared" si="68"/>
        <v>Checked</v>
      </c>
      <c r="AH219" s="1318" t="str">
        <f t="shared" si="69"/>
        <v>Checked</v>
      </c>
    </row>
    <row r="220" spans="2:34" outlineLevel="1" x14ac:dyDescent="0.3">
      <c r="B220" s="1356" t="s">
        <v>2422</v>
      </c>
      <c r="C220" s="1356" t="s">
        <v>1986</v>
      </c>
      <c r="D220" s="1322" t="s">
        <v>2423</v>
      </c>
      <c r="E220" s="1357">
        <v>5</v>
      </c>
      <c r="F220" s="1333">
        <f t="shared" si="60"/>
        <v>0</v>
      </c>
      <c r="G220" s="1358">
        <f t="shared" si="61"/>
        <v>0</v>
      </c>
      <c r="H220" s="1359">
        <f t="shared" si="62"/>
        <v>0</v>
      </c>
      <c r="I220" s="1360">
        <f t="shared" si="63"/>
        <v>0.2</v>
      </c>
      <c r="J220" s="1361">
        <v>13500000</v>
      </c>
      <c r="K220" s="1362">
        <v>11541204</v>
      </c>
      <c r="L220" s="1356">
        <v>0</v>
      </c>
      <c r="M220" s="1356">
        <v>0</v>
      </c>
      <c r="N220" s="1361">
        <f t="shared" si="64"/>
        <v>1958796</v>
      </c>
      <c r="O220" s="1363">
        <v>0</v>
      </c>
      <c r="P220" s="1356">
        <v>0</v>
      </c>
      <c r="Q220" s="1364">
        <v>883416</v>
      </c>
      <c r="R220" s="1365">
        <f t="shared" si="65"/>
        <v>1075380</v>
      </c>
      <c r="S220" s="1364"/>
      <c r="T220" s="1366">
        <f t="shared" si="66"/>
        <v>0</v>
      </c>
      <c r="U220" s="1367">
        <f>IF($R220-SUM($T220:T220)=0,0,IF(OR($R220&lt;=0,$R220&lt;=SUM($T220:T220)),0,IF((IF($J220=0,$O220,$J220)*$I220)&gt;=($R220-SUM($T220:T220)),($R220-SUM($T220:T220)),IF($J220=0,$O220,$J220)*$I220)))</f>
        <v>1075380</v>
      </c>
      <c r="V220" s="1367">
        <f>IF($R220-SUM($T220:U220)=0,0,IF(OR($R220&lt;=0,$R220&lt;=SUM($T220:U220)),0,IF((IF($J220=0,$O220,$J220)*$I220)&gt;=($R220-SUM($T220:U220)),($R220-SUM($T220:U220)),IF($J220=0,$O220,$J220)*$I220)))</f>
        <v>0</v>
      </c>
      <c r="W220" s="1367">
        <f>IF($R220-SUM($T220:V220)=0,0,IF(OR($R220&lt;=0,$R220&lt;=SUM($T220:V220)),0,IF((IF($J220=0,$O220,$J220)*$I220)&gt;=($R220-SUM($T220:V220)),($R220-SUM($T220:V220)),IF($J220=0,$O220,$J220)*$I220)))</f>
        <v>0</v>
      </c>
      <c r="X220" s="1367">
        <f>IF($R220-SUM($T220:W220)=0,0,IF(OR($R220&lt;=0,$R220&lt;=SUM($T220:W220)),0,IF((IF($J220=0,$O220,$J220)*$I220)&gt;=($R220-SUM($T220:W220)),($R220-SUM($T220:W220)),IF($J220=0,$O220,$J220)*$I220)))</f>
        <v>0</v>
      </c>
      <c r="Y220" s="1367">
        <f>IF($R220-SUM($T220:X220)=0,0,IF(OR($R220&lt;=0,$R220&lt;=SUM($T220:X220)),0,IF((IF($J220=0,$O220,$J220)*$I220)&gt;=($R220-SUM($T220:X220)),($R220-SUM($T220:X220)),IF($J220=0,$O220,$J220)*$I220)))</f>
        <v>0</v>
      </c>
      <c r="Z220" s="1367">
        <f>IF($R220-SUM($T220:Y220)=0,0,IF(OR($R220&lt;=0,$R220&lt;=SUM($T220:Y220)),0,IF((IF($J220=0,$O220,$J220)*$I220)&gt;=($R220-SUM($T220:Y220)),($R220-SUM($T220:Y220)),IF($J220=0,$O220,$J220)*$I220)))</f>
        <v>0</v>
      </c>
      <c r="AA220" s="1367">
        <f>IF($R220-SUM($T220:Z220)=0,0,IF(OR($R220&lt;=0,$R220&lt;=SUM($T220:Z220)),0,IF((IF($J220=0,$O220,$J220)*$I220)&gt;=($R220-SUM($T220:Z220)),($R220-SUM($T220:Z220)),IF($J220=0,$O220,$J220)*$I220)))</f>
        <v>0</v>
      </c>
      <c r="AB220" s="1367">
        <f>IF($R220-SUM($T220:AA220)=0,0,IF(OR($R220&lt;=0,$R220&lt;=SUM($T220:AA220)),0,IF((IF($J220=0,$O220,$J220)*$I220)&gt;=($R220-SUM($T220:AA220)),($R220-SUM($T220:AA220)),IF($J220=0,$O220,$J220)*$I220)))</f>
        <v>0</v>
      </c>
      <c r="AC220" s="1367">
        <f>IF($R220-SUM($T220:AB220)=0,0,IF(OR($R220&lt;=0,$R220&lt;=SUM($T220:AB220)),0,IF((IF($J220=0,$O220,$J220)*$I220)&gt;=($R220-SUM($T220:AB220)),($R220-SUM($T220:AB220)),IF($J220=0,$O220,$J220)*$I220)))</f>
        <v>0</v>
      </c>
      <c r="AD220" s="1367">
        <f>IF($R220-SUM($T220:AC220)=0,0,IF(OR($R220&lt;=0,$R220&lt;=SUM($T220:AC220)),0,IF((IF($J220=0,$O220,$J220)*$I220)&gt;=($R220-SUM($T220:AC220)),($R220-SUM($T220:AC220)),IF($J220=0,$O220,$J220)*$I220)))</f>
        <v>0</v>
      </c>
      <c r="AF220" s="1319" t="b">
        <f t="shared" si="67"/>
        <v>1</v>
      </c>
      <c r="AG220" s="1319" t="str">
        <f t="shared" si="68"/>
        <v>Checked</v>
      </c>
      <c r="AH220" s="1318" t="str">
        <f t="shared" si="69"/>
        <v>Checked</v>
      </c>
    </row>
    <row r="221" spans="2:34" outlineLevel="1" x14ac:dyDescent="0.3">
      <c r="B221" s="1356" t="s">
        <v>2424</v>
      </c>
      <c r="C221" s="1356" t="s">
        <v>1986</v>
      </c>
      <c r="D221" s="1322" t="s">
        <v>2425</v>
      </c>
      <c r="E221" s="1357">
        <v>5</v>
      </c>
      <c r="F221" s="1333">
        <f t="shared" si="60"/>
        <v>1</v>
      </c>
      <c r="G221" s="1358">
        <f t="shared" si="61"/>
        <v>0</v>
      </c>
      <c r="H221" s="1359">
        <f t="shared" si="62"/>
        <v>0</v>
      </c>
      <c r="I221" s="1360">
        <f t="shared" si="63"/>
        <v>0.2</v>
      </c>
      <c r="J221" s="1361">
        <v>13806541</v>
      </c>
      <c r="K221" s="1362">
        <v>12037151</v>
      </c>
      <c r="L221" s="1356">
        <v>0</v>
      </c>
      <c r="M221" s="1356">
        <v>0</v>
      </c>
      <c r="N221" s="1361">
        <f t="shared" si="64"/>
        <v>1769390</v>
      </c>
      <c r="O221" s="1363">
        <v>0</v>
      </c>
      <c r="P221" s="1356">
        <v>0</v>
      </c>
      <c r="Q221" s="1364">
        <v>797994</v>
      </c>
      <c r="R221" s="1365">
        <f t="shared" si="65"/>
        <v>971396</v>
      </c>
      <c r="S221" s="1364"/>
      <c r="T221" s="1366">
        <f t="shared" si="66"/>
        <v>0</v>
      </c>
      <c r="U221" s="1367">
        <f>IF($R221-SUM($T221:T221)=0,0,IF(OR($R221&lt;=0,$R221&lt;=SUM($T221:T221)),0,IF((IF($J221=0,$O221,$J221)*$I221)&gt;=($R221-SUM($T221:T221)),($R221-SUM($T221:T221)),IF($J221=0,$O221,$J221)*$I221)))</f>
        <v>971396</v>
      </c>
      <c r="V221" s="1367">
        <f>IF($R221-SUM($T221:U221)=0,0,IF(OR($R221&lt;=0,$R221&lt;=SUM($T221:U221)),0,IF((IF($J221=0,$O221,$J221)*$I221)&gt;=($R221-SUM($T221:U221)),($R221-SUM($T221:U221)),IF($J221=0,$O221,$J221)*$I221)))</f>
        <v>0</v>
      </c>
      <c r="W221" s="1367">
        <f>IF($R221-SUM($T221:V221)=0,0,IF(OR($R221&lt;=0,$R221&lt;=SUM($T221:V221)),0,IF((IF($J221=0,$O221,$J221)*$I221)&gt;=($R221-SUM($T221:V221)),($R221-SUM($T221:V221)),IF($J221=0,$O221,$J221)*$I221)))</f>
        <v>0</v>
      </c>
      <c r="X221" s="1367">
        <f>IF($R221-SUM($T221:W221)=0,0,IF(OR($R221&lt;=0,$R221&lt;=SUM($T221:W221)),0,IF((IF($J221=0,$O221,$J221)*$I221)&gt;=($R221-SUM($T221:W221)),($R221-SUM($T221:W221)),IF($J221=0,$O221,$J221)*$I221)))</f>
        <v>0</v>
      </c>
      <c r="Y221" s="1367">
        <f>IF($R221-SUM($T221:X221)=0,0,IF(OR($R221&lt;=0,$R221&lt;=SUM($T221:X221)),0,IF((IF($J221=0,$O221,$J221)*$I221)&gt;=($R221-SUM($T221:X221)),($R221-SUM($T221:X221)),IF($J221=0,$O221,$J221)*$I221)))</f>
        <v>0</v>
      </c>
      <c r="Z221" s="1367">
        <f>IF($R221-SUM($T221:Y221)=0,0,IF(OR($R221&lt;=0,$R221&lt;=SUM($T221:Y221)),0,IF((IF($J221=0,$O221,$J221)*$I221)&gt;=($R221-SUM($T221:Y221)),($R221-SUM($T221:Y221)),IF($J221=0,$O221,$J221)*$I221)))</f>
        <v>0</v>
      </c>
      <c r="AA221" s="1367">
        <f>IF($R221-SUM($T221:Z221)=0,0,IF(OR($R221&lt;=0,$R221&lt;=SUM($T221:Z221)),0,IF((IF($J221=0,$O221,$J221)*$I221)&gt;=($R221-SUM($T221:Z221)),($R221-SUM($T221:Z221)),IF($J221=0,$O221,$J221)*$I221)))</f>
        <v>0</v>
      </c>
      <c r="AB221" s="1367">
        <f>IF($R221-SUM($T221:AA221)=0,0,IF(OR($R221&lt;=0,$R221&lt;=SUM($T221:AA221)),0,IF((IF($J221=0,$O221,$J221)*$I221)&gt;=($R221-SUM($T221:AA221)),($R221-SUM($T221:AA221)),IF($J221=0,$O221,$J221)*$I221)))</f>
        <v>0</v>
      </c>
      <c r="AC221" s="1367">
        <f>IF($R221-SUM($T221:AB221)=0,0,IF(OR($R221&lt;=0,$R221&lt;=SUM($T221:AB221)),0,IF((IF($J221=0,$O221,$J221)*$I221)&gt;=($R221-SUM($T221:AB221)),($R221-SUM($T221:AB221)),IF($J221=0,$O221,$J221)*$I221)))</f>
        <v>0</v>
      </c>
      <c r="AD221" s="1367">
        <f>IF($R221-SUM($T221:AC221)=0,0,IF(OR($R221&lt;=0,$R221&lt;=SUM($T221:AC221)),0,IF((IF($J221=0,$O221,$J221)*$I221)&gt;=($R221-SUM($T221:AC221)),($R221-SUM($T221:AC221)),IF($J221=0,$O221,$J221)*$I221)))</f>
        <v>0</v>
      </c>
      <c r="AF221" s="1319" t="b">
        <f t="shared" si="67"/>
        <v>1</v>
      </c>
      <c r="AG221" s="1319" t="str">
        <f t="shared" si="68"/>
        <v>Checked</v>
      </c>
      <c r="AH221" s="1318" t="str">
        <f t="shared" si="69"/>
        <v>Checked</v>
      </c>
    </row>
    <row r="222" spans="2:34" outlineLevel="1" x14ac:dyDescent="0.3">
      <c r="B222" s="1356" t="s">
        <v>2426</v>
      </c>
      <c r="C222" s="1356" t="s">
        <v>1986</v>
      </c>
      <c r="D222" s="1322" t="s">
        <v>2427</v>
      </c>
      <c r="E222" s="1357">
        <v>5</v>
      </c>
      <c r="F222" s="1333">
        <f t="shared" si="60"/>
        <v>2</v>
      </c>
      <c r="G222" s="1358">
        <f t="shared" si="61"/>
        <v>0</v>
      </c>
      <c r="H222" s="1359">
        <f t="shared" si="62"/>
        <v>0</v>
      </c>
      <c r="I222" s="1360">
        <f t="shared" si="63"/>
        <v>0.2</v>
      </c>
      <c r="J222" s="1361">
        <v>13067670</v>
      </c>
      <c r="K222" s="1362">
        <v>10905373</v>
      </c>
      <c r="L222" s="1356">
        <v>0</v>
      </c>
      <c r="M222" s="1356">
        <v>0</v>
      </c>
      <c r="N222" s="1361">
        <f t="shared" si="64"/>
        <v>2162297</v>
      </c>
      <c r="O222" s="1363">
        <v>0</v>
      </c>
      <c r="P222" s="1356">
        <v>0</v>
      </c>
      <c r="Q222" s="1364">
        <v>975195</v>
      </c>
      <c r="R222" s="1365">
        <f t="shared" si="65"/>
        <v>1187102</v>
      </c>
      <c r="S222" s="1364"/>
      <c r="T222" s="1366">
        <f t="shared" si="66"/>
        <v>0</v>
      </c>
      <c r="U222" s="1367">
        <f>IF($R222-SUM($T222:T222)=0,0,IF(OR($R222&lt;=0,$R222&lt;=SUM($T222:T222)),0,IF((IF($J222=0,$O222,$J222)*$I222)&gt;=($R222-SUM($T222:T222)),($R222-SUM($T222:T222)),IF($J222=0,$O222,$J222)*$I222)))</f>
        <v>1187102</v>
      </c>
      <c r="V222" s="1367">
        <f>IF($R222-SUM($T222:U222)=0,0,IF(OR($R222&lt;=0,$R222&lt;=SUM($T222:U222)),0,IF((IF($J222=0,$O222,$J222)*$I222)&gt;=($R222-SUM($T222:U222)),($R222-SUM($T222:U222)),IF($J222=0,$O222,$J222)*$I222)))</f>
        <v>0</v>
      </c>
      <c r="W222" s="1367">
        <f>IF($R222-SUM($T222:V222)=0,0,IF(OR($R222&lt;=0,$R222&lt;=SUM($T222:V222)),0,IF((IF($J222=0,$O222,$J222)*$I222)&gt;=($R222-SUM($T222:V222)),($R222-SUM($T222:V222)),IF($J222=0,$O222,$J222)*$I222)))</f>
        <v>0</v>
      </c>
      <c r="X222" s="1367">
        <f>IF($R222-SUM($T222:W222)=0,0,IF(OR($R222&lt;=0,$R222&lt;=SUM($T222:W222)),0,IF((IF($J222=0,$O222,$J222)*$I222)&gt;=($R222-SUM($T222:W222)),($R222-SUM($T222:W222)),IF($J222=0,$O222,$J222)*$I222)))</f>
        <v>0</v>
      </c>
      <c r="Y222" s="1367">
        <f>IF($R222-SUM($T222:X222)=0,0,IF(OR($R222&lt;=0,$R222&lt;=SUM($T222:X222)),0,IF((IF($J222=0,$O222,$J222)*$I222)&gt;=($R222-SUM($T222:X222)),($R222-SUM($T222:X222)),IF($J222=0,$O222,$J222)*$I222)))</f>
        <v>0</v>
      </c>
      <c r="Z222" s="1367">
        <f>IF($R222-SUM($T222:Y222)=0,0,IF(OR($R222&lt;=0,$R222&lt;=SUM($T222:Y222)),0,IF((IF($J222=0,$O222,$J222)*$I222)&gt;=($R222-SUM($T222:Y222)),($R222-SUM($T222:Y222)),IF($J222=0,$O222,$J222)*$I222)))</f>
        <v>0</v>
      </c>
      <c r="AA222" s="1367">
        <f>IF($R222-SUM($T222:Z222)=0,0,IF(OR($R222&lt;=0,$R222&lt;=SUM($T222:Z222)),0,IF((IF($J222=0,$O222,$J222)*$I222)&gt;=($R222-SUM($T222:Z222)),($R222-SUM($T222:Z222)),IF($J222=0,$O222,$J222)*$I222)))</f>
        <v>0</v>
      </c>
      <c r="AB222" s="1367">
        <f>IF($R222-SUM($T222:AA222)=0,0,IF(OR($R222&lt;=0,$R222&lt;=SUM($T222:AA222)),0,IF((IF($J222=0,$O222,$J222)*$I222)&gt;=($R222-SUM($T222:AA222)),($R222-SUM($T222:AA222)),IF($J222=0,$O222,$J222)*$I222)))</f>
        <v>0</v>
      </c>
      <c r="AC222" s="1367">
        <f>IF($R222-SUM($T222:AB222)=0,0,IF(OR($R222&lt;=0,$R222&lt;=SUM($T222:AB222)),0,IF((IF($J222=0,$O222,$J222)*$I222)&gt;=($R222-SUM($T222:AB222)),($R222-SUM($T222:AB222)),IF($J222=0,$O222,$J222)*$I222)))</f>
        <v>0</v>
      </c>
      <c r="AD222" s="1367">
        <f>IF($R222-SUM($T222:AC222)=0,0,IF(OR($R222&lt;=0,$R222&lt;=SUM($T222:AC222)),0,IF((IF($J222=0,$O222,$J222)*$I222)&gt;=($R222-SUM($T222:AC222)),($R222-SUM($T222:AC222)),IF($J222=0,$O222,$J222)*$I222)))</f>
        <v>0</v>
      </c>
      <c r="AF222" s="1319" t="b">
        <f t="shared" si="67"/>
        <v>1</v>
      </c>
      <c r="AG222" s="1319" t="str">
        <f t="shared" si="68"/>
        <v>Checked</v>
      </c>
      <c r="AH222" s="1318" t="str">
        <f t="shared" si="69"/>
        <v>Checked</v>
      </c>
    </row>
    <row r="223" spans="2:34" outlineLevel="1" x14ac:dyDescent="0.3">
      <c r="B223" s="1356" t="s">
        <v>2428</v>
      </c>
      <c r="C223" s="1356" t="s">
        <v>1986</v>
      </c>
      <c r="D223" s="1322" t="s">
        <v>2429</v>
      </c>
      <c r="E223" s="1357">
        <v>5</v>
      </c>
      <c r="F223" s="1333">
        <f t="shared" si="60"/>
        <v>2</v>
      </c>
      <c r="G223" s="1358">
        <f t="shared" si="61"/>
        <v>0</v>
      </c>
      <c r="H223" s="1359">
        <f t="shared" si="62"/>
        <v>0</v>
      </c>
      <c r="I223" s="1360">
        <f t="shared" si="63"/>
        <v>0.2</v>
      </c>
      <c r="J223" s="1361">
        <v>25575358</v>
      </c>
      <c r="K223" s="1362">
        <v>21053716</v>
      </c>
      <c r="L223" s="1356">
        <v>0</v>
      </c>
      <c r="M223" s="1356">
        <v>0</v>
      </c>
      <c r="N223" s="1361">
        <f t="shared" si="64"/>
        <v>4521642</v>
      </c>
      <c r="O223" s="1363">
        <v>0</v>
      </c>
      <c r="P223" s="1356">
        <v>0</v>
      </c>
      <c r="Q223" s="1364">
        <v>2039260</v>
      </c>
      <c r="R223" s="1365">
        <f t="shared" si="65"/>
        <v>2482382</v>
      </c>
      <c r="S223" s="1364"/>
      <c r="T223" s="1366">
        <f t="shared" si="66"/>
        <v>0</v>
      </c>
      <c r="U223" s="1367">
        <f>IF($R223-SUM($T223:T223)=0,0,IF(OR($R223&lt;=0,$R223&lt;=SUM($T223:T223)),0,IF((IF($J223=0,$O223,$J223)*$I223)&gt;=($R223-SUM($T223:T223)),($R223-SUM($T223:T223)),IF($J223=0,$O223,$J223)*$I223)))</f>
        <v>2482382</v>
      </c>
      <c r="V223" s="1367">
        <f>IF($R223-SUM($T223:U223)=0,0,IF(OR($R223&lt;=0,$R223&lt;=SUM($T223:U223)),0,IF((IF($J223=0,$O223,$J223)*$I223)&gt;=($R223-SUM($T223:U223)),($R223-SUM($T223:U223)),IF($J223=0,$O223,$J223)*$I223)))</f>
        <v>0</v>
      </c>
      <c r="W223" s="1367">
        <f>IF($R223-SUM($T223:V223)=0,0,IF(OR($R223&lt;=0,$R223&lt;=SUM($T223:V223)),0,IF((IF($J223=0,$O223,$J223)*$I223)&gt;=($R223-SUM($T223:V223)),($R223-SUM($T223:V223)),IF($J223=0,$O223,$J223)*$I223)))</f>
        <v>0</v>
      </c>
      <c r="X223" s="1367">
        <f>IF($R223-SUM($T223:W223)=0,0,IF(OR($R223&lt;=0,$R223&lt;=SUM($T223:W223)),0,IF((IF($J223=0,$O223,$J223)*$I223)&gt;=($R223-SUM($T223:W223)),($R223-SUM($T223:W223)),IF($J223=0,$O223,$J223)*$I223)))</f>
        <v>0</v>
      </c>
      <c r="Y223" s="1367">
        <f>IF($R223-SUM($T223:X223)=0,0,IF(OR($R223&lt;=0,$R223&lt;=SUM($T223:X223)),0,IF((IF($J223=0,$O223,$J223)*$I223)&gt;=($R223-SUM($T223:X223)),($R223-SUM($T223:X223)),IF($J223=0,$O223,$J223)*$I223)))</f>
        <v>0</v>
      </c>
      <c r="Z223" s="1367">
        <f>IF($R223-SUM($T223:Y223)=0,0,IF(OR($R223&lt;=0,$R223&lt;=SUM($T223:Y223)),0,IF((IF($J223=0,$O223,$J223)*$I223)&gt;=($R223-SUM($T223:Y223)),($R223-SUM($T223:Y223)),IF($J223=0,$O223,$J223)*$I223)))</f>
        <v>0</v>
      </c>
      <c r="AA223" s="1367">
        <f>IF($R223-SUM($T223:Z223)=0,0,IF(OR($R223&lt;=0,$R223&lt;=SUM($T223:Z223)),0,IF((IF($J223=0,$O223,$J223)*$I223)&gt;=($R223-SUM($T223:Z223)),($R223-SUM($T223:Z223)),IF($J223=0,$O223,$J223)*$I223)))</f>
        <v>0</v>
      </c>
      <c r="AB223" s="1367">
        <f>IF($R223-SUM($T223:AA223)=0,0,IF(OR($R223&lt;=0,$R223&lt;=SUM($T223:AA223)),0,IF((IF($J223=0,$O223,$J223)*$I223)&gt;=($R223-SUM($T223:AA223)),($R223-SUM($T223:AA223)),IF($J223=0,$O223,$J223)*$I223)))</f>
        <v>0</v>
      </c>
      <c r="AC223" s="1367">
        <f>IF($R223-SUM($T223:AB223)=0,0,IF(OR($R223&lt;=0,$R223&lt;=SUM($T223:AB223)),0,IF((IF($J223=0,$O223,$J223)*$I223)&gt;=($R223-SUM($T223:AB223)),($R223-SUM($T223:AB223)),IF($J223=0,$O223,$J223)*$I223)))</f>
        <v>0</v>
      </c>
      <c r="AD223" s="1367">
        <f>IF($R223-SUM($T223:AC223)=0,0,IF(OR($R223&lt;=0,$R223&lt;=SUM($T223:AC223)),0,IF((IF($J223=0,$O223,$J223)*$I223)&gt;=($R223-SUM($T223:AC223)),($R223-SUM($T223:AC223)),IF($J223=0,$O223,$J223)*$I223)))</f>
        <v>0</v>
      </c>
      <c r="AF223" s="1319" t="b">
        <f t="shared" si="67"/>
        <v>1</v>
      </c>
      <c r="AG223" s="1319" t="str">
        <f t="shared" si="68"/>
        <v>Checked</v>
      </c>
      <c r="AH223" s="1318" t="str">
        <f t="shared" si="69"/>
        <v>Checked</v>
      </c>
    </row>
    <row r="224" spans="2:34" outlineLevel="1" x14ac:dyDescent="0.3">
      <c r="B224" s="1356" t="s">
        <v>2430</v>
      </c>
      <c r="C224" s="1356" t="s">
        <v>1986</v>
      </c>
      <c r="D224" s="1322" t="s">
        <v>2431</v>
      </c>
      <c r="E224" s="1357">
        <v>5</v>
      </c>
      <c r="F224" s="1333">
        <f t="shared" si="60"/>
        <v>2</v>
      </c>
      <c r="G224" s="1358">
        <f t="shared" si="61"/>
        <v>0</v>
      </c>
      <c r="H224" s="1359">
        <f t="shared" si="62"/>
        <v>0</v>
      </c>
      <c r="I224" s="1360">
        <f t="shared" si="63"/>
        <v>0.2</v>
      </c>
      <c r="J224" s="1361">
        <v>13000000</v>
      </c>
      <c r="K224" s="1362">
        <v>10701641</v>
      </c>
      <c r="L224" s="1356">
        <v>0</v>
      </c>
      <c r="M224" s="1356">
        <v>0</v>
      </c>
      <c r="N224" s="1361">
        <f t="shared" si="64"/>
        <v>2298359</v>
      </c>
      <c r="O224" s="1363">
        <v>0</v>
      </c>
      <c r="P224" s="1356">
        <v>0</v>
      </c>
      <c r="Q224" s="1364">
        <v>1036559</v>
      </c>
      <c r="R224" s="1365">
        <f t="shared" si="65"/>
        <v>1261800</v>
      </c>
      <c r="S224" s="1364"/>
      <c r="T224" s="1366">
        <f t="shared" si="66"/>
        <v>0</v>
      </c>
      <c r="U224" s="1367">
        <f>IF($R224-SUM($T224:T224)=0,0,IF(OR($R224&lt;=0,$R224&lt;=SUM($T224:T224)),0,IF((IF($J224=0,$O224,$J224)*$I224)&gt;=($R224-SUM($T224:T224)),($R224-SUM($T224:T224)),IF($J224=0,$O224,$J224)*$I224)))</f>
        <v>1261800</v>
      </c>
      <c r="V224" s="1367">
        <f>IF($R224-SUM($T224:U224)=0,0,IF(OR($R224&lt;=0,$R224&lt;=SUM($T224:U224)),0,IF((IF($J224=0,$O224,$J224)*$I224)&gt;=($R224-SUM($T224:U224)),($R224-SUM($T224:U224)),IF($J224=0,$O224,$J224)*$I224)))</f>
        <v>0</v>
      </c>
      <c r="W224" s="1367">
        <f>IF($R224-SUM($T224:V224)=0,0,IF(OR($R224&lt;=0,$R224&lt;=SUM($T224:V224)),0,IF((IF($J224=0,$O224,$J224)*$I224)&gt;=($R224-SUM($T224:V224)),($R224-SUM($T224:V224)),IF($J224=0,$O224,$J224)*$I224)))</f>
        <v>0</v>
      </c>
      <c r="X224" s="1367">
        <f>IF($R224-SUM($T224:W224)=0,0,IF(OR($R224&lt;=0,$R224&lt;=SUM($T224:W224)),0,IF((IF($J224=0,$O224,$J224)*$I224)&gt;=($R224-SUM($T224:W224)),($R224-SUM($T224:W224)),IF($J224=0,$O224,$J224)*$I224)))</f>
        <v>0</v>
      </c>
      <c r="Y224" s="1367">
        <f>IF($R224-SUM($T224:X224)=0,0,IF(OR($R224&lt;=0,$R224&lt;=SUM($T224:X224)),0,IF((IF($J224=0,$O224,$J224)*$I224)&gt;=($R224-SUM($T224:X224)),($R224-SUM($T224:X224)),IF($J224=0,$O224,$J224)*$I224)))</f>
        <v>0</v>
      </c>
      <c r="Z224" s="1367">
        <f>IF($R224-SUM($T224:Y224)=0,0,IF(OR($R224&lt;=0,$R224&lt;=SUM($T224:Y224)),0,IF((IF($J224=0,$O224,$J224)*$I224)&gt;=($R224-SUM($T224:Y224)),($R224-SUM($T224:Y224)),IF($J224=0,$O224,$J224)*$I224)))</f>
        <v>0</v>
      </c>
      <c r="AA224" s="1367">
        <f>IF($R224-SUM($T224:Z224)=0,0,IF(OR($R224&lt;=0,$R224&lt;=SUM($T224:Z224)),0,IF((IF($J224=0,$O224,$J224)*$I224)&gt;=($R224-SUM($T224:Z224)),($R224-SUM($T224:Z224)),IF($J224=0,$O224,$J224)*$I224)))</f>
        <v>0</v>
      </c>
      <c r="AB224" s="1367">
        <f>IF($R224-SUM($T224:AA224)=0,0,IF(OR($R224&lt;=0,$R224&lt;=SUM($T224:AA224)),0,IF((IF($J224=0,$O224,$J224)*$I224)&gt;=($R224-SUM($T224:AA224)),($R224-SUM($T224:AA224)),IF($J224=0,$O224,$J224)*$I224)))</f>
        <v>0</v>
      </c>
      <c r="AC224" s="1367">
        <f>IF($R224-SUM($T224:AB224)=0,0,IF(OR($R224&lt;=0,$R224&lt;=SUM($T224:AB224)),0,IF((IF($J224=0,$O224,$J224)*$I224)&gt;=($R224-SUM($T224:AB224)),($R224-SUM($T224:AB224)),IF($J224=0,$O224,$J224)*$I224)))</f>
        <v>0</v>
      </c>
      <c r="AD224" s="1367">
        <f>IF($R224-SUM($T224:AC224)=0,0,IF(OR($R224&lt;=0,$R224&lt;=SUM($T224:AC224)),0,IF((IF($J224=0,$O224,$J224)*$I224)&gt;=($R224-SUM($T224:AC224)),($R224-SUM($T224:AC224)),IF($J224=0,$O224,$J224)*$I224)))</f>
        <v>0</v>
      </c>
      <c r="AF224" s="1319" t="b">
        <f t="shared" si="67"/>
        <v>1</v>
      </c>
      <c r="AG224" s="1319" t="str">
        <f t="shared" si="68"/>
        <v>Checked</v>
      </c>
      <c r="AH224" s="1318" t="str">
        <f t="shared" si="69"/>
        <v>Checked</v>
      </c>
    </row>
    <row r="225" spans="2:34" outlineLevel="1" x14ac:dyDescent="0.3">
      <c r="B225" s="1356" t="s">
        <v>2432</v>
      </c>
      <c r="C225" s="1356" t="s">
        <v>1986</v>
      </c>
      <c r="D225" s="1322" t="s">
        <v>2433</v>
      </c>
      <c r="E225" s="1357">
        <v>5</v>
      </c>
      <c r="F225" s="1333">
        <f t="shared" si="60"/>
        <v>2</v>
      </c>
      <c r="G225" s="1358">
        <f t="shared" si="61"/>
        <v>0</v>
      </c>
      <c r="H225" s="1359">
        <f t="shared" si="62"/>
        <v>0</v>
      </c>
      <c r="I225" s="1360">
        <f t="shared" si="63"/>
        <v>0.2</v>
      </c>
      <c r="J225" s="1361">
        <v>24847819</v>
      </c>
      <c r="K225" s="1362">
        <v>20454803</v>
      </c>
      <c r="L225" s="1356">
        <v>0</v>
      </c>
      <c r="M225" s="1356">
        <v>0</v>
      </c>
      <c r="N225" s="1361">
        <f t="shared" si="64"/>
        <v>4393016</v>
      </c>
      <c r="O225" s="1363">
        <v>0</v>
      </c>
      <c r="P225" s="1356">
        <v>19000000</v>
      </c>
      <c r="Q225" s="1364">
        <v>1981250</v>
      </c>
      <c r="R225" s="1365">
        <f t="shared" si="65"/>
        <v>0</v>
      </c>
      <c r="S225" s="1364"/>
      <c r="T225" s="1366">
        <f t="shared" si="66"/>
        <v>0</v>
      </c>
      <c r="U225" s="1367">
        <f>IF($R225-SUM($T225:T225)=0,0,IF(OR($R225&lt;=0,$R225&lt;=SUM($T225:T225)),0,IF((IF($J225=0,$O225,$J225)*$I225)&gt;=($R225-SUM($T225:T225)),($R225-SUM($T225:T225)),IF($J225=0,$O225,$J225)*$I225)))</f>
        <v>0</v>
      </c>
      <c r="V225" s="1367">
        <f>IF($R225-SUM($T225:U225)=0,0,IF(OR($R225&lt;=0,$R225&lt;=SUM($T225:U225)),0,IF((IF($J225=0,$O225,$J225)*$I225)&gt;=($R225-SUM($T225:U225)),($R225-SUM($T225:U225)),IF($J225=0,$O225,$J225)*$I225)))</f>
        <v>0</v>
      </c>
      <c r="W225" s="1367">
        <f>IF($R225-SUM($T225:V225)=0,0,IF(OR($R225&lt;=0,$R225&lt;=SUM($T225:V225)),0,IF((IF($J225=0,$O225,$J225)*$I225)&gt;=($R225-SUM($T225:V225)),($R225-SUM($T225:V225)),IF($J225=0,$O225,$J225)*$I225)))</f>
        <v>0</v>
      </c>
      <c r="X225" s="1367">
        <f>IF($R225-SUM($T225:W225)=0,0,IF(OR($R225&lt;=0,$R225&lt;=SUM($T225:W225)),0,IF((IF($J225=0,$O225,$J225)*$I225)&gt;=($R225-SUM($T225:W225)),($R225-SUM($T225:W225)),IF($J225=0,$O225,$J225)*$I225)))</f>
        <v>0</v>
      </c>
      <c r="Y225" s="1367">
        <f>IF($R225-SUM($T225:X225)=0,0,IF(OR($R225&lt;=0,$R225&lt;=SUM($T225:X225)),0,IF((IF($J225=0,$O225,$J225)*$I225)&gt;=($R225-SUM($T225:X225)),($R225-SUM($T225:X225)),IF($J225=0,$O225,$J225)*$I225)))</f>
        <v>0</v>
      </c>
      <c r="Z225" s="1367">
        <f>IF($R225-SUM($T225:Y225)=0,0,IF(OR($R225&lt;=0,$R225&lt;=SUM($T225:Y225)),0,IF((IF($J225=0,$O225,$J225)*$I225)&gt;=($R225-SUM($T225:Y225)),($R225-SUM($T225:Y225)),IF($J225=0,$O225,$J225)*$I225)))</f>
        <v>0</v>
      </c>
      <c r="AA225" s="1367">
        <f>IF($R225-SUM($T225:Z225)=0,0,IF(OR($R225&lt;=0,$R225&lt;=SUM($T225:Z225)),0,IF((IF($J225=0,$O225,$J225)*$I225)&gt;=($R225-SUM($T225:Z225)),($R225-SUM($T225:Z225)),IF($J225=0,$O225,$J225)*$I225)))</f>
        <v>0</v>
      </c>
      <c r="AB225" s="1367">
        <f>IF($R225-SUM($T225:AA225)=0,0,IF(OR($R225&lt;=0,$R225&lt;=SUM($T225:AA225)),0,IF((IF($J225=0,$O225,$J225)*$I225)&gt;=($R225-SUM($T225:AA225)),($R225-SUM($T225:AA225)),IF($J225=0,$O225,$J225)*$I225)))</f>
        <v>0</v>
      </c>
      <c r="AC225" s="1367">
        <f>IF($R225-SUM($T225:AB225)=0,0,IF(OR($R225&lt;=0,$R225&lt;=SUM($T225:AB225)),0,IF((IF($J225=0,$O225,$J225)*$I225)&gt;=($R225-SUM($T225:AB225)),($R225-SUM($T225:AB225)),IF($J225=0,$O225,$J225)*$I225)))</f>
        <v>0</v>
      </c>
      <c r="AD225" s="1367">
        <f>IF($R225-SUM($T225:AC225)=0,0,IF(OR($R225&lt;=0,$R225&lt;=SUM($T225:AC225)),0,IF((IF($J225=0,$O225,$J225)*$I225)&gt;=($R225-SUM($T225:AC225)),($R225-SUM($T225:AC225)),IF($J225=0,$O225,$J225)*$I225)))</f>
        <v>0</v>
      </c>
      <c r="AF225" s="1319" t="b">
        <f t="shared" si="67"/>
        <v>1</v>
      </c>
      <c r="AG225" s="1319" t="b">
        <f t="shared" si="68"/>
        <v>1</v>
      </c>
      <c r="AH225" s="1318" t="str">
        <f t="shared" si="69"/>
        <v>Checked</v>
      </c>
    </row>
    <row r="226" spans="2:34" outlineLevel="1" x14ac:dyDescent="0.3">
      <c r="B226" s="1356" t="s">
        <v>2434</v>
      </c>
      <c r="C226" s="1356" t="s">
        <v>1986</v>
      </c>
      <c r="D226" s="1322" t="s">
        <v>2435</v>
      </c>
      <c r="E226" s="1357">
        <v>5</v>
      </c>
      <c r="F226" s="1333">
        <f t="shared" si="60"/>
        <v>2</v>
      </c>
      <c r="G226" s="1358">
        <f t="shared" si="61"/>
        <v>0</v>
      </c>
      <c r="H226" s="1359">
        <f t="shared" si="62"/>
        <v>0</v>
      </c>
      <c r="I226" s="1360">
        <f t="shared" si="63"/>
        <v>0.2</v>
      </c>
      <c r="J226" s="1361">
        <v>16560820</v>
      </c>
      <c r="K226" s="1362">
        <v>13445324</v>
      </c>
      <c r="L226" s="1356">
        <v>0</v>
      </c>
      <c r="M226" s="1356">
        <v>0</v>
      </c>
      <c r="N226" s="1361">
        <f t="shared" si="64"/>
        <v>3115496</v>
      </c>
      <c r="O226" s="1363">
        <v>0</v>
      </c>
      <c r="P226" s="1356">
        <v>19000000</v>
      </c>
      <c r="Q226" s="1364">
        <v>1405088</v>
      </c>
      <c r="R226" s="1365">
        <f t="shared" si="65"/>
        <v>0</v>
      </c>
      <c r="S226" s="1364"/>
      <c r="T226" s="1366">
        <f t="shared" si="66"/>
        <v>0</v>
      </c>
      <c r="U226" s="1367">
        <f>IF($R226-SUM($T226:T226)=0,0,IF(OR($R226&lt;=0,$R226&lt;=SUM($T226:T226)),0,IF((IF($J226=0,$O226,$J226)*$I226)&gt;=($R226-SUM($T226:T226)),($R226-SUM($T226:T226)),IF($J226=0,$O226,$J226)*$I226)))</f>
        <v>0</v>
      </c>
      <c r="V226" s="1367">
        <f>IF($R226-SUM($T226:U226)=0,0,IF(OR($R226&lt;=0,$R226&lt;=SUM($T226:U226)),0,IF((IF($J226=0,$O226,$J226)*$I226)&gt;=($R226-SUM($T226:U226)),($R226-SUM($T226:U226)),IF($J226=0,$O226,$J226)*$I226)))</f>
        <v>0</v>
      </c>
      <c r="W226" s="1367">
        <f>IF($R226-SUM($T226:V226)=0,0,IF(OR($R226&lt;=0,$R226&lt;=SUM($T226:V226)),0,IF((IF($J226=0,$O226,$J226)*$I226)&gt;=($R226-SUM($T226:V226)),($R226-SUM($T226:V226)),IF($J226=0,$O226,$J226)*$I226)))</f>
        <v>0</v>
      </c>
      <c r="X226" s="1367">
        <f>IF($R226-SUM($T226:W226)=0,0,IF(OR($R226&lt;=0,$R226&lt;=SUM($T226:W226)),0,IF((IF($J226=0,$O226,$J226)*$I226)&gt;=($R226-SUM($T226:W226)),($R226-SUM($T226:W226)),IF($J226=0,$O226,$J226)*$I226)))</f>
        <v>0</v>
      </c>
      <c r="Y226" s="1367">
        <f>IF($R226-SUM($T226:X226)=0,0,IF(OR($R226&lt;=0,$R226&lt;=SUM($T226:X226)),0,IF((IF($J226=0,$O226,$J226)*$I226)&gt;=($R226-SUM($T226:X226)),($R226-SUM($T226:X226)),IF($J226=0,$O226,$J226)*$I226)))</f>
        <v>0</v>
      </c>
      <c r="Z226" s="1367">
        <f>IF($R226-SUM($T226:Y226)=0,0,IF(OR($R226&lt;=0,$R226&lt;=SUM($T226:Y226)),0,IF((IF($J226=0,$O226,$J226)*$I226)&gt;=($R226-SUM($T226:Y226)),($R226-SUM($T226:Y226)),IF($J226=0,$O226,$J226)*$I226)))</f>
        <v>0</v>
      </c>
      <c r="AA226" s="1367">
        <f>IF($R226-SUM($T226:Z226)=0,0,IF(OR($R226&lt;=0,$R226&lt;=SUM($T226:Z226)),0,IF((IF($J226=0,$O226,$J226)*$I226)&gt;=($R226-SUM($T226:Z226)),($R226-SUM($T226:Z226)),IF($J226=0,$O226,$J226)*$I226)))</f>
        <v>0</v>
      </c>
      <c r="AB226" s="1367">
        <f>IF($R226-SUM($T226:AA226)=0,0,IF(OR($R226&lt;=0,$R226&lt;=SUM($T226:AA226)),0,IF((IF($J226=0,$O226,$J226)*$I226)&gt;=($R226-SUM($T226:AA226)),($R226-SUM($T226:AA226)),IF($J226=0,$O226,$J226)*$I226)))</f>
        <v>0</v>
      </c>
      <c r="AC226" s="1367">
        <f>IF($R226-SUM($T226:AB226)=0,0,IF(OR($R226&lt;=0,$R226&lt;=SUM($T226:AB226)),0,IF((IF($J226=0,$O226,$J226)*$I226)&gt;=($R226-SUM($T226:AB226)),($R226-SUM($T226:AB226)),IF($J226=0,$O226,$J226)*$I226)))</f>
        <v>0</v>
      </c>
      <c r="AD226" s="1367">
        <f>IF($R226-SUM($T226:AC226)=0,0,IF(OR($R226&lt;=0,$R226&lt;=SUM($T226:AC226)),0,IF((IF($J226=0,$O226,$J226)*$I226)&gt;=($R226-SUM($T226:AC226)),($R226-SUM($T226:AC226)),IF($J226=0,$O226,$J226)*$I226)))</f>
        <v>0</v>
      </c>
      <c r="AF226" s="1319" t="b">
        <f t="shared" si="67"/>
        <v>1</v>
      </c>
      <c r="AG226" s="1319" t="b">
        <f t="shared" si="68"/>
        <v>1</v>
      </c>
      <c r="AH226" s="1318" t="str">
        <f t="shared" si="69"/>
        <v>Checked</v>
      </c>
    </row>
    <row r="227" spans="2:34" outlineLevel="1" x14ac:dyDescent="0.3">
      <c r="B227" s="1356" t="s">
        <v>2430</v>
      </c>
      <c r="C227" s="1356" t="s">
        <v>1986</v>
      </c>
      <c r="D227" s="1322" t="s">
        <v>2436</v>
      </c>
      <c r="E227" s="1357">
        <v>5</v>
      </c>
      <c r="F227" s="1333">
        <f t="shared" si="60"/>
        <v>2</v>
      </c>
      <c r="G227" s="1358">
        <f t="shared" si="61"/>
        <v>0</v>
      </c>
      <c r="H227" s="1359">
        <f t="shared" si="62"/>
        <v>0</v>
      </c>
      <c r="I227" s="1360">
        <f t="shared" si="63"/>
        <v>0.2</v>
      </c>
      <c r="J227" s="1361">
        <v>16000000</v>
      </c>
      <c r="K227" s="1362">
        <v>12446280</v>
      </c>
      <c r="L227" s="1356">
        <v>0</v>
      </c>
      <c r="M227" s="1356">
        <v>0</v>
      </c>
      <c r="N227" s="1361">
        <f t="shared" si="64"/>
        <v>3553720</v>
      </c>
      <c r="O227" s="1363">
        <v>20500000</v>
      </c>
      <c r="P227" s="1356">
        <v>20500000</v>
      </c>
      <c r="Q227" s="1364">
        <v>1602727</v>
      </c>
      <c r="R227" s="1365">
        <f t="shared" si="65"/>
        <v>0</v>
      </c>
      <c r="S227" s="1364"/>
      <c r="T227" s="1366">
        <f t="shared" si="66"/>
        <v>0</v>
      </c>
      <c r="U227" s="1367">
        <f>IF($R227-SUM($T227:T227)=0,0,IF(OR($R227&lt;=0,$R227&lt;=SUM($T227:T227)),0,IF((IF($J227=0,$O227,$J227)*$I227)&gt;=($R227-SUM($T227:T227)),($R227-SUM($T227:T227)),IF($J227=0,$O227,$J227)*$I227)))</f>
        <v>0</v>
      </c>
      <c r="V227" s="1367">
        <f>IF($R227-SUM($T227:U227)=0,0,IF(OR($R227&lt;=0,$R227&lt;=SUM($T227:U227)),0,IF((IF($J227=0,$O227,$J227)*$I227)&gt;=($R227-SUM($T227:U227)),($R227-SUM($T227:U227)),IF($J227=0,$O227,$J227)*$I227)))</f>
        <v>0</v>
      </c>
      <c r="W227" s="1367">
        <f>IF($R227-SUM($T227:V227)=0,0,IF(OR($R227&lt;=0,$R227&lt;=SUM($T227:V227)),0,IF((IF($J227=0,$O227,$J227)*$I227)&gt;=($R227-SUM($T227:V227)),($R227-SUM($T227:V227)),IF($J227=0,$O227,$J227)*$I227)))</f>
        <v>0</v>
      </c>
      <c r="X227" s="1367">
        <f>IF($R227-SUM($T227:W227)=0,0,IF(OR($R227&lt;=0,$R227&lt;=SUM($T227:W227)),0,IF((IF($J227=0,$O227,$J227)*$I227)&gt;=($R227-SUM($T227:W227)),($R227-SUM($T227:W227)),IF($J227=0,$O227,$J227)*$I227)))</f>
        <v>0</v>
      </c>
      <c r="Y227" s="1367">
        <f>IF($R227-SUM($T227:X227)=0,0,IF(OR($R227&lt;=0,$R227&lt;=SUM($T227:X227)),0,IF((IF($J227=0,$O227,$J227)*$I227)&gt;=($R227-SUM($T227:X227)),($R227-SUM($T227:X227)),IF($J227=0,$O227,$J227)*$I227)))</f>
        <v>0</v>
      </c>
      <c r="Z227" s="1367">
        <f>IF($R227-SUM($T227:Y227)=0,0,IF(OR($R227&lt;=0,$R227&lt;=SUM($T227:Y227)),0,IF((IF($J227=0,$O227,$J227)*$I227)&gt;=($R227-SUM($T227:Y227)),($R227-SUM($T227:Y227)),IF($J227=0,$O227,$J227)*$I227)))</f>
        <v>0</v>
      </c>
      <c r="AA227" s="1367">
        <f>IF($R227-SUM($T227:Z227)=0,0,IF(OR($R227&lt;=0,$R227&lt;=SUM($T227:Z227)),0,IF((IF($J227=0,$O227,$J227)*$I227)&gt;=($R227-SUM($T227:Z227)),($R227-SUM($T227:Z227)),IF($J227=0,$O227,$J227)*$I227)))</f>
        <v>0</v>
      </c>
      <c r="AB227" s="1367">
        <f>IF($R227-SUM($T227:AA227)=0,0,IF(OR($R227&lt;=0,$R227&lt;=SUM($T227:AA227)),0,IF((IF($J227=0,$O227,$J227)*$I227)&gt;=($R227-SUM($T227:AA227)),($R227-SUM($T227:AA227)),IF($J227=0,$O227,$J227)*$I227)))</f>
        <v>0</v>
      </c>
      <c r="AC227" s="1367">
        <f>IF($R227-SUM($T227:AB227)=0,0,IF(OR($R227&lt;=0,$R227&lt;=SUM($T227:AB227)),0,IF((IF($J227=0,$O227,$J227)*$I227)&gt;=($R227-SUM($T227:AB227)),($R227-SUM($T227:AB227)),IF($J227=0,$O227,$J227)*$I227)))</f>
        <v>0</v>
      </c>
      <c r="AD227" s="1367">
        <f>IF($R227-SUM($T227:AC227)=0,0,IF(OR($R227&lt;=0,$R227&lt;=SUM($T227:AC227)),0,IF((IF($J227=0,$O227,$J227)*$I227)&gt;=($R227-SUM($T227:AC227)),($R227-SUM($T227:AC227)),IF($J227=0,$O227,$J227)*$I227)))</f>
        <v>0</v>
      </c>
      <c r="AF227" s="1319" t="b">
        <f t="shared" si="67"/>
        <v>1</v>
      </c>
      <c r="AG227" s="1319" t="b">
        <f t="shared" si="68"/>
        <v>1</v>
      </c>
      <c r="AH227" s="1318" t="str">
        <f t="shared" si="69"/>
        <v>Checked</v>
      </c>
    </row>
    <row r="228" spans="2:34" outlineLevel="1" x14ac:dyDescent="0.3">
      <c r="B228" s="1356" t="s">
        <v>2437</v>
      </c>
      <c r="C228" s="1356" t="s">
        <v>1986</v>
      </c>
      <c r="D228" s="1322" t="s">
        <v>2438</v>
      </c>
      <c r="E228" s="1357">
        <v>5</v>
      </c>
      <c r="F228" s="1333">
        <f t="shared" si="60"/>
        <v>2</v>
      </c>
      <c r="G228" s="1358">
        <f t="shared" si="61"/>
        <v>0</v>
      </c>
      <c r="H228" s="1359">
        <f t="shared" si="62"/>
        <v>0</v>
      </c>
      <c r="I228" s="1360">
        <f t="shared" si="63"/>
        <v>0.2</v>
      </c>
      <c r="J228" s="1361">
        <v>14700000</v>
      </c>
      <c r="K228" s="1362">
        <v>11268504</v>
      </c>
      <c r="L228" s="1356">
        <v>0</v>
      </c>
      <c r="M228" s="1356">
        <v>0</v>
      </c>
      <c r="N228" s="1361">
        <f t="shared" si="64"/>
        <v>3431496</v>
      </c>
      <c r="O228" s="1363">
        <v>21000000</v>
      </c>
      <c r="P228" s="1356">
        <v>21000000</v>
      </c>
      <c r="Q228" s="1364">
        <v>1547604</v>
      </c>
      <c r="R228" s="1365">
        <f t="shared" si="65"/>
        <v>0</v>
      </c>
      <c r="S228" s="1364"/>
      <c r="T228" s="1366">
        <f t="shared" si="66"/>
        <v>0</v>
      </c>
      <c r="U228" s="1367">
        <f>IF($R228-SUM($T228:T228)=0,0,IF(OR($R228&lt;=0,$R228&lt;=SUM($T228:T228)),0,IF((IF($J228=0,$O228,$J228)*$I228)&gt;=($R228-SUM($T228:T228)),($R228-SUM($T228:T228)),IF($J228=0,$O228,$J228)*$I228)))</f>
        <v>0</v>
      </c>
      <c r="V228" s="1367">
        <f>IF($R228-SUM($T228:U228)=0,0,IF(OR($R228&lt;=0,$R228&lt;=SUM($T228:U228)),0,IF((IF($J228=0,$O228,$J228)*$I228)&gt;=($R228-SUM($T228:U228)),($R228-SUM($T228:U228)),IF($J228=0,$O228,$J228)*$I228)))</f>
        <v>0</v>
      </c>
      <c r="W228" s="1367">
        <f>IF($R228-SUM($T228:V228)=0,0,IF(OR($R228&lt;=0,$R228&lt;=SUM($T228:V228)),0,IF((IF($J228=0,$O228,$J228)*$I228)&gt;=($R228-SUM($T228:V228)),($R228-SUM($T228:V228)),IF($J228=0,$O228,$J228)*$I228)))</f>
        <v>0</v>
      </c>
      <c r="X228" s="1367">
        <f>IF($R228-SUM($T228:W228)=0,0,IF(OR($R228&lt;=0,$R228&lt;=SUM($T228:W228)),0,IF((IF($J228=0,$O228,$J228)*$I228)&gt;=($R228-SUM($T228:W228)),($R228-SUM($T228:W228)),IF($J228=0,$O228,$J228)*$I228)))</f>
        <v>0</v>
      </c>
      <c r="Y228" s="1367">
        <f>IF($R228-SUM($T228:X228)=0,0,IF(OR($R228&lt;=0,$R228&lt;=SUM($T228:X228)),0,IF((IF($J228=0,$O228,$J228)*$I228)&gt;=($R228-SUM($T228:X228)),($R228-SUM($T228:X228)),IF($J228=0,$O228,$J228)*$I228)))</f>
        <v>0</v>
      </c>
      <c r="Z228" s="1367">
        <f>IF($R228-SUM($T228:Y228)=0,0,IF(OR($R228&lt;=0,$R228&lt;=SUM($T228:Y228)),0,IF((IF($J228=0,$O228,$J228)*$I228)&gt;=($R228-SUM($T228:Y228)),($R228-SUM($T228:Y228)),IF($J228=0,$O228,$J228)*$I228)))</f>
        <v>0</v>
      </c>
      <c r="AA228" s="1367">
        <f>IF($R228-SUM($T228:Z228)=0,0,IF(OR($R228&lt;=0,$R228&lt;=SUM($T228:Z228)),0,IF((IF($J228=0,$O228,$J228)*$I228)&gt;=($R228-SUM($T228:Z228)),($R228-SUM($T228:Z228)),IF($J228=0,$O228,$J228)*$I228)))</f>
        <v>0</v>
      </c>
      <c r="AB228" s="1367">
        <f>IF($R228-SUM($T228:AA228)=0,0,IF(OR($R228&lt;=0,$R228&lt;=SUM($T228:AA228)),0,IF((IF($J228=0,$O228,$J228)*$I228)&gt;=($R228-SUM($T228:AA228)),($R228-SUM($T228:AA228)),IF($J228=0,$O228,$J228)*$I228)))</f>
        <v>0</v>
      </c>
      <c r="AC228" s="1367">
        <f>IF($R228-SUM($T228:AB228)=0,0,IF(OR($R228&lt;=0,$R228&lt;=SUM($T228:AB228)),0,IF((IF($J228=0,$O228,$J228)*$I228)&gt;=($R228-SUM($T228:AB228)),($R228-SUM($T228:AB228)),IF($J228=0,$O228,$J228)*$I228)))</f>
        <v>0</v>
      </c>
      <c r="AD228" s="1367">
        <f>IF($R228-SUM($T228:AC228)=0,0,IF(OR($R228&lt;=0,$R228&lt;=SUM($T228:AC228)),0,IF((IF($J228=0,$O228,$J228)*$I228)&gt;=($R228-SUM($T228:AC228)),($R228-SUM($T228:AC228)),IF($J228=0,$O228,$J228)*$I228)))</f>
        <v>0</v>
      </c>
      <c r="AF228" s="1319" t="b">
        <f t="shared" si="67"/>
        <v>1</v>
      </c>
      <c r="AG228" s="1319" t="b">
        <f t="shared" si="68"/>
        <v>1</v>
      </c>
      <c r="AH228" s="1318" t="str">
        <f t="shared" si="69"/>
        <v>Checked</v>
      </c>
    </row>
    <row r="229" spans="2:34" outlineLevel="1" x14ac:dyDescent="0.3">
      <c r="B229" s="1356" t="s">
        <v>2439</v>
      </c>
      <c r="C229" s="1356" t="s">
        <v>1986</v>
      </c>
      <c r="D229" s="1322" t="s">
        <v>2440</v>
      </c>
      <c r="E229" s="1357">
        <v>5</v>
      </c>
      <c r="F229" s="1333">
        <f t="shared" si="60"/>
        <v>2</v>
      </c>
      <c r="G229" s="1358">
        <f t="shared" si="61"/>
        <v>0</v>
      </c>
      <c r="H229" s="1359">
        <f t="shared" si="62"/>
        <v>0</v>
      </c>
      <c r="I229" s="1360">
        <f t="shared" si="63"/>
        <v>0.2</v>
      </c>
      <c r="J229" s="1361">
        <v>16553370</v>
      </c>
      <c r="K229" s="1362">
        <v>12314210</v>
      </c>
      <c r="L229" s="1356">
        <v>0</v>
      </c>
      <c r="M229" s="1356">
        <v>0</v>
      </c>
      <c r="N229" s="1361">
        <f t="shared" si="64"/>
        <v>4239160</v>
      </c>
      <c r="O229" s="1363">
        <v>0</v>
      </c>
      <c r="P229" s="1356">
        <v>26000000</v>
      </c>
      <c r="Q229" s="1364">
        <v>1911861</v>
      </c>
      <c r="R229" s="1365">
        <f t="shared" si="65"/>
        <v>0</v>
      </c>
      <c r="S229" s="1364"/>
      <c r="T229" s="1366">
        <f t="shared" si="66"/>
        <v>0</v>
      </c>
      <c r="U229" s="1367">
        <f>IF($R229-SUM($T229:T229)=0,0,IF(OR($R229&lt;=0,$R229&lt;=SUM($T229:T229)),0,IF((IF($J229=0,$O229,$J229)*$I229)&gt;=($R229-SUM($T229:T229)),($R229-SUM($T229:T229)),IF($J229=0,$O229,$J229)*$I229)))</f>
        <v>0</v>
      </c>
      <c r="V229" s="1367">
        <f>IF($R229-SUM($T229:U229)=0,0,IF(OR($R229&lt;=0,$R229&lt;=SUM($T229:U229)),0,IF((IF($J229=0,$O229,$J229)*$I229)&gt;=($R229-SUM($T229:U229)),($R229-SUM($T229:U229)),IF($J229=0,$O229,$J229)*$I229)))</f>
        <v>0</v>
      </c>
      <c r="W229" s="1367">
        <f>IF($R229-SUM($T229:V229)=0,0,IF(OR($R229&lt;=0,$R229&lt;=SUM($T229:V229)),0,IF((IF($J229=0,$O229,$J229)*$I229)&gt;=($R229-SUM($T229:V229)),($R229-SUM($T229:V229)),IF($J229=0,$O229,$J229)*$I229)))</f>
        <v>0</v>
      </c>
      <c r="X229" s="1367">
        <f>IF($R229-SUM($T229:W229)=0,0,IF(OR($R229&lt;=0,$R229&lt;=SUM($T229:W229)),0,IF((IF($J229=0,$O229,$J229)*$I229)&gt;=($R229-SUM($T229:W229)),($R229-SUM($T229:W229)),IF($J229=0,$O229,$J229)*$I229)))</f>
        <v>0</v>
      </c>
      <c r="Y229" s="1367">
        <f>IF($R229-SUM($T229:X229)=0,0,IF(OR($R229&lt;=0,$R229&lt;=SUM($T229:X229)),0,IF((IF($J229=0,$O229,$J229)*$I229)&gt;=($R229-SUM($T229:X229)),($R229-SUM($T229:X229)),IF($J229=0,$O229,$J229)*$I229)))</f>
        <v>0</v>
      </c>
      <c r="Z229" s="1367">
        <f>IF($R229-SUM($T229:Y229)=0,0,IF(OR($R229&lt;=0,$R229&lt;=SUM($T229:Y229)),0,IF((IF($J229=0,$O229,$J229)*$I229)&gt;=($R229-SUM($T229:Y229)),($R229-SUM($T229:Y229)),IF($J229=0,$O229,$J229)*$I229)))</f>
        <v>0</v>
      </c>
      <c r="AA229" s="1367">
        <f>IF($R229-SUM($T229:Z229)=0,0,IF(OR($R229&lt;=0,$R229&lt;=SUM($T229:Z229)),0,IF((IF($J229=0,$O229,$J229)*$I229)&gt;=($R229-SUM($T229:Z229)),($R229-SUM($T229:Z229)),IF($J229=0,$O229,$J229)*$I229)))</f>
        <v>0</v>
      </c>
      <c r="AB229" s="1367">
        <f>IF($R229-SUM($T229:AA229)=0,0,IF(OR($R229&lt;=0,$R229&lt;=SUM($T229:AA229)),0,IF((IF($J229=0,$O229,$J229)*$I229)&gt;=($R229-SUM($T229:AA229)),($R229-SUM($T229:AA229)),IF($J229=0,$O229,$J229)*$I229)))</f>
        <v>0</v>
      </c>
      <c r="AC229" s="1367">
        <f>IF($R229-SUM($T229:AB229)=0,0,IF(OR($R229&lt;=0,$R229&lt;=SUM($T229:AB229)),0,IF((IF($J229=0,$O229,$J229)*$I229)&gt;=($R229-SUM($T229:AB229)),($R229-SUM($T229:AB229)),IF($J229=0,$O229,$J229)*$I229)))</f>
        <v>0</v>
      </c>
      <c r="AD229" s="1367">
        <f>IF($R229-SUM($T229:AC229)=0,0,IF(OR($R229&lt;=0,$R229&lt;=SUM($T229:AC229)),0,IF((IF($J229=0,$O229,$J229)*$I229)&gt;=($R229-SUM($T229:AC229)),($R229-SUM($T229:AC229)),IF($J229=0,$O229,$J229)*$I229)))</f>
        <v>0</v>
      </c>
      <c r="AF229" s="1319" t="b">
        <f t="shared" si="67"/>
        <v>1</v>
      </c>
      <c r="AG229" s="1319" t="b">
        <f t="shared" si="68"/>
        <v>1</v>
      </c>
      <c r="AH229" s="1318" t="str">
        <f t="shared" si="69"/>
        <v>Checked</v>
      </c>
    </row>
    <row r="230" spans="2:34" outlineLevel="1" x14ac:dyDescent="0.3">
      <c r="B230" s="1356" t="s">
        <v>2441</v>
      </c>
      <c r="C230" s="1356" t="s">
        <v>1986</v>
      </c>
      <c r="D230" s="1322" t="s">
        <v>2442</v>
      </c>
      <c r="E230" s="1357">
        <v>5</v>
      </c>
      <c r="F230" s="1333">
        <f t="shared" si="60"/>
        <v>3</v>
      </c>
      <c r="G230" s="1358">
        <f t="shared" si="61"/>
        <v>0</v>
      </c>
      <c r="H230" s="1359">
        <f t="shared" si="62"/>
        <v>0</v>
      </c>
      <c r="I230" s="1360">
        <f t="shared" si="63"/>
        <v>0.2</v>
      </c>
      <c r="J230" s="1361">
        <v>18203636</v>
      </c>
      <c r="K230" s="1362">
        <v>12717041</v>
      </c>
      <c r="L230" s="1356">
        <v>0</v>
      </c>
      <c r="M230" s="1356">
        <v>0</v>
      </c>
      <c r="N230" s="1361">
        <f t="shared" si="64"/>
        <v>5486595</v>
      </c>
      <c r="O230" s="1363">
        <v>28200000</v>
      </c>
      <c r="P230" s="1356">
        <v>28200000</v>
      </c>
      <c r="Q230" s="1364">
        <v>2474454</v>
      </c>
      <c r="R230" s="1365">
        <f t="shared" si="65"/>
        <v>0</v>
      </c>
      <c r="S230" s="1364"/>
      <c r="T230" s="1366">
        <f t="shared" si="66"/>
        <v>0</v>
      </c>
      <c r="U230" s="1367">
        <f>IF($R230-SUM($T230:T230)=0,0,IF(OR($R230&lt;=0,$R230&lt;=SUM($T230:T230)),0,IF((IF($J230=0,$O230,$J230)*$I230)&gt;=($R230-SUM($T230:T230)),($R230-SUM($T230:T230)),IF($J230=0,$O230,$J230)*$I230)))</f>
        <v>0</v>
      </c>
      <c r="V230" s="1367">
        <f>IF($R230-SUM($T230:U230)=0,0,IF(OR($R230&lt;=0,$R230&lt;=SUM($T230:U230)),0,IF((IF($J230=0,$O230,$J230)*$I230)&gt;=($R230-SUM($T230:U230)),($R230-SUM($T230:U230)),IF($J230=0,$O230,$J230)*$I230)))</f>
        <v>0</v>
      </c>
      <c r="W230" s="1367">
        <f>IF($R230-SUM($T230:V230)=0,0,IF(OR($R230&lt;=0,$R230&lt;=SUM($T230:V230)),0,IF((IF($J230=0,$O230,$J230)*$I230)&gt;=($R230-SUM($T230:V230)),($R230-SUM($T230:V230)),IF($J230=0,$O230,$J230)*$I230)))</f>
        <v>0</v>
      </c>
      <c r="X230" s="1367">
        <f>IF($R230-SUM($T230:W230)=0,0,IF(OR($R230&lt;=0,$R230&lt;=SUM($T230:W230)),0,IF((IF($J230=0,$O230,$J230)*$I230)&gt;=($R230-SUM($T230:W230)),($R230-SUM($T230:W230)),IF($J230=0,$O230,$J230)*$I230)))</f>
        <v>0</v>
      </c>
      <c r="Y230" s="1367">
        <f>IF($R230-SUM($T230:X230)=0,0,IF(OR($R230&lt;=0,$R230&lt;=SUM($T230:X230)),0,IF((IF($J230=0,$O230,$J230)*$I230)&gt;=($R230-SUM($T230:X230)),($R230-SUM($T230:X230)),IF($J230=0,$O230,$J230)*$I230)))</f>
        <v>0</v>
      </c>
      <c r="Z230" s="1367">
        <f>IF($R230-SUM($T230:Y230)=0,0,IF(OR($R230&lt;=0,$R230&lt;=SUM($T230:Y230)),0,IF((IF($J230=0,$O230,$J230)*$I230)&gt;=($R230-SUM($T230:Y230)),($R230-SUM($T230:Y230)),IF($J230=0,$O230,$J230)*$I230)))</f>
        <v>0</v>
      </c>
      <c r="AA230" s="1367">
        <f>IF($R230-SUM($T230:Z230)=0,0,IF(OR($R230&lt;=0,$R230&lt;=SUM($T230:Z230)),0,IF((IF($J230=0,$O230,$J230)*$I230)&gt;=($R230-SUM($T230:Z230)),($R230-SUM($T230:Z230)),IF($J230=0,$O230,$J230)*$I230)))</f>
        <v>0</v>
      </c>
      <c r="AB230" s="1367">
        <f>IF($R230-SUM($T230:AA230)=0,0,IF(OR($R230&lt;=0,$R230&lt;=SUM($T230:AA230)),0,IF((IF($J230=0,$O230,$J230)*$I230)&gt;=($R230-SUM($T230:AA230)),($R230-SUM($T230:AA230)),IF($J230=0,$O230,$J230)*$I230)))</f>
        <v>0</v>
      </c>
      <c r="AC230" s="1367">
        <f>IF($R230-SUM($T230:AB230)=0,0,IF(OR($R230&lt;=0,$R230&lt;=SUM($T230:AB230)),0,IF((IF($J230=0,$O230,$J230)*$I230)&gt;=($R230-SUM($T230:AB230)),($R230-SUM($T230:AB230)),IF($J230=0,$O230,$J230)*$I230)))</f>
        <v>0</v>
      </c>
      <c r="AD230" s="1367">
        <f>IF($R230-SUM($T230:AC230)=0,0,IF(OR($R230&lt;=0,$R230&lt;=SUM($T230:AC230)),0,IF((IF($J230=0,$O230,$J230)*$I230)&gt;=($R230-SUM($T230:AC230)),($R230-SUM($T230:AC230)),IF($J230=0,$O230,$J230)*$I230)))</f>
        <v>0</v>
      </c>
      <c r="AF230" s="1319" t="b">
        <f t="shared" si="67"/>
        <v>1</v>
      </c>
      <c r="AG230" s="1319" t="b">
        <f t="shared" si="68"/>
        <v>1</v>
      </c>
      <c r="AH230" s="1318" t="str">
        <f t="shared" si="69"/>
        <v>Checked</v>
      </c>
    </row>
    <row r="231" spans="2:34" outlineLevel="1" x14ac:dyDescent="0.3">
      <c r="B231" s="1356" t="s">
        <v>2443</v>
      </c>
      <c r="C231" s="1356" t="s">
        <v>1986</v>
      </c>
      <c r="D231" s="1322" t="s">
        <v>2444</v>
      </c>
      <c r="E231" s="1357">
        <v>5</v>
      </c>
      <c r="F231" s="1333">
        <f t="shared" si="60"/>
        <v>3</v>
      </c>
      <c r="G231" s="1358">
        <f t="shared" si="61"/>
        <v>0</v>
      </c>
      <c r="H231" s="1359">
        <f t="shared" si="62"/>
        <v>0</v>
      </c>
      <c r="I231" s="1360">
        <f t="shared" si="63"/>
        <v>0.2</v>
      </c>
      <c r="J231" s="1361">
        <v>14707632</v>
      </c>
      <c r="K231" s="1362">
        <v>9667804</v>
      </c>
      <c r="L231" s="1356">
        <v>0</v>
      </c>
      <c r="M231" s="1356">
        <v>0</v>
      </c>
      <c r="N231" s="1361">
        <f t="shared" si="64"/>
        <v>5039828</v>
      </c>
      <c r="O231" s="1363">
        <v>0</v>
      </c>
      <c r="P231" s="1356">
        <v>0</v>
      </c>
      <c r="Q231" s="1364">
        <v>2272962</v>
      </c>
      <c r="R231" s="1365">
        <f t="shared" si="65"/>
        <v>2766866</v>
      </c>
      <c r="S231" s="1364"/>
      <c r="T231" s="1366">
        <f t="shared" si="66"/>
        <v>0</v>
      </c>
      <c r="U231" s="1367">
        <f>IF($R231-SUM($T231:T231)=0,0,IF(OR($R231&lt;=0,$R231&lt;=SUM($T231:T231)),0,IF((IF($J231=0,$O231,$J231)*$I231)&gt;=($R231-SUM($T231:T231)),($R231-SUM($T231:T231)),IF($J231=0,$O231,$J231)*$I231)))</f>
        <v>2766866</v>
      </c>
      <c r="V231" s="1367">
        <f>IF($R231-SUM($T231:U231)=0,0,IF(OR($R231&lt;=0,$R231&lt;=SUM($T231:U231)),0,IF((IF($J231=0,$O231,$J231)*$I231)&gt;=($R231-SUM($T231:U231)),($R231-SUM($T231:U231)),IF($J231=0,$O231,$J231)*$I231)))</f>
        <v>0</v>
      </c>
      <c r="W231" s="1367">
        <f>IF($R231-SUM($T231:V231)=0,0,IF(OR($R231&lt;=0,$R231&lt;=SUM($T231:V231)),0,IF((IF($J231=0,$O231,$J231)*$I231)&gt;=($R231-SUM($T231:V231)),($R231-SUM($T231:V231)),IF($J231=0,$O231,$J231)*$I231)))</f>
        <v>0</v>
      </c>
      <c r="X231" s="1367">
        <f>IF($R231-SUM($T231:W231)=0,0,IF(OR($R231&lt;=0,$R231&lt;=SUM($T231:W231)),0,IF((IF($J231=0,$O231,$J231)*$I231)&gt;=($R231-SUM($T231:W231)),($R231-SUM($T231:W231)),IF($J231=0,$O231,$J231)*$I231)))</f>
        <v>0</v>
      </c>
      <c r="Y231" s="1367">
        <f>IF($R231-SUM($T231:X231)=0,0,IF(OR($R231&lt;=0,$R231&lt;=SUM($T231:X231)),0,IF((IF($J231=0,$O231,$J231)*$I231)&gt;=($R231-SUM($T231:X231)),($R231-SUM($T231:X231)),IF($J231=0,$O231,$J231)*$I231)))</f>
        <v>0</v>
      </c>
      <c r="Z231" s="1367">
        <f>IF($R231-SUM($T231:Y231)=0,0,IF(OR($R231&lt;=0,$R231&lt;=SUM($T231:Y231)),0,IF((IF($J231=0,$O231,$J231)*$I231)&gt;=($R231-SUM($T231:Y231)),($R231-SUM($T231:Y231)),IF($J231=0,$O231,$J231)*$I231)))</f>
        <v>0</v>
      </c>
      <c r="AA231" s="1367">
        <f>IF($R231-SUM($T231:Z231)=0,0,IF(OR($R231&lt;=0,$R231&lt;=SUM($T231:Z231)),0,IF((IF($J231=0,$O231,$J231)*$I231)&gt;=($R231-SUM($T231:Z231)),($R231-SUM($T231:Z231)),IF($J231=0,$O231,$J231)*$I231)))</f>
        <v>0</v>
      </c>
      <c r="AB231" s="1367">
        <f>IF($R231-SUM($T231:AA231)=0,0,IF(OR($R231&lt;=0,$R231&lt;=SUM($T231:AA231)),0,IF((IF($J231=0,$O231,$J231)*$I231)&gt;=($R231-SUM($T231:AA231)),($R231-SUM($T231:AA231)),IF($J231=0,$O231,$J231)*$I231)))</f>
        <v>0</v>
      </c>
      <c r="AC231" s="1367">
        <f>IF($R231-SUM($T231:AB231)=0,0,IF(OR($R231&lt;=0,$R231&lt;=SUM($T231:AB231)),0,IF((IF($J231=0,$O231,$J231)*$I231)&gt;=($R231-SUM($T231:AB231)),($R231-SUM($T231:AB231)),IF($J231=0,$O231,$J231)*$I231)))</f>
        <v>0</v>
      </c>
      <c r="AD231" s="1367">
        <f>IF($R231-SUM($T231:AC231)=0,0,IF(OR($R231&lt;=0,$R231&lt;=SUM($T231:AC231)),0,IF((IF($J231=0,$O231,$J231)*$I231)&gt;=($R231-SUM($T231:AC231)),($R231-SUM($T231:AC231)),IF($J231=0,$O231,$J231)*$I231)))</f>
        <v>0</v>
      </c>
      <c r="AF231" s="1319" t="b">
        <f t="shared" si="67"/>
        <v>1</v>
      </c>
      <c r="AG231" s="1319" t="str">
        <f t="shared" si="68"/>
        <v>Checked</v>
      </c>
      <c r="AH231" s="1318" t="str">
        <f t="shared" si="69"/>
        <v>Checked</v>
      </c>
    </row>
    <row r="232" spans="2:34" outlineLevel="1" x14ac:dyDescent="0.3">
      <c r="B232" s="1356" t="s">
        <v>2445</v>
      </c>
      <c r="C232" s="1356" t="s">
        <v>1986</v>
      </c>
      <c r="D232" s="1322" t="s">
        <v>2446</v>
      </c>
      <c r="E232" s="1357">
        <v>5</v>
      </c>
      <c r="F232" s="1333">
        <f t="shared" si="60"/>
        <v>3</v>
      </c>
      <c r="G232" s="1358">
        <f t="shared" si="61"/>
        <v>0</v>
      </c>
      <c r="H232" s="1359">
        <f t="shared" si="62"/>
        <v>0</v>
      </c>
      <c r="I232" s="1360">
        <f t="shared" si="63"/>
        <v>0.2</v>
      </c>
      <c r="J232" s="1361">
        <v>16000000</v>
      </c>
      <c r="K232" s="1362">
        <v>9857055</v>
      </c>
      <c r="L232" s="1356">
        <v>0</v>
      </c>
      <c r="M232" s="1356">
        <v>0</v>
      </c>
      <c r="N232" s="1361">
        <f t="shared" si="64"/>
        <v>6142945</v>
      </c>
      <c r="O232" s="1363">
        <v>0</v>
      </c>
      <c r="P232" s="1356">
        <v>0</v>
      </c>
      <c r="Q232" s="1364">
        <v>2770468</v>
      </c>
      <c r="R232" s="1365">
        <f t="shared" si="65"/>
        <v>3372477</v>
      </c>
      <c r="S232" s="1364"/>
      <c r="T232" s="1366">
        <f t="shared" si="66"/>
        <v>0</v>
      </c>
      <c r="U232" s="1367">
        <f>IF($R232-SUM($T232:T232)=0,0,IF(OR($R232&lt;=0,$R232&lt;=SUM($T232:T232)),0,IF((IF($J232=0,$O232,$J232)*$I232)&gt;=($R232-SUM($T232:T232)),($R232-SUM($T232:T232)),IF($J232=0,$O232,$J232)*$I232)))</f>
        <v>3200000</v>
      </c>
      <c r="V232" s="1367">
        <f>IF($R232-SUM($T232:U232)=0,0,IF(OR($R232&lt;=0,$R232&lt;=SUM($T232:U232)),0,IF((IF($J232=0,$O232,$J232)*$I232)&gt;=($R232-SUM($T232:U232)),($R232-SUM($T232:U232)),IF($J232=0,$O232,$J232)*$I232)))</f>
        <v>172477</v>
      </c>
      <c r="W232" s="1367">
        <f>IF($R232-SUM($T232:V232)=0,0,IF(OR($R232&lt;=0,$R232&lt;=SUM($T232:V232)),0,IF((IF($J232=0,$O232,$J232)*$I232)&gt;=($R232-SUM($T232:V232)),($R232-SUM($T232:V232)),IF($J232=0,$O232,$J232)*$I232)))</f>
        <v>0</v>
      </c>
      <c r="X232" s="1367">
        <f>IF($R232-SUM($T232:W232)=0,0,IF(OR($R232&lt;=0,$R232&lt;=SUM($T232:W232)),0,IF((IF($J232=0,$O232,$J232)*$I232)&gt;=($R232-SUM($T232:W232)),($R232-SUM($T232:W232)),IF($J232=0,$O232,$J232)*$I232)))</f>
        <v>0</v>
      </c>
      <c r="Y232" s="1367">
        <f>IF($R232-SUM($T232:X232)=0,0,IF(OR($R232&lt;=0,$R232&lt;=SUM($T232:X232)),0,IF((IF($J232=0,$O232,$J232)*$I232)&gt;=($R232-SUM($T232:X232)),($R232-SUM($T232:X232)),IF($J232=0,$O232,$J232)*$I232)))</f>
        <v>0</v>
      </c>
      <c r="Z232" s="1367">
        <f>IF($R232-SUM($T232:Y232)=0,0,IF(OR($R232&lt;=0,$R232&lt;=SUM($T232:Y232)),0,IF((IF($J232=0,$O232,$J232)*$I232)&gt;=($R232-SUM($T232:Y232)),($R232-SUM($T232:Y232)),IF($J232=0,$O232,$J232)*$I232)))</f>
        <v>0</v>
      </c>
      <c r="AA232" s="1367">
        <f>IF($R232-SUM($T232:Z232)=0,0,IF(OR($R232&lt;=0,$R232&lt;=SUM($T232:Z232)),0,IF((IF($J232=0,$O232,$J232)*$I232)&gt;=($R232-SUM($T232:Z232)),($R232-SUM($T232:Z232)),IF($J232=0,$O232,$J232)*$I232)))</f>
        <v>0</v>
      </c>
      <c r="AB232" s="1367">
        <f>IF($R232-SUM($T232:AA232)=0,0,IF(OR($R232&lt;=0,$R232&lt;=SUM($T232:AA232)),0,IF((IF($J232=0,$O232,$J232)*$I232)&gt;=($R232-SUM($T232:AA232)),($R232-SUM($T232:AA232)),IF($J232=0,$O232,$J232)*$I232)))</f>
        <v>0</v>
      </c>
      <c r="AC232" s="1367">
        <f>IF($R232-SUM($T232:AB232)=0,0,IF(OR($R232&lt;=0,$R232&lt;=SUM($T232:AB232)),0,IF((IF($J232=0,$O232,$J232)*$I232)&gt;=($R232-SUM($T232:AB232)),($R232-SUM($T232:AB232)),IF($J232=0,$O232,$J232)*$I232)))</f>
        <v>0</v>
      </c>
      <c r="AD232" s="1367">
        <f>IF($R232-SUM($T232:AC232)=0,0,IF(OR($R232&lt;=0,$R232&lt;=SUM($T232:AC232)),0,IF((IF($J232=0,$O232,$J232)*$I232)&gt;=($R232-SUM($T232:AC232)),($R232-SUM($T232:AC232)),IF($J232=0,$O232,$J232)*$I232)))</f>
        <v>0</v>
      </c>
      <c r="AF232" s="1319" t="b">
        <f t="shared" si="67"/>
        <v>1</v>
      </c>
      <c r="AG232" s="1319" t="str">
        <f t="shared" si="68"/>
        <v>Checked</v>
      </c>
      <c r="AH232" s="1318" t="b">
        <f t="shared" si="69"/>
        <v>1</v>
      </c>
    </row>
    <row r="233" spans="2:34" outlineLevel="1" x14ac:dyDescent="0.3">
      <c r="B233" s="1356" t="s">
        <v>2447</v>
      </c>
      <c r="C233" s="1356" t="s">
        <v>1986</v>
      </c>
      <c r="D233" s="1322" t="s">
        <v>2448</v>
      </c>
      <c r="E233" s="1357">
        <v>5</v>
      </c>
      <c r="F233" s="1333">
        <f t="shared" si="60"/>
        <v>3</v>
      </c>
      <c r="G233" s="1358">
        <f t="shared" si="61"/>
        <v>0</v>
      </c>
      <c r="H233" s="1359">
        <f t="shared" si="62"/>
        <v>0</v>
      </c>
      <c r="I233" s="1360">
        <f t="shared" si="63"/>
        <v>0.2</v>
      </c>
      <c r="J233" s="1361">
        <v>14655133</v>
      </c>
      <c r="K233" s="1362">
        <v>9028528</v>
      </c>
      <c r="L233" s="1356">
        <v>0</v>
      </c>
      <c r="M233" s="1356">
        <v>0</v>
      </c>
      <c r="N233" s="1361">
        <f t="shared" si="64"/>
        <v>5626605</v>
      </c>
      <c r="O233" s="1363">
        <v>0</v>
      </c>
      <c r="P233" s="1356">
        <v>0</v>
      </c>
      <c r="Q233" s="1364">
        <v>2537598</v>
      </c>
      <c r="R233" s="1365">
        <f t="shared" si="65"/>
        <v>3089007</v>
      </c>
      <c r="S233" s="1364"/>
      <c r="T233" s="1366">
        <f t="shared" si="66"/>
        <v>0</v>
      </c>
      <c r="U233" s="1367">
        <f>IF($R233-SUM($T233:T233)=0,0,IF(OR($R233&lt;=0,$R233&lt;=SUM($T233:T233)),0,IF((IF($J233=0,$O233,$J233)*$I233)&gt;=($R233-SUM($T233:T233)),($R233-SUM($T233:T233)),IF($J233=0,$O233,$J233)*$I233)))</f>
        <v>2931026.6</v>
      </c>
      <c r="V233" s="1367">
        <f>IF($R233-SUM($T233:U233)=0,0,IF(OR($R233&lt;=0,$R233&lt;=SUM($T233:U233)),0,IF((IF($J233=0,$O233,$J233)*$I233)&gt;=($R233-SUM($T233:U233)),($R233-SUM($T233:U233)),IF($J233=0,$O233,$J233)*$I233)))</f>
        <v>157980.39999999991</v>
      </c>
      <c r="W233" s="1367">
        <f>IF($R233-SUM($T233:V233)=0,0,IF(OR($R233&lt;=0,$R233&lt;=SUM($T233:V233)),0,IF((IF($J233=0,$O233,$J233)*$I233)&gt;=($R233-SUM($T233:V233)),($R233-SUM($T233:V233)),IF($J233=0,$O233,$J233)*$I233)))</f>
        <v>0</v>
      </c>
      <c r="X233" s="1367">
        <f>IF($R233-SUM($T233:W233)=0,0,IF(OR($R233&lt;=0,$R233&lt;=SUM($T233:W233)),0,IF((IF($J233=0,$O233,$J233)*$I233)&gt;=($R233-SUM($T233:W233)),($R233-SUM($T233:W233)),IF($J233=0,$O233,$J233)*$I233)))</f>
        <v>0</v>
      </c>
      <c r="Y233" s="1367">
        <f>IF($R233-SUM($T233:X233)=0,0,IF(OR($R233&lt;=0,$R233&lt;=SUM($T233:X233)),0,IF((IF($J233=0,$O233,$J233)*$I233)&gt;=($R233-SUM($T233:X233)),($R233-SUM($T233:X233)),IF($J233=0,$O233,$J233)*$I233)))</f>
        <v>0</v>
      </c>
      <c r="Z233" s="1367">
        <f>IF($R233-SUM($T233:Y233)=0,0,IF(OR($R233&lt;=0,$R233&lt;=SUM($T233:Y233)),0,IF((IF($J233=0,$O233,$J233)*$I233)&gt;=($R233-SUM($T233:Y233)),($R233-SUM($T233:Y233)),IF($J233=0,$O233,$J233)*$I233)))</f>
        <v>0</v>
      </c>
      <c r="AA233" s="1367">
        <f>IF($R233-SUM($T233:Z233)=0,0,IF(OR($R233&lt;=0,$R233&lt;=SUM($T233:Z233)),0,IF((IF($J233=0,$O233,$J233)*$I233)&gt;=($R233-SUM($T233:Z233)),($R233-SUM($T233:Z233)),IF($J233=0,$O233,$J233)*$I233)))</f>
        <v>0</v>
      </c>
      <c r="AB233" s="1367">
        <f>IF($R233-SUM($T233:AA233)=0,0,IF(OR($R233&lt;=0,$R233&lt;=SUM($T233:AA233)),0,IF((IF($J233=0,$O233,$J233)*$I233)&gt;=($R233-SUM($T233:AA233)),($R233-SUM($T233:AA233)),IF($J233=0,$O233,$J233)*$I233)))</f>
        <v>0</v>
      </c>
      <c r="AC233" s="1367">
        <f>IF($R233-SUM($T233:AB233)=0,0,IF(OR($R233&lt;=0,$R233&lt;=SUM($T233:AB233)),0,IF((IF($J233=0,$O233,$J233)*$I233)&gt;=($R233-SUM($T233:AB233)),($R233-SUM($T233:AB233)),IF($J233=0,$O233,$J233)*$I233)))</f>
        <v>0</v>
      </c>
      <c r="AD233" s="1367">
        <f>IF($R233-SUM($T233:AC233)=0,0,IF(OR($R233&lt;=0,$R233&lt;=SUM($T233:AC233)),0,IF((IF($J233=0,$O233,$J233)*$I233)&gt;=($R233-SUM($T233:AC233)),($R233-SUM($T233:AC233)),IF($J233=0,$O233,$J233)*$I233)))</f>
        <v>0</v>
      </c>
      <c r="AF233" s="1319" t="b">
        <f t="shared" si="67"/>
        <v>1</v>
      </c>
      <c r="AG233" s="1319" t="str">
        <f t="shared" si="68"/>
        <v>Checked</v>
      </c>
      <c r="AH233" s="1318" t="b">
        <f t="shared" si="69"/>
        <v>1</v>
      </c>
    </row>
    <row r="234" spans="2:34" outlineLevel="1" x14ac:dyDescent="0.3">
      <c r="B234" s="1356" t="s">
        <v>2449</v>
      </c>
      <c r="C234" s="1356" t="s">
        <v>1986</v>
      </c>
      <c r="D234" s="1322" t="s">
        <v>2450</v>
      </c>
      <c r="E234" s="1357">
        <v>5</v>
      </c>
      <c r="F234" s="1333">
        <f t="shared" si="60"/>
        <v>3</v>
      </c>
      <c r="G234" s="1358">
        <f t="shared" si="61"/>
        <v>0</v>
      </c>
      <c r="H234" s="1359">
        <f t="shared" si="62"/>
        <v>0</v>
      </c>
      <c r="I234" s="1360">
        <f t="shared" si="63"/>
        <v>0.2</v>
      </c>
      <c r="J234" s="1361">
        <v>14872745</v>
      </c>
      <c r="K234" s="1362">
        <v>8855719</v>
      </c>
      <c r="L234" s="1356">
        <v>0</v>
      </c>
      <c r="M234" s="1356">
        <v>0</v>
      </c>
      <c r="N234" s="1361">
        <f t="shared" si="64"/>
        <v>6017026</v>
      </c>
      <c r="O234" s="1363">
        <v>0</v>
      </c>
      <c r="P234" s="1356">
        <v>0</v>
      </c>
      <c r="Q234" s="1364">
        <v>2713678</v>
      </c>
      <c r="R234" s="1365">
        <f t="shared" si="65"/>
        <v>3303348</v>
      </c>
      <c r="S234" s="1364"/>
      <c r="T234" s="1366">
        <f t="shared" si="66"/>
        <v>0</v>
      </c>
      <c r="U234" s="1367">
        <f>IF($R234-SUM($T234:T234)=0,0,IF(OR($R234&lt;=0,$R234&lt;=SUM($T234:T234)),0,IF((IF($J234=0,$O234,$J234)*$I234)&gt;=($R234-SUM($T234:T234)),($R234-SUM($T234:T234)),IF($J234=0,$O234,$J234)*$I234)))</f>
        <v>2974549</v>
      </c>
      <c r="V234" s="1367">
        <f>IF($R234-SUM($T234:U234)=0,0,IF(OR($R234&lt;=0,$R234&lt;=SUM($T234:U234)),0,IF((IF($J234=0,$O234,$J234)*$I234)&gt;=($R234-SUM($T234:U234)),($R234-SUM($T234:U234)),IF($J234=0,$O234,$J234)*$I234)))</f>
        <v>328799</v>
      </c>
      <c r="W234" s="1367">
        <f>IF($R234-SUM($T234:V234)=0,0,IF(OR($R234&lt;=0,$R234&lt;=SUM($T234:V234)),0,IF((IF($J234=0,$O234,$J234)*$I234)&gt;=($R234-SUM($T234:V234)),($R234-SUM($T234:V234)),IF($J234=0,$O234,$J234)*$I234)))</f>
        <v>0</v>
      </c>
      <c r="X234" s="1367">
        <f>IF($R234-SUM($T234:W234)=0,0,IF(OR($R234&lt;=0,$R234&lt;=SUM($T234:W234)),0,IF((IF($J234=0,$O234,$J234)*$I234)&gt;=($R234-SUM($T234:W234)),($R234-SUM($T234:W234)),IF($J234=0,$O234,$J234)*$I234)))</f>
        <v>0</v>
      </c>
      <c r="Y234" s="1367">
        <f>IF($R234-SUM($T234:X234)=0,0,IF(OR($R234&lt;=0,$R234&lt;=SUM($T234:X234)),0,IF((IF($J234=0,$O234,$J234)*$I234)&gt;=($R234-SUM($T234:X234)),($R234-SUM($T234:X234)),IF($J234=0,$O234,$J234)*$I234)))</f>
        <v>0</v>
      </c>
      <c r="Z234" s="1367">
        <f>IF($R234-SUM($T234:Y234)=0,0,IF(OR($R234&lt;=0,$R234&lt;=SUM($T234:Y234)),0,IF((IF($J234=0,$O234,$J234)*$I234)&gt;=($R234-SUM($T234:Y234)),($R234-SUM($T234:Y234)),IF($J234=0,$O234,$J234)*$I234)))</f>
        <v>0</v>
      </c>
      <c r="AA234" s="1367">
        <f>IF($R234-SUM($T234:Z234)=0,0,IF(OR($R234&lt;=0,$R234&lt;=SUM($T234:Z234)),0,IF((IF($J234=0,$O234,$J234)*$I234)&gt;=($R234-SUM($T234:Z234)),($R234-SUM($T234:Z234)),IF($J234=0,$O234,$J234)*$I234)))</f>
        <v>0</v>
      </c>
      <c r="AB234" s="1367">
        <f>IF($R234-SUM($T234:AA234)=0,0,IF(OR($R234&lt;=0,$R234&lt;=SUM($T234:AA234)),0,IF((IF($J234=0,$O234,$J234)*$I234)&gt;=($R234-SUM($T234:AA234)),($R234-SUM($T234:AA234)),IF($J234=0,$O234,$J234)*$I234)))</f>
        <v>0</v>
      </c>
      <c r="AC234" s="1367">
        <f>IF($R234-SUM($T234:AB234)=0,0,IF(OR($R234&lt;=0,$R234&lt;=SUM($T234:AB234)),0,IF((IF($J234=0,$O234,$J234)*$I234)&gt;=($R234-SUM($T234:AB234)),($R234-SUM($T234:AB234)),IF($J234=0,$O234,$J234)*$I234)))</f>
        <v>0</v>
      </c>
      <c r="AD234" s="1367">
        <f>IF($R234-SUM($T234:AC234)=0,0,IF(OR($R234&lt;=0,$R234&lt;=SUM($T234:AC234)),0,IF((IF($J234=0,$O234,$J234)*$I234)&gt;=($R234-SUM($T234:AC234)),($R234-SUM($T234:AC234)),IF($J234=0,$O234,$J234)*$I234)))</f>
        <v>0</v>
      </c>
      <c r="AF234" s="1319" t="b">
        <f t="shared" si="67"/>
        <v>1</v>
      </c>
      <c r="AG234" s="1319" t="str">
        <f t="shared" si="68"/>
        <v>Checked</v>
      </c>
      <c r="AH234" s="1318" t="b">
        <f t="shared" si="69"/>
        <v>1</v>
      </c>
    </row>
    <row r="235" spans="2:34" outlineLevel="1" x14ac:dyDescent="0.3">
      <c r="B235" s="1356" t="s">
        <v>2451</v>
      </c>
      <c r="C235" s="1356" t="s">
        <v>1986</v>
      </c>
      <c r="D235" s="1322" t="s">
        <v>2452</v>
      </c>
      <c r="E235" s="1357">
        <v>5</v>
      </c>
      <c r="F235" s="1333">
        <f t="shared" si="60"/>
        <v>3</v>
      </c>
      <c r="G235" s="1358">
        <f t="shared" si="61"/>
        <v>0</v>
      </c>
      <c r="H235" s="1359">
        <f t="shared" si="62"/>
        <v>0</v>
      </c>
      <c r="I235" s="1360">
        <f t="shared" si="63"/>
        <v>0.2</v>
      </c>
      <c r="J235" s="1361">
        <v>17234100</v>
      </c>
      <c r="K235" s="1362">
        <v>9194960</v>
      </c>
      <c r="L235" s="1356">
        <v>0</v>
      </c>
      <c r="M235" s="1356">
        <v>0</v>
      </c>
      <c r="N235" s="1361">
        <f t="shared" si="64"/>
        <v>8039140</v>
      </c>
      <c r="O235" s="1363">
        <v>0</v>
      </c>
      <c r="P235" s="1356">
        <v>0</v>
      </c>
      <c r="Q235" s="1364">
        <v>3625652</v>
      </c>
      <c r="R235" s="1365">
        <f t="shared" si="65"/>
        <v>4413488</v>
      </c>
      <c r="S235" s="1364"/>
      <c r="T235" s="1366">
        <f t="shared" si="66"/>
        <v>0</v>
      </c>
      <c r="U235" s="1367">
        <f>IF($R235-SUM($T235:T235)=0,0,IF(OR($R235&lt;=0,$R235&lt;=SUM($T235:T235)),0,IF((IF($J235=0,$O235,$J235)*$I235)&gt;=($R235-SUM($T235:T235)),($R235-SUM($T235:T235)),IF($J235=0,$O235,$J235)*$I235)))</f>
        <v>3446820</v>
      </c>
      <c r="V235" s="1367">
        <f>IF($R235-SUM($T235:U235)=0,0,IF(OR($R235&lt;=0,$R235&lt;=SUM($T235:U235)),0,IF((IF($J235=0,$O235,$J235)*$I235)&gt;=($R235-SUM($T235:U235)),($R235-SUM($T235:U235)),IF($J235=0,$O235,$J235)*$I235)))</f>
        <v>966668</v>
      </c>
      <c r="W235" s="1367">
        <f>IF($R235-SUM($T235:V235)=0,0,IF(OR($R235&lt;=0,$R235&lt;=SUM($T235:V235)),0,IF((IF($J235=0,$O235,$J235)*$I235)&gt;=($R235-SUM($T235:V235)),($R235-SUM($T235:V235)),IF($J235=0,$O235,$J235)*$I235)))</f>
        <v>0</v>
      </c>
      <c r="X235" s="1367">
        <f>IF($R235-SUM($T235:W235)=0,0,IF(OR($R235&lt;=0,$R235&lt;=SUM($T235:W235)),0,IF((IF($J235=0,$O235,$J235)*$I235)&gt;=($R235-SUM($T235:W235)),($R235-SUM($T235:W235)),IF($J235=0,$O235,$J235)*$I235)))</f>
        <v>0</v>
      </c>
      <c r="Y235" s="1367">
        <f>IF($R235-SUM($T235:X235)=0,0,IF(OR($R235&lt;=0,$R235&lt;=SUM($T235:X235)),0,IF((IF($J235=0,$O235,$J235)*$I235)&gt;=($R235-SUM($T235:X235)),($R235-SUM($T235:X235)),IF($J235=0,$O235,$J235)*$I235)))</f>
        <v>0</v>
      </c>
      <c r="Z235" s="1367">
        <f>IF($R235-SUM($T235:Y235)=0,0,IF(OR($R235&lt;=0,$R235&lt;=SUM($T235:Y235)),0,IF((IF($J235=0,$O235,$J235)*$I235)&gt;=($R235-SUM($T235:Y235)),($R235-SUM($T235:Y235)),IF($J235=0,$O235,$J235)*$I235)))</f>
        <v>0</v>
      </c>
      <c r="AA235" s="1367">
        <f>IF($R235-SUM($T235:Z235)=0,0,IF(OR($R235&lt;=0,$R235&lt;=SUM($T235:Z235)),0,IF((IF($J235=0,$O235,$J235)*$I235)&gt;=($R235-SUM($T235:Z235)),($R235-SUM($T235:Z235)),IF($J235=0,$O235,$J235)*$I235)))</f>
        <v>0</v>
      </c>
      <c r="AB235" s="1367">
        <f>IF($R235-SUM($T235:AA235)=0,0,IF(OR($R235&lt;=0,$R235&lt;=SUM($T235:AA235)),0,IF((IF($J235=0,$O235,$J235)*$I235)&gt;=($R235-SUM($T235:AA235)),($R235-SUM($T235:AA235)),IF($J235=0,$O235,$J235)*$I235)))</f>
        <v>0</v>
      </c>
      <c r="AC235" s="1367">
        <f>IF($R235-SUM($T235:AB235)=0,0,IF(OR($R235&lt;=0,$R235&lt;=SUM($T235:AB235)),0,IF((IF($J235=0,$O235,$J235)*$I235)&gt;=($R235-SUM($T235:AB235)),($R235-SUM($T235:AB235)),IF($J235=0,$O235,$J235)*$I235)))</f>
        <v>0</v>
      </c>
      <c r="AD235" s="1367">
        <f>IF($R235-SUM($T235:AC235)=0,0,IF(OR($R235&lt;=0,$R235&lt;=SUM($T235:AC235)),0,IF((IF($J235=0,$O235,$J235)*$I235)&gt;=($R235-SUM($T235:AC235)),($R235-SUM($T235:AC235)),IF($J235=0,$O235,$J235)*$I235)))</f>
        <v>0</v>
      </c>
      <c r="AF235" s="1319" t="b">
        <f t="shared" si="67"/>
        <v>1</v>
      </c>
      <c r="AG235" s="1319" t="str">
        <f t="shared" si="68"/>
        <v>Checked</v>
      </c>
      <c r="AH235" s="1318" t="b">
        <f t="shared" si="69"/>
        <v>1</v>
      </c>
    </row>
    <row r="236" spans="2:34" outlineLevel="1" x14ac:dyDescent="0.3">
      <c r="B236" s="1356" t="s">
        <v>2453</v>
      </c>
      <c r="C236" s="1356" t="s">
        <v>1986</v>
      </c>
      <c r="D236" s="1322" t="s">
        <v>2454</v>
      </c>
      <c r="E236" s="1357">
        <v>5</v>
      </c>
      <c r="F236" s="1333">
        <f t="shared" si="60"/>
        <v>3</v>
      </c>
      <c r="G236" s="1358">
        <f t="shared" si="61"/>
        <v>0</v>
      </c>
      <c r="H236" s="1359">
        <f t="shared" si="62"/>
        <v>0</v>
      </c>
      <c r="I236" s="1360">
        <f t="shared" si="63"/>
        <v>0.2</v>
      </c>
      <c r="J236" s="1361">
        <v>15000000</v>
      </c>
      <c r="K236" s="1362">
        <v>7383997</v>
      </c>
      <c r="L236" s="1356">
        <v>0</v>
      </c>
      <c r="M236" s="1356">
        <v>0</v>
      </c>
      <c r="N236" s="1361">
        <f t="shared" si="64"/>
        <v>7616003</v>
      </c>
      <c r="O236" s="1363">
        <v>0</v>
      </c>
      <c r="P236" s="1356">
        <v>0</v>
      </c>
      <c r="Q236" s="1364">
        <v>3434817</v>
      </c>
      <c r="R236" s="1365">
        <f t="shared" si="65"/>
        <v>4181186</v>
      </c>
      <c r="S236" s="1364"/>
      <c r="T236" s="1366">
        <f t="shared" si="66"/>
        <v>0</v>
      </c>
      <c r="U236" s="1367">
        <f>IF($R236-SUM($T236:T236)=0,0,IF(OR($R236&lt;=0,$R236&lt;=SUM($T236:T236)),0,IF((IF($J236=0,$O236,$J236)*$I236)&gt;=($R236-SUM($T236:T236)),($R236-SUM($T236:T236)),IF($J236=0,$O236,$J236)*$I236)))</f>
        <v>3000000</v>
      </c>
      <c r="V236" s="1367">
        <f>IF($R236-SUM($T236:U236)=0,0,IF(OR($R236&lt;=0,$R236&lt;=SUM($T236:U236)),0,IF((IF($J236=0,$O236,$J236)*$I236)&gt;=($R236-SUM($T236:U236)),($R236-SUM($T236:U236)),IF($J236=0,$O236,$J236)*$I236)))</f>
        <v>1181186</v>
      </c>
      <c r="W236" s="1367">
        <f>IF($R236-SUM($T236:V236)=0,0,IF(OR($R236&lt;=0,$R236&lt;=SUM($T236:V236)),0,IF((IF($J236=0,$O236,$J236)*$I236)&gt;=($R236-SUM($T236:V236)),($R236-SUM($T236:V236)),IF($J236=0,$O236,$J236)*$I236)))</f>
        <v>0</v>
      </c>
      <c r="X236" s="1367">
        <f>IF($R236-SUM($T236:W236)=0,0,IF(OR($R236&lt;=0,$R236&lt;=SUM($T236:W236)),0,IF((IF($J236=0,$O236,$J236)*$I236)&gt;=($R236-SUM($T236:W236)),($R236-SUM($T236:W236)),IF($J236=0,$O236,$J236)*$I236)))</f>
        <v>0</v>
      </c>
      <c r="Y236" s="1367">
        <f>IF($R236-SUM($T236:X236)=0,0,IF(OR($R236&lt;=0,$R236&lt;=SUM($T236:X236)),0,IF((IF($J236=0,$O236,$J236)*$I236)&gt;=($R236-SUM($T236:X236)),($R236-SUM($T236:X236)),IF($J236=0,$O236,$J236)*$I236)))</f>
        <v>0</v>
      </c>
      <c r="Z236" s="1367">
        <f>IF($R236-SUM($T236:Y236)=0,0,IF(OR($R236&lt;=0,$R236&lt;=SUM($T236:Y236)),0,IF((IF($J236=0,$O236,$J236)*$I236)&gt;=($R236-SUM($T236:Y236)),($R236-SUM($T236:Y236)),IF($J236=0,$O236,$J236)*$I236)))</f>
        <v>0</v>
      </c>
      <c r="AA236" s="1367">
        <f>IF($R236-SUM($T236:Z236)=0,0,IF(OR($R236&lt;=0,$R236&lt;=SUM($T236:Z236)),0,IF((IF($J236=0,$O236,$J236)*$I236)&gt;=($R236-SUM($T236:Z236)),($R236-SUM($T236:Z236)),IF($J236=0,$O236,$J236)*$I236)))</f>
        <v>0</v>
      </c>
      <c r="AB236" s="1367">
        <f>IF($R236-SUM($T236:AA236)=0,0,IF(OR($R236&lt;=0,$R236&lt;=SUM($T236:AA236)),0,IF((IF($J236=0,$O236,$J236)*$I236)&gt;=($R236-SUM($T236:AA236)),($R236-SUM($T236:AA236)),IF($J236=0,$O236,$J236)*$I236)))</f>
        <v>0</v>
      </c>
      <c r="AC236" s="1367">
        <f>IF($R236-SUM($T236:AB236)=0,0,IF(OR($R236&lt;=0,$R236&lt;=SUM($T236:AB236)),0,IF((IF($J236=0,$O236,$J236)*$I236)&gt;=($R236-SUM($T236:AB236)),($R236-SUM($T236:AB236)),IF($J236=0,$O236,$J236)*$I236)))</f>
        <v>0</v>
      </c>
      <c r="AD236" s="1367">
        <f>IF($R236-SUM($T236:AC236)=0,0,IF(OR($R236&lt;=0,$R236&lt;=SUM($T236:AC236)),0,IF((IF($J236=0,$O236,$J236)*$I236)&gt;=($R236-SUM($T236:AC236)),($R236-SUM($T236:AC236)),IF($J236=0,$O236,$J236)*$I236)))</f>
        <v>0</v>
      </c>
      <c r="AF236" s="1319" t="b">
        <f t="shared" si="67"/>
        <v>1</v>
      </c>
      <c r="AG236" s="1319" t="str">
        <f t="shared" si="68"/>
        <v>Checked</v>
      </c>
      <c r="AH236" s="1318" t="b">
        <f t="shared" si="69"/>
        <v>1</v>
      </c>
    </row>
    <row r="237" spans="2:34" outlineLevel="1" x14ac:dyDescent="0.3">
      <c r="B237" s="1356" t="s">
        <v>2455</v>
      </c>
      <c r="C237" s="1356" t="s">
        <v>1986</v>
      </c>
      <c r="D237" s="1322" t="s">
        <v>2456</v>
      </c>
      <c r="E237" s="1357">
        <v>5</v>
      </c>
      <c r="F237" s="1333">
        <f t="shared" si="60"/>
        <v>4</v>
      </c>
      <c r="G237" s="1358">
        <f t="shared" si="61"/>
        <v>0</v>
      </c>
      <c r="H237" s="1359">
        <f t="shared" si="62"/>
        <v>0</v>
      </c>
      <c r="I237" s="1360">
        <f t="shared" si="63"/>
        <v>0.2</v>
      </c>
      <c r="J237" s="1361">
        <v>21587470</v>
      </c>
      <c r="K237" s="1362">
        <v>8924619</v>
      </c>
      <c r="L237" s="1356">
        <v>0</v>
      </c>
      <c r="M237" s="1356">
        <v>0</v>
      </c>
      <c r="N237" s="1361">
        <f t="shared" si="64"/>
        <v>12662851</v>
      </c>
      <c r="O237" s="1363">
        <v>0</v>
      </c>
      <c r="P237" s="1356">
        <v>0</v>
      </c>
      <c r="Q237" s="1364">
        <v>4317494</v>
      </c>
      <c r="R237" s="1365">
        <f t="shared" si="65"/>
        <v>8345357</v>
      </c>
      <c r="S237" s="1364"/>
      <c r="T237" s="1366">
        <f t="shared" si="66"/>
        <v>0</v>
      </c>
      <c r="U237" s="1367">
        <f>IF($R237-SUM($T237:T237)=0,0,IF(OR($R237&lt;=0,$R237&lt;=SUM($T237:T237)),0,IF((IF($J237=0,$O237,$J237)*$I237)&gt;=($R237-SUM($T237:T237)),($R237-SUM($T237:T237)),IF($J237=0,$O237,$J237)*$I237)))</f>
        <v>4317494</v>
      </c>
      <c r="V237" s="1367">
        <f>IF($R237-SUM($T237:U237)=0,0,IF(OR($R237&lt;=0,$R237&lt;=SUM($T237:U237)),0,IF((IF($J237=0,$O237,$J237)*$I237)&gt;=($R237-SUM($T237:U237)),($R237-SUM($T237:U237)),IF($J237=0,$O237,$J237)*$I237)))</f>
        <v>4027863</v>
      </c>
      <c r="W237" s="1367">
        <f>IF($R237-SUM($T237:V237)=0,0,IF(OR($R237&lt;=0,$R237&lt;=SUM($T237:V237)),0,IF((IF($J237=0,$O237,$J237)*$I237)&gt;=($R237-SUM($T237:V237)),($R237-SUM($T237:V237)),IF($J237=0,$O237,$J237)*$I237)))</f>
        <v>0</v>
      </c>
      <c r="X237" s="1367">
        <f>IF($R237-SUM($T237:W237)=0,0,IF(OR($R237&lt;=0,$R237&lt;=SUM($T237:W237)),0,IF((IF($J237=0,$O237,$J237)*$I237)&gt;=($R237-SUM($T237:W237)),($R237-SUM($T237:W237)),IF($J237=0,$O237,$J237)*$I237)))</f>
        <v>0</v>
      </c>
      <c r="Y237" s="1367">
        <f>IF($R237-SUM($T237:X237)=0,0,IF(OR($R237&lt;=0,$R237&lt;=SUM($T237:X237)),0,IF((IF($J237=0,$O237,$J237)*$I237)&gt;=($R237-SUM($T237:X237)),($R237-SUM($T237:X237)),IF($J237=0,$O237,$J237)*$I237)))</f>
        <v>0</v>
      </c>
      <c r="Z237" s="1367">
        <f>IF($R237-SUM($T237:Y237)=0,0,IF(OR($R237&lt;=0,$R237&lt;=SUM($T237:Y237)),0,IF((IF($J237=0,$O237,$J237)*$I237)&gt;=($R237-SUM($T237:Y237)),($R237-SUM($T237:Y237)),IF($J237=0,$O237,$J237)*$I237)))</f>
        <v>0</v>
      </c>
      <c r="AA237" s="1367">
        <f>IF($R237-SUM($T237:Z237)=0,0,IF(OR($R237&lt;=0,$R237&lt;=SUM($T237:Z237)),0,IF((IF($J237=0,$O237,$J237)*$I237)&gt;=($R237-SUM($T237:Z237)),($R237-SUM($T237:Z237)),IF($J237=0,$O237,$J237)*$I237)))</f>
        <v>0</v>
      </c>
      <c r="AB237" s="1367">
        <f>IF($R237-SUM($T237:AA237)=0,0,IF(OR($R237&lt;=0,$R237&lt;=SUM($T237:AA237)),0,IF((IF($J237=0,$O237,$J237)*$I237)&gt;=($R237-SUM($T237:AA237)),($R237-SUM($T237:AA237)),IF($J237=0,$O237,$J237)*$I237)))</f>
        <v>0</v>
      </c>
      <c r="AC237" s="1367">
        <f>IF($R237-SUM($T237:AB237)=0,0,IF(OR($R237&lt;=0,$R237&lt;=SUM($T237:AB237)),0,IF((IF($J237=0,$O237,$J237)*$I237)&gt;=($R237-SUM($T237:AB237)),($R237-SUM($T237:AB237)),IF($J237=0,$O237,$J237)*$I237)))</f>
        <v>0</v>
      </c>
      <c r="AD237" s="1367">
        <f>IF($R237-SUM($T237:AC237)=0,0,IF(OR($R237&lt;=0,$R237&lt;=SUM($T237:AC237)),0,IF((IF($J237=0,$O237,$J237)*$I237)&gt;=($R237-SUM($T237:AC237)),($R237-SUM($T237:AC237)),IF($J237=0,$O237,$J237)*$I237)))</f>
        <v>0</v>
      </c>
      <c r="AF237" s="1319" t="b">
        <f t="shared" si="67"/>
        <v>1</v>
      </c>
      <c r="AG237" s="1319" t="str">
        <f t="shared" si="68"/>
        <v>Checked</v>
      </c>
      <c r="AH237" s="1318" t="b">
        <f t="shared" si="69"/>
        <v>1</v>
      </c>
    </row>
    <row r="238" spans="2:34" outlineLevel="1" x14ac:dyDescent="0.3">
      <c r="B238" s="1356" t="s">
        <v>2457</v>
      </c>
      <c r="C238" s="1356" t="s">
        <v>1986</v>
      </c>
      <c r="D238" s="1322" t="s">
        <v>2458</v>
      </c>
      <c r="E238" s="1357">
        <v>5</v>
      </c>
      <c r="F238" s="1333">
        <f t="shared" si="60"/>
        <v>4</v>
      </c>
      <c r="G238" s="1358">
        <f t="shared" si="61"/>
        <v>0</v>
      </c>
      <c r="H238" s="1359">
        <f t="shared" si="62"/>
        <v>0</v>
      </c>
      <c r="I238" s="1360">
        <f t="shared" si="63"/>
        <v>0.2</v>
      </c>
      <c r="J238" s="1361">
        <v>18281449</v>
      </c>
      <c r="K238" s="1362">
        <v>6183700</v>
      </c>
      <c r="L238" s="1356">
        <v>0</v>
      </c>
      <c r="M238" s="1356">
        <v>0</v>
      </c>
      <c r="N238" s="1361">
        <f t="shared" si="64"/>
        <v>12097749</v>
      </c>
      <c r="O238" s="1363">
        <v>0</v>
      </c>
      <c r="P238" s="1356">
        <v>0</v>
      </c>
      <c r="Q238" s="1364">
        <v>5456084</v>
      </c>
      <c r="R238" s="1365">
        <f t="shared" si="65"/>
        <v>6641665</v>
      </c>
      <c r="S238" s="1364"/>
      <c r="T238" s="1366">
        <f t="shared" si="66"/>
        <v>0</v>
      </c>
      <c r="U238" s="1367">
        <f>IF($R238-SUM($T238:T238)=0,0,IF(OR($R238&lt;=0,$R238&lt;=SUM($T238:T238)),0,IF((IF($J238=0,$O238,$J238)*$I238)&gt;=($R238-SUM($T238:T238)),($R238-SUM($T238:T238)),IF($J238=0,$O238,$J238)*$I238)))</f>
        <v>3656289.8000000003</v>
      </c>
      <c r="V238" s="1367">
        <f>IF($R238-SUM($T238:U238)=0,0,IF(OR($R238&lt;=0,$R238&lt;=SUM($T238:U238)),0,IF((IF($J238=0,$O238,$J238)*$I238)&gt;=($R238-SUM($T238:U238)),($R238-SUM($T238:U238)),IF($J238=0,$O238,$J238)*$I238)))</f>
        <v>2985375.1999999997</v>
      </c>
      <c r="W238" s="1367">
        <f>IF($R238-SUM($T238:V238)=0,0,IF(OR($R238&lt;=0,$R238&lt;=SUM($T238:V238)),0,IF((IF($J238=0,$O238,$J238)*$I238)&gt;=($R238-SUM($T238:V238)),($R238-SUM($T238:V238)),IF($J238=0,$O238,$J238)*$I238)))</f>
        <v>0</v>
      </c>
      <c r="X238" s="1367">
        <f>IF($R238-SUM($T238:W238)=0,0,IF(OR($R238&lt;=0,$R238&lt;=SUM($T238:W238)),0,IF((IF($J238=0,$O238,$J238)*$I238)&gt;=($R238-SUM($T238:W238)),($R238-SUM($T238:W238)),IF($J238=0,$O238,$J238)*$I238)))</f>
        <v>0</v>
      </c>
      <c r="Y238" s="1367">
        <f>IF($R238-SUM($T238:X238)=0,0,IF(OR($R238&lt;=0,$R238&lt;=SUM($T238:X238)),0,IF((IF($J238=0,$O238,$J238)*$I238)&gt;=($R238-SUM($T238:X238)),($R238-SUM($T238:X238)),IF($J238=0,$O238,$J238)*$I238)))</f>
        <v>0</v>
      </c>
      <c r="Z238" s="1367">
        <f>IF($R238-SUM($T238:Y238)=0,0,IF(OR($R238&lt;=0,$R238&lt;=SUM($T238:Y238)),0,IF((IF($J238=0,$O238,$J238)*$I238)&gt;=($R238-SUM($T238:Y238)),($R238-SUM($T238:Y238)),IF($J238=0,$O238,$J238)*$I238)))</f>
        <v>0</v>
      </c>
      <c r="AA238" s="1367">
        <f>IF($R238-SUM($T238:Z238)=0,0,IF(OR($R238&lt;=0,$R238&lt;=SUM($T238:Z238)),0,IF((IF($J238=0,$O238,$J238)*$I238)&gt;=($R238-SUM($T238:Z238)),($R238-SUM($T238:Z238)),IF($J238=0,$O238,$J238)*$I238)))</f>
        <v>0</v>
      </c>
      <c r="AB238" s="1367">
        <f>IF($R238-SUM($T238:AA238)=0,0,IF(OR($R238&lt;=0,$R238&lt;=SUM($T238:AA238)),0,IF((IF($J238=0,$O238,$J238)*$I238)&gt;=($R238-SUM($T238:AA238)),($R238-SUM($T238:AA238)),IF($J238=0,$O238,$J238)*$I238)))</f>
        <v>0</v>
      </c>
      <c r="AC238" s="1367">
        <f>IF($R238-SUM($T238:AB238)=0,0,IF(OR($R238&lt;=0,$R238&lt;=SUM($T238:AB238)),0,IF((IF($J238=0,$O238,$J238)*$I238)&gt;=($R238-SUM($T238:AB238)),($R238-SUM($T238:AB238)),IF($J238=0,$O238,$J238)*$I238)))</f>
        <v>0</v>
      </c>
      <c r="AD238" s="1367">
        <f>IF($R238-SUM($T238:AC238)=0,0,IF(OR($R238&lt;=0,$R238&lt;=SUM($T238:AC238)),0,IF((IF($J238=0,$O238,$J238)*$I238)&gt;=($R238-SUM($T238:AC238)),($R238-SUM($T238:AC238)),IF($J238=0,$O238,$J238)*$I238)))</f>
        <v>0</v>
      </c>
      <c r="AF238" s="1319" t="b">
        <f t="shared" si="67"/>
        <v>1</v>
      </c>
      <c r="AG238" s="1319" t="str">
        <f t="shared" si="68"/>
        <v>Checked</v>
      </c>
      <c r="AH238" s="1318" t="b">
        <f t="shared" si="69"/>
        <v>1</v>
      </c>
    </row>
    <row r="239" spans="2:34" outlineLevel="1" x14ac:dyDescent="0.3">
      <c r="B239" s="1356" t="s">
        <v>2459</v>
      </c>
      <c r="C239" s="1356" t="s">
        <v>1986</v>
      </c>
      <c r="D239" s="1322" t="s">
        <v>2460</v>
      </c>
      <c r="E239" s="1357">
        <v>5</v>
      </c>
      <c r="F239" s="1333">
        <f t="shared" si="60"/>
        <v>4</v>
      </c>
      <c r="G239" s="1358">
        <f t="shared" si="61"/>
        <v>0</v>
      </c>
      <c r="H239" s="1359">
        <f t="shared" si="62"/>
        <v>0</v>
      </c>
      <c r="I239" s="1360">
        <f t="shared" si="63"/>
        <v>0.2</v>
      </c>
      <c r="J239" s="1361">
        <v>115500000</v>
      </c>
      <c r="K239" s="1362">
        <v>34727000</v>
      </c>
      <c r="L239" s="1356">
        <v>0</v>
      </c>
      <c r="M239" s="1356">
        <v>0</v>
      </c>
      <c r="N239" s="1361">
        <f t="shared" si="64"/>
        <v>80773000</v>
      </c>
      <c r="O239" s="1363">
        <v>0</v>
      </c>
      <c r="P239" s="1356">
        <v>0</v>
      </c>
      <c r="Q239" s="1364">
        <v>36428623</v>
      </c>
      <c r="R239" s="1365">
        <f t="shared" si="65"/>
        <v>44344377</v>
      </c>
      <c r="S239" s="1364"/>
      <c r="T239" s="1366">
        <f t="shared" si="66"/>
        <v>0</v>
      </c>
      <c r="U239" s="1367">
        <f>IF($R239-SUM($T239:T239)=0,0,IF(OR($R239&lt;=0,$R239&lt;=SUM($T239:T239)),0,IF((IF($J239=0,$O239,$J239)*$I239)&gt;=($R239-SUM($T239:T239)),($R239-SUM($T239:T239)),IF($J239=0,$O239,$J239)*$I239)))</f>
        <v>23100000</v>
      </c>
      <c r="V239" s="1367">
        <f>IF($R239-SUM($T239:U239)=0,0,IF(OR($R239&lt;=0,$R239&lt;=SUM($T239:U239)),0,IF((IF($J239=0,$O239,$J239)*$I239)&gt;=($R239-SUM($T239:U239)),($R239-SUM($T239:U239)),IF($J239=0,$O239,$J239)*$I239)))</f>
        <v>21244377</v>
      </c>
      <c r="W239" s="1367">
        <f>IF($R239-SUM($T239:V239)=0,0,IF(OR($R239&lt;=0,$R239&lt;=SUM($T239:V239)),0,IF((IF($J239=0,$O239,$J239)*$I239)&gt;=($R239-SUM($T239:V239)),($R239-SUM($T239:V239)),IF($J239=0,$O239,$J239)*$I239)))</f>
        <v>0</v>
      </c>
      <c r="X239" s="1367">
        <f>IF($R239-SUM($T239:W239)=0,0,IF(OR($R239&lt;=0,$R239&lt;=SUM($T239:W239)),0,IF((IF($J239=0,$O239,$J239)*$I239)&gt;=($R239-SUM($T239:W239)),($R239-SUM($T239:W239)),IF($J239=0,$O239,$J239)*$I239)))</f>
        <v>0</v>
      </c>
      <c r="Y239" s="1367">
        <f>IF($R239-SUM($T239:X239)=0,0,IF(OR($R239&lt;=0,$R239&lt;=SUM($T239:X239)),0,IF((IF($J239=0,$O239,$J239)*$I239)&gt;=($R239-SUM($T239:X239)),($R239-SUM($T239:X239)),IF($J239=0,$O239,$J239)*$I239)))</f>
        <v>0</v>
      </c>
      <c r="Z239" s="1367">
        <f>IF($R239-SUM($T239:Y239)=0,0,IF(OR($R239&lt;=0,$R239&lt;=SUM($T239:Y239)),0,IF((IF($J239=0,$O239,$J239)*$I239)&gt;=($R239-SUM($T239:Y239)),($R239-SUM($T239:Y239)),IF($J239=0,$O239,$J239)*$I239)))</f>
        <v>0</v>
      </c>
      <c r="AA239" s="1367">
        <f>IF($R239-SUM($T239:Z239)=0,0,IF(OR($R239&lt;=0,$R239&lt;=SUM($T239:Z239)),0,IF((IF($J239=0,$O239,$J239)*$I239)&gt;=($R239-SUM($T239:Z239)),($R239-SUM($T239:Z239)),IF($J239=0,$O239,$J239)*$I239)))</f>
        <v>0</v>
      </c>
      <c r="AB239" s="1367">
        <f>IF($R239-SUM($T239:AA239)=0,0,IF(OR($R239&lt;=0,$R239&lt;=SUM($T239:AA239)),0,IF((IF($J239=0,$O239,$J239)*$I239)&gt;=($R239-SUM($T239:AA239)),($R239-SUM($T239:AA239)),IF($J239=0,$O239,$J239)*$I239)))</f>
        <v>0</v>
      </c>
      <c r="AC239" s="1367">
        <f>IF($R239-SUM($T239:AB239)=0,0,IF(OR($R239&lt;=0,$R239&lt;=SUM($T239:AB239)),0,IF((IF($J239=0,$O239,$J239)*$I239)&gt;=($R239-SUM($T239:AB239)),($R239-SUM($T239:AB239)),IF($J239=0,$O239,$J239)*$I239)))</f>
        <v>0</v>
      </c>
      <c r="AD239" s="1367">
        <f>IF($R239-SUM($T239:AC239)=0,0,IF(OR($R239&lt;=0,$R239&lt;=SUM($T239:AC239)),0,IF((IF($J239=0,$O239,$J239)*$I239)&gt;=($R239-SUM($T239:AC239)),($R239-SUM($T239:AC239)),IF($J239=0,$O239,$J239)*$I239)))</f>
        <v>0</v>
      </c>
      <c r="AF239" s="1319" t="b">
        <f t="shared" si="67"/>
        <v>1</v>
      </c>
      <c r="AG239" s="1319" t="str">
        <f t="shared" si="68"/>
        <v>Checked</v>
      </c>
      <c r="AH239" s="1318" t="b">
        <f t="shared" si="69"/>
        <v>1</v>
      </c>
    </row>
    <row r="240" spans="2:34" outlineLevel="1" x14ac:dyDescent="0.3">
      <c r="B240" s="1356" t="s">
        <v>2461</v>
      </c>
      <c r="C240" s="1356" t="s">
        <v>1986</v>
      </c>
      <c r="D240" s="1322" t="s">
        <v>2462</v>
      </c>
      <c r="E240" s="1357">
        <v>5</v>
      </c>
      <c r="F240" s="1333">
        <f t="shared" si="60"/>
        <v>4</v>
      </c>
      <c r="G240" s="1358">
        <f t="shared" si="61"/>
        <v>0</v>
      </c>
      <c r="H240" s="1359">
        <f t="shared" si="62"/>
        <v>0</v>
      </c>
      <c r="I240" s="1360">
        <f t="shared" si="63"/>
        <v>0.2</v>
      </c>
      <c r="J240" s="1361">
        <v>21205120</v>
      </c>
      <c r="K240" s="1362">
        <v>4781754</v>
      </c>
      <c r="L240" s="1356">
        <v>0</v>
      </c>
      <c r="M240" s="1356">
        <v>0</v>
      </c>
      <c r="N240" s="1361">
        <f t="shared" si="64"/>
        <v>16423366</v>
      </c>
      <c r="O240" s="1363">
        <v>0</v>
      </c>
      <c r="P240" s="1356">
        <v>0</v>
      </c>
      <c r="Q240" s="1364">
        <v>4241024</v>
      </c>
      <c r="R240" s="1365">
        <f t="shared" si="65"/>
        <v>12182342</v>
      </c>
      <c r="S240" s="1364"/>
      <c r="T240" s="1366">
        <f t="shared" si="66"/>
        <v>0</v>
      </c>
      <c r="U240" s="1367">
        <f>IF($R240-SUM($T240:T240)=0,0,IF(OR($R240&lt;=0,$R240&lt;=SUM($T240:T240)),0,IF((IF($J240=0,$O240,$J240)*$I240)&gt;=($R240-SUM($T240:T240)),($R240-SUM($T240:T240)),IF($J240=0,$O240,$J240)*$I240)))</f>
        <v>4241024</v>
      </c>
      <c r="V240" s="1367">
        <f>IF($R240-SUM($T240:U240)=0,0,IF(OR($R240&lt;=0,$R240&lt;=SUM($T240:U240)),0,IF((IF($J240=0,$O240,$J240)*$I240)&gt;=($R240-SUM($T240:U240)),($R240-SUM($T240:U240)),IF($J240=0,$O240,$J240)*$I240)))</f>
        <v>4241024</v>
      </c>
      <c r="W240" s="1367">
        <f>IF($R240-SUM($T240:V240)=0,0,IF(OR($R240&lt;=0,$R240&lt;=SUM($T240:V240)),0,IF((IF($J240=0,$O240,$J240)*$I240)&gt;=($R240-SUM($T240:V240)),($R240-SUM($T240:V240)),IF($J240=0,$O240,$J240)*$I240)))</f>
        <v>3700294</v>
      </c>
      <c r="X240" s="1367">
        <f>IF($R240-SUM($T240:W240)=0,0,IF(OR($R240&lt;=0,$R240&lt;=SUM($T240:W240)),0,IF((IF($J240=0,$O240,$J240)*$I240)&gt;=($R240-SUM($T240:W240)),($R240-SUM($T240:W240)),IF($J240=0,$O240,$J240)*$I240)))</f>
        <v>0</v>
      </c>
      <c r="Y240" s="1367">
        <f>IF($R240-SUM($T240:X240)=0,0,IF(OR($R240&lt;=0,$R240&lt;=SUM($T240:X240)),0,IF((IF($J240=0,$O240,$J240)*$I240)&gt;=($R240-SUM($T240:X240)),($R240-SUM($T240:X240)),IF($J240=0,$O240,$J240)*$I240)))</f>
        <v>0</v>
      </c>
      <c r="Z240" s="1367">
        <f>IF($R240-SUM($T240:Y240)=0,0,IF(OR($R240&lt;=0,$R240&lt;=SUM($T240:Y240)),0,IF((IF($J240=0,$O240,$J240)*$I240)&gt;=($R240-SUM($T240:Y240)),($R240-SUM($T240:Y240)),IF($J240=0,$O240,$J240)*$I240)))</f>
        <v>0</v>
      </c>
      <c r="AA240" s="1367">
        <f>IF($R240-SUM($T240:Z240)=0,0,IF(OR($R240&lt;=0,$R240&lt;=SUM($T240:Z240)),0,IF((IF($J240=0,$O240,$J240)*$I240)&gt;=($R240-SUM($T240:Z240)),($R240-SUM($T240:Z240)),IF($J240=0,$O240,$J240)*$I240)))</f>
        <v>0</v>
      </c>
      <c r="AB240" s="1367">
        <f>IF($R240-SUM($T240:AA240)=0,0,IF(OR($R240&lt;=0,$R240&lt;=SUM($T240:AA240)),0,IF((IF($J240=0,$O240,$J240)*$I240)&gt;=($R240-SUM($T240:AA240)),($R240-SUM($T240:AA240)),IF($J240=0,$O240,$J240)*$I240)))</f>
        <v>0</v>
      </c>
      <c r="AC240" s="1367">
        <f>IF($R240-SUM($T240:AB240)=0,0,IF(OR($R240&lt;=0,$R240&lt;=SUM($T240:AB240)),0,IF((IF($J240=0,$O240,$J240)*$I240)&gt;=($R240-SUM($T240:AB240)),($R240-SUM($T240:AB240)),IF($J240=0,$O240,$J240)*$I240)))</f>
        <v>0</v>
      </c>
      <c r="AD240" s="1367">
        <f>IF($R240-SUM($T240:AC240)=0,0,IF(OR($R240&lt;=0,$R240&lt;=SUM($T240:AC240)),0,IF((IF($J240=0,$O240,$J240)*$I240)&gt;=($R240-SUM($T240:AC240)),($R240-SUM($T240:AC240)),IF($J240=0,$O240,$J240)*$I240)))</f>
        <v>0</v>
      </c>
      <c r="AF240" s="1319" t="b">
        <f t="shared" si="67"/>
        <v>1</v>
      </c>
      <c r="AG240" s="1319" t="str">
        <f t="shared" si="68"/>
        <v>Checked</v>
      </c>
      <c r="AH240" s="1318" t="b">
        <f t="shared" si="69"/>
        <v>1</v>
      </c>
    </row>
    <row r="241" spans="1:34" outlineLevel="1" x14ac:dyDescent="0.3">
      <c r="B241" s="1356" t="s">
        <v>2463</v>
      </c>
      <c r="C241" s="1356" t="s">
        <v>1986</v>
      </c>
      <c r="D241" s="1322" t="s">
        <v>2464</v>
      </c>
      <c r="E241" s="1357">
        <v>3</v>
      </c>
      <c r="F241" s="1333">
        <f t="shared" si="60"/>
        <v>2</v>
      </c>
      <c r="G241" s="1358">
        <f t="shared" si="61"/>
        <v>0</v>
      </c>
      <c r="H241" s="1359">
        <f t="shared" si="62"/>
        <v>0</v>
      </c>
      <c r="I241" s="1360">
        <f t="shared" si="63"/>
        <v>0.33333333333333331</v>
      </c>
      <c r="J241" s="1361">
        <v>1536400</v>
      </c>
      <c r="K241" s="1362">
        <v>323668</v>
      </c>
      <c r="L241" s="1356">
        <v>0</v>
      </c>
      <c r="M241" s="1356">
        <v>0</v>
      </c>
      <c r="N241" s="1361">
        <f t="shared" si="64"/>
        <v>1212732</v>
      </c>
      <c r="O241" s="1363">
        <v>0</v>
      </c>
      <c r="P241" s="1356">
        <v>0</v>
      </c>
      <c r="Q241" s="1364">
        <v>766446</v>
      </c>
      <c r="R241" s="1365">
        <f t="shared" si="65"/>
        <v>446286</v>
      </c>
      <c r="S241" s="1364"/>
      <c r="T241" s="1366">
        <f t="shared" si="66"/>
        <v>0</v>
      </c>
      <c r="U241" s="1367">
        <f>IF($R241-SUM($T241:T241)=0,0,IF(OR($R241&lt;=0,$R241&lt;=SUM($T241:T241)),0,IF((IF($J241=0,$O241,$J241)*$I241)&gt;=($R241-SUM($T241:T241)),($R241-SUM($T241:T241)),IF($J241=0,$O241,$J241)*$I241)))</f>
        <v>446286</v>
      </c>
      <c r="V241" s="1367">
        <f>IF($R241-SUM($T241:U241)=0,0,IF(OR($R241&lt;=0,$R241&lt;=SUM($T241:U241)),0,IF((IF($J241=0,$O241,$J241)*$I241)&gt;=($R241-SUM($T241:U241)),($R241-SUM($T241:U241)),IF($J241=0,$O241,$J241)*$I241)))</f>
        <v>0</v>
      </c>
      <c r="W241" s="1367">
        <f>IF($R241-SUM($T241:V241)=0,0,IF(OR($R241&lt;=0,$R241&lt;=SUM($T241:V241)),0,IF((IF($J241=0,$O241,$J241)*$I241)&gt;=($R241-SUM($T241:V241)),($R241-SUM($T241:V241)),IF($J241=0,$O241,$J241)*$I241)))</f>
        <v>0</v>
      </c>
      <c r="X241" s="1367">
        <f>IF($R241-SUM($T241:W241)=0,0,IF(OR($R241&lt;=0,$R241&lt;=SUM($T241:W241)),0,IF((IF($J241=0,$O241,$J241)*$I241)&gt;=($R241-SUM($T241:W241)),($R241-SUM($T241:W241)),IF($J241=0,$O241,$J241)*$I241)))</f>
        <v>0</v>
      </c>
      <c r="Y241" s="1367">
        <f>IF($R241-SUM($T241:X241)=0,0,IF(OR($R241&lt;=0,$R241&lt;=SUM($T241:X241)),0,IF((IF($J241=0,$O241,$J241)*$I241)&gt;=($R241-SUM($T241:X241)),($R241-SUM($T241:X241)),IF($J241=0,$O241,$J241)*$I241)))</f>
        <v>0</v>
      </c>
      <c r="Z241" s="1367">
        <f>IF($R241-SUM($T241:Y241)=0,0,IF(OR($R241&lt;=0,$R241&lt;=SUM($T241:Y241)),0,IF((IF($J241=0,$O241,$J241)*$I241)&gt;=($R241-SUM($T241:Y241)),($R241-SUM($T241:Y241)),IF($J241=0,$O241,$J241)*$I241)))</f>
        <v>0</v>
      </c>
      <c r="AA241" s="1367">
        <f>IF($R241-SUM($T241:Z241)=0,0,IF(OR($R241&lt;=0,$R241&lt;=SUM($T241:Z241)),0,IF((IF($J241=0,$O241,$J241)*$I241)&gt;=($R241-SUM($T241:Z241)),($R241-SUM($T241:Z241)),IF($J241=0,$O241,$J241)*$I241)))</f>
        <v>0</v>
      </c>
      <c r="AB241" s="1367">
        <f>IF($R241-SUM($T241:AA241)=0,0,IF(OR($R241&lt;=0,$R241&lt;=SUM($T241:AA241)),0,IF((IF($J241=0,$O241,$J241)*$I241)&gt;=($R241-SUM($T241:AA241)),($R241-SUM($T241:AA241)),IF($J241=0,$O241,$J241)*$I241)))</f>
        <v>0</v>
      </c>
      <c r="AC241" s="1367">
        <f>IF($R241-SUM($T241:AB241)=0,0,IF(OR($R241&lt;=0,$R241&lt;=SUM($T241:AB241)),0,IF((IF($J241=0,$O241,$J241)*$I241)&gt;=($R241-SUM($T241:AB241)),($R241-SUM($T241:AB241)),IF($J241=0,$O241,$J241)*$I241)))</f>
        <v>0</v>
      </c>
      <c r="AD241" s="1367">
        <f>IF($R241-SUM($T241:AC241)=0,0,IF(OR($R241&lt;=0,$R241&lt;=SUM($T241:AC241)),0,IF((IF($J241=0,$O241,$J241)*$I241)&gt;=($R241-SUM($T241:AC241)),($R241-SUM($T241:AC241)),IF($J241=0,$O241,$J241)*$I241)))</f>
        <v>0</v>
      </c>
      <c r="AF241" s="1319" t="b">
        <f t="shared" si="67"/>
        <v>1</v>
      </c>
      <c r="AG241" s="1319" t="str">
        <f t="shared" si="68"/>
        <v>Checked</v>
      </c>
      <c r="AH241" s="1318" t="str">
        <f t="shared" si="69"/>
        <v>Checked</v>
      </c>
    </row>
    <row r="242" spans="1:34" outlineLevel="1" x14ac:dyDescent="0.3">
      <c r="B242" s="1356" t="s">
        <v>2465</v>
      </c>
      <c r="C242" s="1356" t="s">
        <v>1986</v>
      </c>
      <c r="D242" s="1322" t="s">
        <v>2464</v>
      </c>
      <c r="E242" s="1357">
        <v>3</v>
      </c>
      <c r="F242" s="1333">
        <f t="shared" si="60"/>
        <v>2</v>
      </c>
      <c r="G242" s="1358">
        <f t="shared" si="61"/>
        <v>0</v>
      </c>
      <c r="H242" s="1359">
        <f t="shared" si="62"/>
        <v>0</v>
      </c>
      <c r="I242" s="1360">
        <f t="shared" si="63"/>
        <v>0.33333333333333331</v>
      </c>
      <c r="J242" s="1361">
        <v>1536400</v>
      </c>
      <c r="K242" s="1362">
        <v>323668</v>
      </c>
      <c r="L242" s="1356">
        <v>0</v>
      </c>
      <c r="M242" s="1356">
        <v>0</v>
      </c>
      <c r="N242" s="1361">
        <f t="shared" si="64"/>
        <v>1212732</v>
      </c>
      <c r="O242" s="1363">
        <v>0</v>
      </c>
      <c r="P242" s="1356">
        <v>0</v>
      </c>
      <c r="Q242" s="1364">
        <v>766446</v>
      </c>
      <c r="R242" s="1365">
        <f t="shared" si="65"/>
        <v>446286</v>
      </c>
      <c r="S242" s="1364"/>
      <c r="T242" s="1366">
        <f t="shared" si="66"/>
        <v>0</v>
      </c>
      <c r="U242" s="1367">
        <f>IF($R242-SUM($T242:T242)=0,0,IF(OR($R242&lt;=0,$R242&lt;=SUM($T242:T242)),0,IF((IF($J242=0,$O242,$J242)*$I242)&gt;=($R242-SUM($T242:T242)),($R242-SUM($T242:T242)),IF($J242=0,$O242,$J242)*$I242)))</f>
        <v>446286</v>
      </c>
      <c r="V242" s="1367">
        <f>IF($R242-SUM($T242:U242)=0,0,IF(OR($R242&lt;=0,$R242&lt;=SUM($T242:U242)),0,IF((IF($J242=0,$O242,$J242)*$I242)&gt;=($R242-SUM($T242:U242)),($R242-SUM($T242:U242)),IF($J242=0,$O242,$J242)*$I242)))</f>
        <v>0</v>
      </c>
      <c r="W242" s="1367">
        <f>IF($R242-SUM($T242:V242)=0,0,IF(OR($R242&lt;=0,$R242&lt;=SUM($T242:V242)),0,IF((IF($J242=0,$O242,$J242)*$I242)&gt;=($R242-SUM($T242:V242)),($R242-SUM($T242:V242)),IF($J242=0,$O242,$J242)*$I242)))</f>
        <v>0</v>
      </c>
      <c r="X242" s="1367">
        <f>IF($R242-SUM($T242:W242)=0,0,IF(OR($R242&lt;=0,$R242&lt;=SUM($T242:W242)),0,IF((IF($J242=0,$O242,$J242)*$I242)&gt;=($R242-SUM($T242:W242)),($R242-SUM($T242:W242)),IF($J242=0,$O242,$J242)*$I242)))</f>
        <v>0</v>
      </c>
      <c r="Y242" s="1367">
        <f>IF($R242-SUM($T242:X242)=0,0,IF(OR($R242&lt;=0,$R242&lt;=SUM($T242:X242)),0,IF((IF($J242=0,$O242,$J242)*$I242)&gt;=($R242-SUM($T242:X242)),($R242-SUM($T242:X242)),IF($J242=0,$O242,$J242)*$I242)))</f>
        <v>0</v>
      </c>
      <c r="Z242" s="1367">
        <f>IF($R242-SUM($T242:Y242)=0,0,IF(OR($R242&lt;=0,$R242&lt;=SUM($T242:Y242)),0,IF((IF($J242=0,$O242,$J242)*$I242)&gt;=($R242-SUM($T242:Y242)),($R242-SUM($T242:Y242)),IF($J242=0,$O242,$J242)*$I242)))</f>
        <v>0</v>
      </c>
      <c r="AA242" s="1367">
        <f>IF($R242-SUM($T242:Z242)=0,0,IF(OR($R242&lt;=0,$R242&lt;=SUM($T242:Z242)),0,IF((IF($J242=0,$O242,$J242)*$I242)&gt;=($R242-SUM($T242:Z242)),($R242-SUM($T242:Z242)),IF($J242=0,$O242,$J242)*$I242)))</f>
        <v>0</v>
      </c>
      <c r="AB242" s="1367">
        <f>IF($R242-SUM($T242:AA242)=0,0,IF(OR($R242&lt;=0,$R242&lt;=SUM($T242:AA242)),0,IF((IF($J242=0,$O242,$J242)*$I242)&gt;=($R242-SUM($T242:AA242)),($R242-SUM($T242:AA242)),IF($J242=0,$O242,$J242)*$I242)))</f>
        <v>0</v>
      </c>
      <c r="AC242" s="1367">
        <f>IF($R242-SUM($T242:AB242)=0,0,IF(OR($R242&lt;=0,$R242&lt;=SUM($T242:AB242)),0,IF((IF($J242=0,$O242,$J242)*$I242)&gt;=($R242-SUM($T242:AB242)),($R242-SUM($T242:AB242)),IF($J242=0,$O242,$J242)*$I242)))</f>
        <v>0</v>
      </c>
      <c r="AD242" s="1367">
        <f>IF($R242-SUM($T242:AC242)=0,0,IF(OR($R242&lt;=0,$R242&lt;=SUM($T242:AC242)),0,IF((IF($J242=0,$O242,$J242)*$I242)&gt;=($R242-SUM($T242:AC242)),($R242-SUM($T242:AC242)),IF($J242=0,$O242,$J242)*$I242)))</f>
        <v>0</v>
      </c>
      <c r="AF242" s="1319" t="b">
        <f t="shared" si="67"/>
        <v>1</v>
      </c>
      <c r="AG242" s="1319" t="str">
        <f t="shared" si="68"/>
        <v>Checked</v>
      </c>
      <c r="AH242" s="1318" t="str">
        <f t="shared" si="69"/>
        <v>Checked</v>
      </c>
    </row>
    <row r="243" spans="1:34" outlineLevel="1" x14ac:dyDescent="0.3">
      <c r="B243" s="1356" t="s">
        <v>2466</v>
      </c>
      <c r="C243" s="1356" t="s">
        <v>1986</v>
      </c>
      <c r="D243" s="1322" t="s">
        <v>2464</v>
      </c>
      <c r="E243" s="1357">
        <v>3</v>
      </c>
      <c r="F243" s="1333">
        <f t="shared" si="60"/>
        <v>2</v>
      </c>
      <c r="G243" s="1358">
        <f t="shared" si="61"/>
        <v>0</v>
      </c>
      <c r="H243" s="1359">
        <f t="shared" si="62"/>
        <v>0</v>
      </c>
      <c r="I243" s="1360">
        <f t="shared" si="63"/>
        <v>0.33333333333333331</v>
      </c>
      <c r="J243" s="1361">
        <v>1536400</v>
      </c>
      <c r="K243" s="1362">
        <v>323668</v>
      </c>
      <c r="L243" s="1356">
        <v>0</v>
      </c>
      <c r="M243" s="1356">
        <v>0</v>
      </c>
      <c r="N243" s="1361">
        <f t="shared" si="64"/>
        <v>1212732</v>
      </c>
      <c r="O243" s="1363">
        <v>0</v>
      </c>
      <c r="P243" s="1356">
        <v>0</v>
      </c>
      <c r="Q243" s="1364">
        <v>766446</v>
      </c>
      <c r="R243" s="1365">
        <f t="shared" si="65"/>
        <v>446286</v>
      </c>
      <c r="S243" s="1364"/>
      <c r="T243" s="1366">
        <f t="shared" si="66"/>
        <v>0</v>
      </c>
      <c r="U243" s="1367">
        <f>IF($R243-SUM($T243:T243)=0,0,IF(OR($R243&lt;=0,$R243&lt;=SUM($T243:T243)),0,IF((IF($J243=0,$O243,$J243)*$I243)&gt;=($R243-SUM($T243:T243)),($R243-SUM($T243:T243)),IF($J243=0,$O243,$J243)*$I243)))</f>
        <v>446286</v>
      </c>
      <c r="V243" s="1367">
        <f>IF($R243-SUM($T243:U243)=0,0,IF(OR($R243&lt;=0,$R243&lt;=SUM($T243:U243)),0,IF((IF($J243=0,$O243,$J243)*$I243)&gt;=($R243-SUM($T243:U243)),($R243-SUM($T243:U243)),IF($J243=0,$O243,$J243)*$I243)))</f>
        <v>0</v>
      </c>
      <c r="W243" s="1367">
        <f>IF($R243-SUM($T243:V243)=0,0,IF(OR($R243&lt;=0,$R243&lt;=SUM($T243:V243)),0,IF((IF($J243=0,$O243,$J243)*$I243)&gt;=($R243-SUM($T243:V243)),($R243-SUM($T243:V243)),IF($J243=0,$O243,$J243)*$I243)))</f>
        <v>0</v>
      </c>
      <c r="X243" s="1367">
        <f>IF($R243-SUM($T243:W243)=0,0,IF(OR($R243&lt;=0,$R243&lt;=SUM($T243:W243)),0,IF((IF($J243=0,$O243,$J243)*$I243)&gt;=($R243-SUM($T243:W243)),($R243-SUM($T243:W243)),IF($J243=0,$O243,$J243)*$I243)))</f>
        <v>0</v>
      </c>
      <c r="Y243" s="1367">
        <f>IF($R243-SUM($T243:X243)=0,0,IF(OR($R243&lt;=0,$R243&lt;=SUM($T243:X243)),0,IF((IF($J243=0,$O243,$J243)*$I243)&gt;=($R243-SUM($T243:X243)),($R243-SUM($T243:X243)),IF($J243=0,$O243,$J243)*$I243)))</f>
        <v>0</v>
      </c>
      <c r="Z243" s="1367">
        <f>IF($R243-SUM($T243:Y243)=0,0,IF(OR($R243&lt;=0,$R243&lt;=SUM($T243:Y243)),0,IF((IF($J243=0,$O243,$J243)*$I243)&gt;=($R243-SUM($T243:Y243)),($R243-SUM($T243:Y243)),IF($J243=0,$O243,$J243)*$I243)))</f>
        <v>0</v>
      </c>
      <c r="AA243" s="1367">
        <f>IF($R243-SUM($T243:Z243)=0,0,IF(OR($R243&lt;=0,$R243&lt;=SUM($T243:Z243)),0,IF((IF($J243=0,$O243,$J243)*$I243)&gt;=($R243-SUM($T243:Z243)),($R243-SUM($T243:Z243)),IF($J243=0,$O243,$J243)*$I243)))</f>
        <v>0</v>
      </c>
      <c r="AB243" s="1367">
        <f>IF($R243-SUM($T243:AA243)=0,0,IF(OR($R243&lt;=0,$R243&lt;=SUM($T243:AA243)),0,IF((IF($J243=0,$O243,$J243)*$I243)&gt;=($R243-SUM($T243:AA243)),($R243-SUM($T243:AA243)),IF($J243=0,$O243,$J243)*$I243)))</f>
        <v>0</v>
      </c>
      <c r="AC243" s="1367">
        <f>IF($R243-SUM($T243:AB243)=0,0,IF(OR($R243&lt;=0,$R243&lt;=SUM($T243:AB243)),0,IF((IF($J243=0,$O243,$J243)*$I243)&gt;=($R243-SUM($T243:AB243)),($R243-SUM($T243:AB243)),IF($J243=0,$O243,$J243)*$I243)))</f>
        <v>0</v>
      </c>
      <c r="AD243" s="1367">
        <f>IF($R243-SUM($T243:AC243)=0,0,IF(OR($R243&lt;=0,$R243&lt;=SUM($T243:AC243)),0,IF((IF($J243=0,$O243,$J243)*$I243)&gt;=($R243-SUM($T243:AC243)),($R243-SUM($T243:AC243)),IF($J243=0,$O243,$J243)*$I243)))</f>
        <v>0</v>
      </c>
      <c r="AF243" s="1319" t="b">
        <f t="shared" si="67"/>
        <v>1</v>
      </c>
      <c r="AG243" s="1319" t="str">
        <f t="shared" si="68"/>
        <v>Checked</v>
      </c>
      <c r="AH243" s="1318" t="str">
        <f t="shared" si="69"/>
        <v>Checked</v>
      </c>
    </row>
    <row r="244" spans="1:34" outlineLevel="1" x14ac:dyDescent="0.3">
      <c r="B244" s="1356" t="s">
        <v>2467</v>
      </c>
      <c r="C244" s="1356" t="s">
        <v>1986</v>
      </c>
      <c r="D244" s="1322" t="s">
        <v>2468</v>
      </c>
      <c r="E244" s="1357">
        <v>5</v>
      </c>
      <c r="F244" s="1333">
        <f t="shared" si="60"/>
        <v>5</v>
      </c>
      <c r="G244" s="1358">
        <f t="shared" si="61"/>
        <v>0</v>
      </c>
      <c r="H244" s="1359">
        <f t="shared" si="62"/>
        <v>0</v>
      </c>
      <c r="I244" s="1360">
        <f t="shared" si="63"/>
        <v>0.2</v>
      </c>
      <c r="J244" s="1361">
        <v>73391270</v>
      </c>
      <c r="K244" s="1362"/>
      <c r="L244" s="1356">
        <v>0</v>
      </c>
      <c r="M244" s="1356">
        <v>0</v>
      </c>
      <c r="N244" s="1361">
        <f t="shared" si="64"/>
        <v>73391270</v>
      </c>
      <c r="O244" s="1363">
        <v>0</v>
      </c>
      <c r="P244" s="1356">
        <v>0</v>
      </c>
      <c r="Q244" s="1364">
        <v>30341174</v>
      </c>
      <c r="R244" s="1365">
        <f t="shared" si="65"/>
        <v>43050096</v>
      </c>
      <c r="S244" s="1364"/>
      <c r="T244" s="1366">
        <f t="shared" si="66"/>
        <v>0</v>
      </c>
      <c r="U244" s="1367">
        <f>IF($R244-SUM($T244:T244)=0,0,IF(OR($R244&lt;=0,$R244&lt;=SUM($T244:T244)),0,IF((IF($J244=0,$O244,$J244)*$I244)&gt;=($R244-SUM($T244:T244)),($R244-SUM($T244:T244)),IF($J244=0,$O244,$J244)*$I244)))</f>
        <v>14678254</v>
      </c>
      <c r="V244" s="1367">
        <f>IF($R244-SUM($T244:U244)=0,0,IF(OR($R244&lt;=0,$R244&lt;=SUM($T244:U244)),0,IF((IF($J244=0,$O244,$J244)*$I244)&gt;=($R244-SUM($T244:U244)),($R244-SUM($T244:U244)),IF($J244=0,$O244,$J244)*$I244)))</f>
        <v>14678254</v>
      </c>
      <c r="W244" s="1367">
        <f>IF($R244-SUM($T244:V244)=0,0,IF(OR($R244&lt;=0,$R244&lt;=SUM($T244:V244)),0,IF((IF($J244=0,$O244,$J244)*$I244)&gt;=($R244-SUM($T244:V244)),($R244-SUM($T244:V244)),IF($J244=0,$O244,$J244)*$I244)))</f>
        <v>13693588</v>
      </c>
      <c r="X244" s="1367">
        <f>IF($R244-SUM($T244:W244)=0,0,IF(OR($R244&lt;=0,$R244&lt;=SUM($T244:W244)),0,IF((IF($J244=0,$O244,$J244)*$I244)&gt;=($R244-SUM($T244:W244)),($R244-SUM($T244:W244)),IF($J244=0,$O244,$J244)*$I244)))</f>
        <v>0</v>
      </c>
      <c r="Y244" s="1367">
        <f>IF($R244-SUM($T244:X244)=0,0,IF(OR($R244&lt;=0,$R244&lt;=SUM($T244:X244)),0,IF((IF($J244=0,$O244,$J244)*$I244)&gt;=($R244-SUM($T244:X244)),($R244-SUM($T244:X244)),IF($J244=0,$O244,$J244)*$I244)))</f>
        <v>0</v>
      </c>
      <c r="Z244" s="1367">
        <f>IF($R244-SUM($T244:Y244)=0,0,IF(OR($R244&lt;=0,$R244&lt;=SUM($T244:Y244)),0,IF((IF($J244=0,$O244,$J244)*$I244)&gt;=($R244-SUM($T244:Y244)),($R244-SUM($T244:Y244)),IF($J244=0,$O244,$J244)*$I244)))</f>
        <v>0</v>
      </c>
      <c r="AA244" s="1367">
        <f>IF($R244-SUM($T244:Z244)=0,0,IF(OR($R244&lt;=0,$R244&lt;=SUM($T244:Z244)),0,IF((IF($J244=0,$O244,$J244)*$I244)&gt;=($R244-SUM($T244:Z244)),($R244-SUM($T244:Z244)),IF($J244=0,$O244,$J244)*$I244)))</f>
        <v>0</v>
      </c>
      <c r="AB244" s="1367">
        <f>IF($R244-SUM($T244:AA244)=0,0,IF(OR($R244&lt;=0,$R244&lt;=SUM($T244:AA244)),0,IF((IF($J244=0,$O244,$J244)*$I244)&gt;=($R244-SUM($T244:AA244)),($R244-SUM($T244:AA244)),IF($J244=0,$O244,$J244)*$I244)))</f>
        <v>0</v>
      </c>
      <c r="AC244" s="1367">
        <f>IF($R244-SUM($T244:AB244)=0,0,IF(OR($R244&lt;=0,$R244&lt;=SUM($T244:AB244)),0,IF((IF($J244=0,$O244,$J244)*$I244)&gt;=($R244-SUM($T244:AB244)),($R244-SUM($T244:AB244)),IF($J244=0,$O244,$J244)*$I244)))</f>
        <v>0</v>
      </c>
      <c r="AD244" s="1367">
        <f>IF($R244-SUM($T244:AC244)=0,0,IF(OR($R244&lt;=0,$R244&lt;=SUM($T244:AC244)),0,IF((IF($J244=0,$O244,$J244)*$I244)&gt;=($R244-SUM($T244:AC244)),($R244-SUM($T244:AC244)),IF($J244=0,$O244,$J244)*$I244)))</f>
        <v>0</v>
      </c>
      <c r="AF244" s="1319" t="b">
        <f t="shared" si="67"/>
        <v>1</v>
      </c>
      <c r="AG244" s="1319" t="str">
        <f t="shared" si="68"/>
        <v>Checked</v>
      </c>
      <c r="AH244" s="1318" t="b">
        <f t="shared" si="69"/>
        <v>1</v>
      </c>
    </row>
    <row r="245" spans="1:34" outlineLevel="1" x14ac:dyDescent="0.3">
      <c r="B245" s="1356" t="s">
        <v>2469</v>
      </c>
      <c r="C245" s="1356" t="s">
        <v>1986</v>
      </c>
      <c r="D245" s="1322" t="s">
        <v>2470</v>
      </c>
      <c r="E245" s="1357">
        <v>5</v>
      </c>
      <c r="F245" s="1333">
        <f t="shared" si="60"/>
        <v>5</v>
      </c>
      <c r="G245" s="1358">
        <f t="shared" si="61"/>
        <v>0</v>
      </c>
      <c r="H245" s="1359">
        <f t="shared" si="62"/>
        <v>0</v>
      </c>
      <c r="I245" s="1360">
        <f t="shared" si="63"/>
        <v>0.2</v>
      </c>
      <c r="J245" s="1361">
        <v>5488633</v>
      </c>
      <c r="K245" s="1362"/>
      <c r="L245" s="1356">
        <v>0</v>
      </c>
      <c r="M245" s="1356">
        <v>0</v>
      </c>
      <c r="N245" s="1361">
        <f t="shared" si="64"/>
        <v>5488633</v>
      </c>
      <c r="O245" s="1363">
        <v>0</v>
      </c>
      <c r="P245" s="1356">
        <v>0</v>
      </c>
      <c r="Q245" s="1364">
        <v>2062811</v>
      </c>
      <c r="R245" s="1365">
        <f t="shared" si="65"/>
        <v>3425822</v>
      </c>
      <c r="S245" s="1364"/>
      <c r="T245" s="1366">
        <f t="shared" si="66"/>
        <v>0</v>
      </c>
      <c r="U245" s="1367">
        <f>IF($R245-SUM($T245:T245)=0,0,IF(OR($R245&lt;=0,$R245&lt;=SUM($T245:T245)),0,IF((IF($J245=0,$O245,$J245)*$I245)&gt;=($R245-SUM($T245:T245)),($R245-SUM($T245:T245)),IF($J245=0,$O245,$J245)*$I245)))</f>
        <v>1097726.6000000001</v>
      </c>
      <c r="V245" s="1367">
        <f>IF($R245-SUM($T245:U245)=0,0,IF(OR($R245&lt;=0,$R245&lt;=SUM($T245:U245)),0,IF((IF($J245=0,$O245,$J245)*$I245)&gt;=($R245-SUM($T245:U245)),($R245-SUM($T245:U245)),IF($J245=0,$O245,$J245)*$I245)))</f>
        <v>1097726.6000000001</v>
      </c>
      <c r="W245" s="1367">
        <f>IF($R245-SUM($T245:V245)=0,0,IF(OR($R245&lt;=0,$R245&lt;=SUM($T245:V245)),0,IF((IF($J245=0,$O245,$J245)*$I245)&gt;=($R245-SUM($T245:V245)),($R245-SUM($T245:V245)),IF($J245=0,$O245,$J245)*$I245)))</f>
        <v>1097726.6000000001</v>
      </c>
      <c r="X245" s="1367">
        <f>IF($R245-SUM($T245:W245)=0,0,IF(OR($R245&lt;=0,$R245&lt;=SUM($T245:W245)),0,IF((IF($J245=0,$O245,$J245)*$I245)&gt;=($R245-SUM($T245:W245)),($R245-SUM($T245:W245)),IF($J245=0,$O245,$J245)*$I245)))</f>
        <v>132642.19999999972</v>
      </c>
      <c r="Y245" s="1367">
        <f>IF($R245-SUM($T245:X245)=0,0,IF(OR($R245&lt;=0,$R245&lt;=SUM($T245:X245)),0,IF((IF($J245=0,$O245,$J245)*$I245)&gt;=($R245-SUM($T245:X245)),($R245-SUM($T245:X245)),IF($J245=0,$O245,$J245)*$I245)))</f>
        <v>0</v>
      </c>
      <c r="Z245" s="1367">
        <f>IF($R245-SUM($T245:Y245)=0,0,IF(OR($R245&lt;=0,$R245&lt;=SUM($T245:Y245)),0,IF((IF($J245=0,$O245,$J245)*$I245)&gt;=($R245-SUM($T245:Y245)),($R245-SUM($T245:Y245)),IF($J245=0,$O245,$J245)*$I245)))</f>
        <v>0</v>
      </c>
      <c r="AA245" s="1367">
        <f>IF($R245-SUM($T245:Z245)=0,0,IF(OR($R245&lt;=0,$R245&lt;=SUM($T245:Z245)),0,IF((IF($J245=0,$O245,$J245)*$I245)&gt;=($R245-SUM($T245:Z245)),($R245-SUM($T245:Z245)),IF($J245=0,$O245,$J245)*$I245)))</f>
        <v>0</v>
      </c>
      <c r="AB245" s="1367">
        <f>IF($R245-SUM($T245:AA245)=0,0,IF(OR($R245&lt;=0,$R245&lt;=SUM($T245:AA245)),0,IF((IF($J245=0,$O245,$J245)*$I245)&gt;=($R245-SUM($T245:AA245)),($R245-SUM($T245:AA245)),IF($J245=0,$O245,$J245)*$I245)))</f>
        <v>0</v>
      </c>
      <c r="AC245" s="1367">
        <f>IF($R245-SUM($T245:AB245)=0,0,IF(OR($R245&lt;=0,$R245&lt;=SUM($T245:AB245)),0,IF((IF($J245=0,$O245,$J245)*$I245)&gt;=($R245-SUM($T245:AB245)),($R245-SUM($T245:AB245)),IF($J245=0,$O245,$J245)*$I245)))</f>
        <v>0</v>
      </c>
      <c r="AD245" s="1367">
        <f>IF($R245-SUM($T245:AC245)=0,0,IF(OR($R245&lt;=0,$R245&lt;=SUM($T245:AC245)),0,IF((IF($J245=0,$O245,$J245)*$I245)&gt;=($R245-SUM($T245:AC245)),($R245-SUM($T245:AC245)),IF($J245=0,$O245,$J245)*$I245)))</f>
        <v>0</v>
      </c>
      <c r="AF245" s="1319" t="b">
        <f t="shared" si="67"/>
        <v>1</v>
      </c>
      <c r="AG245" s="1319" t="str">
        <f t="shared" si="68"/>
        <v>Checked</v>
      </c>
      <c r="AH245" s="1318" t="b">
        <f t="shared" si="69"/>
        <v>1</v>
      </c>
    </row>
    <row r="246" spans="1:34" outlineLevel="1" x14ac:dyDescent="0.3">
      <c r="B246" s="1356" t="s">
        <v>2471</v>
      </c>
      <c r="C246" s="1356" t="s">
        <v>1986</v>
      </c>
      <c r="D246" s="1322" t="s">
        <v>2472</v>
      </c>
      <c r="E246" s="1357">
        <v>5</v>
      </c>
      <c r="F246" s="1333">
        <f t="shared" si="60"/>
        <v>5</v>
      </c>
      <c r="G246" s="1358">
        <f t="shared" si="61"/>
        <v>0</v>
      </c>
      <c r="H246" s="1359">
        <f t="shared" si="62"/>
        <v>0</v>
      </c>
      <c r="I246" s="1360">
        <f t="shared" si="63"/>
        <v>0.2</v>
      </c>
      <c r="J246" s="1361">
        <v>9285455</v>
      </c>
      <c r="K246" s="1362"/>
      <c r="L246" s="1356">
        <v>0</v>
      </c>
      <c r="M246" s="1356">
        <v>0</v>
      </c>
      <c r="N246" s="1361">
        <f t="shared" si="64"/>
        <v>9285455</v>
      </c>
      <c r="O246" s="1363">
        <v>0</v>
      </c>
      <c r="P246" s="1356">
        <v>0</v>
      </c>
      <c r="Q246" s="1364">
        <v>3140805</v>
      </c>
      <c r="R246" s="1365">
        <f t="shared" si="65"/>
        <v>6144650</v>
      </c>
      <c r="S246" s="1364"/>
      <c r="T246" s="1366">
        <f t="shared" si="66"/>
        <v>0</v>
      </c>
      <c r="U246" s="1367">
        <f>IF($R246-SUM($T246:T246)=0,0,IF(OR($R246&lt;=0,$R246&lt;=SUM($T246:T246)),0,IF((IF($J246=0,$O246,$J246)*$I246)&gt;=($R246-SUM($T246:T246)),($R246-SUM($T246:T246)),IF($J246=0,$O246,$J246)*$I246)))</f>
        <v>1857091</v>
      </c>
      <c r="V246" s="1367">
        <f>IF($R246-SUM($T246:U246)=0,0,IF(OR($R246&lt;=0,$R246&lt;=SUM($T246:U246)),0,IF((IF($J246=0,$O246,$J246)*$I246)&gt;=($R246-SUM($T246:U246)),($R246-SUM($T246:U246)),IF($J246=0,$O246,$J246)*$I246)))</f>
        <v>1857091</v>
      </c>
      <c r="W246" s="1367">
        <f>IF($R246-SUM($T246:V246)=0,0,IF(OR($R246&lt;=0,$R246&lt;=SUM($T246:V246)),0,IF((IF($J246=0,$O246,$J246)*$I246)&gt;=($R246-SUM($T246:V246)),($R246-SUM($T246:V246)),IF($J246=0,$O246,$J246)*$I246)))</f>
        <v>1857091</v>
      </c>
      <c r="X246" s="1367">
        <f>IF($R246-SUM($T246:W246)=0,0,IF(OR($R246&lt;=0,$R246&lt;=SUM($T246:W246)),0,IF((IF($J246=0,$O246,$J246)*$I246)&gt;=($R246-SUM($T246:W246)),($R246-SUM($T246:W246)),IF($J246=0,$O246,$J246)*$I246)))</f>
        <v>573377</v>
      </c>
      <c r="Y246" s="1367">
        <f>IF($R246-SUM($T246:X246)=0,0,IF(OR($R246&lt;=0,$R246&lt;=SUM($T246:X246)),0,IF((IF($J246=0,$O246,$J246)*$I246)&gt;=($R246-SUM($T246:X246)),($R246-SUM($T246:X246)),IF($J246=0,$O246,$J246)*$I246)))</f>
        <v>0</v>
      </c>
      <c r="Z246" s="1367">
        <f>IF($R246-SUM($T246:Y246)=0,0,IF(OR($R246&lt;=0,$R246&lt;=SUM($T246:Y246)),0,IF((IF($J246=0,$O246,$J246)*$I246)&gt;=($R246-SUM($T246:Y246)),($R246-SUM($T246:Y246)),IF($J246=0,$O246,$J246)*$I246)))</f>
        <v>0</v>
      </c>
      <c r="AA246" s="1367">
        <f>IF($R246-SUM($T246:Z246)=0,0,IF(OR($R246&lt;=0,$R246&lt;=SUM($T246:Z246)),0,IF((IF($J246=0,$O246,$J246)*$I246)&gt;=($R246-SUM($T246:Z246)),($R246-SUM($T246:Z246)),IF($J246=0,$O246,$J246)*$I246)))</f>
        <v>0</v>
      </c>
      <c r="AB246" s="1367">
        <f>IF($R246-SUM($T246:AA246)=0,0,IF(OR($R246&lt;=0,$R246&lt;=SUM($T246:AA246)),0,IF((IF($J246=0,$O246,$J246)*$I246)&gt;=($R246-SUM($T246:AA246)),($R246-SUM($T246:AA246)),IF($J246=0,$O246,$J246)*$I246)))</f>
        <v>0</v>
      </c>
      <c r="AC246" s="1367">
        <f>IF($R246-SUM($T246:AB246)=0,0,IF(OR($R246&lt;=0,$R246&lt;=SUM($T246:AB246)),0,IF((IF($J246=0,$O246,$J246)*$I246)&gt;=($R246-SUM($T246:AB246)),($R246-SUM($T246:AB246)),IF($J246=0,$O246,$J246)*$I246)))</f>
        <v>0</v>
      </c>
      <c r="AD246" s="1367">
        <f>IF($R246-SUM($T246:AC246)=0,0,IF(OR($R246&lt;=0,$R246&lt;=SUM($T246:AC246)),0,IF((IF($J246=0,$O246,$J246)*$I246)&gt;=($R246-SUM($T246:AC246)),($R246-SUM($T246:AC246)),IF($J246=0,$O246,$J246)*$I246)))</f>
        <v>0</v>
      </c>
      <c r="AF246" s="1319" t="b">
        <f t="shared" si="67"/>
        <v>1</v>
      </c>
      <c r="AG246" s="1319" t="str">
        <f t="shared" si="68"/>
        <v>Checked</v>
      </c>
      <c r="AH246" s="1318" t="b">
        <f t="shared" si="69"/>
        <v>1</v>
      </c>
    </row>
    <row r="247" spans="1:34" s="1399" customFormat="1" outlineLevel="1" x14ac:dyDescent="0.3">
      <c r="A247" s="1384"/>
      <c r="B247" s="1385" t="s">
        <v>2473</v>
      </c>
      <c r="C247" s="1385" t="s">
        <v>1986</v>
      </c>
      <c r="D247" s="1386" t="s">
        <v>2474</v>
      </c>
      <c r="E247" s="1387">
        <v>5</v>
      </c>
      <c r="F247" s="1387">
        <f t="shared" si="60"/>
        <v>5</v>
      </c>
      <c r="G247" s="1388">
        <f t="shared" si="61"/>
        <v>0</v>
      </c>
      <c r="H247" s="1389">
        <f t="shared" si="62"/>
        <v>0</v>
      </c>
      <c r="I247" s="1390">
        <f t="shared" si="63"/>
        <v>0.2</v>
      </c>
      <c r="J247" s="1391">
        <v>16265449</v>
      </c>
      <c r="K247" s="1392"/>
      <c r="L247" s="1385">
        <v>0</v>
      </c>
      <c r="M247" s="1385">
        <v>0</v>
      </c>
      <c r="N247" s="1391">
        <f t="shared" si="64"/>
        <v>16265449</v>
      </c>
      <c r="O247" s="1393">
        <v>0</v>
      </c>
      <c r="P247" s="1385">
        <v>0</v>
      </c>
      <c r="Q247" s="1394">
        <v>6724407</v>
      </c>
      <c r="R247" s="1392">
        <f t="shared" si="65"/>
        <v>9541042</v>
      </c>
      <c r="S247" s="1394"/>
      <c r="T247" s="1395">
        <f t="shared" si="66"/>
        <v>0</v>
      </c>
      <c r="U247" s="1396">
        <f>IF($R247-SUM($T247:T247)=0,0,IF(OR($R247&lt;=0,$R247&lt;=SUM($T247:T247)),0,IF((IF($J247=0,$O247,$J247)*$I247)&gt;=($R247-SUM($T247:T247)),($R247-SUM($T247:T247)),IF($J247=0,$O247,$J247)*$I247)))</f>
        <v>3253089.8000000003</v>
      </c>
      <c r="V247" s="1396">
        <f>IF($R247-SUM($T247:U247)=0,0,IF(OR($R247&lt;=0,$R247&lt;=SUM($T247:U247)),0,IF((IF($J247=0,$O247,$J247)*$I247)&gt;=($R247-SUM($T247:U247)),($R247-SUM($T247:U247)),IF($J247=0,$O247,$J247)*$I247)))</f>
        <v>3253089.8000000003</v>
      </c>
      <c r="W247" s="1396">
        <f>IF($R247-SUM($T247:V247)=0,0,IF(OR($R247&lt;=0,$R247&lt;=SUM($T247:V247)),0,IF((IF($J247=0,$O247,$J247)*$I247)&gt;=($R247-SUM($T247:V247)),($R247-SUM($T247:V247)),IF($J247=0,$O247,$J247)*$I247)))</f>
        <v>3034862.3999999994</v>
      </c>
      <c r="X247" s="1396">
        <f>IF($R247-SUM($T247:W247)=0,0,IF(OR($R247&lt;=0,$R247&lt;=SUM($T247:W247)),0,IF((IF($J247=0,$O247,$J247)*$I247)&gt;=($R247-SUM($T247:W247)),($R247-SUM($T247:W247)),IF($J247=0,$O247,$J247)*$I247)))</f>
        <v>0</v>
      </c>
      <c r="Y247" s="1396">
        <f>IF($R247-SUM($T247:X247)=0,0,IF(OR($R247&lt;=0,$R247&lt;=SUM($T247:X247)),0,IF((IF($J247=0,$O247,$J247)*$I247)&gt;=($R247-SUM($T247:X247)),($R247-SUM($T247:X247)),IF($J247=0,$O247,$J247)*$I247)))</f>
        <v>0</v>
      </c>
      <c r="Z247" s="1396">
        <f>IF($R247-SUM($T247:Y247)=0,0,IF(OR($R247&lt;=0,$R247&lt;=SUM($T247:Y247)),0,IF((IF($J247=0,$O247,$J247)*$I247)&gt;=($R247-SUM($T247:Y247)),($R247-SUM($T247:Y247)),IF($J247=0,$O247,$J247)*$I247)))</f>
        <v>0</v>
      </c>
      <c r="AA247" s="1396">
        <f>IF($R247-SUM($T247:Z247)=0,0,IF(OR($R247&lt;=0,$R247&lt;=SUM($T247:Z247)),0,IF((IF($J247=0,$O247,$J247)*$I247)&gt;=($R247-SUM($T247:Z247)),($R247-SUM($T247:Z247)),IF($J247=0,$O247,$J247)*$I247)))</f>
        <v>0</v>
      </c>
      <c r="AB247" s="1396">
        <f>IF($R247-SUM($T247:AA247)=0,0,IF(OR($R247&lt;=0,$R247&lt;=SUM($T247:AA247)),0,IF((IF($J247=0,$O247,$J247)*$I247)&gt;=($R247-SUM($T247:AA247)),($R247-SUM($T247:AA247)),IF($J247=0,$O247,$J247)*$I247)))</f>
        <v>0</v>
      </c>
      <c r="AC247" s="1396">
        <f>IF($R247-SUM($T247:AB247)=0,0,IF(OR($R247&lt;=0,$R247&lt;=SUM($T247:AB247)),0,IF((IF($J247=0,$O247,$J247)*$I247)&gt;=($R247-SUM($T247:AB247)),($R247-SUM($T247:AB247)),IF($J247=0,$O247,$J247)*$I247)))</f>
        <v>0</v>
      </c>
      <c r="AD247" s="1396">
        <f>IF($R247-SUM($T247:AC247)=0,0,IF(OR($R247&lt;=0,$R247&lt;=SUM($T247:AC247)),0,IF((IF($J247=0,$O247,$J247)*$I247)&gt;=($R247-SUM($T247:AC247)),($R247-SUM($T247:AC247)),IF($J247=0,$O247,$J247)*$I247)))</f>
        <v>0</v>
      </c>
      <c r="AE247" s="1397"/>
      <c r="AF247" s="1398" t="b">
        <f t="shared" si="67"/>
        <v>1</v>
      </c>
      <c r="AG247" s="1398" t="str">
        <f t="shared" si="68"/>
        <v>Checked</v>
      </c>
      <c r="AH247" s="1399" t="b">
        <f t="shared" si="69"/>
        <v>1</v>
      </c>
    </row>
    <row r="248" spans="1:34" s="1399" customFormat="1" outlineLevel="1" x14ac:dyDescent="0.3">
      <c r="A248" s="1384"/>
      <c r="B248" s="1385"/>
      <c r="C248" s="1385"/>
      <c r="D248" s="1386"/>
      <c r="E248" s="1387"/>
      <c r="F248" s="1387"/>
      <c r="G248" s="1388"/>
      <c r="H248" s="1389"/>
      <c r="I248" s="1390"/>
      <c r="J248" s="1391"/>
      <c r="K248" s="1392"/>
      <c r="L248" s="1385"/>
      <c r="M248" s="1385"/>
      <c r="N248" s="1391"/>
      <c r="O248" s="1393"/>
      <c r="P248" s="1385"/>
      <c r="Q248" s="1394"/>
      <c r="R248" s="1392"/>
      <c r="S248" s="1394"/>
      <c r="T248" s="1395"/>
      <c r="U248" s="1396"/>
      <c r="V248" s="1396"/>
      <c r="W248" s="1396"/>
      <c r="X248" s="1396"/>
      <c r="Y248" s="1396"/>
      <c r="Z248" s="1396"/>
      <c r="AA248" s="1396"/>
      <c r="AB248" s="1396"/>
      <c r="AC248" s="1396"/>
      <c r="AD248" s="1396"/>
      <c r="AE248" s="1397"/>
      <c r="AF248" s="1398"/>
      <c r="AG248" s="1398"/>
    </row>
    <row r="249" spans="1:34" outlineLevel="1" x14ac:dyDescent="0.3">
      <c r="B249" s="1356" t="s">
        <v>2475</v>
      </c>
      <c r="C249" s="1356" t="s">
        <v>3173</v>
      </c>
      <c r="D249" s="1322" t="s">
        <v>2476</v>
      </c>
      <c r="E249" s="1357">
        <v>5</v>
      </c>
      <c r="F249" s="1333">
        <f t="shared" ref="F249:F264" si="70">MAX((E249-(YEAR($E$4)-YEAR(D249))),0)</f>
        <v>0</v>
      </c>
      <c r="G249" s="1358">
        <f t="shared" ref="G249:G264" si="71">IF(YEAR(D249)=YEAR($E$4),IF($E$2=$E$4,0,IF(D249&lt;$E$4,$E$2-$E$4,$E$2-D249)),$E$2-$E$4)</f>
        <v>0</v>
      </c>
      <c r="H249" s="1359">
        <f t="shared" ref="H249:H264" si="72">G249/365</f>
        <v>0</v>
      </c>
      <c r="I249" s="1360">
        <f t="shared" ref="I249:I264" si="73">1/E249</f>
        <v>0.2</v>
      </c>
      <c r="J249" s="1361">
        <v>4590400</v>
      </c>
      <c r="K249" s="1362">
        <v>4589400</v>
      </c>
      <c r="L249" s="1356">
        <v>0</v>
      </c>
      <c r="M249" s="1356">
        <v>0</v>
      </c>
      <c r="N249" s="1361">
        <f t="shared" ref="N249:N264" si="74">J249-K249-L249+M249</f>
        <v>1000</v>
      </c>
      <c r="O249" s="1363">
        <v>0</v>
      </c>
      <c r="P249" s="1356">
        <v>0</v>
      </c>
      <c r="Q249" s="1364"/>
      <c r="R249" s="1365">
        <f t="shared" ref="R249:R264" si="75">MAX(IF(J249=0,(O249-P249-Q249),(N249-P249-Q249)),0)</f>
        <v>1000</v>
      </c>
      <c r="S249" s="1364"/>
      <c r="T249" s="1366">
        <f t="shared" ref="T249:T264" si="76">IF(R249=0,0,MIN(IF(J249=0,O249*I249*H249,J249*I249*H249),R249))</f>
        <v>0</v>
      </c>
      <c r="U249" s="1367">
        <f>IF($R249-SUM($T249:T249)=0,0,IF(OR($R249&lt;=0,$R249&lt;=SUM($T249:T249)),0,IF((IF($J249=0,$O249,$J249)*$I249)&gt;=($R249-SUM($T249:T249)),($R249-SUM($T249:T249)),IF($J249=0,$O249,$J249)*$I249)))</f>
        <v>1000</v>
      </c>
      <c r="V249" s="1367">
        <f>IF($R249-SUM($T249:U249)=0,0,IF(OR($R249&lt;=0,$R249&lt;=SUM($T249:U249)),0,IF((IF($J249=0,$O249,$J249)*$I249)&gt;=($R249-SUM($T249:U249)),($R249-SUM($T249:U249)),IF($J249=0,$O249,$J249)*$I249)))</f>
        <v>0</v>
      </c>
      <c r="W249" s="1367">
        <f>IF($R249-SUM($T249:V249)=0,0,IF(OR($R249&lt;=0,$R249&lt;=SUM($T249:V249)),0,IF((IF($J249=0,$O249,$J249)*$I249)&gt;=($R249-SUM($T249:V249)),($R249-SUM($T249:V249)),IF($J249=0,$O249,$J249)*$I249)))</f>
        <v>0</v>
      </c>
      <c r="X249" s="1367">
        <f>IF($R249-SUM($T249:W249)=0,0,IF(OR($R249&lt;=0,$R249&lt;=SUM($T249:W249)),0,IF((IF($J249=0,$O249,$J249)*$I249)&gt;=($R249-SUM($T249:W249)),($R249-SUM($T249:W249)),IF($J249=0,$O249,$J249)*$I249)))</f>
        <v>0</v>
      </c>
      <c r="Y249" s="1367">
        <f>IF($R249-SUM($T249:X249)=0,0,IF(OR($R249&lt;=0,$R249&lt;=SUM($T249:X249)),0,IF((IF($J249=0,$O249,$J249)*$I249)&gt;=($R249-SUM($T249:X249)),($R249-SUM($T249:X249)),IF($J249=0,$O249,$J249)*$I249)))</f>
        <v>0</v>
      </c>
      <c r="Z249" s="1367">
        <f>IF($R249-SUM($T249:Y249)=0,0,IF(OR($R249&lt;=0,$R249&lt;=SUM($T249:Y249)),0,IF((IF($J249=0,$O249,$J249)*$I249)&gt;=($R249-SUM($T249:Y249)),($R249-SUM($T249:Y249)),IF($J249=0,$O249,$J249)*$I249)))</f>
        <v>0</v>
      </c>
      <c r="AA249" s="1367">
        <f>IF($R249-SUM($T249:Z249)=0,0,IF(OR($R249&lt;=0,$R249&lt;=SUM($T249:Z249)),0,IF((IF($J249=0,$O249,$J249)*$I249)&gt;=($R249-SUM($T249:Z249)),($R249-SUM($T249:Z249)),IF($J249=0,$O249,$J249)*$I249)))</f>
        <v>0</v>
      </c>
      <c r="AB249" s="1367">
        <f>IF($R249-SUM($T249:AA249)=0,0,IF(OR($R249&lt;=0,$R249&lt;=SUM($T249:AA249)),0,IF((IF($J249=0,$O249,$J249)*$I249)&gt;=($R249-SUM($T249:AA249)),($R249-SUM($T249:AA249)),IF($J249=0,$O249,$J249)*$I249)))</f>
        <v>0</v>
      </c>
      <c r="AC249" s="1367">
        <f>IF($R249-SUM($T249:AB249)=0,0,IF(OR($R249&lt;=0,$R249&lt;=SUM($T249:AB249)),0,IF((IF($J249=0,$O249,$J249)*$I249)&gt;=($R249-SUM($T249:AB249)),($R249-SUM($T249:AB249)),IF($J249=0,$O249,$J249)*$I249)))</f>
        <v>0</v>
      </c>
      <c r="AD249" s="1367">
        <f>IF($R249-SUM($T249:AC249)=0,0,IF(OR($R249&lt;=0,$R249&lt;=SUM($T249:AC249)),0,IF((IF($J249=0,$O249,$J249)*$I249)&gt;=($R249-SUM($T249:AC249)),($R249-SUM($T249:AC249)),IF($J249=0,$O249,$J249)*$I249)))</f>
        <v>0</v>
      </c>
      <c r="AF249" s="1319" t="b">
        <f t="shared" ref="AF249:AF264" si="77">IF(AD249=0,SUM(T249:AD249)=R249,"Check")</f>
        <v>1</v>
      </c>
      <c r="AG249" s="1319" t="str">
        <f t="shared" ref="AG249:AG264" si="78">IF(R249=0,SUM(T249:AD249)=0,"Checked")</f>
        <v>Checked</v>
      </c>
      <c r="AH249" s="1318" t="str">
        <f t="shared" ref="AH249:AH264" si="79">IF((R249-T249)&gt;U249,IF(J249=0,O249,J249)*I249=U249,"Checked")</f>
        <v>Checked</v>
      </c>
    </row>
    <row r="250" spans="1:34" outlineLevel="1" x14ac:dyDescent="0.3">
      <c r="B250" s="1356" t="s">
        <v>2477</v>
      </c>
      <c r="C250" s="1356" t="s">
        <v>3173</v>
      </c>
      <c r="D250" s="1322" t="s">
        <v>2478</v>
      </c>
      <c r="E250" s="1357">
        <v>5</v>
      </c>
      <c r="F250" s="1333">
        <f t="shared" si="70"/>
        <v>0</v>
      </c>
      <c r="G250" s="1358">
        <f t="shared" si="71"/>
        <v>0</v>
      </c>
      <c r="H250" s="1359">
        <f t="shared" si="72"/>
        <v>0</v>
      </c>
      <c r="I250" s="1360">
        <f t="shared" si="73"/>
        <v>0.2</v>
      </c>
      <c r="J250" s="1361">
        <v>1200000</v>
      </c>
      <c r="K250" s="1362">
        <v>1199000</v>
      </c>
      <c r="L250" s="1356">
        <v>0</v>
      </c>
      <c r="M250" s="1356">
        <v>0</v>
      </c>
      <c r="N250" s="1361">
        <f t="shared" si="74"/>
        <v>1000</v>
      </c>
      <c r="O250" s="1363">
        <v>0</v>
      </c>
      <c r="P250" s="1356">
        <v>0</v>
      </c>
      <c r="Q250" s="1364"/>
      <c r="R250" s="1365">
        <f t="shared" si="75"/>
        <v>1000</v>
      </c>
      <c r="S250" s="1364"/>
      <c r="T250" s="1366">
        <f t="shared" si="76"/>
        <v>0</v>
      </c>
      <c r="U250" s="1367">
        <f>IF($R250-SUM($T250:T250)=0,0,IF(OR($R250&lt;=0,$R250&lt;=SUM($T250:T250)),0,IF((IF($J250=0,$O250,$J250)*$I250)&gt;=($R250-SUM($T250:T250)),($R250-SUM($T250:T250)),IF($J250=0,$O250,$J250)*$I250)))</f>
        <v>1000</v>
      </c>
      <c r="V250" s="1367">
        <f>IF($R250-SUM($T250:U250)=0,0,IF(OR($R250&lt;=0,$R250&lt;=SUM($T250:U250)),0,IF((IF($J250=0,$O250,$J250)*$I250)&gt;=($R250-SUM($T250:U250)),($R250-SUM($T250:U250)),IF($J250=0,$O250,$J250)*$I250)))</f>
        <v>0</v>
      </c>
      <c r="W250" s="1367">
        <f>IF($R250-SUM($T250:V250)=0,0,IF(OR($R250&lt;=0,$R250&lt;=SUM($T250:V250)),0,IF((IF($J250=0,$O250,$J250)*$I250)&gt;=($R250-SUM($T250:V250)),($R250-SUM($T250:V250)),IF($J250=0,$O250,$J250)*$I250)))</f>
        <v>0</v>
      </c>
      <c r="X250" s="1367">
        <f>IF($R250-SUM($T250:W250)=0,0,IF(OR($R250&lt;=0,$R250&lt;=SUM($T250:W250)),0,IF((IF($J250=0,$O250,$J250)*$I250)&gt;=($R250-SUM($T250:W250)),($R250-SUM($T250:W250)),IF($J250=0,$O250,$J250)*$I250)))</f>
        <v>0</v>
      </c>
      <c r="Y250" s="1367">
        <f>IF($R250-SUM($T250:X250)=0,0,IF(OR($R250&lt;=0,$R250&lt;=SUM($T250:X250)),0,IF((IF($J250=0,$O250,$J250)*$I250)&gt;=($R250-SUM($T250:X250)),($R250-SUM($T250:X250)),IF($J250=0,$O250,$J250)*$I250)))</f>
        <v>0</v>
      </c>
      <c r="Z250" s="1367">
        <f>IF($R250-SUM($T250:Y250)=0,0,IF(OR($R250&lt;=0,$R250&lt;=SUM($T250:Y250)),0,IF((IF($J250=0,$O250,$J250)*$I250)&gt;=($R250-SUM($T250:Y250)),($R250-SUM($T250:Y250)),IF($J250=0,$O250,$J250)*$I250)))</f>
        <v>0</v>
      </c>
      <c r="AA250" s="1367">
        <f>IF($R250-SUM($T250:Z250)=0,0,IF(OR($R250&lt;=0,$R250&lt;=SUM($T250:Z250)),0,IF((IF($J250=0,$O250,$J250)*$I250)&gt;=($R250-SUM($T250:Z250)),($R250-SUM($T250:Z250)),IF($J250=0,$O250,$J250)*$I250)))</f>
        <v>0</v>
      </c>
      <c r="AB250" s="1367">
        <f>IF($R250-SUM($T250:AA250)=0,0,IF(OR($R250&lt;=0,$R250&lt;=SUM($T250:AA250)),0,IF((IF($J250=0,$O250,$J250)*$I250)&gt;=($R250-SUM($T250:AA250)),($R250-SUM($T250:AA250)),IF($J250=0,$O250,$J250)*$I250)))</f>
        <v>0</v>
      </c>
      <c r="AC250" s="1367">
        <f>IF($R250-SUM($T250:AB250)=0,0,IF(OR($R250&lt;=0,$R250&lt;=SUM($T250:AB250)),0,IF((IF($J250=0,$O250,$J250)*$I250)&gt;=($R250-SUM($T250:AB250)),($R250-SUM($T250:AB250)),IF($J250=0,$O250,$J250)*$I250)))</f>
        <v>0</v>
      </c>
      <c r="AD250" s="1367">
        <f>IF($R250-SUM($T250:AC250)=0,0,IF(OR($R250&lt;=0,$R250&lt;=SUM($T250:AC250)),0,IF((IF($J250=0,$O250,$J250)*$I250)&gt;=($R250-SUM($T250:AC250)),($R250-SUM($T250:AC250)),IF($J250=0,$O250,$J250)*$I250)))</f>
        <v>0</v>
      </c>
      <c r="AF250" s="1319" t="b">
        <f t="shared" si="77"/>
        <v>1</v>
      </c>
      <c r="AG250" s="1319" t="str">
        <f t="shared" si="78"/>
        <v>Checked</v>
      </c>
      <c r="AH250" s="1318" t="str">
        <f t="shared" si="79"/>
        <v>Checked</v>
      </c>
    </row>
    <row r="251" spans="1:34" outlineLevel="1" x14ac:dyDescent="0.3">
      <c r="B251" s="1356" t="s">
        <v>2479</v>
      </c>
      <c r="C251" s="1356" t="s">
        <v>3173</v>
      </c>
      <c r="D251" s="1322" t="s">
        <v>2480</v>
      </c>
      <c r="E251" s="1357">
        <v>5</v>
      </c>
      <c r="F251" s="1333">
        <f t="shared" si="70"/>
        <v>0</v>
      </c>
      <c r="G251" s="1358">
        <f t="shared" si="71"/>
        <v>0</v>
      </c>
      <c r="H251" s="1359">
        <f t="shared" si="72"/>
        <v>0</v>
      </c>
      <c r="I251" s="1360">
        <f t="shared" si="73"/>
        <v>0.2</v>
      </c>
      <c r="J251" s="1361">
        <v>5454546</v>
      </c>
      <c r="K251" s="1362">
        <v>5453546</v>
      </c>
      <c r="L251" s="1356">
        <v>0</v>
      </c>
      <c r="M251" s="1356">
        <v>0</v>
      </c>
      <c r="N251" s="1361">
        <f t="shared" si="74"/>
        <v>1000</v>
      </c>
      <c r="O251" s="1363">
        <v>0</v>
      </c>
      <c r="P251" s="1356">
        <v>0</v>
      </c>
      <c r="Q251" s="1364"/>
      <c r="R251" s="1365">
        <f t="shared" si="75"/>
        <v>1000</v>
      </c>
      <c r="S251" s="1364"/>
      <c r="T251" s="1366">
        <f t="shared" si="76"/>
        <v>0</v>
      </c>
      <c r="U251" s="1367">
        <f>IF($R251-SUM($T251:T251)=0,0,IF(OR($R251&lt;=0,$R251&lt;=SUM($T251:T251)),0,IF((IF($J251=0,$O251,$J251)*$I251)&gt;=($R251-SUM($T251:T251)),($R251-SUM($T251:T251)),IF($J251=0,$O251,$J251)*$I251)))</f>
        <v>1000</v>
      </c>
      <c r="V251" s="1367">
        <f>IF($R251-SUM($T251:U251)=0,0,IF(OR($R251&lt;=0,$R251&lt;=SUM($T251:U251)),0,IF((IF($J251=0,$O251,$J251)*$I251)&gt;=($R251-SUM($T251:U251)),($R251-SUM($T251:U251)),IF($J251=0,$O251,$J251)*$I251)))</f>
        <v>0</v>
      </c>
      <c r="W251" s="1367">
        <f>IF($R251-SUM($T251:V251)=0,0,IF(OR($R251&lt;=0,$R251&lt;=SUM($T251:V251)),0,IF((IF($J251=0,$O251,$J251)*$I251)&gt;=($R251-SUM($T251:V251)),($R251-SUM($T251:V251)),IF($J251=0,$O251,$J251)*$I251)))</f>
        <v>0</v>
      </c>
      <c r="X251" s="1367">
        <f>IF($R251-SUM($T251:W251)=0,0,IF(OR($R251&lt;=0,$R251&lt;=SUM($T251:W251)),0,IF((IF($J251=0,$O251,$J251)*$I251)&gt;=($R251-SUM($T251:W251)),($R251-SUM($T251:W251)),IF($J251=0,$O251,$J251)*$I251)))</f>
        <v>0</v>
      </c>
      <c r="Y251" s="1367">
        <f>IF($R251-SUM($T251:X251)=0,0,IF(OR($R251&lt;=0,$R251&lt;=SUM($T251:X251)),0,IF((IF($J251=0,$O251,$J251)*$I251)&gt;=($R251-SUM($T251:X251)),($R251-SUM($T251:X251)),IF($J251=0,$O251,$J251)*$I251)))</f>
        <v>0</v>
      </c>
      <c r="Z251" s="1367">
        <f>IF($R251-SUM($T251:Y251)=0,0,IF(OR($R251&lt;=0,$R251&lt;=SUM($T251:Y251)),0,IF((IF($J251=0,$O251,$J251)*$I251)&gt;=($R251-SUM($T251:Y251)),($R251-SUM($T251:Y251)),IF($J251=0,$O251,$J251)*$I251)))</f>
        <v>0</v>
      </c>
      <c r="AA251" s="1367">
        <f>IF($R251-SUM($T251:Z251)=0,0,IF(OR($R251&lt;=0,$R251&lt;=SUM($T251:Z251)),0,IF((IF($J251=0,$O251,$J251)*$I251)&gt;=($R251-SUM($T251:Z251)),($R251-SUM($T251:Z251)),IF($J251=0,$O251,$J251)*$I251)))</f>
        <v>0</v>
      </c>
      <c r="AB251" s="1367">
        <f>IF($R251-SUM($T251:AA251)=0,0,IF(OR($R251&lt;=0,$R251&lt;=SUM($T251:AA251)),0,IF((IF($J251=0,$O251,$J251)*$I251)&gt;=($R251-SUM($T251:AA251)),($R251-SUM($T251:AA251)),IF($J251=0,$O251,$J251)*$I251)))</f>
        <v>0</v>
      </c>
      <c r="AC251" s="1367">
        <f>IF($R251-SUM($T251:AB251)=0,0,IF(OR($R251&lt;=0,$R251&lt;=SUM($T251:AB251)),0,IF((IF($J251=0,$O251,$J251)*$I251)&gt;=($R251-SUM($T251:AB251)),($R251-SUM($T251:AB251)),IF($J251=0,$O251,$J251)*$I251)))</f>
        <v>0</v>
      </c>
      <c r="AD251" s="1367">
        <f>IF($R251-SUM($T251:AC251)=0,0,IF(OR($R251&lt;=0,$R251&lt;=SUM($T251:AC251)),0,IF((IF($J251=0,$O251,$J251)*$I251)&gt;=($R251-SUM($T251:AC251)),($R251-SUM($T251:AC251)),IF($J251=0,$O251,$J251)*$I251)))</f>
        <v>0</v>
      </c>
      <c r="AF251" s="1319" t="b">
        <f t="shared" si="77"/>
        <v>1</v>
      </c>
      <c r="AG251" s="1319" t="str">
        <f t="shared" si="78"/>
        <v>Checked</v>
      </c>
      <c r="AH251" s="1318" t="str">
        <f t="shared" si="79"/>
        <v>Checked</v>
      </c>
    </row>
    <row r="252" spans="1:34" outlineLevel="1" x14ac:dyDescent="0.3">
      <c r="B252" s="1356" t="s">
        <v>2481</v>
      </c>
      <c r="C252" s="1356" t="s">
        <v>3173</v>
      </c>
      <c r="D252" s="1322" t="s">
        <v>2482</v>
      </c>
      <c r="E252" s="1357">
        <v>5</v>
      </c>
      <c r="F252" s="1333">
        <f t="shared" si="70"/>
        <v>0</v>
      </c>
      <c r="G252" s="1358">
        <f t="shared" si="71"/>
        <v>0</v>
      </c>
      <c r="H252" s="1359">
        <f t="shared" si="72"/>
        <v>0</v>
      </c>
      <c r="I252" s="1360">
        <f t="shared" si="73"/>
        <v>0.2</v>
      </c>
      <c r="J252" s="1361">
        <v>30000000</v>
      </c>
      <c r="K252" s="1362">
        <v>29999000</v>
      </c>
      <c r="L252" s="1356">
        <v>0</v>
      </c>
      <c r="M252" s="1356">
        <v>0</v>
      </c>
      <c r="N252" s="1361">
        <f t="shared" si="74"/>
        <v>1000</v>
      </c>
      <c r="O252" s="1363">
        <v>0</v>
      </c>
      <c r="P252" s="1356">
        <v>0</v>
      </c>
      <c r="Q252" s="1364"/>
      <c r="R252" s="1365">
        <f t="shared" si="75"/>
        <v>1000</v>
      </c>
      <c r="S252" s="1364"/>
      <c r="T252" s="1366">
        <f t="shared" si="76"/>
        <v>0</v>
      </c>
      <c r="U252" s="1367">
        <f>IF($R252-SUM($T252:T252)=0,0,IF(OR($R252&lt;=0,$R252&lt;=SUM($T252:T252)),0,IF((IF($J252=0,$O252,$J252)*$I252)&gt;=($R252-SUM($T252:T252)),($R252-SUM($T252:T252)),IF($J252=0,$O252,$J252)*$I252)))</f>
        <v>1000</v>
      </c>
      <c r="V252" s="1367">
        <f>IF($R252-SUM($T252:U252)=0,0,IF(OR($R252&lt;=0,$R252&lt;=SUM($T252:U252)),0,IF((IF($J252=0,$O252,$J252)*$I252)&gt;=($R252-SUM($T252:U252)),($R252-SUM($T252:U252)),IF($J252=0,$O252,$J252)*$I252)))</f>
        <v>0</v>
      </c>
      <c r="W252" s="1367">
        <f>IF($R252-SUM($T252:V252)=0,0,IF(OR($R252&lt;=0,$R252&lt;=SUM($T252:V252)),0,IF((IF($J252=0,$O252,$J252)*$I252)&gt;=($R252-SUM($T252:V252)),($R252-SUM($T252:V252)),IF($J252=0,$O252,$J252)*$I252)))</f>
        <v>0</v>
      </c>
      <c r="X252" s="1367">
        <f>IF($R252-SUM($T252:W252)=0,0,IF(OR($R252&lt;=0,$R252&lt;=SUM($T252:W252)),0,IF((IF($J252=0,$O252,$J252)*$I252)&gt;=($R252-SUM($T252:W252)),($R252-SUM($T252:W252)),IF($J252=0,$O252,$J252)*$I252)))</f>
        <v>0</v>
      </c>
      <c r="Y252" s="1367">
        <f>IF($R252-SUM($T252:X252)=0,0,IF(OR($R252&lt;=0,$R252&lt;=SUM($T252:X252)),0,IF((IF($J252=0,$O252,$J252)*$I252)&gt;=($R252-SUM($T252:X252)),($R252-SUM($T252:X252)),IF($J252=0,$O252,$J252)*$I252)))</f>
        <v>0</v>
      </c>
      <c r="Z252" s="1367">
        <f>IF($R252-SUM($T252:Y252)=0,0,IF(OR($R252&lt;=0,$R252&lt;=SUM($T252:Y252)),0,IF((IF($J252=0,$O252,$J252)*$I252)&gt;=($R252-SUM($T252:Y252)),($R252-SUM($T252:Y252)),IF($J252=0,$O252,$J252)*$I252)))</f>
        <v>0</v>
      </c>
      <c r="AA252" s="1367">
        <f>IF($R252-SUM($T252:Z252)=0,0,IF(OR($R252&lt;=0,$R252&lt;=SUM($T252:Z252)),0,IF((IF($J252=0,$O252,$J252)*$I252)&gt;=($R252-SUM($T252:Z252)),($R252-SUM($T252:Z252)),IF($J252=0,$O252,$J252)*$I252)))</f>
        <v>0</v>
      </c>
      <c r="AB252" s="1367">
        <f>IF($R252-SUM($T252:AA252)=0,0,IF(OR($R252&lt;=0,$R252&lt;=SUM($T252:AA252)),0,IF((IF($J252=0,$O252,$J252)*$I252)&gt;=($R252-SUM($T252:AA252)),($R252-SUM($T252:AA252)),IF($J252=0,$O252,$J252)*$I252)))</f>
        <v>0</v>
      </c>
      <c r="AC252" s="1367">
        <f>IF($R252-SUM($T252:AB252)=0,0,IF(OR($R252&lt;=0,$R252&lt;=SUM($T252:AB252)),0,IF((IF($J252=0,$O252,$J252)*$I252)&gt;=($R252-SUM($T252:AB252)),($R252-SUM($T252:AB252)),IF($J252=0,$O252,$J252)*$I252)))</f>
        <v>0</v>
      </c>
      <c r="AD252" s="1367">
        <f>IF($R252-SUM($T252:AC252)=0,0,IF(OR($R252&lt;=0,$R252&lt;=SUM($T252:AC252)),0,IF((IF($J252=0,$O252,$J252)*$I252)&gt;=($R252-SUM($T252:AC252)),($R252-SUM($T252:AC252)),IF($J252=0,$O252,$J252)*$I252)))</f>
        <v>0</v>
      </c>
      <c r="AF252" s="1319" t="b">
        <f t="shared" si="77"/>
        <v>1</v>
      </c>
      <c r="AG252" s="1319" t="str">
        <f t="shared" si="78"/>
        <v>Checked</v>
      </c>
      <c r="AH252" s="1318" t="str">
        <f t="shared" si="79"/>
        <v>Checked</v>
      </c>
    </row>
    <row r="253" spans="1:34" outlineLevel="1" x14ac:dyDescent="0.3">
      <c r="B253" s="1356" t="s">
        <v>2483</v>
      </c>
      <c r="C253" s="1356" t="s">
        <v>3173</v>
      </c>
      <c r="D253" s="1322" t="s">
        <v>2484</v>
      </c>
      <c r="E253" s="1357">
        <v>5</v>
      </c>
      <c r="F253" s="1333">
        <f t="shared" si="70"/>
        <v>0</v>
      </c>
      <c r="G253" s="1358">
        <f t="shared" si="71"/>
        <v>0</v>
      </c>
      <c r="H253" s="1359">
        <f t="shared" si="72"/>
        <v>0</v>
      </c>
      <c r="I253" s="1360">
        <f t="shared" si="73"/>
        <v>0.2</v>
      </c>
      <c r="J253" s="1361">
        <v>31000000</v>
      </c>
      <c r="K253" s="1362">
        <v>30999000</v>
      </c>
      <c r="L253" s="1356">
        <v>0</v>
      </c>
      <c r="M253" s="1356">
        <v>0</v>
      </c>
      <c r="N253" s="1361">
        <f t="shared" si="74"/>
        <v>1000</v>
      </c>
      <c r="O253" s="1363">
        <v>0</v>
      </c>
      <c r="P253" s="1356">
        <v>0</v>
      </c>
      <c r="Q253" s="1364"/>
      <c r="R253" s="1365">
        <f t="shared" si="75"/>
        <v>1000</v>
      </c>
      <c r="S253" s="1364"/>
      <c r="T253" s="1366">
        <f t="shared" si="76"/>
        <v>0</v>
      </c>
      <c r="U253" s="1367">
        <f>IF($R253-SUM($T253:T253)=0,0,IF(OR($R253&lt;=0,$R253&lt;=SUM($T253:T253)),0,IF((IF($J253=0,$O253,$J253)*$I253)&gt;=($R253-SUM($T253:T253)),($R253-SUM($T253:T253)),IF($J253=0,$O253,$J253)*$I253)))</f>
        <v>1000</v>
      </c>
      <c r="V253" s="1367">
        <f>IF($R253-SUM($T253:U253)=0,0,IF(OR($R253&lt;=0,$R253&lt;=SUM($T253:U253)),0,IF((IF($J253=0,$O253,$J253)*$I253)&gt;=($R253-SUM($T253:U253)),($R253-SUM($T253:U253)),IF($J253=0,$O253,$J253)*$I253)))</f>
        <v>0</v>
      </c>
      <c r="W253" s="1367">
        <f>IF($R253-SUM($T253:V253)=0,0,IF(OR($R253&lt;=0,$R253&lt;=SUM($T253:V253)),0,IF((IF($J253=0,$O253,$J253)*$I253)&gt;=($R253-SUM($T253:V253)),($R253-SUM($T253:V253)),IF($J253=0,$O253,$J253)*$I253)))</f>
        <v>0</v>
      </c>
      <c r="X253" s="1367">
        <f>IF($R253-SUM($T253:W253)=0,0,IF(OR($R253&lt;=0,$R253&lt;=SUM($T253:W253)),0,IF((IF($J253=0,$O253,$J253)*$I253)&gt;=($R253-SUM($T253:W253)),($R253-SUM($T253:W253)),IF($J253=0,$O253,$J253)*$I253)))</f>
        <v>0</v>
      </c>
      <c r="Y253" s="1367">
        <f>IF($R253-SUM($T253:X253)=0,0,IF(OR($R253&lt;=0,$R253&lt;=SUM($T253:X253)),0,IF((IF($J253=0,$O253,$J253)*$I253)&gt;=($R253-SUM($T253:X253)),($R253-SUM($T253:X253)),IF($J253=0,$O253,$J253)*$I253)))</f>
        <v>0</v>
      </c>
      <c r="Z253" s="1367">
        <f>IF($R253-SUM($T253:Y253)=0,0,IF(OR($R253&lt;=0,$R253&lt;=SUM($T253:Y253)),0,IF((IF($J253=0,$O253,$J253)*$I253)&gt;=($R253-SUM($T253:Y253)),($R253-SUM($T253:Y253)),IF($J253=0,$O253,$J253)*$I253)))</f>
        <v>0</v>
      </c>
      <c r="AA253" s="1367">
        <f>IF($R253-SUM($T253:Z253)=0,0,IF(OR($R253&lt;=0,$R253&lt;=SUM($T253:Z253)),0,IF((IF($J253=0,$O253,$J253)*$I253)&gt;=($R253-SUM($T253:Z253)),($R253-SUM($T253:Z253)),IF($J253=0,$O253,$J253)*$I253)))</f>
        <v>0</v>
      </c>
      <c r="AB253" s="1367">
        <f>IF($R253-SUM($T253:AA253)=0,0,IF(OR($R253&lt;=0,$R253&lt;=SUM($T253:AA253)),0,IF((IF($J253=0,$O253,$J253)*$I253)&gt;=($R253-SUM($T253:AA253)),($R253-SUM($T253:AA253)),IF($J253=0,$O253,$J253)*$I253)))</f>
        <v>0</v>
      </c>
      <c r="AC253" s="1367">
        <f>IF($R253-SUM($T253:AB253)=0,0,IF(OR($R253&lt;=0,$R253&lt;=SUM($T253:AB253)),0,IF((IF($J253=0,$O253,$J253)*$I253)&gt;=($R253-SUM($T253:AB253)),($R253-SUM($T253:AB253)),IF($J253=0,$O253,$J253)*$I253)))</f>
        <v>0</v>
      </c>
      <c r="AD253" s="1367">
        <f>IF($R253-SUM($T253:AC253)=0,0,IF(OR($R253&lt;=0,$R253&lt;=SUM($T253:AC253)),0,IF((IF($J253=0,$O253,$J253)*$I253)&gt;=($R253-SUM($T253:AC253)),($R253-SUM($T253:AC253)),IF($J253=0,$O253,$J253)*$I253)))</f>
        <v>0</v>
      </c>
      <c r="AF253" s="1319" t="b">
        <f t="shared" si="77"/>
        <v>1</v>
      </c>
      <c r="AG253" s="1319" t="str">
        <f t="shared" si="78"/>
        <v>Checked</v>
      </c>
      <c r="AH253" s="1318" t="str">
        <f t="shared" si="79"/>
        <v>Checked</v>
      </c>
    </row>
    <row r="254" spans="1:34" outlineLevel="1" x14ac:dyDescent="0.3">
      <c r="B254" s="1356" t="s">
        <v>2485</v>
      </c>
      <c r="C254" s="1356" t="s">
        <v>3173</v>
      </c>
      <c r="D254" s="1322" t="s">
        <v>2486</v>
      </c>
      <c r="E254" s="1357">
        <v>5</v>
      </c>
      <c r="F254" s="1333">
        <f t="shared" si="70"/>
        <v>0</v>
      </c>
      <c r="G254" s="1358">
        <f t="shared" si="71"/>
        <v>0</v>
      </c>
      <c r="H254" s="1359">
        <f t="shared" si="72"/>
        <v>0</v>
      </c>
      <c r="I254" s="1360">
        <f t="shared" si="73"/>
        <v>0.2</v>
      </c>
      <c r="J254" s="1361">
        <v>7875408</v>
      </c>
      <c r="K254" s="1362">
        <v>7874408</v>
      </c>
      <c r="L254" s="1356">
        <v>0</v>
      </c>
      <c r="M254" s="1356">
        <v>0</v>
      </c>
      <c r="N254" s="1361">
        <f t="shared" si="74"/>
        <v>1000</v>
      </c>
      <c r="O254" s="1363">
        <v>0</v>
      </c>
      <c r="P254" s="1356">
        <v>0</v>
      </c>
      <c r="Q254" s="1364"/>
      <c r="R254" s="1365">
        <f t="shared" si="75"/>
        <v>1000</v>
      </c>
      <c r="S254" s="1364"/>
      <c r="T254" s="1366">
        <f t="shared" si="76"/>
        <v>0</v>
      </c>
      <c r="U254" s="1367">
        <f>IF($R254-SUM($T254:T254)=0,0,IF(OR($R254&lt;=0,$R254&lt;=SUM($T254:T254)),0,IF((IF($J254=0,$O254,$J254)*$I254)&gt;=($R254-SUM($T254:T254)),($R254-SUM($T254:T254)),IF($J254=0,$O254,$J254)*$I254)))</f>
        <v>1000</v>
      </c>
      <c r="V254" s="1367">
        <f>IF($R254-SUM($T254:U254)=0,0,IF(OR($R254&lt;=0,$R254&lt;=SUM($T254:U254)),0,IF((IF($J254=0,$O254,$J254)*$I254)&gt;=($R254-SUM($T254:U254)),($R254-SUM($T254:U254)),IF($J254=0,$O254,$J254)*$I254)))</f>
        <v>0</v>
      </c>
      <c r="W254" s="1367">
        <f>IF($R254-SUM($T254:V254)=0,0,IF(OR($R254&lt;=0,$R254&lt;=SUM($T254:V254)),0,IF((IF($J254=0,$O254,$J254)*$I254)&gt;=($R254-SUM($T254:V254)),($R254-SUM($T254:V254)),IF($J254=0,$O254,$J254)*$I254)))</f>
        <v>0</v>
      </c>
      <c r="X254" s="1367">
        <f>IF($R254-SUM($T254:W254)=0,0,IF(OR($R254&lt;=0,$R254&lt;=SUM($T254:W254)),0,IF((IF($J254=0,$O254,$J254)*$I254)&gt;=($R254-SUM($T254:W254)),($R254-SUM($T254:W254)),IF($J254=0,$O254,$J254)*$I254)))</f>
        <v>0</v>
      </c>
      <c r="Y254" s="1367">
        <f>IF($R254-SUM($T254:X254)=0,0,IF(OR($R254&lt;=0,$R254&lt;=SUM($T254:X254)),0,IF((IF($J254=0,$O254,$J254)*$I254)&gt;=($R254-SUM($T254:X254)),($R254-SUM($T254:X254)),IF($J254=0,$O254,$J254)*$I254)))</f>
        <v>0</v>
      </c>
      <c r="Z254" s="1367">
        <f>IF($R254-SUM($T254:Y254)=0,0,IF(OR($R254&lt;=0,$R254&lt;=SUM($T254:Y254)),0,IF((IF($J254=0,$O254,$J254)*$I254)&gt;=($R254-SUM($T254:Y254)),($R254-SUM($T254:Y254)),IF($J254=0,$O254,$J254)*$I254)))</f>
        <v>0</v>
      </c>
      <c r="AA254" s="1367">
        <f>IF($R254-SUM($T254:Z254)=0,0,IF(OR($R254&lt;=0,$R254&lt;=SUM($T254:Z254)),0,IF((IF($J254=0,$O254,$J254)*$I254)&gt;=($R254-SUM($T254:Z254)),($R254-SUM($T254:Z254)),IF($J254=0,$O254,$J254)*$I254)))</f>
        <v>0</v>
      </c>
      <c r="AB254" s="1367">
        <f>IF($R254-SUM($T254:AA254)=0,0,IF(OR($R254&lt;=0,$R254&lt;=SUM($T254:AA254)),0,IF((IF($J254=0,$O254,$J254)*$I254)&gt;=($R254-SUM($T254:AA254)),($R254-SUM($T254:AA254)),IF($J254=0,$O254,$J254)*$I254)))</f>
        <v>0</v>
      </c>
      <c r="AC254" s="1367">
        <f>IF($R254-SUM($T254:AB254)=0,0,IF(OR($R254&lt;=0,$R254&lt;=SUM($T254:AB254)),0,IF((IF($J254=0,$O254,$J254)*$I254)&gt;=($R254-SUM($T254:AB254)),($R254-SUM($T254:AB254)),IF($J254=0,$O254,$J254)*$I254)))</f>
        <v>0</v>
      </c>
      <c r="AD254" s="1367">
        <f>IF($R254-SUM($T254:AC254)=0,0,IF(OR($R254&lt;=0,$R254&lt;=SUM($T254:AC254)),0,IF((IF($J254=0,$O254,$J254)*$I254)&gt;=($R254-SUM($T254:AC254)),($R254-SUM($T254:AC254)),IF($J254=0,$O254,$J254)*$I254)))</f>
        <v>0</v>
      </c>
      <c r="AF254" s="1319" t="b">
        <f t="shared" si="77"/>
        <v>1</v>
      </c>
      <c r="AG254" s="1319" t="str">
        <f t="shared" si="78"/>
        <v>Checked</v>
      </c>
      <c r="AH254" s="1318" t="str">
        <f t="shared" si="79"/>
        <v>Checked</v>
      </c>
    </row>
    <row r="255" spans="1:34" outlineLevel="1" x14ac:dyDescent="0.3">
      <c r="B255" s="1356" t="s">
        <v>2487</v>
      </c>
      <c r="C255" s="1356" t="s">
        <v>3173</v>
      </c>
      <c r="D255" s="1322" t="s">
        <v>2488</v>
      </c>
      <c r="E255" s="1357">
        <v>5</v>
      </c>
      <c r="F255" s="1333">
        <f t="shared" si="70"/>
        <v>0</v>
      </c>
      <c r="G255" s="1358">
        <f t="shared" si="71"/>
        <v>0</v>
      </c>
      <c r="H255" s="1359">
        <f t="shared" si="72"/>
        <v>0</v>
      </c>
      <c r="I255" s="1360">
        <f t="shared" si="73"/>
        <v>0.2</v>
      </c>
      <c r="J255" s="1361">
        <v>12218070</v>
      </c>
      <c r="K255" s="1362">
        <v>12217070</v>
      </c>
      <c r="L255" s="1356">
        <v>0</v>
      </c>
      <c r="M255" s="1356">
        <v>0</v>
      </c>
      <c r="N255" s="1361">
        <f t="shared" si="74"/>
        <v>1000</v>
      </c>
      <c r="O255" s="1363">
        <v>0</v>
      </c>
      <c r="P255" s="1356">
        <v>0</v>
      </c>
      <c r="Q255" s="1364"/>
      <c r="R255" s="1365">
        <f t="shared" si="75"/>
        <v>1000</v>
      </c>
      <c r="S255" s="1364"/>
      <c r="T255" s="1366">
        <f t="shared" si="76"/>
        <v>0</v>
      </c>
      <c r="U255" s="1367">
        <f>IF($R255-SUM($T255:T255)=0,0,IF(OR($R255&lt;=0,$R255&lt;=SUM($T255:T255)),0,IF((IF($J255=0,$O255,$J255)*$I255)&gt;=($R255-SUM($T255:T255)),($R255-SUM($T255:T255)),IF($J255=0,$O255,$J255)*$I255)))</f>
        <v>1000</v>
      </c>
      <c r="V255" s="1367">
        <f>IF($R255-SUM($T255:U255)=0,0,IF(OR($R255&lt;=0,$R255&lt;=SUM($T255:U255)),0,IF((IF($J255=0,$O255,$J255)*$I255)&gt;=($R255-SUM($T255:U255)),($R255-SUM($T255:U255)),IF($J255=0,$O255,$J255)*$I255)))</f>
        <v>0</v>
      </c>
      <c r="W255" s="1367">
        <f>IF($R255-SUM($T255:V255)=0,0,IF(OR($R255&lt;=0,$R255&lt;=SUM($T255:V255)),0,IF((IF($J255=0,$O255,$J255)*$I255)&gt;=($R255-SUM($T255:V255)),($R255-SUM($T255:V255)),IF($J255=0,$O255,$J255)*$I255)))</f>
        <v>0</v>
      </c>
      <c r="X255" s="1367">
        <f>IF($R255-SUM($T255:W255)=0,0,IF(OR($R255&lt;=0,$R255&lt;=SUM($T255:W255)),0,IF((IF($J255=0,$O255,$J255)*$I255)&gt;=($R255-SUM($T255:W255)),($R255-SUM($T255:W255)),IF($J255=0,$O255,$J255)*$I255)))</f>
        <v>0</v>
      </c>
      <c r="Y255" s="1367">
        <f>IF($R255-SUM($T255:X255)=0,0,IF(OR($R255&lt;=0,$R255&lt;=SUM($T255:X255)),0,IF((IF($J255=0,$O255,$J255)*$I255)&gt;=($R255-SUM($T255:X255)),($R255-SUM($T255:X255)),IF($J255=0,$O255,$J255)*$I255)))</f>
        <v>0</v>
      </c>
      <c r="Z255" s="1367">
        <f>IF($R255-SUM($T255:Y255)=0,0,IF(OR($R255&lt;=0,$R255&lt;=SUM($T255:Y255)),0,IF((IF($J255=0,$O255,$J255)*$I255)&gt;=($R255-SUM($T255:Y255)),($R255-SUM($T255:Y255)),IF($J255=0,$O255,$J255)*$I255)))</f>
        <v>0</v>
      </c>
      <c r="AA255" s="1367">
        <f>IF($R255-SUM($T255:Z255)=0,0,IF(OR($R255&lt;=0,$R255&lt;=SUM($T255:Z255)),0,IF((IF($J255=0,$O255,$J255)*$I255)&gt;=($R255-SUM($T255:Z255)),($R255-SUM($T255:Z255)),IF($J255=0,$O255,$J255)*$I255)))</f>
        <v>0</v>
      </c>
      <c r="AB255" s="1367">
        <f>IF($R255-SUM($T255:AA255)=0,0,IF(OR($R255&lt;=0,$R255&lt;=SUM($T255:AA255)),0,IF((IF($J255=0,$O255,$J255)*$I255)&gt;=($R255-SUM($T255:AA255)),($R255-SUM($T255:AA255)),IF($J255=0,$O255,$J255)*$I255)))</f>
        <v>0</v>
      </c>
      <c r="AC255" s="1367">
        <f>IF($R255-SUM($T255:AB255)=0,0,IF(OR($R255&lt;=0,$R255&lt;=SUM($T255:AB255)),0,IF((IF($J255=0,$O255,$J255)*$I255)&gt;=($R255-SUM($T255:AB255)),($R255-SUM($T255:AB255)),IF($J255=0,$O255,$J255)*$I255)))</f>
        <v>0</v>
      </c>
      <c r="AD255" s="1367">
        <f>IF($R255-SUM($T255:AC255)=0,0,IF(OR($R255&lt;=0,$R255&lt;=SUM($T255:AC255)),0,IF((IF($J255=0,$O255,$J255)*$I255)&gt;=($R255-SUM($T255:AC255)),($R255-SUM($T255:AC255)),IF($J255=0,$O255,$J255)*$I255)))</f>
        <v>0</v>
      </c>
      <c r="AF255" s="1319" t="b">
        <f t="shared" si="77"/>
        <v>1</v>
      </c>
      <c r="AG255" s="1319" t="str">
        <f t="shared" si="78"/>
        <v>Checked</v>
      </c>
      <c r="AH255" s="1318" t="str">
        <f t="shared" si="79"/>
        <v>Checked</v>
      </c>
    </row>
    <row r="256" spans="1:34" outlineLevel="1" x14ac:dyDescent="0.3">
      <c r="B256" s="1356" t="s">
        <v>2489</v>
      </c>
      <c r="C256" s="1356" t="s">
        <v>3173</v>
      </c>
      <c r="D256" s="1322" t="s">
        <v>2490</v>
      </c>
      <c r="E256" s="1357">
        <v>5</v>
      </c>
      <c r="F256" s="1333">
        <f t="shared" si="70"/>
        <v>0</v>
      </c>
      <c r="G256" s="1358">
        <f t="shared" si="71"/>
        <v>0</v>
      </c>
      <c r="H256" s="1359">
        <f t="shared" si="72"/>
        <v>0</v>
      </c>
      <c r="I256" s="1360">
        <f t="shared" si="73"/>
        <v>0.2</v>
      </c>
      <c r="J256" s="1361">
        <v>3500000</v>
      </c>
      <c r="K256" s="1362">
        <v>3499000</v>
      </c>
      <c r="L256" s="1356">
        <v>0</v>
      </c>
      <c r="M256" s="1356">
        <v>0</v>
      </c>
      <c r="N256" s="1361">
        <f t="shared" si="74"/>
        <v>1000</v>
      </c>
      <c r="O256" s="1363">
        <v>0</v>
      </c>
      <c r="P256" s="1356">
        <v>0</v>
      </c>
      <c r="Q256" s="1364"/>
      <c r="R256" s="1365">
        <f t="shared" si="75"/>
        <v>1000</v>
      </c>
      <c r="S256" s="1364"/>
      <c r="T256" s="1366">
        <f t="shared" si="76"/>
        <v>0</v>
      </c>
      <c r="U256" s="1367">
        <f>IF($R256-SUM($T256:T256)=0,0,IF(OR($R256&lt;=0,$R256&lt;=SUM($T256:T256)),0,IF((IF($J256=0,$O256,$J256)*$I256)&gt;=($R256-SUM($T256:T256)),($R256-SUM($T256:T256)),IF($J256=0,$O256,$J256)*$I256)))</f>
        <v>1000</v>
      </c>
      <c r="V256" s="1367">
        <f>IF($R256-SUM($T256:U256)=0,0,IF(OR($R256&lt;=0,$R256&lt;=SUM($T256:U256)),0,IF((IF($J256=0,$O256,$J256)*$I256)&gt;=($R256-SUM($T256:U256)),($R256-SUM($T256:U256)),IF($J256=0,$O256,$J256)*$I256)))</f>
        <v>0</v>
      </c>
      <c r="W256" s="1367">
        <f>IF($R256-SUM($T256:V256)=0,0,IF(OR($R256&lt;=0,$R256&lt;=SUM($T256:V256)),0,IF((IF($J256=0,$O256,$J256)*$I256)&gt;=($R256-SUM($T256:V256)),($R256-SUM($T256:V256)),IF($J256=0,$O256,$J256)*$I256)))</f>
        <v>0</v>
      </c>
      <c r="X256" s="1367">
        <f>IF($R256-SUM($T256:W256)=0,0,IF(OR($R256&lt;=0,$R256&lt;=SUM($T256:W256)),0,IF((IF($J256=0,$O256,$J256)*$I256)&gt;=($R256-SUM($T256:W256)),($R256-SUM($T256:W256)),IF($J256=0,$O256,$J256)*$I256)))</f>
        <v>0</v>
      </c>
      <c r="Y256" s="1367">
        <f>IF($R256-SUM($T256:X256)=0,0,IF(OR($R256&lt;=0,$R256&lt;=SUM($T256:X256)),0,IF((IF($J256=0,$O256,$J256)*$I256)&gt;=($R256-SUM($T256:X256)),($R256-SUM($T256:X256)),IF($J256=0,$O256,$J256)*$I256)))</f>
        <v>0</v>
      </c>
      <c r="Z256" s="1367">
        <f>IF($R256-SUM($T256:Y256)=0,0,IF(OR($R256&lt;=0,$R256&lt;=SUM($T256:Y256)),0,IF((IF($J256=0,$O256,$J256)*$I256)&gt;=($R256-SUM($T256:Y256)),($R256-SUM($T256:Y256)),IF($J256=0,$O256,$J256)*$I256)))</f>
        <v>0</v>
      </c>
      <c r="AA256" s="1367">
        <f>IF($R256-SUM($T256:Z256)=0,0,IF(OR($R256&lt;=0,$R256&lt;=SUM($T256:Z256)),0,IF((IF($J256=0,$O256,$J256)*$I256)&gt;=($R256-SUM($T256:Z256)),($R256-SUM($T256:Z256)),IF($J256=0,$O256,$J256)*$I256)))</f>
        <v>0</v>
      </c>
      <c r="AB256" s="1367">
        <f>IF($R256-SUM($T256:AA256)=0,0,IF(OR($R256&lt;=0,$R256&lt;=SUM($T256:AA256)),0,IF((IF($J256=0,$O256,$J256)*$I256)&gt;=($R256-SUM($T256:AA256)),($R256-SUM($T256:AA256)),IF($J256=0,$O256,$J256)*$I256)))</f>
        <v>0</v>
      </c>
      <c r="AC256" s="1367">
        <f>IF($R256-SUM($T256:AB256)=0,0,IF(OR($R256&lt;=0,$R256&lt;=SUM($T256:AB256)),0,IF((IF($J256=0,$O256,$J256)*$I256)&gt;=($R256-SUM($T256:AB256)),($R256-SUM($T256:AB256)),IF($J256=0,$O256,$J256)*$I256)))</f>
        <v>0</v>
      </c>
      <c r="AD256" s="1367">
        <f>IF($R256-SUM($T256:AC256)=0,0,IF(OR($R256&lt;=0,$R256&lt;=SUM($T256:AC256)),0,IF((IF($J256=0,$O256,$J256)*$I256)&gt;=($R256-SUM($T256:AC256)),($R256-SUM($T256:AC256)),IF($J256=0,$O256,$J256)*$I256)))</f>
        <v>0</v>
      </c>
      <c r="AF256" s="1319" t="b">
        <f t="shared" si="77"/>
        <v>1</v>
      </c>
      <c r="AG256" s="1319" t="str">
        <f t="shared" si="78"/>
        <v>Checked</v>
      </c>
      <c r="AH256" s="1318" t="str">
        <f t="shared" si="79"/>
        <v>Checked</v>
      </c>
    </row>
    <row r="257" spans="1:34" outlineLevel="1" x14ac:dyDescent="0.3">
      <c r="B257" s="1356" t="s">
        <v>2491</v>
      </c>
      <c r="C257" s="1356" t="s">
        <v>3173</v>
      </c>
      <c r="D257" s="1322" t="s">
        <v>2492</v>
      </c>
      <c r="E257" s="1357">
        <v>5</v>
      </c>
      <c r="F257" s="1333">
        <f t="shared" si="70"/>
        <v>0</v>
      </c>
      <c r="G257" s="1358">
        <f t="shared" si="71"/>
        <v>0</v>
      </c>
      <c r="H257" s="1359">
        <f t="shared" si="72"/>
        <v>0</v>
      </c>
      <c r="I257" s="1360">
        <f t="shared" si="73"/>
        <v>0.2</v>
      </c>
      <c r="J257" s="1361">
        <v>13636363</v>
      </c>
      <c r="K257" s="1362">
        <v>13635363</v>
      </c>
      <c r="L257" s="1356">
        <v>0</v>
      </c>
      <c r="M257" s="1356">
        <v>0</v>
      </c>
      <c r="N257" s="1361">
        <f t="shared" si="74"/>
        <v>1000</v>
      </c>
      <c r="O257" s="1363">
        <v>0</v>
      </c>
      <c r="P257" s="1356">
        <v>0</v>
      </c>
      <c r="Q257" s="1364"/>
      <c r="R257" s="1365">
        <f t="shared" si="75"/>
        <v>1000</v>
      </c>
      <c r="S257" s="1364"/>
      <c r="T257" s="1366">
        <f t="shared" si="76"/>
        <v>0</v>
      </c>
      <c r="U257" s="1367">
        <f>IF($R257-SUM($T257:T257)=0,0,IF(OR($R257&lt;=0,$R257&lt;=SUM($T257:T257)),0,IF((IF($J257=0,$O257,$J257)*$I257)&gt;=($R257-SUM($T257:T257)),($R257-SUM($T257:T257)),IF($J257=0,$O257,$J257)*$I257)))</f>
        <v>1000</v>
      </c>
      <c r="V257" s="1367">
        <f>IF($R257-SUM($T257:U257)=0,0,IF(OR($R257&lt;=0,$R257&lt;=SUM($T257:U257)),0,IF((IF($J257=0,$O257,$J257)*$I257)&gt;=($R257-SUM($T257:U257)),($R257-SUM($T257:U257)),IF($J257=0,$O257,$J257)*$I257)))</f>
        <v>0</v>
      </c>
      <c r="W257" s="1367">
        <f>IF($R257-SUM($T257:V257)=0,0,IF(OR($R257&lt;=0,$R257&lt;=SUM($T257:V257)),0,IF((IF($J257=0,$O257,$J257)*$I257)&gt;=($R257-SUM($T257:V257)),($R257-SUM($T257:V257)),IF($J257=0,$O257,$J257)*$I257)))</f>
        <v>0</v>
      </c>
      <c r="X257" s="1367">
        <f>IF($R257-SUM($T257:W257)=0,0,IF(OR($R257&lt;=0,$R257&lt;=SUM($T257:W257)),0,IF((IF($J257=0,$O257,$J257)*$I257)&gt;=($R257-SUM($T257:W257)),($R257-SUM($T257:W257)),IF($J257=0,$O257,$J257)*$I257)))</f>
        <v>0</v>
      </c>
      <c r="Y257" s="1367">
        <f>IF($R257-SUM($T257:X257)=0,0,IF(OR($R257&lt;=0,$R257&lt;=SUM($T257:X257)),0,IF((IF($J257=0,$O257,$J257)*$I257)&gt;=($R257-SUM($T257:X257)),($R257-SUM($T257:X257)),IF($J257=0,$O257,$J257)*$I257)))</f>
        <v>0</v>
      </c>
      <c r="Z257" s="1367">
        <f>IF($R257-SUM($T257:Y257)=0,0,IF(OR($R257&lt;=0,$R257&lt;=SUM($T257:Y257)),0,IF((IF($J257=0,$O257,$J257)*$I257)&gt;=($R257-SUM($T257:Y257)),($R257-SUM($T257:Y257)),IF($J257=0,$O257,$J257)*$I257)))</f>
        <v>0</v>
      </c>
      <c r="AA257" s="1367">
        <f>IF($R257-SUM($T257:Z257)=0,0,IF(OR($R257&lt;=0,$R257&lt;=SUM($T257:Z257)),0,IF((IF($J257=0,$O257,$J257)*$I257)&gt;=($R257-SUM($T257:Z257)),($R257-SUM($T257:Z257)),IF($J257=0,$O257,$J257)*$I257)))</f>
        <v>0</v>
      </c>
      <c r="AB257" s="1367">
        <f>IF($R257-SUM($T257:AA257)=0,0,IF(OR($R257&lt;=0,$R257&lt;=SUM($T257:AA257)),0,IF((IF($J257=0,$O257,$J257)*$I257)&gt;=($R257-SUM($T257:AA257)),($R257-SUM($T257:AA257)),IF($J257=0,$O257,$J257)*$I257)))</f>
        <v>0</v>
      </c>
      <c r="AC257" s="1367">
        <f>IF($R257-SUM($T257:AB257)=0,0,IF(OR($R257&lt;=0,$R257&lt;=SUM($T257:AB257)),0,IF((IF($J257=0,$O257,$J257)*$I257)&gt;=($R257-SUM($T257:AB257)),($R257-SUM($T257:AB257)),IF($J257=0,$O257,$J257)*$I257)))</f>
        <v>0</v>
      </c>
      <c r="AD257" s="1367">
        <f>IF($R257-SUM($T257:AC257)=0,0,IF(OR($R257&lt;=0,$R257&lt;=SUM($T257:AC257)),0,IF((IF($J257=0,$O257,$J257)*$I257)&gt;=($R257-SUM($T257:AC257)),($R257-SUM($T257:AC257)),IF($J257=0,$O257,$J257)*$I257)))</f>
        <v>0</v>
      </c>
      <c r="AF257" s="1319" t="b">
        <f t="shared" si="77"/>
        <v>1</v>
      </c>
      <c r="AG257" s="1319" t="str">
        <f t="shared" si="78"/>
        <v>Checked</v>
      </c>
      <c r="AH257" s="1318" t="str">
        <f t="shared" si="79"/>
        <v>Checked</v>
      </c>
    </row>
    <row r="258" spans="1:34" outlineLevel="1" x14ac:dyDescent="0.3">
      <c r="B258" s="1356" t="s">
        <v>2493</v>
      </c>
      <c r="C258" s="1356" t="s">
        <v>3173</v>
      </c>
      <c r="D258" s="1322" t="s">
        <v>2494</v>
      </c>
      <c r="E258" s="1357">
        <v>5</v>
      </c>
      <c r="F258" s="1333">
        <f t="shared" si="70"/>
        <v>0</v>
      </c>
      <c r="G258" s="1358">
        <f t="shared" si="71"/>
        <v>0</v>
      </c>
      <c r="H258" s="1359">
        <f t="shared" si="72"/>
        <v>0</v>
      </c>
      <c r="I258" s="1360">
        <f t="shared" si="73"/>
        <v>0.2</v>
      </c>
      <c r="J258" s="1361">
        <v>112700000</v>
      </c>
      <c r="K258" s="1362">
        <v>105155478</v>
      </c>
      <c r="L258" s="1356">
        <v>0</v>
      </c>
      <c r="M258" s="1356">
        <v>0</v>
      </c>
      <c r="N258" s="1361">
        <f t="shared" si="74"/>
        <v>7544522</v>
      </c>
      <c r="O258" s="1363">
        <v>0</v>
      </c>
      <c r="P258" s="1356">
        <v>0</v>
      </c>
      <c r="Q258" s="1364">
        <v>7543522</v>
      </c>
      <c r="R258" s="1365">
        <f t="shared" si="75"/>
        <v>1000</v>
      </c>
      <c r="S258" s="1364"/>
      <c r="T258" s="1366">
        <f t="shared" si="76"/>
        <v>0</v>
      </c>
      <c r="U258" s="1367">
        <f>IF($R258-SUM($T258:T258)=0,0,IF(OR($R258&lt;=0,$R258&lt;=SUM($T258:T258)),0,IF((IF($J258=0,$O258,$J258)*$I258)&gt;=($R258-SUM($T258:T258)),($R258-SUM($T258:T258)),IF($J258=0,$O258,$J258)*$I258)))</f>
        <v>1000</v>
      </c>
      <c r="V258" s="1367">
        <f>IF($R258-SUM($T258:U258)=0,0,IF(OR($R258&lt;=0,$R258&lt;=SUM($T258:U258)),0,IF((IF($J258=0,$O258,$J258)*$I258)&gt;=($R258-SUM($T258:U258)),($R258-SUM($T258:U258)),IF($J258=0,$O258,$J258)*$I258)))</f>
        <v>0</v>
      </c>
      <c r="W258" s="1367">
        <f>IF($R258-SUM($T258:V258)=0,0,IF(OR($R258&lt;=0,$R258&lt;=SUM($T258:V258)),0,IF((IF($J258=0,$O258,$J258)*$I258)&gt;=($R258-SUM($T258:V258)),($R258-SUM($T258:V258)),IF($J258=0,$O258,$J258)*$I258)))</f>
        <v>0</v>
      </c>
      <c r="X258" s="1367">
        <f>IF($R258-SUM($T258:W258)=0,0,IF(OR($R258&lt;=0,$R258&lt;=SUM($T258:W258)),0,IF((IF($J258=0,$O258,$J258)*$I258)&gt;=($R258-SUM($T258:W258)),($R258-SUM($T258:W258)),IF($J258=0,$O258,$J258)*$I258)))</f>
        <v>0</v>
      </c>
      <c r="Y258" s="1367">
        <f>IF($R258-SUM($T258:X258)=0,0,IF(OR($R258&lt;=0,$R258&lt;=SUM($T258:X258)),0,IF((IF($J258=0,$O258,$J258)*$I258)&gt;=($R258-SUM($T258:X258)),($R258-SUM($T258:X258)),IF($J258=0,$O258,$J258)*$I258)))</f>
        <v>0</v>
      </c>
      <c r="Z258" s="1367">
        <f>IF($R258-SUM($T258:Y258)=0,0,IF(OR($R258&lt;=0,$R258&lt;=SUM($T258:Y258)),0,IF((IF($J258=0,$O258,$J258)*$I258)&gt;=($R258-SUM($T258:Y258)),($R258-SUM($T258:Y258)),IF($J258=0,$O258,$J258)*$I258)))</f>
        <v>0</v>
      </c>
      <c r="AA258" s="1367">
        <f>IF($R258-SUM($T258:Z258)=0,0,IF(OR($R258&lt;=0,$R258&lt;=SUM($T258:Z258)),0,IF((IF($J258=0,$O258,$J258)*$I258)&gt;=($R258-SUM($T258:Z258)),($R258-SUM($T258:Z258)),IF($J258=0,$O258,$J258)*$I258)))</f>
        <v>0</v>
      </c>
      <c r="AB258" s="1367">
        <f>IF($R258-SUM($T258:AA258)=0,0,IF(OR($R258&lt;=0,$R258&lt;=SUM($T258:AA258)),0,IF((IF($J258=0,$O258,$J258)*$I258)&gt;=($R258-SUM($T258:AA258)),($R258-SUM($T258:AA258)),IF($J258=0,$O258,$J258)*$I258)))</f>
        <v>0</v>
      </c>
      <c r="AC258" s="1367">
        <f>IF($R258-SUM($T258:AB258)=0,0,IF(OR($R258&lt;=0,$R258&lt;=SUM($T258:AB258)),0,IF((IF($J258=0,$O258,$J258)*$I258)&gt;=($R258-SUM($T258:AB258)),($R258-SUM($T258:AB258)),IF($J258=0,$O258,$J258)*$I258)))</f>
        <v>0</v>
      </c>
      <c r="AD258" s="1367">
        <f>IF($R258-SUM($T258:AC258)=0,0,IF(OR($R258&lt;=0,$R258&lt;=SUM($T258:AC258)),0,IF((IF($J258=0,$O258,$J258)*$I258)&gt;=($R258-SUM($T258:AC258)),($R258-SUM($T258:AC258)),IF($J258=0,$O258,$J258)*$I258)))</f>
        <v>0</v>
      </c>
      <c r="AF258" s="1319" t="b">
        <f t="shared" si="77"/>
        <v>1</v>
      </c>
      <c r="AG258" s="1319" t="str">
        <f t="shared" si="78"/>
        <v>Checked</v>
      </c>
      <c r="AH258" s="1318" t="str">
        <f t="shared" si="79"/>
        <v>Checked</v>
      </c>
    </row>
    <row r="259" spans="1:34" outlineLevel="1" x14ac:dyDescent="0.3">
      <c r="B259" s="1356" t="s">
        <v>2495</v>
      </c>
      <c r="C259" s="1356" t="s">
        <v>3173</v>
      </c>
      <c r="D259" s="1322" t="s">
        <v>2496</v>
      </c>
      <c r="E259" s="1357">
        <v>5</v>
      </c>
      <c r="F259" s="1333">
        <f t="shared" si="70"/>
        <v>0</v>
      </c>
      <c r="G259" s="1358">
        <f t="shared" si="71"/>
        <v>0</v>
      </c>
      <c r="H259" s="1359">
        <f t="shared" si="72"/>
        <v>0</v>
      </c>
      <c r="I259" s="1360">
        <f t="shared" si="73"/>
        <v>0.2</v>
      </c>
      <c r="J259" s="1361">
        <v>23434545</v>
      </c>
      <c r="K259" s="1362">
        <v>21465709</v>
      </c>
      <c r="L259" s="1356">
        <v>0</v>
      </c>
      <c r="M259" s="1356">
        <v>0</v>
      </c>
      <c r="N259" s="1361">
        <f t="shared" si="74"/>
        <v>1968836</v>
      </c>
      <c r="O259" s="1363">
        <v>0</v>
      </c>
      <c r="P259" s="1356">
        <v>0</v>
      </c>
      <c r="Q259" s="1364">
        <v>1967836</v>
      </c>
      <c r="R259" s="1365">
        <f t="shared" si="75"/>
        <v>1000</v>
      </c>
      <c r="S259" s="1364"/>
      <c r="T259" s="1366">
        <f t="shared" si="76"/>
        <v>0</v>
      </c>
      <c r="U259" s="1367">
        <f>IF($R259-SUM($T259:T259)=0,0,IF(OR($R259&lt;=0,$R259&lt;=SUM($T259:T259)),0,IF((IF($J259=0,$O259,$J259)*$I259)&gt;=($R259-SUM($T259:T259)),($R259-SUM($T259:T259)),IF($J259=0,$O259,$J259)*$I259)))</f>
        <v>1000</v>
      </c>
      <c r="V259" s="1367">
        <f>IF($R259-SUM($T259:U259)=0,0,IF(OR($R259&lt;=0,$R259&lt;=SUM($T259:U259)),0,IF((IF($J259=0,$O259,$J259)*$I259)&gt;=($R259-SUM($T259:U259)),($R259-SUM($T259:U259)),IF($J259=0,$O259,$J259)*$I259)))</f>
        <v>0</v>
      </c>
      <c r="W259" s="1367">
        <f>IF($R259-SUM($T259:V259)=0,0,IF(OR($R259&lt;=0,$R259&lt;=SUM($T259:V259)),0,IF((IF($J259=0,$O259,$J259)*$I259)&gt;=($R259-SUM($T259:V259)),($R259-SUM($T259:V259)),IF($J259=0,$O259,$J259)*$I259)))</f>
        <v>0</v>
      </c>
      <c r="X259" s="1367">
        <f>IF($R259-SUM($T259:W259)=0,0,IF(OR($R259&lt;=0,$R259&lt;=SUM($T259:W259)),0,IF((IF($J259=0,$O259,$J259)*$I259)&gt;=($R259-SUM($T259:W259)),($R259-SUM($T259:W259)),IF($J259=0,$O259,$J259)*$I259)))</f>
        <v>0</v>
      </c>
      <c r="Y259" s="1367">
        <f>IF($R259-SUM($T259:X259)=0,0,IF(OR($R259&lt;=0,$R259&lt;=SUM($T259:X259)),0,IF((IF($J259=0,$O259,$J259)*$I259)&gt;=($R259-SUM($T259:X259)),($R259-SUM($T259:X259)),IF($J259=0,$O259,$J259)*$I259)))</f>
        <v>0</v>
      </c>
      <c r="Z259" s="1367">
        <f>IF($R259-SUM($T259:Y259)=0,0,IF(OR($R259&lt;=0,$R259&lt;=SUM($T259:Y259)),0,IF((IF($J259=0,$O259,$J259)*$I259)&gt;=($R259-SUM($T259:Y259)),($R259-SUM($T259:Y259)),IF($J259=0,$O259,$J259)*$I259)))</f>
        <v>0</v>
      </c>
      <c r="AA259" s="1367">
        <f>IF($R259-SUM($T259:Z259)=0,0,IF(OR($R259&lt;=0,$R259&lt;=SUM($T259:Z259)),0,IF((IF($J259=0,$O259,$J259)*$I259)&gt;=($R259-SUM($T259:Z259)),($R259-SUM($T259:Z259)),IF($J259=0,$O259,$J259)*$I259)))</f>
        <v>0</v>
      </c>
      <c r="AB259" s="1367">
        <f>IF($R259-SUM($T259:AA259)=0,0,IF(OR($R259&lt;=0,$R259&lt;=SUM($T259:AA259)),0,IF((IF($J259=0,$O259,$J259)*$I259)&gt;=($R259-SUM($T259:AA259)),($R259-SUM($T259:AA259)),IF($J259=0,$O259,$J259)*$I259)))</f>
        <v>0</v>
      </c>
      <c r="AC259" s="1367">
        <f>IF($R259-SUM($T259:AB259)=0,0,IF(OR($R259&lt;=0,$R259&lt;=SUM($T259:AB259)),0,IF((IF($J259=0,$O259,$J259)*$I259)&gt;=($R259-SUM($T259:AB259)),($R259-SUM($T259:AB259)),IF($J259=0,$O259,$J259)*$I259)))</f>
        <v>0</v>
      </c>
      <c r="AD259" s="1367">
        <f>IF($R259-SUM($T259:AC259)=0,0,IF(OR($R259&lt;=0,$R259&lt;=SUM($T259:AC259)),0,IF((IF($J259=0,$O259,$J259)*$I259)&gt;=($R259-SUM($T259:AC259)),($R259-SUM($T259:AC259)),IF($J259=0,$O259,$J259)*$I259)))</f>
        <v>0</v>
      </c>
      <c r="AF259" s="1319" t="b">
        <f t="shared" si="77"/>
        <v>1</v>
      </c>
      <c r="AG259" s="1319" t="str">
        <f t="shared" si="78"/>
        <v>Checked</v>
      </c>
      <c r="AH259" s="1318" t="str">
        <f t="shared" si="79"/>
        <v>Checked</v>
      </c>
    </row>
    <row r="260" spans="1:34" outlineLevel="1" x14ac:dyDescent="0.3">
      <c r="B260" s="1356" t="s">
        <v>2497</v>
      </c>
      <c r="C260" s="1356" t="s">
        <v>3173</v>
      </c>
      <c r="D260" s="1322" t="s">
        <v>2498</v>
      </c>
      <c r="E260" s="1357">
        <v>5</v>
      </c>
      <c r="F260" s="1333">
        <f t="shared" si="70"/>
        <v>2</v>
      </c>
      <c r="G260" s="1358">
        <f t="shared" si="71"/>
        <v>0</v>
      </c>
      <c r="H260" s="1359">
        <f t="shared" si="72"/>
        <v>0</v>
      </c>
      <c r="I260" s="1360">
        <f t="shared" si="73"/>
        <v>0.2</v>
      </c>
      <c r="J260" s="1361">
        <v>4550000</v>
      </c>
      <c r="K260" s="1362">
        <v>3590951</v>
      </c>
      <c r="L260" s="1356">
        <v>0</v>
      </c>
      <c r="M260" s="1356">
        <v>0</v>
      </c>
      <c r="N260" s="1361">
        <f t="shared" si="74"/>
        <v>959049</v>
      </c>
      <c r="O260" s="1363">
        <v>0</v>
      </c>
      <c r="P260" s="1356">
        <v>0</v>
      </c>
      <c r="Q260" s="1364">
        <v>432531</v>
      </c>
      <c r="R260" s="1365">
        <f t="shared" si="75"/>
        <v>526518</v>
      </c>
      <c r="S260" s="1364"/>
      <c r="T260" s="1366">
        <f t="shared" si="76"/>
        <v>0</v>
      </c>
      <c r="U260" s="1367">
        <f>IF($R260-SUM($T260:T260)=0,0,IF(OR($R260&lt;=0,$R260&lt;=SUM($T260:T260)),0,IF((IF($J260=0,$O260,$J260)*$I260)&gt;=($R260-SUM($T260:T260)),($R260-SUM($T260:T260)),IF($J260=0,$O260,$J260)*$I260)))</f>
        <v>526518</v>
      </c>
      <c r="V260" s="1367">
        <f>IF($R260-SUM($T260:U260)=0,0,IF(OR($R260&lt;=0,$R260&lt;=SUM($T260:U260)),0,IF((IF($J260=0,$O260,$J260)*$I260)&gt;=($R260-SUM($T260:U260)),($R260-SUM($T260:U260)),IF($J260=0,$O260,$J260)*$I260)))</f>
        <v>0</v>
      </c>
      <c r="W260" s="1367">
        <f>IF($R260-SUM($T260:V260)=0,0,IF(OR($R260&lt;=0,$R260&lt;=SUM($T260:V260)),0,IF((IF($J260=0,$O260,$J260)*$I260)&gt;=($R260-SUM($T260:V260)),($R260-SUM($T260:V260)),IF($J260=0,$O260,$J260)*$I260)))</f>
        <v>0</v>
      </c>
      <c r="X260" s="1367">
        <f>IF($R260-SUM($T260:W260)=0,0,IF(OR($R260&lt;=0,$R260&lt;=SUM($T260:W260)),0,IF((IF($J260=0,$O260,$J260)*$I260)&gt;=($R260-SUM($T260:W260)),($R260-SUM($T260:W260)),IF($J260=0,$O260,$J260)*$I260)))</f>
        <v>0</v>
      </c>
      <c r="Y260" s="1367">
        <f>IF($R260-SUM($T260:X260)=0,0,IF(OR($R260&lt;=0,$R260&lt;=SUM($T260:X260)),0,IF((IF($J260=0,$O260,$J260)*$I260)&gt;=($R260-SUM($T260:X260)),($R260-SUM($T260:X260)),IF($J260=0,$O260,$J260)*$I260)))</f>
        <v>0</v>
      </c>
      <c r="Z260" s="1367">
        <f>IF($R260-SUM($T260:Y260)=0,0,IF(OR($R260&lt;=0,$R260&lt;=SUM($T260:Y260)),0,IF((IF($J260=0,$O260,$J260)*$I260)&gt;=($R260-SUM($T260:Y260)),($R260-SUM($T260:Y260)),IF($J260=0,$O260,$J260)*$I260)))</f>
        <v>0</v>
      </c>
      <c r="AA260" s="1367">
        <f>IF($R260-SUM($T260:Z260)=0,0,IF(OR($R260&lt;=0,$R260&lt;=SUM($T260:Z260)),0,IF((IF($J260=0,$O260,$J260)*$I260)&gt;=($R260-SUM($T260:Z260)),($R260-SUM($T260:Z260)),IF($J260=0,$O260,$J260)*$I260)))</f>
        <v>0</v>
      </c>
      <c r="AB260" s="1367">
        <f>IF($R260-SUM($T260:AA260)=0,0,IF(OR($R260&lt;=0,$R260&lt;=SUM($T260:AA260)),0,IF((IF($J260=0,$O260,$J260)*$I260)&gt;=($R260-SUM($T260:AA260)),($R260-SUM($T260:AA260)),IF($J260=0,$O260,$J260)*$I260)))</f>
        <v>0</v>
      </c>
      <c r="AC260" s="1367">
        <f>IF($R260-SUM($T260:AB260)=0,0,IF(OR($R260&lt;=0,$R260&lt;=SUM($T260:AB260)),0,IF((IF($J260=0,$O260,$J260)*$I260)&gt;=($R260-SUM($T260:AB260)),($R260-SUM($T260:AB260)),IF($J260=0,$O260,$J260)*$I260)))</f>
        <v>0</v>
      </c>
      <c r="AD260" s="1367">
        <f>IF($R260-SUM($T260:AC260)=0,0,IF(OR($R260&lt;=0,$R260&lt;=SUM($T260:AC260)),0,IF((IF($J260=0,$O260,$J260)*$I260)&gt;=($R260-SUM($T260:AC260)),($R260-SUM($T260:AC260)),IF($J260=0,$O260,$J260)*$I260)))</f>
        <v>0</v>
      </c>
      <c r="AF260" s="1319" t="b">
        <f t="shared" si="77"/>
        <v>1</v>
      </c>
      <c r="AG260" s="1319" t="str">
        <f t="shared" si="78"/>
        <v>Checked</v>
      </c>
      <c r="AH260" s="1318" t="str">
        <f t="shared" si="79"/>
        <v>Checked</v>
      </c>
    </row>
    <row r="261" spans="1:34" outlineLevel="1" x14ac:dyDescent="0.3">
      <c r="B261" s="1356" t="s">
        <v>2499</v>
      </c>
      <c r="C261" s="1356" t="s">
        <v>3173</v>
      </c>
      <c r="D261" s="1322" t="s">
        <v>2500</v>
      </c>
      <c r="E261" s="1357">
        <v>5</v>
      </c>
      <c r="F261" s="1333">
        <f t="shared" si="70"/>
        <v>2</v>
      </c>
      <c r="G261" s="1358">
        <f t="shared" si="71"/>
        <v>0</v>
      </c>
      <c r="H261" s="1359">
        <f t="shared" si="72"/>
        <v>0</v>
      </c>
      <c r="I261" s="1360">
        <f t="shared" si="73"/>
        <v>0.2</v>
      </c>
      <c r="J261" s="1361">
        <v>3051818</v>
      </c>
      <c r="K261" s="1362">
        <v>2270276</v>
      </c>
      <c r="L261" s="1356">
        <v>0</v>
      </c>
      <c r="M261" s="1356">
        <v>0</v>
      </c>
      <c r="N261" s="1361">
        <f t="shared" si="74"/>
        <v>781542</v>
      </c>
      <c r="O261" s="1363">
        <v>0</v>
      </c>
      <c r="P261" s="1356">
        <v>0</v>
      </c>
      <c r="Q261" s="1364">
        <v>352475</v>
      </c>
      <c r="R261" s="1365">
        <f t="shared" si="75"/>
        <v>429067</v>
      </c>
      <c r="S261" s="1364"/>
      <c r="T261" s="1366">
        <f t="shared" si="76"/>
        <v>0</v>
      </c>
      <c r="U261" s="1367">
        <f>IF($R261-SUM($T261:T261)=0,0,IF(OR($R261&lt;=0,$R261&lt;=SUM($T261:T261)),0,IF((IF($J261=0,$O261,$J261)*$I261)&gt;=($R261-SUM($T261:T261)),($R261-SUM($T261:T261)),IF($J261=0,$O261,$J261)*$I261)))</f>
        <v>429067</v>
      </c>
      <c r="V261" s="1367">
        <f>IF($R261-SUM($T261:U261)=0,0,IF(OR($R261&lt;=0,$R261&lt;=SUM($T261:U261)),0,IF((IF($J261=0,$O261,$J261)*$I261)&gt;=($R261-SUM($T261:U261)),($R261-SUM($T261:U261)),IF($J261=0,$O261,$J261)*$I261)))</f>
        <v>0</v>
      </c>
      <c r="W261" s="1367">
        <f>IF($R261-SUM($T261:V261)=0,0,IF(OR($R261&lt;=0,$R261&lt;=SUM($T261:V261)),0,IF((IF($J261=0,$O261,$J261)*$I261)&gt;=($R261-SUM($T261:V261)),($R261-SUM($T261:V261)),IF($J261=0,$O261,$J261)*$I261)))</f>
        <v>0</v>
      </c>
      <c r="X261" s="1367">
        <f>IF($R261-SUM($T261:W261)=0,0,IF(OR($R261&lt;=0,$R261&lt;=SUM($T261:W261)),0,IF((IF($J261=0,$O261,$J261)*$I261)&gt;=($R261-SUM($T261:W261)),($R261-SUM($T261:W261)),IF($J261=0,$O261,$J261)*$I261)))</f>
        <v>0</v>
      </c>
      <c r="Y261" s="1367">
        <f>IF($R261-SUM($T261:X261)=0,0,IF(OR($R261&lt;=0,$R261&lt;=SUM($T261:X261)),0,IF((IF($J261=0,$O261,$J261)*$I261)&gt;=($R261-SUM($T261:X261)),($R261-SUM($T261:X261)),IF($J261=0,$O261,$J261)*$I261)))</f>
        <v>0</v>
      </c>
      <c r="Z261" s="1367">
        <f>IF($R261-SUM($T261:Y261)=0,0,IF(OR($R261&lt;=0,$R261&lt;=SUM($T261:Y261)),0,IF((IF($J261=0,$O261,$J261)*$I261)&gt;=($R261-SUM($T261:Y261)),($R261-SUM($T261:Y261)),IF($J261=0,$O261,$J261)*$I261)))</f>
        <v>0</v>
      </c>
      <c r="AA261" s="1367">
        <f>IF($R261-SUM($T261:Z261)=0,0,IF(OR($R261&lt;=0,$R261&lt;=SUM($T261:Z261)),0,IF((IF($J261=0,$O261,$J261)*$I261)&gt;=($R261-SUM($T261:Z261)),($R261-SUM($T261:Z261)),IF($J261=0,$O261,$J261)*$I261)))</f>
        <v>0</v>
      </c>
      <c r="AB261" s="1367">
        <f>IF($R261-SUM($T261:AA261)=0,0,IF(OR($R261&lt;=0,$R261&lt;=SUM($T261:AA261)),0,IF((IF($J261=0,$O261,$J261)*$I261)&gt;=($R261-SUM($T261:AA261)),($R261-SUM($T261:AA261)),IF($J261=0,$O261,$J261)*$I261)))</f>
        <v>0</v>
      </c>
      <c r="AC261" s="1367">
        <f>IF($R261-SUM($T261:AB261)=0,0,IF(OR($R261&lt;=0,$R261&lt;=SUM($T261:AB261)),0,IF((IF($J261=0,$O261,$J261)*$I261)&gt;=($R261-SUM($T261:AB261)),($R261-SUM($T261:AB261)),IF($J261=0,$O261,$J261)*$I261)))</f>
        <v>0</v>
      </c>
      <c r="AD261" s="1367">
        <f>IF($R261-SUM($T261:AC261)=0,0,IF(OR($R261&lt;=0,$R261&lt;=SUM($T261:AC261)),0,IF((IF($J261=0,$O261,$J261)*$I261)&gt;=($R261-SUM($T261:AC261)),($R261-SUM($T261:AC261)),IF($J261=0,$O261,$J261)*$I261)))</f>
        <v>0</v>
      </c>
      <c r="AF261" s="1319" t="b">
        <f t="shared" si="77"/>
        <v>1</v>
      </c>
      <c r="AG261" s="1319" t="str">
        <f t="shared" si="78"/>
        <v>Checked</v>
      </c>
      <c r="AH261" s="1318" t="str">
        <f t="shared" si="79"/>
        <v>Checked</v>
      </c>
    </row>
    <row r="262" spans="1:34" outlineLevel="1" x14ac:dyDescent="0.3">
      <c r="B262" s="1356" t="s">
        <v>2501</v>
      </c>
      <c r="C262" s="1356" t="s">
        <v>3173</v>
      </c>
      <c r="D262" s="1322" t="s">
        <v>2502</v>
      </c>
      <c r="E262" s="1357">
        <v>5</v>
      </c>
      <c r="F262" s="1333">
        <f t="shared" si="70"/>
        <v>3</v>
      </c>
      <c r="G262" s="1358">
        <f t="shared" si="71"/>
        <v>0</v>
      </c>
      <c r="H262" s="1359">
        <f t="shared" si="72"/>
        <v>0</v>
      </c>
      <c r="I262" s="1360">
        <f t="shared" si="73"/>
        <v>0.2</v>
      </c>
      <c r="J262" s="1361">
        <v>6760000</v>
      </c>
      <c r="K262" s="1362">
        <v>3746163</v>
      </c>
      <c r="L262" s="1356">
        <v>0</v>
      </c>
      <c r="M262" s="1356">
        <v>0</v>
      </c>
      <c r="N262" s="1361">
        <f t="shared" si="74"/>
        <v>3013837</v>
      </c>
      <c r="O262" s="1363">
        <v>0</v>
      </c>
      <c r="P262" s="1356">
        <v>0</v>
      </c>
      <c r="Q262" s="1364">
        <v>1359240</v>
      </c>
      <c r="R262" s="1365">
        <f t="shared" si="75"/>
        <v>1654597</v>
      </c>
      <c r="S262" s="1364"/>
      <c r="T262" s="1366">
        <f t="shared" si="76"/>
        <v>0</v>
      </c>
      <c r="U262" s="1367">
        <f>IF($R262-SUM($T262:T262)=0,0,IF(OR($R262&lt;=0,$R262&lt;=SUM($T262:T262)),0,IF((IF($J262=0,$O262,$J262)*$I262)&gt;=($R262-SUM($T262:T262)),($R262-SUM($T262:T262)),IF($J262=0,$O262,$J262)*$I262)))</f>
        <v>1352000</v>
      </c>
      <c r="V262" s="1367">
        <f>IF($R262-SUM($T262:U262)=0,0,IF(OR($R262&lt;=0,$R262&lt;=SUM($T262:U262)),0,IF((IF($J262=0,$O262,$J262)*$I262)&gt;=($R262-SUM($T262:U262)),($R262-SUM($T262:U262)),IF($J262=0,$O262,$J262)*$I262)))</f>
        <v>302597</v>
      </c>
      <c r="W262" s="1367">
        <f>IF($R262-SUM($T262:V262)=0,0,IF(OR($R262&lt;=0,$R262&lt;=SUM($T262:V262)),0,IF((IF($J262=0,$O262,$J262)*$I262)&gt;=($R262-SUM($T262:V262)),($R262-SUM($T262:V262)),IF($J262=0,$O262,$J262)*$I262)))</f>
        <v>0</v>
      </c>
      <c r="X262" s="1367">
        <f>IF($R262-SUM($T262:W262)=0,0,IF(OR($R262&lt;=0,$R262&lt;=SUM($T262:W262)),0,IF((IF($J262=0,$O262,$J262)*$I262)&gt;=($R262-SUM($T262:W262)),($R262-SUM($T262:W262)),IF($J262=0,$O262,$J262)*$I262)))</f>
        <v>0</v>
      </c>
      <c r="Y262" s="1367">
        <f>IF($R262-SUM($T262:X262)=0,0,IF(OR($R262&lt;=0,$R262&lt;=SUM($T262:X262)),0,IF((IF($J262=0,$O262,$J262)*$I262)&gt;=($R262-SUM($T262:X262)),($R262-SUM($T262:X262)),IF($J262=0,$O262,$J262)*$I262)))</f>
        <v>0</v>
      </c>
      <c r="Z262" s="1367">
        <f>IF($R262-SUM($T262:Y262)=0,0,IF(OR($R262&lt;=0,$R262&lt;=SUM($T262:Y262)),0,IF((IF($J262=0,$O262,$J262)*$I262)&gt;=($R262-SUM($T262:Y262)),($R262-SUM($T262:Y262)),IF($J262=0,$O262,$J262)*$I262)))</f>
        <v>0</v>
      </c>
      <c r="AA262" s="1367">
        <f>IF($R262-SUM($T262:Z262)=0,0,IF(OR($R262&lt;=0,$R262&lt;=SUM($T262:Z262)),0,IF((IF($J262=0,$O262,$J262)*$I262)&gt;=($R262-SUM($T262:Z262)),($R262-SUM($T262:Z262)),IF($J262=0,$O262,$J262)*$I262)))</f>
        <v>0</v>
      </c>
      <c r="AB262" s="1367">
        <f>IF($R262-SUM($T262:AA262)=0,0,IF(OR($R262&lt;=0,$R262&lt;=SUM($T262:AA262)),0,IF((IF($J262=0,$O262,$J262)*$I262)&gt;=($R262-SUM($T262:AA262)),($R262-SUM($T262:AA262)),IF($J262=0,$O262,$J262)*$I262)))</f>
        <v>0</v>
      </c>
      <c r="AC262" s="1367">
        <f>IF($R262-SUM($T262:AB262)=0,0,IF(OR($R262&lt;=0,$R262&lt;=SUM($T262:AB262)),0,IF((IF($J262=0,$O262,$J262)*$I262)&gt;=($R262-SUM($T262:AB262)),($R262-SUM($T262:AB262)),IF($J262=0,$O262,$J262)*$I262)))</f>
        <v>0</v>
      </c>
      <c r="AD262" s="1367">
        <f>IF($R262-SUM($T262:AC262)=0,0,IF(OR($R262&lt;=0,$R262&lt;=SUM($T262:AC262)),0,IF((IF($J262=0,$O262,$J262)*$I262)&gt;=($R262-SUM($T262:AC262)),($R262-SUM($T262:AC262)),IF($J262=0,$O262,$J262)*$I262)))</f>
        <v>0</v>
      </c>
      <c r="AF262" s="1319" t="b">
        <f t="shared" si="77"/>
        <v>1</v>
      </c>
      <c r="AG262" s="1319" t="str">
        <f t="shared" si="78"/>
        <v>Checked</v>
      </c>
      <c r="AH262" s="1318" t="b">
        <f t="shared" si="79"/>
        <v>1</v>
      </c>
    </row>
    <row r="263" spans="1:34" outlineLevel="1" x14ac:dyDescent="0.3">
      <c r="B263" s="1356" t="s">
        <v>2503</v>
      </c>
      <c r="C263" s="1356" t="s">
        <v>3173</v>
      </c>
      <c r="D263" s="1322" t="s">
        <v>2504</v>
      </c>
      <c r="E263" s="1357">
        <v>5</v>
      </c>
      <c r="F263" s="1333">
        <f t="shared" si="70"/>
        <v>4</v>
      </c>
      <c r="G263" s="1358">
        <f t="shared" si="71"/>
        <v>0</v>
      </c>
      <c r="H263" s="1359">
        <f t="shared" si="72"/>
        <v>0</v>
      </c>
      <c r="I263" s="1360">
        <f t="shared" si="73"/>
        <v>0.2</v>
      </c>
      <c r="J263" s="1361">
        <v>7300000</v>
      </c>
      <c r="K263" s="1362">
        <v>2743583</v>
      </c>
      <c r="L263" s="1356">
        <v>0</v>
      </c>
      <c r="M263" s="1356">
        <v>0</v>
      </c>
      <c r="N263" s="1361">
        <f t="shared" si="74"/>
        <v>4556417</v>
      </c>
      <c r="O263" s="1363">
        <v>0</v>
      </c>
      <c r="P263" s="1356">
        <v>0</v>
      </c>
      <c r="Q263" s="1364">
        <v>2054944</v>
      </c>
      <c r="R263" s="1365">
        <f t="shared" si="75"/>
        <v>2501473</v>
      </c>
      <c r="S263" s="1364"/>
      <c r="T263" s="1366">
        <f t="shared" si="76"/>
        <v>0</v>
      </c>
      <c r="U263" s="1367">
        <f>IF($R263-SUM($T263:T263)=0,0,IF(OR($R263&lt;=0,$R263&lt;=SUM($T263:T263)),0,IF((IF($J263=0,$O263,$J263)*$I263)&gt;=($R263-SUM($T263:T263)),($R263-SUM($T263:T263)),IF($J263=0,$O263,$J263)*$I263)))</f>
        <v>1460000</v>
      </c>
      <c r="V263" s="1367">
        <f>IF($R263-SUM($T263:U263)=0,0,IF(OR($R263&lt;=0,$R263&lt;=SUM($T263:U263)),0,IF((IF($J263=0,$O263,$J263)*$I263)&gt;=($R263-SUM($T263:U263)),($R263-SUM($T263:U263)),IF($J263=0,$O263,$J263)*$I263)))</f>
        <v>1041473</v>
      </c>
      <c r="W263" s="1367">
        <f>IF($R263-SUM($T263:V263)=0,0,IF(OR($R263&lt;=0,$R263&lt;=SUM($T263:V263)),0,IF((IF($J263=0,$O263,$J263)*$I263)&gt;=($R263-SUM($T263:V263)),($R263-SUM($T263:V263)),IF($J263=0,$O263,$J263)*$I263)))</f>
        <v>0</v>
      </c>
      <c r="X263" s="1367">
        <f>IF($R263-SUM($T263:W263)=0,0,IF(OR($R263&lt;=0,$R263&lt;=SUM($T263:W263)),0,IF((IF($J263=0,$O263,$J263)*$I263)&gt;=($R263-SUM($T263:W263)),($R263-SUM($T263:W263)),IF($J263=0,$O263,$J263)*$I263)))</f>
        <v>0</v>
      </c>
      <c r="Y263" s="1367">
        <f>IF($R263-SUM($T263:X263)=0,0,IF(OR($R263&lt;=0,$R263&lt;=SUM($T263:X263)),0,IF((IF($J263=0,$O263,$J263)*$I263)&gt;=($R263-SUM($T263:X263)),($R263-SUM($T263:X263)),IF($J263=0,$O263,$J263)*$I263)))</f>
        <v>0</v>
      </c>
      <c r="Z263" s="1367">
        <f>IF($R263-SUM($T263:Y263)=0,0,IF(OR($R263&lt;=0,$R263&lt;=SUM($T263:Y263)),0,IF((IF($J263=0,$O263,$J263)*$I263)&gt;=($R263-SUM($T263:Y263)),($R263-SUM($T263:Y263)),IF($J263=0,$O263,$J263)*$I263)))</f>
        <v>0</v>
      </c>
      <c r="AA263" s="1367">
        <f>IF($R263-SUM($T263:Z263)=0,0,IF(OR($R263&lt;=0,$R263&lt;=SUM($T263:Z263)),0,IF((IF($J263=0,$O263,$J263)*$I263)&gt;=($R263-SUM($T263:Z263)),($R263-SUM($T263:Z263)),IF($J263=0,$O263,$J263)*$I263)))</f>
        <v>0</v>
      </c>
      <c r="AB263" s="1367">
        <f>IF($R263-SUM($T263:AA263)=0,0,IF(OR($R263&lt;=0,$R263&lt;=SUM($T263:AA263)),0,IF((IF($J263=0,$O263,$J263)*$I263)&gt;=($R263-SUM($T263:AA263)),($R263-SUM($T263:AA263)),IF($J263=0,$O263,$J263)*$I263)))</f>
        <v>0</v>
      </c>
      <c r="AC263" s="1367">
        <f>IF($R263-SUM($T263:AB263)=0,0,IF(OR($R263&lt;=0,$R263&lt;=SUM($T263:AB263)),0,IF((IF($J263=0,$O263,$J263)*$I263)&gt;=($R263-SUM($T263:AB263)),($R263-SUM($T263:AB263)),IF($J263=0,$O263,$J263)*$I263)))</f>
        <v>0</v>
      </c>
      <c r="AD263" s="1367">
        <f>IF($R263-SUM($T263:AC263)=0,0,IF(OR($R263&lt;=0,$R263&lt;=SUM($T263:AC263)),0,IF((IF($J263=0,$O263,$J263)*$I263)&gt;=($R263-SUM($T263:AC263)),($R263-SUM($T263:AC263)),IF($J263=0,$O263,$J263)*$I263)))</f>
        <v>0</v>
      </c>
      <c r="AF263" s="1319" t="b">
        <f t="shared" si="77"/>
        <v>1</v>
      </c>
      <c r="AG263" s="1319" t="str">
        <f t="shared" si="78"/>
        <v>Checked</v>
      </c>
      <c r="AH263" s="1318" t="b">
        <f t="shared" si="79"/>
        <v>1</v>
      </c>
    </row>
    <row r="264" spans="1:34" s="1415" customFormat="1" outlineLevel="1" x14ac:dyDescent="0.3">
      <c r="A264" s="1400"/>
      <c r="B264" s="1401" t="s">
        <v>2505</v>
      </c>
      <c r="C264" s="1401" t="s">
        <v>3173</v>
      </c>
      <c r="D264" s="1402" t="s">
        <v>2506</v>
      </c>
      <c r="E264" s="1403">
        <v>5</v>
      </c>
      <c r="F264" s="1403">
        <f t="shared" si="70"/>
        <v>5</v>
      </c>
      <c r="G264" s="1404">
        <f t="shared" si="71"/>
        <v>0</v>
      </c>
      <c r="H264" s="1405">
        <f t="shared" si="72"/>
        <v>0</v>
      </c>
      <c r="I264" s="1406">
        <f t="shared" si="73"/>
        <v>0.2</v>
      </c>
      <c r="J264" s="1407">
        <v>3090000</v>
      </c>
      <c r="K264" s="1408"/>
      <c r="L264" s="1401">
        <v>0</v>
      </c>
      <c r="M264" s="1401">
        <v>0</v>
      </c>
      <c r="N264" s="1407">
        <f t="shared" si="74"/>
        <v>3090000</v>
      </c>
      <c r="O264" s="1409">
        <v>0</v>
      </c>
      <c r="P264" s="1401">
        <v>0</v>
      </c>
      <c r="Q264" s="1410">
        <v>348397</v>
      </c>
      <c r="R264" s="1408">
        <f t="shared" si="75"/>
        <v>2741603</v>
      </c>
      <c r="S264" s="1410"/>
      <c r="T264" s="1411">
        <f t="shared" si="76"/>
        <v>0</v>
      </c>
      <c r="U264" s="1412">
        <f>IF($R264-SUM($T264:T264)=0,0,IF(OR($R264&lt;=0,$R264&lt;=SUM($T264:T264)),0,IF((IF($J264=0,$O264,$J264)*$I264)&gt;=($R264-SUM($T264:T264)),($R264-SUM($T264:T264)),IF($J264=0,$O264,$J264)*$I264)))</f>
        <v>618000</v>
      </c>
      <c r="V264" s="1412">
        <f>IF($R264-SUM($T264:U264)=0,0,IF(OR($R264&lt;=0,$R264&lt;=SUM($T264:U264)),0,IF((IF($J264=0,$O264,$J264)*$I264)&gt;=($R264-SUM($T264:U264)),($R264-SUM($T264:U264)),IF($J264=0,$O264,$J264)*$I264)))</f>
        <v>618000</v>
      </c>
      <c r="W264" s="1412">
        <f>IF($R264-SUM($T264:V264)=0,0,IF(OR($R264&lt;=0,$R264&lt;=SUM($T264:V264)),0,IF((IF($J264=0,$O264,$J264)*$I264)&gt;=($R264-SUM($T264:V264)),($R264-SUM($T264:V264)),IF($J264=0,$O264,$J264)*$I264)))</f>
        <v>618000</v>
      </c>
      <c r="X264" s="1412">
        <f>IF($R264-SUM($T264:W264)=0,0,IF(OR($R264&lt;=0,$R264&lt;=SUM($T264:W264)),0,IF((IF($J264=0,$O264,$J264)*$I264)&gt;=($R264-SUM($T264:W264)),($R264-SUM($T264:W264)),IF($J264=0,$O264,$J264)*$I264)))</f>
        <v>618000</v>
      </c>
      <c r="Y264" s="1412">
        <f>IF($R264-SUM($T264:X264)=0,0,IF(OR($R264&lt;=0,$R264&lt;=SUM($T264:X264)),0,IF((IF($J264=0,$O264,$J264)*$I264)&gt;=($R264-SUM($T264:X264)),($R264-SUM($T264:X264)),IF($J264=0,$O264,$J264)*$I264)))</f>
        <v>269603</v>
      </c>
      <c r="Z264" s="1412">
        <f>IF($R264-SUM($T264:Y264)=0,0,IF(OR($R264&lt;=0,$R264&lt;=SUM($T264:Y264)),0,IF((IF($J264=0,$O264,$J264)*$I264)&gt;=($R264-SUM($T264:Y264)),($R264-SUM($T264:Y264)),IF($J264=0,$O264,$J264)*$I264)))</f>
        <v>0</v>
      </c>
      <c r="AA264" s="1412">
        <f>IF($R264-SUM($T264:Z264)=0,0,IF(OR($R264&lt;=0,$R264&lt;=SUM($T264:Z264)),0,IF((IF($J264=0,$O264,$J264)*$I264)&gt;=($R264-SUM($T264:Z264)),($R264-SUM($T264:Z264)),IF($J264=0,$O264,$J264)*$I264)))</f>
        <v>0</v>
      </c>
      <c r="AB264" s="1412">
        <f>IF($R264-SUM($T264:AA264)=0,0,IF(OR($R264&lt;=0,$R264&lt;=SUM($T264:AA264)),0,IF((IF($J264=0,$O264,$J264)*$I264)&gt;=($R264-SUM($T264:AA264)),($R264-SUM($T264:AA264)),IF($J264=0,$O264,$J264)*$I264)))</f>
        <v>0</v>
      </c>
      <c r="AC264" s="1412">
        <f>IF($R264-SUM($T264:AB264)=0,0,IF(OR($R264&lt;=0,$R264&lt;=SUM($T264:AB264)),0,IF((IF($J264=0,$O264,$J264)*$I264)&gt;=($R264-SUM($T264:AB264)),($R264-SUM($T264:AB264)),IF($J264=0,$O264,$J264)*$I264)))</f>
        <v>0</v>
      </c>
      <c r="AD264" s="1412">
        <f>IF($R264-SUM($T264:AC264)=0,0,IF(OR($R264&lt;=0,$R264&lt;=SUM($T264:AC264)),0,IF((IF($J264=0,$O264,$J264)*$I264)&gt;=($R264-SUM($T264:AC264)),($R264-SUM($T264:AC264)),IF($J264=0,$O264,$J264)*$I264)))</f>
        <v>0</v>
      </c>
      <c r="AE264" s="1413"/>
      <c r="AF264" s="1414" t="b">
        <f t="shared" si="77"/>
        <v>1</v>
      </c>
      <c r="AG264" s="1414" t="str">
        <f t="shared" si="78"/>
        <v>Checked</v>
      </c>
      <c r="AH264" s="1415" t="b">
        <f t="shared" si="79"/>
        <v>1</v>
      </c>
    </row>
    <row r="265" spans="1:34" s="1415" customFormat="1" outlineLevel="1" x14ac:dyDescent="0.3">
      <c r="A265" s="1400"/>
      <c r="B265" s="1401"/>
      <c r="C265" s="1401"/>
      <c r="D265" s="1402"/>
      <c r="E265" s="1403"/>
      <c r="F265" s="1403"/>
      <c r="G265" s="1404"/>
      <c r="H265" s="1405"/>
      <c r="I265" s="1406"/>
      <c r="J265" s="1407"/>
      <c r="K265" s="1408"/>
      <c r="L265" s="1401"/>
      <c r="M265" s="1401"/>
      <c r="N265" s="1407"/>
      <c r="O265" s="1409"/>
      <c r="P265" s="1401"/>
      <c r="Q265" s="1410"/>
      <c r="R265" s="1408"/>
      <c r="S265" s="1410"/>
      <c r="T265" s="1411"/>
      <c r="U265" s="1412"/>
      <c r="V265" s="1412"/>
      <c r="W265" s="1412"/>
      <c r="X265" s="1412"/>
      <c r="Y265" s="1412"/>
      <c r="Z265" s="1412"/>
      <c r="AA265" s="1412"/>
      <c r="AB265" s="1412"/>
      <c r="AC265" s="1412"/>
      <c r="AD265" s="1412"/>
      <c r="AE265" s="1413"/>
      <c r="AF265" s="1414"/>
      <c r="AG265" s="1414"/>
    </row>
    <row r="266" spans="1:34" outlineLevel="1" x14ac:dyDescent="0.3">
      <c r="B266" s="1356" t="s">
        <v>2507</v>
      </c>
      <c r="C266" s="1356" t="s">
        <v>1987</v>
      </c>
      <c r="D266" s="1322" t="s">
        <v>2508</v>
      </c>
      <c r="E266" s="1357">
        <v>5</v>
      </c>
      <c r="F266" s="1333">
        <f t="shared" ref="F266:F290" si="80">MAX((E266-(YEAR($E$4)-YEAR(D266))),0)</f>
        <v>0</v>
      </c>
      <c r="G266" s="1358">
        <f t="shared" ref="G266:G290" si="81">IF(YEAR(D266)=YEAR($E$4),IF($E$2=$E$4,0,IF(D266&lt;$E$4,$E$2-$E$4,$E$2-D266)),$E$2-$E$4)</f>
        <v>0</v>
      </c>
      <c r="H266" s="1359">
        <f t="shared" ref="H266:H290" si="82">G266/365</f>
        <v>0</v>
      </c>
      <c r="I266" s="1360">
        <f t="shared" ref="I266:I290" si="83">1/E266</f>
        <v>0.2</v>
      </c>
      <c r="J266" s="1361">
        <v>4300000</v>
      </c>
      <c r="K266" s="1362">
        <v>4299000</v>
      </c>
      <c r="L266" s="1356">
        <v>0</v>
      </c>
      <c r="M266" s="1356">
        <v>0</v>
      </c>
      <c r="N266" s="1361">
        <f t="shared" ref="N266:N285" si="84">J266-K266-L266+M266</f>
        <v>1000</v>
      </c>
      <c r="O266" s="1363">
        <v>0</v>
      </c>
      <c r="P266" s="1356">
        <v>0</v>
      </c>
      <c r="Q266" s="1364"/>
      <c r="R266" s="1365">
        <f t="shared" ref="R266:R290" si="85">MAX(IF(J266=0,(O266-P266-Q266),(N266-P266-Q266)),0)</f>
        <v>1000</v>
      </c>
      <c r="S266" s="1364"/>
      <c r="T266" s="1366">
        <f t="shared" ref="T266:T283" si="86">IF(R266=0,0,MIN(IF(J266=0,O266*I266*H266,J266*I266*H266),R266))</f>
        <v>0</v>
      </c>
      <c r="U266" s="1367">
        <f>IF($R266-SUM($T266:T266)=0,0,IF(OR($R266&lt;=0,$R266&lt;=SUM($T266:T266)),0,IF((IF($J266=0,$O266,$J266)*$I266)&gt;=($R266-SUM($T266:T266)),($R266-SUM($T266:T266)),IF($J266=0,$O266,$J266)*$I266)))</f>
        <v>1000</v>
      </c>
      <c r="V266" s="1367">
        <f>IF($R266-SUM($T266:U266)=0,0,IF(OR($R266&lt;=0,$R266&lt;=SUM($T266:U266)),0,IF((IF($J266=0,$O266,$J266)*$I266)&gt;=($R266-SUM($T266:U266)),($R266-SUM($T266:U266)),IF($J266=0,$O266,$J266)*$I266)))</f>
        <v>0</v>
      </c>
      <c r="W266" s="1367">
        <f>IF($R266-SUM($T266:V266)=0,0,IF(OR($R266&lt;=0,$R266&lt;=SUM($T266:V266)),0,IF((IF($J266=0,$O266,$J266)*$I266)&gt;=($R266-SUM($T266:V266)),($R266-SUM($T266:V266)),IF($J266=0,$O266,$J266)*$I266)))</f>
        <v>0</v>
      </c>
      <c r="X266" s="1367">
        <f>IF($R266-SUM($T266:W266)=0,0,IF(OR($R266&lt;=0,$R266&lt;=SUM($T266:W266)),0,IF((IF($J266=0,$O266,$J266)*$I266)&gt;=($R266-SUM($T266:W266)),($R266-SUM($T266:W266)),IF($J266=0,$O266,$J266)*$I266)))</f>
        <v>0</v>
      </c>
      <c r="Y266" s="1367">
        <f>IF($R266-SUM($T266:X266)=0,0,IF(OR($R266&lt;=0,$R266&lt;=SUM($T266:X266)),0,IF((IF($J266=0,$O266,$J266)*$I266)&gt;=($R266-SUM($T266:X266)),($R266-SUM($T266:X266)),IF($J266=0,$O266,$J266)*$I266)))</f>
        <v>0</v>
      </c>
      <c r="Z266" s="1367">
        <f>IF($R266-SUM($T266:Y266)=0,0,IF(OR($R266&lt;=0,$R266&lt;=SUM($T266:Y266)),0,IF((IF($J266=0,$O266,$J266)*$I266)&gt;=($R266-SUM($T266:Y266)),($R266-SUM($T266:Y266)),IF($J266=0,$O266,$J266)*$I266)))</f>
        <v>0</v>
      </c>
      <c r="AA266" s="1367">
        <f>IF($R266-SUM($T266:Z266)=0,0,IF(OR($R266&lt;=0,$R266&lt;=SUM($T266:Z266)),0,IF((IF($J266=0,$O266,$J266)*$I266)&gt;=($R266-SUM($T266:Z266)),($R266-SUM($T266:Z266)),IF($J266=0,$O266,$J266)*$I266)))</f>
        <v>0</v>
      </c>
      <c r="AB266" s="1367">
        <f>IF($R266-SUM($T266:AA266)=0,0,IF(OR($R266&lt;=0,$R266&lt;=SUM($T266:AA266)),0,IF((IF($J266=0,$O266,$J266)*$I266)&gt;=($R266-SUM($T266:AA266)),($R266-SUM($T266:AA266)),IF($J266=0,$O266,$J266)*$I266)))</f>
        <v>0</v>
      </c>
      <c r="AC266" s="1367">
        <f>IF($R266-SUM($T266:AB266)=0,0,IF(OR($R266&lt;=0,$R266&lt;=SUM($T266:AB266)),0,IF((IF($J266=0,$O266,$J266)*$I266)&gt;=($R266-SUM($T266:AB266)),($R266-SUM($T266:AB266)),IF($J266=0,$O266,$J266)*$I266)))</f>
        <v>0</v>
      </c>
      <c r="AD266" s="1367">
        <f>IF($R266-SUM($T266:AC266)=0,0,IF(OR($R266&lt;=0,$R266&lt;=SUM($T266:AC266)),0,IF((IF($J266=0,$O266,$J266)*$I266)&gt;=($R266-SUM($T266:AC266)),($R266-SUM($T266:AC266)),IF($J266=0,$O266,$J266)*$I266)))</f>
        <v>0</v>
      </c>
      <c r="AF266" s="1319" t="b">
        <f t="shared" ref="AF266:AF290" si="87">IF(AD266=0,SUM(T266:AD266)=R266,"Check")</f>
        <v>1</v>
      </c>
      <c r="AG266" s="1319" t="str">
        <f t="shared" ref="AG266:AG290" si="88">IF(R266=0,SUM(T266:AD266)=0,"Checked")</f>
        <v>Checked</v>
      </c>
      <c r="AH266" s="1318" t="str">
        <f t="shared" ref="AH266:AH280" si="89">IF((R266-T266)&gt;U266,IF(J266=0,O266,J266)*I266=U266,"Checked")</f>
        <v>Checked</v>
      </c>
    </row>
    <row r="267" spans="1:34" outlineLevel="1" x14ac:dyDescent="0.3">
      <c r="B267" s="1356" t="s">
        <v>2509</v>
      </c>
      <c r="C267" s="1356" t="s">
        <v>1987</v>
      </c>
      <c r="D267" s="1322" t="s">
        <v>2510</v>
      </c>
      <c r="E267" s="1357">
        <v>5</v>
      </c>
      <c r="F267" s="1333">
        <f t="shared" si="80"/>
        <v>0</v>
      </c>
      <c r="G267" s="1358">
        <f t="shared" si="81"/>
        <v>0</v>
      </c>
      <c r="H267" s="1359">
        <f t="shared" si="82"/>
        <v>0</v>
      </c>
      <c r="I267" s="1360">
        <f t="shared" si="83"/>
        <v>0.2</v>
      </c>
      <c r="J267" s="1361">
        <v>12500000</v>
      </c>
      <c r="K267" s="1362">
        <v>12499000</v>
      </c>
      <c r="L267" s="1356">
        <v>0</v>
      </c>
      <c r="M267" s="1356">
        <v>0</v>
      </c>
      <c r="N267" s="1361">
        <f t="shared" si="84"/>
        <v>1000</v>
      </c>
      <c r="O267" s="1363">
        <v>0</v>
      </c>
      <c r="P267" s="1356">
        <v>0</v>
      </c>
      <c r="Q267" s="1364"/>
      <c r="R267" s="1365">
        <f t="shared" si="85"/>
        <v>1000</v>
      </c>
      <c r="S267" s="1364"/>
      <c r="T267" s="1366">
        <f t="shared" si="86"/>
        <v>0</v>
      </c>
      <c r="U267" s="1367">
        <f>IF($R267-SUM($T267:T267)=0,0,IF(OR($R267&lt;=0,$R267&lt;=SUM($T267:T267)),0,IF((IF($J267=0,$O267,$J267)*$I267)&gt;=($R267-SUM($T267:T267)),($R267-SUM($T267:T267)),IF($J267=0,$O267,$J267)*$I267)))</f>
        <v>1000</v>
      </c>
      <c r="V267" s="1367">
        <f>IF($R267-SUM($T267:U267)=0,0,IF(OR($R267&lt;=0,$R267&lt;=SUM($T267:U267)),0,IF((IF($J267=0,$O267,$J267)*$I267)&gt;=($R267-SUM($T267:U267)),($R267-SUM($T267:U267)),IF($J267=0,$O267,$J267)*$I267)))</f>
        <v>0</v>
      </c>
      <c r="W267" s="1367">
        <f>IF($R267-SUM($T267:V267)=0,0,IF(OR($R267&lt;=0,$R267&lt;=SUM($T267:V267)),0,IF((IF($J267=0,$O267,$J267)*$I267)&gt;=($R267-SUM($T267:V267)),($R267-SUM($T267:V267)),IF($J267=0,$O267,$J267)*$I267)))</f>
        <v>0</v>
      </c>
      <c r="X267" s="1367">
        <f>IF($R267-SUM($T267:W267)=0,0,IF(OR($R267&lt;=0,$R267&lt;=SUM($T267:W267)),0,IF((IF($J267=0,$O267,$J267)*$I267)&gt;=($R267-SUM($T267:W267)),($R267-SUM($T267:W267)),IF($J267=0,$O267,$J267)*$I267)))</f>
        <v>0</v>
      </c>
      <c r="Y267" s="1367">
        <f>IF($R267-SUM($T267:X267)=0,0,IF(OR($R267&lt;=0,$R267&lt;=SUM($T267:X267)),0,IF((IF($J267=0,$O267,$J267)*$I267)&gt;=($R267-SUM($T267:X267)),($R267-SUM($T267:X267)),IF($J267=0,$O267,$J267)*$I267)))</f>
        <v>0</v>
      </c>
      <c r="Z267" s="1367">
        <f>IF($R267-SUM($T267:Y267)=0,0,IF(OR($R267&lt;=0,$R267&lt;=SUM($T267:Y267)),0,IF((IF($J267=0,$O267,$J267)*$I267)&gt;=($R267-SUM($T267:Y267)),($R267-SUM($T267:Y267)),IF($J267=0,$O267,$J267)*$I267)))</f>
        <v>0</v>
      </c>
      <c r="AA267" s="1367">
        <f>IF($R267-SUM($T267:Z267)=0,0,IF(OR($R267&lt;=0,$R267&lt;=SUM($T267:Z267)),0,IF((IF($J267=0,$O267,$J267)*$I267)&gt;=($R267-SUM($T267:Z267)),($R267-SUM($T267:Z267)),IF($J267=0,$O267,$J267)*$I267)))</f>
        <v>0</v>
      </c>
      <c r="AB267" s="1367">
        <f>IF($R267-SUM($T267:AA267)=0,0,IF(OR($R267&lt;=0,$R267&lt;=SUM($T267:AA267)),0,IF((IF($J267=0,$O267,$J267)*$I267)&gt;=($R267-SUM($T267:AA267)),($R267-SUM($T267:AA267)),IF($J267=0,$O267,$J267)*$I267)))</f>
        <v>0</v>
      </c>
      <c r="AC267" s="1367">
        <f>IF($R267-SUM($T267:AB267)=0,0,IF(OR($R267&lt;=0,$R267&lt;=SUM($T267:AB267)),0,IF((IF($J267=0,$O267,$J267)*$I267)&gt;=($R267-SUM($T267:AB267)),($R267-SUM($T267:AB267)),IF($J267=0,$O267,$J267)*$I267)))</f>
        <v>0</v>
      </c>
      <c r="AD267" s="1367">
        <f>IF($R267-SUM($T267:AC267)=0,0,IF(OR($R267&lt;=0,$R267&lt;=SUM($T267:AC267)),0,IF((IF($J267=0,$O267,$J267)*$I267)&gt;=($R267-SUM($T267:AC267)),($R267-SUM($T267:AC267)),IF($J267=0,$O267,$J267)*$I267)))</f>
        <v>0</v>
      </c>
      <c r="AF267" s="1319" t="b">
        <f t="shared" si="87"/>
        <v>1</v>
      </c>
      <c r="AG267" s="1319" t="str">
        <f t="shared" si="88"/>
        <v>Checked</v>
      </c>
      <c r="AH267" s="1318" t="str">
        <f t="shared" si="89"/>
        <v>Checked</v>
      </c>
    </row>
    <row r="268" spans="1:34" outlineLevel="1" x14ac:dyDescent="0.3">
      <c r="B268" s="1356" t="s">
        <v>2511</v>
      </c>
      <c r="C268" s="1356" t="s">
        <v>1987</v>
      </c>
      <c r="D268" s="1322" t="s">
        <v>2512</v>
      </c>
      <c r="E268" s="1357">
        <v>5</v>
      </c>
      <c r="F268" s="1333">
        <f t="shared" si="80"/>
        <v>0</v>
      </c>
      <c r="G268" s="1358">
        <f t="shared" si="81"/>
        <v>0</v>
      </c>
      <c r="H268" s="1359">
        <f t="shared" si="82"/>
        <v>0</v>
      </c>
      <c r="I268" s="1360">
        <f t="shared" si="83"/>
        <v>0.2</v>
      </c>
      <c r="J268" s="1361">
        <v>14545455</v>
      </c>
      <c r="K268" s="1362">
        <v>14544455</v>
      </c>
      <c r="L268" s="1356">
        <v>0</v>
      </c>
      <c r="M268" s="1356">
        <v>0</v>
      </c>
      <c r="N268" s="1361">
        <f t="shared" si="84"/>
        <v>1000</v>
      </c>
      <c r="O268" s="1363">
        <v>0</v>
      </c>
      <c r="P268" s="1356">
        <v>0</v>
      </c>
      <c r="Q268" s="1364"/>
      <c r="R268" s="1365">
        <f t="shared" si="85"/>
        <v>1000</v>
      </c>
      <c r="S268" s="1364"/>
      <c r="T268" s="1366">
        <f t="shared" si="86"/>
        <v>0</v>
      </c>
      <c r="U268" s="1367">
        <f>IF($R268-SUM($T268:T268)=0,0,IF(OR($R268&lt;=0,$R268&lt;=SUM($T268:T268)),0,IF((IF($J268=0,$O268,$J268)*$I268)&gt;=($R268-SUM($T268:T268)),($R268-SUM($T268:T268)),IF($J268=0,$O268,$J268)*$I268)))</f>
        <v>1000</v>
      </c>
      <c r="V268" s="1367">
        <f>IF($R268-SUM($T268:U268)=0,0,IF(OR($R268&lt;=0,$R268&lt;=SUM($T268:U268)),0,IF((IF($J268=0,$O268,$J268)*$I268)&gt;=($R268-SUM($T268:U268)),($R268-SUM($T268:U268)),IF($J268=0,$O268,$J268)*$I268)))</f>
        <v>0</v>
      </c>
      <c r="W268" s="1367">
        <f>IF($R268-SUM($T268:V268)=0,0,IF(OR($R268&lt;=0,$R268&lt;=SUM($T268:V268)),0,IF((IF($J268=0,$O268,$J268)*$I268)&gt;=($R268-SUM($T268:V268)),($R268-SUM($T268:V268)),IF($J268=0,$O268,$J268)*$I268)))</f>
        <v>0</v>
      </c>
      <c r="X268" s="1367">
        <f>IF($R268-SUM($T268:W268)=0,0,IF(OR($R268&lt;=0,$R268&lt;=SUM($T268:W268)),0,IF((IF($J268=0,$O268,$J268)*$I268)&gt;=($R268-SUM($T268:W268)),($R268-SUM($T268:W268)),IF($J268=0,$O268,$J268)*$I268)))</f>
        <v>0</v>
      </c>
      <c r="Y268" s="1367">
        <f>IF($R268-SUM($T268:X268)=0,0,IF(OR($R268&lt;=0,$R268&lt;=SUM($T268:X268)),0,IF((IF($J268=0,$O268,$J268)*$I268)&gt;=($R268-SUM($T268:X268)),($R268-SUM($T268:X268)),IF($J268=0,$O268,$J268)*$I268)))</f>
        <v>0</v>
      </c>
      <c r="Z268" s="1367">
        <f>IF($R268-SUM($T268:Y268)=0,0,IF(OR($R268&lt;=0,$R268&lt;=SUM($T268:Y268)),0,IF((IF($J268=0,$O268,$J268)*$I268)&gt;=($R268-SUM($T268:Y268)),($R268-SUM($T268:Y268)),IF($J268=0,$O268,$J268)*$I268)))</f>
        <v>0</v>
      </c>
      <c r="AA268" s="1367">
        <f>IF($R268-SUM($T268:Z268)=0,0,IF(OR($R268&lt;=0,$R268&lt;=SUM($T268:Z268)),0,IF((IF($J268=0,$O268,$J268)*$I268)&gt;=($R268-SUM($T268:Z268)),($R268-SUM($T268:Z268)),IF($J268=0,$O268,$J268)*$I268)))</f>
        <v>0</v>
      </c>
      <c r="AB268" s="1367">
        <f>IF($R268-SUM($T268:AA268)=0,0,IF(OR($R268&lt;=0,$R268&lt;=SUM($T268:AA268)),0,IF((IF($J268=0,$O268,$J268)*$I268)&gt;=($R268-SUM($T268:AA268)),($R268-SUM($T268:AA268)),IF($J268=0,$O268,$J268)*$I268)))</f>
        <v>0</v>
      </c>
      <c r="AC268" s="1367">
        <f>IF($R268-SUM($T268:AB268)=0,0,IF(OR($R268&lt;=0,$R268&lt;=SUM($T268:AB268)),0,IF((IF($J268=0,$O268,$J268)*$I268)&gt;=($R268-SUM($T268:AB268)),($R268-SUM($T268:AB268)),IF($J268=0,$O268,$J268)*$I268)))</f>
        <v>0</v>
      </c>
      <c r="AD268" s="1367">
        <f>IF($R268-SUM($T268:AC268)=0,0,IF(OR($R268&lt;=0,$R268&lt;=SUM($T268:AC268)),0,IF((IF($J268=0,$O268,$J268)*$I268)&gt;=($R268-SUM($T268:AC268)),($R268-SUM($T268:AC268)),IF($J268=0,$O268,$J268)*$I268)))</f>
        <v>0</v>
      </c>
      <c r="AF268" s="1319" t="b">
        <f t="shared" si="87"/>
        <v>1</v>
      </c>
      <c r="AG268" s="1319" t="str">
        <f t="shared" si="88"/>
        <v>Checked</v>
      </c>
      <c r="AH268" s="1318" t="str">
        <f t="shared" si="89"/>
        <v>Checked</v>
      </c>
    </row>
    <row r="269" spans="1:34" outlineLevel="1" x14ac:dyDescent="0.3">
      <c r="B269" s="1356" t="s">
        <v>2513</v>
      </c>
      <c r="C269" s="1356" t="s">
        <v>1987</v>
      </c>
      <c r="D269" s="1322" t="s">
        <v>2514</v>
      </c>
      <c r="E269" s="1357">
        <v>5</v>
      </c>
      <c r="F269" s="1333">
        <f t="shared" si="80"/>
        <v>0</v>
      </c>
      <c r="G269" s="1358">
        <f t="shared" si="81"/>
        <v>0</v>
      </c>
      <c r="H269" s="1359">
        <f t="shared" si="82"/>
        <v>0</v>
      </c>
      <c r="I269" s="1360">
        <f t="shared" si="83"/>
        <v>0.2</v>
      </c>
      <c r="J269" s="1361">
        <v>2161818</v>
      </c>
      <c r="K269" s="1362">
        <v>2160818</v>
      </c>
      <c r="L269" s="1356">
        <v>0</v>
      </c>
      <c r="M269" s="1356">
        <v>0</v>
      </c>
      <c r="N269" s="1361">
        <f t="shared" si="84"/>
        <v>1000</v>
      </c>
      <c r="O269" s="1363">
        <v>0</v>
      </c>
      <c r="P269" s="1356">
        <v>0</v>
      </c>
      <c r="Q269" s="1364"/>
      <c r="R269" s="1365">
        <f t="shared" si="85"/>
        <v>1000</v>
      </c>
      <c r="S269" s="1364"/>
      <c r="T269" s="1366">
        <f t="shared" si="86"/>
        <v>0</v>
      </c>
      <c r="U269" s="1367">
        <f>IF($R269-SUM($T269:T269)=0,0,IF(OR($R269&lt;=0,$R269&lt;=SUM($T269:T269)),0,IF((IF($J269=0,$O269,$J269)*$I269)&gt;=($R269-SUM($T269:T269)),($R269-SUM($T269:T269)),IF($J269=0,$O269,$J269)*$I269)))</f>
        <v>1000</v>
      </c>
      <c r="V269" s="1367">
        <f>IF($R269-SUM($T269:U269)=0,0,IF(OR($R269&lt;=0,$R269&lt;=SUM($T269:U269)),0,IF((IF($J269=0,$O269,$J269)*$I269)&gt;=($R269-SUM($T269:U269)),($R269-SUM($T269:U269)),IF($J269=0,$O269,$J269)*$I269)))</f>
        <v>0</v>
      </c>
      <c r="W269" s="1367">
        <f>IF($R269-SUM($T269:V269)=0,0,IF(OR($R269&lt;=0,$R269&lt;=SUM($T269:V269)),0,IF((IF($J269=0,$O269,$J269)*$I269)&gt;=($R269-SUM($T269:V269)),($R269-SUM($T269:V269)),IF($J269=0,$O269,$J269)*$I269)))</f>
        <v>0</v>
      </c>
      <c r="X269" s="1367">
        <f>IF($R269-SUM($T269:W269)=0,0,IF(OR($R269&lt;=0,$R269&lt;=SUM($T269:W269)),0,IF((IF($J269=0,$O269,$J269)*$I269)&gt;=($R269-SUM($T269:W269)),($R269-SUM($T269:W269)),IF($J269=0,$O269,$J269)*$I269)))</f>
        <v>0</v>
      </c>
      <c r="Y269" s="1367">
        <f>IF($R269-SUM($T269:X269)=0,0,IF(OR($R269&lt;=0,$R269&lt;=SUM($T269:X269)),0,IF((IF($J269=0,$O269,$J269)*$I269)&gt;=($R269-SUM($T269:X269)),($R269-SUM($T269:X269)),IF($J269=0,$O269,$J269)*$I269)))</f>
        <v>0</v>
      </c>
      <c r="Z269" s="1367">
        <f>IF($R269-SUM($T269:Y269)=0,0,IF(OR($R269&lt;=0,$R269&lt;=SUM($T269:Y269)),0,IF((IF($J269=0,$O269,$J269)*$I269)&gt;=($R269-SUM($T269:Y269)),($R269-SUM($T269:Y269)),IF($J269=0,$O269,$J269)*$I269)))</f>
        <v>0</v>
      </c>
      <c r="AA269" s="1367">
        <f>IF($R269-SUM($T269:Z269)=0,0,IF(OR($R269&lt;=0,$R269&lt;=SUM($T269:Z269)),0,IF((IF($J269=0,$O269,$J269)*$I269)&gt;=($R269-SUM($T269:Z269)),($R269-SUM($T269:Z269)),IF($J269=0,$O269,$J269)*$I269)))</f>
        <v>0</v>
      </c>
      <c r="AB269" s="1367">
        <f>IF($R269-SUM($T269:AA269)=0,0,IF(OR($R269&lt;=0,$R269&lt;=SUM($T269:AA269)),0,IF((IF($J269=0,$O269,$J269)*$I269)&gt;=($R269-SUM($T269:AA269)),($R269-SUM($T269:AA269)),IF($J269=0,$O269,$J269)*$I269)))</f>
        <v>0</v>
      </c>
      <c r="AC269" s="1367">
        <f>IF($R269-SUM($T269:AB269)=0,0,IF(OR($R269&lt;=0,$R269&lt;=SUM($T269:AB269)),0,IF((IF($J269=0,$O269,$J269)*$I269)&gt;=($R269-SUM($T269:AB269)),($R269-SUM($T269:AB269)),IF($J269=0,$O269,$J269)*$I269)))</f>
        <v>0</v>
      </c>
      <c r="AD269" s="1367">
        <f>IF($R269-SUM($T269:AC269)=0,0,IF(OR($R269&lt;=0,$R269&lt;=SUM($T269:AC269)),0,IF((IF($J269=0,$O269,$J269)*$I269)&gt;=($R269-SUM($T269:AC269)),($R269-SUM($T269:AC269)),IF($J269=0,$O269,$J269)*$I269)))</f>
        <v>0</v>
      </c>
      <c r="AF269" s="1319" t="b">
        <f t="shared" si="87"/>
        <v>1</v>
      </c>
      <c r="AG269" s="1319" t="str">
        <f t="shared" si="88"/>
        <v>Checked</v>
      </c>
      <c r="AH269" s="1318" t="str">
        <f t="shared" si="89"/>
        <v>Checked</v>
      </c>
    </row>
    <row r="270" spans="1:34" outlineLevel="1" x14ac:dyDescent="0.3">
      <c r="B270" s="1356" t="s">
        <v>2515</v>
      </c>
      <c r="C270" s="1356" t="s">
        <v>1987</v>
      </c>
      <c r="D270" s="1322" t="s">
        <v>2516</v>
      </c>
      <c r="E270" s="1357">
        <v>5</v>
      </c>
      <c r="F270" s="1333">
        <f t="shared" si="80"/>
        <v>0</v>
      </c>
      <c r="G270" s="1358">
        <f t="shared" si="81"/>
        <v>0</v>
      </c>
      <c r="H270" s="1359">
        <f t="shared" si="82"/>
        <v>0</v>
      </c>
      <c r="I270" s="1360">
        <f t="shared" si="83"/>
        <v>0.2</v>
      </c>
      <c r="J270" s="1361">
        <v>1500000</v>
      </c>
      <c r="K270" s="1362">
        <v>1499000</v>
      </c>
      <c r="L270" s="1356">
        <v>0</v>
      </c>
      <c r="M270" s="1356">
        <v>0</v>
      </c>
      <c r="N270" s="1361">
        <f t="shared" si="84"/>
        <v>1000</v>
      </c>
      <c r="O270" s="1363">
        <v>0</v>
      </c>
      <c r="P270" s="1356">
        <v>0</v>
      </c>
      <c r="Q270" s="1364"/>
      <c r="R270" s="1365">
        <f t="shared" si="85"/>
        <v>1000</v>
      </c>
      <c r="S270" s="1364"/>
      <c r="T270" s="1366">
        <f t="shared" si="86"/>
        <v>0</v>
      </c>
      <c r="U270" s="1367">
        <f>IF($R270-SUM($T270:T270)=0,0,IF(OR($R270&lt;=0,$R270&lt;=SUM($T270:T270)),0,IF((IF($J270=0,$O270,$J270)*$I270)&gt;=($R270-SUM($T270:T270)),($R270-SUM($T270:T270)),IF($J270=0,$O270,$J270)*$I270)))</f>
        <v>1000</v>
      </c>
      <c r="V270" s="1367">
        <f>IF($R270-SUM($T270:U270)=0,0,IF(OR($R270&lt;=0,$R270&lt;=SUM($T270:U270)),0,IF((IF($J270=0,$O270,$J270)*$I270)&gt;=($R270-SUM($T270:U270)),($R270-SUM($T270:U270)),IF($J270=0,$O270,$J270)*$I270)))</f>
        <v>0</v>
      </c>
      <c r="W270" s="1367">
        <f>IF($R270-SUM($T270:V270)=0,0,IF(OR($R270&lt;=0,$R270&lt;=SUM($T270:V270)),0,IF((IF($J270=0,$O270,$J270)*$I270)&gt;=($R270-SUM($T270:V270)),($R270-SUM($T270:V270)),IF($J270=0,$O270,$J270)*$I270)))</f>
        <v>0</v>
      </c>
      <c r="X270" s="1367">
        <f>IF($R270-SUM($T270:W270)=0,0,IF(OR($R270&lt;=0,$R270&lt;=SUM($T270:W270)),0,IF((IF($J270=0,$O270,$J270)*$I270)&gt;=($R270-SUM($T270:W270)),($R270-SUM($T270:W270)),IF($J270=0,$O270,$J270)*$I270)))</f>
        <v>0</v>
      </c>
      <c r="Y270" s="1367">
        <f>IF($R270-SUM($T270:X270)=0,0,IF(OR($R270&lt;=0,$R270&lt;=SUM($T270:X270)),0,IF((IF($J270=0,$O270,$J270)*$I270)&gt;=($R270-SUM($T270:X270)),($R270-SUM($T270:X270)),IF($J270=0,$O270,$J270)*$I270)))</f>
        <v>0</v>
      </c>
      <c r="Z270" s="1367">
        <f>IF($R270-SUM($T270:Y270)=0,0,IF(OR($R270&lt;=0,$R270&lt;=SUM($T270:Y270)),0,IF((IF($J270=0,$O270,$J270)*$I270)&gt;=($R270-SUM($T270:Y270)),($R270-SUM($T270:Y270)),IF($J270=0,$O270,$J270)*$I270)))</f>
        <v>0</v>
      </c>
      <c r="AA270" s="1367">
        <f>IF($R270-SUM($T270:Z270)=0,0,IF(OR($R270&lt;=0,$R270&lt;=SUM($T270:Z270)),0,IF((IF($J270=0,$O270,$J270)*$I270)&gt;=($R270-SUM($T270:Z270)),($R270-SUM($T270:Z270)),IF($J270=0,$O270,$J270)*$I270)))</f>
        <v>0</v>
      </c>
      <c r="AB270" s="1367">
        <f>IF($R270-SUM($T270:AA270)=0,0,IF(OR($R270&lt;=0,$R270&lt;=SUM($T270:AA270)),0,IF((IF($J270=0,$O270,$J270)*$I270)&gt;=($R270-SUM($T270:AA270)),($R270-SUM($T270:AA270)),IF($J270=0,$O270,$J270)*$I270)))</f>
        <v>0</v>
      </c>
      <c r="AC270" s="1367">
        <f>IF($R270-SUM($T270:AB270)=0,0,IF(OR($R270&lt;=0,$R270&lt;=SUM($T270:AB270)),0,IF((IF($J270=0,$O270,$J270)*$I270)&gt;=($R270-SUM($T270:AB270)),($R270-SUM($T270:AB270)),IF($J270=0,$O270,$J270)*$I270)))</f>
        <v>0</v>
      </c>
      <c r="AD270" s="1367">
        <f>IF($R270-SUM($T270:AC270)=0,0,IF(OR($R270&lt;=0,$R270&lt;=SUM($T270:AC270)),0,IF((IF($J270=0,$O270,$J270)*$I270)&gt;=($R270-SUM($T270:AC270)),($R270-SUM($T270:AC270)),IF($J270=0,$O270,$J270)*$I270)))</f>
        <v>0</v>
      </c>
      <c r="AF270" s="1319" t="b">
        <f t="shared" si="87"/>
        <v>1</v>
      </c>
      <c r="AG270" s="1319" t="str">
        <f t="shared" si="88"/>
        <v>Checked</v>
      </c>
      <c r="AH270" s="1318" t="str">
        <f t="shared" si="89"/>
        <v>Checked</v>
      </c>
    </row>
    <row r="271" spans="1:34" outlineLevel="1" x14ac:dyDescent="0.3">
      <c r="B271" s="1356" t="s">
        <v>2517</v>
      </c>
      <c r="C271" s="1356" t="s">
        <v>1987</v>
      </c>
      <c r="D271" s="1322" t="s">
        <v>2518</v>
      </c>
      <c r="E271" s="1357">
        <v>5</v>
      </c>
      <c r="F271" s="1333">
        <f t="shared" si="80"/>
        <v>0</v>
      </c>
      <c r="G271" s="1358">
        <f t="shared" si="81"/>
        <v>0</v>
      </c>
      <c r="H271" s="1359">
        <f t="shared" si="82"/>
        <v>0</v>
      </c>
      <c r="I271" s="1360">
        <f t="shared" si="83"/>
        <v>0.2</v>
      </c>
      <c r="J271" s="1361">
        <v>5454545</v>
      </c>
      <c r="K271" s="1362">
        <v>5453545</v>
      </c>
      <c r="L271" s="1356">
        <v>0</v>
      </c>
      <c r="M271" s="1356">
        <v>0</v>
      </c>
      <c r="N271" s="1361">
        <f t="shared" si="84"/>
        <v>1000</v>
      </c>
      <c r="O271" s="1363">
        <v>0</v>
      </c>
      <c r="P271" s="1356">
        <v>0</v>
      </c>
      <c r="Q271" s="1364"/>
      <c r="R271" s="1365">
        <f t="shared" si="85"/>
        <v>1000</v>
      </c>
      <c r="S271" s="1364"/>
      <c r="T271" s="1366">
        <f t="shared" si="86"/>
        <v>0</v>
      </c>
      <c r="U271" s="1367">
        <f>IF($R271-SUM($T271:T271)=0,0,IF(OR($R271&lt;=0,$R271&lt;=SUM($T271:T271)),0,IF((IF($J271=0,$O271,$J271)*$I271)&gt;=($R271-SUM($T271:T271)),($R271-SUM($T271:T271)),IF($J271=0,$O271,$J271)*$I271)))</f>
        <v>1000</v>
      </c>
      <c r="V271" s="1367">
        <f>IF($R271-SUM($T271:U271)=0,0,IF(OR($R271&lt;=0,$R271&lt;=SUM($T271:U271)),0,IF((IF($J271=0,$O271,$J271)*$I271)&gt;=($R271-SUM($T271:U271)),($R271-SUM($T271:U271)),IF($J271=0,$O271,$J271)*$I271)))</f>
        <v>0</v>
      </c>
      <c r="W271" s="1367">
        <f>IF($R271-SUM($T271:V271)=0,0,IF(OR($R271&lt;=0,$R271&lt;=SUM($T271:V271)),0,IF((IF($J271=0,$O271,$J271)*$I271)&gt;=($R271-SUM($T271:V271)),($R271-SUM($T271:V271)),IF($J271=0,$O271,$J271)*$I271)))</f>
        <v>0</v>
      </c>
      <c r="X271" s="1367">
        <f>IF($R271-SUM($T271:W271)=0,0,IF(OR($R271&lt;=0,$R271&lt;=SUM($T271:W271)),0,IF((IF($J271=0,$O271,$J271)*$I271)&gt;=($R271-SUM($T271:W271)),($R271-SUM($T271:W271)),IF($J271=0,$O271,$J271)*$I271)))</f>
        <v>0</v>
      </c>
      <c r="Y271" s="1367">
        <f>IF($R271-SUM($T271:X271)=0,0,IF(OR($R271&lt;=0,$R271&lt;=SUM($T271:X271)),0,IF((IF($J271=0,$O271,$J271)*$I271)&gt;=($R271-SUM($T271:X271)),($R271-SUM($T271:X271)),IF($J271=0,$O271,$J271)*$I271)))</f>
        <v>0</v>
      </c>
      <c r="Z271" s="1367">
        <f>IF($R271-SUM($T271:Y271)=0,0,IF(OR($R271&lt;=0,$R271&lt;=SUM($T271:Y271)),0,IF((IF($J271=0,$O271,$J271)*$I271)&gt;=($R271-SUM($T271:Y271)),($R271-SUM($T271:Y271)),IF($J271=0,$O271,$J271)*$I271)))</f>
        <v>0</v>
      </c>
      <c r="AA271" s="1367">
        <f>IF($R271-SUM($T271:Z271)=0,0,IF(OR($R271&lt;=0,$R271&lt;=SUM($T271:Z271)),0,IF((IF($J271=0,$O271,$J271)*$I271)&gt;=($R271-SUM($T271:Z271)),($R271-SUM($T271:Z271)),IF($J271=0,$O271,$J271)*$I271)))</f>
        <v>0</v>
      </c>
      <c r="AB271" s="1367">
        <f>IF($R271-SUM($T271:AA271)=0,0,IF(OR($R271&lt;=0,$R271&lt;=SUM($T271:AA271)),0,IF((IF($J271=0,$O271,$J271)*$I271)&gt;=($R271-SUM($T271:AA271)),($R271-SUM($T271:AA271)),IF($J271=0,$O271,$J271)*$I271)))</f>
        <v>0</v>
      </c>
      <c r="AC271" s="1367">
        <f>IF($R271-SUM($T271:AB271)=0,0,IF(OR($R271&lt;=0,$R271&lt;=SUM($T271:AB271)),0,IF((IF($J271=0,$O271,$J271)*$I271)&gt;=($R271-SUM($T271:AB271)),($R271-SUM($T271:AB271)),IF($J271=0,$O271,$J271)*$I271)))</f>
        <v>0</v>
      </c>
      <c r="AD271" s="1367">
        <f>IF($R271-SUM($T271:AC271)=0,0,IF(OR($R271&lt;=0,$R271&lt;=SUM($T271:AC271)),0,IF((IF($J271=0,$O271,$J271)*$I271)&gt;=($R271-SUM($T271:AC271)),($R271-SUM($T271:AC271)),IF($J271=0,$O271,$J271)*$I271)))</f>
        <v>0</v>
      </c>
      <c r="AF271" s="1319" t="b">
        <f t="shared" si="87"/>
        <v>1</v>
      </c>
      <c r="AG271" s="1319" t="str">
        <f t="shared" si="88"/>
        <v>Checked</v>
      </c>
      <c r="AH271" s="1318" t="str">
        <f t="shared" si="89"/>
        <v>Checked</v>
      </c>
    </row>
    <row r="272" spans="1:34" outlineLevel="1" x14ac:dyDescent="0.3">
      <c r="B272" s="1356" t="s">
        <v>2519</v>
      </c>
      <c r="C272" s="1356" t="s">
        <v>1987</v>
      </c>
      <c r="D272" s="1322" t="s">
        <v>2520</v>
      </c>
      <c r="E272" s="1357">
        <v>5</v>
      </c>
      <c r="F272" s="1333">
        <f t="shared" si="80"/>
        <v>0</v>
      </c>
      <c r="G272" s="1358">
        <f t="shared" si="81"/>
        <v>0</v>
      </c>
      <c r="H272" s="1359">
        <f t="shared" si="82"/>
        <v>0</v>
      </c>
      <c r="I272" s="1360">
        <f t="shared" si="83"/>
        <v>0.2</v>
      </c>
      <c r="J272" s="1361">
        <v>15409090</v>
      </c>
      <c r="K272" s="1362">
        <v>15408090</v>
      </c>
      <c r="L272" s="1356">
        <v>0</v>
      </c>
      <c r="M272" s="1356">
        <v>0</v>
      </c>
      <c r="N272" s="1361">
        <f t="shared" si="84"/>
        <v>1000</v>
      </c>
      <c r="O272" s="1363">
        <v>0</v>
      </c>
      <c r="P272" s="1356">
        <v>0</v>
      </c>
      <c r="Q272" s="1364"/>
      <c r="R272" s="1365">
        <f t="shared" si="85"/>
        <v>1000</v>
      </c>
      <c r="S272" s="1364"/>
      <c r="T272" s="1366">
        <f t="shared" si="86"/>
        <v>0</v>
      </c>
      <c r="U272" s="1367">
        <f>IF($R272-SUM($T272:T272)=0,0,IF(OR($R272&lt;=0,$R272&lt;=SUM($T272:T272)),0,IF((IF($J272=0,$O272,$J272)*$I272)&gt;=($R272-SUM($T272:T272)),($R272-SUM($T272:T272)),IF($J272=0,$O272,$J272)*$I272)))</f>
        <v>1000</v>
      </c>
      <c r="V272" s="1367">
        <f>IF($R272-SUM($T272:U272)=0,0,IF(OR($R272&lt;=0,$R272&lt;=SUM($T272:U272)),0,IF((IF($J272=0,$O272,$J272)*$I272)&gt;=($R272-SUM($T272:U272)),($R272-SUM($T272:U272)),IF($J272=0,$O272,$J272)*$I272)))</f>
        <v>0</v>
      </c>
      <c r="W272" s="1367">
        <f>IF($R272-SUM($T272:V272)=0,0,IF(OR($R272&lt;=0,$R272&lt;=SUM($T272:V272)),0,IF((IF($J272=0,$O272,$J272)*$I272)&gt;=($R272-SUM($T272:V272)),($R272-SUM($T272:V272)),IF($J272=0,$O272,$J272)*$I272)))</f>
        <v>0</v>
      </c>
      <c r="X272" s="1367">
        <f>IF($R272-SUM($T272:W272)=0,0,IF(OR($R272&lt;=0,$R272&lt;=SUM($T272:W272)),0,IF((IF($J272=0,$O272,$J272)*$I272)&gt;=($R272-SUM($T272:W272)),($R272-SUM($T272:W272)),IF($J272=0,$O272,$J272)*$I272)))</f>
        <v>0</v>
      </c>
      <c r="Y272" s="1367">
        <f>IF($R272-SUM($T272:X272)=0,0,IF(OR($R272&lt;=0,$R272&lt;=SUM($T272:X272)),0,IF((IF($J272=0,$O272,$J272)*$I272)&gt;=($R272-SUM($T272:X272)),($R272-SUM($T272:X272)),IF($J272=0,$O272,$J272)*$I272)))</f>
        <v>0</v>
      </c>
      <c r="Z272" s="1367">
        <f>IF($R272-SUM($T272:Y272)=0,0,IF(OR($R272&lt;=0,$R272&lt;=SUM($T272:Y272)),0,IF((IF($J272=0,$O272,$J272)*$I272)&gt;=($R272-SUM($T272:Y272)),($R272-SUM($T272:Y272)),IF($J272=0,$O272,$J272)*$I272)))</f>
        <v>0</v>
      </c>
      <c r="AA272" s="1367">
        <f>IF($R272-SUM($T272:Z272)=0,0,IF(OR($R272&lt;=0,$R272&lt;=SUM($T272:Z272)),0,IF((IF($J272=0,$O272,$J272)*$I272)&gt;=($R272-SUM($T272:Z272)),($R272-SUM($T272:Z272)),IF($J272=0,$O272,$J272)*$I272)))</f>
        <v>0</v>
      </c>
      <c r="AB272" s="1367">
        <f>IF($R272-SUM($T272:AA272)=0,0,IF(OR($R272&lt;=0,$R272&lt;=SUM($T272:AA272)),0,IF((IF($J272=0,$O272,$J272)*$I272)&gt;=($R272-SUM($T272:AA272)),($R272-SUM($T272:AA272)),IF($J272=0,$O272,$J272)*$I272)))</f>
        <v>0</v>
      </c>
      <c r="AC272" s="1367">
        <f>IF($R272-SUM($T272:AB272)=0,0,IF(OR($R272&lt;=0,$R272&lt;=SUM($T272:AB272)),0,IF((IF($J272=0,$O272,$J272)*$I272)&gt;=($R272-SUM($T272:AB272)),($R272-SUM($T272:AB272)),IF($J272=0,$O272,$J272)*$I272)))</f>
        <v>0</v>
      </c>
      <c r="AD272" s="1367">
        <f>IF($R272-SUM($T272:AC272)=0,0,IF(OR($R272&lt;=0,$R272&lt;=SUM($T272:AC272)),0,IF((IF($J272=0,$O272,$J272)*$I272)&gt;=($R272-SUM($T272:AC272)),($R272-SUM($T272:AC272)),IF($J272=0,$O272,$J272)*$I272)))</f>
        <v>0</v>
      </c>
      <c r="AF272" s="1319" t="b">
        <f t="shared" si="87"/>
        <v>1</v>
      </c>
      <c r="AG272" s="1319" t="str">
        <f t="shared" si="88"/>
        <v>Checked</v>
      </c>
      <c r="AH272" s="1318" t="str">
        <f t="shared" si="89"/>
        <v>Checked</v>
      </c>
    </row>
    <row r="273" spans="2:34" outlineLevel="1" x14ac:dyDescent="0.3">
      <c r="B273" s="1356" t="s">
        <v>2521</v>
      </c>
      <c r="C273" s="1356" t="s">
        <v>1987</v>
      </c>
      <c r="D273" s="1322" t="s">
        <v>2522</v>
      </c>
      <c r="E273" s="1357">
        <v>5</v>
      </c>
      <c r="F273" s="1333">
        <f t="shared" si="80"/>
        <v>0</v>
      </c>
      <c r="G273" s="1358">
        <f t="shared" si="81"/>
        <v>0</v>
      </c>
      <c r="H273" s="1359">
        <f t="shared" si="82"/>
        <v>0</v>
      </c>
      <c r="I273" s="1360">
        <f t="shared" si="83"/>
        <v>0.2</v>
      </c>
      <c r="J273" s="1361">
        <v>1036365</v>
      </c>
      <c r="K273" s="1362">
        <v>1035365</v>
      </c>
      <c r="L273" s="1356">
        <v>0</v>
      </c>
      <c r="M273" s="1356">
        <v>0</v>
      </c>
      <c r="N273" s="1361">
        <f t="shared" si="84"/>
        <v>1000</v>
      </c>
      <c r="O273" s="1363">
        <v>0</v>
      </c>
      <c r="P273" s="1356">
        <v>0</v>
      </c>
      <c r="Q273" s="1364"/>
      <c r="R273" s="1365">
        <f t="shared" si="85"/>
        <v>1000</v>
      </c>
      <c r="S273" s="1364"/>
      <c r="T273" s="1366">
        <f t="shared" si="86"/>
        <v>0</v>
      </c>
      <c r="U273" s="1367">
        <f>IF($R273-SUM($T273:T273)=0,0,IF(OR($R273&lt;=0,$R273&lt;=SUM($T273:T273)),0,IF((IF($J273=0,$O273,$J273)*$I273)&gt;=($R273-SUM($T273:T273)),($R273-SUM($T273:T273)),IF($J273=0,$O273,$J273)*$I273)))</f>
        <v>1000</v>
      </c>
      <c r="V273" s="1367">
        <f>IF($R273-SUM($T273:U273)=0,0,IF(OR($R273&lt;=0,$R273&lt;=SUM($T273:U273)),0,IF((IF($J273=0,$O273,$J273)*$I273)&gt;=($R273-SUM($T273:U273)),($R273-SUM($T273:U273)),IF($J273=0,$O273,$J273)*$I273)))</f>
        <v>0</v>
      </c>
      <c r="W273" s="1367">
        <f>IF($R273-SUM($T273:V273)=0,0,IF(OR($R273&lt;=0,$R273&lt;=SUM($T273:V273)),0,IF((IF($J273=0,$O273,$J273)*$I273)&gt;=($R273-SUM($T273:V273)),($R273-SUM($T273:V273)),IF($J273=0,$O273,$J273)*$I273)))</f>
        <v>0</v>
      </c>
      <c r="X273" s="1367">
        <f>IF($R273-SUM($T273:W273)=0,0,IF(OR($R273&lt;=0,$R273&lt;=SUM($T273:W273)),0,IF((IF($J273=0,$O273,$J273)*$I273)&gt;=($R273-SUM($T273:W273)),($R273-SUM($T273:W273)),IF($J273=0,$O273,$J273)*$I273)))</f>
        <v>0</v>
      </c>
      <c r="Y273" s="1367">
        <f>IF($R273-SUM($T273:X273)=0,0,IF(OR($R273&lt;=0,$R273&lt;=SUM($T273:X273)),0,IF((IF($J273=0,$O273,$J273)*$I273)&gt;=($R273-SUM($T273:X273)),($R273-SUM($T273:X273)),IF($J273=0,$O273,$J273)*$I273)))</f>
        <v>0</v>
      </c>
      <c r="Z273" s="1367">
        <f>IF($R273-SUM($T273:Y273)=0,0,IF(OR($R273&lt;=0,$R273&lt;=SUM($T273:Y273)),0,IF((IF($J273=0,$O273,$J273)*$I273)&gt;=($R273-SUM($T273:Y273)),($R273-SUM($T273:Y273)),IF($J273=0,$O273,$J273)*$I273)))</f>
        <v>0</v>
      </c>
      <c r="AA273" s="1367">
        <f>IF($R273-SUM($T273:Z273)=0,0,IF(OR($R273&lt;=0,$R273&lt;=SUM($T273:Z273)),0,IF((IF($J273=0,$O273,$J273)*$I273)&gt;=($R273-SUM($T273:Z273)),($R273-SUM($T273:Z273)),IF($J273=0,$O273,$J273)*$I273)))</f>
        <v>0</v>
      </c>
      <c r="AB273" s="1367">
        <f>IF($R273-SUM($T273:AA273)=0,0,IF(OR($R273&lt;=0,$R273&lt;=SUM($T273:AA273)),0,IF((IF($J273=0,$O273,$J273)*$I273)&gt;=($R273-SUM($T273:AA273)),($R273-SUM($T273:AA273)),IF($J273=0,$O273,$J273)*$I273)))</f>
        <v>0</v>
      </c>
      <c r="AC273" s="1367">
        <f>IF($R273-SUM($T273:AB273)=0,0,IF(OR($R273&lt;=0,$R273&lt;=SUM($T273:AB273)),0,IF((IF($J273=0,$O273,$J273)*$I273)&gt;=($R273-SUM($T273:AB273)),($R273-SUM($T273:AB273)),IF($J273=0,$O273,$J273)*$I273)))</f>
        <v>0</v>
      </c>
      <c r="AD273" s="1367">
        <f>IF($R273-SUM($T273:AC273)=0,0,IF(OR($R273&lt;=0,$R273&lt;=SUM($T273:AC273)),0,IF((IF($J273=0,$O273,$J273)*$I273)&gt;=($R273-SUM($T273:AC273)),($R273-SUM($T273:AC273)),IF($J273=0,$O273,$J273)*$I273)))</f>
        <v>0</v>
      </c>
      <c r="AF273" s="1319" t="b">
        <f t="shared" si="87"/>
        <v>1</v>
      </c>
      <c r="AG273" s="1319" t="str">
        <f t="shared" si="88"/>
        <v>Checked</v>
      </c>
      <c r="AH273" s="1318" t="str">
        <f t="shared" si="89"/>
        <v>Checked</v>
      </c>
    </row>
    <row r="274" spans="2:34" outlineLevel="1" x14ac:dyDescent="0.3">
      <c r="B274" s="1356" t="s">
        <v>2523</v>
      </c>
      <c r="C274" s="1356" t="s">
        <v>1987</v>
      </c>
      <c r="D274" s="1322" t="s">
        <v>2524</v>
      </c>
      <c r="E274" s="1357">
        <v>5</v>
      </c>
      <c r="F274" s="1333">
        <f t="shared" si="80"/>
        <v>0</v>
      </c>
      <c r="G274" s="1358">
        <f t="shared" si="81"/>
        <v>0</v>
      </c>
      <c r="H274" s="1359">
        <f t="shared" si="82"/>
        <v>0</v>
      </c>
      <c r="I274" s="1360">
        <f t="shared" si="83"/>
        <v>0.2</v>
      </c>
      <c r="J274" s="1361">
        <v>5000000</v>
      </c>
      <c r="K274" s="1362">
        <v>4999000</v>
      </c>
      <c r="L274" s="1356">
        <v>0</v>
      </c>
      <c r="M274" s="1356">
        <v>0</v>
      </c>
      <c r="N274" s="1361">
        <f t="shared" si="84"/>
        <v>1000</v>
      </c>
      <c r="O274" s="1363">
        <v>0</v>
      </c>
      <c r="P274" s="1356">
        <v>0</v>
      </c>
      <c r="Q274" s="1364"/>
      <c r="R274" s="1365">
        <f t="shared" si="85"/>
        <v>1000</v>
      </c>
      <c r="S274" s="1364"/>
      <c r="T274" s="1366">
        <f t="shared" si="86"/>
        <v>0</v>
      </c>
      <c r="U274" s="1367">
        <f>IF($R274-SUM($T274:T274)=0,0,IF(OR($R274&lt;=0,$R274&lt;=SUM($T274:T274)),0,IF((IF($J274=0,$O274,$J274)*$I274)&gt;=($R274-SUM($T274:T274)),($R274-SUM($T274:T274)),IF($J274=0,$O274,$J274)*$I274)))</f>
        <v>1000</v>
      </c>
      <c r="V274" s="1367">
        <f>IF($R274-SUM($T274:U274)=0,0,IF(OR($R274&lt;=0,$R274&lt;=SUM($T274:U274)),0,IF((IF($J274=0,$O274,$J274)*$I274)&gt;=($R274-SUM($T274:U274)),($R274-SUM($T274:U274)),IF($J274=0,$O274,$J274)*$I274)))</f>
        <v>0</v>
      </c>
      <c r="W274" s="1367">
        <f>IF($R274-SUM($T274:V274)=0,0,IF(OR($R274&lt;=0,$R274&lt;=SUM($T274:V274)),0,IF((IF($J274=0,$O274,$J274)*$I274)&gt;=($R274-SUM($T274:V274)),($R274-SUM($T274:V274)),IF($J274=0,$O274,$J274)*$I274)))</f>
        <v>0</v>
      </c>
      <c r="X274" s="1367">
        <f>IF($R274-SUM($T274:W274)=0,0,IF(OR($R274&lt;=0,$R274&lt;=SUM($T274:W274)),0,IF((IF($J274=0,$O274,$J274)*$I274)&gt;=($R274-SUM($T274:W274)),($R274-SUM($T274:W274)),IF($J274=0,$O274,$J274)*$I274)))</f>
        <v>0</v>
      </c>
      <c r="Y274" s="1367">
        <f>IF($R274-SUM($T274:X274)=0,0,IF(OR($R274&lt;=0,$R274&lt;=SUM($T274:X274)),0,IF((IF($J274=0,$O274,$J274)*$I274)&gt;=($R274-SUM($T274:X274)),($R274-SUM($T274:X274)),IF($J274=0,$O274,$J274)*$I274)))</f>
        <v>0</v>
      </c>
      <c r="Z274" s="1367">
        <f>IF($R274-SUM($T274:Y274)=0,0,IF(OR($R274&lt;=0,$R274&lt;=SUM($T274:Y274)),0,IF((IF($J274=0,$O274,$J274)*$I274)&gt;=($R274-SUM($T274:Y274)),($R274-SUM($T274:Y274)),IF($J274=0,$O274,$J274)*$I274)))</f>
        <v>0</v>
      </c>
      <c r="AA274" s="1367">
        <f>IF($R274-SUM($T274:Z274)=0,0,IF(OR($R274&lt;=0,$R274&lt;=SUM($T274:Z274)),0,IF((IF($J274=0,$O274,$J274)*$I274)&gt;=($R274-SUM($T274:Z274)),($R274-SUM($T274:Z274)),IF($J274=0,$O274,$J274)*$I274)))</f>
        <v>0</v>
      </c>
      <c r="AB274" s="1367">
        <f>IF($R274-SUM($T274:AA274)=0,0,IF(OR($R274&lt;=0,$R274&lt;=SUM($T274:AA274)),0,IF((IF($J274=0,$O274,$J274)*$I274)&gt;=($R274-SUM($T274:AA274)),($R274-SUM($T274:AA274)),IF($J274=0,$O274,$J274)*$I274)))</f>
        <v>0</v>
      </c>
      <c r="AC274" s="1367">
        <f>IF($R274-SUM($T274:AB274)=0,0,IF(OR($R274&lt;=0,$R274&lt;=SUM($T274:AB274)),0,IF((IF($J274=0,$O274,$J274)*$I274)&gt;=($R274-SUM($T274:AB274)),($R274-SUM($T274:AB274)),IF($J274=0,$O274,$J274)*$I274)))</f>
        <v>0</v>
      </c>
      <c r="AD274" s="1367">
        <f>IF($R274-SUM($T274:AC274)=0,0,IF(OR($R274&lt;=0,$R274&lt;=SUM($T274:AC274)),0,IF((IF($J274=0,$O274,$J274)*$I274)&gt;=($R274-SUM($T274:AC274)),($R274-SUM($T274:AC274)),IF($J274=0,$O274,$J274)*$I274)))</f>
        <v>0</v>
      </c>
      <c r="AF274" s="1319" t="b">
        <f t="shared" si="87"/>
        <v>1</v>
      </c>
      <c r="AG274" s="1319" t="str">
        <f t="shared" si="88"/>
        <v>Checked</v>
      </c>
      <c r="AH274" s="1318" t="str">
        <f t="shared" si="89"/>
        <v>Checked</v>
      </c>
    </row>
    <row r="275" spans="2:34" outlineLevel="1" x14ac:dyDescent="0.3">
      <c r="B275" s="1356" t="s">
        <v>2525</v>
      </c>
      <c r="C275" s="1356" t="s">
        <v>1987</v>
      </c>
      <c r="D275" s="1322" t="s">
        <v>2526</v>
      </c>
      <c r="E275" s="1357">
        <v>5</v>
      </c>
      <c r="F275" s="1333">
        <f t="shared" si="80"/>
        <v>0</v>
      </c>
      <c r="G275" s="1358">
        <f t="shared" si="81"/>
        <v>0</v>
      </c>
      <c r="H275" s="1359">
        <f t="shared" si="82"/>
        <v>0</v>
      </c>
      <c r="I275" s="1360">
        <f t="shared" si="83"/>
        <v>0.2</v>
      </c>
      <c r="J275" s="1361">
        <v>4804545</v>
      </c>
      <c r="K275" s="1362">
        <v>4803545</v>
      </c>
      <c r="L275" s="1356">
        <v>0</v>
      </c>
      <c r="M275" s="1356">
        <v>0</v>
      </c>
      <c r="N275" s="1361">
        <f t="shared" si="84"/>
        <v>1000</v>
      </c>
      <c r="O275" s="1363">
        <v>0</v>
      </c>
      <c r="P275" s="1356">
        <v>0</v>
      </c>
      <c r="Q275" s="1364"/>
      <c r="R275" s="1365">
        <f t="shared" si="85"/>
        <v>1000</v>
      </c>
      <c r="S275" s="1364"/>
      <c r="T275" s="1366">
        <f t="shared" si="86"/>
        <v>0</v>
      </c>
      <c r="U275" s="1367">
        <f>IF($R275-SUM($T275:T275)=0,0,IF(OR($R275&lt;=0,$R275&lt;=SUM($T275:T275)),0,IF((IF($J275=0,$O275,$J275)*$I275)&gt;=($R275-SUM($T275:T275)),($R275-SUM($T275:T275)),IF($J275=0,$O275,$J275)*$I275)))</f>
        <v>1000</v>
      </c>
      <c r="V275" s="1367">
        <f>IF($R275-SUM($T275:U275)=0,0,IF(OR($R275&lt;=0,$R275&lt;=SUM($T275:U275)),0,IF((IF($J275=0,$O275,$J275)*$I275)&gt;=($R275-SUM($T275:U275)),($R275-SUM($T275:U275)),IF($J275=0,$O275,$J275)*$I275)))</f>
        <v>0</v>
      </c>
      <c r="W275" s="1367">
        <f>IF($R275-SUM($T275:V275)=0,0,IF(OR($R275&lt;=0,$R275&lt;=SUM($T275:V275)),0,IF((IF($J275=0,$O275,$J275)*$I275)&gt;=($R275-SUM($T275:V275)),($R275-SUM($T275:V275)),IF($J275=0,$O275,$J275)*$I275)))</f>
        <v>0</v>
      </c>
      <c r="X275" s="1367">
        <f>IF($R275-SUM($T275:W275)=0,0,IF(OR($R275&lt;=0,$R275&lt;=SUM($T275:W275)),0,IF((IF($J275=0,$O275,$J275)*$I275)&gt;=($R275-SUM($T275:W275)),($R275-SUM($T275:W275)),IF($J275=0,$O275,$J275)*$I275)))</f>
        <v>0</v>
      </c>
      <c r="Y275" s="1367">
        <f>IF($R275-SUM($T275:X275)=0,0,IF(OR($R275&lt;=0,$R275&lt;=SUM($T275:X275)),0,IF((IF($J275=0,$O275,$J275)*$I275)&gt;=($R275-SUM($T275:X275)),($R275-SUM($T275:X275)),IF($J275=0,$O275,$J275)*$I275)))</f>
        <v>0</v>
      </c>
      <c r="Z275" s="1367">
        <f>IF($R275-SUM($T275:Y275)=0,0,IF(OR($R275&lt;=0,$R275&lt;=SUM($T275:Y275)),0,IF((IF($J275=0,$O275,$J275)*$I275)&gt;=($R275-SUM($T275:Y275)),($R275-SUM($T275:Y275)),IF($J275=0,$O275,$J275)*$I275)))</f>
        <v>0</v>
      </c>
      <c r="AA275" s="1367">
        <f>IF($R275-SUM($T275:Z275)=0,0,IF(OR($R275&lt;=0,$R275&lt;=SUM($T275:Z275)),0,IF((IF($J275=0,$O275,$J275)*$I275)&gt;=($R275-SUM($T275:Z275)),($R275-SUM($T275:Z275)),IF($J275=0,$O275,$J275)*$I275)))</f>
        <v>0</v>
      </c>
      <c r="AB275" s="1367">
        <f>IF($R275-SUM($T275:AA275)=0,0,IF(OR($R275&lt;=0,$R275&lt;=SUM($T275:AA275)),0,IF((IF($J275=0,$O275,$J275)*$I275)&gt;=($R275-SUM($T275:AA275)),($R275-SUM($T275:AA275)),IF($J275=0,$O275,$J275)*$I275)))</f>
        <v>0</v>
      </c>
      <c r="AC275" s="1367">
        <f>IF($R275-SUM($T275:AB275)=0,0,IF(OR($R275&lt;=0,$R275&lt;=SUM($T275:AB275)),0,IF((IF($J275=0,$O275,$J275)*$I275)&gt;=($R275-SUM($T275:AB275)),($R275-SUM($T275:AB275)),IF($J275=0,$O275,$J275)*$I275)))</f>
        <v>0</v>
      </c>
      <c r="AD275" s="1367">
        <f>IF($R275-SUM($T275:AC275)=0,0,IF(OR($R275&lt;=0,$R275&lt;=SUM($T275:AC275)),0,IF((IF($J275=0,$O275,$J275)*$I275)&gt;=($R275-SUM($T275:AC275)),($R275-SUM($T275:AC275)),IF($J275=0,$O275,$J275)*$I275)))</f>
        <v>0</v>
      </c>
      <c r="AF275" s="1319" t="b">
        <f t="shared" si="87"/>
        <v>1</v>
      </c>
      <c r="AG275" s="1319" t="str">
        <f t="shared" si="88"/>
        <v>Checked</v>
      </c>
      <c r="AH275" s="1318" t="str">
        <f t="shared" si="89"/>
        <v>Checked</v>
      </c>
    </row>
    <row r="276" spans="2:34" outlineLevel="1" x14ac:dyDescent="0.3">
      <c r="B276" s="1356" t="s">
        <v>2521</v>
      </c>
      <c r="C276" s="1356" t="s">
        <v>1987</v>
      </c>
      <c r="D276" s="1322" t="s">
        <v>2527</v>
      </c>
      <c r="E276" s="1357">
        <v>5</v>
      </c>
      <c r="F276" s="1333">
        <f t="shared" si="80"/>
        <v>0</v>
      </c>
      <c r="G276" s="1358">
        <f t="shared" si="81"/>
        <v>0</v>
      </c>
      <c r="H276" s="1359">
        <f t="shared" si="82"/>
        <v>0</v>
      </c>
      <c r="I276" s="1360">
        <f t="shared" si="83"/>
        <v>0.2</v>
      </c>
      <c r="J276" s="1361">
        <v>2000000</v>
      </c>
      <c r="K276" s="1362">
        <v>1866112</v>
      </c>
      <c r="L276" s="1356">
        <v>0</v>
      </c>
      <c r="M276" s="1356">
        <v>0</v>
      </c>
      <c r="N276" s="1361">
        <f t="shared" si="84"/>
        <v>133888</v>
      </c>
      <c r="O276" s="1363">
        <v>0</v>
      </c>
      <c r="P276" s="1356">
        <v>0</v>
      </c>
      <c r="Q276" s="1364">
        <v>132888</v>
      </c>
      <c r="R276" s="1365">
        <f t="shared" si="85"/>
        <v>1000</v>
      </c>
      <c r="S276" s="1364"/>
      <c r="T276" s="1366">
        <f t="shared" si="86"/>
        <v>0</v>
      </c>
      <c r="U276" s="1367">
        <f>IF($R276-SUM($T276:T276)=0,0,IF(OR($R276&lt;=0,$R276&lt;=SUM($T276:T276)),0,IF((IF($J276=0,$O276,$J276)*$I276)&gt;=($R276-SUM($T276:T276)),($R276-SUM($T276:T276)),IF($J276=0,$O276,$J276)*$I276)))</f>
        <v>1000</v>
      </c>
      <c r="V276" s="1367">
        <f>IF($R276-SUM($T276:U276)=0,0,IF(OR($R276&lt;=0,$R276&lt;=SUM($T276:U276)),0,IF((IF($J276=0,$O276,$J276)*$I276)&gt;=($R276-SUM($T276:U276)),($R276-SUM($T276:U276)),IF($J276=0,$O276,$J276)*$I276)))</f>
        <v>0</v>
      </c>
      <c r="W276" s="1367">
        <f>IF($R276-SUM($T276:V276)=0,0,IF(OR($R276&lt;=0,$R276&lt;=SUM($T276:V276)),0,IF((IF($J276=0,$O276,$J276)*$I276)&gt;=($R276-SUM($T276:V276)),($R276-SUM($T276:V276)),IF($J276=0,$O276,$J276)*$I276)))</f>
        <v>0</v>
      </c>
      <c r="X276" s="1367">
        <f>IF($R276-SUM($T276:W276)=0,0,IF(OR($R276&lt;=0,$R276&lt;=SUM($T276:W276)),0,IF((IF($J276=0,$O276,$J276)*$I276)&gt;=($R276-SUM($T276:W276)),($R276-SUM($T276:W276)),IF($J276=0,$O276,$J276)*$I276)))</f>
        <v>0</v>
      </c>
      <c r="Y276" s="1367">
        <f>IF($R276-SUM($T276:X276)=0,0,IF(OR($R276&lt;=0,$R276&lt;=SUM($T276:X276)),0,IF((IF($J276=0,$O276,$J276)*$I276)&gt;=($R276-SUM($T276:X276)),($R276-SUM($T276:X276)),IF($J276=0,$O276,$J276)*$I276)))</f>
        <v>0</v>
      </c>
      <c r="Z276" s="1367">
        <f>IF($R276-SUM($T276:Y276)=0,0,IF(OR($R276&lt;=0,$R276&lt;=SUM($T276:Y276)),0,IF((IF($J276=0,$O276,$J276)*$I276)&gt;=($R276-SUM($T276:Y276)),($R276-SUM($T276:Y276)),IF($J276=0,$O276,$J276)*$I276)))</f>
        <v>0</v>
      </c>
      <c r="AA276" s="1367">
        <f>IF($R276-SUM($T276:Z276)=0,0,IF(OR($R276&lt;=0,$R276&lt;=SUM($T276:Z276)),0,IF((IF($J276=0,$O276,$J276)*$I276)&gt;=($R276-SUM($T276:Z276)),($R276-SUM($T276:Z276)),IF($J276=0,$O276,$J276)*$I276)))</f>
        <v>0</v>
      </c>
      <c r="AB276" s="1367">
        <f>IF($R276-SUM($T276:AA276)=0,0,IF(OR($R276&lt;=0,$R276&lt;=SUM($T276:AA276)),0,IF((IF($J276=0,$O276,$J276)*$I276)&gt;=($R276-SUM($T276:AA276)),($R276-SUM($T276:AA276)),IF($J276=0,$O276,$J276)*$I276)))</f>
        <v>0</v>
      </c>
      <c r="AC276" s="1367">
        <f>IF($R276-SUM($T276:AB276)=0,0,IF(OR($R276&lt;=0,$R276&lt;=SUM($T276:AB276)),0,IF((IF($J276=0,$O276,$J276)*$I276)&gt;=($R276-SUM($T276:AB276)),($R276-SUM($T276:AB276)),IF($J276=0,$O276,$J276)*$I276)))</f>
        <v>0</v>
      </c>
      <c r="AD276" s="1367">
        <f>IF($R276-SUM($T276:AC276)=0,0,IF(OR($R276&lt;=0,$R276&lt;=SUM($T276:AC276)),0,IF((IF($J276=0,$O276,$J276)*$I276)&gt;=($R276-SUM($T276:AC276)),($R276-SUM($T276:AC276)),IF($J276=0,$O276,$J276)*$I276)))</f>
        <v>0</v>
      </c>
      <c r="AF276" s="1319" t="b">
        <f t="shared" si="87"/>
        <v>1</v>
      </c>
      <c r="AG276" s="1319" t="str">
        <f t="shared" si="88"/>
        <v>Checked</v>
      </c>
      <c r="AH276" s="1318" t="str">
        <f t="shared" si="89"/>
        <v>Checked</v>
      </c>
    </row>
    <row r="277" spans="2:34" outlineLevel="1" x14ac:dyDescent="0.3">
      <c r="B277" s="1356" t="s">
        <v>2521</v>
      </c>
      <c r="C277" s="1356" t="s">
        <v>1987</v>
      </c>
      <c r="D277" s="1322" t="s">
        <v>2528</v>
      </c>
      <c r="E277" s="1357">
        <v>5</v>
      </c>
      <c r="F277" s="1333">
        <f t="shared" si="80"/>
        <v>0</v>
      </c>
      <c r="G277" s="1358">
        <f t="shared" si="81"/>
        <v>0</v>
      </c>
      <c r="H277" s="1359">
        <f t="shared" si="82"/>
        <v>0</v>
      </c>
      <c r="I277" s="1360">
        <f t="shared" si="83"/>
        <v>0.2</v>
      </c>
      <c r="J277" s="1361">
        <v>1854545</v>
      </c>
      <c r="K277" s="1362">
        <v>1724063</v>
      </c>
      <c r="L277" s="1356">
        <v>0</v>
      </c>
      <c r="M277" s="1356">
        <v>0</v>
      </c>
      <c r="N277" s="1361">
        <f t="shared" si="84"/>
        <v>130482</v>
      </c>
      <c r="O277" s="1363">
        <v>0</v>
      </c>
      <c r="P277" s="1356">
        <v>0</v>
      </c>
      <c r="Q277" s="1364">
        <v>129482</v>
      </c>
      <c r="R277" s="1365">
        <f t="shared" si="85"/>
        <v>1000</v>
      </c>
      <c r="S277" s="1364"/>
      <c r="T277" s="1366">
        <f t="shared" si="86"/>
        <v>0</v>
      </c>
      <c r="U277" s="1367">
        <f>IF($R277-SUM($T277:T277)=0,0,IF(OR($R277&lt;=0,$R277&lt;=SUM($T277:T277)),0,IF((IF($J277=0,$O277,$J277)*$I277)&gt;=($R277-SUM($T277:T277)),($R277-SUM($T277:T277)),IF($J277=0,$O277,$J277)*$I277)))</f>
        <v>1000</v>
      </c>
      <c r="V277" s="1367">
        <f>IF($R277-SUM($T277:U277)=0,0,IF(OR($R277&lt;=0,$R277&lt;=SUM($T277:U277)),0,IF((IF($J277=0,$O277,$J277)*$I277)&gt;=($R277-SUM($T277:U277)),($R277-SUM($T277:U277)),IF($J277=0,$O277,$J277)*$I277)))</f>
        <v>0</v>
      </c>
      <c r="W277" s="1367">
        <f>IF($R277-SUM($T277:V277)=0,0,IF(OR($R277&lt;=0,$R277&lt;=SUM($T277:V277)),0,IF((IF($J277=0,$O277,$J277)*$I277)&gt;=($R277-SUM($T277:V277)),($R277-SUM($T277:V277)),IF($J277=0,$O277,$J277)*$I277)))</f>
        <v>0</v>
      </c>
      <c r="X277" s="1367">
        <f>IF($R277-SUM($T277:W277)=0,0,IF(OR($R277&lt;=0,$R277&lt;=SUM($T277:W277)),0,IF((IF($J277=0,$O277,$J277)*$I277)&gt;=($R277-SUM($T277:W277)),($R277-SUM($T277:W277)),IF($J277=0,$O277,$J277)*$I277)))</f>
        <v>0</v>
      </c>
      <c r="Y277" s="1367">
        <f>IF($R277-SUM($T277:X277)=0,0,IF(OR($R277&lt;=0,$R277&lt;=SUM($T277:X277)),0,IF((IF($J277=0,$O277,$J277)*$I277)&gt;=($R277-SUM($T277:X277)),($R277-SUM($T277:X277)),IF($J277=0,$O277,$J277)*$I277)))</f>
        <v>0</v>
      </c>
      <c r="Z277" s="1367">
        <f>IF($R277-SUM($T277:Y277)=0,0,IF(OR($R277&lt;=0,$R277&lt;=SUM($T277:Y277)),0,IF((IF($J277=0,$O277,$J277)*$I277)&gt;=($R277-SUM($T277:Y277)),($R277-SUM($T277:Y277)),IF($J277=0,$O277,$J277)*$I277)))</f>
        <v>0</v>
      </c>
      <c r="AA277" s="1367">
        <f>IF($R277-SUM($T277:Z277)=0,0,IF(OR($R277&lt;=0,$R277&lt;=SUM($T277:Z277)),0,IF((IF($J277=0,$O277,$J277)*$I277)&gt;=($R277-SUM($T277:Z277)),($R277-SUM($T277:Z277)),IF($J277=0,$O277,$J277)*$I277)))</f>
        <v>0</v>
      </c>
      <c r="AB277" s="1367">
        <f>IF($R277-SUM($T277:AA277)=0,0,IF(OR($R277&lt;=0,$R277&lt;=SUM($T277:AA277)),0,IF((IF($J277=0,$O277,$J277)*$I277)&gt;=($R277-SUM($T277:AA277)),($R277-SUM($T277:AA277)),IF($J277=0,$O277,$J277)*$I277)))</f>
        <v>0</v>
      </c>
      <c r="AC277" s="1367">
        <f>IF($R277-SUM($T277:AB277)=0,0,IF(OR($R277&lt;=0,$R277&lt;=SUM($T277:AB277)),0,IF((IF($J277=0,$O277,$J277)*$I277)&gt;=($R277-SUM($T277:AB277)),($R277-SUM($T277:AB277)),IF($J277=0,$O277,$J277)*$I277)))</f>
        <v>0</v>
      </c>
      <c r="AD277" s="1367">
        <f>IF($R277-SUM($T277:AC277)=0,0,IF(OR($R277&lt;=0,$R277&lt;=SUM($T277:AC277)),0,IF((IF($J277=0,$O277,$J277)*$I277)&gt;=($R277-SUM($T277:AC277)),($R277-SUM($T277:AC277)),IF($J277=0,$O277,$J277)*$I277)))</f>
        <v>0</v>
      </c>
      <c r="AF277" s="1319" t="b">
        <f t="shared" si="87"/>
        <v>1</v>
      </c>
      <c r="AG277" s="1319" t="str">
        <f t="shared" si="88"/>
        <v>Checked</v>
      </c>
      <c r="AH277" s="1318" t="str">
        <f t="shared" si="89"/>
        <v>Checked</v>
      </c>
    </row>
    <row r="278" spans="2:34" outlineLevel="1" x14ac:dyDescent="0.3">
      <c r="B278" s="1356" t="s">
        <v>2521</v>
      </c>
      <c r="C278" s="1356" t="s">
        <v>1987</v>
      </c>
      <c r="D278" s="1322" t="s">
        <v>2529</v>
      </c>
      <c r="E278" s="1357">
        <v>5</v>
      </c>
      <c r="F278" s="1333">
        <f t="shared" si="80"/>
        <v>0</v>
      </c>
      <c r="G278" s="1358">
        <f t="shared" si="81"/>
        <v>0</v>
      </c>
      <c r="H278" s="1359">
        <f t="shared" si="82"/>
        <v>0</v>
      </c>
      <c r="I278" s="1360">
        <f t="shared" si="83"/>
        <v>0.2</v>
      </c>
      <c r="J278" s="1361">
        <v>1127273</v>
      </c>
      <c r="K278" s="1362">
        <v>1047960</v>
      </c>
      <c r="L278" s="1356">
        <v>0</v>
      </c>
      <c r="M278" s="1356">
        <v>0</v>
      </c>
      <c r="N278" s="1361">
        <f t="shared" si="84"/>
        <v>79313</v>
      </c>
      <c r="O278" s="1363">
        <v>0</v>
      </c>
      <c r="P278" s="1356">
        <v>0</v>
      </c>
      <c r="Q278" s="1364">
        <v>78313</v>
      </c>
      <c r="R278" s="1365">
        <f t="shared" si="85"/>
        <v>1000</v>
      </c>
      <c r="S278" s="1364"/>
      <c r="T278" s="1366">
        <f t="shared" si="86"/>
        <v>0</v>
      </c>
      <c r="U278" s="1367">
        <f>IF($R278-SUM($T278:T278)=0,0,IF(OR($R278&lt;=0,$R278&lt;=SUM($T278:T278)),0,IF((IF($J278=0,$O278,$J278)*$I278)&gt;=($R278-SUM($T278:T278)),($R278-SUM($T278:T278)),IF($J278=0,$O278,$J278)*$I278)))</f>
        <v>1000</v>
      </c>
      <c r="V278" s="1367">
        <f>IF($R278-SUM($T278:U278)=0,0,IF(OR($R278&lt;=0,$R278&lt;=SUM($T278:U278)),0,IF((IF($J278=0,$O278,$J278)*$I278)&gt;=($R278-SUM($T278:U278)),($R278-SUM($T278:U278)),IF($J278=0,$O278,$J278)*$I278)))</f>
        <v>0</v>
      </c>
      <c r="W278" s="1367">
        <f>IF($R278-SUM($T278:V278)=0,0,IF(OR($R278&lt;=0,$R278&lt;=SUM($T278:V278)),0,IF((IF($J278=0,$O278,$J278)*$I278)&gt;=($R278-SUM($T278:V278)),($R278-SUM($T278:V278)),IF($J278=0,$O278,$J278)*$I278)))</f>
        <v>0</v>
      </c>
      <c r="X278" s="1367">
        <f>IF($R278-SUM($T278:W278)=0,0,IF(OR($R278&lt;=0,$R278&lt;=SUM($T278:W278)),0,IF((IF($J278=0,$O278,$J278)*$I278)&gt;=($R278-SUM($T278:W278)),($R278-SUM($T278:W278)),IF($J278=0,$O278,$J278)*$I278)))</f>
        <v>0</v>
      </c>
      <c r="Y278" s="1367">
        <f>IF($R278-SUM($T278:X278)=0,0,IF(OR($R278&lt;=0,$R278&lt;=SUM($T278:X278)),0,IF((IF($J278=0,$O278,$J278)*$I278)&gt;=($R278-SUM($T278:X278)),($R278-SUM($T278:X278)),IF($J278=0,$O278,$J278)*$I278)))</f>
        <v>0</v>
      </c>
      <c r="Z278" s="1367">
        <f>IF($R278-SUM($T278:Y278)=0,0,IF(OR($R278&lt;=0,$R278&lt;=SUM($T278:Y278)),0,IF((IF($J278=0,$O278,$J278)*$I278)&gt;=($R278-SUM($T278:Y278)),($R278-SUM($T278:Y278)),IF($J278=0,$O278,$J278)*$I278)))</f>
        <v>0</v>
      </c>
      <c r="AA278" s="1367">
        <f>IF($R278-SUM($T278:Z278)=0,0,IF(OR($R278&lt;=0,$R278&lt;=SUM($T278:Z278)),0,IF((IF($J278=0,$O278,$J278)*$I278)&gt;=($R278-SUM($T278:Z278)),($R278-SUM($T278:Z278)),IF($J278=0,$O278,$J278)*$I278)))</f>
        <v>0</v>
      </c>
      <c r="AB278" s="1367">
        <f>IF($R278-SUM($T278:AA278)=0,0,IF(OR($R278&lt;=0,$R278&lt;=SUM($T278:AA278)),0,IF((IF($J278=0,$O278,$J278)*$I278)&gt;=($R278-SUM($T278:AA278)),($R278-SUM($T278:AA278)),IF($J278=0,$O278,$J278)*$I278)))</f>
        <v>0</v>
      </c>
      <c r="AC278" s="1367">
        <f>IF($R278-SUM($T278:AB278)=0,0,IF(OR($R278&lt;=0,$R278&lt;=SUM($T278:AB278)),0,IF((IF($J278=0,$O278,$J278)*$I278)&gt;=($R278-SUM($T278:AB278)),($R278-SUM($T278:AB278)),IF($J278=0,$O278,$J278)*$I278)))</f>
        <v>0</v>
      </c>
      <c r="AD278" s="1367">
        <f>IF($R278-SUM($T278:AC278)=0,0,IF(OR($R278&lt;=0,$R278&lt;=SUM($T278:AC278)),0,IF((IF($J278=0,$O278,$J278)*$I278)&gt;=($R278-SUM($T278:AC278)),($R278-SUM($T278:AC278)),IF($J278=0,$O278,$J278)*$I278)))</f>
        <v>0</v>
      </c>
      <c r="AF278" s="1319" t="b">
        <f t="shared" si="87"/>
        <v>1</v>
      </c>
      <c r="AG278" s="1319" t="str">
        <f t="shared" si="88"/>
        <v>Checked</v>
      </c>
      <c r="AH278" s="1318" t="str">
        <f t="shared" si="89"/>
        <v>Checked</v>
      </c>
    </row>
    <row r="279" spans="2:34" outlineLevel="1" x14ac:dyDescent="0.3">
      <c r="B279" s="1356" t="s">
        <v>2530</v>
      </c>
      <c r="C279" s="1356" t="s">
        <v>1987</v>
      </c>
      <c r="D279" s="1322" t="s">
        <v>2531</v>
      </c>
      <c r="E279" s="1357">
        <v>5</v>
      </c>
      <c r="F279" s="1333">
        <f t="shared" si="80"/>
        <v>0</v>
      </c>
      <c r="G279" s="1358">
        <f t="shared" si="81"/>
        <v>0</v>
      </c>
      <c r="H279" s="1359">
        <f t="shared" si="82"/>
        <v>0</v>
      </c>
      <c r="I279" s="1360">
        <f t="shared" si="83"/>
        <v>0.2</v>
      </c>
      <c r="J279" s="1361">
        <v>27284546</v>
      </c>
      <c r="K279" s="1362">
        <v>25178563</v>
      </c>
      <c r="L279" s="1356">
        <v>0</v>
      </c>
      <c r="M279" s="1356">
        <v>0</v>
      </c>
      <c r="N279" s="1361">
        <f t="shared" si="84"/>
        <v>2105983</v>
      </c>
      <c r="O279" s="1363">
        <v>0</v>
      </c>
      <c r="P279" s="1356">
        <v>0</v>
      </c>
      <c r="Q279" s="1364">
        <v>2104983</v>
      </c>
      <c r="R279" s="1365">
        <f t="shared" si="85"/>
        <v>1000</v>
      </c>
      <c r="S279" s="1364"/>
      <c r="T279" s="1366">
        <f t="shared" si="86"/>
        <v>0</v>
      </c>
      <c r="U279" s="1367">
        <f>IF($R279-SUM($T279:T279)=0,0,IF(OR($R279&lt;=0,$R279&lt;=SUM($T279:T279)),0,IF((IF($J279=0,$O279,$J279)*$I279)&gt;=($R279-SUM($T279:T279)),($R279-SUM($T279:T279)),IF($J279=0,$O279,$J279)*$I279)))</f>
        <v>1000</v>
      </c>
      <c r="V279" s="1367">
        <f>IF($R279-SUM($T279:U279)=0,0,IF(OR($R279&lt;=0,$R279&lt;=SUM($T279:U279)),0,IF((IF($J279=0,$O279,$J279)*$I279)&gt;=($R279-SUM($T279:U279)),($R279-SUM($T279:U279)),IF($J279=0,$O279,$J279)*$I279)))</f>
        <v>0</v>
      </c>
      <c r="W279" s="1367">
        <f>IF($R279-SUM($T279:V279)=0,0,IF(OR($R279&lt;=0,$R279&lt;=SUM($T279:V279)),0,IF((IF($J279=0,$O279,$J279)*$I279)&gt;=($R279-SUM($T279:V279)),($R279-SUM($T279:V279)),IF($J279=0,$O279,$J279)*$I279)))</f>
        <v>0</v>
      </c>
      <c r="X279" s="1367">
        <f>IF($R279-SUM($T279:W279)=0,0,IF(OR($R279&lt;=0,$R279&lt;=SUM($T279:W279)),0,IF((IF($J279=0,$O279,$J279)*$I279)&gt;=($R279-SUM($T279:W279)),($R279-SUM($T279:W279)),IF($J279=0,$O279,$J279)*$I279)))</f>
        <v>0</v>
      </c>
      <c r="Y279" s="1367">
        <f>IF($R279-SUM($T279:X279)=0,0,IF(OR($R279&lt;=0,$R279&lt;=SUM($T279:X279)),0,IF((IF($J279=0,$O279,$J279)*$I279)&gt;=($R279-SUM($T279:X279)),($R279-SUM($T279:X279)),IF($J279=0,$O279,$J279)*$I279)))</f>
        <v>0</v>
      </c>
      <c r="Z279" s="1367">
        <f>IF($R279-SUM($T279:Y279)=0,0,IF(OR($R279&lt;=0,$R279&lt;=SUM($T279:Y279)),0,IF((IF($J279=0,$O279,$J279)*$I279)&gt;=($R279-SUM($T279:Y279)),($R279-SUM($T279:Y279)),IF($J279=0,$O279,$J279)*$I279)))</f>
        <v>0</v>
      </c>
      <c r="AA279" s="1367">
        <f>IF($R279-SUM($T279:Z279)=0,0,IF(OR($R279&lt;=0,$R279&lt;=SUM($T279:Z279)),0,IF((IF($J279=0,$O279,$J279)*$I279)&gt;=($R279-SUM($T279:Z279)),($R279-SUM($T279:Z279)),IF($J279=0,$O279,$J279)*$I279)))</f>
        <v>0</v>
      </c>
      <c r="AB279" s="1367">
        <f>IF($R279-SUM($T279:AA279)=0,0,IF(OR($R279&lt;=0,$R279&lt;=SUM($T279:AA279)),0,IF((IF($J279=0,$O279,$J279)*$I279)&gt;=($R279-SUM($T279:AA279)),($R279-SUM($T279:AA279)),IF($J279=0,$O279,$J279)*$I279)))</f>
        <v>0</v>
      </c>
      <c r="AC279" s="1367">
        <f>IF($R279-SUM($T279:AB279)=0,0,IF(OR($R279&lt;=0,$R279&lt;=SUM($T279:AB279)),0,IF((IF($J279=0,$O279,$J279)*$I279)&gt;=($R279-SUM($T279:AB279)),($R279-SUM($T279:AB279)),IF($J279=0,$O279,$J279)*$I279)))</f>
        <v>0</v>
      </c>
      <c r="AD279" s="1367">
        <f>IF($R279-SUM($T279:AC279)=0,0,IF(OR($R279&lt;=0,$R279&lt;=SUM($T279:AC279)),0,IF((IF($J279=0,$O279,$J279)*$I279)&gt;=($R279-SUM($T279:AC279)),($R279-SUM($T279:AC279)),IF($J279=0,$O279,$J279)*$I279)))</f>
        <v>0</v>
      </c>
      <c r="AF279" s="1319" t="b">
        <f t="shared" si="87"/>
        <v>1</v>
      </c>
      <c r="AG279" s="1319" t="str">
        <f t="shared" si="88"/>
        <v>Checked</v>
      </c>
      <c r="AH279" s="1318" t="str">
        <f t="shared" si="89"/>
        <v>Checked</v>
      </c>
    </row>
    <row r="280" spans="2:34" outlineLevel="1" x14ac:dyDescent="0.3">
      <c r="B280" s="1356" t="s">
        <v>2532</v>
      </c>
      <c r="C280" s="1356" t="s">
        <v>1987</v>
      </c>
      <c r="D280" s="1322" t="s">
        <v>2533</v>
      </c>
      <c r="E280" s="1357">
        <v>5</v>
      </c>
      <c r="F280" s="1333">
        <f t="shared" si="80"/>
        <v>1</v>
      </c>
      <c r="G280" s="1358">
        <f t="shared" si="81"/>
        <v>0</v>
      </c>
      <c r="H280" s="1359">
        <f t="shared" si="82"/>
        <v>0</v>
      </c>
      <c r="I280" s="1360">
        <f t="shared" si="83"/>
        <v>0.2</v>
      </c>
      <c r="J280" s="1361">
        <v>2000000</v>
      </c>
      <c r="K280" s="1362">
        <v>1731250</v>
      </c>
      <c r="L280" s="1356">
        <v>0</v>
      </c>
      <c r="M280" s="1356">
        <v>0</v>
      </c>
      <c r="N280" s="1361">
        <f t="shared" si="84"/>
        <v>268750</v>
      </c>
      <c r="O280" s="1363">
        <v>0</v>
      </c>
      <c r="P280" s="1356">
        <v>0</v>
      </c>
      <c r="Q280" s="1364">
        <v>121206</v>
      </c>
      <c r="R280" s="1365">
        <f t="shared" si="85"/>
        <v>147544</v>
      </c>
      <c r="S280" s="1364"/>
      <c r="T280" s="1366">
        <f t="shared" si="86"/>
        <v>0</v>
      </c>
      <c r="U280" s="1367">
        <f>IF($R280-SUM($T280:T280)=0,0,IF(OR($R280&lt;=0,$R280&lt;=SUM($T280:T280)),0,IF((IF($J280=0,$O280,$J280)*$I280)&gt;=($R280-SUM($T280:T280)),($R280-SUM($T280:T280)),IF($J280=0,$O280,$J280)*$I280)))</f>
        <v>147544</v>
      </c>
      <c r="V280" s="1367">
        <f>IF($R280-SUM($T280:U280)=0,0,IF(OR($R280&lt;=0,$R280&lt;=SUM($T280:U280)),0,IF((IF($J280=0,$O280,$J280)*$I280)&gt;=($R280-SUM($T280:U280)),($R280-SUM($T280:U280)),IF($J280=0,$O280,$J280)*$I280)))</f>
        <v>0</v>
      </c>
      <c r="W280" s="1367">
        <f>IF($R280-SUM($T280:V280)=0,0,IF(OR($R280&lt;=0,$R280&lt;=SUM($T280:V280)),0,IF((IF($J280=0,$O280,$J280)*$I280)&gt;=($R280-SUM($T280:V280)),($R280-SUM($T280:V280)),IF($J280=0,$O280,$J280)*$I280)))</f>
        <v>0</v>
      </c>
      <c r="X280" s="1367">
        <f>IF($R280-SUM($T280:W280)=0,0,IF(OR($R280&lt;=0,$R280&lt;=SUM($T280:W280)),0,IF((IF($J280=0,$O280,$J280)*$I280)&gt;=($R280-SUM($T280:W280)),($R280-SUM($T280:W280)),IF($J280=0,$O280,$J280)*$I280)))</f>
        <v>0</v>
      </c>
      <c r="Y280" s="1367">
        <f>IF($R280-SUM($T280:X280)=0,0,IF(OR($R280&lt;=0,$R280&lt;=SUM($T280:X280)),0,IF((IF($J280=0,$O280,$J280)*$I280)&gt;=($R280-SUM($T280:X280)),($R280-SUM($T280:X280)),IF($J280=0,$O280,$J280)*$I280)))</f>
        <v>0</v>
      </c>
      <c r="Z280" s="1367">
        <f>IF($R280-SUM($T280:Y280)=0,0,IF(OR($R280&lt;=0,$R280&lt;=SUM($T280:Y280)),0,IF((IF($J280=0,$O280,$J280)*$I280)&gt;=($R280-SUM($T280:Y280)),($R280-SUM($T280:Y280)),IF($J280=0,$O280,$J280)*$I280)))</f>
        <v>0</v>
      </c>
      <c r="AA280" s="1367">
        <f>IF($R280-SUM($T280:Z280)=0,0,IF(OR($R280&lt;=0,$R280&lt;=SUM($T280:Z280)),0,IF((IF($J280=0,$O280,$J280)*$I280)&gt;=($R280-SUM($T280:Z280)),($R280-SUM($T280:Z280)),IF($J280=0,$O280,$J280)*$I280)))</f>
        <v>0</v>
      </c>
      <c r="AB280" s="1367">
        <f>IF($R280-SUM($T280:AA280)=0,0,IF(OR($R280&lt;=0,$R280&lt;=SUM($T280:AA280)),0,IF((IF($J280=0,$O280,$J280)*$I280)&gt;=($R280-SUM($T280:AA280)),($R280-SUM($T280:AA280)),IF($J280=0,$O280,$J280)*$I280)))</f>
        <v>0</v>
      </c>
      <c r="AC280" s="1367">
        <f>IF($R280-SUM($T280:AB280)=0,0,IF(OR($R280&lt;=0,$R280&lt;=SUM($T280:AB280)),0,IF((IF($J280=0,$O280,$J280)*$I280)&gt;=($R280-SUM($T280:AB280)),($R280-SUM($T280:AB280)),IF($J280=0,$O280,$J280)*$I280)))</f>
        <v>0</v>
      </c>
      <c r="AD280" s="1367">
        <f>IF($R280-SUM($T280:AC280)=0,0,IF(OR($R280&lt;=0,$R280&lt;=SUM($T280:AC280)),0,IF((IF($J280=0,$O280,$J280)*$I280)&gt;=($R280-SUM($T280:AC280)),($R280-SUM($T280:AC280)),IF($J280=0,$O280,$J280)*$I280)))</f>
        <v>0</v>
      </c>
      <c r="AF280" s="1319" t="b">
        <f t="shared" si="87"/>
        <v>1</v>
      </c>
      <c r="AG280" s="1319" t="str">
        <f t="shared" si="88"/>
        <v>Checked</v>
      </c>
      <c r="AH280" s="1318" t="str">
        <f t="shared" si="89"/>
        <v>Checked</v>
      </c>
    </row>
    <row r="281" spans="2:34" outlineLevel="1" x14ac:dyDescent="0.3">
      <c r="B281" s="1356" t="s">
        <v>2534</v>
      </c>
      <c r="C281" s="1356" t="s">
        <v>1987</v>
      </c>
      <c r="D281" s="1322" t="s">
        <v>2535</v>
      </c>
      <c r="E281" s="1357">
        <v>5</v>
      </c>
      <c r="F281" s="1333">
        <f t="shared" si="80"/>
        <v>2</v>
      </c>
      <c r="G281" s="1358">
        <f t="shared" si="81"/>
        <v>0</v>
      </c>
      <c r="H281" s="1359">
        <f t="shared" si="82"/>
        <v>0</v>
      </c>
      <c r="I281" s="1360">
        <f t="shared" si="83"/>
        <v>0.2</v>
      </c>
      <c r="J281" s="1361">
        <v>13636364</v>
      </c>
      <c r="K281" s="1362">
        <v>10607625</v>
      </c>
      <c r="L281" s="1356"/>
      <c r="M281" s="1356"/>
      <c r="N281" s="1361">
        <f t="shared" si="84"/>
        <v>3028739</v>
      </c>
      <c r="O281" s="1363">
        <v>0</v>
      </c>
      <c r="P281" s="1356">
        <v>0</v>
      </c>
      <c r="Q281" s="1364">
        <v>1365961</v>
      </c>
      <c r="R281" s="1365">
        <f t="shared" si="85"/>
        <v>1662778</v>
      </c>
      <c r="S281" s="1364"/>
      <c r="T281" s="1366">
        <f t="shared" si="86"/>
        <v>0</v>
      </c>
      <c r="U281" s="1367">
        <f>IF($R281-SUM($T281:T281)=0,0,IF(OR($R281&lt;=0,$R281&lt;=SUM($T281:T281)),0,IF((IF($J281=0,$O281,$J281)*$I281)&gt;=($R281-SUM($T281:T281)),($R281-SUM($T281:T281)),IF($J281=0,$O281,$J281)*$I281)))</f>
        <v>1662778</v>
      </c>
      <c r="V281" s="1367">
        <f>IF($R281-SUM($T281:U281)=0,0,IF(OR($R281&lt;=0,$R281&lt;=SUM($T281:U281)),0,IF((IF($J281=0,$O281,$J281)*$I281)&gt;=($R281-SUM($T281:U281)),($R281-SUM($T281:U281)),IF($J281=0,$O281,$J281)*$I281)))</f>
        <v>0</v>
      </c>
      <c r="W281" s="1367">
        <f>IF($R281-SUM($T281:V281)=0,0,IF(OR($R281&lt;=0,$R281&lt;=SUM($T281:V281)),0,IF((IF($J281=0,$O281,$J281)*$I281)&gt;=($R281-SUM($T281:V281)),($R281-SUM($T281:V281)),IF($J281=0,$O281,$J281)*$I281)))</f>
        <v>0</v>
      </c>
      <c r="X281" s="1367">
        <f>IF($R281-SUM($T281:W281)=0,0,IF(OR($R281&lt;=0,$R281&lt;=SUM($T281:W281)),0,IF((IF($J281=0,$O281,$J281)*$I281)&gt;=($R281-SUM($T281:W281)),($R281-SUM($T281:W281)),IF($J281=0,$O281,$J281)*$I281)))</f>
        <v>0</v>
      </c>
      <c r="Y281" s="1367">
        <f>IF($R281-SUM($T281:X281)=0,0,IF(OR($R281&lt;=0,$R281&lt;=SUM($T281:X281)),0,IF((IF($J281=0,$O281,$J281)*$I281)&gt;=($R281-SUM($T281:X281)),($R281-SUM($T281:X281)),IF($J281=0,$O281,$J281)*$I281)))</f>
        <v>0</v>
      </c>
      <c r="Z281" s="1367">
        <f>IF($R281-SUM($T281:Y281)=0,0,IF(OR($R281&lt;=0,$R281&lt;=SUM($T281:Y281)),0,IF((IF($J281=0,$O281,$J281)*$I281)&gt;=($R281-SUM($T281:Y281)),($R281-SUM($T281:Y281)),IF($J281=0,$O281,$J281)*$I281)))</f>
        <v>0</v>
      </c>
      <c r="AA281" s="1367">
        <f>IF($R281-SUM($T281:Z281)=0,0,IF(OR($R281&lt;=0,$R281&lt;=SUM($T281:Z281)),0,IF((IF($J281=0,$O281,$J281)*$I281)&gt;=($R281-SUM($T281:Z281)),($R281-SUM($T281:Z281)),IF($J281=0,$O281,$J281)*$I281)))</f>
        <v>0</v>
      </c>
      <c r="AB281" s="1367">
        <f>IF($R281-SUM($T281:AA281)=0,0,IF(OR($R281&lt;=0,$R281&lt;=SUM($T281:AA281)),0,IF((IF($J281=0,$O281,$J281)*$I281)&gt;=($R281-SUM($T281:AA281)),($R281-SUM($T281:AA281)),IF($J281=0,$O281,$J281)*$I281)))</f>
        <v>0</v>
      </c>
      <c r="AC281" s="1367">
        <f>IF($R281-SUM($T281:AB281)=0,0,IF(OR($R281&lt;=0,$R281&lt;=SUM($T281:AB281)),0,IF((IF($J281=0,$O281,$J281)*$I281)&gt;=($R281-SUM($T281:AB281)),($R281-SUM($T281:AB281)),IF($J281=0,$O281,$J281)*$I281)))</f>
        <v>0</v>
      </c>
      <c r="AD281" s="1367">
        <f>IF($R281-SUM($T281:AC281)=0,0,IF(OR($R281&lt;=0,$R281&lt;=SUM($T281:AC281)),0,IF((IF($J281=0,$O281,$J281)*$I281)&gt;=($R281-SUM($T281:AC281)),($R281-SUM($T281:AC281)),IF($J281=0,$O281,$J281)*$I281)))</f>
        <v>0</v>
      </c>
      <c r="AF281" s="1319" t="b">
        <f t="shared" si="87"/>
        <v>1</v>
      </c>
      <c r="AG281" s="1319" t="str">
        <f t="shared" si="88"/>
        <v>Checked</v>
      </c>
    </row>
    <row r="282" spans="2:34" outlineLevel="1" x14ac:dyDescent="0.3">
      <c r="B282" s="1313" t="s">
        <v>2536</v>
      </c>
      <c r="C282" s="1313" t="s">
        <v>1987</v>
      </c>
      <c r="D282" s="1323" t="s">
        <v>2537</v>
      </c>
      <c r="E282" s="1333">
        <v>5</v>
      </c>
      <c r="F282" s="1333">
        <f t="shared" si="80"/>
        <v>3</v>
      </c>
      <c r="G282" s="1358">
        <f t="shared" si="81"/>
        <v>0</v>
      </c>
      <c r="H282" s="1359">
        <f t="shared" si="82"/>
        <v>0</v>
      </c>
      <c r="I282" s="1360">
        <f t="shared" si="83"/>
        <v>0.2</v>
      </c>
      <c r="J282" s="1416">
        <v>4460000</v>
      </c>
      <c r="K282" s="1416">
        <v>2931702</v>
      </c>
      <c r="L282" s="1416">
        <v>0</v>
      </c>
      <c r="M282" s="1416">
        <v>0</v>
      </c>
      <c r="N282" s="1361">
        <f t="shared" si="84"/>
        <v>1528298</v>
      </c>
      <c r="O282" s="1416">
        <v>0</v>
      </c>
      <c r="P282" s="1416">
        <v>0</v>
      </c>
      <c r="Q282" s="1416">
        <v>689262</v>
      </c>
      <c r="R282" s="1365">
        <f t="shared" si="85"/>
        <v>839036</v>
      </c>
      <c r="S282" s="1416"/>
      <c r="T282" s="1366">
        <f t="shared" si="86"/>
        <v>0</v>
      </c>
      <c r="U282" s="1367">
        <f>IF($R282-SUM($T282:T282)=0,0,IF(OR($R282&lt;=0,$R282&lt;=SUM($T282:T282)),0,IF((IF($J282=0,$O282,$J282)*$I282)&gt;=($R282-SUM($T282:T282)),($R282-SUM($T282:T282)),IF($J282=0,$O282,$J282)*$I282)))</f>
        <v>839036</v>
      </c>
      <c r="V282" s="1367">
        <f>IF($R282-SUM($T282:U282)=0,0,IF(OR($R282&lt;=0,$R282&lt;=SUM($T282:U282)),0,IF((IF($J282=0,$O282,$J282)*$I282)&gt;=($R282-SUM($T282:U282)),($R282-SUM($T282:U282)),IF($J282=0,$O282,$J282)*$I282)))</f>
        <v>0</v>
      </c>
      <c r="W282" s="1367">
        <f>IF($R282-SUM($T282:V282)=0,0,IF(OR($R282&lt;=0,$R282&lt;=SUM($T282:V282)),0,IF((IF($J282=0,$O282,$J282)*$I282)&gt;=($R282-SUM($T282:V282)),($R282-SUM($T282:V282)),IF($J282=0,$O282,$J282)*$I282)))</f>
        <v>0</v>
      </c>
      <c r="X282" s="1367">
        <f>IF($R282-SUM($T282:W282)=0,0,IF(OR($R282&lt;=0,$R282&lt;=SUM($T282:W282)),0,IF((IF($J282=0,$O282,$J282)*$I282)&gt;=($R282-SUM($T282:W282)),($R282-SUM($T282:W282)),IF($J282=0,$O282,$J282)*$I282)))</f>
        <v>0</v>
      </c>
      <c r="Y282" s="1367">
        <f>IF($R282-SUM($T282:X282)=0,0,IF(OR($R282&lt;=0,$R282&lt;=SUM($T282:X282)),0,IF((IF($J282=0,$O282,$J282)*$I282)&gt;=($R282-SUM($T282:X282)),($R282-SUM($T282:X282)),IF($J282=0,$O282,$J282)*$I282)))</f>
        <v>0</v>
      </c>
      <c r="Z282" s="1367">
        <f>IF($R282-SUM($T282:Y282)=0,0,IF(OR($R282&lt;=0,$R282&lt;=SUM($T282:Y282)),0,IF((IF($J282=0,$O282,$J282)*$I282)&gt;=($R282-SUM($T282:Y282)),($R282-SUM($T282:Y282)),IF($J282=0,$O282,$J282)*$I282)))</f>
        <v>0</v>
      </c>
      <c r="AA282" s="1367">
        <f>IF($R282-SUM($T282:Z282)=0,0,IF(OR($R282&lt;=0,$R282&lt;=SUM($T282:Z282)),0,IF((IF($J282=0,$O282,$J282)*$I282)&gt;=($R282-SUM($T282:Z282)),($R282-SUM($T282:Z282)),IF($J282=0,$O282,$J282)*$I282)))</f>
        <v>0</v>
      </c>
      <c r="AB282" s="1367">
        <f>IF($R282-SUM($T282:AA282)=0,0,IF(OR($R282&lt;=0,$R282&lt;=SUM($T282:AA282)),0,IF((IF($J282=0,$O282,$J282)*$I282)&gt;=($R282-SUM($T282:AA282)),($R282-SUM($T282:AA282)),IF($J282=0,$O282,$J282)*$I282)))</f>
        <v>0</v>
      </c>
      <c r="AC282" s="1367">
        <f>IF($R282-SUM($T282:AB282)=0,0,IF(OR($R282&lt;=0,$R282&lt;=SUM($T282:AB282)),0,IF((IF($J282=0,$O282,$J282)*$I282)&gt;=($R282-SUM($T282:AB282)),($R282-SUM($T282:AB282)),IF($J282=0,$O282,$J282)*$I282)))</f>
        <v>0</v>
      </c>
      <c r="AD282" s="1367">
        <f>IF($R282-SUM($T282:AC282)=0,0,IF(OR($R282&lt;=0,$R282&lt;=SUM($T282:AC282)),0,IF((IF($J282=0,$O282,$J282)*$I282)&gt;=($R282-SUM($T282:AC282)),($R282-SUM($T282:AC282)),IF($J282=0,$O282,$J282)*$I282)))</f>
        <v>0</v>
      </c>
      <c r="AF282" s="1319" t="b">
        <f t="shared" si="87"/>
        <v>1</v>
      </c>
      <c r="AG282" s="1319" t="str">
        <f t="shared" si="88"/>
        <v>Checked</v>
      </c>
      <c r="AH282" s="1318" t="str">
        <f>IF((R282-T282)&gt;U282,IF(J282=0,O282,J282)*I282=U282,"Checked")</f>
        <v>Checked</v>
      </c>
    </row>
    <row r="283" spans="2:34" outlineLevel="1" x14ac:dyDescent="0.3">
      <c r="B283" s="1313" t="s">
        <v>2538</v>
      </c>
      <c r="C283" s="1313" t="s">
        <v>1987</v>
      </c>
      <c r="D283" s="1323" t="s">
        <v>2539</v>
      </c>
      <c r="E283" s="1333">
        <v>5</v>
      </c>
      <c r="F283" s="1333">
        <f t="shared" si="80"/>
        <v>3</v>
      </c>
      <c r="G283" s="1358">
        <f t="shared" si="81"/>
        <v>0</v>
      </c>
      <c r="H283" s="1359">
        <f t="shared" si="82"/>
        <v>0</v>
      </c>
      <c r="I283" s="1360">
        <f t="shared" si="83"/>
        <v>0.2</v>
      </c>
      <c r="J283" s="1416">
        <v>18430000</v>
      </c>
      <c r="K283" s="1416">
        <v>12114637</v>
      </c>
      <c r="L283" s="1416">
        <v>0</v>
      </c>
      <c r="M283" s="1416">
        <v>0</v>
      </c>
      <c r="N283" s="1361">
        <f t="shared" si="84"/>
        <v>6315363</v>
      </c>
      <c r="O283" s="1416">
        <v>0</v>
      </c>
      <c r="P283" s="1416">
        <v>0</v>
      </c>
      <c r="Q283" s="1416">
        <v>2848228</v>
      </c>
      <c r="R283" s="1365">
        <f t="shared" si="85"/>
        <v>3467135</v>
      </c>
      <c r="S283" s="1416"/>
      <c r="T283" s="1366">
        <f t="shared" si="86"/>
        <v>0</v>
      </c>
      <c r="U283" s="1367">
        <f>IF($R283-SUM($T283:T283)=0,0,IF(OR($R283&lt;=0,$R283&lt;=SUM($T283:T283)),0,IF((IF($J283=0,$O283,$J283)*$I283)&gt;=($R283-SUM($T283:T283)),($R283-SUM($T283:T283)),IF($J283=0,$O283,$J283)*$I283)))</f>
        <v>3467135</v>
      </c>
      <c r="V283" s="1367">
        <f>IF($R283-SUM($T283:U283)=0,0,IF(OR($R283&lt;=0,$R283&lt;=SUM($T283:U283)),0,IF((IF($J283=0,$O283,$J283)*$I283)&gt;=($R283-SUM($T283:U283)),($R283-SUM($T283:U283)),IF($J283=0,$O283,$J283)*$I283)))</f>
        <v>0</v>
      </c>
      <c r="W283" s="1367">
        <f>IF($R283-SUM($T283:V283)=0,0,IF(OR($R283&lt;=0,$R283&lt;=SUM($T283:V283)),0,IF((IF($J283=0,$O283,$J283)*$I283)&gt;=($R283-SUM($T283:V283)),($R283-SUM($T283:V283)),IF($J283=0,$O283,$J283)*$I283)))</f>
        <v>0</v>
      </c>
      <c r="X283" s="1367">
        <f>IF($R283-SUM($T283:W283)=0,0,IF(OR($R283&lt;=0,$R283&lt;=SUM($T283:W283)),0,IF((IF($J283=0,$O283,$J283)*$I283)&gt;=($R283-SUM($T283:W283)),($R283-SUM($T283:W283)),IF($J283=0,$O283,$J283)*$I283)))</f>
        <v>0</v>
      </c>
      <c r="Y283" s="1367">
        <f>IF($R283-SUM($T283:X283)=0,0,IF(OR($R283&lt;=0,$R283&lt;=SUM($T283:X283)),0,IF((IF($J283=0,$O283,$J283)*$I283)&gt;=($R283-SUM($T283:X283)),($R283-SUM($T283:X283)),IF($J283=0,$O283,$J283)*$I283)))</f>
        <v>0</v>
      </c>
      <c r="Z283" s="1367">
        <f>IF($R283-SUM($T283:Y283)=0,0,IF(OR($R283&lt;=0,$R283&lt;=SUM($T283:Y283)),0,IF((IF($J283=0,$O283,$J283)*$I283)&gt;=($R283-SUM($T283:Y283)),($R283-SUM($T283:Y283)),IF($J283=0,$O283,$J283)*$I283)))</f>
        <v>0</v>
      </c>
      <c r="AA283" s="1367">
        <f>IF($R283-SUM($T283:Z283)=0,0,IF(OR($R283&lt;=0,$R283&lt;=SUM($T283:Z283)),0,IF((IF($J283=0,$O283,$J283)*$I283)&gt;=($R283-SUM($T283:Z283)),($R283-SUM($T283:Z283)),IF($J283=0,$O283,$J283)*$I283)))</f>
        <v>0</v>
      </c>
      <c r="AB283" s="1367">
        <f>IF($R283-SUM($T283:AA283)=0,0,IF(OR($R283&lt;=0,$R283&lt;=SUM($T283:AA283)),0,IF((IF($J283=0,$O283,$J283)*$I283)&gt;=($R283-SUM($T283:AA283)),($R283-SUM($T283:AA283)),IF($J283=0,$O283,$J283)*$I283)))</f>
        <v>0</v>
      </c>
      <c r="AC283" s="1367">
        <f>IF($R283-SUM($T283:AB283)=0,0,IF(OR($R283&lt;=0,$R283&lt;=SUM($T283:AB283)),0,IF((IF($J283=0,$O283,$J283)*$I283)&gt;=($R283-SUM($T283:AB283)),($R283-SUM($T283:AB283)),IF($J283=0,$O283,$J283)*$I283)))</f>
        <v>0</v>
      </c>
      <c r="AD283" s="1367">
        <f>IF($R283-SUM($T283:AC283)=0,0,IF(OR($R283&lt;=0,$R283&lt;=SUM($T283:AC283)),0,IF((IF($J283=0,$O283,$J283)*$I283)&gt;=($R283-SUM($T283:AC283)),($R283-SUM($T283:AC283)),IF($J283=0,$O283,$J283)*$I283)))</f>
        <v>0</v>
      </c>
      <c r="AF283" s="1319" t="b">
        <f t="shared" si="87"/>
        <v>1</v>
      </c>
      <c r="AG283" s="1319" t="str">
        <f t="shared" si="88"/>
        <v>Checked</v>
      </c>
      <c r="AH283" s="1318" t="str">
        <f>IF((R283-T283)&gt;U283,IF(J283=0,O283,J283)*I283=U283,"Checked")</f>
        <v>Checked</v>
      </c>
    </row>
    <row r="284" spans="2:34" outlineLevel="1" x14ac:dyDescent="0.3">
      <c r="B284" s="1313" t="s">
        <v>2540</v>
      </c>
      <c r="C284" s="1313" t="s">
        <v>1987</v>
      </c>
      <c r="D284" s="1323" t="s">
        <v>2541</v>
      </c>
      <c r="E284" s="1333">
        <v>5</v>
      </c>
      <c r="F284" s="1333">
        <f t="shared" si="80"/>
        <v>3</v>
      </c>
      <c r="G284" s="1358">
        <f t="shared" si="81"/>
        <v>0</v>
      </c>
      <c r="H284" s="1359">
        <f t="shared" si="82"/>
        <v>0</v>
      </c>
      <c r="I284" s="1360">
        <f t="shared" si="83"/>
        <v>0.2</v>
      </c>
      <c r="J284" s="1416">
        <v>7710000</v>
      </c>
      <c r="K284" s="1416">
        <v>5068033</v>
      </c>
      <c r="L284" s="1416"/>
      <c r="M284" s="1416"/>
      <c r="N284" s="1361">
        <f t="shared" si="84"/>
        <v>2641967</v>
      </c>
      <c r="O284" s="1416">
        <v>0</v>
      </c>
      <c r="P284" s="1416">
        <v>0</v>
      </c>
      <c r="Q284" s="1416">
        <v>1191527</v>
      </c>
      <c r="R284" s="1365">
        <f t="shared" si="85"/>
        <v>1450440</v>
      </c>
      <c r="S284" s="1416"/>
      <c r="T284" s="1366">
        <f t="shared" ref="T284:AD284" si="90">SUM(T282:T283)</f>
        <v>0</v>
      </c>
      <c r="U284" s="1367">
        <f t="shared" si="90"/>
        <v>4306171</v>
      </c>
      <c r="V284" s="1367">
        <f t="shared" si="90"/>
        <v>0</v>
      </c>
      <c r="W284" s="1367">
        <f t="shared" si="90"/>
        <v>0</v>
      </c>
      <c r="X284" s="1367">
        <f t="shared" si="90"/>
        <v>0</v>
      </c>
      <c r="Y284" s="1367">
        <f t="shared" si="90"/>
        <v>0</v>
      </c>
      <c r="Z284" s="1367">
        <f t="shared" si="90"/>
        <v>0</v>
      </c>
      <c r="AA284" s="1367">
        <f t="shared" si="90"/>
        <v>0</v>
      </c>
      <c r="AB284" s="1367">
        <f t="shared" si="90"/>
        <v>0</v>
      </c>
      <c r="AC284" s="1367">
        <f t="shared" si="90"/>
        <v>0</v>
      </c>
      <c r="AD284" s="1367">
        <f t="shared" si="90"/>
        <v>0</v>
      </c>
      <c r="AF284" s="1319" t="b">
        <f t="shared" si="87"/>
        <v>0</v>
      </c>
      <c r="AG284" s="1319" t="str">
        <f t="shared" si="88"/>
        <v>Checked</v>
      </c>
    </row>
    <row r="285" spans="2:34" outlineLevel="1" x14ac:dyDescent="0.3">
      <c r="B285" s="1313" t="s">
        <v>2542</v>
      </c>
      <c r="C285" s="1313" t="s">
        <v>1987</v>
      </c>
      <c r="D285" s="1323" t="s">
        <v>2543</v>
      </c>
      <c r="E285" s="1333">
        <v>5</v>
      </c>
      <c r="F285" s="1333">
        <f t="shared" si="80"/>
        <v>3</v>
      </c>
      <c r="G285" s="1358">
        <f t="shared" si="81"/>
        <v>0</v>
      </c>
      <c r="H285" s="1359">
        <f t="shared" si="82"/>
        <v>0</v>
      </c>
      <c r="I285" s="1360">
        <f t="shared" si="83"/>
        <v>0.2</v>
      </c>
      <c r="J285" s="1416">
        <v>1545455</v>
      </c>
      <c r="K285" s="1416">
        <v>983989</v>
      </c>
      <c r="L285" s="1416">
        <v>0</v>
      </c>
      <c r="M285" s="1416">
        <v>0</v>
      </c>
      <c r="N285" s="1361">
        <f t="shared" si="84"/>
        <v>561466</v>
      </c>
      <c r="O285" s="1416">
        <v>0</v>
      </c>
      <c r="P285" s="1416">
        <v>0</v>
      </c>
      <c r="Q285" s="1416">
        <v>253221</v>
      </c>
      <c r="R285" s="1365">
        <f t="shared" si="85"/>
        <v>308245</v>
      </c>
      <c r="S285" s="1416"/>
      <c r="T285" s="1366">
        <f t="shared" ref="T285:T290" si="91">IF(R285=0,0,MIN(IF(J285=0,O285*I285*H285,J285*I285*H285),R285))</f>
        <v>0</v>
      </c>
      <c r="U285" s="1367">
        <f>IF($R285-SUM($T285:T285)=0,0,IF(OR($R285&lt;=0,$R285&lt;=SUM($T285:T285)),0,IF((IF($J285=0,$O285,$J285)*$I285)&gt;=($R285-SUM($T285:T285)),($R285-SUM($T285:T285)),IF($J285=0,$O285,$J285)*$I285)))</f>
        <v>308245</v>
      </c>
      <c r="V285" s="1367">
        <f>IF($R285-SUM($T285:U285)=0,0,IF(OR($R285&lt;=0,$R285&lt;=SUM($T285:U285)),0,IF((IF($J285=0,$O285,$J285)*$I285)&gt;=($R285-SUM($T285:U285)),($R285-SUM($T285:U285)),IF($J285=0,$O285,$J285)*$I285)))</f>
        <v>0</v>
      </c>
      <c r="W285" s="1367">
        <f>IF($R285-SUM($T285:V285)=0,0,IF(OR($R285&lt;=0,$R285&lt;=SUM($T285:V285)),0,IF((IF($J285=0,$O285,$J285)*$I285)&gt;=($R285-SUM($T285:V285)),($R285-SUM($T285:V285)),IF($J285=0,$O285,$J285)*$I285)))</f>
        <v>0</v>
      </c>
      <c r="X285" s="1367">
        <f>IF($R285-SUM($T285:W285)=0,0,IF(OR($R285&lt;=0,$R285&lt;=SUM($T285:W285)),0,IF((IF($J285=0,$O285,$J285)*$I285)&gt;=($R285-SUM($T285:W285)),($R285-SUM($T285:W285)),IF($J285=0,$O285,$J285)*$I285)))</f>
        <v>0</v>
      </c>
      <c r="Y285" s="1367">
        <f>IF($R285-SUM($T285:X285)=0,0,IF(OR($R285&lt;=0,$R285&lt;=SUM($T285:X285)),0,IF((IF($J285=0,$O285,$J285)*$I285)&gt;=($R285-SUM($T285:X285)),($R285-SUM($T285:X285)),IF($J285=0,$O285,$J285)*$I285)))</f>
        <v>0</v>
      </c>
      <c r="Z285" s="1367">
        <f>IF($R285-SUM($T285:Y285)=0,0,IF(OR($R285&lt;=0,$R285&lt;=SUM($T285:Y285)),0,IF((IF($J285=0,$O285,$J285)*$I285)&gt;=($R285-SUM($T285:Y285)),($R285-SUM($T285:Y285)),IF($J285=0,$O285,$J285)*$I285)))</f>
        <v>0</v>
      </c>
      <c r="AA285" s="1367">
        <f>IF($R285-SUM($T285:Z285)=0,0,IF(OR($R285&lt;=0,$R285&lt;=SUM($T285:Z285)),0,IF((IF($J285=0,$O285,$J285)*$I285)&gt;=($R285-SUM($T285:Z285)),($R285-SUM($T285:Z285)),IF($J285=0,$O285,$J285)*$I285)))</f>
        <v>0</v>
      </c>
      <c r="AB285" s="1367">
        <f>IF($R285-SUM($T285:AA285)=0,0,IF(OR($R285&lt;=0,$R285&lt;=SUM($T285:AA285)),0,IF((IF($J285=0,$O285,$J285)*$I285)&gt;=($R285-SUM($T285:AA285)),($R285-SUM($T285:AA285)),IF($J285=0,$O285,$J285)*$I285)))</f>
        <v>0</v>
      </c>
      <c r="AC285" s="1367">
        <f>IF($R285-SUM($T285:AB285)=0,0,IF(OR($R285&lt;=0,$R285&lt;=SUM($T285:AB285)),0,IF((IF($J285=0,$O285,$J285)*$I285)&gt;=($R285-SUM($T285:AB285)),($R285-SUM($T285:AB285)),IF($J285=0,$O285,$J285)*$I285)))</f>
        <v>0</v>
      </c>
      <c r="AD285" s="1367">
        <f>IF($R285-SUM($T285:AC285)=0,0,IF(OR($R285&lt;=0,$R285&lt;=SUM($T285:AC285)),0,IF((IF($J285=0,$O285,$J285)*$I285)&gt;=($R285-SUM($T285:AC285)),($R285-SUM($T285:AC285)),IF($J285=0,$O285,$J285)*$I285)))</f>
        <v>0</v>
      </c>
      <c r="AF285" s="1319" t="b">
        <f t="shared" si="87"/>
        <v>1</v>
      </c>
      <c r="AG285" s="1319" t="str">
        <f t="shared" si="88"/>
        <v>Checked</v>
      </c>
      <c r="AH285" s="1318" t="str">
        <f t="shared" ref="AH285:AH290" si="92">IF((R285-T285)&gt;U285,IF(J285=0,O285,J285)*I285=U285,"Checked")</f>
        <v>Checked</v>
      </c>
    </row>
    <row r="286" spans="2:34" outlineLevel="1" x14ac:dyDescent="0.3">
      <c r="B286" s="1313" t="s">
        <v>2544</v>
      </c>
      <c r="C286" s="1313" t="s">
        <v>1987</v>
      </c>
      <c r="D286" s="1323" t="s">
        <v>2545</v>
      </c>
      <c r="E286" s="1333">
        <v>5</v>
      </c>
      <c r="F286" s="1333">
        <f t="shared" si="80"/>
        <v>3</v>
      </c>
      <c r="G286" s="1358">
        <f t="shared" si="81"/>
        <v>0</v>
      </c>
      <c r="H286" s="1359">
        <f t="shared" si="82"/>
        <v>0</v>
      </c>
      <c r="I286" s="1360">
        <f t="shared" si="83"/>
        <v>0.2</v>
      </c>
      <c r="J286" s="1416">
        <v>4350000</v>
      </c>
      <c r="K286" s="1416">
        <v>2769641</v>
      </c>
      <c r="L286" s="1416">
        <v>0</v>
      </c>
      <c r="M286" s="1416">
        <v>0</v>
      </c>
      <c r="N286" s="1417">
        <f>J286-K286-L286+M286</f>
        <v>1580359</v>
      </c>
      <c r="O286" s="1416">
        <v>0</v>
      </c>
      <c r="P286" s="1416">
        <v>0</v>
      </c>
      <c r="Q286" s="1416">
        <v>712741</v>
      </c>
      <c r="R286" s="1365">
        <f t="shared" si="85"/>
        <v>867618</v>
      </c>
      <c r="S286" s="1416"/>
      <c r="T286" s="1366">
        <f t="shared" si="91"/>
        <v>0</v>
      </c>
      <c r="U286" s="1367">
        <f>IF($R286-SUM($T286:T286)=0,0,IF(OR($R286&lt;=0,$R286&lt;=SUM($T286:T286)),0,IF((IF($J286=0,$O286,$J286)*$I286)&gt;=($R286-SUM($T286:T286)),($R286-SUM($T286:T286)),IF($J286=0,$O286,$J286)*$I286)))</f>
        <v>867618</v>
      </c>
      <c r="V286" s="1367">
        <f>IF($R286-SUM($T286:U286)=0,0,IF(OR($R286&lt;=0,$R286&lt;=SUM($T286:U286)),0,IF((IF($J286=0,$O286,$J286)*$I286)&gt;=($R286-SUM($T286:U286)),($R286-SUM($T286:U286)),IF($J286=0,$O286,$J286)*$I286)))</f>
        <v>0</v>
      </c>
      <c r="W286" s="1367">
        <f>IF($R286-SUM($T286:V286)=0,0,IF(OR($R286&lt;=0,$R286&lt;=SUM($T286:V286)),0,IF((IF($J286=0,$O286,$J286)*$I286)&gt;=($R286-SUM($T286:V286)),($R286-SUM($T286:V286)),IF($J286=0,$O286,$J286)*$I286)))</f>
        <v>0</v>
      </c>
      <c r="X286" s="1367">
        <f>IF($R286-SUM($T286:W286)=0,0,IF(OR($R286&lt;=0,$R286&lt;=SUM($T286:W286)),0,IF((IF($J286=0,$O286,$J286)*$I286)&gt;=($R286-SUM($T286:W286)),($R286-SUM($T286:W286)),IF($J286=0,$O286,$J286)*$I286)))</f>
        <v>0</v>
      </c>
      <c r="Y286" s="1367">
        <f>IF($R286-SUM($T286:X286)=0,0,IF(OR($R286&lt;=0,$R286&lt;=SUM($T286:X286)),0,IF((IF($J286=0,$O286,$J286)*$I286)&gt;=($R286-SUM($T286:X286)),($R286-SUM($T286:X286)),IF($J286=0,$O286,$J286)*$I286)))</f>
        <v>0</v>
      </c>
      <c r="Z286" s="1367">
        <f>IF($R286-SUM($T286:Y286)=0,0,IF(OR($R286&lt;=0,$R286&lt;=SUM($T286:Y286)),0,IF((IF($J286=0,$O286,$J286)*$I286)&gt;=($R286-SUM($T286:Y286)),($R286-SUM($T286:Y286)),IF($J286=0,$O286,$J286)*$I286)))</f>
        <v>0</v>
      </c>
      <c r="AA286" s="1367">
        <f>IF($R286-SUM($T286:Z286)=0,0,IF(OR($R286&lt;=0,$R286&lt;=SUM($T286:Z286)),0,IF((IF($J286=0,$O286,$J286)*$I286)&gt;=($R286-SUM($T286:Z286)),($R286-SUM($T286:Z286)),IF($J286=0,$O286,$J286)*$I286)))</f>
        <v>0</v>
      </c>
      <c r="AB286" s="1367">
        <f>IF($R286-SUM($T286:AA286)=0,0,IF(OR($R286&lt;=0,$R286&lt;=SUM($T286:AA286)),0,IF((IF($J286=0,$O286,$J286)*$I286)&gt;=($R286-SUM($T286:AA286)),($R286-SUM($T286:AA286)),IF($J286=0,$O286,$J286)*$I286)))</f>
        <v>0</v>
      </c>
      <c r="AC286" s="1367">
        <f>IF($R286-SUM($T286:AB286)=0,0,IF(OR($R286&lt;=0,$R286&lt;=SUM($T286:AB286)),0,IF((IF($J286=0,$O286,$J286)*$I286)&gt;=($R286-SUM($T286:AB286)),($R286-SUM($T286:AB286)),IF($J286=0,$O286,$J286)*$I286)))</f>
        <v>0</v>
      </c>
      <c r="AD286" s="1367">
        <f>IF($R286-SUM($T286:AC286)=0,0,IF(OR($R286&lt;=0,$R286&lt;=SUM($T286:AC286)),0,IF((IF($J286=0,$O286,$J286)*$I286)&gt;=($R286-SUM($T286:AC286)),($R286-SUM($T286:AC286)),IF($J286=0,$O286,$J286)*$I286)))</f>
        <v>0</v>
      </c>
      <c r="AF286" s="1319" t="b">
        <f t="shared" si="87"/>
        <v>1</v>
      </c>
      <c r="AG286" s="1319" t="str">
        <f t="shared" si="88"/>
        <v>Checked</v>
      </c>
      <c r="AH286" s="1318" t="str">
        <f t="shared" si="92"/>
        <v>Checked</v>
      </c>
    </row>
    <row r="287" spans="2:34" outlineLevel="1" x14ac:dyDescent="0.3">
      <c r="B287" s="1313" t="s">
        <v>2546</v>
      </c>
      <c r="C287" s="1313" t="s">
        <v>1987</v>
      </c>
      <c r="D287" s="1323" t="s">
        <v>2547</v>
      </c>
      <c r="E287" s="1333">
        <v>5</v>
      </c>
      <c r="F287" s="1333">
        <f t="shared" si="80"/>
        <v>4</v>
      </c>
      <c r="G287" s="1358">
        <f t="shared" si="81"/>
        <v>0</v>
      </c>
      <c r="H287" s="1359">
        <f t="shared" si="82"/>
        <v>0</v>
      </c>
      <c r="I287" s="1360">
        <f t="shared" si="83"/>
        <v>0.2</v>
      </c>
      <c r="J287" s="1416">
        <v>6000000</v>
      </c>
      <c r="K287" s="1416">
        <v>2480500</v>
      </c>
      <c r="L287" s="1416">
        <v>0</v>
      </c>
      <c r="M287" s="1416">
        <v>0</v>
      </c>
      <c r="N287" s="1417">
        <f>J287-K287-L287+M287</f>
        <v>3519500</v>
      </c>
      <c r="O287" s="1416">
        <v>0</v>
      </c>
      <c r="P287" s="1416">
        <v>0</v>
      </c>
      <c r="Q287" s="1416">
        <v>1587294</v>
      </c>
      <c r="R287" s="1365">
        <f t="shared" si="85"/>
        <v>1932206</v>
      </c>
      <c r="S287" s="1416"/>
      <c r="T287" s="1366">
        <f t="shared" si="91"/>
        <v>0</v>
      </c>
      <c r="U287" s="1367">
        <f>IF($R287-SUM($T287:T287)=0,0,IF(OR($R287&lt;=0,$R287&lt;=SUM($T287:T287)),0,IF((IF($J287=0,$O287,$J287)*$I287)&gt;=($R287-SUM($T287:T287)),($R287-SUM($T287:T287)),IF($J287=0,$O287,$J287)*$I287)))</f>
        <v>1200000</v>
      </c>
      <c r="V287" s="1367">
        <f>IF($R287-SUM($T287:U287)=0,0,IF(OR($R287&lt;=0,$R287&lt;=SUM($T287:U287)),0,IF((IF($J287=0,$O287,$J287)*$I287)&gt;=($R287-SUM($T287:U287)),($R287-SUM($T287:U287)),IF($J287=0,$O287,$J287)*$I287)))</f>
        <v>732206</v>
      </c>
      <c r="W287" s="1367">
        <f>IF($R287-SUM($T287:V287)=0,0,IF(OR($R287&lt;=0,$R287&lt;=SUM($T287:V287)),0,IF((IF($J287=0,$O287,$J287)*$I287)&gt;=($R287-SUM($T287:V287)),($R287-SUM($T287:V287)),IF($J287=0,$O287,$J287)*$I287)))</f>
        <v>0</v>
      </c>
      <c r="X287" s="1367">
        <f>IF($R287-SUM($T287:W287)=0,0,IF(OR($R287&lt;=0,$R287&lt;=SUM($T287:W287)),0,IF((IF($J287=0,$O287,$J287)*$I287)&gt;=($R287-SUM($T287:W287)),($R287-SUM($T287:W287)),IF($J287=0,$O287,$J287)*$I287)))</f>
        <v>0</v>
      </c>
      <c r="Y287" s="1367">
        <f>IF($R287-SUM($T287:X287)=0,0,IF(OR($R287&lt;=0,$R287&lt;=SUM($T287:X287)),0,IF((IF($J287=0,$O287,$J287)*$I287)&gt;=($R287-SUM($T287:X287)),($R287-SUM($T287:X287)),IF($J287=0,$O287,$J287)*$I287)))</f>
        <v>0</v>
      </c>
      <c r="Z287" s="1367">
        <f>IF($R287-SUM($T287:Y287)=0,0,IF(OR($R287&lt;=0,$R287&lt;=SUM($T287:Y287)),0,IF((IF($J287=0,$O287,$J287)*$I287)&gt;=($R287-SUM($T287:Y287)),($R287-SUM($T287:Y287)),IF($J287=0,$O287,$J287)*$I287)))</f>
        <v>0</v>
      </c>
      <c r="AA287" s="1367">
        <f>IF($R287-SUM($T287:Z287)=0,0,IF(OR($R287&lt;=0,$R287&lt;=SUM($T287:Z287)),0,IF((IF($J287=0,$O287,$J287)*$I287)&gt;=($R287-SUM($T287:Z287)),($R287-SUM($T287:Z287)),IF($J287=0,$O287,$J287)*$I287)))</f>
        <v>0</v>
      </c>
      <c r="AB287" s="1367">
        <f>IF($R287-SUM($T287:AA287)=0,0,IF(OR($R287&lt;=0,$R287&lt;=SUM($T287:AA287)),0,IF((IF($J287=0,$O287,$J287)*$I287)&gt;=($R287-SUM($T287:AA287)),($R287-SUM($T287:AA287)),IF($J287=0,$O287,$J287)*$I287)))</f>
        <v>0</v>
      </c>
      <c r="AC287" s="1367">
        <f>IF($R287-SUM($T287:AB287)=0,0,IF(OR($R287&lt;=0,$R287&lt;=SUM($T287:AB287)),0,IF((IF($J287=0,$O287,$J287)*$I287)&gt;=($R287-SUM($T287:AB287)),($R287-SUM($T287:AB287)),IF($J287=0,$O287,$J287)*$I287)))</f>
        <v>0</v>
      </c>
      <c r="AD287" s="1367">
        <f>IF($R287-SUM($T287:AC287)=0,0,IF(OR($R287&lt;=0,$R287&lt;=SUM($T287:AC287)),0,IF((IF($J287=0,$O287,$J287)*$I287)&gt;=($R287-SUM($T287:AC287)),($R287-SUM($T287:AC287)),IF($J287=0,$O287,$J287)*$I287)))</f>
        <v>0</v>
      </c>
      <c r="AF287" s="1319" t="b">
        <f t="shared" si="87"/>
        <v>1</v>
      </c>
      <c r="AG287" s="1319" t="str">
        <f t="shared" si="88"/>
        <v>Checked</v>
      </c>
      <c r="AH287" s="1318" t="b">
        <f t="shared" si="92"/>
        <v>1</v>
      </c>
    </row>
    <row r="288" spans="2:34" outlineLevel="1" x14ac:dyDescent="0.3">
      <c r="B288" s="1313" t="s">
        <v>2548</v>
      </c>
      <c r="C288" s="1313" t="s">
        <v>1987</v>
      </c>
      <c r="D288" s="1323" t="s">
        <v>2549</v>
      </c>
      <c r="E288" s="1333">
        <v>5</v>
      </c>
      <c r="F288" s="1333">
        <f t="shared" si="80"/>
        <v>4</v>
      </c>
      <c r="G288" s="1358">
        <f t="shared" si="81"/>
        <v>0</v>
      </c>
      <c r="H288" s="1359">
        <f t="shared" si="82"/>
        <v>0</v>
      </c>
      <c r="I288" s="1360">
        <f t="shared" si="83"/>
        <v>0.2</v>
      </c>
      <c r="J288" s="1416">
        <v>4130000</v>
      </c>
      <c r="K288" s="1416">
        <v>1086534</v>
      </c>
      <c r="L288" s="1416">
        <v>0</v>
      </c>
      <c r="M288" s="1416">
        <v>0</v>
      </c>
      <c r="N288" s="1417">
        <f>J288-K288-L288+M288</f>
        <v>3043466</v>
      </c>
      <c r="O288" s="1416">
        <v>0</v>
      </c>
      <c r="P288" s="1416">
        <v>0</v>
      </c>
      <c r="Q288" s="1416">
        <v>1372603</v>
      </c>
      <c r="R288" s="1365">
        <f t="shared" si="85"/>
        <v>1670863</v>
      </c>
      <c r="S288" s="1416"/>
      <c r="T288" s="1366">
        <f t="shared" si="91"/>
        <v>0</v>
      </c>
      <c r="U288" s="1367">
        <f>IF($R288-SUM($T288:T288)=0,0,IF(OR($R288&lt;=0,$R288&lt;=SUM($T288:T288)),0,IF((IF($J288=0,$O288,$J288)*$I288)&gt;=($R288-SUM($T288:T288)),($R288-SUM($T288:T288)),IF($J288=0,$O288,$J288)*$I288)))</f>
        <v>826000</v>
      </c>
      <c r="V288" s="1367">
        <f>IF($R288-SUM($T288:U288)=0,0,IF(OR($R288&lt;=0,$R288&lt;=SUM($T288:U288)),0,IF((IF($J288=0,$O288,$J288)*$I288)&gt;=($R288-SUM($T288:U288)),($R288-SUM($T288:U288)),IF($J288=0,$O288,$J288)*$I288)))</f>
        <v>826000</v>
      </c>
      <c r="W288" s="1367">
        <f>IF($R288-SUM($T288:V288)=0,0,IF(OR($R288&lt;=0,$R288&lt;=SUM($T288:V288)),0,IF((IF($J288=0,$O288,$J288)*$I288)&gt;=($R288-SUM($T288:V288)),($R288-SUM($T288:V288)),IF($J288=0,$O288,$J288)*$I288)))</f>
        <v>18863</v>
      </c>
      <c r="X288" s="1367">
        <f>IF($R288-SUM($T288:W288)=0,0,IF(OR($R288&lt;=0,$R288&lt;=SUM($T288:W288)),0,IF((IF($J288=0,$O288,$J288)*$I288)&gt;=($R288-SUM($T288:W288)),($R288-SUM($T288:W288)),IF($J288=0,$O288,$J288)*$I288)))</f>
        <v>0</v>
      </c>
      <c r="Y288" s="1367">
        <f>IF($R288-SUM($T288:X288)=0,0,IF(OR($R288&lt;=0,$R288&lt;=SUM($T288:X288)),0,IF((IF($J288=0,$O288,$J288)*$I288)&gt;=($R288-SUM($T288:X288)),($R288-SUM($T288:X288)),IF($J288=0,$O288,$J288)*$I288)))</f>
        <v>0</v>
      </c>
      <c r="Z288" s="1367">
        <f>IF($R288-SUM($T288:Y288)=0,0,IF(OR($R288&lt;=0,$R288&lt;=SUM($T288:Y288)),0,IF((IF($J288=0,$O288,$J288)*$I288)&gt;=($R288-SUM($T288:Y288)),($R288-SUM($T288:Y288)),IF($J288=0,$O288,$J288)*$I288)))</f>
        <v>0</v>
      </c>
      <c r="AA288" s="1367">
        <f>IF($R288-SUM($T288:Z288)=0,0,IF(OR($R288&lt;=0,$R288&lt;=SUM($T288:Z288)),0,IF((IF($J288=0,$O288,$J288)*$I288)&gt;=($R288-SUM($T288:Z288)),($R288-SUM($T288:Z288)),IF($J288=0,$O288,$J288)*$I288)))</f>
        <v>0</v>
      </c>
      <c r="AB288" s="1367">
        <f>IF($R288-SUM($T288:AA288)=0,0,IF(OR($R288&lt;=0,$R288&lt;=SUM($T288:AA288)),0,IF((IF($J288=0,$O288,$J288)*$I288)&gt;=($R288-SUM($T288:AA288)),($R288-SUM($T288:AA288)),IF($J288=0,$O288,$J288)*$I288)))</f>
        <v>0</v>
      </c>
      <c r="AC288" s="1367">
        <f>IF($R288-SUM($T288:AB288)=0,0,IF(OR($R288&lt;=0,$R288&lt;=SUM($T288:AB288)),0,IF((IF($J288=0,$O288,$J288)*$I288)&gt;=($R288-SUM($T288:AB288)),($R288-SUM($T288:AB288)),IF($J288=0,$O288,$J288)*$I288)))</f>
        <v>0</v>
      </c>
      <c r="AD288" s="1367">
        <f>IF($R288-SUM($T288:AC288)=0,0,IF(OR($R288&lt;=0,$R288&lt;=SUM($T288:AC288)),0,IF((IF($J288=0,$O288,$J288)*$I288)&gt;=($R288-SUM($T288:AC288)),($R288-SUM($T288:AC288)),IF($J288=0,$O288,$J288)*$I288)))</f>
        <v>0</v>
      </c>
      <c r="AF288" s="1319" t="b">
        <f t="shared" si="87"/>
        <v>1</v>
      </c>
      <c r="AG288" s="1319" t="str">
        <f t="shared" si="88"/>
        <v>Checked</v>
      </c>
      <c r="AH288" s="1318" t="b">
        <f t="shared" si="92"/>
        <v>1</v>
      </c>
    </row>
    <row r="289" spans="1:34" outlineLevel="1" x14ac:dyDescent="0.3">
      <c r="B289" s="1313" t="s">
        <v>2550</v>
      </c>
      <c r="C289" s="1313" t="s">
        <v>1987</v>
      </c>
      <c r="D289" s="1323" t="s">
        <v>2551</v>
      </c>
      <c r="E289" s="1333">
        <v>5</v>
      </c>
      <c r="F289" s="1333">
        <f t="shared" si="80"/>
        <v>5</v>
      </c>
      <c r="G289" s="1358">
        <f t="shared" si="81"/>
        <v>0</v>
      </c>
      <c r="H289" s="1359">
        <f t="shared" si="82"/>
        <v>0</v>
      </c>
      <c r="I289" s="1360">
        <f t="shared" si="83"/>
        <v>0.2</v>
      </c>
      <c r="J289" s="1416">
        <v>3050909</v>
      </c>
      <c r="K289" s="1416"/>
      <c r="L289" s="1416">
        <v>0</v>
      </c>
      <c r="M289" s="1416">
        <v>0</v>
      </c>
      <c r="N289" s="1417">
        <f>J289-K289-L289+M289</f>
        <v>3050909</v>
      </c>
      <c r="O289" s="1416">
        <v>0</v>
      </c>
      <c r="P289" s="1416">
        <v>0</v>
      </c>
      <c r="Q289" s="1416">
        <v>573316</v>
      </c>
      <c r="R289" s="1365">
        <f t="shared" si="85"/>
        <v>2477593</v>
      </c>
      <c r="S289" s="1416"/>
      <c r="T289" s="1366">
        <f t="shared" si="91"/>
        <v>0</v>
      </c>
      <c r="U289" s="1367">
        <f>IF($R289-SUM($T289:T289)=0,0,IF(OR($R289&lt;=0,$R289&lt;=SUM($T289:T289)),0,IF((IF($J289=0,$O289,$J289)*$I289)&gt;=($R289-SUM($T289:T289)),($R289-SUM($T289:T289)),IF($J289=0,$O289,$J289)*$I289)))</f>
        <v>610181.80000000005</v>
      </c>
      <c r="V289" s="1367">
        <f>IF($R289-SUM($T289:U289)=0,0,IF(OR($R289&lt;=0,$R289&lt;=SUM($T289:U289)),0,IF((IF($J289=0,$O289,$J289)*$I289)&gt;=($R289-SUM($T289:U289)),($R289-SUM($T289:U289)),IF($J289=0,$O289,$J289)*$I289)))</f>
        <v>610181.80000000005</v>
      </c>
      <c r="W289" s="1367">
        <f>IF($R289-SUM($T289:V289)=0,0,IF(OR($R289&lt;=0,$R289&lt;=SUM($T289:V289)),0,IF((IF($J289=0,$O289,$J289)*$I289)&gt;=($R289-SUM($T289:V289)),($R289-SUM($T289:V289)),IF($J289=0,$O289,$J289)*$I289)))</f>
        <v>610181.80000000005</v>
      </c>
      <c r="X289" s="1367">
        <f>IF($R289-SUM($T289:W289)=0,0,IF(OR($R289&lt;=0,$R289&lt;=SUM($T289:W289)),0,IF((IF($J289=0,$O289,$J289)*$I289)&gt;=($R289-SUM($T289:W289)),($R289-SUM($T289:W289)),IF($J289=0,$O289,$J289)*$I289)))</f>
        <v>610181.80000000005</v>
      </c>
      <c r="Y289" s="1367">
        <f>IF($R289-SUM($T289:X289)=0,0,IF(OR($R289&lt;=0,$R289&lt;=SUM($T289:X289)),0,IF((IF($J289=0,$O289,$J289)*$I289)&gt;=($R289-SUM($T289:X289)),($R289-SUM($T289:X289)),IF($J289=0,$O289,$J289)*$I289)))</f>
        <v>36865.799999999814</v>
      </c>
      <c r="Z289" s="1367">
        <f>IF($R289-SUM($T289:Y289)=0,0,IF(OR($R289&lt;=0,$R289&lt;=SUM($T289:Y289)),0,IF((IF($J289=0,$O289,$J289)*$I289)&gt;=($R289-SUM($T289:Y289)),($R289-SUM($T289:Y289)),IF($J289=0,$O289,$J289)*$I289)))</f>
        <v>0</v>
      </c>
      <c r="AA289" s="1367">
        <f>IF($R289-SUM($T289:Z289)=0,0,IF(OR($R289&lt;=0,$R289&lt;=SUM($T289:Z289)),0,IF((IF($J289=0,$O289,$J289)*$I289)&gt;=($R289-SUM($T289:Z289)),($R289-SUM($T289:Z289)),IF($J289=0,$O289,$J289)*$I289)))</f>
        <v>0</v>
      </c>
      <c r="AB289" s="1367">
        <f>IF($R289-SUM($T289:AA289)=0,0,IF(OR($R289&lt;=0,$R289&lt;=SUM($T289:AA289)),0,IF((IF($J289=0,$O289,$J289)*$I289)&gt;=($R289-SUM($T289:AA289)),($R289-SUM($T289:AA289)),IF($J289=0,$O289,$J289)*$I289)))</f>
        <v>0</v>
      </c>
      <c r="AC289" s="1367">
        <f>IF($R289-SUM($T289:AB289)=0,0,IF(OR($R289&lt;=0,$R289&lt;=SUM($T289:AB289)),0,IF((IF($J289=0,$O289,$J289)*$I289)&gt;=($R289-SUM($T289:AB289)),($R289-SUM($T289:AB289)),IF($J289=0,$O289,$J289)*$I289)))</f>
        <v>0</v>
      </c>
      <c r="AD289" s="1367">
        <f>IF($R289-SUM($T289:AC289)=0,0,IF(OR($R289&lt;=0,$R289&lt;=SUM($T289:AC289)),0,IF((IF($J289=0,$O289,$J289)*$I289)&gt;=($R289-SUM($T289:AC289)),($R289-SUM($T289:AC289)),IF($J289=0,$O289,$J289)*$I289)))</f>
        <v>0</v>
      </c>
      <c r="AF289" s="1319" t="b">
        <f t="shared" si="87"/>
        <v>1</v>
      </c>
      <c r="AG289" s="1319" t="str">
        <f t="shared" si="88"/>
        <v>Checked</v>
      </c>
      <c r="AH289" s="1318" t="b">
        <f t="shared" si="92"/>
        <v>1</v>
      </c>
    </row>
    <row r="290" spans="1:34" s="1431" customFormat="1" outlineLevel="1" x14ac:dyDescent="0.3">
      <c r="A290" s="1418"/>
      <c r="B290" s="1419" t="s">
        <v>2507</v>
      </c>
      <c r="C290" s="1419" t="s">
        <v>1987</v>
      </c>
      <c r="D290" s="1420" t="s">
        <v>2552</v>
      </c>
      <c r="E290" s="1421">
        <v>5</v>
      </c>
      <c r="F290" s="1421">
        <f t="shared" si="80"/>
        <v>5</v>
      </c>
      <c r="G290" s="1422">
        <f t="shared" si="81"/>
        <v>0</v>
      </c>
      <c r="H290" s="1423">
        <f t="shared" si="82"/>
        <v>0</v>
      </c>
      <c r="I290" s="1424">
        <f t="shared" si="83"/>
        <v>0.2</v>
      </c>
      <c r="J290" s="1425">
        <v>2000000</v>
      </c>
      <c r="K290" s="1425"/>
      <c r="L290" s="1425">
        <v>0</v>
      </c>
      <c r="M290" s="1425">
        <v>0</v>
      </c>
      <c r="N290" s="1426">
        <f>J290-K290-L290+M290</f>
        <v>2000000</v>
      </c>
      <c r="O290" s="1425">
        <v>0</v>
      </c>
      <c r="P290" s="1425">
        <v>0</v>
      </c>
      <c r="Q290" s="1425">
        <v>150333</v>
      </c>
      <c r="R290" s="1425">
        <f t="shared" si="85"/>
        <v>1849667</v>
      </c>
      <c r="S290" s="1425"/>
      <c r="T290" s="1427">
        <f t="shared" si="91"/>
        <v>0</v>
      </c>
      <c r="U290" s="1428">
        <f>IF($R290-SUM($T290:T290)=0,0,IF(OR($R290&lt;=0,$R290&lt;=SUM($T290:T290)),0,IF((IF($J290=0,$O290,$J290)*$I290)&gt;=($R290-SUM($T290:T290)),($R290-SUM($T290:T290)),IF($J290=0,$O290,$J290)*$I290)))</f>
        <v>400000</v>
      </c>
      <c r="V290" s="1428">
        <f>IF($R290-SUM($T290:U290)=0,0,IF(OR($R290&lt;=0,$R290&lt;=SUM($T290:U290)),0,IF((IF($J290=0,$O290,$J290)*$I290)&gt;=($R290-SUM($T290:U290)),($R290-SUM($T290:U290)),IF($J290=0,$O290,$J290)*$I290)))</f>
        <v>400000</v>
      </c>
      <c r="W290" s="1428">
        <f>IF($R290-SUM($T290:V290)=0,0,IF(OR($R290&lt;=0,$R290&lt;=SUM($T290:V290)),0,IF((IF($J290=0,$O290,$J290)*$I290)&gt;=($R290-SUM($T290:V290)),($R290-SUM($T290:V290)),IF($J290=0,$O290,$J290)*$I290)))</f>
        <v>400000</v>
      </c>
      <c r="X290" s="1428">
        <f>IF($R290-SUM($T290:W290)=0,0,IF(OR($R290&lt;=0,$R290&lt;=SUM($T290:W290)),0,IF((IF($J290=0,$O290,$J290)*$I290)&gt;=($R290-SUM($T290:W290)),($R290-SUM($T290:W290)),IF($J290=0,$O290,$J290)*$I290)))</f>
        <v>400000</v>
      </c>
      <c r="Y290" s="1428">
        <f>IF($R290-SUM($T290:X290)=0,0,IF(OR($R290&lt;=0,$R290&lt;=SUM($T290:X290)),0,IF((IF($J290=0,$O290,$J290)*$I290)&gt;=($R290-SUM($T290:X290)),($R290-SUM($T290:X290)),IF($J290=0,$O290,$J290)*$I290)))</f>
        <v>249667</v>
      </c>
      <c r="Z290" s="1428">
        <f>IF($R290-SUM($T290:Y290)=0,0,IF(OR($R290&lt;=0,$R290&lt;=SUM($T290:Y290)),0,IF((IF($J290=0,$O290,$J290)*$I290)&gt;=($R290-SUM($T290:Y290)),($R290-SUM($T290:Y290)),IF($J290=0,$O290,$J290)*$I290)))</f>
        <v>0</v>
      </c>
      <c r="AA290" s="1428">
        <f>IF($R290-SUM($T290:Z290)=0,0,IF(OR($R290&lt;=0,$R290&lt;=SUM($T290:Z290)),0,IF((IF($J290=0,$O290,$J290)*$I290)&gt;=($R290-SUM($T290:Z290)),($R290-SUM($T290:Z290)),IF($J290=0,$O290,$J290)*$I290)))</f>
        <v>0</v>
      </c>
      <c r="AB290" s="1428">
        <f>IF($R290-SUM($T290:AA290)=0,0,IF(OR($R290&lt;=0,$R290&lt;=SUM($T290:AA290)),0,IF((IF($J290=0,$O290,$J290)*$I290)&gt;=($R290-SUM($T290:AA290)),($R290-SUM($T290:AA290)),IF($J290=0,$O290,$J290)*$I290)))</f>
        <v>0</v>
      </c>
      <c r="AC290" s="1428">
        <f>IF($R290-SUM($T290:AB290)=0,0,IF(OR($R290&lt;=0,$R290&lt;=SUM($T290:AB290)),0,IF((IF($J290=0,$O290,$J290)*$I290)&gt;=($R290-SUM($T290:AB290)),($R290-SUM($T290:AB290)),IF($J290=0,$O290,$J290)*$I290)))</f>
        <v>0</v>
      </c>
      <c r="AD290" s="1428">
        <f>IF($R290-SUM($T290:AC290)=0,0,IF(OR($R290&lt;=0,$R290&lt;=SUM($T290:AC290)),0,IF((IF($J290=0,$O290,$J290)*$I290)&gt;=($R290-SUM($T290:AC290)),($R290-SUM($T290:AC290)),IF($J290=0,$O290,$J290)*$I290)))</f>
        <v>0</v>
      </c>
      <c r="AE290" s="1429"/>
      <c r="AF290" s="1430" t="b">
        <f t="shared" si="87"/>
        <v>1</v>
      </c>
      <c r="AG290" s="1430" t="str">
        <f t="shared" si="88"/>
        <v>Checked</v>
      </c>
      <c r="AH290" s="1431" t="b">
        <f t="shared" si="92"/>
        <v>1</v>
      </c>
    </row>
    <row r="291" spans="1:34" s="1431" customFormat="1" outlineLevel="1" x14ac:dyDescent="0.3">
      <c r="A291" s="1418"/>
      <c r="B291" s="1419"/>
      <c r="C291" s="1419"/>
      <c r="D291" s="1420"/>
      <c r="E291" s="1421"/>
      <c r="F291" s="1421"/>
      <c r="G291" s="1422"/>
      <c r="H291" s="1423"/>
      <c r="I291" s="1424"/>
      <c r="J291" s="1425"/>
      <c r="K291" s="1425"/>
      <c r="L291" s="1425"/>
      <c r="M291" s="1425"/>
      <c r="N291" s="1426"/>
      <c r="O291" s="1425"/>
      <c r="P291" s="1425"/>
      <c r="Q291" s="1425"/>
      <c r="R291" s="1425"/>
      <c r="S291" s="1425"/>
      <c r="T291" s="1427"/>
      <c r="U291" s="1428"/>
      <c r="V291" s="1428"/>
      <c r="W291" s="1428"/>
      <c r="X291" s="1428"/>
      <c r="Y291" s="1428"/>
      <c r="Z291" s="1428"/>
      <c r="AA291" s="1428"/>
      <c r="AB291" s="1428"/>
      <c r="AC291" s="1428"/>
      <c r="AD291" s="1428"/>
      <c r="AE291" s="1429"/>
      <c r="AF291" s="1430"/>
      <c r="AG291" s="1430"/>
    </row>
    <row r="292" spans="1:34" outlineLevel="1" x14ac:dyDescent="0.3">
      <c r="B292" s="1313" t="s">
        <v>2553</v>
      </c>
      <c r="C292" s="1313" t="s">
        <v>2601</v>
      </c>
      <c r="D292" s="1323" t="s">
        <v>2554</v>
      </c>
      <c r="E292" s="1333">
        <v>7</v>
      </c>
      <c r="F292" s="1333">
        <f>MAX((E292-(YEAR($E$4)-YEAR(D292))),0)</f>
        <v>6</v>
      </c>
      <c r="G292" s="1358">
        <f>IF(YEAR(D292)=YEAR($E$4),IF($E$2=$E$4,0,IF(D292&lt;$E$4,$E$2-$E$4,$E$2-D292)),$E$2-$E$4)</f>
        <v>0</v>
      </c>
      <c r="H292" s="1359">
        <f>G292/365</f>
        <v>0</v>
      </c>
      <c r="I292" s="1360">
        <f>1/E292</f>
        <v>0.14285714285714285</v>
      </c>
      <c r="J292" s="1416">
        <v>431864290</v>
      </c>
      <c r="K292" s="1416">
        <v>51475710</v>
      </c>
      <c r="L292" s="1416">
        <v>0</v>
      </c>
      <c r="M292" s="1416">
        <v>0</v>
      </c>
      <c r="N292" s="1417">
        <f>J292-K292-L292+M292</f>
        <v>380388580</v>
      </c>
      <c r="O292" s="1416">
        <v>51475710</v>
      </c>
      <c r="P292" s="1416">
        <v>0</v>
      </c>
      <c r="Q292" s="1416">
        <v>68634280</v>
      </c>
      <c r="R292" s="1365">
        <f>MAX(IF(J292=0,(O292-P292-Q292),(N292-P292-Q292)),0)</f>
        <v>311754300</v>
      </c>
      <c r="S292" s="1416"/>
      <c r="T292" s="1366">
        <f>IF(R292=0,0,MIN(IF(J292=0,O292*I292*H292,J292*I292*H292),R292))</f>
        <v>0</v>
      </c>
      <c r="U292" s="1367">
        <f>IF($R292-SUM($T292:T292)=0,0,IF(OR($R292&lt;=0,$R292&lt;=SUM($T292:T292)),0,IF((IF($J292=0,$O292,$J292)*$I292)&gt;=($R292-SUM($T292:T292)),($R292-SUM($T292:T292)),IF($J292=0,$O292,$J292)*$I292)))</f>
        <v>61694898.571428567</v>
      </c>
      <c r="V292" s="1367">
        <f>IF($R292-SUM($T292:U292)=0,0,IF(OR($R292&lt;=0,$R292&lt;=SUM($T292:U292)),0,IF((IF($J292=0,$O292,$J292)*$I292)&gt;=($R292-SUM($T292:U292)),($R292-SUM($T292:U292)),IF($J292=0,$O292,$J292)*$I292)))</f>
        <v>61694898.571428567</v>
      </c>
      <c r="W292" s="1367">
        <f>IF($R292-SUM($T292:V292)=0,0,IF(OR($R292&lt;=0,$R292&lt;=SUM($T292:V292)),0,IF((IF($J292=0,$O292,$J292)*$I292)&gt;=($R292-SUM($T292:V292)),($R292-SUM($T292:V292)),IF($J292=0,$O292,$J292)*$I292)))</f>
        <v>61694898.571428567</v>
      </c>
      <c r="X292" s="1367">
        <f>IF($R292-SUM($T292:W292)=0,0,IF(OR($R292&lt;=0,$R292&lt;=SUM($T292:W292)),0,IF((IF($J292=0,$O292,$J292)*$I292)&gt;=($R292-SUM($T292:W292)),($R292-SUM($T292:W292)),IF($J292=0,$O292,$J292)*$I292)))</f>
        <v>61694898.571428567</v>
      </c>
      <c r="Y292" s="1367">
        <f>IF($R292-SUM($T292:X292)=0,0,IF(OR($R292&lt;=0,$R292&lt;=SUM($T292:X292)),0,IF((IF($J292=0,$O292,$J292)*$I292)&gt;=($R292-SUM($T292:X292)),($R292-SUM($T292:X292)),IF($J292=0,$O292,$J292)*$I292)))</f>
        <v>61694898.571428567</v>
      </c>
      <c r="Z292" s="1367">
        <f>IF($R292-SUM($T292:Y292)=0,0,IF(OR($R292&lt;=0,$R292&lt;=SUM($T292:Y292)),0,IF((IF($J292=0,$O292,$J292)*$I292)&gt;=($R292-SUM($T292:Y292)),($R292-SUM($T292:Y292)),IF($J292=0,$O292,$J292)*$I292)))</f>
        <v>3279807.1428571939</v>
      </c>
      <c r="AA292" s="1367">
        <f>IF($R292-SUM($T292:Z292)=0,0,IF(OR($R292&lt;=0,$R292&lt;=SUM($T292:Z292)),0,IF((IF($J292=0,$O292,$J292)*$I292)&gt;=($R292-SUM($T292:Z292)),($R292-SUM($T292:Z292)),IF($J292=0,$O292,$J292)*$I292)))</f>
        <v>0</v>
      </c>
      <c r="AB292" s="1367">
        <f>IF($R292-SUM($T292:AA292)=0,0,IF(OR($R292&lt;=0,$R292&lt;=SUM($T292:AA292)),0,IF((IF($J292=0,$O292,$J292)*$I292)&gt;=($R292-SUM($T292:AA292)),($R292-SUM($T292:AA292)),IF($J292=0,$O292,$J292)*$I292)))</f>
        <v>0</v>
      </c>
      <c r="AC292" s="1367">
        <f>IF($R292-SUM($T292:AB292)=0,0,IF(OR($R292&lt;=0,$R292&lt;=SUM($T292:AB292)),0,IF((IF($J292=0,$O292,$J292)*$I292)&gt;=($R292-SUM($T292:AB292)),($R292-SUM($T292:AB292)),IF($J292=0,$O292,$J292)*$I292)))</f>
        <v>0</v>
      </c>
      <c r="AD292" s="1367">
        <f>IF($R292-SUM($T292:AC292)=0,0,IF(OR($R292&lt;=0,$R292&lt;=SUM($T292:AC292)),0,IF((IF($J292=0,$O292,$J292)*$I292)&gt;=($R292-SUM($T292:AC292)),($R292-SUM($T292:AC292)),IF($J292=0,$O292,$J292)*$I292)))</f>
        <v>0</v>
      </c>
      <c r="AF292" s="1319" t="b">
        <f>IF(AD292=0,SUM(T292:AD292)=R292,"Check")</f>
        <v>1</v>
      </c>
      <c r="AG292" s="1319" t="str">
        <f>IF(R292=0,SUM(T292:AD292)=0,"Checked")</f>
        <v>Checked</v>
      </c>
      <c r="AH292" s="1318" t="b">
        <f>IF((R292-T292)&gt;U292,IF(J292=0,O292,J292)*I292=U292,"Checked")</f>
        <v>1</v>
      </c>
    </row>
    <row r="293" spans="1:34" outlineLevel="1" x14ac:dyDescent="0.3">
      <c r="B293" s="1313" t="s">
        <v>2555</v>
      </c>
      <c r="C293" s="1313" t="s">
        <v>2601</v>
      </c>
      <c r="D293" s="1323" t="s">
        <v>2554</v>
      </c>
      <c r="E293" s="1333">
        <v>7</v>
      </c>
      <c r="F293" s="1333">
        <f>MAX((E293-(YEAR($E$4)-YEAR(D293))),0)</f>
        <v>6</v>
      </c>
      <c r="G293" s="1358">
        <f>IF(YEAR(D293)=YEAR($E$4),IF($E$2=$E$4,0,IF(D293&lt;$E$4,$E$2-$E$4,$E$2-D293)),$E$2-$E$4)</f>
        <v>0</v>
      </c>
      <c r="H293" s="1359">
        <f>G293/365</f>
        <v>0</v>
      </c>
      <c r="I293" s="1360">
        <f>1/E293</f>
        <v>0.14285714285714285</v>
      </c>
      <c r="J293" s="1416">
        <v>431855355</v>
      </c>
      <c r="K293" s="1416">
        <v>51474645</v>
      </c>
      <c r="L293" s="1416">
        <v>0</v>
      </c>
      <c r="M293" s="1416">
        <v>0</v>
      </c>
      <c r="N293" s="1417">
        <f>J293-K293-L293+M293</f>
        <v>380380710</v>
      </c>
      <c r="O293" s="1416">
        <v>51474645</v>
      </c>
      <c r="P293" s="1416">
        <v>0</v>
      </c>
      <c r="Q293" s="1416">
        <v>68632860</v>
      </c>
      <c r="R293" s="1365">
        <f>MAX(IF(J293=0,(O293-P293-Q293),(N293-P293-Q293)),0)</f>
        <v>311747850</v>
      </c>
      <c r="S293" s="1416"/>
      <c r="T293" s="1366">
        <f>IF(R293=0,0,MIN(IF(J293=0,O293*I293*H293,J293*I293*H293),R293))</f>
        <v>0</v>
      </c>
      <c r="U293" s="1367">
        <f>IF($R293-SUM($T293:T293)=0,0,IF(OR($R293&lt;=0,$R293&lt;=SUM($T293:T293)),0,IF((IF($J293=0,$O293,$J293)*$I293)&gt;=($R293-SUM($T293:T293)),($R293-SUM($T293:T293)),IF($J293=0,$O293,$J293)*$I293)))</f>
        <v>61693622.142857142</v>
      </c>
      <c r="V293" s="1367">
        <f>IF($R293-SUM($T293:U293)=0,0,IF(OR($R293&lt;=0,$R293&lt;=SUM($T293:U293)),0,IF((IF($J293=0,$O293,$J293)*$I293)&gt;=($R293-SUM($T293:U293)),($R293-SUM($T293:U293)),IF($J293=0,$O293,$J293)*$I293)))</f>
        <v>61693622.142857142</v>
      </c>
      <c r="W293" s="1367">
        <f>IF($R293-SUM($T293:V293)=0,0,IF(OR($R293&lt;=0,$R293&lt;=SUM($T293:V293)),0,IF((IF($J293=0,$O293,$J293)*$I293)&gt;=($R293-SUM($T293:V293)),($R293-SUM($T293:V293)),IF($J293=0,$O293,$J293)*$I293)))</f>
        <v>61693622.142857142</v>
      </c>
      <c r="X293" s="1367">
        <f>IF($R293-SUM($T293:W293)=0,0,IF(OR($R293&lt;=0,$R293&lt;=SUM($T293:W293)),0,IF((IF($J293=0,$O293,$J293)*$I293)&gt;=($R293-SUM($T293:W293)),($R293-SUM($T293:W293)),IF($J293=0,$O293,$J293)*$I293)))</f>
        <v>61693622.142857142</v>
      </c>
      <c r="Y293" s="1367">
        <f>IF($R293-SUM($T293:X293)=0,0,IF(OR($R293&lt;=0,$R293&lt;=SUM($T293:X293)),0,IF((IF($J293=0,$O293,$J293)*$I293)&gt;=($R293-SUM($T293:X293)),($R293-SUM($T293:X293)),IF($J293=0,$O293,$J293)*$I293)))</f>
        <v>61693622.142857142</v>
      </c>
      <c r="Z293" s="1367">
        <f>IF($R293-SUM($T293:Y293)=0,0,IF(OR($R293&lt;=0,$R293&lt;=SUM($T293:Y293)),0,IF((IF($J293=0,$O293,$J293)*$I293)&gt;=($R293-SUM($T293:Y293)),($R293-SUM($T293:Y293)),IF($J293=0,$O293,$J293)*$I293)))</f>
        <v>3279739.2857142687</v>
      </c>
      <c r="AA293" s="1367">
        <f>IF($R293-SUM($T293:Z293)=0,0,IF(OR($R293&lt;=0,$R293&lt;=SUM($T293:Z293)),0,IF((IF($J293=0,$O293,$J293)*$I293)&gt;=($R293-SUM($T293:Z293)),($R293-SUM($T293:Z293)),IF($J293=0,$O293,$J293)*$I293)))</f>
        <v>0</v>
      </c>
      <c r="AB293" s="1367">
        <f>IF($R293-SUM($T293:AA293)=0,0,IF(OR($R293&lt;=0,$R293&lt;=SUM($T293:AA293)),0,IF((IF($J293=0,$O293,$J293)*$I293)&gt;=($R293-SUM($T293:AA293)),($R293-SUM($T293:AA293)),IF($J293=0,$O293,$J293)*$I293)))</f>
        <v>0</v>
      </c>
      <c r="AC293" s="1367">
        <f>IF($R293-SUM($T293:AB293)=0,0,IF(OR($R293&lt;=0,$R293&lt;=SUM($T293:AB293)),0,IF((IF($J293=0,$O293,$J293)*$I293)&gt;=($R293-SUM($T293:AB293)),($R293-SUM($T293:AB293)),IF($J293=0,$O293,$J293)*$I293)))</f>
        <v>0</v>
      </c>
      <c r="AD293" s="1367">
        <f>IF($R293-SUM($T293:AC293)=0,0,IF(OR($R293&lt;=0,$R293&lt;=SUM($T293:AC293)),0,IF((IF($J293=0,$O293,$J293)*$I293)&gt;=($R293-SUM($T293:AC293)),($R293-SUM($T293:AC293)),IF($J293=0,$O293,$J293)*$I293)))</f>
        <v>0</v>
      </c>
      <c r="AF293" s="1319" t="b">
        <f>IF(AD293=0,SUM(T293:AD293)=R293,"Check")</f>
        <v>1</v>
      </c>
      <c r="AG293" s="1319" t="str">
        <f>IF(R293=0,SUM(T293:AD293)=0,"Checked")</f>
        <v>Checked</v>
      </c>
      <c r="AH293" s="1318" t="b">
        <f>IF((R293-T293)&gt;U293,IF(J293=0,O293,J293)*I293=U293,"Checked")</f>
        <v>1</v>
      </c>
    </row>
    <row r="294" spans="1:34" s="1445" customFormat="1" outlineLevel="1" x14ac:dyDescent="0.3">
      <c r="A294" s="1432"/>
      <c r="B294" s="1433" t="s">
        <v>2556</v>
      </c>
      <c r="C294" s="1433" t="s">
        <v>2601</v>
      </c>
      <c r="D294" s="1434" t="s">
        <v>2554</v>
      </c>
      <c r="E294" s="1435">
        <v>7</v>
      </c>
      <c r="F294" s="1435">
        <f>MAX((E294-(YEAR($E$4)-YEAR(D294))),0)</f>
        <v>6</v>
      </c>
      <c r="G294" s="1436">
        <f>IF(YEAR(D294)=YEAR($E$4),IF($E$2=$E$4,0,IF(D294&lt;$E$4,$E$2-$E$4,$E$2-D294)),$E$2-$E$4)</f>
        <v>0</v>
      </c>
      <c r="H294" s="1437">
        <f>G294/365</f>
        <v>0</v>
      </c>
      <c r="I294" s="1438">
        <f>1/E294</f>
        <v>0.14285714285714285</v>
      </c>
      <c r="J294" s="1439">
        <v>431855355</v>
      </c>
      <c r="K294" s="1439">
        <v>51474645</v>
      </c>
      <c r="L294" s="1439">
        <v>0</v>
      </c>
      <c r="M294" s="1439">
        <v>0</v>
      </c>
      <c r="N294" s="1440">
        <f>J294-K294-L294+M294</f>
        <v>380380710</v>
      </c>
      <c r="O294" s="1439">
        <v>51474645</v>
      </c>
      <c r="P294" s="1439">
        <v>0</v>
      </c>
      <c r="Q294" s="1439">
        <v>68632860</v>
      </c>
      <c r="R294" s="1439">
        <f>MAX(IF(J294=0,(O294-P294-Q294),(N294-P294-Q294)),0)</f>
        <v>311747850</v>
      </c>
      <c r="S294" s="1439"/>
      <c r="T294" s="1441">
        <f>IF(R294=0,0,MIN(IF(J294=0,O294*I294*H294,J294*I294*H294),R294))</f>
        <v>0</v>
      </c>
      <c r="U294" s="1442">
        <f>IF($R294-SUM($T294:T294)=0,0,IF(OR($R294&lt;=0,$R294&lt;=SUM($T294:T294)),0,IF((IF($J294=0,$O294,$J294)*$I294)&gt;=($R294-SUM($T294:T294)),($R294-SUM($T294:T294)),IF($J294=0,$O294,$J294)*$I294)))</f>
        <v>61693622.142857142</v>
      </c>
      <c r="V294" s="1442">
        <f>IF($R294-SUM($T294:U294)=0,0,IF(OR($R294&lt;=0,$R294&lt;=SUM($T294:U294)),0,IF((IF($J294=0,$O294,$J294)*$I294)&gt;=($R294-SUM($T294:U294)),($R294-SUM($T294:U294)),IF($J294=0,$O294,$J294)*$I294)))</f>
        <v>61693622.142857142</v>
      </c>
      <c r="W294" s="1442">
        <f>IF($R294-SUM($T294:V294)=0,0,IF(OR($R294&lt;=0,$R294&lt;=SUM($T294:V294)),0,IF((IF($J294=0,$O294,$J294)*$I294)&gt;=($R294-SUM($T294:V294)),($R294-SUM($T294:V294)),IF($J294=0,$O294,$J294)*$I294)))</f>
        <v>61693622.142857142</v>
      </c>
      <c r="X294" s="1442">
        <f>IF($R294-SUM($T294:W294)=0,0,IF(OR($R294&lt;=0,$R294&lt;=SUM($T294:W294)),0,IF((IF($J294=0,$O294,$J294)*$I294)&gt;=($R294-SUM($T294:W294)),($R294-SUM($T294:W294)),IF($J294=0,$O294,$J294)*$I294)))</f>
        <v>61693622.142857142</v>
      </c>
      <c r="Y294" s="1442">
        <f>IF($R294-SUM($T294:X294)=0,0,IF(OR($R294&lt;=0,$R294&lt;=SUM($T294:X294)),0,IF((IF($J294=0,$O294,$J294)*$I294)&gt;=($R294-SUM($T294:X294)),($R294-SUM($T294:X294)),IF($J294=0,$O294,$J294)*$I294)))</f>
        <v>61693622.142857142</v>
      </c>
      <c r="Z294" s="1442">
        <f>IF($R294-SUM($T294:Y294)=0,0,IF(OR($R294&lt;=0,$R294&lt;=SUM($T294:Y294)),0,IF((IF($J294=0,$O294,$J294)*$I294)&gt;=($R294-SUM($T294:Y294)),($R294-SUM($T294:Y294)),IF($J294=0,$O294,$J294)*$I294)))</f>
        <v>3279739.2857142687</v>
      </c>
      <c r="AA294" s="1442">
        <f>IF($R294-SUM($T294:Z294)=0,0,IF(OR($R294&lt;=0,$R294&lt;=SUM($T294:Z294)),0,IF((IF($J294=0,$O294,$J294)*$I294)&gt;=($R294-SUM($T294:Z294)),($R294-SUM($T294:Z294)),IF($J294=0,$O294,$J294)*$I294)))</f>
        <v>0</v>
      </c>
      <c r="AB294" s="1442">
        <f>IF($R294-SUM($T294:AA294)=0,0,IF(OR($R294&lt;=0,$R294&lt;=SUM($T294:AA294)),0,IF((IF($J294=0,$O294,$J294)*$I294)&gt;=($R294-SUM($T294:AA294)),($R294-SUM($T294:AA294)),IF($J294=0,$O294,$J294)*$I294)))</f>
        <v>0</v>
      </c>
      <c r="AC294" s="1442">
        <f>IF($R294-SUM($T294:AB294)=0,0,IF(OR($R294&lt;=0,$R294&lt;=SUM($T294:AB294)),0,IF((IF($J294=0,$O294,$J294)*$I294)&gt;=($R294-SUM($T294:AB294)),($R294-SUM($T294:AB294)),IF($J294=0,$O294,$J294)*$I294)))</f>
        <v>0</v>
      </c>
      <c r="AD294" s="1442">
        <f>IF($R294-SUM($T294:AC294)=0,0,IF(OR($R294&lt;=0,$R294&lt;=SUM($T294:AC294)),0,IF((IF($J294=0,$O294,$J294)*$I294)&gt;=($R294-SUM($T294:AC294)),($R294-SUM($T294:AC294)),IF($J294=0,$O294,$J294)*$I294)))</f>
        <v>0</v>
      </c>
      <c r="AE294" s="1443"/>
      <c r="AF294" s="1444" t="b">
        <f>IF(AD294=0,SUM(T294:AD294)=R294,"Check")</f>
        <v>1</v>
      </c>
      <c r="AG294" s="1444" t="str">
        <f>IF(R294=0,SUM(T294:AD294)=0,"Checked")</f>
        <v>Checked</v>
      </c>
      <c r="AH294" s="1445" t="b">
        <f>IF((R294-T294)&gt;U294,IF(J294=0,O294,J294)*I294=U294,"Checked")</f>
        <v>1</v>
      </c>
    </row>
    <row r="295" spans="1:34" s="1445" customFormat="1" outlineLevel="1" x14ac:dyDescent="0.3">
      <c r="A295" s="1432"/>
      <c r="B295" s="1433"/>
      <c r="C295" s="1433"/>
      <c r="D295" s="1434"/>
      <c r="E295" s="1435"/>
      <c r="F295" s="1435"/>
      <c r="G295" s="1436"/>
      <c r="H295" s="1437"/>
      <c r="I295" s="1438"/>
      <c r="J295" s="1439"/>
      <c r="K295" s="1439"/>
      <c r="L295" s="1439"/>
      <c r="M295" s="1439"/>
      <c r="N295" s="1440"/>
      <c r="O295" s="1439"/>
      <c r="P295" s="1439"/>
      <c r="Q295" s="1439"/>
      <c r="R295" s="1439"/>
      <c r="S295" s="1439"/>
      <c r="T295" s="1441"/>
      <c r="U295" s="1442"/>
      <c r="V295" s="1442"/>
      <c r="W295" s="1442"/>
      <c r="X295" s="1442"/>
      <c r="Y295" s="1442"/>
      <c r="Z295" s="1442"/>
      <c r="AA295" s="1442"/>
      <c r="AB295" s="1442"/>
      <c r="AC295" s="1442"/>
      <c r="AD295" s="1442"/>
      <c r="AE295" s="1443"/>
      <c r="AF295" s="1444"/>
      <c r="AG295" s="1444"/>
    </row>
    <row r="296" spans="1:34" outlineLevel="1" x14ac:dyDescent="0.3">
      <c r="B296" s="1313" t="s">
        <v>2558</v>
      </c>
      <c r="C296" s="1313" t="s">
        <v>2701</v>
      </c>
      <c r="D296" s="1323" t="s">
        <v>2559</v>
      </c>
      <c r="E296" s="1333">
        <v>5</v>
      </c>
      <c r="F296" s="1333">
        <f t="shared" ref="F296:F318" si="93">MAX((E296-(YEAR($E$4)-YEAR(D296))),0)</f>
        <v>0</v>
      </c>
      <c r="G296" s="1358">
        <f t="shared" ref="G296:G318" si="94">IF(YEAR(D296)=YEAR($E$4),IF($E$2=$E$4,0,IF(D296&lt;$E$4,$E$2-$E$4,$E$2-D296)),$E$2-$E$4)</f>
        <v>0</v>
      </c>
      <c r="H296" s="1359">
        <f t="shared" ref="H296:H318" si="95">G296/365</f>
        <v>0</v>
      </c>
      <c r="I296" s="1360">
        <f t="shared" ref="I296:I318" si="96">1/E296</f>
        <v>0.2</v>
      </c>
      <c r="J296" s="1416">
        <v>1000</v>
      </c>
      <c r="K296" s="1416">
        <v>6179000</v>
      </c>
      <c r="L296" s="1416">
        <v>0</v>
      </c>
      <c r="M296" s="1416">
        <v>0</v>
      </c>
      <c r="N296" s="1417">
        <f t="shared" ref="N296:N318" si="97">J296-K296-L296+M296</f>
        <v>-6178000</v>
      </c>
      <c r="O296" s="1416">
        <v>6179000</v>
      </c>
      <c r="P296" s="1416">
        <v>0</v>
      </c>
      <c r="Q296" s="1416"/>
      <c r="R296" s="1365">
        <f t="shared" ref="R296:R318" si="98">MAX(IF(J296=0,(O296-P296-Q296),(N296-P296-Q296)),0)</f>
        <v>0</v>
      </c>
      <c r="S296" s="1416"/>
      <c r="T296" s="1366">
        <f t="shared" ref="T296:T318" si="99">IF(R296=0,0,MIN(IF(J296=0,O296*I296*H296,J296*I296*H296),R296))</f>
        <v>0</v>
      </c>
      <c r="U296" s="1367">
        <f>IF($R296-SUM($T296:T296)=0,0,IF(OR($R296&lt;=0,$R296&lt;=SUM($T296:T296)),0,IF((IF($J296=0,$O296,$J296)*$I296)&gt;=($R296-SUM($T296:T296)),($R296-SUM($T296:T296)),IF($J296=0,$O296,$J296)*$I296)))</f>
        <v>0</v>
      </c>
      <c r="V296" s="1367">
        <f>IF($R296-SUM($T296:U296)=0,0,IF(OR($R296&lt;=0,$R296&lt;=SUM($T296:U296)),0,IF((IF($J296=0,$O296,$J296)*$I296)&gt;=($R296-SUM($T296:U296)),($R296-SUM($T296:U296)),IF($J296=0,$O296,$J296)*$I296)))</f>
        <v>0</v>
      </c>
      <c r="W296" s="1367">
        <f>IF($R296-SUM($T296:V296)=0,0,IF(OR($R296&lt;=0,$R296&lt;=SUM($T296:V296)),0,IF((IF($J296=0,$O296,$J296)*$I296)&gt;=($R296-SUM($T296:V296)),($R296-SUM($T296:V296)),IF($J296=0,$O296,$J296)*$I296)))</f>
        <v>0</v>
      </c>
      <c r="X296" s="1367">
        <f>IF($R296-SUM($T296:W296)=0,0,IF(OR($R296&lt;=0,$R296&lt;=SUM($T296:W296)),0,IF((IF($J296=0,$O296,$J296)*$I296)&gt;=($R296-SUM($T296:W296)),($R296-SUM($T296:W296)),IF($J296=0,$O296,$J296)*$I296)))</f>
        <v>0</v>
      </c>
      <c r="Y296" s="1367">
        <f>IF($R296-SUM($T296:X296)=0,0,IF(OR($R296&lt;=0,$R296&lt;=SUM($T296:X296)),0,IF((IF($J296=0,$O296,$J296)*$I296)&gt;=($R296-SUM($T296:X296)),($R296-SUM($T296:X296)),IF($J296=0,$O296,$J296)*$I296)))</f>
        <v>0</v>
      </c>
      <c r="Z296" s="1367">
        <f>IF($R296-SUM($T296:Y296)=0,0,IF(OR($R296&lt;=0,$R296&lt;=SUM($T296:Y296)),0,IF((IF($J296=0,$O296,$J296)*$I296)&gt;=($R296-SUM($T296:Y296)),($R296-SUM($T296:Y296)),IF($J296=0,$O296,$J296)*$I296)))</f>
        <v>0</v>
      </c>
      <c r="AA296" s="1367">
        <f>IF($R296-SUM($T296:Z296)=0,0,IF(OR($R296&lt;=0,$R296&lt;=SUM($T296:Z296)),0,IF((IF($J296=0,$O296,$J296)*$I296)&gt;=($R296-SUM($T296:Z296)),($R296-SUM($T296:Z296)),IF($J296=0,$O296,$J296)*$I296)))</f>
        <v>0</v>
      </c>
      <c r="AB296" s="1367">
        <f>IF($R296-SUM($T296:AA296)=0,0,IF(OR($R296&lt;=0,$R296&lt;=SUM($T296:AA296)),0,IF((IF($J296=0,$O296,$J296)*$I296)&gt;=($R296-SUM($T296:AA296)),($R296-SUM($T296:AA296)),IF($J296=0,$O296,$J296)*$I296)))</f>
        <v>0</v>
      </c>
      <c r="AC296" s="1367">
        <f>IF($R296-SUM($T296:AB296)=0,0,IF(OR($R296&lt;=0,$R296&lt;=SUM($T296:AB296)),0,IF((IF($J296=0,$O296,$J296)*$I296)&gt;=($R296-SUM($T296:AB296)),($R296-SUM($T296:AB296)),IF($J296=0,$O296,$J296)*$I296)))</f>
        <v>0</v>
      </c>
      <c r="AD296" s="1367">
        <f>IF($R296-SUM($T296:AC296)=0,0,IF(OR($R296&lt;=0,$R296&lt;=SUM($T296:AC296)),0,IF((IF($J296=0,$O296,$J296)*$I296)&gt;=($R296-SUM($T296:AC296)),($R296-SUM($T296:AC296)),IF($J296=0,$O296,$J296)*$I296)))</f>
        <v>0</v>
      </c>
      <c r="AF296" s="1319" t="b">
        <f t="shared" ref="AF296:AF318" si="100">IF(AD296=0,SUM(T296:AD296)=R296,"Check")</f>
        <v>1</v>
      </c>
      <c r="AG296" s="1319" t="b">
        <f t="shared" ref="AG296:AG318" si="101">IF(R296=0,SUM(T296:AD296)=0,"Checked")</f>
        <v>1</v>
      </c>
      <c r="AH296" s="1318" t="str">
        <f t="shared" ref="AH296:AH318" si="102">IF((R296-T296)&gt;U296,IF(J296=0,O296,J296)*I296=U296,"Checked")</f>
        <v>Checked</v>
      </c>
    </row>
    <row r="297" spans="1:34" outlineLevel="1" x14ac:dyDescent="0.3">
      <c r="B297" s="1356" t="s">
        <v>2560</v>
      </c>
      <c r="C297" s="1356" t="s">
        <v>2701</v>
      </c>
      <c r="D297" s="1323" t="s">
        <v>2561</v>
      </c>
      <c r="E297" s="1333">
        <v>5</v>
      </c>
      <c r="F297" s="1333">
        <f t="shared" si="93"/>
        <v>0</v>
      </c>
      <c r="G297" s="1358">
        <f t="shared" si="94"/>
        <v>0</v>
      </c>
      <c r="H297" s="1359">
        <f t="shared" si="95"/>
        <v>0</v>
      </c>
      <c r="I297" s="1360">
        <f t="shared" si="96"/>
        <v>0.2</v>
      </c>
      <c r="J297" s="1416">
        <v>1000</v>
      </c>
      <c r="K297" s="1416">
        <v>499000</v>
      </c>
      <c r="L297" s="1416">
        <v>0</v>
      </c>
      <c r="M297" s="1416">
        <v>0</v>
      </c>
      <c r="N297" s="1417">
        <f t="shared" si="97"/>
        <v>-498000</v>
      </c>
      <c r="O297" s="1416">
        <v>499000</v>
      </c>
      <c r="P297" s="1416">
        <v>0</v>
      </c>
      <c r="Q297" s="1416"/>
      <c r="R297" s="1365">
        <f t="shared" si="98"/>
        <v>0</v>
      </c>
      <c r="S297" s="1416"/>
      <c r="T297" s="1366">
        <f t="shared" si="99"/>
        <v>0</v>
      </c>
      <c r="U297" s="1367">
        <f>IF($R297-SUM($T297:T297)=0,0,IF(OR($R297&lt;=0,$R297&lt;=SUM($T297:T297)),0,IF((IF($J297=0,$O297,$J297)*$I297)&gt;=($R297-SUM($T297:T297)),($R297-SUM($T297:T297)),IF($J297=0,$O297,$J297)*$I297)))</f>
        <v>0</v>
      </c>
      <c r="V297" s="1367">
        <f>IF($R297-SUM($T297:U297)=0,0,IF(OR($R297&lt;=0,$R297&lt;=SUM($T297:U297)),0,IF((IF($J297=0,$O297,$J297)*$I297)&gt;=($R297-SUM($T297:U297)),($R297-SUM($T297:U297)),IF($J297=0,$O297,$J297)*$I297)))</f>
        <v>0</v>
      </c>
      <c r="W297" s="1367">
        <f>IF($R297-SUM($T297:V297)=0,0,IF(OR($R297&lt;=0,$R297&lt;=SUM($T297:V297)),0,IF((IF($J297=0,$O297,$J297)*$I297)&gt;=($R297-SUM($T297:V297)),($R297-SUM($T297:V297)),IF($J297=0,$O297,$J297)*$I297)))</f>
        <v>0</v>
      </c>
      <c r="X297" s="1367">
        <f>IF($R297-SUM($T297:W297)=0,0,IF(OR($R297&lt;=0,$R297&lt;=SUM($T297:W297)),0,IF((IF($J297=0,$O297,$J297)*$I297)&gt;=($R297-SUM($T297:W297)),($R297-SUM($T297:W297)),IF($J297=0,$O297,$J297)*$I297)))</f>
        <v>0</v>
      </c>
      <c r="Y297" s="1367">
        <f>IF($R297-SUM($T297:X297)=0,0,IF(OR($R297&lt;=0,$R297&lt;=SUM($T297:X297)),0,IF((IF($J297=0,$O297,$J297)*$I297)&gt;=($R297-SUM($T297:X297)),($R297-SUM($T297:X297)),IF($J297=0,$O297,$J297)*$I297)))</f>
        <v>0</v>
      </c>
      <c r="Z297" s="1367">
        <f>IF($R297-SUM($T297:Y297)=0,0,IF(OR($R297&lt;=0,$R297&lt;=SUM($T297:Y297)),0,IF((IF($J297=0,$O297,$J297)*$I297)&gt;=($R297-SUM($T297:Y297)),($R297-SUM($T297:Y297)),IF($J297=0,$O297,$J297)*$I297)))</f>
        <v>0</v>
      </c>
      <c r="AA297" s="1367">
        <f>IF($R297-SUM($T297:Z297)=0,0,IF(OR($R297&lt;=0,$R297&lt;=SUM($T297:Z297)),0,IF((IF($J297=0,$O297,$J297)*$I297)&gt;=($R297-SUM($T297:Z297)),($R297-SUM($T297:Z297)),IF($J297=0,$O297,$J297)*$I297)))</f>
        <v>0</v>
      </c>
      <c r="AB297" s="1367">
        <f>IF($R297-SUM($T297:AA297)=0,0,IF(OR($R297&lt;=0,$R297&lt;=SUM($T297:AA297)),0,IF((IF($J297=0,$O297,$J297)*$I297)&gt;=($R297-SUM($T297:AA297)),($R297-SUM($T297:AA297)),IF($J297=0,$O297,$J297)*$I297)))</f>
        <v>0</v>
      </c>
      <c r="AC297" s="1367">
        <f>IF($R297-SUM($T297:AB297)=0,0,IF(OR($R297&lt;=0,$R297&lt;=SUM($T297:AB297)),0,IF((IF($J297=0,$O297,$J297)*$I297)&gt;=($R297-SUM($T297:AB297)),($R297-SUM($T297:AB297)),IF($J297=0,$O297,$J297)*$I297)))</f>
        <v>0</v>
      </c>
      <c r="AD297" s="1367">
        <f>IF($R297-SUM($T297:AC297)=0,0,IF(OR($R297&lt;=0,$R297&lt;=SUM($T297:AC297)),0,IF((IF($J297=0,$O297,$J297)*$I297)&gt;=($R297-SUM($T297:AC297)),($R297-SUM($T297:AC297)),IF($J297=0,$O297,$J297)*$I297)))</f>
        <v>0</v>
      </c>
      <c r="AF297" s="1319" t="b">
        <f t="shared" si="100"/>
        <v>1</v>
      </c>
      <c r="AG297" s="1319" t="b">
        <f t="shared" si="101"/>
        <v>1</v>
      </c>
      <c r="AH297" s="1318" t="str">
        <f t="shared" si="102"/>
        <v>Checked</v>
      </c>
    </row>
    <row r="298" spans="1:34" outlineLevel="1" x14ac:dyDescent="0.3">
      <c r="B298" s="1356" t="s">
        <v>2562</v>
      </c>
      <c r="C298" s="1356" t="s">
        <v>2701</v>
      </c>
      <c r="D298" s="1323" t="s">
        <v>2563</v>
      </c>
      <c r="E298" s="1333">
        <v>5</v>
      </c>
      <c r="F298" s="1333">
        <f t="shared" si="93"/>
        <v>0</v>
      </c>
      <c r="G298" s="1358">
        <f t="shared" si="94"/>
        <v>0</v>
      </c>
      <c r="H298" s="1359">
        <f t="shared" si="95"/>
        <v>0</v>
      </c>
      <c r="I298" s="1360">
        <f t="shared" si="96"/>
        <v>0.2</v>
      </c>
      <c r="J298" s="1416">
        <v>1000</v>
      </c>
      <c r="K298" s="1416">
        <v>3399000</v>
      </c>
      <c r="L298" s="1416">
        <v>0</v>
      </c>
      <c r="M298" s="1416">
        <v>0</v>
      </c>
      <c r="N298" s="1417">
        <f t="shared" si="97"/>
        <v>-3398000</v>
      </c>
      <c r="O298" s="1416">
        <v>3399000</v>
      </c>
      <c r="P298" s="1416">
        <v>0</v>
      </c>
      <c r="Q298" s="1416"/>
      <c r="R298" s="1365">
        <f t="shared" si="98"/>
        <v>0</v>
      </c>
      <c r="S298" s="1416"/>
      <c r="T298" s="1366">
        <f t="shared" si="99"/>
        <v>0</v>
      </c>
      <c r="U298" s="1367">
        <f>IF($R298-SUM($T298:T298)=0,0,IF(OR($R298&lt;=0,$R298&lt;=SUM($T298:T298)),0,IF((IF($J298=0,$O298,$J298)*$I298)&gt;=($R298-SUM($T298:T298)),($R298-SUM($T298:T298)),IF($J298=0,$O298,$J298)*$I298)))</f>
        <v>0</v>
      </c>
      <c r="V298" s="1367">
        <f>IF($R298-SUM($T298:U298)=0,0,IF(OR($R298&lt;=0,$R298&lt;=SUM($T298:U298)),0,IF((IF($J298=0,$O298,$J298)*$I298)&gt;=($R298-SUM($T298:U298)),($R298-SUM($T298:U298)),IF($J298=0,$O298,$J298)*$I298)))</f>
        <v>0</v>
      </c>
      <c r="W298" s="1367">
        <f>IF($R298-SUM($T298:V298)=0,0,IF(OR($R298&lt;=0,$R298&lt;=SUM($T298:V298)),0,IF((IF($J298=0,$O298,$J298)*$I298)&gt;=($R298-SUM($T298:V298)),($R298-SUM($T298:V298)),IF($J298=0,$O298,$J298)*$I298)))</f>
        <v>0</v>
      </c>
      <c r="X298" s="1367">
        <f>IF($R298-SUM($T298:W298)=0,0,IF(OR($R298&lt;=0,$R298&lt;=SUM($T298:W298)),0,IF((IF($J298=0,$O298,$J298)*$I298)&gt;=($R298-SUM($T298:W298)),($R298-SUM($T298:W298)),IF($J298=0,$O298,$J298)*$I298)))</f>
        <v>0</v>
      </c>
      <c r="Y298" s="1367">
        <f>IF($R298-SUM($T298:X298)=0,0,IF(OR($R298&lt;=0,$R298&lt;=SUM($T298:X298)),0,IF((IF($J298=0,$O298,$J298)*$I298)&gt;=($R298-SUM($T298:X298)),($R298-SUM($T298:X298)),IF($J298=0,$O298,$J298)*$I298)))</f>
        <v>0</v>
      </c>
      <c r="Z298" s="1367">
        <f>IF($R298-SUM($T298:Y298)=0,0,IF(OR($R298&lt;=0,$R298&lt;=SUM($T298:Y298)),0,IF((IF($J298=0,$O298,$J298)*$I298)&gt;=($R298-SUM($T298:Y298)),($R298-SUM($T298:Y298)),IF($J298=0,$O298,$J298)*$I298)))</f>
        <v>0</v>
      </c>
      <c r="AA298" s="1367">
        <f>IF($R298-SUM($T298:Z298)=0,0,IF(OR($R298&lt;=0,$R298&lt;=SUM($T298:Z298)),0,IF((IF($J298=0,$O298,$J298)*$I298)&gt;=($R298-SUM($T298:Z298)),($R298-SUM($T298:Z298)),IF($J298=0,$O298,$J298)*$I298)))</f>
        <v>0</v>
      </c>
      <c r="AB298" s="1367">
        <f>IF($R298-SUM($T298:AA298)=0,0,IF(OR($R298&lt;=0,$R298&lt;=SUM($T298:AA298)),0,IF((IF($J298=0,$O298,$J298)*$I298)&gt;=($R298-SUM($T298:AA298)),($R298-SUM($T298:AA298)),IF($J298=0,$O298,$J298)*$I298)))</f>
        <v>0</v>
      </c>
      <c r="AC298" s="1367">
        <f>IF($R298-SUM($T298:AB298)=0,0,IF(OR($R298&lt;=0,$R298&lt;=SUM($T298:AB298)),0,IF((IF($J298=0,$O298,$J298)*$I298)&gt;=($R298-SUM($T298:AB298)),($R298-SUM($T298:AB298)),IF($J298=0,$O298,$J298)*$I298)))</f>
        <v>0</v>
      </c>
      <c r="AD298" s="1367">
        <f>IF($R298-SUM($T298:AC298)=0,0,IF(OR($R298&lt;=0,$R298&lt;=SUM($T298:AC298)),0,IF((IF($J298=0,$O298,$J298)*$I298)&gt;=($R298-SUM($T298:AC298)),($R298-SUM($T298:AC298)),IF($J298=0,$O298,$J298)*$I298)))</f>
        <v>0</v>
      </c>
      <c r="AF298" s="1319" t="b">
        <f t="shared" si="100"/>
        <v>1</v>
      </c>
      <c r="AG298" s="1319" t="b">
        <f t="shared" si="101"/>
        <v>1</v>
      </c>
      <c r="AH298" s="1318" t="str">
        <f t="shared" si="102"/>
        <v>Checked</v>
      </c>
    </row>
    <row r="299" spans="1:34" outlineLevel="1" x14ac:dyDescent="0.3">
      <c r="B299" s="1356" t="s">
        <v>2564</v>
      </c>
      <c r="C299" s="1356" t="s">
        <v>2701</v>
      </c>
      <c r="D299" s="1323" t="s">
        <v>2565</v>
      </c>
      <c r="E299" s="1333">
        <v>5</v>
      </c>
      <c r="F299" s="1333">
        <f t="shared" si="93"/>
        <v>0</v>
      </c>
      <c r="G299" s="1358">
        <f t="shared" si="94"/>
        <v>0</v>
      </c>
      <c r="H299" s="1359">
        <f t="shared" si="95"/>
        <v>0</v>
      </c>
      <c r="I299" s="1360">
        <f t="shared" si="96"/>
        <v>0.2</v>
      </c>
      <c r="J299" s="1416">
        <v>1000</v>
      </c>
      <c r="K299" s="1416">
        <v>8999000</v>
      </c>
      <c r="L299" s="1416">
        <v>0</v>
      </c>
      <c r="M299" s="1416">
        <v>0</v>
      </c>
      <c r="N299" s="1417">
        <f t="shared" si="97"/>
        <v>-8998000</v>
      </c>
      <c r="O299" s="1416">
        <v>8999000</v>
      </c>
      <c r="P299" s="1416">
        <v>0</v>
      </c>
      <c r="Q299" s="1416"/>
      <c r="R299" s="1365">
        <f t="shared" si="98"/>
        <v>0</v>
      </c>
      <c r="S299" s="1416"/>
      <c r="T299" s="1366">
        <f t="shared" si="99"/>
        <v>0</v>
      </c>
      <c r="U299" s="1367">
        <f>IF($R299-SUM($T299:T299)=0,0,IF(OR($R299&lt;=0,$R299&lt;=SUM($T299:T299)),0,IF((IF($J299=0,$O299,$J299)*$I299)&gt;=($R299-SUM($T299:T299)),($R299-SUM($T299:T299)),IF($J299=0,$O299,$J299)*$I299)))</f>
        <v>0</v>
      </c>
      <c r="V299" s="1367">
        <f>IF($R299-SUM($T299:U299)=0,0,IF(OR($R299&lt;=0,$R299&lt;=SUM($T299:U299)),0,IF((IF($J299=0,$O299,$J299)*$I299)&gt;=($R299-SUM($T299:U299)),($R299-SUM($T299:U299)),IF($J299=0,$O299,$J299)*$I299)))</f>
        <v>0</v>
      </c>
      <c r="W299" s="1367">
        <f>IF($R299-SUM($T299:V299)=0,0,IF(OR($R299&lt;=0,$R299&lt;=SUM($T299:V299)),0,IF((IF($J299=0,$O299,$J299)*$I299)&gt;=($R299-SUM($T299:V299)),($R299-SUM($T299:V299)),IF($J299=0,$O299,$J299)*$I299)))</f>
        <v>0</v>
      </c>
      <c r="X299" s="1367">
        <f>IF($R299-SUM($T299:W299)=0,0,IF(OR($R299&lt;=0,$R299&lt;=SUM($T299:W299)),0,IF((IF($J299=0,$O299,$J299)*$I299)&gt;=($R299-SUM($T299:W299)),($R299-SUM($T299:W299)),IF($J299=0,$O299,$J299)*$I299)))</f>
        <v>0</v>
      </c>
      <c r="Y299" s="1367">
        <f>IF($R299-SUM($T299:X299)=0,0,IF(OR($R299&lt;=0,$R299&lt;=SUM($T299:X299)),0,IF((IF($J299=0,$O299,$J299)*$I299)&gt;=($R299-SUM($T299:X299)),($R299-SUM($T299:X299)),IF($J299=0,$O299,$J299)*$I299)))</f>
        <v>0</v>
      </c>
      <c r="Z299" s="1367">
        <f>IF($R299-SUM($T299:Y299)=0,0,IF(OR($R299&lt;=0,$R299&lt;=SUM($T299:Y299)),0,IF((IF($J299=0,$O299,$J299)*$I299)&gt;=($R299-SUM($T299:Y299)),($R299-SUM($T299:Y299)),IF($J299=0,$O299,$J299)*$I299)))</f>
        <v>0</v>
      </c>
      <c r="AA299" s="1367">
        <f>IF($R299-SUM($T299:Z299)=0,0,IF(OR($R299&lt;=0,$R299&lt;=SUM($T299:Z299)),0,IF((IF($J299=0,$O299,$J299)*$I299)&gt;=($R299-SUM($T299:Z299)),($R299-SUM($T299:Z299)),IF($J299=0,$O299,$J299)*$I299)))</f>
        <v>0</v>
      </c>
      <c r="AB299" s="1367">
        <f>IF($R299-SUM($T299:AA299)=0,0,IF(OR($R299&lt;=0,$R299&lt;=SUM($T299:AA299)),0,IF((IF($J299=0,$O299,$J299)*$I299)&gt;=($R299-SUM($T299:AA299)),($R299-SUM($T299:AA299)),IF($J299=0,$O299,$J299)*$I299)))</f>
        <v>0</v>
      </c>
      <c r="AC299" s="1367">
        <f>IF($R299-SUM($T299:AB299)=0,0,IF(OR($R299&lt;=0,$R299&lt;=SUM($T299:AB299)),0,IF((IF($J299=0,$O299,$J299)*$I299)&gt;=($R299-SUM($T299:AB299)),($R299-SUM($T299:AB299)),IF($J299=0,$O299,$J299)*$I299)))</f>
        <v>0</v>
      </c>
      <c r="AD299" s="1367">
        <f>IF($R299-SUM($T299:AC299)=0,0,IF(OR($R299&lt;=0,$R299&lt;=SUM($T299:AC299)),0,IF((IF($J299=0,$O299,$J299)*$I299)&gt;=($R299-SUM($T299:AC299)),($R299-SUM($T299:AC299)),IF($J299=0,$O299,$J299)*$I299)))</f>
        <v>0</v>
      </c>
      <c r="AF299" s="1319" t="b">
        <f t="shared" si="100"/>
        <v>1</v>
      </c>
      <c r="AG299" s="1319" t="b">
        <f t="shared" si="101"/>
        <v>1</v>
      </c>
      <c r="AH299" s="1318" t="str">
        <f t="shared" si="102"/>
        <v>Checked</v>
      </c>
    </row>
    <row r="300" spans="1:34" outlineLevel="1" x14ac:dyDescent="0.3">
      <c r="B300" s="1356" t="s">
        <v>2566</v>
      </c>
      <c r="C300" s="1356" t="s">
        <v>2701</v>
      </c>
      <c r="D300" s="1323" t="s">
        <v>2567</v>
      </c>
      <c r="E300" s="1333">
        <v>5</v>
      </c>
      <c r="F300" s="1333">
        <f t="shared" si="93"/>
        <v>0</v>
      </c>
      <c r="G300" s="1358">
        <f t="shared" si="94"/>
        <v>0</v>
      </c>
      <c r="H300" s="1359">
        <f t="shared" si="95"/>
        <v>0</v>
      </c>
      <c r="I300" s="1360">
        <f t="shared" si="96"/>
        <v>0.2</v>
      </c>
      <c r="J300" s="1416">
        <v>1000</v>
      </c>
      <c r="K300" s="1416">
        <v>11339000</v>
      </c>
      <c r="L300" s="1416">
        <v>0</v>
      </c>
      <c r="M300" s="1416">
        <v>0</v>
      </c>
      <c r="N300" s="1417">
        <f t="shared" si="97"/>
        <v>-11338000</v>
      </c>
      <c r="O300" s="1416">
        <v>11339000</v>
      </c>
      <c r="P300" s="1416">
        <v>0</v>
      </c>
      <c r="Q300" s="1416"/>
      <c r="R300" s="1365">
        <f t="shared" si="98"/>
        <v>0</v>
      </c>
      <c r="S300" s="1416"/>
      <c r="T300" s="1366">
        <f t="shared" si="99"/>
        <v>0</v>
      </c>
      <c r="U300" s="1367">
        <f>IF($R300-SUM($T300:T300)=0,0,IF(OR($R300&lt;=0,$R300&lt;=SUM($T300:T300)),0,IF((IF($J300=0,$O300,$J300)*$I300)&gt;=($R300-SUM($T300:T300)),($R300-SUM($T300:T300)),IF($J300=0,$O300,$J300)*$I300)))</f>
        <v>0</v>
      </c>
      <c r="V300" s="1367">
        <f>IF($R300-SUM($T300:U300)=0,0,IF(OR($R300&lt;=0,$R300&lt;=SUM($T300:U300)),0,IF((IF($J300=0,$O300,$J300)*$I300)&gt;=($R300-SUM($T300:U300)),($R300-SUM($T300:U300)),IF($J300=0,$O300,$J300)*$I300)))</f>
        <v>0</v>
      </c>
      <c r="W300" s="1367">
        <f>IF($R300-SUM($T300:V300)=0,0,IF(OR($R300&lt;=0,$R300&lt;=SUM($T300:V300)),0,IF((IF($J300=0,$O300,$J300)*$I300)&gt;=($R300-SUM($T300:V300)),($R300-SUM($T300:V300)),IF($J300=0,$O300,$J300)*$I300)))</f>
        <v>0</v>
      </c>
      <c r="X300" s="1367">
        <f>IF($R300-SUM($T300:W300)=0,0,IF(OR($R300&lt;=0,$R300&lt;=SUM($T300:W300)),0,IF((IF($J300=0,$O300,$J300)*$I300)&gt;=($R300-SUM($T300:W300)),($R300-SUM($T300:W300)),IF($J300=0,$O300,$J300)*$I300)))</f>
        <v>0</v>
      </c>
      <c r="Y300" s="1367">
        <f>IF($R300-SUM($T300:X300)=0,0,IF(OR($R300&lt;=0,$R300&lt;=SUM($T300:X300)),0,IF((IF($J300=0,$O300,$J300)*$I300)&gt;=($R300-SUM($T300:X300)),($R300-SUM($T300:X300)),IF($J300=0,$O300,$J300)*$I300)))</f>
        <v>0</v>
      </c>
      <c r="Z300" s="1367">
        <f>IF($R300-SUM($T300:Y300)=0,0,IF(OR($R300&lt;=0,$R300&lt;=SUM($T300:Y300)),0,IF((IF($J300=0,$O300,$J300)*$I300)&gt;=($R300-SUM($T300:Y300)),($R300-SUM($T300:Y300)),IF($J300=0,$O300,$J300)*$I300)))</f>
        <v>0</v>
      </c>
      <c r="AA300" s="1367">
        <f>IF($R300-SUM($T300:Z300)=0,0,IF(OR($R300&lt;=0,$R300&lt;=SUM($T300:Z300)),0,IF((IF($J300=0,$O300,$J300)*$I300)&gt;=($R300-SUM($T300:Z300)),($R300-SUM($T300:Z300)),IF($J300=0,$O300,$J300)*$I300)))</f>
        <v>0</v>
      </c>
      <c r="AB300" s="1367">
        <f>IF($R300-SUM($T300:AA300)=0,0,IF(OR($R300&lt;=0,$R300&lt;=SUM($T300:AA300)),0,IF((IF($J300=0,$O300,$J300)*$I300)&gt;=($R300-SUM($T300:AA300)),($R300-SUM($T300:AA300)),IF($J300=0,$O300,$J300)*$I300)))</f>
        <v>0</v>
      </c>
      <c r="AC300" s="1367">
        <f>IF($R300-SUM($T300:AB300)=0,0,IF(OR($R300&lt;=0,$R300&lt;=SUM($T300:AB300)),0,IF((IF($J300=0,$O300,$J300)*$I300)&gt;=($R300-SUM($T300:AB300)),($R300-SUM($T300:AB300)),IF($J300=0,$O300,$J300)*$I300)))</f>
        <v>0</v>
      </c>
      <c r="AD300" s="1367">
        <f>IF($R300-SUM($T300:AC300)=0,0,IF(OR($R300&lt;=0,$R300&lt;=SUM($T300:AC300)),0,IF((IF($J300=0,$O300,$J300)*$I300)&gt;=($R300-SUM($T300:AC300)),($R300-SUM($T300:AC300)),IF($J300=0,$O300,$J300)*$I300)))</f>
        <v>0</v>
      </c>
      <c r="AF300" s="1319" t="b">
        <f t="shared" si="100"/>
        <v>1</v>
      </c>
      <c r="AG300" s="1319" t="b">
        <f t="shared" si="101"/>
        <v>1</v>
      </c>
      <c r="AH300" s="1318" t="str">
        <f t="shared" si="102"/>
        <v>Checked</v>
      </c>
    </row>
    <row r="301" spans="1:34" outlineLevel="1" x14ac:dyDescent="0.3">
      <c r="B301" s="1356" t="s">
        <v>2568</v>
      </c>
      <c r="C301" s="1356" t="s">
        <v>2701</v>
      </c>
      <c r="D301" s="1323" t="s">
        <v>2569</v>
      </c>
      <c r="E301" s="1333">
        <v>5</v>
      </c>
      <c r="F301" s="1333">
        <f t="shared" si="93"/>
        <v>0</v>
      </c>
      <c r="G301" s="1358">
        <f t="shared" si="94"/>
        <v>0</v>
      </c>
      <c r="H301" s="1359">
        <f t="shared" si="95"/>
        <v>0</v>
      </c>
      <c r="I301" s="1360">
        <f t="shared" si="96"/>
        <v>0.2</v>
      </c>
      <c r="J301" s="1416">
        <v>1000</v>
      </c>
      <c r="K301" s="1416">
        <v>10566000</v>
      </c>
      <c r="L301" s="1416">
        <v>0</v>
      </c>
      <c r="M301" s="1416">
        <v>0</v>
      </c>
      <c r="N301" s="1417">
        <f t="shared" si="97"/>
        <v>-10565000</v>
      </c>
      <c r="O301" s="1416">
        <v>10566000</v>
      </c>
      <c r="P301" s="1416">
        <v>0</v>
      </c>
      <c r="Q301" s="1416"/>
      <c r="R301" s="1365">
        <f t="shared" si="98"/>
        <v>0</v>
      </c>
      <c r="S301" s="1416"/>
      <c r="T301" s="1366">
        <f t="shared" si="99"/>
        <v>0</v>
      </c>
      <c r="U301" s="1367">
        <f>IF($R301-SUM($T301:T301)=0,0,IF(OR($R301&lt;=0,$R301&lt;=SUM($T301:T301)),0,IF((IF($J301=0,$O301,$J301)*$I301)&gt;=($R301-SUM($T301:T301)),($R301-SUM($T301:T301)),IF($J301=0,$O301,$J301)*$I301)))</f>
        <v>0</v>
      </c>
      <c r="V301" s="1367">
        <f>IF($R301-SUM($T301:U301)=0,0,IF(OR($R301&lt;=0,$R301&lt;=SUM($T301:U301)),0,IF((IF($J301=0,$O301,$J301)*$I301)&gt;=($R301-SUM($T301:U301)),($R301-SUM($T301:U301)),IF($J301=0,$O301,$J301)*$I301)))</f>
        <v>0</v>
      </c>
      <c r="W301" s="1367">
        <f>IF($R301-SUM($T301:V301)=0,0,IF(OR($R301&lt;=0,$R301&lt;=SUM($T301:V301)),0,IF((IF($J301=0,$O301,$J301)*$I301)&gt;=($R301-SUM($T301:V301)),($R301-SUM($T301:V301)),IF($J301=0,$O301,$J301)*$I301)))</f>
        <v>0</v>
      </c>
      <c r="X301" s="1367">
        <f>IF($R301-SUM($T301:W301)=0,0,IF(OR($R301&lt;=0,$R301&lt;=SUM($T301:W301)),0,IF((IF($J301=0,$O301,$J301)*$I301)&gt;=($R301-SUM($T301:W301)),($R301-SUM($T301:W301)),IF($J301=0,$O301,$J301)*$I301)))</f>
        <v>0</v>
      </c>
      <c r="Y301" s="1367">
        <f>IF($R301-SUM($T301:X301)=0,0,IF(OR($R301&lt;=0,$R301&lt;=SUM($T301:X301)),0,IF((IF($J301=0,$O301,$J301)*$I301)&gt;=($R301-SUM($T301:X301)),($R301-SUM($T301:X301)),IF($J301=0,$O301,$J301)*$I301)))</f>
        <v>0</v>
      </c>
      <c r="Z301" s="1367">
        <f>IF($R301-SUM($T301:Y301)=0,0,IF(OR($R301&lt;=0,$R301&lt;=SUM($T301:Y301)),0,IF((IF($J301=0,$O301,$J301)*$I301)&gt;=($R301-SUM($T301:Y301)),($R301-SUM($T301:Y301)),IF($J301=0,$O301,$J301)*$I301)))</f>
        <v>0</v>
      </c>
      <c r="AA301" s="1367">
        <f>IF($R301-SUM($T301:Z301)=0,0,IF(OR($R301&lt;=0,$R301&lt;=SUM($T301:Z301)),0,IF((IF($J301=0,$O301,$J301)*$I301)&gt;=($R301-SUM($T301:Z301)),($R301-SUM($T301:Z301)),IF($J301=0,$O301,$J301)*$I301)))</f>
        <v>0</v>
      </c>
      <c r="AB301" s="1367">
        <f>IF($R301-SUM($T301:AA301)=0,0,IF(OR($R301&lt;=0,$R301&lt;=SUM($T301:AA301)),0,IF((IF($J301=0,$O301,$J301)*$I301)&gt;=($R301-SUM($T301:AA301)),($R301-SUM($T301:AA301)),IF($J301=0,$O301,$J301)*$I301)))</f>
        <v>0</v>
      </c>
      <c r="AC301" s="1367">
        <f>IF($R301-SUM($T301:AB301)=0,0,IF(OR($R301&lt;=0,$R301&lt;=SUM($T301:AB301)),0,IF((IF($J301=0,$O301,$J301)*$I301)&gt;=($R301-SUM($T301:AB301)),($R301-SUM($T301:AB301)),IF($J301=0,$O301,$J301)*$I301)))</f>
        <v>0</v>
      </c>
      <c r="AD301" s="1367">
        <f>IF($R301-SUM($T301:AC301)=0,0,IF(OR($R301&lt;=0,$R301&lt;=SUM($T301:AC301)),0,IF((IF($J301=0,$O301,$J301)*$I301)&gt;=($R301-SUM($T301:AC301)),($R301-SUM($T301:AC301)),IF($J301=0,$O301,$J301)*$I301)))</f>
        <v>0</v>
      </c>
      <c r="AF301" s="1319" t="b">
        <f t="shared" si="100"/>
        <v>1</v>
      </c>
      <c r="AG301" s="1319" t="b">
        <f t="shared" si="101"/>
        <v>1</v>
      </c>
      <c r="AH301" s="1318" t="str">
        <f t="shared" si="102"/>
        <v>Checked</v>
      </c>
    </row>
    <row r="302" spans="1:34" outlineLevel="1" x14ac:dyDescent="0.3">
      <c r="B302" s="1356" t="s">
        <v>2560</v>
      </c>
      <c r="C302" s="1356" t="s">
        <v>2701</v>
      </c>
      <c r="D302" s="1323" t="s">
        <v>2570</v>
      </c>
      <c r="E302" s="1333">
        <v>5</v>
      </c>
      <c r="F302" s="1333">
        <f t="shared" si="93"/>
        <v>0</v>
      </c>
      <c r="G302" s="1358">
        <f t="shared" si="94"/>
        <v>0</v>
      </c>
      <c r="H302" s="1359">
        <f t="shared" si="95"/>
        <v>0</v>
      </c>
      <c r="I302" s="1360">
        <f t="shared" si="96"/>
        <v>0.2</v>
      </c>
      <c r="J302" s="1416">
        <v>1000</v>
      </c>
      <c r="K302" s="1416">
        <v>1399000</v>
      </c>
      <c r="L302" s="1416">
        <v>0</v>
      </c>
      <c r="M302" s="1416">
        <v>0</v>
      </c>
      <c r="N302" s="1417">
        <f t="shared" si="97"/>
        <v>-1398000</v>
      </c>
      <c r="O302" s="1416">
        <v>1399000</v>
      </c>
      <c r="P302" s="1416"/>
      <c r="Q302" s="1416"/>
      <c r="R302" s="1365">
        <f t="shared" si="98"/>
        <v>0</v>
      </c>
      <c r="S302" s="1416"/>
      <c r="T302" s="1366">
        <f t="shared" si="99"/>
        <v>0</v>
      </c>
      <c r="U302" s="1367">
        <f>IF($R302-SUM($T302:T302)=0,0,IF(OR($R302&lt;=0,$R302&lt;=SUM($T302:T302)),0,IF((IF($J302=0,$O302,$J302)*$I302)&gt;=($R302-SUM($T302:T302)),($R302-SUM($T302:T302)),IF($J302=0,$O302,$J302)*$I302)))</f>
        <v>0</v>
      </c>
      <c r="V302" s="1367">
        <f>IF($R302-SUM($T302:U302)=0,0,IF(OR($R302&lt;=0,$R302&lt;=SUM($T302:U302)),0,IF((IF($J302=0,$O302,$J302)*$I302)&gt;=($R302-SUM($T302:U302)),($R302-SUM($T302:U302)),IF($J302=0,$O302,$J302)*$I302)))</f>
        <v>0</v>
      </c>
      <c r="W302" s="1367">
        <f>IF($R302-SUM($T302:V302)=0,0,IF(OR($R302&lt;=0,$R302&lt;=SUM($T302:V302)),0,IF((IF($J302=0,$O302,$J302)*$I302)&gt;=($R302-SUM($T302:V302)),($R302-SUM($T302:V302)),IF($J302=0,$O302,$J302)*$I302)))</f>
        <v>0</v>
      </c>
      <c r="X302" s="1367">
        <f>IF($R302-SUM($T302:W302)=0,0,IF(OR($R302&lt;=0,$R302&lt;=SUM($T302:W302)),0,IF((IF($J302=0,$O302,$J302)*$I302)&gt;=($R302-SUM($T302:W302)),($R302-SUM($T302:W302)),IF($J302=0,$O302,$J302)*$I302)))</f>
        <v>0</v>
      </c>
      <c r="Y302" s="1367">
        <f>IF($R302-SUM($T302:X302)=0,0,IF(OR($R302&lt;=0,$R302&lt;=SUM($T302:X302)),0,IF((IF($J302=0,$O302,$J302)*$I302)&gt;=($R302-SUM($T302:X302)),($R302-SUM($T302:X302)),IF($J302=0,$O302,$J302)*$I302)))</f>
        <v>0</v>
      </c>
      <c r="Z302" s="1367">
        <f>IF($R302-SUM($T302:Y302)=0,0,IF(OR($R302&lt;=0,$R302&lt;=SUM($T302:Y302)),0,IF((IF($J302=0,$O302,$J302)*$I302)&gt;=($R302-SUM($T302:Y302)),($R302-SUM($T302:Y302)),IF($J302=0,$O302,$J302)*$I302)))</f>
        <v>0</v>
      </c>
      <c r="AA302" s="1367">
        <f>IF($R302-SUM($T302:Z302)=0,0,IF(OR($R302&lt;=0,$R302&lt;=SUM($T302:Z302)),0,IF((IF($J302=0,$O302,$J302)*$I302)&gt;=($R302-SUM($T302:Z302)),($R302-SUM($T302:Z302)),IF($J302=0,$O302,$J302)*$I302)))</f>
        <v>0</v>
      </c>
      <c r="AB302" s="1367">
        <f>IF($R302-SUM($T302:AA302)=0,0,IF(OR($R302&lt;=0,$R302&lt;=SUM($T302:AA302)),0,IF((IF($J302=0,$O302,$J302)*$I302)&gt;=($R302-SUM($T302:AA302)),($R302-SUM($T302:AA302)),IF($J302=0,$O302,$J302)*$I302)))</f>
        <v>0</v>
      </c>
      <c r="AC302" s="1367">
        <f>IF($R302-SUM($T302:AB302)=0,0,IF(OR($R302&lt;=0,$R302&lt;=SUM($T302:AB302)),0,IF((IF($J302=0,$O302,$J302)*$I302)&gt;=($R302-SUM($T302:AB302)),($R302-SUM($T302:AB302)),IF($J302=0,$O302,$J302)*$I302)))</f>
        <v>0</v>
      </c>
      <c r="AD302" s="1367">
        <f>IF($R302-SUM($T302:AC302)=0,0,IF(OR($R302&lt;=0,$R302&lt;=SUM($T302:AC302)),0,IF((IF($J302=0,$O302,$J302)*$I302)&gt;=($R302-SUM($T302:AC302)),($R302-SUM($T302:AC302)),IF($J302=0,$O302,$J302)*$I302)))</f>
        <v>0</v>
      </c>
      <c r="AF302" s="1319" t="b">
        <f t="shared" si="100"/>
        <v>1</v>
      </c>
      <c r="AG302" s="1319" t="b">
        <f t="shared" si="101"/>
        <v>1</v>
      </c>
      <c r="AH302" s="1318" t="str">
        <f t="shared" si="102"/>
        <v>Checked</v>
      </c>
    </row>
    <row r="303" spans="1:34" outlineLevel="1" x14ac:dyDescent="0.3">
      <c r="B303" s="1356" t="s">
        <v>2571</v>
      </c>
      <c r="C303" s="1356" t="s">
        <v>2701</v>
      </c>
      <c r="D303" s="1323" t="s">
        <v>2572</v>
      </c>
      <c r="E303" s="1333">
        <v>5</v>
      </c>
      <c r="F303" s="1333">
        <f t="shared" si="93"/>
        <v>0</v>
      </c>
      <c r="G303" s="1358">
        <f t="shared" si="94"/>
        <v>0</v>
      </c>
      <c r="H303" s="1359">
        <f t="shared" si="95"/>
        <v>0</v>
      </c>
      <c r="I303" s="1360">
        <f t="shared" si="96"/>
        <v>0.2</v>
      </c>
      <c r="J303" s="1416">
        <v>42500</v>
      </c>
      <c r="K303" s="1416">
        <v>807500</v>
      </c>
      <c r="L303" s="1416">
        <v>0</v>
      </c>
      <c r="M303" s="1416">
        <v>0</v>
      </c>
      <c r="N303" s="1417">
        <f t="shared" si="97"/>
        <v>-765000</v>
      </c>
      <c r="O303" s="1416">
        <v>807500</v>
      </c>
      <c r="P303" s="1416">
        <v>200000</v>
      </c>
      <c r="Q303" s="1416">
        <v>210000</v>
      </c>
      <c r="R303" s="1365">
        <f t="shared" si="98"/>
        <v>0</v>
      </c>
      <c r="S303" s="1416"/>
      <c r="T303" s="1366">
        <f t="shared" si="99"/>
        <v>0</v>
      </c>
      <c r="U303" s="1367">
        <f>IF($R303-SUM($T303:T303)=0,0,IF(OR($R303&lt;=0,$R303&lt;=SUM($T303:T303)),0,IF((IF($J303=0,$O303,$J303)*$I303)&gt;=($R303-SUM($T303:T303)),($R303-SUM($T303:T303)),IF($J303=0,$O303,$J303)*$I303)))</f>
        <v>0</v>
      </c>
      <c r="V303" s="1367">
        <f>IF($R303-SUM($T303:U303)=0,0,IF(OR($R303&lt;=0,$R303&lt;=SUM($T303:U303)),0,IF((IF($J303=0,$O303,$J303)*$I303)&gt;=($R303-SUM($T303:U303)),($R303-SUM($T303:U303)),IF($J303=0,$O303,$J303)*$I303)))</f>
        <v>0</v>
      </c>
      <c r="W303" s="1367">
        <f>IF($R303-SUM($T303:V303)=0,0,IF(OR($R303&lt;=0,$R303&lt;=SUM($T303:V303)),0,IF((IF($J303=0,$O303,$J303)*$I303)&gt;=($R303-SUM($T303:V303)),($R303-SUM($T303:V303)),IF($J303=0,$O303,$J303)*$I303)))</f>
        <v>0</v>
      </c>
      <c r="X303" s="1367">
        <f>IF($R303-SUM($T303:W303)=0,0,IF(OR($R303&lt;=0,$R303&lt;=SUM($T303:W303)),0,IF((IF($J303=0,$O303,$J303)*$I303)&gt;=($R303-SUM($T303:W303)),($R303-SUM($T303:W303)),IF($J303=0,$O303,$J303)*$I303)))</f>
        <v>0</v>
      </c>
      <c r="Y303" s="1367">
        <f>IF($R303-SUM($T303:X303)=0,0,IF(OR($R303&lt;=0,$R303&lt;=SUM($T303:X303)),0,IF((IF($J303=0,$O303,$J303)*$I303)&gt;=($R303-SUM($T303:X303)),($R303-SUM($T303:X303)),IF($J303=0,$O303,$J303)*$I303)))</f>
        <v>0</v>
      </c>
      <c r="Z303" s="1367">
        <f>IF($R303-SUM($T303:Y303)=0,0,IF(OR($R303&lt;=0,$R303&lt;=SUM($T303:Y303)),0,IF((IF($J303=0,$O303,$J303)*$I303)&gt;=($R303-SUM($T303:Y303)),($R303-SUM($T303:Y303)),IF($J303=0,$O303,$J303)*$I303)))</f>
        <v>0</v>
      </c>
      <c r="AA303" s="1367">
        <f>IF($R303-SUM($T303:Z303)=0,0,IF(OR($R303&lt;=0,$R303&lt;=SUM($T303:Z303)),0,IF((IF($J303=0,$O303,$J303)*$I303)&gt;=($R303-SUM($T303:Z303)),($R303-SUM($T303:Z303)),IF($J303=0,$O303,$J303)*$I303)))</f>
        <v>0</v>
      </c>
      <c r="AB303" s="1367">
        <f>IF($R303-SUM($T303:AA303)=0,0,IF(OR($R303&lt;=0,$R303&lt;=SUM($T303:AA303)),0,IF((IF($J303=0,$O303,$J303)*$I303)&gt;=($R303-SUM($T303:AA303)),($R303-SUM($T303:AA303)),IF($J303=0,$O303,$J303)*$I303)))</f>
        <v>0</v>
      </c>
      <c r="AC303" s="1367">
        <f>IF($R303-SUM($T303:AB303)=0,0,IF(OR($R303&lt;=0,$R303&lt;=SUM($T303:AB303)),0,IF((IF($J303=0,$O303,$J303)*$I303)&gt;=($R303-SUM($T303:AB303)),($R303-SUM($T303:AB303)),IF($J303=0,$O303,$J303)*$I303)))</f>
        <v>0</v>
      </c>
      <c r="AD303" s="1367">
        <f>IF($R303-SUM($T303:AC303)=0,0,IF(OR($R303&lt;=0,$R303&lt;=SUM($T303:AC303)),0,IF((IF($J303=0,$O303,$J303)*$I303)&gt;=($R303-SUM($T303:AC303)),($R303-SUM($T303:AC303)),IF($J303=0,$O303,$J303)*$I303)))</f>
        <v>0</v>
      </c>
      <c r="AF303" s="1319" t="b">
        <f t="shared" si="100"/>
        <v>1</v>
      </c>
      <c r="AG303" s="1319" t="b">
        <f t="shared" si="101"/>
        <v>1</v>
      </c>
      <c r="AH303" s="1318" t="str">
        <f t="shared" si="102"/>
        <v>Checked</v>
      </c>
    </row>
    <row r="304" spans="1:34" outlineLevel="1" x14ac:dyDescent="0.3">
      <c r="B304" s="1356" t="s">
        <v>2573</v>
      </c>
      <c r="C304" s="1356" t="s">
        <v>2701</v>
      </c>
      <c r="D304" s="1323" t="s">
        <v>2574</v>
      </c>
      <c r="E304" s="1333">
        <v>5</v>
      </c>
      <c r="F304" s="1333">
        <f t="shared" si="93"/>
        <v>1</v>
      </c>
      <c r="G304" s="1358">
        <f t="shared" si="94"/>
        <v>0</v>
      </c>
      <c r="H304" s="1359">
        <f t="shared" si="95"/>
        <v>0</v>
      </c>
      <c r="I304" s="1360">
        <f t="shared" si="96"/>
        <v>0.2</v>
      </c>
      <c r="J304" s="1416">
        <v>297500</v>
      </c>
      <c r="K304" s="1416">
        <v>752500</v>
      </c>
      <c r="L304" s="1416">
        <v>0</v>
      </c>
      <c r="M304" s="1416">
        <v>0</v>
      </c>
      <c r="N304" s="1417">
        <f t="shared" si="97"/>
        <v>-455000</v>
      </c>
      <c r="O304" s="1416">
        <v>752500</v>
      </c>
      <c r="P304" s="1416"/>
      <c r="Q304" s="1416">
        <v>210000</v>
      </c>
      <c r="R304" s="1365">
        <f t="shared" si="98"/>
        <v>0</v>
      </c>
      <c r="S304" s="1416"/>
      <c r="T304" s="1366">
        <f t="shared" si="99"/>
        <v>0</v>
      </c>
      <c r="U304" s="1367">
        <f>IF($R304-SUM($T304:T304)=0,0,IF(OR($R304&lt;=0,$R304&lt;=SUM($T304:T304)),0,IF((IF($J304=0,$O304,$J304)*$I304)&gt;=($R304-SUM($T304:T304)),($R304-SUM($T304:T304)),IF($J304=0,$O304,$J304)*$I304)))</f>
        <v>0</v>
      </c>
      <c r="V304" s="1367">
        <f>IF($R304-SUM($T304:U304)=0,0,IF(OR($R304&lt;=0,$R304&lt;=SUM($T304:U304)),0,IF((IF($J304=0,$O304,$J304)*$I304)&gt;=($R304-SUM($T304:U304)),($R304-SUM($T304:U304)),IF($J304=0,$O304,$J304)*$I304)))</f>
        <v>0</v>
      </c>
      <c r="W304" s="1367">
        <f>IF($R304-SUM($T304:V304)=0,0,IF(OR($R304&lt;=0,$R304&lt;=SUM($T304:V304)),0,IF((IF($J304=0,$O304,$J304)*$I304)&gt;=($R304-SUM($T304:V304)),($R304-SUM($T304:V304)),IF($J304=0,$O304,$J304)*$I304)))</f>
        <v>0</v>
      </c>
      <c r="X304" s="1367">
        <f>IF($R304-SUM($T304:W304)=0,0,IF(OR($R304&lt;=0,$R304&lt;=SUM($T304:W304)),0,IF((IF($J304=0,$O304,$J304)*$I304)&gt;=($R304-SUM($T304:W304)),($R304-SUM($T304:W304)),IF($J304=0,$O304,$J304)*$I304)))</f>
        <v>0</v>
      </c>
      <c r="Y304" s="1367">
        <f>IF($R304-SUM($T304:X304)=0,0,IF(OR($R304&lt;=0,$R304&lt;=SUM($T304:X304)),0,IF((IF($J304=0,$O304,$J304)*$I304)&gt;=($R304-SUM($T304:X304)),($R304-SUM($T304:X304)),IF($J304=0,$O304,$J304)*$I304)))</f>
        <v>0</v>
      </c>
      <c r="Z304" s="1367">
        <f>IF($R304-SUM($T304:Y304)=0,0,IF(OR($R304&lt;=0,$R304&lt;=SUM($T304:Y304)),0,IF((IF($J304=0,$O304,$J304)*$I304)&gt;=($R304-SUM($T304:Y304)),($R304-SUM($T304:Y304)),IF($J304=0,$O304,$J304)*$I304)))</f>
        <v>0</v>
      </c>
      <c r="AA304" s="1367">
        <f>IF($R304-SUM($T304:Z304)=0,0,IF(OR($R304&lt;=0,$R304&lt;=SUM($T304:Z304)),0,IF((IF($J304=0,$O304,$J304)*$I304)&gt;=($R304-SUM($T304:Z304)),($R304-SUM($T304:Z304)),IF($J304=0,$O304,$J304)*$I304)))</f>
        <v>0</v>
      </c>
      <c r="AB304" s="1367">
        <f>IF($R304-SUM($T304:AA304)=0,0,IF(OR($R304&lt;=0,$R304&lt;=SUM($T304:AA304)),0,IF((IF($J304=0,$O304,$J304)*$I304)&gt;=($R304-SUM($T304:AA304)),($R304-SUM($T304:AA304)),IF($J304=0,$O304,$J304)*$I304)))</f>
        <v>0</v>
      </c>
      <c r="AC304" s="1367">
        <f>IF($R304-SUM($T304:AB304)=0,0,IF(OR($R304&lt;=0,$R304&lt;=SUM($T304:AB304)),0,IF((IF($J304=0,$O304,$J304)*$I304)&gt;=($R304-SUM($T304:AB304)),($R304-SUM($T304:AB304)),IF($J304=0,$O304,$J304)*$I304)))</f>
        <v>0</v>
      </c>
      <c r="AD304" s="1367">
        <f>IF($R304-SUM($T304:AC304)=0,0,IF(OR($R304&lt;=0,$R304&lt;=SUM($T304:AC304)),0,IF((IF($J304=0,$O304,$J304)*$I304)&gt;=($R304-SUM($T304:AC304)),($R304-SUM($T304:AC304)),IF($J304=0,$O304,$J304)*$I304)))</f>
        <v>0</v>
      </c>
      <c r="AF304" s="1319" t="b">
        <f t="shared" si="100"/>
        <v>1</v>
      </c>
      <c r="AG304" s="1319" t="b">
        <f t="shared" si="101"/>
        <v>1</v>
      </c>
      <c r="AH304" s="1318" t="str">
        <f t="shared" si="102"/>
        <v>Checked</v>
      </c>
    </row>
    <row r="305" spans="1:34" outlineLevel="1" x14ac:dyDescent="0.3">
      <c r="B305" s="1356" t="s">
        <v>2575</v>
      </c>
      <c r="C305" s="1356" t="s">
        <v>2701</v>
      </c>
      <c r="D305" s="1323" t="s">
        <v>2576</v>
      </c>
      <c r="E305" s="1333">
        <v>5</v>
      </c>
      <c r="F305" s="1333">
        <f t="shared" si="93"/>
        <v>1</v>
      </c>
      <c r="G305" s="1358">
        <f t="shared" si="94"/>
        <v>0</v>
      </c>
      <c r="H305" s="1359">
        <f t="shared" si="95"/>
        <v>0</v>
      </c>
      <c r="I305" s="1360">
        <f t="shared" si="96"/>
        <v>0.2</v>
      </c>
      <c r="J305" s="1416">
        <v>360000</v>
      </c>
      <c r="K305" s="1416">
        <v>840000</v>
      </c>
      <c r="L305" s="1416">
        <v>0</v>
      </c>
      <c r="M305" s="1416">
        <v>0</v>
      </c>
      <c r="N305" s="1417">
        <f t="shared" si="97"/>
        <v>-480000</v>
      </c>
      <c r="O305" s="1416">
        <v>840000</v>
      </c>
      <c r="P305" s="1416"/>
      <c r="Q305" s="1416">
        <v>240000</v>
      </c>
      <c r="R305" s="1365">
        <f t="shared" si="98"/>
        <v>0</v>
      </c>
      <c r="S305" s="1416"/>
      <c r="T305" s="1366">
        <f t="shared" si="99"/>
        <v>0</v>
      </c>
      <c r="U305" s="1367">
        <f>IF($R305-SUM($T305:T305)=0,0,IF(OR($R305&lt;=0,$R305&lt;=SUM($T305:T305)),0,IF((IF($J305=0,$O305,$J305)*$I305)&gt;=($R305-SUM($T305:T305)),($R305-SUM($T305:T305)),IF($J305=0,$O305,$J305)*$I305)))</f>
        <v>0</v>
      </c>
      <c r="V305" s="1367">
        <f>IF($R305-SUM($T305:U305)=0,0,IF(OR($R305&lt;=0,$R305&lt;=SUM($T305:U305)),0,IF((IF($J305=0,$O305,$J305)*$I305)&gt;=($R305-SUM($T305:U305)),($R305-SUM($T305:U305)),IF($J305=0,$O305,$J305)*$I305)))</f>
        <v>0</v>
      </c>
      <c r="W305" s="1367">
        <f>IF($R305-SUM($T305:V305)=0,0,IF(OR($R305&lt;=0,$R305&lt;=SUM($T305:V305)),0,IF((IF($J305=0,$O305,$J305)*$I305)&gt;=($R305-SUM($T305:V305)),($R305-SUM($T305:V305)),IF($J305=0,$O305,$J305)*$I305)))</f>
        <v>0</v>
      </c>
      <c r="X305" s="1367">
        <f>IF($R305-SUM($T305:W305)=0,0,IF(OR($R305&lt;=0,$R305&lt;=SUM($T305:W305)),0,IF((IF($J305=0,$O305,$J305)*$I305)&gt;=($R305-SUM($T305:W305)),($R305-SUM($T305:W305)),IF($J305=0,$O305,$J305)*$I305)))</f>
        <v>0</v>
      </c>
      <c r="Y305" s="1367">
        <f>IF($R305-SUM($T305:X305)=0,0,IF(OR($R305&lt;=0,$R305&lt;=SUM($T305:X305)),0,IF((IF($J305=0,$O305,$J305)*$I305)&gt;=($R305-SUM($T305:X305)),($R305-SUM($T305:X305)),IF($J305=0,$O305,$J305)*$I305)))</f>
        <v>0</v>
      </c>
      <c r="Z305" s="1367">
        <f>IF($R305-SUM($T305:Y305)=0,0,IF(OR($R305&lt;=0,$R305&lt;=SUM($T305:Y305)),0,IF((IF($J305=0,$O305,$J305)*$I305)&gt;=($R305-SUM($T305:Y305)),($R305-SUM($T305:Y305)),IF($J305=0,$O305,$J305)*$I305)))</f>
        <v>0</v>
      </c>
      <c r="AA305" s="1367">
        <f>IF($R305-SUM($T305:Z305)=0,0,IF(OR($R305&lt;=0,$R305&lt;=SUM($T305:Z305)),0,IF((IF($J305=0,$O305,$J305)*$I305)&gt;=($R305-SUM($T305:Z305)),($R305-SUM($T305:Z305)),IF($J305=0,$O305,$J305)*$I305)))</f>
        <v>0</v>
      </c>
      <c r="AB305" s="1367">
        <f>IF($R305-SUM($T305:AA305)=0,0,IF(OR($R305&lt;=0,$R305&lt;=SUM($T305:AA305)),0,IF((IF($J305=0,$O305,$J305)*$I305)&gt;=($R305-SUM($T305:AA305)),($R305-SUM($T305:AA305)),IF($J305=0,$O305,$J305)*$I305)))</f>
        <v>0</v>
      </c>
      <c r="AC305" s="1367">
        <f>IF($R305-SUM($T305:AB305)=0,0,IF(OR($R305&lt;=0,$R305&lt;=SUM($T305:AB305)),0,IF((IF($J305=0,$O305,$J305)*$I305)&gt;=($R305-SUM($T305:AB305)),($R305-SUM($T305:AB305)),IF($J305=0,$O305,$J305)*$I305)))</f>
        <v>0</v>
      </c>
      <c r="AD305" s="1367">
        <f>IF($R305-SUM($T305:AC305)=0,0,IF(OR($R305&lt;=0,$R305&lt;=SUM($T305:AC305)),0,IF((IF($J305=0,$O305,$J305)*$I305)&gt;=($R305-SUM($T305:AC305)),($R305-SUM($T305:AC305)),IF($J305=0,$O305,$J305)*$I305)))</f>
        <v>0</v>
      </c>
      <c r="AF305" s="1319" t="b">
        <f t="shared" si="100"/>
        <v>1</v>
      </c>
      <c r="AG305" s="1319" t="b">
        <f t="shared" si="101"/>
        <v>1</v>
      </c>
      <c r="AH305" s="1318" t="str">
        <f t="shared" si="102"/>
        <v>Checked</v>
      </c>
    </row>
    <row r="306" spans="1:34" outlineLevel="1" x14ac:dyDescent="0.3">
      <c r="B306" s="1356" t="s">
        <v>2577</v>
      </c>
      <c r="C306" s="1356" t="s">
        <v>2701</v>
      </c>
      <c r="D306" s="1323" t="s">
        <v>2578</v>
      </c>
      <c r="E306" s="1333">
        <v>5</v>
      </c>
      <c r="F306" s="1333">
        <f t="shared" si="93"/>
        <v>2</v>
      </c>
      <c r="G306" s="1358">
        <f t="shared" si="94"/>
        <v>0</v>
      </c>
      <c r="H306" s="1359">
        <f t="shared" si="95"/>
        <v>0</v>
      </c>
      <c r="I306" s="1360">
        <f t="shared" si="96"/>
        <v>0.2</v>
      </c>
      <c r="J306" s="1416">
        <v>7995000</v>
      </c>
      <c r="K306" s="1416">
        <v>10455000</v>
      </c>
      <c r="L306" s="1416">
        <v>0</v>
      </c>
      <c r="M306" s="1416">
        <v>0</v>
      </c>
      <c r="N306" s="1417">
        <f t="shared" si="97"/>
        <v>-2460000</v>
      </c>
      <c r="O306" s="1416">
        <v>10455000</v>
      </c>
      <c r="P306" s="1416"/>
      <c r="Q306" s="1416">
        <v>3690000</v>
      </c>
      <c r="R306" s="1365">
        <f t="shared" si="98"/>
        <v>0</v>
      </c>
      <c r="S306" s="1416"/>
      <c r="T306" s="1366">
        <f t="shared" si="99"/>
        <v>0</v>
      </c>
      <c r="U306" s="1367">
        <f>IF($R306-SUM($T306:T306)=0,0,IF(OR($R306&lt;=0,$R306&lt;=SUM($T306:T306)),0,IF((IF($J306=0,$O306,$J306)*$I306)&gt;=($R306-SUM($T306:T306)),($R306-SUM($T306:T306)),IF($J306=0,$O306,$J306)*$I306)))</f>
        <v>0</v>
      </c>
      <c r="V306" s="1367">
        <f>IF($R306-SUM($T306:U306)=0,0,IF(OR($R306&lt;=0,$R306&lt;=SUM($T306:U306)),0,IF((IF($J306=0,$O306,$J306)*$I306)&gt;=($R306-SUM($T306:U306)),($R306-SUM($T306:U306)),IF($J306=0,$O306,$J306)*$I306)))</f>
        <v>0</v>
      </c>
      <c r="W306" s="1367">
        <f>IF($R306-SUM($T306:V306)=0,0,IF(OR($R306&lt;=0,$R306&lt;=SUM($T306:V306)),0,IF((IF($J306=0,$O306,$J306)*$I306)&gt;=($R306-SUM($T306:V306)),($R306-SUM($T306:V306)),IF($J306=0,$O306,$J306)*$I306)))</f>
        <v>0</v>
      </c>
      <c r="X306" s="1367">
        <f>IF($R306-SUM($T306:W306)=0,0,IF(OR($R306&lt;=0,$R306&lt;=SUM($T306:W306)),0,IF((IF($J306=0,$O306,$J306)*$I306)&gt;=($R306-SUM($T306:W306)),($R306-SUM($T306:W306)),IF($J306=0,$O306,$J306)*$I306)))</f>
        <v>0</v>
      </c>
      <c r="Y306" s="1367">
        <f>IF($R306-SUM($T306:X306)=0,0,IF(OR($R306&lt;=0,$R306&lt;=SUM($T306:X306)),0,IF((IF($J306=0,$O306,$J306)*$I306)&gt;=($R306-SUM($T306:X306)),($R306-SUM($T306:X306)),IF($J306=0,$O306,$J306)*$I306)))</f>
        <v>0</v>
      </c>
      <c r="Z306" s="1367">
        <f>IF($R306-SUM($T306:Y306)=0,0,IF(OR($R306&lt;=0,$R306&lt;=SUM($T306:Y306)),0,IF((IF($J306=0,$O306,$J306)*$I306)&gt;=($R306-SUM($T306:Y306)),($R306-SUM($T306:Y306)),IF($J306=0,$O306,$J306)*$I306)))</f>
        <v>0</v>
      </c>
      <c r="AA306" s="1367">
        <f>IF($R306-SUM($T306:Z306)=0,0,IF(OR($R306&lt;=0,$R306&lt;=SUM($T306:Z306)),0,IF((IF($J306=0,$O306,$J306)*$I306)&gt;=($R306-SUM($T306:Z306)),($R306-SUM($T306:Z306)),IF($J306=0,$O306,$J306)*$I306)))</f>
        <v>0</v>
      </c>
      <c r="AB306" s="1367">
        <f>IF($R306-SUM($T306:AA306)=0,0,IF(OR($R306&lt;=0,$R306&lt;=SUM($T306:AA306)),0,IF((IF($J306=0,$O306,$J306)*$I306)&gt;=($R306-SUM($T306:AA306)),($R306-SUM($T306:AA306)),IF($J306=0,$O306,$J306)*$I306)))</f>
        <v>0</v>
      </c>
      <c r="AC306" s="1367">
        <f>IF($R306-SUM($T306:AB306)=0,0,IF(OR($R306&lt;=0,$R306&lt;=SUM($T306:AB306)),0,IF((IF($J306=0,$O306,$J306)*$I306)&gt;=($R306-SUM($T306:AB306)),($R306-SUM($T306:AB306)),IF($J306=0,$O306,$J306)*$I306)))</f>
        <v>0</v>
      </c>
      <c r="AD306" s="1367">
        <f>IF($R306-SUM($T306:AC306)=0,0,IF(OR($R306&lt;=0,$R306&lt;=SUM($T306:AC306)),0,IF((IF($J306=0,$O306,$J306)*$I306)&gt;=($R306-SUM($T306:AC306)),($R306-SUM($T306:AC306)),IF($J306=0,$O306,$J306)*$I306)))</f>
        <v>0</v>
      </c>
      <c r="AF306" s="1319" t="b">
        <f t="shared" si="100"/>
        <v>1</v>
      </c>
      <c r="AG306" s="1319" t="b">
        <f t="shared" si="101"/>
        <v>1</v>
      </c>
      <c r="AH306" s="1318" t="str">
        <f t="shared" si="102"/>
        <v>Checked</v>
      </c>
    </row>
    <row r="307" spans="1:34" outlineLevel="1" x14ac:dyDescent="0.3">
      <c r="B307" s="1356" t="s">
        <v>2579</v>
      </c>
      <c r="C307" s="1356" t="s">
        <v>2701</v>
      </c>
      <c r="D307" s="1323" t="s">
        <v>2580</v>
      </c>
      <c r="E307" s="1333">
        <v>5</v>
      </c>
      <c r="F307" s="1333">
        <f t="shared" si="93"/>
        <v>2</v>
      </c>
      <c r="G307" s="1358">
        <f t="shared" si="94"/>
        <v>0</v>
      </c>
      <c r="H307" s="1359">
        <f t="shared" si="95"/>
        <v>0</v>
      </c>
      <c r="I307" s="1360">
        <f t="shared" si="96"/>
        <v>0.2</v>
      </c>
      <c r="J307" s="1416">
        <v>2986667</v>
      </c>
      <c r="K307" s="1416">
        <v>2613333</v>
      </c>
      <c r="L307" s="1416">
        <v>0</v>
      </c>
      <c r="M307" s="1416">
        <v>0</v>
      </c>
      <c r="N307" s="1417">
        <f t="shared" si="97"/>
        <v>373334</v>
      </c>
      <c r="O307" s="1416">
        <v>2613333</v>
      </c>
      <c r="P307" s="1416"/>
      <c r="Q307" s="1416">
        <v>1120000</v>
      </c>
      <c r="R307" s="1365">
        <f t="shared" si="98"/>
        <v>0</v>
      </c>
      <c r="S307" s="1416"/>
      <c r="T307" s="1366">
        <f t="shared" si="99"/>
        <v>0</v>
      </c>
      <c r="U307" s="1367">
        <f>IF($R307-SUM($T307:T307)=0,0,IF(OR($R307&lt;=0,$R307&lt;=SUM($T307:T307)),0,IF((IF($J307=0,$O307,$J307)*$I307)&gt;=($R307-SUM($T307:T307)),($R307-SUM($T307:T307)),IF($J307=0,$O307,$J307)*$I307)))</f>
        <v>0</v>
      </c>
      <c r="V307" s="1367">
        <f>IF($R307-SUM($T307:U307)=0,0,IF(OR($R307&lt;=0,$R307&lt;=SUM($T307:U307)),0,IF((IF($J307=0,$O307,$J307)*$I307)&gt;=($R307-SUM($T307:U307)),($R307-SUM($T307:U307)),IF($J307=0,$O307,$J307)*$I307)))</f>
        <v>0</v>
      </c>
      <c r="W307" s="1367">
        <f>IF($R307-SUM($T307:V307)=0,0,IF(OR($R307&lt;=0,$R307&lt;=SUM($T307:V307)),0,IF((IF($J307=0,$O307,$J307)*$I307)&gt;=($R307-SUM($T307:V307)),($R307-SUM($T307:V307)),IF($J307=0,$O307,$J307)*$I307)))</f>
        <v>0</v>
      </c>
      <c r="X307" s="1367">
        <f>IF($R307-SUM($T307:W307)=0,0,IF(OR($R307&lt;=0,$R307&lt;=SUM($T307:W307)),0,IF((IF($J307=0,$O307,$J307)*$I307)&gt;=($R307-SUM($T307:W307)),($R307-SUM($T307:W307)),IF($J307=0,$O307,$J307)*$I307)))</f>
        <v>0</v>
      </c>
      <c r="Y307" s="1367">
        <f>IF($R307-SUM($T307:X307)=0,0,IF(OR($R307&lt;=0,$R307&lt;=SUM($T307:X307)),0,IF((IF($J307=0,$O307,$J307)*$I307)&gt;=($R307-SUM($T307:X307)),($R307-SUM($T307:X307)),IF($J307=0,$O307,$J307)*$I307)))</f>
        <v>0</v>
      </c>
      <c r="Z307" s="1367">
        <f>IF($R307-SUM($T307:Y307)=0,0,IF(OR($R307&lt;=0,$R307&lt;=SUM($T307:Y307)),0,IF((IF($J307=0,$O307,$J307)*$I307)&gt;=($R307-SUM($T307:Y307)),($R307-SUM($T307:Y307)),IF($J307=0,$O307,$J307)*$I307)))</f>
        <v>0</v>
      </c>
      <c r="AA307" s="1367">
        <f>IF($R307-SUM($T307:Z307)=0,0,IF(OR($R307&lt;=0,$R307&lt;=SUM($T307:Z307)),0,IF((IF($J307=0,$O307,$J307)*$I307)&gt;=($R307-SUM($T307:Z307)),($R307-SUM($T307:Z307)),IF($J307=0,$O307,$J307)*$I307)))</f>
        <v>0</v>
      </c>
      <c r="AB307" s="1367">
        <f>IF($R307-SUM($T307:AA307)=0,0,IF(OR($R307&lt;=0,$R307&lt;=SUM($T307:AA307)),0,IF((IF($J307=0,$O307,$J307)*$I307)&gt;=($R307-SUM($T307:AA307)),($R307-SUM($T307:AA307)),IF($J307=0,$O307,$J307)*$I307)))</f>
        <v>0</v>
      </c>
      <c r="AC307" s="1367">
        <f>IF($R307-SUM($T307:AB307)=0,0,IF(OR($R307&lt;=0,$R307&lt;=SUM($T307:AB307)),0,IF((IF($J307=0,$O307,$J307)*$I307)&gt;=($R307-SUM($T307:AB307)),($R307-SUM($T307:AB307)),IF($J307=0,$O307,$J307)*$I307)))</f>
        <v>0</v>
      </c>
      <c r="AD307" s="1367">
        <f>IF($R307-SUM($T307:AC307)=0,0,IF(OR($R307&lt;=0,$R307&lt;=SUM($T307:AC307)),0,IF((IF($J307=0,$O307,$J307)*$I307)&gt;=($R307-SUM($T307:AC307)),($R307-SUM($T307:AC307)),IF($J307=0,$O307,$J307)*$I307)))</f>
        <v>0</v>
      </c>
      <c r="AF307" s="1319" t="b">
        <f t="shared" si="100"/>
        <v>1</v>
      </c>
      <c r="AG307" s="1319" t="b">
        <f t="shared" si="101"/>
        <v>1</v>
      </c>
      <c r="AH307" s="1318" t="str">
        <f t="shared" si="102"/>
        <v>Checked</v>
      </c>
    </row>
    <row r="308" spans="1:34" outlineLevel="1" x14ac:dyDescent="0.3">
      <c r="B308" s="1356" t="s">
        <v>2581</v>
      </c>
      <c r="C308" s="1356" t="s">
        <v>2701</v>
      </c>
      <c r="D308" s="1323" t="s">
        <v>2582</v>
      </c>
      <c r="E308" s="1333">
        <v>5</v>
      </c>
      <c r="F308" s="1333">
        <f t="shared" si="93"/>
        <v>3</v>
      </c>
      <c r="G308" s="1358">
        <f t="shared" si="94"/>
        <v>0</v>
      </c>
      <c r="H308" s="1359">
        <f t="shared" si="95"/>
        <v>0</v>
      </c>
      <c r="I308" s="1360">
        <f t="shared" si="96"/>
        <v>0.2</v>
      </c>
      <c r="J308" s="1416">
        <v>10133334</v>
      </c>
      <c r="K308" s="1416">
        <v>5866666</v>
      </c>
      <c r="L308" s="1416">
        <v>0</v>
      </c>
      <c r="M308" s="1416">
        <v>0</v>
      </c>
      <c r="N308" s="1417">
        <f t="shared" si="97"/>
        <v>4266668</v>
      </c>
      <c r="O308" s="1416">
        <v>5866666</v>
      </c>
      <c r="P308" s="1416"/>
      <c r="Q308" s="1416">
        <v>3200000</v>
      </c>
      <c r="R308" s="1365">
        <f t="shared" si="98"/>
        <v>1066668</v>
      </c>
      <c r="S308" s="1416"/>
      <c r="T308" s="1366">
        <f t="shared" si="99"/>
        <v>0</v>
      </c>
      <c r="U308" s="1367">
        <f>IF($R308-SUM($T308:T308)=0,0,IF(OR($R308&lt;=0,$R308&lt;=SUM($T308:T308)),0,IF((IF($J308=0,$O308,$J308)*$I308)&gt;=($R308-SUM($T308:T308)),($R308-SUM($T308:T308)),IF($J308=0,$O308,$J308)*$I308)))</f>
        <v>1066668</v>
      </c>
      <c r="V308" s="1367">
        <f>IF($R308-SUM($T308:U308)=0,0,IF(OR($R308&lt;=0,$R308&lt;=SUM($T308:U308)),0,IF((IF($J308=0,$O308,$J308)*$I308)&gt;=($R308-SUM($T308:U308)),($R308-SUM($T308:U308)),IF($J308=0,$O308,$J308)*$I308)))</f>
        <v>0</v>
      </c>
      <c r="W308" s="1367">
        <f>IF($R308-SUM($T308:V308)=0,0,IF(OR($R308&lt;=0,$R308&lt;=SUM($T308:V308)),0,IF((IF($J308=0,$O308,$J308)*$I308)&gt;=($R308-SUM($T308:V308)),($R308-SUM($T308:V308)),IF($J308=0,$O308,$J308)*$I308)))</f>
        <v>0</v>
      </c>
      <c r="X308" s="1367">
        <f>IF($R308-SUM($T308:W308)=0,0,IF(OR($R308&lt;=0,$R308&lt;=SUM($T308:W308)),0,IF((IF($J308=0,$O308,$J308)*$I308)&gt;=($R308-SUM($T308:W308)),($R308-SUM($T308:W308)),IF($J308=0,$O308,$J308)*$I308)))</f>
        <v>0</v>
      </c>
      <c r="Y308" s="1367">
        <f>IF($R308-SUM($T308:X308)=0,0,IF(OR($R308&lt;=0,$R308&lt;=SUM($T308:X308)),0,IF((IF($J308=0,$O308,$J308)*$I308)&gt;=($R308-SUM($T308:X308)),($R308-SUM($T308:X308)),IF($J308=0,$O308,$J308)*$I308)))</f>
        <v>0</v>
      </c>
      <c r="Z308" s="1367">
        <f>IF($R308-SUM($T308:Y308)=0,0,IF(OR($R308&lt;=0,$R308&lt;=SUM($T308:Y308)),0,IF((IF($J308=0,$O308,$J308)*$I308)&gt;=($R308-SUM($T308:Y308)),($R308-SUM($T308:Y308)),IF($J308=0,$O308,$J308)*$I308)))</f>
        <v>0</v>
      </c>
      <c r="AA308" s="1367">
        <f>IF($R308-SUM($T308:Z308)=0,0,IF(OR($R308&lt;=0,$R308&lt;=SUM($T308:Z308)),0,IF((IF($J308=0,$O308,$J308)*$I308)&gt;=($R308-SUM($T308:Z308)),($R308-SUM($T308:Z308)),IF($J308=0,$O308,$J308)*$I308)))</f>
        <v>0</v>
      </c>
      <c r="AB308" s="1367">
        <f>IF($R308-SUM($T308:AA308)=0,0,IF(OR($R308&lt;=0,$R308&lt;=SUM($T308:AA308)),0,IF((IF($J308=0,$O308,$J308)*$I308)&gt;=($R308-SUM($T308:AA308)),($R308-SUM($T308:AA308)),IF($J308=0,$O308,$J308)*$I308)))</f>
        <v>0</v>
      </c>
      <c r="AC308" s="1367">
        <f>IF($R308-SUM($T308:AB308)=0,0,IF(OR($R308&lt;=0,$R308&lt;=SUM($T308:AB308)),0,IF((IF($J308=0,$O308,$J308)*$I308)&gt;=($R308-SUM($T308:AB308)),($R308-SUM($T308:AB308)),IF($J308=0,$O308,$J308)*$I308)))</f>
        <v>0</v>
      </c>
      <c r="AD308" s="1367">
        <f>IF($R308-SUM($T308:AC308)=0,0,IF(OR($R308&lt;=0,$R308&lt;=SUM($T308:AC308)),0,IF((IF($J308=0,$O308,$J308)*$I308)&gt;=($R308-SUM($T308:AC308)),($R308-SUM($T308:AC308)),IF($J308=0,$O308,$J308)*$I308)))</f>
        <v>0</v>
      </c>
      <c r="AF308" s="1319" t="b">
        <f t="shared" si="100"/>
        <v>1</v>
      </c>
      <c r="AG308" s="1319" t="str">
        <f t="shared" si="101"/>
        <v>Checked</v>
      </c>
      <c r="AH308" s="1318" t="str">
        <f t="shared" si="102"/>
        <v>Checked</v>
      </c>
    </row>
    <row r="309" spans="1:34" outlineLevel="1" x14ac:dyDescent="0.3">
      <c r="B309" s="1356" t="s">
        <v>2583</v>
      </c>
      <c r="C309" s="1356" t="s">
        <v>2701</v>
      </c>
      <c r="D309" s="1323" t="s">
        <v>2584</v>
      </c>
      <c r="E309" s="1333">
        <v>5</v>
      </c>
      <c r="F309" s="1333">
        <f t="shared" si="93"/>
        <v>3</v>
      </c>
      <c r="G309" s="1358">
        <f t="shared" si="94"/>
        <v>0</v>
      </c>
      <c r="H309" s="1359">
        <f t="shared" si="95"/>
        <v>0</v>
      </c>
      <c r="I309" s="1360">
        <f t="shared" si="96"/>
        <v>0.2</v>
      </c>
      <c r="J309" s="1416">
        <v>71500000</v>
      </c>
      <c r="K309" s="1416">
        <v>38500000</v>
      </c>
      <c r="L309" s="1416">
        <v>0</v>
      </c>
      <c r="M309" s="1416">
        <v>0</v>
      </c>
      <c r="N309" s="1417">
        <f t="shared" si="97"/>
        <v>33000000</v>
      </c>
      <c r="O309" s="1416">
        <v>38500000</v>
      </c>
      <c r="P309" s="1416"/>
      <c r="Q309" s="1416">
        <v>22000000</v>
      </c>
      <c r="R309" s="1365">
        <f t="shared" si="98"/>
        <v>11000000</v>
      </c>
      <c r="S309" s="1416"/>
      <c r="T309" s="1366">
        <f t="shared" si="99"/>
        <v>0</v>
      </c>
      <c r="U309" s="1367">
        <f>IF($R309-SUM($T309:T309)=0,0,IF(OR($R309&lt;=0,$R309&lt;=SUM($T309:T309)),0,IF((IF($J309=0,$O309,$J309)*$I309)&gt;=($R309-SUM($T309:T309)),($R309-SUM($T309:T309)),IF($J309=0,$O309,$J309)*$I309)))</f>
        <v>11000000</v>
      </c>
      <c r="V309" s="1367">
        <f>IF($R309-SUM($T309:U309)=0,0,IF(OR($R309&lt;=0,$R309&lt;=SUM($T309:U309)),0,IF((IF($J309=0,$O309,$J309)*$I309)&gt;=($R309-SUM($T309:U309)),($R309-SUM($T309:U309)),IF($J309=0,$O309,$J309)*$I309)))</f>
        <v>0</v>
      </c>
      <c r="W309" s="1367">
        <f>IF($R309-SUM($T309:V309)=0,0,IF(OR($R309&lt;=0,$R309&lt;=SUM($T309:V309)),0,IF((IF($J309=0,$O309,$J309)*$I309)&gt;=($R309-SUM($T309:V309)),($R309-SUM($T309:V309)),IF($J309=0,$O309,$J309)*$I309)))</f>
        <v>0</v>
      </c>
      <c r="X309" s="1367">
        <f>IF($R309-SUM($T309:W309)=0,0,IF(OR($R309&lt;=0,$R309&lt;=SUM($T309:W309)),0,IF((IF($J309=0,$O309,$J309)*$I309)&gt;=($R309-SUM($T309:W309)),($R309-SUM($T309:W309)),IF($J309=0,$O309,$J309)*$I309)))</f>
        <v>0</v>
      </c>
      <c r="Y309" s="1367">
        <f>IF($R309-SUM($T309:X309)=0,0,IF(OR($R309&lt;=0,$R309&lt;=SUM($T309:X309)),0,IF((IF($J309=0,$O309,$J309)*$I309)&gt;=($R309-SUM($T309:X309)),($R309-SUM($T309:X309)),IF($J309=0,$O309,$J309)*$I309)))</f>
        <v>0</v>
      </c>
      <c r="Z309" s="1367">
        <f>IF($R309-SUM($T309:Y309)=0,0,IF(OR($R309&lt;=0,$R309&lt;=SUM($T309:Y309)),0,IF((IF($J309=0,$O309,$J309)*$I309)&gt;=($R309-SUM($T309:Y309)),($R309-SUM($T309:Y309)),IF($J309=0,$O309,$J309)*$I309)))</f>
        <v>0</v>
      </c>
      <c r="AA309" s="1367">
        <f>IF($R309-SUM($T309:Z309)=0,0,IF(OR($R309&lt;=0,$R309&lt;=SUM($T309:Z309)),0,IF((IF($J309=0,$O309,$J309)*$I309)&gt;=($R309-SUM($T309:Z309)),($R309-SUM($T309:Z309)),IF($J309=0,$O309,$J309)*$I309)))</f>
        <v>0</v>
      </c>
      <c r="AB309" s="1367">
        <f>IF($R309-SUM($T309:AA309)=0,0,IF(OR($R309&lt;=0,$R309&lt;=SUM($T309:AA309)),0,IF((IF($J309=0,$O309,$J309)*$I309)&gt;=($R309-SUM($T309:AA309)),($R309-SUM($T309:AA309)),IF($J309=0,$O309,$J309)*$I309)))</f>
        <v>0</v>
      </c>
      <c r="AC309" s="1367">
        <f>IF($R309-SUM($T309:AB309)=0,0,IF(OR($R309&lt;=0,$R309&lt;=SUM($T309:AB309)),0,IF((IF($J309=0,$O309,$J309)*$I309)&gt;=($R309-SUM($T309:AB309)),($R309-SUM($T309:AB309)),IF($J309=0,$O309,$J309)*$I309)))</f>
        <v>0</v>
      </c>
      <c r="AD309" s="1367">
        <f>IF($R309-SUM($T309:AC309)=0,0,IF(OR($R309&lt;=0,$R309&lt;=SUM($T309:AC309)),0,IF((IF($J309=0,$O309,$J309)*$I309)&gt;=($R309-SUM($T309:AC309)),($R309-SUM($T309:AC309)),IF($J309=0,$O309,$J309)*$I309)))</f>
        <v>0</v>
      </c>
      <c r="AF309" s="1319" t="b">
        <f t="shared" si="100"/>
        <v>1</v>
      </c>
      <c r="AG309" s="1319" t="str">
        <f t="shared" si="101"/>
        <v>Checked</v>
      </c>
      <c r="AH309" s="1318" t="str">
        <f t="shared" si="102"/>
        <v>Checked</v>
      </c>
    </row>
    <row r="310" spans="1:34" outlineLevel="1" x14ac:dyDescent="0.3">
      <c r="B310" s="1356" t="s">
        <v>2585</v>
      </c>
      <c r="C310" s="1356" t="s">
        <v>2701</v>
      </c>
      <c r="D310" s="1323" t="s">
        <v>2355</v>
      </c>
      <c r="E310" s="1333">
        <v>5</v>
      </c>
      <c r="F310" s="1333">
        <f t="shared" si="93"/>
        <v>3</v>
      </c>
      <c r="G310" s="1358">
        <f t="shared" si="94"/>
        <v>0</v>
      </c>
      <c r="H310" s="1359">
        <f t="shared" si="95"/>
        <v>0</v>
      </c>
      <c r="I310" s="1360">
        <f t="shared" si="96"/>
        <v>0.2</v>
      </c>
      <c r="J310" s="1416">
        <v>2683334</v>
      </c>
      <c r="K310" s="1416">
        <v>816666</v>
      </c>
      <c r="L310" s="1416">
        <v>0</v>
      </c>
      <c r="M310" s="1416">
        <v>0</v>
      </c>
      <c r="N310" s="1417">
        <f t="shared" si="97"/>
        <v>1866668</v>
      </c>
      <c r="O310" s="1416">
        <v>816666</v>
      </c>
      <c r="P310" s="1416"/>
      <c r="Q310" s="1416">
        <v>700000</v>
      </c>
      <c r="R310" s="1365">
        <f t="shared" si="98"/>
        <v>1166668</v>
      </c>
      <c r="S310" s="1416"/>
      <c r="T310" s="1366">
        <f t="shared" si="99"/>
        <v>0</v>
      </c>
      <c r="U310" s="1367">
        <f>IF($R310-SUM($T310:T310)=0,0,IF(OR($R310&lt;=0,$R310&lt;=SUM($T310:T310)),0,IF((IF($J310=0,$O310,$J310)*$I310)&gt;=($R310-SUM($T310:T310)),($R310-SUM($T310:T310)),IF($J310=0,$O310,$J310)*$I310)))</f>
        <v>536666.80000000005</v>
      </c>
      <c r="V310" s="1367">
        <f>IF($R310-SUM($T310:U310)=0,0,IF(OR($R310&lt;=0,$R310&lt;=SUM($T310:U310)),0,IF((IF($J310=0,$O310,$J310)*$I310)&gt;=($R310-SUM($T310:U310)),($R310-SUM($T310:U310)),IF($J310=0,$O310,$J310)*$I310)))</f>
        <v>536666.80000000005</v>
      </c>
      <c r="W310" s="1367">
        <f>IF($R310-SUM($T310:V310)=0,0,IF(OR($R310&lt;=0,$R310&lt;=SUM($T310:V310)),0,IF((IF($J310=0,$O310,$J310)*$I310)&gt;=($R310-SUM($T310:V310)),($R310-SUM($T310:V310)),IF($J310=0,$O310,$J310)*$I310)))</f>
        <v>93334.399999999907</v>
      </c>
      <c r="X310" s="1367">
        <f>IF($R310-SUM($T310:W310)=0,0,IF(OR($R310&lt;=0,$R310&lt;=SUM($T310:W310)),0,IF((IF($J310=0,$O310,$J310)*$I310)&gt;=($R310-SUM($T310:W310)),($R310-SUM($T310:W310)),IF($J310=0,$O310,$J310)*$I310)))</f>
        <v>0</v>
      </c>
      <c r="Y310" s="1367">
        <f>IF($R310-SUM($T310:X310)=0,0,IF(OR($R310&lt;=0,$R310&lt;=SUM($T310:X310)),0,IF((IF($J310=0,$O310,$J310)*$I310)&gt;=($R310-SUM($T310:X310)),($R310-SUM($T310:X310)),IF($J310=0,$O310,$J310)*$I310)))</f>
        <v>0</v>
      </c>
      <c r="Z310" s="1367">
        <f>IF($R310-SUM($T310:Y310)=0,0,IF(OR($R310&lt;=0,$R310&lt;=SUM($T310:Y310)),0,IF((IF($J310=0,$O310,$J310)*$I310)&gt;=($R310-SUM($T310:Y310)),($R310-SUM($T310:Y310)),IF($J310=0,$O310,$J310)*$I310)))</f>
        <v>0</v>
      </c>
      <c r="AA310" s="1367">
        <f>IF($R310-SUM($T310:Z310)=0,0,IF(OR($R310&lt;=0,$R310&lt;=SUM($T310:Z310)),0,IF((IF($J310=0,$O310,$J310)*$I310)&gt;=($R310-SUM($T310:Z310)),($R310-SUM($T310:Z310)),IF($J310=0,$O310,$J310)*$I310)))</f>
        <v>0</v>
      </c>
      <c r="AB310" s="1367">
        <f>IF($R310-SUM($T310:AA310)=0,0,IF(OR($R310&lt;=0,$R310&lt;=SUM($T310:AA310)),0,IF((IF($J310=0,$O310,$J310)*$I310)&gt;=($R310-SUM($T310:AA310)),($R310-SUM($T310:AA310)),IF($J310=0,$O310,$J310)*$I310)))</f>
        <v>0</v>
      </c>
      <c r="AC310" s="1367">
        <f>IF($R310-SUM($T310:AB310)=0,0,IF(OR($R310&lt;=0,$R310&lt;=SUM($T310:AB310)),0,IF((IF($J310=0,$O310,$J310)*$I310)&gt;=($R310-SUM($T310:AB310)),($R310-SUM($T310:AB310)),IF($J310=0,$O310,$J310)*$I310)))</f>
        <v>0</v>
      </c>
      <c r="AD310" s="1367">
        <f>IF($R310-SUM($T310:AC310)=0,0,IF(OR($R310&lt;=0,$R310&lt;=SUM($T310:AC310)),0,IF((IF($J310=0,$O310,$J310)*$I310)&gt;=($R310-SUM($T310:AC310)),($R310-SUM($T310:AC310)),IF($J310=0,$O310,$J310)*$I310)))</f>
        <v>0</v>
      </c>
      <c r="AF310" s="1319" t="b">
        <f t="shared" si="100"/>
        <v>1</v>
      </c>
      <c r="AG310" s="1319" t="str">
        <f t="shared" si="101"/>
        <v>Checked</v>
      </c>
      <c r="AH310" s="1318" t="b">
        <f t="shared" si="102"/>
        <v>1</v>
      </c>
    </row>
    <row r="311" spans="1:34" outlineLevel="1" x14ac:dyDescent="0.3">
      <c r="B311" s="1356" t="s">
        <v>2586</v>
      </c>
      <c r="C311" s="1356" t="s">
        <v>2701</v>
      </c>
      <c r="D311" s="1323" t="s">
        <v>2587</v>
      </c>
      <c r="E311" s="1333">
        <v>5</v>
      </c>
      <c r="F311" s="1333">
        <f t="shared" si="93"/>
        <v>4</v>
      </c>
      <c r="G311" s="1358">
        <f t="shared" si="94"/>
        <v>0</v>
      </c>
      <c r="H311" s="1359">
        <f t="shared" si="95"/>
        <v>0</v>
      </c>
      <c r="I311" s="1360">
        <f t="shared" si="96"/>
        <v>0.2</v>
      </c>
      <c r="J311" s="1416">
        <v>10000000</v>
      </c>
      <c r="K311" s="1416">
        <v>2000000</v>
      </c>
      <c r="L311" s="1416">
        <v>0</v>
      </c>
      <c r="M311" s="1416">
        <v>0</v>
      </c>
      <c r="N311" s="1417">
        <f t="shared" si="97"/>
        <v>8000000</v>
      </c>
      <c r="O311" s="1416">
        <v>2000000</v>
      </c>
      <c r="P311" s="1416"/>
      <c r="Q311" s="1416">
        <v>2400000</v>
      </c>
      <c r="R311" s="1365">
        <f t="shared" si="98"/>
        <v>5600000</v>
      </c>
      <c r="S311" s="1416"/>
      <c r="T311" s="1366">
        <f t="shared" si="99"/>
        <v>0</v>
      </c>
      <c r="U311" s="1367">
        <f>IF($R311-SUM($T311:T311)=0,0,IF(OR($R311&lt;=0,$R311&lt;=SUM($T311:T311)),0,IF((IF($J311=0,$O311,$J311)*$I311)&gt;=($R311-SUM($T311:T311)),($R311-SUM($T311:T311)),IF($J311=0,$O311,$J311)*$I311)))</f>
        <v>2000000</v>
      </c>
      <c r="V311" s="1367">
        <f>IF($R311-SUM($T311:U311)=0,0,IF(OR($R311&lt;=0,$R311&lt;=SUM($T311:U311)),0,IF((IF($J311=0,$O311,$J311)*$I311)&gt;=($R311-SUM($T311:U311)),($R311-SUM($T311:U311)),IF($J311=0,$O311,$J311)*$I311)))</f>
        <v>2000000</v>
      </c>
      <c r="W311" s="1367">
        <f>IF($R311-SUM($T311:V311)=0,0,IF(OR($R311&lt;=0,$R311&lt;=SUM($T311:V311)),0,IF((IF($J311=0,$O311,$J311)*$I311)&gt;=($R311-SUM($T311:V311)),($R311-SUM($T311:V311)),IF($J311=0,$O311,$J311)*$I311)))</f>
        <v>1600000</v>
      </c>
      <c r="X311" s="1367">
        <f>IF($R311-SUM($T311:W311)=0,0,IF(OR($R311&lt;=0,$R311&lt;=SUM($T311:W311)),0,IF((IF($J311=0,$O311,$J311)*$I311)&gt;=($R311-SUM($T311:W311)),($R311-SUM($T311:W311)),IF($J311=0,$O311,$J311)*$I311)))</f>
        <v>0</v>
      </c>
      <c r="Y311" s="1367">
        <f>IF($R311-SUM($T311:X311)=0,0,IF(OR($R311&lt;=0,$R311&lt;=SUM($T311:X311)),0,IF((IF($J311=0,$O311,$J311)*$I311)&gt;=($R311-SUM($T311:X311)),($R311-SUM($T311:X311)),IF($J311=0,$O311,$J311)*$I311)))</f>
        <v>0</v>
      </c>
      <c r="Z311" s="1367">
        <f>IF($R311-SUM($T311:Y311)=0,0,IF(OR($R311&lt;=0,$R311&lt;=SUM($T311:Y311)),0,IF((IF($J311=0,$O311,$J311)*$I311)&gt;=($R311-SUM($T311:Y311)),($R311-SUM($T311:Y311)),IF($J311=0,$O311,$J311)*$I311)))</f>
        <v>0</v>
      </c>
      <c r="AA311" s="1367">
        <f>IF($R311-SUM($T311:Z311)=0,0,IF(OR($R311&lt;=0,$R311&lt;=SUM($T311:Z311)),0,IF((IF($J311=0,$O311,$J311)*$I311)&gt;=($R311-SUM($T311:Z311)),($R311-SUM($T311:Z311)),IF($J311=0,$O311,$J311)*$I311)))</f>
        <v>0</v>
      </c>
      <c r="AB311" s="1367">
        <f>IF($R311-SUM($T311:AA311)=0,0,IF(OR($R311&lt;=0,$R311&lt;=SUM($T311:AA311)),0,IF((IF($J311=0,$O311,$J311)*$I311)&gt;=($R311-SUM($T311:AA311)),($R311-SUM($T311:AA311)),IF($J311=0,$O311,$J311)*$I311)))</f>
        <v>0</v>
      </c>
      <c r="AC311" s="1367">
        <f>IF($R311-SUM($T311:AB311)=0,0,IF(OR($R311&lt;=0,$R311&lt;=SUM($T311:AB311)),0,IF((IF($J311=0,$O311,$J311)*$I311)&gt;=($R311-SUM($T311:AB311)),($R311-SUM($T311:AB311)),IF($J311=0,$O311,$J311)*$I311)))</f>
        <v>0</v>
      </c>
      <c r="AD311" s="1367">
        <f>IF($R311-SUM($T311:AC311)=0,0,IF(OR($R311&lt;=0,$R311&lt;=SUM($T311:AC311)),0,IF((IF($J311=0,$O311,$J311)*$I311)&gt;=($R311-SUM($T311:AC311)),($R311-SUM($T311:AC311)),IF($J311=0,$O311,$J311)*$I311)))</f>
        <v>0</v>
      </c>
      <c r="AF311" s="1319" t="b">
        <f t="shared" si="100"/>
        <v>1</v>
      </c>
      <c r="AG311" s="1319" t="str">
        <f t="shared" si="101"/>
        <v>Checked</v>
      </c>
      <c r="AH311" s="1318" t="b">
        <f t="shared" si="102"/>
        <v>1</v>
      </c>
    </row>
    <row r="312" spans="1:34" outlineLevel="1" x14ac:dyDescent="0.3">
      <c r="B312" s="1356" t="s">
        <v>2588</v>
      </c>
      <c r="C312" s="1356" t="s">
        <v>2701</v>
      </c>
      <c r="D312" s="1323" t="s">
        <v>2361</v>
      </c>
      <c r="E312" s="1333">
        <v>5</v>
      </c>
      <c r="F312" s="1333">
        <f t="shared" si="93"/>
        <v>4</v>
      </c>
      <c r="G312" s="1358">
        <f t="shared" si="94"/>
        <v>0</v>
      </c>
      <c r="H312" s="1359">
        <f t="shared" si="95"/>
        <v>0</v>
      </c>
      <c r="I312" s="1360">
        <f t="shared" si="96"/>
        <v>0.2</v>
      </c>
      <c r="J312" s="1416">
        <v>861250</v>
      </c>
      <c r="K312" s="1416">
        <v>113750</v>
      </c>
      <c r="L312" s="1416">
        <v>0</v>
      </c>
      <c r="M312" s="1416">
        <v>0</v>
      </c>
      <c r="N312" s="1417">
        <f t="shared" si="97"/>
        <v>747500</v>
      </c>
      <c r="O312" s="1416">
        <v>113750</v>
      </c>
      <c r="P312" s="1416"/>
      <c r="Q312" s="1416">
        <v>195000</v>
      </c>
      <c r="R312" s="1365">
        <f t="shared" si="98"/>
        <v>552500</v>
      </c>
      <c r="S312" s="1416"/>
      <c r="T312" s="1366">
        <f t="shared" si="99"/>
        <v>0</v>
      </c>
      <c r="U312" s="1367">
        <f>IF($R312-SUM($T312:T312)=0,0,IF(OR($R312&lt;=0,$R312&lt;=SUM($T312:T312)),0,IF((IF($J312=0,$O312,$J312)*$I312)&gt;=($R312-SUM($T312:T312)),($R312-SUM($T312:T312)),IF($J312=0,$O312,$J312)*$I312)))</f>
        <v>172250</v>
      </c>
      <c r="V312" s="1367">
        <f>IF($R312-SUM($T312:U312)=0,0,IF(OR($R312&lt;=0,$R312&lt;=SUM($T312:U312)),0,IF((IF($J312=0,$O312,$J312)*$I312)&gt;=($R312-SUM($T312:U312)),($R312-SUM($T312:U312)),IF($J312=0,$O312,$J312)*$I312)))</f>
        <v>172250</v>
      </c>
      <c r="W312" s="1367">
        <f>IF($R312-SUM($T312:V312)=0,0,IF(OR($R312&lt;=0,$R312&lt;=SUM($T312:V312)),0,IF((IF($J312=0,$O312,$J312)*$I312)&gt;=($R312-SUM($T312:V312)),($R312-SUM($T312:V312)),IF($J312=0,$O312,$J312)*$I312)))</f>
        <v>172250</v>
      </c>
      <c r="X312" s="1367">
        <f>IF($R312-SUM($T312:W312)=0,0,IF(OR($R312&lt;=0,$R312&lt;=SUM($T312:W312)),0,IF((IF($J312=0,$O312,$J312)*$I312)&gt;=($R312-SUM($T312:W312)),($R312-SUM($T312:W312)),IF($J312=0,$O312,$J312)*$I312)))</f>
        <v>35750</v>
      </c>
      <c r="Y312" s="1367">
        <f>IF($R312-SUM($T312:X312)=0,0,IF(OR($R312&lt;=0,$R312&lt;=SUM($T312:X312)),0,IF((IF($J312=0,$O312,$J312)*$I312)&gt;=($R312-SUM($T312:X312)),($R312-SUM($T312:X312)),IF($J312=0,$O312,$J312)*$I312)))</f>
        <v>0</v>
      </c>
      <c r="Z312" s="1367">
        <f>IF($R312-SUM($T312:Y312)=0,0,IF(OR($R312&lt;=0,$R312&lt;=SUM($T312:Y312)),0,IF((IF($J312=0,$O312,$J312)*$I312)&gt;=($R312-SUM($T312:Y312)),($R312-SUM($T312:Y312)),IF($J312=0,$O312,$J312)*$I312)))</f>
        <v>0</v>
      </c>
      <c r="AA312" s="1367">
        <f>IF($R312-SUM($T312:Z312)=0,0,IF(OR($R312&lt;=0,$R312&lt;=SUM($T312:Z312)),0,IF((IF($J312=0,$O312,$J312)*$I312)&gt;=($R312-SUM($T312:Z312)),($R312-SUM($T312:Z312)),IF($J312=0,$O312,$J312)*$I312)))</f>
        <v>0</v>
      </c>
      <c r="AB312" s="1367">
        <f>IF($R312-SUM($T312:AA312)=0,0,IF(OR($R312&lt;=0,$R312&lt;=SUM($T312:AA312)),0,IF((IF($J312=0,$O312,$J312)*$I312)&gt;=($R312-SUM($T312:AA312)),($R312-SUM($T312:AA312)),IF($J312=0,$O312,$J312)*$I312)))</f>
        <v>0</v>
      </c>
      <c r="AC312" s="1367">
        <f>IF($R312-SUM($T312:AB312)=0,0,IF(OR($R312&lt;=0,$R312&lt;=SUM($T312:AB312)),0,IF((IF($J312=0,$O312,$J312)*$I312)&gt;=($R312-SUM($T312:AB312)),($R312-SUM($T312:AB312)),IF($J312=0,$O312,$J312)*$I312)))</f>
        <v>0</v>
      </c>
      <c r="AD312" s="1367">
        <f>IF($R312-SUM($T312:AC312)=0,0,IF(OR($R312&lt;=0,$R312&lt;=SUM($T312:AC312)),0,IF((IF($J312=0,$O312,$J312)*$I312)&gt;=($R312-SUM($T312:AC312)),($R312-SUM($T312:AC312)),IF($J312=0,$O312,$J312)*$I312)))</f>
        <v>0</v>
      </c>
      <c r="AF312" s="1319" t="b">
        <f t="shared" si="100"/>
        <v>1</v>
      </c>
      <c r="AG312" s="1319" t="str">
        <f t="shared" si="101"/>
        <v>Checked</v>
      </c>
      <c r="AH312" s="1318" t="b">
        <f t="shared" si="102"/>
        <v>1</v>
      </c>
    </row>
    <row r="313" spans="1:34" outlineLevel="1" x14ac:dyDescent="0.3">
      <c r="B313" s="1356" t="s">
        <v>2589</v>
      </c>
      <c r="C313" s="1356" t="s">
        <v>2701</v>
      </c>
      <c r="D313" s="1323" t="s">
        <v>2361</v>
      </c>
      <c r="E313" s="1333">
        <v>5</v>
      </c>
      <c r="F313" s="1333">
        <f t="shared" si="93"/>
        <v>4</v>
      </c>
      <c r="G313" s="1358">
        <f t="shared" si="94"/>
        <v>0</v>
      </c>
      <c r="H313" s="1359">
        <f t="shared" si="95"/>
        <v>0</v>
      </c>
      <c r="I313" s="1360">
        <f t="shared" si="96"/>
        <v>0.2</v>
      </c>
      <c r="J313" s="1416">
        <v>1501667</v>
      </c>
      <c r="K313" s="1416">
        <v>198333</v>
      </c>
      <c r="L313" s="1416">
        <v>0</v>
      </c>
      <c r="M313" s="1416">
        <v>0</v>
      </c>
      <c r="N313" s="1417">
        <f t="shared" si="97"/>
        <v>1303334</v>
      </c>
      <c r="O313" s="1416">
        <v>198333</v>
      </c>
      <c r="P313" s="1416"/>
      <c r="Q313" s="1416">
        <v>340000</v>
      </c>
      <c r="R313" s="1365">
        <f t="shared" si="98"/>
        <v>963334</v>
      </c>
      <c r="S313" s="1416"/>
      <c r="T313" s="1366">
        <f t="shared" si="99"/>
        <v>0</v>
      </c>
      <c r="U313" s="1367">
        <f>IF($R313-SUM($T313:T313)=0,0,IF(OR($R313&lt;=0,$R313&lt;=SUM($T313:T313)),0,IF((IF($J313=0,$O313,$J313)*$I313)&gt;=($R313-SUM($T313:T313)),($R313-SUM($T313:T313)),IF($J313=0,$O313,$J313)*$I313)))</f>
        <v>300333.40000000002</v>
      </c>
      <c r="V313" s="1367">
        <f>IF($R313-SUM($T313:U313)=0,0,IF(OR($R313&lt;=0,$R313&lt;=SUM($T313:U313)),0,IF((IF($J313=0,$O313,$J313)*$I313)&gt;=($R313-SUM($T313:U313)),($R313-SUM($T313:U313)),IF($J313=0,$O313,$J313)*$I313)))</f>
        <v>300333.40000000002</v>
      </c>
      <c r="W313" s="1367">
        <f>IF($R313-SUM($T313:V313)=0,0,IF(OR($R313&lt;=0,$R313&lt;=SUM($T313:V313)),0,IF((IF($J313=0,$O313,$J313)*$I313)&gt;=($R313-SUM($T313:V313)),($R313-SUM($T313:V313)),IF($J313=0,$O313,$J313)*$I313)))</f>
        <v>300333.40000000002</v>
      </c>
      <c r="X313" s="1367">
        <f>IF($R313-SUM($T313:W313)=0,0,IF(OR($R313&lt;=0,$R313&lt;=SUM($T313:W313)),0,IF((IF($J313=0,$O313,$J313)*$I313)&gt;=($R313-SUM($T313:W313)),($R313-SUM($T313:W313)),IF($J313=0,$O313,$J313)*$I313)))</f>
        <v>62333.79999999993</v>
      </c>
      <c r="Y313" s="1367">
        <f>IF($R313-SUM($T313:X313)=0,0,IF(OR($R313&lt;=0,$R313&lt;=SUM($T313:X313)),0,IF((IF($J313=0,$O313,$J313)*$I313)&gt;=($R313-SUM($T313:X313)),($R313-SUM($T313:X313)),IF($J313=0,$O313,$J313)*$I313)))</f>
        <v>0</v>
      </c>
      <c r="Z313" s="1367">
        <f>IF($R313-SUM($T313:Y313)=0,0,IF(OR($R313&lt;=0,$R313&lt;=SUM($T313:Y313)),0,IF((IF($J313=0,$O313,$J313)*$I313)&gt;=($R313-SUM($T313:Y313)),($R313-SUM($T313:Y313)),IF($J313=0,$O313,$J313)*$I313)))</f>
        <v>0</v>
      </c>
      <c r="AA313" s="1367">
        <f>IF($R313-SUM($T313:Z313)=0,0,IF(OR($R313&lt;=0,$R313&lt;=SUM($T313:Z313)),0,IF((IF($J313=0,$O313,$J313)*$I313)&gt;=($R313-SUM($T313:Z313)),($R313-SUM($T313:Z313)),IF($J313=0,$O313,$J313)*$I313)))</f>
        <v>0</v>
      </c>
      <c r="AB313" s="1367">
        <f>IF($R313-SUM($T313:AA313)=0,0,IF(OR($R313&lt;=0,$R313&lt;=SUM($T313:AA313)),0,IF((IF($J313=0,$O313,$J313)*$I313)&gt;=($R313-SUM($T313:AA313)),($R313-SUM($T313:AA313)),IF($J313=0,$O313,$J313)*$I313)))</f>
        <v>0</v>
      </c>
      <c r="AC313" s="1367">
        <f>IF($R313-SUM($T313:AB313)=0,0,IF(OR($R313&lt;=0,$R313&lt;=SUM($T313:AB313)),0,IF((IF($J313=0,$O313,$J313)*$I313)&gt;=($R313-SUM($T313:AB313)),($R313-SUM($T313:AB313)),IF($J313=0,$O313,$J313)*$I313)))</f>
        <v>0</v>
      </c>
      <c r="AD313" s="1367">
        <f>IF($R313-SUM($T313:AC313)=0,0,IF(OR($R313&lt;=0,$R313&lt;=SUM($T313:AC313)),0,IF((IF($J313=0,$O313,$J313)*$I313)&gt;=($R313-SUM($T313:AC313)),($R313-SUM($T313:AC313)),IF($J313=0,$O313,$J313)*$I313)))</f>
        <v>0</v>
      </c>
      <c r="AF313" s="1319" t="b">
        <f t="shared" si="100"/>
        <v>1</v>
      </c>
      <c r="AG313" s="1319" t="str">
        <f t="shared" si="101"/>
        <v>Checked</v>
      </c>
      <c r="AH313" s="1318" t="b">
        <f t="shared" si="102"/>
        <v>1</v>
      </c>
    </row>
    <row r="314" spans="1:34" outlineLevel="1" x14ac:dyDescent="0.3">
      <c r="B314" s="1356" t="s">
        <v>2590</v>
      </c>
      <c r="C314" s="1356" t="s">
        <v>2701</v>
      </c>
      <c r="D314" s="1323" t="s">
        <v>2591</v>
      </c>
      <c r="E314" s="1333">
        <v>5</v>
      </c>
      <c r="F314" s="1333">
        <f t="shared" si="93"/>
        <v>4</v>
      </c>
      <c r="G314" s="1358">
        <f t="shared" si="94"/>
        <v>0</v>
      </c>
      <c r="H314" s="1359">
        <f t="shared" si="95"/>
        <v>0</v>
      </c>
      <c r="I314" s="1360">
        <f t="shared" si="96"/>
        <v>0.2</v>
      </c>
      <c r="J314" s="1416">
        <v>46075000</v>
      </c>
      <c r="K314" s="1416">
        <v>2425000</v>
      </c>
      <c r="L314" s="1416">
        <v>0</v>
      </c>
      <c r="M314" s="1416">
        <v>0</v>
      </c>
      <c r="N314" s="1417">
        <f t="shared" si="97"/>
        <v>43650000</v>
      </c>
      <c r="O314" s="1416">
        <v>2425000</v>
      </c>
      <c r="P314" s="1416"/>
      <c r="Q314" s="1416">
        <v>9700000</v>
      </c>
      <c r="R314" s="1365">
        <f t="shared" si="98"/>
        <v>33950000</v>
      </c>
      <c r="S314" s="1416"/>
      <c r="T314" s="1366">
        <f t="shared" si="99"/>
        <v>0</v>
      </c>
      <c r="U314" s="1367">
        <f>IF($R314-SUM($T314:T314)=0,0,IF(OR($R314&lt;=0,$R314&lt;=SUM($T314:T314)),0,IF((IF($J314=0,$O314,$J314)*$I314)&gt;=($R314-SUM($T314:T314)),($R314-SUM($T314:T314)),IF($J314=0,$O314,$J314)*$I314)))</f>
        <v>9215000</v>
      </c>
      <c r="V314" s="1367">
        <f>IF($R314-SUM($T314:U314)=0,0,IF(OR($R314&lt;=0,$R314&lt;=SUM($T314:U314)),0,IF((IF($J314=0,$O314,$J314)*$I314)&gt;=($R314-SUM($T314:U314)),($R314-SUM($T314:U314)),IF($J314=0,$O314,$J314)*$I314)))</f>
        <v>9215000</v>
      </c>
      <c r="W314" s="1367">
        <f>IF($R314-SUM($T314:V314)=0,0,IF(OR($R314&lt;=0,$R314&lt;=SUM($T314:V314)),0,IF((IF($J314=0,$O314,$J314)*$I314)&gt;=($R314-SUM($T314:V314)),($R314-SUM($T314:V314)),IF($J314=0,$O314,$J314)*$I314)))</f>
        <v>9215000</v>
      </c>
      <c r="X314" s="1367">
        <f>IF($R314-SUM($T314:W314)=0,0,IF(OR($R314&lt;=0,$R314&lt;=SUM($T314:W314)),0,IF((IF($J314=0,$O314,$J314)*$I314)&gt;=($R314-SUM($T314:W314)),($R314-SUM($T314:W314)),IF($J314=0,$O314,$J314)*$I314)))</f>
        <v>6305000</v>
      </c>
      <c r="Y314" s="1367">
        <f>IF($R314-SUM($T314:X314)=0,0,IF(OR($R314&lt;=0,$R314&lt;=SUM($T314:X314)),0,IF((IF($J314=0,$O314,$J314)*$I314)&gt;=($R314-SUM($T314:X314)),($R314-SUM($T314:X314)),IF($J314=0,$O314,$J314)*$I314)))</f>
        <v>0</v>
      </c>
      <c r="Z314" s="1367">
        <f>IF($R314-SUM($T314:Y314)=0,0,IF(OR($R314&lt;=0,$R314&lt;=SUM($T314:Y314)),0,IF((IF($J314=0,$O314,$J314)*$I314)&gt;=($R314-SUM($T314:Y314)),($R314-SUM($T314:Y314)),IF($J314=0,$O314,$J314)*$I314)))</f>
        <v>0</v>
      </c>
      <c r="AA314" s="1367">
        <f>IF($R314-SUM($T314:Z314)=0,0,IF(OR($R314&lt;=0,$R314&lt;=SUM($T314:Z314)),0,IF((IF($J314=0,$O314,$J314)*$I314)&gt;=($R314-SUM($T314:Z314)),($R314-SUM($T314:Z314)),IF($J314=0,$O314,$J314)*$I314)))</f>
        <v>0</v>
      </c>
      <c r="AB314" s="1367">
        <f>IF($R314-SUM($T314:AA314)=0,0,IF(OR($R314&lt;=0,$R314&lt;=SUM($T314:AA314)),0,IF((IF($J314=0,$O314,$J314)*$I314)&gt;=($R314-SUM($T314:AA314)),($R314-SUM($T314:AA314)),IF($J314=0,$O314,$J314)*$I314)))</f>
        <v>0</v>
      </c>
      <c r="AC314" s="1367">
        <f>IF($R314-SUM($T314:AB314)=0,0,IF(OR($R314&lt;=0,$R314&lt;=SUM($T314:AB314)),0,IF((IF($J314=0,$O314,$J314)*$I314)&gt;=($R314-SUM($T314:AB314)),($R314-SUM($T314:AB314)),IF($J314=0,$O314,$J314)*$I314)))</f>
        <v>0</v>
      </c>
      <c r="AD314" s="1367">
        <f>IF($R314-SUM($T314:AC314)=0,0,IF(OR($R314&lt;=0,$R314&lt;=SUM($T314:AC314)),0,IF((IF($J314=0,$O314,$J314)*$I314)&gt;=($R314-SUM($T314:AC314)),($R314-SUM($T314:AC314)),IF($J314=0,$O314,$J314)*$I314)))</f>
        <v>0</v>
      </c>
      <c r="AF314" s="1319" t="b">
        <f t="shared" si="100"/>
        <v>1</v>
      </c>
      <c r="AG314" s="1319" t="str">
        <f t="shared" si="101"/>
        <v>Checked</v>
      </c>
      <c r="AH314" s="1318" t="b">
        <f t="shared" si="102"/>
        <v>1</v>
      </c>
    </row>
    <row r="315" spans="1:34" outlineLevel="1" x14ac:dyDescent="0.3">
      <c r="B315" s="1356" t="s">
        <v>2592</v>
      </c>
      <c r="C315" s="1356" t="s">
        <v>2701</v>
      </c>
      <c r="D315" s="1323" t="s">
        <v>2593</v>
      </c>
      <c r="E315" s="1333">
        <v>5</v>
      </c>
      <c r="F315" s="1333">
        <f t="shared" si="93"/>
        <v>4</v>
      </c>
      <c r="G315" s="1358">
        <f t="shared" si="94"/>
        <v>0</v>
      </c>
      <c r="H315" s="1359">
        <f t="shared" si="95"/>
        <v>0</v>
      </c>
      <c r="I315" s="1360">
        <f t="shared" si="96"/>
        <v>0.2</v>
      </c>
      <c r="J315" s="1416">
        <v>734667</v>
      </c>
      <c r="K315" s="1416">
        <v>25333</v>
      </c>
      <c r="L315" s="1416">
        <v>0</v>
      </c>
      <c r="M315" s="1416">
        <v>0</v>
      </c>
      <c r="N315" s="1417">
        <f t="shared" si="97"/>
        <v>709334</v>
      </c>
      <c r="O315" s="1416">
        <v>25333</v>
      </c>
      <c r="P315" s="1416"/>
      <c r="Q315" s="1416">
        <v>152000</v>
      </c>
      <c r="R315" s="1365">
        <f t="shared" si="98"/>
        <v>557334</v>
      </c>
      <c r="S315" s="1416"/>
      <c r="T315" s="1366">
        <f t="shared" si="99"/>
        <v>0</v>
      </c>
      <c r="U315" s="1367">
        <f>IF($R315-SUM($T315:T315)=0,0,IF(OR($R315&lt;=0,$R315&lt;=SUM($T315:T315)),0,IF((IF($J315=0,$O315,$J315)*$I315)&gt;=($R315-SUM($T315:T315)),($R315-SUM($T315:T315)),IF($J315=0,$O315,$J315)*$I315)))</f>
        <v>146933.4</v>
      </c>
      <c r="V315" s="1367">
        <f>IF($R315-SUM($T315:U315)=0,0,IF(OR($R315&lt;=0,$R315&lt;=SUM($T315:U315)),0,IF((IF($J315=0,$O315,$J315)*$I315)&gt;=($R315-SUM($T315:U315)),($R315-SUM($T315:U315)),IF($J315=0,$O315,$J315)*$I315)))</f>
        <v>146933.4</v>
      </c>
      <c r="W315" s="1367">
        <f>IF($R315-SUM($T315:V315)=0,0,IF(OR($R315&lt;=0,$R315&lt;=SUM($T315:V315)),0,IF((IF($J315=0,$O315,$J315)*$I315)&gt;=($R315-SUM($T315:V315)),($R315-SUM($T315:V315)),IF($J315=0,$O315,$J315)*$I315)))</f>
        <v>146933.4</v>
      </c>
      <c r="X315" s="1367">
        <f>IF($R315-SUM($T315:W315)=0,0,IF(OR($R315&lt;=0,$R315&lt;=SUM($T315:W315)),0,IF((IF($J315=0,$O315,$J315)*$I315)&gt;=($R315-SUM($T315:W315)),($R315-SUM($T315:W315)),IF($J315=0,$O315,$J315)*$I315)))</f>
        <v>116533.80000000005</v>
      </c>
      <c r="Y315" s="1367">
        <f>IF($R315-SUM($T315:X315)=0,0,IF(OR($R315&lt;=0,$R315&lt;=SUM($T315:X315)),0,IF((IF($J315=0,$O315,$J315)*$I315)&gt;=($R315-SUM($T315:X315)),($R315-SUM($T315:X315)),IF($J315=0,$O315,$J315)*$I315)))</f>
        <v>0</v>
      </c>
      <c r="Z315" s="1367">
        <f>IF($R315-SUM($T315:Y315)=0,0,IF(OR($R315&lt;=0,$R315&lt;=SUM($T315:Y315)),0,IF((IF($J315=0,$O315,$J315)*$I315)&gt;=($R315-SUM($T315:Y315)),($R315-SUM($T315:Y315)),IF($J315=0,$O315,$J315)*$I315)))</f>
        <v>0</v>
      </c>
      <c r="AA315" s="1367">
        <f>IF($R315-SUM($T315:Z315)=0,0,IF(OR($R315&lt;=0,$R315&lt;=SUM($T315:Z315)),0,IF((IF($J315=0,$O315,$J315)*$I315)&gt;=($R315-SUM($T315:Z315)),($R315-SUM($T315:Z315)),IF($J315=0,$O315,$J315)*$I315)))</f>
        <v>0</v>
      </c>
      <c r="AB315" s="1367">
        <f>IF($R315-SUM($T315:AA315)=0,0,IF(OR($R315&lt;=0,$R315&lt;=SUM($T315:AA315)),0,IF((IF($J315=0,$O315,$J315)*$I315)&gt;=($R315-SUM($T315:AA315)),($R315-SUM($T315:AA315)),IF($J315=0,$O315,$J315)*$I315)))</f>
        <v>0</v>
      </c>
      <c r="AC315" s="1367">
        <f>IF($R315-SUM($T315:AB315)=0,0,IF(OR($R315&lt;=0,$R315&lt;=SUM($T315:AB315)),0,IF((IF($J315=0,$O315,$J315)*$I315)&gt;=($R315-SUM($T315:AB315)),($R315-SUM($T315:AB315)),IF($J315=0,$O315,$J315)*$I315)))</f>
        <v>0</v>
      </c>
      <c r="AD315" s="1367">
        <f>IF($R315-SUM($T315:AC315)=0,0,IF(OR($R315&lt;=0,$R315&lt;=SUM($T315:AC315)),0,IF((IF($J315=0,$O315,$J315)*$I315)&gt;=($R315-SUM($T315:AC315)),($R315-SUM($T315:AC315)),IF($J315=0,$O315,$J315)*$I315)))</f>
        <v>0</v>
      </c>
      <c r="AF315" s="1319" t="b">
        <f t="shared" si="100"/>
        <v>1</v>
      </c>
      <c r="AG315" s="1319" t="str">
        <f t="shared" si="101"/>
        <v>Checked</v>
      </c>
      <c r="AH315" s="1318" t="b">
        <f t="shared" si="102"/>
        <v>1</v>
      </c>
    </row>
    <row r="316" spans="1:34" outlineLevel="1" x14ac:dyDescent="0.3">
      <c r="B316" s="1356" t="s">
        <v>2594</v>
      </c>
      <c r="C316" s="1356" t="s">
        <v>2701</v>
      </c>
      <c r="D316" s="1323" t="s">
        <v>2595</v>
      </c>
      <c r="E316" s="1333">
        <v>5</v>
      </c>
      <c r="F316" s="1333">
        <f t="shared" si="93"/>
        <v>4</v>
      </c>
      <c r="G316" s="1358">
        <f t="shared" si="94"/>
        <v>0</v>
      </c>
      <c r="H316" s="1359">
        <f t="shared" si="95"/>
        <v>0</v>
      </c>
      <c r="I316" s="1360">
        <f t="shared" si="96"/>
        <v>0.2</v>
      </c>
      <c r="J316" s="1416">
        <v>2330319</v>
      </c>
      <c r="K316" s="1416">
        <v>122648</v>
      </c>
      <c r="L316" s="1416">
        <v>0</v>
      </c>
      <c r="M316" s="1416">
        <v>0</v>
      </c>
      <c r="N316" s="1417">
        <f t="shared" si="97"/>
        <v>2207671</v>
      </c>
      <c r="O316" s="1416">
        <v>122648</v>
      </c>
      <c r="P316" s="1416"/>
      <c r="Q316" s="1416">
        <v>490593</v>
      </c>
      <c r="R316" s="1365">
        <f t="shared" si="98"/>
        <v>1717078</v>
      </c>
      <c r="S316" s="1416"/>
      <c r="T316" s="1366">
        <f t="shared" si="99"/>
        <v>0</v>
      </c>
      <c r="U316" s="1367">
        <f>IF($R316-SUM($T316:T316)=0,0,IF(OR($R316&lt;=0,$R316&lt;=SUM($T316:T316)),0,IF((IF($J316=0,$O316,$J316)*$I316)&gt;=($R316-SUM($T316:T316)),($R316-SUM($T316:T316)),IF($J316=0,$O316,$J316)*$I316)))</f>
        <v>466063.80000000005</v>
      </c>
      <c r="V316" s="1367">
        <f>IF($R316-SUM($T316:U316)=0,0,IF(OR($R316&lt;=0,$R316&lt;=SUM($T316:U316)),0,IF((IF($J316=0,$O316,$J316)*$I316)&gt;=($R316-SUM($T316:U316)),($R316-SUM($T316:U316)),IF($J316=0,$O316,$J316)*$I316)))</f>
        <v>466063.80000000005</v>
      </c>
      <c r="W316" s="1367">
        <f>IF($R316-SUM($T316:V316)=0,0,IF(OR($R316&lt;=0,$R316&lt;=SUM($T316:V316)),0,IF((IF($J316=0,$O316,$J316)*$I316)&gt;=($R316-SUM($T316:V316)),($R316-SUM($T316:V316)),IF($J316=0,$O316,$J316)*$I316)))</f>
        <v>466063.80000000005</v>
      </c>
      <c r="X316" s="1367">
        <f>IF($R316-SUM($T316:W316)=0,0,IF(OR($R316&lt;=0,$R316&lt;=SUM($T316:W316)),0,IF((IF($J316=0,$O316,$J316)*$I316)&gt;=($R316-SUM($T316:W316)),($R316-SUM($T316:W316)),IF($J316=0,$O316,$J316)*$I316)))</f>
        <v>318886.59999999986</v>
      </c>
      <c r="Y316" s="1367">
        <f>IF($R316-SUM($T316:X316)=0,0,IF(OR($R316&lt;=0,$R316&lt;=SUM($T316:X316)),0,IF((IF($J316=0,$O316,$J316)*$I316)&gt;=($R316-SUM($T316:X316)),($R316-SUM($T316:X316)),IF($J316=0,$O316,$J316)*$I316)))</f>
        <v>0</v>
      </c>
      <c r="Z316" s="1367">
        <f>IF($R316-SUM($T316:Y316)=0,0,IF(OR($R316&lt;=0,$R316&lt;=SUM($T316:Y316)),0,IF((IF($J316=0,$O316,$J316)*$I316)&gt;=($R316-SUM($T316:Y316)),($R316-SUM($T316:Y316)),IF($J316=0,$O316,$J316)*$I316)))</f>
        <v>0</v>
      </c>
      <c r="AA316" s="1367">
        <f>IF($R316-SUM($T316:Z316)=0,0,IF(OR($R316&lt;=0,$R316&lt;=SUM($T316:Z316)),0,IF((IF($J316=0,$O316,$J316)*$I316)&gt;=($R316-SUM($T316:Z316)),($R316-SUM($T316:Z316)),IF($J316=0,$O316,$J316)*$I316)))</f>
        <v>0</v>
      </c>
      <c r="AB316" s="1367">
        <f>IF($R316-SUM($T316:AA316)=0,0,IF(OR($R316&lt;=0,$R316&lt;=SUM($T316:AA316)),0,IF((IF($J316=0,$O316,$J316)*$I316)&gt;=($R316-SUM($T316:AA316)),($R316-SUM($T316:AA316)),IF($J316=0,$O316,$J316)*$I316)))</f>
        <v>0</v>
      </c>
      <c r="AC316" s="1367">
        <f>IF($R316-SUM($T316:AB316)=0,0,IF(OR($R316&lt;=0,$R316&lt;=SUM($T316:AB316)),0,IF((IF($J316=0,$O316,$J316)*$I316)&gt;=($R316-SUM($T316:AB316)),($R316-SUM($T316:AB316)),IF($J316=0,$O316,$J316)*$I316)))</f>
        <v>0</v>
      </c>
      <c r="AD316" s="1367">
        <f>IF($R316-SUM($T316:AC316)=0,0,IF(OR($R316&lt;=0,$R316&lt;=SUM($T316:AC316)),0,IF((IF($J316=0,$O316,$J316)*$I316)&gt;=($R316-SUM($T316:AC316)),($R316-SUM($T316:AC316)),IF($J316=0,$O316,$J316)*$I316)))</f>
        <v>0</v>
      </c>
      <c r="AF316" s="1319" t="b">
        <f t="shared" si="100"/>
        <v>1</v>
      </c>
      <c r="AG316" s="1319" t="str">
        <f t="shared" si="101"/>
        <v>Checked</v>
      </c>
      <c r="AH316" s="1318" t="b">
        <f t="shared" si="102"/>
        <v>1</v>
      </c>
    </row>
    <row r="317" spans="1:34" outlineLevel="1" x14ac:dyDescent="0.3">
      <c r="B317" s="1356" t="s">
        <v>2596</v>
      </c>
      <c r="C317" s="1356" t="s">
        <v>2701</v>
      </c>
      <c r="D317" s="1323" t="s">
        <v>2597</v>
      </c>
      <c r="E317" s="1333">
        <v>5</v>
      </c>
      <c r="F317" s="1333">
        <f t="shared" si="93"/>
        <v>5</v>
      </c>
      <c r="G317" s="1358">
        <f t="shared" si="94"/>
        <v>0</v>
      </c>
      <c r="H317" s="1359">
        <f t="shared" si="95"/>
        <v>0</v>
      </c>
      <c r="I317" s="1360">
        <f t="shared" si="96"/>
        <v>0.2</v>
      </c>
      <c r="J317" s="1416">
        <v>480000</v>
      </c>
      <c r="K317" s="1416">
        <v>184917</v>
      </c>
      <c r="L317" s="1416">
        <v>0</v>
      </c>
      <c r="M317" s="1416">
        <v>0</v>
      </c>
      <c r="N317" s="1417">
        <f t="shared" si="97"/>
        <v>295083</v>
      </c>
      <c r="O317" s="1416">
        <v>0</v>
      </c>
      <c r="P317" s="1416"/>
      <c r="Q317" s="1416">
        <v>80000</v>
      </c>
      <c r="R317" s="1365">
        <f t="shared" si="98"/>
        <v>215083</v>
      </c>
      <c r="S317" s="1416"/>
      <c r="T317" s="1366">
        <f t="shared" si="99"/>
        <v>0</v>
      </c>
      <c r="U317" s="1367">
        <f>IF($R317-SUM($T317:T317)=0,0,IF(OR($R317&lt;=0,$R317&lt;=SUM($T317:T317)),0,IF((IF($J317=0,$O317,$J317)*$I317)&gt;=($R317-SUM($T317:T317)),($R317-SUM($T317:T317)),IF($J317=0,$O317,$J317)*$I317)))</f>
        <v>96000</v>
      </c>
      <c r="V317" s="1367">
        <f>IF($R317-SUM($T317:U317)=0,0,IF(OR($R317&lt;=0,$R317&lt;=SUM($T317:U317)),0,IF((IF($J317=0,$O317,$J317)*$I317)&gt;=($R317-SUM($T317:U317)),($R317-SUM($T317:U317)),IF($J317=0,$O317,$J317)*$I317)))</f>
        <v>96000</v>
      </c>
      <c r="W317" s="1367">
        <f>IF($R317-SUM($T317:V317)=0,0,IF(OR($R317&lt;=0,$R317&lt;=SUM($T317:V317)),0,IF((IF($J317=0,$O317,$J317)*$I317)&gt;=($R317-SUM($T317:V317)),($R317-SUM($T317:V317)),IF($J317=0,$O317,$J317)*$I317)))</f>
        <v>23083</v>
      </c>
      <c r="X317" s="1367">
        <f>IF($R317-SUM($T317:W317)=0,0,IF(OR($R317&lt;=0,$R317&lt;=SUM($T317:W317)),0,IF((IF($J317=0,$O317,$J317)*$I317)&gt;=($R317-SUM($T317:W317)),($R317-SUM($T317:W317)),IF($J317=0,$O317,$J317)*$I317)))</f>
        <v>0</v>
      </c>
      <c r="Y317" s="1367">
        <f>IF($R317-SUM($T317:X317)=0,0,IF(OR($R317&lt;=0,$R317&lt;=SUM($T317:X317)),0,IF((IF($J317=0,$O317,$J317)*$I317)&gt;=($R317-SUM($T317:X317)),($R317-SUM($T317:X317)),IF($J317=0,$O317,$J317)*$I317)))</f>
        <v>0</v>
      </c>
      <c r="Z317" s="1367">
        <f>IF($R317-SUM($T317:Y317)=0,0,IF(OR($R317&lt;=0,$R317&lt;=SUM($T317:Y317)),0,IF((IF($J317=0,$O317,$J317)*$I317)&gt;=($R317-SUM($T317:Y317)),($R317-SUM($T317:Y317)),IF($J317=0,$O317,$J317)*$I317)))</f>
        <v>0</v>
      </c>
      <c r="AA317" s="1367">
        <f>IF($R317-SUM($T317:Z317)=0,0,IF(OR($R317&lt;=0,$R317&lt;=SUM($T317:Z317)),0,IF((IF($J317=0,$O317,$J317)*$I317)&gt;=($R317-SUM($T317:Z317)),($R317-SUM($T317:Z317)),IF($J317=0,$O317,$J317)*$I317)))</f>
        <v>0</v>
      </c>
      <c r="AB317" s="1367">
        <f>IF($R317-SUM($T317:AA317)=0,0,IF(OR($R317&lt;=0,$R317&lt;=SUM($T317:AA317)),0,IF((IF($J317=0,$O317,$J317)*$I317)&gt;=($R317-SUM($T317:AA317)),($R317-SUM($T317:AA317)),IF($J317=0,$O317,$J317)*$I317)))</f>
        <v>0</v>
      </c>
      <c r="AC317" s="1367">
        <f>IF($R317-SUM($T317:AB317)=0,0,IF(OR($R317&lt;=0,$R317&lt;=SUM($T317:AB317)),0,IF((IF($J317=0,$O317,$J317)*$I317)&gt;=($R317-SUM($T317:AB317)),($R317-SUM($T317:AB317)),IF($J317=0,$O317,$J317)*$I317)))</f>
        <v>0</v>
      </c>
      <c r="AD317" s="1367">
        <f>IF($R317-SUM($T317:AC317)=0,0,IF(OR($R317&lt;=0,$R317&lt;=SUM($T317:AC317)),0,IF((IF($J317=0,$O317,$J317)*$I317)&gt;=($R317-SUM($T317:AC317)),($R317-SUM($T317:AC317)),IF($J317=0,$O317,$J317)*$I317)))</f>
        <v>0</v>
      </c>
      <c r="AF317" s="1319" t="b">
        <f t="shared" si="100"/>
        <v>1</v>
      </c>
      <c r="AG317" s="1319" t="str">
        <f t="shared" si="101"/>
        <v>Checked</v>
      </c>
      <c r="AH317" s="1318" t="b">
        <f t="shared" si="102"/>
        <v>1</v>
      </c>
    </row>
    <row r="318" spans="1:34" s="1445" customFormat="1" outlineLevel="1" x14ac:dyDescent="0.3">
      <c r="A318" s="1432"/>
      <c r="B318" s="1433" t="s">
        <v>2598</v>
      </c>
      <c r="C318" s="1433" t="s">
        <v>2701</v>
      </c>
      <c r="D318" s="1434" t="s">
        <v>2599</v>
      </c>
      <c r="E318" s="1435">
        <v>5</v>
      </c>
      <c r="F318" s="1435">
        <f t="shared" si="93"/>
        <v>5</v>
      </c>
      <c r="G318" s="1436">
        <f t="shared" si="94"/>
        <v>0</v>
      </c>
      <c r="H318" s="1437">
        <f t="shared" si="95"/>
        <v>0</v>
      </c>
      <c r="I318" s="1438">
        <f t="shared" si="96"/>
        <v>0.2</v>
      </c>
      <c r="J318" s="1439">
        <v>12500000</v>
      </c>
      <c r="K318" s="1439">
        <v>4479607</v>
      </c>
      <c r="L318" s="1439">
        <v>0</v>
      </c>
      <c r="M318" s="1439">
        <v>0</v>
      </c>
      <c r="N318" s="1440">
        <f t="shared" si="97"/>
        <v>8020393</v>
      </c>
      <c r="O318" s="1439">
        <v>0</v>
      </c>
      <c r="P318" s="1439">
        <v>0</v>
      </c>
      <c r="Q318" s="1439">
        <v>1250000</v>
      </c>
      <c r="R318" s="1439">
        <f t="shared" si="98"/>
        <v>6770393</v>
      </c>
      <c r="S318" s="1439"/>
      <c r="T318" s="1441">
        <f t="shared" si="99"/>
        <v>0</v>
      </c>
      <c r="U318" s="1442">
        <f>IF($R318-SUM($T318:T318)=0,0,IF(OR($R318&lt;=0,$R318&lt;=SUM($T318:T318)),0,IF((IF($J318=0,$O318,$J318)*$I318)&gt;=($R318-SUM($T318:T318)),($R318-SUM($T318:T318)),IF($J318=0,$O318,$J318)*$I318)))</f>
        <v>2500000</v>
      </c>
      <c r="V318" s="1442">
        <f>IF($R318-SUM($T318:U318)=0,0,IF(OR($R318&lt;=0,$R318&lt;=SUM($T318:U318)),0,IF((IF($J318=0,$O318,$J318)*$I318)&gt;=($R318-SUM($T318:U318)),($R318-SUM($T318:U318)),IF($J318=0,$O318,$J318)*$I318)))</f>
        <v>2500000</v>
      </c>
      <c r="W318" s="1442">
        <f>IF($R318-SUM($T318:V318)=0,0,IF(OR($R318&lt;=0,$R318&lt;=SUM($T318:V318)),0,IF((IF($J318=0,$O318,$J318)*$I318)&gt;=($R318-SUM($T318:V318)),($R318-SUM($T318:V318)),IF($J318=0,$O318,$J318)*$I318)))</f>
        <v>1770393</v>
      </c>
      <c r="X318" s="1442">
        <f>IF($R318-SUM($T318:W318)=0,0,IF(OR($R318&lt;=0,$R318&lt;=SUM($T318:W318)),0,IF((IF($J318=0,$O318,$J318)*$I318)&gt;=($R318-SUM($T318:W318)),($R318-SUM($T318:W318)),IF($J318=0,$O318,$J318)*$I318)))</f>
        <v>0</v>
      </c>
      <c r="Y318" s="1442">
        <f>IF($R318-SUM($T318:X318)=0,0,IF(OR($R318&lt;=0,$R318&lt;=SUM($T318:X318)),0,IF((IF($J318=0,$O318,$J318)*$I318)&gt;=($R318-SUM($T318:X318)),($R318-SUM($T318:X318)),IF($J318=0,$O318,$J318)*$I318)))</f>
        <v>0</v>
      </c>
      <c r="Z318" s="1442">
        <f>IF($R318-SUM($T318:Y318)=0,0,IF(OR($R318&lt;=0,$R318&lt;=SUM($T318:Y318)),0,IF((IF($J318=0,$O318,$J318)*$I318)&gt;=($R318-SUM($T318:Y318)),($R318-SUM($T318:Y318)),IF($J318=0,$O318,$J318)*$I318)))</f>
        <v>0</v>
      </c>
      <c r="AA318" s="1442">
        <f>IF($R318-SUM($T318:Z318)=0,0,IF(OR($R318&lt;=0,$R318&lt;=SUM($T318:Z318)),0,IF((IF($J318=0,$O318,$J318)*$I318)&gt;=($R318-SUM($T318:Z318)),($R318-SUM($T318:Z318)),IF($J318=0,$O318,$J318)*$I318)))</f>
        <v>0</v>
      </c>
      <c r="AB318" s="1442">
        <f>IF($R318-SUM($T318:AA318)=0,0,IF(OR($R318&lt;=0,$R318&lt;=SUM($T318:AA318)),0,IF((IF($J318=0,$O318,$J318)*$I318)&gt;=($R318-SUM($T318:AA318)),($R318-SUM($T318:AA318)),IF($J318=0,$O318,$J318)*$I318)))</f>
        <v>0</v>
      </c>
      <c r="AC318" s="1442">
        <f>IF($R318-SUM($T318:AB318)=0,0,IF(OR($R318&lt;=0,$R318&lt;=SUM($T318:AB318)),0,IF((IF($J318=0,$O318,$J318)*$I318)&gt;=($R318-SUM($T318:AB318)),($R318-SUM($T318:AB318)),IF($J318=0,$O318,$J318)*$I318)))</f>
        <v>0</v>
      </c>
      <c r="AD318" s="1442">
        <f>IF($R318-SUM($T318:AC318)=0,0,IF(OR($R318&lt;=0,$R318&lt;=SUM($T318:AC318)),0,IF((IF($J318=0,$O318,$J318)*$I318)&gt;=($R318-SUM($T318:AC318)),($R318-SUM($T318:AC318)),IF($J318=0,$O318,$J318)*$I318)))</f>
        <v>0</v>
      </c>
      <c r="AE318" s="1443"/>
      <c r="AF318" s="1444" t="b">
        <f t="shared" si="100"/>
        <v>1</v>
      </c>
      <c r="AG318" s="1444" t="str">
        <f t="shared" si="101"/>
        <v>Checked</v>
      </c>
      <c r="AH318" s="1445" t="b">
        <f t="shared" si="102"/>
        <v>1</v>
      </c>
    </row>
    <row r="319" spans="1:34" x14ac:dyDescent="0.3">
      <c r="R319" s="1313">
        <v>1</v>
      </c>
    </row>
    <row r="320" spans="1:34" x14ac:dyDescent="0.3">
      <c r="R320" s="1313">
        <v>1</v>
      </c>
    </row>
  </sheetData>
  <mergeCells count="19">
    <mergeCell ref="T17:AD17"/>
    <mergeCell ref="N17:N18"/>
    <mergeCell ref="O17:O18"/>
    <mergeCell ref="P17:P18"/>
    <mergeCell ref="Q17:Q18"/>
    <mergeCell ref="R17:R18"/>
    <mergeCell ref="S17:S18"/>
    <mergeCell ref="M17:M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phoneticPr fontId="1" type="noConversion"/>
  <conditionalFormatting sqref="AF20:AH280 AF282:AH283 AF285:AH318">
    <cfRule type="cellIs" dxfId="2" priority="3" operator="equal">
      <formula>FALSE</formula>
    </cfRule>
  </conditionalFormatting>
  <conditionalFormatting sqref="AF281:AH281">
    <cfRule type="cellIs" dxfId="1" priority="2" operator="equal">
      <formula>FALSE</formula>
    </cfRule>
  </conditionalFormatting>
  <conditionalFormatting sqref="AF284:AH284">
    <cfRule type="cellIs" dxfId="0" priority="1" operator="equal">
      <formula>FALSE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1"/>
  <sheetViews>
    <sheetView topLeftCell="F1" zoomScale="85" zoomScaleNormal="85" workbookViewId="0">
      <selection activeCell="M8" sqref="M8"/>
    </sheetView>
  </sheetViews>
  <sheetFormatPr defaultColWidth="9" defaultRowHeight="16.5" x14ac:dyDescent="0.3"/>
  <cols>
    <col min="1" max="1" width="11.875" style="153" customWidth="1"/>
    <col min="2" max="2" width="13.25" style="153" customWidth="1"/>
    <col min="3" max="3" width="10.75" style="153" customWidth="1"/>
    <col min="4" max="5" width="12" style="153" customWidth="1"/>
    <col min="6" max="6" width="13.25" style="153" customWidth="1"/>
    <col min="7" max="9" width="12" style="153" bestFit="1" customWidth="1"/>
    <col min="10" max="11" width="16.875" style="819" bestFit="1" customWidth="1"/>
    <col min="12" max="13" width="11.375" style="819" bestFit="1" customWidth="1"/>
    <col min="14" max="14" width="12.875" style="819" bestFit="1" customWidth="1"/>
    <col min="15" max="16384" width="9" style="153"/>
  </cols>
  <sheetData>
    <row r="3" spans="1:14" x14ac:dyDescent="0.3">
      <c r="A3" s="1041" t="s">
        <v>3035</v>
      </c>
      <c r="B3" s="1041" t="s">
        <v>3036</v>
      </c>
      <c r="I3" s="153" t="s">
        <v>3035</v>
      </c>
      <c r="J3" s="819" t="s">
        <v>3036</v>
      </c>
    </row>
    <row r="4" spans="1:14" x14ac:dyDescent="0.3">
      <c r="A4" s="1041" t="s">
        <v>3037</v>
      </c>
      <c r="B4" s="153" t="s">
        <v>2802</v>
      </c>
      <c r="C4" s="153" t="s">
        <v>2025</v>
      </c>
      <c r="D4" s="153" t="s">
        <v>2024</v>
      </c>
      <c r="E4" s="153" t="s">
        <v>2023</v>
      </c>
      <c r="F4" s="153" t="s">
        <v>3038</v>
      </c>
      <c r="I4" s="153" t="s">
        <v>3037</v>
      </c>
      <c r="J4" s="819" t="s">
        <v>2802</v>
      </c>
      <c r="K4" s="819" t="s">
        <v>2025</v>
      </c>
      <c r="L4" s="819" t="s">
        <v>2024</v>
      </c>
      <c r="M4" s="819" t="s">
        <v>2023</v>
      </c>
      <c r="N4" s="819" t="s">
        <v>3038</v>
      </c>
    </row>
    <row r="5" spans="1:14" x14ac:dyDescent="0.3">
      <c r="A5" s="1040" t="s">
        <v>3039</v>
      </c>
      <c r="B5" s="976">
        <v>10431480</v>
      </c>
      <c r="C5" s="976"/>
      <c r="D5" s="976">
        <v>60352260</v>
      </c>
      <c r="E5" s="976">
        <v>4403610</v>
      </c>
      <c r="F5" s="976">
        <v>75187350</v>
      </c>
      <c r="I5" s="153" t="s">
        <v>3039</v>
      </c>
      <c r="J5" s="819">
        <v>10431480</v>
      </c>
      <c r="L5" s="819">
        <v>60352260</v>
      </c>
      <c r="M5" s="819">
        <v>4403610</v>
      </c>
      <c r="N5" s="819">
        <v>75187350</v>
      </c>
    </row>
    <row r="6" spans="1:14" x14ac:dyDescent="0.3">
      <c r="A6" s="1040" t="s">
        <v>3040</v>
      </c>
      <c r="B6" s="976">
        <v>48520560</v>
      </c>
      <c r="C6" s="976"/>
      <c r="D6" s="976">
        <v>123890180</v>
      </c>
      <c r="E6" s="976"/>
      <c r="F6" s="976">
        <v>172410740</v>
      </c>
      <c r="I6" s="153" t="s">
        <v>3040</v>
      </c>
      <c r="J6" s="819">
        <v>48520560</v>
      </c>
      <c r="L6" s="819">
        <v>123890180</v>
      </c>
      <c r="N6" s="819">
        <v>172410740</v>
      </c>
    </row>
    <row r="7" spans="1:14" x14ac:dyDescent="0.3">
      <c r="A7" s="1040" t="s">
        <v>2025</v>
      </c>
      <c r="B7" s="976">
        <v>130269990</v>
      </c>
      <c r="C7" s="976">
        <v>21903610</v>
      </c>
      <c r="D7" s="976">
        <v>20326410</v>
      </c>
      <c r="E7" s="976"/>
      <c r="F7" s="976">
        <v>172500010</v>
      </c>
      <c r="I7" s="153" t="s">
        <v>2025</v>
      </c>
      <c r="J7" s="819">
        <v>130269990</v>
      </c>
      <c r="K7" s="819">
        <v>21903610</v>
      </c>
      <c r="L7" s="819">
        <v>20326410</v>
      </c>
      <c r="N7" s="819">
        <v>172500010</v>
      </c>
    </row>
    <row r="8" spans="1:14" x14ac:dyDescent="0.3">
      <c r="A8" s="1040" t="s">
        <v>3041</v>
      </c>
      <c r="B8" s="976">
        <v>564128840</v>
      </c>
      <c r="C8" s="976"/>
      <c r="D8" s="976">
        <v>74118280</v>
      </c>
      <c r="E8" s="976">
        <v>281175575</v>
      </c>
      <c r="F8" s="976">
        <v>919422695</v>
      </c>
      <c r="I8" s="153" t="s">
        <v>3041</v>
      </c>
      <c r="J8" s="819">
        <v>564128840</v>
      </c>
      <c r="L8" s="819">
        <v>74118280</v>
      </c>
      <c r="M8" s="819">
        <v>281175575</v>
      </c>
      <c r="N8" s="819">
        <v>919422695</v>
      </c>
    </row>
    <row r="9" spans="1:14" x14ac:dyDescent="0.3">
      <c r="A9" s="1040" t="s">
        <v>2024</v>
      </c>
      <c r="B9" s="976">
        <v>30287980</v>
      </c>
      <c r="C9" s="976"/>
      <c r="D9" s="976"/>
      <c r="E9" s="976"/>
      <c r="F9" s="976">
        <v>30287980</v>
      </c>
      <c r="I9" s="153" t="s">
        <v>2024</v>
      </c>
      <c r="J9" s="819">
        <v>30287980</v>
      </c>
      <c r="N9" s="819">
        <v>30287980</v>
      </c>
    </row>
    <row r="10" spans="1:14" x14ac:dyDescent="0.3">
      <c r="A10" s="1040" t="s">
        <v>3042</v>
      </c>
      <c r="B10" s="976">
        <v>345488070</v>
      </c>
      <c r="C10" s="976"/>
      <c r="D10" s="976">
        <v>137091660</v>
      </c>
      <c r="E10" s="976">
        <v>19325000</v>
      </c>
      <c r="F10" s="976">
        <v>501904730</v>
      </c>
      <c r="I10" s="153" t="s">
        <v>3042</v>
      </c>
      <c r="J10" s="819">
        <v>345488070</v>
      </c>
      <c r="L10" s="819">
        <v>137091660</v>
      </c>
      <c r="M10" s="819">
        <v>19325000</v>
      </c>
      <c r="N10" s="819">
        <v>501904730</v>
      </c>
    </row>
    <row r="11" spans="1:14" x14ac:dyDescent="0.3">
      <c r="A11" s="1040" t="s">
        <v>3038</v>
      </c>
      <c r="B11" s="976">
        <v>1129126920</v>
      </c>
      <c r="C11" s="976">
        <v>21903610</v>
      </c>
      <c r="D11" s="976">
        <v>415778790</v>
      </c>
      <c r="E11" s="976">
        <v>304904185</v>
      </c>
      <c r="F11" s="976">
        <v>1871713505</v>
      </c>
      <c r="I11" s="153" t="s">
        <v>3038</v>
      </c>
      <c r="J11" s="819">
        <v>1129126920</v>
      </c>
      <c r="K11" s="819">
        <v>21903610</v>
      </c>
      <c r="L11" s="819">
        <v>415778790</v>
      </c>
      <c r="M11" s="819">
        <v>304904185</v>
      </c>
      <c r="N11" s="819">
        <v>1871713505</v>
      </c>
    </row>
    <row r="13" spans="1:14" x14ac:dyDescent="0.3">
      <c r="A13" s="1041" t="s">
        <v>3043</v>
      </c>
      <c r="B13" s="1041" t="s">
        <v>3036</v>
      </c>
      <c r="I13" s="153" t="s">
        <v>3043</v>
      </c>
      <c r="J13" s="819" t="s">
        <v>3036</v>
      </c>
    </row>
    <row r="14" spans="1:14" x14ac:dyDescent="0.3">
      <c r="A14" s="1041" t="s">
        <v>3037</v>
      </c>
      <c r="B14" s="153" t="s">
        <v>2802</v>
      </c>
      <c r="C14" s="153" t="s">
        <v>2025</v>
      </c>
      <c r="D14" s="153" t="s">
        <v>2024</v>
      </c>
      <c r="E14" s="153" t="s">
        <v>2023</v>
      </c>
      <c r="F14" s="153" t="s">
        <v>3038</v>
      </c>
      <c r="I14" s="153" t="s">
        <v>3037</v>
      </c>
      <c r="J14" s="819" t="s">
        <v>2802</v>
      </c>
      <c r="K14" s="819" t="s">
        <v>2025</v>
      </c>
      <c r="L14" s="819" t="s">
        <v>2024</v>
      </c>
      <c r="M14" s="819" t="s">
        <v>2023</v>
      </c>
      <c r="N14" s="819" t="s">
        <v>3038</v>
      </c>
    </row>
    <row r="15" spans="1:14" x14ac:dyDescent="0.3">
      <c r="A15" s="1040" t="s">
        <v>3039</v>
      </c>
      <c r="B15" s="976">
        <v>10953060</v>
      </c>
      <c r="C15" s="976"/>
      <c r="D15" s="976">
        <v>63369880</v>
      </c>
      <c r="E15" s="976">
        <v>4623790</v>
      </c>
      <c r="F15" s="976">
        <v>78946730</v>
      </c>
      <c r="I15" s="153" t="s">
        <v>3039</v>
      </c>
      <c r="J15" s="819">
        <v>10953060</v>
      </c>
      <c r="L15" s="819">
        <v>63369880</v>
      </c>
      <c r="M15" s="819">
        <v>4623790</v>
      </c>
      <c r="N15" s="819">
        <v>78946730</v>
      </c>
    </row>
    <row r="16" spans="1:14" x14ac:dyDescent="0.3">
      <c r="A16" s="1040" t="s">
        <v>3040</v>
      </c>
      <c r="B16" s="976">
        <v>50946590</v>
      </c>
      <c r="C16" s="976"/>
      <c r="D16" s="976">
        <v>130084690</v>
      </c>
      <c r="E16" s="976"/>
      <c r="F16" s="976">
        <v>181031280</v>
      </c>
      <c r="I16" s="153" t="s">
        <v>3040</v>
      </c>
      <c r="J16" s="819">
        <v>50946590</v>
      </c>
      <c r="L16" s="819">
        <v>130084690</v>
      </c>
      <c r="N16" s="819">
        <v>181031280</v>
      </c>
    </row>
    <row r="17" spans="1:14" x14ac:dyDescent="0.3">
      <c r="A17" s="1040" t="s">
        <v>2025</v>
      </c>
      <c r="B17" s="976">
        <v>136783490</v>
      </c>
      <c r="C17" s="976">
        <v>22998790</v>
      </c>
      <c r="D17" s="976">
        <v>21342730</v>
      </c>
      <c r="E17" s="976"/>
      <c r="F17" s="976">
        <v>181125010</v>
      </c>
      <c r="I17" s="153" t="s">
        <v>2025</v>
      </c>
      <c r="J17" s="819">
        <v>136783490</v>
      </c>
      <c r="K17" s="819">
        <v>22998790</v>
      </c>
      <c r="L17" s="819">
        <v>21342730</v>
      </c>
      <c r="N17" s="819">
        <v>181125010</v>
      </c>
    </row>
    <row r="18" spans="1:14" x14ac:dyDescent="0.3">
      <c r="A18" s="1040" t="s">
        <v>3041</v>
      </c>
      <c r="B18" s="976">
        <v>592335270</v>
      </c>
      <c r="C18" s="976"/>
      <c r="D18" s="976">
        <v>77824190</v>
      </c>
      <c r="E18" s="976">
        <v>295234360</v>
      </c>
      <c r="F18" s="976">
        <v>965393820</v>
      </c>
      <c r="I18" s="153" t="s">
        <v>3041</v>
      </c>
      <c r="J18" s="819">
        <v>592335270</v>
      </c>
      <c r="L18" s="819">
        <v>77824190</v>
      </c>
      <c r="M18" s="819">
        <v>295234360</v>
      </c>
      <c r="N18" s="819">
        <v>965393820</v>
      </c>
    </row>
    <row r="19" spans="1:14" x14ac:dyDescent="0.3">
      <c r="A19" s="1040" t="s">
        <v>2024</v>
      </c>
      <c r="B19" s="976">
        <v>31802380</v>
      </c>
      <c r="C19" s="976"/>
      <c r="D19" s="976"/>
      <c r="E19" s="976"/>
      <c r="F19" s="976">
        <v>31802380</v>
      </c>
      <c r="I19" s="153" t="s">
        <v>2024</v>
      </c>
      <c r="J19" s="819">
        <v>31802380</v>
      </c>
      <c r="N19" s="819">
        <v>31802380</v>
      </c>
    </row>
    <row r="20" spans="1:14" x14ac:dyDescent="0.3">
      <c r="A20" s="1040" t="s">
        <v>3042</v>
      </c>
      <c r="B20" s="976">
        <v>362762480</v>
      </c>
      <c r="C20" s="976"/>
      <c r="D20" s="976">
        <v>143946240</v>
      </c>
      <c r="E20" s="976">
        <v>20291250</v>
      </c>
      <c r="F20" s="976">
        <v>526999970</v>
      </c>
      <c r="I20" s="153" t="s">
        <v>3042</v>
      </c>
      <c r="J20" s="819">
        <v>362762480</v>
      </c>
      <c r="L20" s="819">
        <v>143946240</v>
      </c>
      <c r="M20" s="819">
        <v>20291250</v>
      </c>
      <c r="N20" s="819">
        <v>526999970</v>
      </c>
    </row>
    <row r="21" spans="1:14" x14ac:dyDescent="0.3">
      <c r="A21" s="1040" t="s">
        <v>3038</v>
      </c>
      <c r="B21" s="976">
        <v>1185583270</v>
      </c>
      <c r="C21" s="976">
        <v>22998790</v>
      </c>
      <c r="D21" s="976">
        <v>436567730</v>
      </c>
      <c r="E21" s="976">
        <v>320149400</v>
      </c>
      <c r="F21" s="976">
        <v>1965299190</v>
      </c>
      <c r="I21" s="153" t="s">
        <v>3038</v>
      </c>
      <c r="J21" s="819">
        <v>1185583270</v>
      </c>
      <c r="K21" s="819">
        <v>22998790</v>
      </c>
      <c r="L21" s="819">
        <v>436567730</v>
      </c>
      <c r="M21" s="819">
        <v>320149400</v>
      </c>
      <c r="N21" s="819">
        <v>1965299190</v>
      </c>
    </row>
    <row r="23" spans="1:14" x14ac:dyDescent="0.3">
      <c r="A23" s="1041" t="s">
        <v>3044</v>
      </c>
      <c r="B23" s="1041" t="s">
        <v>3036</v>
      </c>
      <c r="I23" s="153" t="s">
        <v>3044</v>
      </c>
      <c r="J23" s="819" t="s">
        <v>3036</v>
      </c>
    </row>
    <row r="24" spans="1:14" x14ac:dyDescent="0.3">
      <c r="A24" s="1041" t="s">
        <v>3037</v>
      </c>
      <c r="B24" s="153" t="s">
        <v>2802</v>
      </c>
      <c r="C24" s="153" t="s">
        <v>2025</v>
      </c>
      <c r="D24" s="153" t="s">
        <v>2024</v>
      </c>
      <c r="E24" s="153" t="s">
        <v>2023</v>
      </c>
      <c r="F24" s="153" t="s">
        <v>3038</v>
      </c>
      <c r="I24" s="153" t="s">
        <v>3037</v>
      </c>
      <c r="J24" s="819" t="s">
        <v>2802</v>
      </c>
      <c r="K24" s="819" t="s">
        <v>2025</v>
      </c>
      <c r="L24" s="819" t="s">
        <v>2024</v>
      </c>
      <c r="M24" s="819" t="s">
        <v>2023</v>
      </c>
      <c r="N24" s="819" t="s">
        <v>3038</v>
      </c>
    </row>
    <row r="25" spans="1:14" x14ac:dyDescent="0.3">
      <c r="A25" s="1040" t="s">
        <v>3039</v>
      </c>
      <c r="B25" s="976">
        <v>11500710</v>
      </c>
      <c r="C25" s="976"/>
      <c r="D25" s="976">
        <v>66538370</v>
      </c>
      <c r="E25" s="976">
        <v>4854980</v>
      </c>
      <c r="F25" s="976">
        <v>82894060</v>
      </c>
      <c r="I25" s="153" t="s">
        <v>3039</v>
      </c>
      <c r="J25" s="819">
        <v>11500710</v>
      </c>
      <c r="L25" s="819">
        <v>66538370</v>
      </c>
      <c r="M25" s="819">
        <v>4854980</v>
      </c>
      <c r="N25" s="819">
        <v>82894060</v>
      </c>
    </row>
    <row r="26" spans="1:14" x14ac:dyDescent="0.3">
      <c r="A26" s="1040" t="s">
        <v>3040</v>
      </c>
      <c r="B26" s="976">
        <v>53493920</v>
      </c>
      <c r="C26" s="976"/>
      <c r="D26" s="976">
        <v>136588920</v>
      </c>
      <c r="E26" s="976"/>
      <c r="F26" s="976">
        <v>190082840</v>
      </c>
      <c r="I26" s="153" t="s">
        <v>3040</v>
      </c>
      <c r="J26" s="819">
        <v>53493920</v>
      </c>
      <c r="L26" s="819">
        <v>136588920</v>
      </c>
      <c r="N26" s="819">
        <v>190082840</v>
      </c>
    </row>
    <row r="27" spans="1:14" x14ac:dyDescent="0.3">
      <c r="A27" s="1040" t="s">
        <v>2025</v>
      </c>
      <c r="B27" s="976">
        <v>143622670</v>
      </c>
      <c r="C27" s="976">
        <v>24148730</v>
      </c>
      <c r="D27" s="976">
        <v>22409860</v>
      </c>
      <c r="E27" s="976"/>
      <c r="F27" s="976">
        <v>190181260</v>
      </c>
      <c r="I27" s="153" t="s">
        <v>2025</v>
      </c>
      <c r="J27" s="819">
        <v>143622670</v>
      </c>
      <c r="K27" s="819">
        <v>24148730</v>
      </c>
      <c r="L27" s="819">
        <v>22409860</v>
      </c>
      <c r="N27" s="819">
        <v>190181260</v>
      </c>
    </row>
    <row r="28" spans="1:14" x14ac:dyDescent="0.3">
      <c r="A28" s="1040" t="s">
        <v>3041</v>
      </c>
      <c r="B28" s="976">
        <v>621952050</v>
      </c>
      <c r="C28" s="976"/>
      <c r="D28" s="976">
        <v>81715400</v>
      </c>
      <c r="E28" s="976">
        <v>309996080</v>
      </c>
      <c r="F28" s="976">
        <v>1013663530</v>
      </c>
      <c r="I28" s="153" t="s">
        <v>3041</v>
      </c>
      <c r="J28" s="819">
        <v>621952050</v>
      </c>
      <c r="L28" s="819">
        <v>81715400</v>
      </c>
      <c r="M28" s="819">
        <v>309996080</v>
      </c>
      <c r="N28" s="819">
        <v>1013663530</v>
      </c>
    </row>
    <row r="29" spans="1:14" x14ac:dyDescent="0.3">
      <c r="A29" s="1040" t="s">
        <v>2024</v>
      </c>
      <c r="B29" s="976">
        <v>33392500</v>
      </c>
      <c r="C29" s="976"/>
      <c r="D29" s="976"/>
      <c r="E29" s="976"/>
      <c r="F29" s="976">
        <v>33392500</v>
      </c>
      <c r="I29" s="153" t="s">
        <v>2024</v>
      </c>
      <c r="J29" s="819">
        <v>33392500</v>
      </c>
      <c r="N29" s="819">
        <v>33392500</v>
      </c>
    </row>
    <row r="30" spans="1:14" x14ac:dyDescent="0.3">
      <c r="A30" s="1040" t="s">
        <v>3042</v>
      </c>
      <c r="B30" s="976">
        <v>380900590</v>
      </c>
      <c r="C30" s="976"/>
      <c r="D30" s="976">
        <v>151143550</v>
      </c>
      <c r="E30" s="976">
        <v>21305810</v>
      </c>
      <c r="F30" s="976">
        <v>553349950</v>
      </c>
      <c r="I30" s="153" t="s">
        <v>3042</v>
      </c>
      <c r="J30" s="819">
        <v>380900590</v>
      </c>
      <c r="L30" s="819">
        <v>151143550</v>
      </c>
      <c r="M30" s="819">
        <v>21305810</v>
      </c>
      <c r="N30" s="819">
        <v>553349950</v>
      </c>
    </row>
    <row r="31" spans="1:14" x14ac:dyDescent="0.3">
      <c r="A31" s="1040" t="s">
        <v>3038</v>
      </c>
      <c r="B31" s="976">
        <v>1244862440</v>
      </c>
      <c r="C31" s="976">
        <v>24148730</v>
      </c>
      <c r="D31" s="976">
        <v>458396100</v>
      </c>
      <c r="E31" s="976">
        <v>336156870</v>
      </c>
      <c r="F31" s="976">
        <v>2063564140</v>
      </c>
      <c r="I31" s="153" t="s">
        <v>3038</v>
      </c>
      <c r="J31" s="819">
        <v>1244862440</v>
      </c>
      <c r="K31" s="819">
        <v>24148730</v>
      </c>
      <c r="L31" s="819">
        <v>458396100</v>
      </c>
      <c r="M31" s="819">
        <v>336156870</v>
      </c>
      <c r="N31" s="819">
        <v>2063564140</v>
      </c>
    </row>
    <row r="33" spans="1:14" x14ac:dyDescent="0.3">
      <c r="A33" s="1041" t="s">
        <v>3045</v>
      </c>
      <c r="B33" s="1041" t="s">
        <v>3036</v>
      </c>
      <c r="I33" s="153" t="s">
        <v>3045</v>
      </c>
      <c r="J33" s="819" t="s">
        <v>3036</v>
      </c>
    </row>
    <row r="34" spans="1:14" x14ac:dyDescent="0.3">
      <c r="A34" s="1041" t="s">
        <v>3037</v>
      </c>
      <c r="B34" s="153" t="s">
        <v>2802</v>
      </c>
      <c r="C34" s="153" t="s">
        <v>2025</v>
      </c>
      <c r="D34" s="153" t="s">
        <v>2024</v>
      </c>
      <c r="E34" s="153" t="s">
        <v>2023</v>
      </c>
      <c r="F34" s="153" t="s">
        <v>3038</v>
      </c>
      <c r="I34" s="153" t="s">
        <v>3037</v>
      </c>
      <c r="J34" s="819" t="s">
        <v>2802</v>
      </c>
      <c r="K34" s="819" t="s">
        <v>2025</v>
      </c>
      <c r="L34" s="819" t="s">
        <v>2024</v>
      </c>
      <c r="M34" s="819" t="s">
        <v>2023</v>
      </c>
      <c r="N34" s="819" t="s">
        <v>3038</v>
      </c>
    </row>
    <row r="35" spans="1:14" x14ac:dyDescent="0.3">
      <c r="A35" s="1040" t="s">
        <v>3039</v>
      </c>
      <c r="B35" s="976">
        <v>12075740</v>
      </c>
      <c r="C35" s="976"/>
      <c r="D35" s="976">
        <v>69865290</v>
      </c>
      <c r="E35" s="976">
        <v>5097730</v>
      </c>
      <c r="F35" s="976">
        <v>87038760</v>
      </c>
      <c r="I35" s="153" t="s">
        <v>3039</v>
      </c>
      <c r="J35" s="819">
        <v>12075740</v>
      </c>
      <c r="L35" s="819">
        <v>69865290</v>
      </c>
      <c r="M35" s="819">
        <v>5097730</v>
      </c>
      <c r="N35" s="819">
        <v>87038760</v>
      </c>
    </row>
    <row r="36" spans="1:14" x14ac:dyDescent="0.3">
      <c r="A36" s="1040" t="s">
        <v>3040</v>
      </c>
      <c r="B36" s="976">
        <v>56168620</v>
      </c>
      <c r="C36" s="976"/>
      <c r="D36" s="976">
        <v>143418370</v>
      </c>
      <c r="E36" s="976"/>
      <c r="F36" s="976">
        <v>199586990</v>
      </c>
      <c r="I36" s="153" t="s">
        <v>3040</v>
      </c>
      <c r="J36" s="819">
        <v>56168620</v>
      </c>
      <c r="L36" s="819">
        <v>143418370</v>
      </c>
      <c r="N36" s="819">
        <v>199586990</v>
      </c>
    </row>
    <row r="37" spans="1:14" x14ac:dyDescent="0.3">
      <c r="A37" s="1040" t="s">
        <v>2025</v>
      </c>
      <c r="B37" s="976">
        <v>150803800</v>
      </c>
      <c r="C37" s="976">
        <v>25356170</v>
      </c>
      <c r="D37" s="976">
        <v>23530350</v>
      </c>
      <c r="E37" s="976"/>
      <c r="F37" s="976">
        <v>199690320</v>
      </c>
      <c r="I37" s="153" t="s">
        <v>2025</v>
      </c>
      <c r="J37" s="819">
        <v>150803800</v>
      </c>
      <c r="K37" s="819">
        <v>25356170</v>
      </c>
      <c r="L37" s="819">
        <v>23530350</v>
      </c>
      <c r="N37" s="819">
        <v>199690320</v>
      </c>
    </row>
    <row r="38" spans="1:14" x14ac:dyDescent="0.3">
      <c r="A38" s="1040" t="s">
        <v>3041</v>
      </c>
      <c r="B38" s="976">
        <v>653049670</v>
      </c>
      <c r="C38" s="976"/>
      <c r="D38" s="976">
        <v>85801170</v>
      </c>
      <c r="E38" s="976">
        <v>325495880</v>
      </c>
      <c r="F38" s="976">
        <v>1064346720</v>
      </c>
      <c r="I38" s="153" t="s">
        <v>3041</v>
      </c>
      <c r="J38" s="819">
        <v>653049670</v>
      </c>
      <c r="L38" s="819">
        <v>85801170</v>
      </c>
      <c r="M38" s="819">
        <v>325495880</v>
      </c>
      <c r="N38" s="819">
        <v>1064346720</v>
      </c>
    </row>
    <row r="39" spans="1:14" x14ac:dyDescent="0.3">
      <c r="A39" s="1040" t="s">
        <v>2024</v>
      </c>
      <c r="B39" s="976">
        <v>35062130</v>
      </c>
      <c r="C39" s="976"/>
      <c r="D39" s="976"/>
      <c r="E39" s="976"/>
      <c r="F39" s="976">
        <v>35062130</v>
      </c>
      <c r="I39" s="153" t="s">
        <v>2024</v>
      </c>
      <c r="J39" s="819">
        <v>35062130</v>
      </c>
      <c r="N39" s="819">
        <v>35062130</v>
      </c>
    </row>
    <row r="40" spans="1:14" x14ac:dyDescent="0.3">
      <c r="A40" s="1040" t="s">
        <v>3042</v>
      </c>
      <c r="B40" s="976">
        <v>399945620</v>
      </c>
      <c r="C40" s="976"/>
      <c r="D40" s="976">
        <v>158700730</v>
      </c>
      <c r="E40" s="976">
        <v>22371100</v>
      </c>
      <c r="F40" s="976">
        <v>581017450</v>
      </c>
      <c r="I40" s="153" t="s">
        <v>3042</v>
      </c>
      <c r="J40" s="819">
        <v>399945620</v>
      </c>
      <c r="L40" s="819">
        <v>158700730</v>
      </c>
      <c r="M40" s="819">
        <v>22371100</v>
      </c>
      <c r="N40" s="819">
        <v>581017450</v>
      </c>
    </row>
    <row r="41" spans="1:14" x14ac:dyDescent="0.3">
      <c r="A41" s="1040" t="s">
        <v>3038</v>
      </c>
      <c r="B41" s="976">
        <v>1307105580</v>
      </c>
      <c r="C41" s="976">
        <v>25356170</v>
      </c>
      <c r="D41" s="976">
        <v>481315910</v>
      </c>
      <c r="E41" s="976">
        <v>352964710</v>
      </c>
      <c r="F41" s="976">
        <v>2166742370</v>
      </c>
      <c r="I41" s="153" t="s">
        <v>3038</v>
      </c>
      <c r="J41" s="819">
        <v>1307105580</v>
      </c>
      <c r="K41" s="819">
        <v>25356170</v>
      </c>
      <c r="L41" s="819">
        <v>481315910</v>
      </c>
      <c r="M41" s="819">
        <v>352964710</v>
      </c>
      <c r="N41" s="819">
        <v>2166742370</v>
      </c>
    </row>
    <row r="43" spans="1:14" x14ac:dyDescent="0.3">
      <c r="A43" s="1041" t="s">
        <v>3046</v>
      </c>
      <c r="B43" s="1041" t="s">
        <v>3036</v>
      </c>
      <c r="I43" s="153" t="s">
        <v>3046</v>
      </c>
      <c r="J43" s="819" t="s">
        <v>3036</v>
      </c>
    </row>
    <row r="44" spans="1:14" x14ac:dyDescent="0.3">
      <c r="A44" s="1041" t="s">
        <v>3037</v>
      </c>
      <c r="B44" s="153" t="s">
        <v>2802</v>
      </c>
      <c r="C44" s="153" t="s">
        <v>2025</v>
      </c>
      <c r="D44" s="153" t="s">
        <v>2024</v>
      </c>
      <c r="E44" s="153" t="s">
        <v>2023</v>
      </c>
      <c r="F44" s="153" t="s">
        <v>3038</v>
      </c>
      <c r="I44" s="153" t="s">
        <v>3037</v>
      </c>
      <c r="J44" s="819" t="s">
        <v>2802</v>
      </c>
      <c r="K44" s="819" t="s">
        <v>2025</v>
      </c>
      <c r="L44" s="819" t="s">
        <v>2024</v>
      </c>
      <c r="M44" s="819" t="s">
        <v>2023</v>
      </c>
      <c r="N44" s="819" t="s">
        <v>3038</v>
      </c>
    </row>
    <row r="45" spans="1:14" x14ac:dyDescent="0.3">
      <c r="A45" s="1040" t="s">
        <v>3039</v>
      </c>
      <c r="B45" s="976">
        <v>12679520</v>
      </c>
      <c r="C45" s="976"/>
      <c r="D45" s="976">
        <v>73358550</v>
      </c>
      <c r="E45" s="976">
        <v>5352620</v>
      </c>
      <c r="F45" s="976">
        <v>91390690</v>
      </c>
      <c r="I45" s="153" t="s">
        <v>3039</v>
      </c>
      <c r="J45" s="819">
        <v>12679520</v>
      </c>
      <c r="L45" s="819">
        <v>73358550</v>
      </c>
      <c r="M45" s="819">
        <v>5352620</v>
      </c>
      <c r="N45" s="819">
        <v>91390690</v>
      </c>
    </row>
    <row r="46" spans="1:14" x14ac:dyDescent="0.3">
      <c r="A46" s="1040" t="s">
        <v>3040</v>
      </c>
      <c r="B46" s="976">
        <v>58977050</v>
      </c>
      <c r="C46" s="976"/>
      <c r="D46" s="976">
        <v>150589290</v>
      </c>
      <c r="E46" s="976"/>
      <c r="F46" s="976">
        <v>209566340</v>
      </c>
      <c r="I46" s="153" t="s">
        <v>3040</v>
      </c>
      <c r="J46" s="819">
        <v>58977050</v>
      </c>
      <c r="L46" s="819">
        <v>150589290</v>
      </c>
      <c r="N46" s="819">
        <v>209566340</v>
      </c>
    </row>
    <row r="47" spans="1:14" x14ac:dyDescent="0.3">
      <c r="A47" s="1040" t="s">
        <v>2025</v>
      </c>
      <c r="B47" s="976">
        <v>158344000</v>
      </c>
      <c r="C47" s="976">
        <v>26623980</v>
      </c>
      <c r="D47" s="976">
        <v>24706870</v>
      </c>
      <c r="E47" s="976"/>
      <c r="F47" s="976">
        <v>209674850</v>
      </c>
      <c r="I47" s="153" t="s">
        <v>2025</v>
      </c>
      <c r="J47" s="819">
        <v>158344000</v>
      </c>
      <c r="K47" s="819">
        <v>26623980</v>
      </c>
      <c r="L47" s="819">
        <v>24706870</v>
      </c>
      <c r="N47" s="819">
        <v>209674850</v>
      </c>
    </row>
    <row r="48" spans="1:14" x14ac:dyDescent="0.3">
      <c r="A48" s="1040" t="s">
        <v>3041</v>
      </c>
      <c r="B48" s="976">
        <v>685702160</v>
      </c>
      <c r="C48" s="976"/>
      <c r="D48" s="976">
        <v>90091230</v>
      </c>
      <c r="E48" s="976">
        <v>341770680</v>
      </c>
      <c r="F48" s="976">
        <v>1117564070</v>
      </c>
      <c r="I48" s="153" t="s">
        <v>3041</v>
      </c>
      <c r="J48" s="819">
        <v>685702160</v>
      </c>
      <c r="L48" s="819">
        <v>90091230</v>
      </c>
      <c r="M48" s="819">
        <v>341770680</v>
      </c>
      <c r="N48" s="819">
        <v>1117564070</v>
      </c>
    </row>
    <row r="49" spans="1:14" x14ac:dyDescent="0.3">
      <c r="A49" s="1040" t="s">
        <v>2024</v>
      </c>
      <c r="B49" s="976">
        <v>36815240</v>
      </c>
      <c r="C49" s="976"/>
      <c r="D49" s="976"/>
      <c r="E49" s="976"/>
      <c r="F49" s="976">
        <v>36815240</v>
      </c>
      <c r="I49" s="153" t="s">
        <v>2024</v>
      </c>
      <c r="J49" s="819">
        <v>36815240</v>
      </c>
      <c r="N49" s="819">
        <v>36815240</v>
      </c>
    </row>
    <row r="50" spans="1:14" x14ac:dyDescent="0.3">
      <c r="A50" s="1040" t="s">
        <v>3042</v>
      </c>
      <c r="B50" s="976">
        <v>419942890</v>
      </c>
      <c r="C50" s="976"/>
      <c r="D50" s="976">
        <v>166635770</v>
      </c>
      <c r="E50" s="976">
        <v>23489660</v>
      </c>
      <c r="F50" s="976">
        <v>610068320</v>
      </c>
      <c r="I50" s="153" t="s">
        <v>3042</v>
      </c>
      <c r="J50" s="819">
        <v>419942890</v>
      </c>
      <c r="L50" s="819">
        <v>166635770</v>
      </c>
      <c r="M50" s="819">
        <v>23489660</v>
      </c>
      <c r="N50" s="819">
        <v>610068320</v>
      </c>
    </row>
    <row r="51" spans="1:14" x14ac:dyDescent="0.3">
      <c r="A51" s="1040" t="s">
        <v>3038</v>
      </c>
      <c r="B51" s="976">
        <v>1372460860</v>
      </c>
      <c r="C51" s="976">
        <v>26623980</v>
      </c>
      <c r="D51" s="976">
        <v>505381710</v>
      </c>
      <c r="E51" s="976">
        <v>370612960</v>
      </c>
      <c r="F51" s="976">
        <v>2275079510</v>
      </c>
      <c r="I51" s="153" t="s">
        <v>3038</v>
      </c>
      <c r="J51" s="819">
        <v>1372460860</v>
      </c>
      <c r="K51" s="819">
        <v>26623980</v>
      </c>
      <c r="L51" s="819">
        <v>505381710</v>
      </c>
      <c r="M51" s="819">
        <v>370612960</v>
      </c>
      <c r="N51" s="819">
        <v>2275079510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49"/>
  <sheetViews>
    <sheetView topLeftCell="A16" zoomScale="70" zoomScaleNormal="70" workbookViewId="0">
      <selection activeCell="E14" sqref="E14:E17"/>
    </sheetView>
  </sheetViews>
  <sheetFormatPr defaultColWidth="9" defaultRowHeight="16.5" x14ac:dyDescent="0.3"/>
  <cols>
    <col min="1" max="1" width="3.5" style="940" customWidth="1"/>
    <col min="2" max="2" width="14.25" style="940" customWidth="1"/>
    <col min="3" max="3" width="13.125" style="940" customWidth="1"/>
    <col min="4" max="7" width="10.625" style="940" customWidth="1"/>
    <col min="8" max="8" width="11.5" style="940" bestFit="1" customWidth="1"/>
    <col min="9" max="10" width="9" style="940"/>
    <col min="11" max="11" width="10.875" style="940" bestFit="1" customWidth="1"/>
    <col min="12" max="12" width="9.75" style="940" bestFit="1" customWidth="1"/>
    <col min="13" max="13" width="11.5" style="940" bestFit="1" customWidth="1"/>
    <col min="14" max="14" width="9.125" style="940" bestFit="1" customWidth="1"/>
    <col min="15" max="15" width="9.625" style="940" bestFit="1" customWidth="1"/>
    <col min="16" max="16" width="11" style="940" bestFit="1" customWidth="1"/>
    <col min="17" max="17" width="9.625" style="940" bestFit="1" customWidth="1"/>
    <col min="18" max="18" width="11.625" style="940" bestFit="1" customWidth="1"/>
    <col min="19" max="21" width="9" style="940"/>
    <col min="22" max="22" width="11.625" style="940" bestFit="1" customWidth="1"/>
    <col min="23" max="23" width="10.5" style="940" bestFit="1" customWidth="1"/>
    <col min="24" max="24" width="9.25" style="940" bestFit="1" customWidth="1"/>
    <col min="25" max="25" width="9.125" style="940" bestFit="1" customWidth="1"/>
    <col min="26" max="26" width="9.75" style="940" bestFit="1" customWidth="1"/>
    <col min="27" max="27" width="11.625" style="940" bestFit="1" customWidth="1"/>
    <col min="28" max="16384" width="9" style="940"/>
  </cols>
  <sheetData>
    <row r="1" spans="1:8" s="939" customFormat="1" x14ac:dyDescent="0.3">
      <c r="A1" s="938" t="s">
        <v>2716</v>
      </c>
    </row>
    <row r="3" spans="1:8" x14ac:dyDescent="0.3">
      <c r="B3" s="888" t="s">
        <v>2728</v>
      </c>
      <c r="C3" s="937"/>
      <c r="D3" s="937"/>
      <c r="E3" s="937"/>
    </row>
    <row r="4" spans="1:8" x14ac:dyDescent="0.3">
      <c r="B4" s="937" t="s">
        <v>2718</v>
      </c>
      <c r="C4" s="937"/>
      <c r="D4" s="937"/>
    </row>
    <row r="5" spans="1:8" ht="15.6" customHeight="1" x14ac:dyDescent="0.3">
      <c r="B5" s="941" t="s">
        <v>2721</v>
      </c>
      <c r="C5" s="941" t="s">
        <v>2722</v>
      </c>
      <c r="D5" s="941" t="s">
        <v>2723</v>
      </c>
      <c r="H5" s="942"/>
    </row>
    <row r="6" spans="1:8" ht="15.6" customHeight="1" x14ac:dyDescent="0.3">
      <c r="B6" s="941" t="s">
        <v>2692</v>
      </c>
      <c r="C6" s="943" t="s">
        <v>2720</v>
      </c>
      <c r="D6" s="943" t="s">
        <v>2724</v>
      </c>
      <c r="H6" s="942"/>
    </row>
    <row r="7" spans="1:8" ht="15.6" customHeight="1" x14ac:dyDescent="0.3">
      <c r="B7" s="941" t="s">
        <v>2719</v>
      </c>
      <c r="C7" s="943" t="s">
        <v>2720</v>
      </c>
      <c r="D7" s="943" t="s">
        <v>2726</v>
      </c>
      <c r="H7" s="942"/>
    </row>
    <row r="8" spans="1:8" ht="15.6" customHeight="1" x14ac:dyDescent="0.3">
      <c r="B8" s="941" t="s">
        <v>2693</v>
      </c>
      <c r="C8" s="943" t="s">
        <v>2725</v>
      </c>
      <c r="D8" s="943" t="s">
        <v>2726</v>
      </c>
      <c r="H8" s="942"/>
    </row>
    <row r="9" spans="1:8" ht="15.6" customHeight="1" x14ac:dyDescent="0.3">
      <c r="B9" s="941" t="s">
        <v>2694</v>
      </c>
      <c r="C9" s="943" t="s">
        <v>2727</v>
      </c>
      <c r="D9" s="943" t="s">
        <v>2726</v>
      </c>
      <c r="H9" s="942"/>
    </row>
    <row r="10" spans="1:8" ht="15.6" customHeight="1" x14ac:dyDescent="0.3">
      <c r="B10" s="941" t="s">
        <v>2697</v>
      </c>
      <c r="C10" s="943" t="s">
        <v>2727</v>
      </c>
      <c r="D10" s="943" t="s">
        <v>2724</v>
      </c>
      <c r="H10" s="942"/>
    </row>
    <row r="11" spans="1:8" ht="15.6" customHeight="1" x14ac:dyDescent="0.3">
      <c r="B11" s="941" t="s">
        <v>2695</v>
      </c>
      <c r="C11" s="943" t="s">
        <v>2727</v>
      </c>
      <c r="D11" s="943" t="s">
        <v>2724</v>
      </c>
      <c r="H11" s="942"/>
    </row>
    <row r="12" spans="1:8" ht="15.6" customHeight="1" x14ac:dyDescent="0.3">
      <c r="B12" s="941" t="s">
        <v>2704</v>
      </c>
      <c r="C12" s="943" t="s">
        <v>2727</v>
      </c>
      <c r="D12" s="943" t="s">
        <v>2724</v>
      </c>
      <c r="H12" s="942"/>
    </row>
    <row r="13" spans="1:8" ht="15.6" customHeight="1" x14ac:dyDescent="0.3">
      <c r="B13" s="937"/>
      <c r="C13" s="937"/>
      <c r="D13" s="937"/>
    </row>
    <row r="14" spans="1:8" ht="15.6" customHeight="1" x14ac:dyDescent="0.3">
      <c r="B14" s="937" t="s">
        <v>2718</v>
      </c>
      <c r="C14" s="937"/>
      <c r="D14" s="937"/>
    </row>
    <row r="15" spans="1:8" ht="15.6" customHeight="1" x14ac:dyDescent="0.3">
      <c r="B15" s="941" t="s">
        <v>2721</v>
      </c>
      <c r="C15" s="941" t="s">
        <v>2722</v>
      </c>
      <c r="D15" s="941" t="s">
        <v>2723</v>
      </c>
    </row>
    <row r="16" spans="1:8" ht="15.6" customHeight="1" x14ac:dyDescent="0.3">
      <c r="B16" s="941" t="s">
        <v>2700</v>
      </c>
      <c r="C16" s="943" t="s">
        <v>2729</v>
      </c>
      <c r="D16" s="943" t="s">
        <v>2724</v>
      </c>
    </row>
    <row r="17" spans="2:27" ht="15.6" customHeight="1" x14ac:dyDescent="0.3">
      <c r="B17" s="941" t="s">
        <v>2702</v>
      </c>
      <c r="C17" s="943" t="s">
        <v>2727</v>
      </c>
      <c r="D17" s="943" t="s">
        <v>2726</v>
      </c>
    </row>
    <row r="20" spans="2:27" x14ac:dyDescent="0.3">
      <c r="B20" s="888" t="s">
        <v>2730</v>
      </c>
    </row>
    <row r="21" spans="2:27" x14ac:dyDescent="0.3">
      <c r="B21" s="937"/>
    </row>
    <row r="22" spans="2:27" x14ac:dyDescent="0.3">
      <c r="B22" s="888" t="s">
        <v>2731</v>
      </c>
      <c r="L22" s="888" t="s">
        <v>2732</v>
      </c>
      <c r="U22" s="888" t="s">
        <v>2737</v>
      </c>
    </row>
    <row r="23" spans="2:27" x14ac:dyDescent="0.3">
      <c r="B23" s="940" t="s">
        <v>2738</v>
      </c>
      <c r="L23" s="940" t="s">
        <v>2738</v>
      </c>
      <c r="U23" s="940" t="s">
        <v>2738</v>
      </c>
    </row>
    <row r="24" spans="2:27" x14ac:dyDescent="0.3">
      <c r="H24" s="940" t="s">
        <v>2734</v>
      </c>
      <c r="R24" s="940" t="s">
        <v>2734</v>
      </c>
      <c r="AA24" s="940" t="s">
        <v>2734</v>
      </c>
    </row>
    <row r="25" spans="2:27" s="953" customFormat="1" ht="16.5" customHeight="1" x14ac:dyDescent="0.3">
      <c r="B25" s="933" t="s">
        <v>2706</v>
      </c>
      <c r="C25" s="933" t="s">
        <v>2707</v>
      </c>
      <c r="D25" s="933" t="s">
        <v>1245</v>
      </c>
      <c r="E25" s="933" t="s">
        <v>2708</v>
      </c>
      <c r="F25" s="933" t="s">
        <v>1977</v>
      </c>
      <c r="G25" s="933" t="s">
        <v>1252</v>
      </c>
      <c r="H25" s="933" t="s">
        <v>2709</v>
      </c>
      <c r="L25" s="954" t="s">
        <v>2706</v>
      </c>
      <c r="M25" s="954" t="s">
        <v>2707</v>
      </c>
      <c r="N25" s="954" t="s">
        <v>1245</v>
      </c>
      <c r="O25" s="954" t="s">
        <v>2708</v>
      </c>
      <c r="P25" s="954" t="s">
        <v>1977</v>
      </c>
      <c r="Q25" s="954" t="s">
        <v>1252</v>
      </c>
      <c r="R25" s="954" t="s">
        <v>2709</v>
      </c>
      <c r="U25" s="954" t="s">
        <v>2706</v>
      </c>
      <c r="V25" s="954" t="s">
        <v>2707</v>
      </c>
      <c r="W25" s="954" t="s">
        <v>1245</v>
      </c>
      <c r="X25" s="954" t="s">
        <v>2708</v>
      </c>
      <c r="Y25" s="954" t="s">
        <v>1977</v>
      </c>
      <c r="Z25" s="954" t="s">
        <v>1252</v>
      </c>
      <c r="AA25" s="954" t="s">
        <v>2709</v>
      </c>
    </row>
    <row r="26" spans="2:27" x14ac:dyDescent="0.3">
      <c r="B26" s="935" t="s">
        <v>1968</v>
      </c>
      <c r="C26" s="955">
        <v>8296731</v>
      </c>
      <c r="D26" s="955">
        <v>219437</v>
      </c>
      <c r="E26" s="955" t="s">
        <v>1244</v>
      </c>
      <c r="F26" s="955" t="s">
        <v>1244</v>
      </c>
      <c r="G26" s="955" t="s">
        <v>1244</v>
      </c>
      <c r="H26" s="955">
        <v>8516168</v>
      </c>
      <c r="L26" s="935" t="s">
        <v>1968</v>
      </c>
      <c r="M26" s="955">
        <v>8134547</v>
      </c>
      <c r="N26" s="955">
        <v>162184</v>
      </c>
      <c r="O26" s="955" t="s">
        <v>1244</v>
      </c>
      <c r="P26" s="955" t="s">
        <v>1244</v>
      </c>
      <c r="Q26" s="955" t="s">
        <v>1244</v>
      </c>
      <c r="R26" s="955">
        <v>8296731</v>
      </c>
      <c r="U26" s="935" t="s">
        <v>1968</v>
      </c>
      <c r="V26" s="955">
        <v>5647387</v>
      </c>
      <c r="W26" s="955">
        <v>2487160</v>
      </c>
      <c r="X26" s="955" t="s">
        <v>1244</v>
      </c>
      <c r="Y26" s="955" t="s">
        <v>1244</v>
      </c>
      <c r="Z26" s="955" t="s">
        <v>1244</v>
      </c>
      <c r="AA26" s="959">
        <v>8134547</v>
      </c>
    </row>
    <row r="27" spans="2:27" x14ac:dyDescent="0.3">
      <c r="B27" s="935" t="s">
        <v>1969</v>
      </c>
      <c r="C27" s="955">
        <v>6576821</v>
      </c>
      <c r="D27" s="955">
        <v>40594</v>
      </c>
      <c r="E27" s="955" t="s">
        <v>1244</v>
      </c>
      <c r="F27" s="955">
        <v>1524412</v>
      </c>
      <c r="G27" s="955">
        <v>-220263</v>
      </c>
      <c r="H27" s="955">
        <v>7921564</v>
      </c>
      <c r="L27" s="935" t="s">
        <v>1969</v>
      </c>
      <c r="M27" s="955">
        <v>6510636</v>
      </c>
      <c r="N27" s="955">
        <v>9889</v>
      </c>
      <c r="O27" s="955">
        <v>-41759</v>
      </c>
      <c r="P27" s="955">
        <v>299515</v>
      </c>
      <c r="Q27" s="955">
        <v>-201460</v>
      </c>
      <c r="R27" s="955">
        <v>6576821</v>
      </c>
      <c r="U27" s="935" t="s">
        <v>1969</v>
      </c>
      <c r="V27" s="955">
        <v>6537870</v>
      </c>
      <c r="W27" s="955">
        <v>177557</v>
      </c>
      <c r="X27" s="955">
        <v>-7583</v>
      </c>
      <c r="Y27" s="955" t="s">
        <v>1244</v>
      </c>
      <c r="Z27" s="955">
        <v>-197209</v>
      </c>
      <c r="AA27" s="959">
        <v>6510636</v>
      </c>
    </row>
    <row r="28" spans="2:27" ht="16.5" customHeight="1" x14ac:dyDescent="0.3">
      <c r="B28" s="935" t="s">
        <v>1970</v>
      </c>
      <c r="C28" s="955">
        <v>300197</v>
      </c>
      <c r="D28" s="955" t="s">
        <v>1244</v>
      </c>
      <c r="E28" s="955" t="s">
        <v>1244</v>
      </c>
      <c r="F28" s="955" t="s">
        <v>1244</v>
      </c>
      <c r="G28" s="955">
        <v>-9589</v>
      </c>
      <c r="H28" s="955">
        <v>290608</v>
      </c>
      <c r="L28" s="935" t="s">
        <v>1970</v>
      </c>
      <c r="M28" s="955">
        <v>275441</v>
      </c>
      <c r="N28" s="955">
        <v>1800</v>
      </c>
      <c r="O28" s="955" t="s">
        <v>1244</v>
      </c>
      <c r="P28" s="955">
        <v>32052</v>
      </c>
      <c r="Q28" s="955">
        <v>-9096</v>
      </c>
      <c r="R28" s="955">
        <v>300197</v>
      </c>
      <c r="U28" s="935" t="s">
        <v>1970</v>
      </c>
      <c r="V28" s="955">
        <v>284183</v>
      </c>
      <c r="W28" s="955">
        <v>0</v>
      </c>
      <c r="X28" s="955" t="s">
        <v>1244</v>
      </c>
      <c r="Y28" s="955" t="s">
        <v>1244</v>
      </c>
      <c r="Z28" s="955">
        <v>-8742</v>
      </c>
      <c r="AA28" s="959">
        <v>275441</v>
      </c>
    </row>
    <row r="29" spans="2:27" x14ac:dyDescent="0.3">
      <c r="B29" s="935" t="s">
        <v>1971</v>
      </c>
      <c r="C29" s="955">
        <v>1056890</v>
      </c>
      <c r="D29" s="955">
        <v>918335</v>
      </c>
      <c r="E29" s="955" t="s">
        <v>1244</v>
      </c>
      <c r="F29" s="955" t="s">
        <v>1244</v>
      </c>
      <c r="G29" s="955">
        <v>-365763</v>
      </c>
      <c r="H29" s="955">
        <v>1609462</v>
      </c>
      <c r="L29" s="935" t="s">
        <v>1971</v>
      </c>
      <c r="M29" s="955">
        <v>1347541</v>
      </c>
      <c r="N29" s="955">
        <v>65957</v>
      </c>
      <c r="O29" s="955">
        <v>-3</v>
      </c>
      <c r="P29" s="955" t="s">
        <v>1244</v>
      </c>
      <c r="Q29" s="955">
        <v>-356605</v>
      </c>
      <c r="R29" s="955">
        <v>1056890</v>
      </c>
      <c r="U29" s="935" t="s">
        <v>1971</v>
      </c>
      <c r="V29" s="955">
        <v>1313540</v>
      </c>
      <c r="W29" s="955">
        <v>423325</v>
      </c>
      <c r="X29" s="955" t="s">
        <v>1244</v>
      </c>
      <c r="Y29" s="955" t="s">
        <v>1244</v>
      </c>
      <c r="Z29" s="955">
        <v>-389324</v>
      </c>
      <c r="AA29" s="959">
        <v>1347541</v>
      </c>
    </row>
    <row r="30" spans="2:27" ht="27" x14ac:dyDescent="0.3">
      <c r="B30" s="935" t="s">
        <v>1986</v>
      </c>
      <c r="C30" s="955">
        <v>185184</v>
      </c>
      <c r="D30" s="955">
        <v>425988</v>
      </c>
      <c r="E30" s="955">
        <v>-233816</v>
      </c>
      <c r="F30" s="955" t="s">
        <v>1244</v>
      </c>
      <c r="G30" s="955">
        <v>-144322</v>
      </c>
      <c r="H30" s="955">
        <v>233034</v>
      </c>
      <c r="L30" s="935" t="s">
        <v>1986</v>
      </c>
      <c r="M30" s="955">
        <v>120647</v>
      </c>
      <c r="N30" s="955">
        <v>395909</v>
      </c>
      <c r="O30" s="955">
        <v>-223658</v>
      </c>
      <c r="P30" s="955" t="s">
        <v>1244</v>
      </c>
      <c r="Q30" s="955">
        <v>-107714</v>
      </c>
      <c r="R30" s="955">
        <v>185184</v>
      </c>
      <c r="U30" s="935" t="s">
        <v>1986</v>
      </c>
      <c r="V30" s="955">
        <v>62644</v>
      </c>
      <c r="W30" s="955">
        <v>140305</v>
      </c>
      <c r="X30" s="955">
        <v>-3414</v>
      </c>
      <c r="Y30" s="955" t="s">
        <v>1244</v>
      </c>
      <c r="Z30" s="955">
        <v>-78888</v>
      </c>
      <c r="AA30" s="959">
        <v>120647</v>
      </c>
    </row>
    <row r="31" spans="2:27" x14ac:dyDescent="0.3">
      <c r="B31" s="935" t="s">
        <v>1973</v>
      </c>
      <c r="C31" s="955">
        <v>26873</v>
      </c>
      <c r="D31" s="955">
        <v>7300</v>
      </c>
      <c r="E31" s="955">
        <v>-10</v>
      </c>
      <c r="F31" s="955" t="s">
        <v>1244</v>
      </c>
      <c r="G31" s="955">
        <v>-15330</v>
      </c>
      <c r="H31" s="955">
        <v>18833</v>
      </c>
      <c r="L31" s="935" t="s">
        <v>1973</v>
      </c>
      <c r="M31" s="955">
        <v>38935</v>
      </c>
      <c r="N31" s="955">
        <v>6760</v>
      </c>
      <c r="O31" s="955" t="s">
        <v>1244</v>
      </c>
      <c r="P31" s="955" t="s">
        <v>1244</v>
      </c>
      <c r="Q31" s="955">
        <v>-18822</v>
      </c>
      <c r="R31" s="955">
        <v>26873</v>
      </c>
      <c r="U31" s="935" t="s">
        <v>1973</v>
      </c>
      <c r="V31" s="955">
        <v>61920</v>
      </c>
      <c r="W31" s="955">
        <v>7602</v>
      </c>
      <c r="X31" s="955" t="s">
        <v>1244</v>
      </c>
      <c r="Y31" s="955" t="s">
        <v>1244</v>
      </c>
      <c r="Z31" s="955">
        <v>-30587</v>
      </c>
      <c r="AA31" s="959">
        <v>38935</v>
      </c>
    </row>
    <row r="32" spans="2:27" x14ac:dyDescent="0.3">
      <c r="B32" s="935" t="s">
        <v>1987</v>
      </c>
      <c r="C32" s="955">
        <v>33479</v>
      </c>
      <c r="D32" s="955">
        <v>10130</v>
      </c>
      <c r="E32" s="955" t="s">
        <v>1244</v>
      </c>
      <c r="F32" s="955" t="s">
        <v>1244</v>
      </c>
      <c r="G32" s="955">
        <v>-18662</v>
      </c>
      <c r="H32" s="955">
        <v>24947</v>
      </c>
      <c r="L32" s="935" t="s">
        <v>1987</v>
      </c>
      <c r="M32" s="955">
        <v>19078</v>
      </c>
      <c r="N32" s="955">
        <v>36495</v>
      </c>
      <c r="O32" s="955">
        <v>-1</v>
      </c>
      <c r="P32" s="955" t="s">
        <v>1244</v>
      </c>
      <c r="Q32" s="955">
        <v>-22093</v>
      </c>
      <c r="R32" s="955">
        <v>33479</v>
      </c>
      <c r="U32" s="935" t="s">
        <v>1987</v>
      </c>
      <c r="V32" s="955">
        <v>16695</v>
      </c>
      <c r="W32" s="955">
        <v>13636</v>
      </c>
      <c r="X32" s="955">
        <v>-1</v>
      </c>
      <c r="Y32" s="955" t="s">
        <v>1244</v>
      </c>
      <c r="Z32" s="955">
        <v>-11252</v>
      </c>
      <c r="AA32" s="959">
        <v>19078</v>
      </c>
    </row>
    <row r="33" spans="2:27" ht="27" x14ac:dyDescent="0.3">
      <c r="B33" s="935" t="s">
        <v>2703</v>
      </c>
      <c r="C33" s="955">
        <v>239781</v>
      </c>
      <c r="D33" s="955">
        <v>1284631</v>
      </c>
      <c r="E33" s="955" t="s">
        <v>1244</v>
      </c>
      <c r="F33" s="955">
        <v>-1524412</v>
      </c>
      <c r="G33" s="955" t="s">
        <v>1244</v>
      </c>
      <c r="H33" s="955" t="s">
        <v>1244</v>
      </c>
      <c r="L33" s="935" t="s">
        <v>2703</v>
      </c>
      <c r="M33" s="955">
        <v>375159</v>
      </c>
      <c r="N33" s="955">
        <v>196189</v>
      </c>
      <c r="O33" s="955" t="s">
        <v>1244</v>
      </c>
      <c r="P33" s="955">
        <v>-331567</v>
      </c>
      <c r="Q33" s="955" t="s">
        <v>1244</v>
      </c>
      <c r="R33" s="955">
        <v>239781</v>
      </c>
      <c r="U33" s="935" t="s">
        <v>2703</v>
      </c>
      <c r="V33" s="955">
        <v>239780</v>
      </c>
      <c r="W33" s="955">
        <v>135379</v>
      </c>
      <c r="X33" s="955" t="s">
        <v>1244</v>
      </c>
      <c r="Y33" s="955" t="s">
        <v>1244</v>
      </c>
      <c r="Z33" s="955" t="s">
        <v>1244</v>
      </c>
      <c r="AA33" s="959">
        <v>375159</v>
      </c>
    </row>
    <row r="34" spans="2:27" x14ac:dyDescent="0.3">
      <c r="B34" s="936" t="s">
        <v>1991</v>
      </c>
      <c r="C34" s="955">
        <v>16715956</v>
      </c>
      <c r="D34" s="955">
        <v>2906415</v>
      </c>
      <c r="E34" s="955">
        <v>-233826</v>
      </c>
      <c r="F34" s="955" t="s">
        <v>1244</v>
      </c>
      <c r="G34" s="955">
        <v>-773929</v>
      </c>
      <c r="H34" s="955">
        <v>18614616</v>
      </c>
      <c r="L34" s="936" t="s">
        <v>1991</v>
      </c>
      <c r="M34" s="955">
        <v>16821984</v>
      </c>
      <c r="N34" s="955">
        <v>875183</v>
      </c>
      <c r="O34" s="955">
        <v>-265421</v>
      </c>
      <c r="P34" s="955" t="s">
        <v>1244</v>
      </c>
      <c r="Q34" s="955">
        <v>-715790</v>
      </c>
      <c r="R34" s="955">
        <v>16715956</v>
      </c>
      <c r="U34" s="936" t="s">
        <v>1991</v>
      </c>
      <c r="V34" s="957">
        <v>14164019</v>
      </c>
      <c r="W34" s="957">
        <v>3384964</v>
      </c>
      <c r="X34" s="957">
        <v>-10998</v>
      </c>
      <c r="Y34" s="957" t="s">
        <v>1244</v>
      </c>
      <c r="Z34" s="957">
        <v>-716002</v>
      </c>
      <c r="AA34" s="958">
        <v>16821984</v>
      </c>
    </row>
    <row r="35" spans="2:27" x14ac:dyDescent="0.3">
      <c r="L35" s="949"/>
      <c r="M35" s="950"/>
      <c r="N35" s="950"/>
      <c r="O35" s="950"/>
      <c r="P35" s="951"/>
      <c r="Q35" s="950"/>
      <c r="R35" s="950"/>
    </row>
    <row r="36" spans="2:27" x14ac:dyDescent="0.3">
      <c r="B36" s="940" t="s">
        <v>2717</v>
      </c>
      <c r="L36" s="940" t="s">
        <v>2733</v>
      </c>
    </row>
    <row r="38" spans="2:27" x14ac:dyDescent="0.3">
      <c r="B38" s="940" t="s">
        <v>2735</v>
      </c>
      <c r="H38" s="940" t="s">
        <v>2734</v>
      </c>
      <c r="L38" s="940" t="s">
        <v>2735</v>
      </c>
      <c r="R38" s="940" t="s">
        <v>2734</v>
      </c>
      <c r="U38" s="940" t="s">
        <v>2735</v>
      </c>
      <c r="AA38" s="940" t="s">
        <v>2734</v>
      </c>
    </row>
    <row r="39" spans="2:27" x14ac:dyDescent="0.3">
      <c r="B39" s="1923" t="s">
        <v>1967</v>
      </c>
      <c r="C39" s="1925" t="s">
        <v>2710</v>
      </c>
      <c r="D39" s="1926"/>
      <c r="E39" s="1927"/>
      <c r="F39" s="1925" t="s">
        <v>2711</v>
      </c>
      <c r="G39" s="1926"/>
      <c r="H39" s="1928"/>
      <c r="L39" s="1929"/>
      <c r="M39" s="1930"/>
      <c r="N39" s="1930"/>
      <c r="O39" s="1930"/>
      <c r="P39" s="1930"/>
      <c r="Q39" s="1930"/>
      <c r="R39" s="1931"/>
      <c r="U39" s="1929"/>
      <c r="V39" s="1930"/>
      <c r="W39" s="1930"/>
      <c r="X39" s="1930"/>
      <c r="Y39" s="1930"/>
      <c r="Z39" s="1930"/>
      <c r="AA39" s="1931"/>
    </row>
    <row r="40" spans="2:27" x14ac:dyDescent="0.3">
      <c r="B40" s="1924"/>
      <c r="C40" s="933" t="s">
        <v>2712</v>
      </c>
      <c r="D40" s="933" t="s">
        <v>2713</v>
      </c>
      <c r="E40" s="933" t="s">
        <v>2714</v>
      </c>
      <c r="F40" s="933" t="s">
        <v>2712</v>
      </c>
      <c r="G40" s="933" t="s">
        <v>2713</v>
      </c>
      <c r="H40" s="934" t="s">
        <v>2714</v>
      </c>
      <c r="L40" s="1932" t="s">
        <v>1967</v>
      </c>
      <c r="M40" s="1933" t="s">
        <v>2710</v>
      </c>
      <c r="N40" s="1934"/>
      <c r="O40" s="1935"/>
      <c r="P40" s="1933" t="s">
        <v>2711</v>
      </c>
      <c r="Q40" s="1934"/>
      <c r="R40" s="1936"/>
      <c r="U40" s="1932" t="s">
        <v>1967</v>
      </c>
      <c r="V40" s="1933" t="s">
        <v>2710</v>
      </c>
      <c r="W40" s="1934"/>
      <c r="X40" s="1935"/>
      <c r="Y40" s="1933" t="s">
        <v>2711</v>
      </c>
      <c r="Z40" s="1934"/>
      <c r="AA40" s="1936"/>
    </row>
    <row r="41" spans="2:27" ht="27" x14ac:dyDescent="0.3">
      <c r="B41" s="935" t="s">
        <v>2701</v>
      </c>
      <c r="C41" s="956">
        <v>265425</v>
      </c>
      <c r="D41" s="956">
        <v>-107917</v>
      </c>
      <c r="E41" s="956">
        <v>157508</v>
      </c>
      <c r="F41" s="956">
        <v>199037</v>
      </c>
      <c r="G41" s="956">
        <v>-70402</v>
      </c>
      <c r="H41" s="956">
        <v>128635</v>
      </c>
      <c r="L41" s="1924"/>
      <c r="M41" s="933" t="s">
        <v>2712</v>
      </c>
      <c r="N41" s="933" t="s">
        <v>2713</v>
      </c>
      <c r="O41" s="933" t="s">
        <v>2714</v>
      </c>
      <c r="P41" s="933" t="s">
        <v>2712</v>
      </c>
      <c r="Q41" s="933" t="s">
        <v>2713</v>
      </c>
      <c r="R41" s="934" t="s">
        <v>2714</v>
      </c>
      <c r="U41" s="1924"/>
      <c r="V41" s="933" t="s">
        <v>2712</v>
      </c>
      <c r="W41" s="933" t="s">
        <v>2713</v>
      </c>
      <c r="X41" s="933" t="s">
        <v>2714</v>
      </c>
      <c r="Y41" s="933" t="s">
        <v>2712</v>
      </c>
      <c r="Z41" s="933" t="s">
        <v>2713</v>
      </c>
      <c r="AA41" s="934" t="s">
        <v>2714</v>
      </c>
    </row>
    <row r="42" spans="2:27" ht="27" x14ac:dyDescent="0.3">
      <c r="B42" s="935" t="s">
        <v>2601</v>
      </c>
      <c r="C42" s="956">
        <v>1450000</v>
      </c>
      <c r="D42" s="956">
        <v>-154425</v>
      </c>
      <c r="E42" s="956">
        <v>1295575</v>
      </c>
      <c r="F42" s="956" t="s">
        <v>1244</v>
      </c>
      <c r="G42" s="956" t="s">
        <v>1244</v>
      </c>
      <c r="H42" s="956" t="s">
        <v>1244</v>
      </c>
      <c r="L42" s="936" t="s">
        <v>2701</v>
      </c>
      <c r="M42" s="957">
        <v>199037</v>
      </c>
      <c r="N42" s="957">
        <v>-70402</v>
      </c>
      <c r="O42" s="957">
        <v>128635</v>
      </c>
      <c r="P42" s="957">
        <v>69537</v>
      </c>
      <c r="Q42" s="957">
        <v>-39378</v>
      </c>
      <c r="R42" s="958">
        <v>30159</v>
      </c>
      <c r="U42" s="936" t="s">
        <v>2701</v>
      </c>
      <c r="V42" s="957">
        <v>69537</v>
      </c>
      <c r="W42" s="957">
        <v>-39378</v>
      </c>
      <c r="X42" s="957">
        <v>30159</v>
      </c>
      <c r="Y42" s="957">
        <v>45487</v>
      </c>
      <c r="Z42" s="957">
        <v>-28848</v>
      </c>
      <c r="AA42" s="958">
        <v>16639</v>
      </c>
    </row>
    <row r="43" spans="2:27" x14ac:dyDescent="0.3">
      <c r="B43" s="936" t="s">
        <v>1991</v>
      </c>
      <c r="C43" s="956">
        <v>1715425</v>
      </c>
      <c r="D43" s="956">
        <v>-262342</v>
      </c>
      <c r="E43" s="956">
        <v>1453083</v>
      </c>
      <c r="F43" s="956">
        <v>199037</v>
      </c>
      <c r="G43" s="956">
        <v>-70402</v>
      </c>
      <c r="H43" s="956">
        <v>128635</v>
      </c>
    </row>
    <row r="45" spans="2:27" x14ac:dyDescent="0.3">
      <c r="B45" s="940" t="s">
        <v>2736</v>
      </c>
      <c r="H45" s="940" t="s">
        <v>2734</v>
      </c>
      <c r="L45" s="940" t="s">
        <v>2736</v>
      </c>
      <c r="R45" s="940" t="s">
        <v>2734</v>
      </c>
      <c r="U45" s="940" t="s">
        <v>2736</v>
      </c>
      <c r="AA45" s="940" t="s">
        <v>2734</v>
      </c>
    </row>
    <row r="46" spans="2:27" x14ac:dyDescent="0.3">
      <c r="B46" s="944" t="s">
        <v>2706</v>
      </c>
      <c r="C46" s="945" t="s">
        <v>2707</v>
      </c>
      <c r="D46" s="945" t="s">
        <v>1245</v>
      </c>
      <c r="E46" s="945" t="s">
        <v>2708</v>
      </c>
      <c r="F46" s="945" t="s">
        <v>1977</v>
      </c>
      <c r="G46" s="945" t="s">
        <v>2715</v>
      </c>
      <c r="H46" s="946" t="s">
        <v>2709</v>
      </c>
      <c r="L46" s="1929" t="s">
        <v>2705</v>
      </c>
      <c r="M46" s="1930"/>
      <c r="N46" s="1930"/>
      <c r="O46" s="1930"/>
      <c r="P46" s="1930"/>
      <c r="Q46" s="1930"/>
      <c r="R46" s="1931"/>
      <c r="U46" s="1929" t="s">
        <v>2705</v>
      </c>
      <c r="V46" s="1930"/>
      <c r="W46" s="1930"/>
      <c r="X46" s="1930"/>
      <c r="Y46" s="1930"/>
      <c r="Z46" s="1930"/>
      <c r="AA46" s="1931"/>
    </row>
    <row r="47" spans="2:27" x14ac:dyDescent="0.3">
      <c r="B47" s="935" t="s">
        <v>2701</v>
      </c>
      <c r="C47" s="955">
        <v>128635</v>
      </c>
      <c r="D47" s="955">
        <v>66388</v>
      </c>
      <c r="E47" s="955" t="s">
        <v>1244</v>
      </c>
      <c r="F47" s="955" t="s">
        <v>1244</v>
      </c>
      <c r="G47" s="955">
        <v>-37515</v>
      </c>
      <c r="H47" s="955">
        <v>157508</v>
      </c>
      <c r="L47" s="948" t="s">
        <v>2706</v>
      </c>
      <c r="M47" s="933" t="s">
        <v>2707</v>
      </c>
      <c r="N47" s="933" t="s">
        <v>1245</v>
      </c>
      <c r="O47" s="933" t="s">
        <v>2708</v>
      </c>
      <c r="P47" s="933" t="s">
        <v>1977</v>
      </c>
      <c r="Q47" s="933" t="s">
        <v>2715</v>
      </c>
      <c r="R47" s="934" t="s">
        <v>2709</v>
      </c>
      <c r="U47" s="948" t="s">
        <v>2706</v>
      </c>
      <c r="V47" s="933" t="s">
        <v>2707</v>
      </c>
      <c r="W47" s="933" t="s">
        <v>1245</v>
      </c>
      <c r="X47" s="933" t="s">
        <v>2708</v>
      </c>
      <c r="Y47" s="933" t="s">
        <v>1977</v>
      </c>
      <c r="Z47" s="933" t="s">
        <v>2715</v>
      </c>
      <c r="AA47" s="934" t="s">
        <v>2709</v>
      </c>
    </row>
    <row r="48" spans="2:27" ht="27" x14ac:dyDescent="0.3">
      <c r="B48" s="935" t="s">
        <v>2601</v>
      </c>
      <c r="C48" s="955" t="s">
        <v>1244</v>
      </c>
      <c r="D48" s="955">
        <v>1450000</v>
      </c>
      <c r="E48" s="955" t="s">
        <v>1244</v>
      </c>
      <c r="F48" s="955" t="s">
        <v>1244</v>
      </c>
      <c r="G48" s="955">
        <v>-154425</v>
      </c>
      <c r="H48" s="955">
        <v>1295575</v>
      </c>
      <c r="L48" s="952" t="s">
        <v>2701</v>
      </c>
      <c r="M48" s="957">
        <v>30159</v>
      </c>
      <c r="N48" s="957">
        <v>129500</v>
      </c>
      <c r="O48" s="957" t="s">
        <v>1244</v>
      </c>
      <c r="P48" s="957" t="s">
        <v>1244</v>
      </c>
      <c r="Q48" s="957">
        <v>-31024</v>
      </c>
      <c r="R48" s="958">
        <v>128635</v>
      </c>
      <c r="U48" s="952" t="s">
        <v>2701</v>
      </c>
      <c r="V48" s="957">
        <v>16639</v>
      </c>
      <c r="W48" s="957">
        <v>24050</v>
      </c>
      <c r="X48" s="957" t="s">
        <v>1244</v>
      </c>
      <c r="Y48" s="957" t="s">
        <v>2739</v>
      </c>
      <c r="Z48" s="957">
        <v>-10530</v>
      </c>
      <c r="AA48" s="958">
        <v>30159</v>
      </c>
    </row>
    <row r="49" spans="2:8" x14ac:dyDescent="0.3">
      <c r="B49" s="947" t="s">
        <v>1991</v>
      </c>
      <c r="C49" s="955">
        <v>128635</v>
      </c>
      <c r="D49" s="955">
        <v>1516388</v>
      </c>
      <c r="E49" s="955" t="s">
        <v>1244</v>
      </c>
      <c r="F49" s="955" t="s">
        <v>1244</v>
      </c>
      <c r="G49" s="955">
        <v>-191940</v>
      </c>
      <c r="H49" s="955">
        <v>1453083</v>
      </c>
    </row>
  </sheetData>
  <mergeCells count="13">
    <mergeCell ref="L46:R46"/>
    <mergeCell ref="U46:AA46"/>
    <mergeCell ref="U39:AA39"/>
    <mergeCell ref="U40:U41"/>
    <mergeCell ref="V40:X40"/>
    <mergeCell ref="Y40:AA40"/>
    <mergeCell ref="B39:B40"/>
    <mergeCell ref="C39:E39"/>
    <mergeCell ref="F39:H39"/>
    <mergeCell ref="L39:R39"/>
    <mergeCell ref="L40:L41"/>
    <mergeCell ref="M40:O40"/>
    <mergeCell ref="P40:R40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T312"/>
  <sheetViews>
    <sheetView zoomScale="55" zoomScaleNormal="55" workbookViewId="0">
      <pane xSplit="6" ySplit="4" topLeftCell="G5" activePane="bottomRight" state="frozen"/>
      <selection activeCell="E14" sqref="E14:E17"/>
      <selection pane="topRight" activeCell="E14" sqref="E14:E17"/>
      <selection pane="bottomLeft" activeCell="E14" sqref="E14:E17"/>
      <selection pane="bottomRight" activeCell="E14" sqref="E14:E17"/>
    </sheetView>
  </sheetViews>
  <sheetFormatPr defaultColWidth="9" defaultRowHeight="16.5" x14ac:dyDescent="0.3"/>
  <cols>
    <col min="1" max="1" width="4" style="813" customWidth="1"/>
    <col min="2" max="7" width="11.125" style="813" customWidth="1"/>
    <col min="8" max="8" width="13.375" style="813" bestFit="1" customWidth="1"/>
    <col min="9" max="9" width="11.125" style="813" customWidth="1"/>
    <col min="10" max="10" width="13.375" style="813" bestFit="1" customWidth="1"/>
    <col min="11" max="11" width="19.75" style="813" bestFit="1" customWidth="1"/>
    <col min="12" max="12" width="13.375" style="813" bestFit="1" customWidth="1"/>
    <col min="13" max="15" width="11.125" style="813" customWidth="1"/>
    <col min="16" max="16" width="12.875" style="813" bestFit="1" customWidth="1"/>
    <col min="17" max="17" width="11.125" style="813" customWidth="1"/>
    <col min="18" max="18" width="15" style="813" bestFit="1" customWidth="1"/>
    <col min="19" max="19" width="11.125" style="813" customWidth="1"/>
    <col min="20" max="20" width="11.375" style="813" bestFit="1" customWidth="1"/>
    <col min="21" max="16384" width="9" style="813"/>
  </cols>
  <sheetData>
    <row r="3" spans="2:19" x14ac:dyDescent="0.3">
      <c r="B3" s="896" t="s">
        <v>2602</v>
      </c>
      <c r="K3" s="897" t="s">
        <v>2603</v>
      </c>
      <c r="S3" s="898" t="s">
        <v>2072</v>
      </c>
    </row>
    <row r="4" spans="2:19" x14ac:dyDescent="0.3">
      <c r="B4" s="899" t="s">
        <v>2604</v>
      </c>
      <c r="C4" s="899" t="s">
        <v>2605</v>
      </c>
      <c r="D4" s="964" t="s">
        <v>3169</v>
      </c>
      <c r="E4" s="964"/>
      <c r="F4" s="1937" t="s">
        <v>2606</v>
      </c>
      <c r="G4" s="1937"/>
      <c r="H4" s="899" t="s">
        <v>2607</v>
      </c>
      <c r="I4" s="899" t="s">
        <v>2608</v>
      </c>
      <c r="J4" s="899" t="s">
        <v>3170</v>
      </c>
      <c r="K4" s="899" t="s">
        <v>2609</v>
      </c>
      <c r="L4" s="899" t="s">
        <v>2610</v>
      </c>
      <c r="M4" s="899" t="s">
        <v>2611</v>
      </c>
      <c r="N4" s="899" t="s">
        <v>2612</v>
      </c>
      <c r="O4" s="899" t="s">
        <v>2613</v>
      </c>
      <c r="P4" s="899" t="s">
        <v>2614</v>
      </c>
      <c r="Q4" s="899" t="s">
        <v>2615</v>
      </c>
      <c r="R4" s="899" t="s">
        <v>2616</v>
      </c>
      <c r="S4" s="899" t="s">
        <v>2617</v>
      </c>
    </row>
    <row r="5" spans="2:19" hidden="1" x14ac:dyDescent="0.3">
      <c r="B5" s="900" t="s">
        <v>2618</v>
      </c>
      <c r="C5" s="901" t="s">
        <v>2619</v>
      </c>
      <c r="D5" s="902" t="str">
        <f>LEFT(C5,4)</f>
        <v>1999</v>
      </c>
      <c r="E5" s="902" t="s">
        <v>3177</v>
      </c>
      <c r="F5" s="902" t="s">
        <v>2620</v>
      </c>
      <c r="G5" s="903" t="s">
        <v>2621</v>
      </c>
      <c r="H5" s="904">
        <v>1207507427</v>
      </c>
      <c r="I5" s="904"/>
      <c r="J5" s="904">
        <v>1207507427</v>
      </c>
      <c r="K5" s="904">
        <v>453157952</v>
      </c>
      <c r="L5" s="904">
        <v>1207507427</v>
      </c>
      <c r="M5" s="905">
        <v>40</v>
      </c>
      <c r="N5" s="906">
        <v>2.5000000000000001E-2</v>
      </c>
      <c r="O5" s="905">
        <v>12</v>
      </c>
      <c r="P5" s="904">
        <v>30187685</v>
      </c>
      <c r="Q5" s="904"/>
      <c r="R5" s="904">
        <v>483345637</v>
      </c>
      <c r="S5" s="904">
        <v>724161790</v>
      </c>
    </row>
    <row r="6" spans="2:19" hidden="1" x14ac:dyDescent="0.3">
      <c r="B6" s="900" t="s">
        <v>2622</v>
      </c>
      <c r="C6" s="901" t="s">
        <v>2174</v>
      </c>
      <c r="D6" s="902" t="str">
        <f t="shared" ref="D6:D69" si="0">LEFT(C6,4)</f>
        <v>2000</v>
      </c>
      <c r="E6" s="902" t="s">
        <v>3177</v>
      </c>
      <c r="F6" s="902" t="s">
        <v>2620</v>
      </c>
      <c r="G6" s="903" t="s">
        <v>2621</v>
      </c>
      <c r="H6" s="904">
        <v>34943428</v>
      </c>
      <c r="I6" s="904"/>
      <c r="J6" s="904">
        <v>34943428</v>
      </c>
      <c r="K6" s="904">
        <v>14850944</v>
      </c>
      <c r="L6" s="904">
        <v>34943428</v>
      </c>
      <c r="M6" s="905">
        <v>40</v>
      </c>
      <c r="N6" s="906">
        <v>2.5000000000000001E-2</v>
      </c>
      <c r="O6" s="905">
        <v>12</v>
      </c>
      <c r="P6" s="904">
        <v>873585</v>
      </c>
      <c r="Q6" s="904"/>
      <c r="R6" s="904">
        <v>15724529</v>
      </c>
      <c r="S6" s="904">
        <v>19218899</v>
      </c>
    </row>
    <row r="7" spans="2:19" hidden="1" x14ac:dyDescent="0.3">
      <c r="B7" s="900" t="s">
        <v>2623</v>
      </c>
      <c r="C7" s="901" t="s">
        <v>2174</v>
      </c>
      <c r="D7" s="902" t="str">
        <f t="shared" si="0"/>
        <v>2000</v>
      </c>
      <c r="E7" s="902" t="s">
        <v>3177</v>
      </c>
      <c r="F7" s="902" t="s">
        <v>2620</v>
      </c>
      <c r="G7" s="903" t="s">
        <v>2621</v>
      </c>
      <c r="H7" s="904">
        <v>312812660</v>
      </c>
      <c r="I7" s="904"/>
      <c r="J7" s="904">
        <v>312812660</v>
      </c>
      <c r="K7" s="904">
        <v>172046952</v>
      </c>
      <c r="L7" s="904">
        <v>312812660</v>
      </c>
      <c r="M7" s="905">
        <v>40</v>
      </c>
      <c r="N7" s="906">
        <v>2.5000000000000001E-2</v>
      </c>
      <c r="O7" s="905">
        <v>12</v>
      </c>
      <c r="P7" s="904">
        <v>7820316</v>
      </c>
      <c r="Q7" s="904"/>
      <c r="R7" s="904">
        <v>179867268</v>
      </c>
      <c r="S7" s="904">
        <v>132945392</v>
      </c>
    </row>
    <row r="8" spans="2:19" hidden="1" x14ac:dyDescent="0.3">
      <c r="B8" s="900" t="s">
        <v>2624</v>
      </c>
      <c r="C8" s="901" t="s">
        <v>2174</v>
      </c>
      <c r="D8" s="902" t="str">
        <f t="shared" si="0"/>
        <v>2000</v>
      </c>
      <c r="E8" s="902" t="s">
        <v>3177</v>
      </c>
      <c r="F8" s="902" t="s">
        <v>2620</v>
      </c>
      <c r="G8" s="903" t="s">
        <v>2621</v>
      </c>
      <c r="H8" s="904">
        <v>7921820</v>
      </c>
      <c r="I8" s="904"/>
      <c r="J8" s="904">
        <v>7921820</v>
      </c>
      <c r="K8" s="904">
        <v>3960900</v>
      </c>
      <c r="L8" s="904">
        <v>7921820</v>
      </c>
      <c r="M8" s="905">
        <v>40</v>
      </c>
      <c r="N8" s="906">
        <v>2.5000000000000001E-2</v>
      </c>
      <c r="O8" s="905">
        <v>12</v>
      </c>
      <c r="P8" s="904">
        <v>198045</v>
      </c>
      <c r="Q8" s="904"/>
      <c r="R8" s="904">
        <v>4158945</v>
      </c>
      <c r="S8" s="904">
        <v>3762875</v>
      </c>
    </row>
    <row r="9" spans="2:19" hidden="1" x14ac:dyDescent="0.3">
      <c r="B9" s="900" t="s">
        <v>2625</v>
      </c>
      <c r="C9" s="901" t="s">
        <v>2626</v>
      </c>
      <c r="D9" s="902" t="str">
        <f t="shared" si="0"/>
        <v>2001</v>
      </c>
      <c r="E9" s="902" t="s">
        <v>3177</v>
      </c>
      <c r="F9" s="902" t="s">
        <v>2620</v>
      </c>
      <c r="G9" s="903" t="s">
        <v>2621</v>
      </c>
      <c r="H9" s="904">
        <v>258547391</v>
      </c>
      <c r="I9" s="904"/>
      <c r="J9" s="904">
        <v>258547391</v>
      </c>
      <c r="K9" s="904">
        <v>100187104</v>
      </c>
      <c r="L9" s="904">
        <v>258547391</v>
      </c>
      <c r="M9" s="905">
        <v>40</v>
      </c>
      <c r="N9" s="906">
        <v>2.5000000000000001E-2</v>
      </c>
      <c r="O9" s="905">
        <v>12</v>
      </c>
      <c r="P9" s="904">
        <v>6463684</v>
      </c>
      <c r="Q9" s="904"/>
      <c r="R9" s="904">
        <v>106650788</v>
      </c>
      <c r="S9" s="904">
        <v>151896603</v>
      </c>
    </row>
    <row r="10" spans="2:19" hidden="1" x14ac:dyDescent="0.3">
      <c r="B10" s="900" t="s">
        <v>2627</v>
      </c>
      <c r="C10" s="901" t="s">
        <v>2626</v>
      </c>
      <c r="D10" s="902" t="str">
        <f t="shared" si="0"/>
        <v>2001</v>
      </c>
      <c r="E10" s="902" t="s">
        <v>3177</v>
      </c>
      <c r="F10" s="902" t="s">
        <v>2620</v>
      </c>
      <c r="G10" s="903" t="s">
        <v>2621</v>
      </c>
      <c r="H10" s="904">
        <v>279184004</v>
      </c>
      <c r="I10" s="904"/>
      <c r="J10" s="904">
        <v>279184004</v>
      </c>
      <c r="K10" s="904">
        <v>107769410</v>
      </c>
      <c r="L10" s="904">
        <v>279184004</v>
      </c>
      <c r="M10" s="905">
        <v>40</v>
      </c>
      <c r="N10" s="906">
        <v>2.5000000000000001E-2</v>
      </c>
      <c r="O10" s="905">
        <v>12</v>
      </c>
      <c r="P10" s="904">
        <v>6979600</v>
      </c>
      <c r="Q10" s="904"/>
      <c r="R10" s="904">
        <v>114749010</v>
      </c>
      <c r="S10" s="904">
        <v>164434994</v>
      </c>
    </row>
    <row r="11" spans="2:19" hidden="1" x14ac:dyDescent="0.3">
      <c r="B11" s="900" t="s">
        <v>2628</v>
      </c>
      <c r="C11" s="901" t="s">
        <v>2629</v>
      </c>
      <c r="D11" s="902" t="str">
        <f t="shared" si="0"/>
        <v>2002</v>
      </c>
      <c r="E11" s="902" t="s">
        <v>3177</v>
      </c>
      <c r="F11" s="902" t="s">
        <v>2620</v>
      </c>
      <c r="G11" s="903" t="s">
        <v>2621</v>
      </c>
      <c r="H11" s="904">
        <v>108067415</v>
      </c>
      <c r="I11" s="904"/>
      <c r="J11" s="904">
        <v>108067415</v>
      </c>
      <c r="K11" s="904">
        <v>39849854</v>
      </c>
      <c r="L11" s="904">
        <v>108067415</v>
      </c>
      <c r="M11" s="905">
        <v>40</v>
      </c>
      <c r="N11" s="906">
        <v>2.5000000000000001E-2</v>
      </c>
      <c r="O11" s="905">
        <v>12</v>
      </c>
      <c r="P11" s="904">
        <v>2701685</v>
      </c>
      <c r="Q11" s="904"/>
      <c r="R11" s="904">
        <v>42551539</v>
      </c>
      <c r="S11" s="904">
        <v>65515876</v>
      </c>
    </row>
    <row r="12" spans="2:19" hidden="1" x14ac:dyDescent="0.3">
      <c r="B12" s="900" t="s">
        <v>2630</v>
      </c>
      <c r="C12" s="901" t="s">
        <v>2175</v>
      </c>
      <c r="D12" s="902" t="str">
        <f t="shared" si="0"/>
        <v>2002</v>
      </c>
      <c r="E12" s="902" t="s">
        <v>3177</v>
      </c>
      <c r="F12" s="902" t="s">
        <v>2620</v>
      </c>
      <c r="G12" s="903" t="s">
        <v>2621</v>
      </c>
      <c r="H12" s="904">
        <v>260727002</v>
      </c>
      <c r="I12" s="904"/>
      <c r="J12" s="904">
        <v>260727002</v>
      </c>
      <c r="K12" s="904">
        <v>91191857</v>
      </c>
      <c r="L12" s="904">
        <v>260727002</v>
      </c>
      <c r="M12" s="905">
        <v>40</v>
      </c>
      <c r="N12" s="906">
        <v>2.5000000000000001E-2</v>
      </c>
      <c r="O12" s="905">
        <v>12</v>
      </c>
      <c r="P12" s="904">
        <v>6518175</v>
      </c>
      <c r="Q12" s="904"/>
      <c r="R12" s="904">
        <v>97710032</v>
      </c>
      <c r="S12" s="904">
        <v>163016970</v>
      </c>
    </row>
    <row r="13" spans="2:19" hidden="1" x14ac:dyDescent="0.3">
      <c r="B13" s="900" t="s">
        <v>2631</v>
      </c>
      <c r="C13" s="901" t="s">
        <v>2632</v>
      </c>
      <c r="D13" s="902" t="str">
        <f t="shared" si="0"/>
        <v>2007</v>
      </c>
      <c r="E13" s="902" t="s">
        <v>3177</v>
      </c>
      <c r="F13" s="902" t="s">
        <v>2620</v>
      </c>
      <c r="G13" s="903" t="s">
        <v>2621</v>
      </c>
      <c r="H13" s="904">
        <v>209980722</v>
      </c>
      <c r="I13" s="904"/>
      <c r="J13" s="904">
        <v>209980722</v>
      </c>
      <c r="K13" s="904">
        <v>51182800</v>
      </c>
      <c r="L13" s="904">
        <v>209980722</v>
      </c>
      <c r="M13" s="905">
        <v>40</v>
      </c>
      <c r="N13" s="906">
        <v>2.5000000000000001E-2</v>
      </c>
      <c r="O13" s="905">
        <v>12</v>
      </c>
      <c r="P13" s="904">
        <v>5249518</v>
      </c>
      <c r="Q13" s="904"/>
      <c r="R13" s="904">
        <v>56432318</v>
      </c>
      <c r="S13" s="904">
        <v>153548404</v>
      </c>
    </row>
    <row r="14" spans="2:19" hidden="1" x14ac:dyDescent="0.3">
      <c r="B14" s="900" t="s">
        <v>2633</v>
      </c>
      <c r="C14" s="901" t="s">
        <v>2634</v>
      </c>
      <c r="D14" s="902" t="str">
        <f t="shared" si="0"/>
        <v>2007</v>
      </c>
      <c r="E14" s="902" t="s">
        <v>3177</v>
      </c>
      <c r="F14" s="902" t="s">
        <v>2620</v>
      </c>
      <c r="G14" s="903" t="s">
        <v>2621</v>
      </c>
      <c r="H14" s="904">
        <v>192861194</v>
      </c>
      <c r="I14" s="904"/>
      <c r="J14" s="904">
        <v>192861194</v>
      </c>
      <c r="K14" s="904">
        <v>46206320</v>
      </c>
      <c r="L14" s="904">
        <v>192861194</v>
      </c>
      <c r="M14" s="905">
        <v>40</v>
      </c>
      <c r="N14" s="906">
        <v>2.5000000000000001E-2</v>
      </c>
      <c r="O14" s="905">
        <v>12</v>
      </c>
      <c r="P14" s="904">
        <v>4821529</v>
      </c>
      <c r="Q14" s="904"/>
      <c r="R14" s="904">
        <v>51027849</v>
      </c>
      <c r="S14" s="904">
        <v>141833345</v>
      </c>
    </row>
    <row r="15" spans="2:19" hidden="1" x14ac:dyDescent="0.3">
      <c r="B15" s="900" t="s">
        <v>2635</v>
      </c>
      <c r="C15" s="901" t="s">
        <v>2636</v>
      </c>
      <c r="D15" s="902" t="str">
        <f t="shared" si="0"/>
        <v>2007</v>
      </c>
      <c r="E15" s="902" t="s">
        <v>3177</v>
      </c>
      <c r="F15" s="902" t="s">
        <v>2620</v>
      </c>
      <c r="G15" s="903" t="s">
        <v>2621</v>
      </c>
      <c r="H15" s="904">
        <v>393831803</v>
      </c>
      <c r="I15" s="904"/>
      <c r="J15" s="904">
        <v>393831803</v>
      </c>
      <c r="K15" s="904">
        <v>92714569</v>
      </c>
      <c r="L15" s="904">
        <v>393831803</v>
      </c>
      <c r="M15" s="905">
        <v>40</v>
      </c>
      <c r="N15" s="906">
        <v>2.5000000000000001E-2</v>
      </c>
      <c r="O15" s="905">
        <v>12</v>
      </c>
      <c r="P15" s="904">
        <v>9845795</v>
      </c>
      <c r="Q15" s="904"/>
      <c r="R15" s="904">
        <v>102560364</v>
      </c>
      <c r="S15" s="904">
        <v>291271439</v>
      </c>
    </row>
    <row r="16" spans="2:19" hidden="1" x14ac:dyDescent="0.3">
      <c r="B16" s="900" t="s">
        <v>2637</v>
      </c>
      <c r="C16" s="901" t="s">
        <v>2176</v>
      </c>
      <c r="D16" s="902" t="str">
        <f t="shared" si="0"/>
        <v>2008</v>
      </c>
      <c r="E16" s="902" t="s">
        <v>3177</v>
      </c>
      <c r="F16" s="902" t="s">
        <v>2620</v>
      </c>
      <c r="G16" s="903" t="s">
        <v>2621</v>
      </c>
      <c r="H16" s="904">
        <v>577825867</v>
      </c>
      <c r="I16" s="904"/>
      <c r="J16" s="904">
        <v>577825867</v>
      </c>
      <c r="K16" s="904">
        <v>128807010</v>
      </c>
      <c r="L16" s="904">
        <v>577825867</v>
      </c>
      <c r="M16" s="905">
        <v>40</v>
      </c>
      <c r="N16" s="906">
        <v>2.5000000000000001E-2</v>
      </c>
      <c r="O16" s="905">
        <v>12</v>
      </c>
      <c r="P16" s="904">
        <v>14445646</v>
      </c>
      <c r="Q16" s="904"/>
      <c r="R16" s="904">
        <v>143252656</v>
      </c>
      <c r="S16" s="904">
        <v>434573211</v>
      </c>
    </row>
    <row r="17" spans="2:19" hidden="1" x14ac:dyDescent="0.3">
      <c r="B17" s="900" t="s">
        <v>2638</v>
      </c>
      <c r="C17" s="901" t="s">
        <v>2639</v>
      </c>
      <c r="D17" s="902" t="str">
        <f t="shared" si="0"/>
        <v>2008</v>
      </c>
      <c r="E17" s="902" t="s">
        <v>3177</v>
      </c>
      <c r="F17" s="902" t="s">
        <v>2620</v>
      </c>
      <c r="G17" s="903" t="s">
        <v>2621</v>
      </c>
      <c r="H17" s="904">
        <v>419920349</v>
      </c>
      <c r="I17" s="904"/>
      <c r="J17" s="904">
        <v>419920349</v>
      </c>
      <c r="K17" s="904">
        <v>85962338</v>
      </c>
      <c r="L17" s="904">
        <v>419920349</v>
      </c>
      <c r="M17" s="905">
        <v>40</v>
      </c>
      <c r="N17" s="906">
        <v>2.5000000000000001E-2</v>
      </c>
      <c r="O17" s="905">
        <v>12</v>
      </c>
      <c r="P17" s="904">
        <v>10498008</v>
      </c>
      <c r="Q17" s="904"/>
      <c r="R17" s="904">
        <v>96460346</v>
      </c>
      <c r="S17" s="904">
        <v>323460003</v>
      </c>
    </row>
    <row r="18" spans="2:19" hidden="1" x14ac:dyDescent="0.3">
      <c r="B18" s="900" t="s">
        <v>2640</v>
      </c>
      <c r="C18" s="901" t="s">
        <v>2641</v>
      </c>
      <c r="D18" s="902" t="str">
        <f t="shared" si="0"/>
        <v>2010</v>
      </c>
      <c r="E18" s="902" t="s">
        <v>3177</v>
      </c>
      <c r="F18" s="902" t="s">
        <v>2620</v>
      </c>
      <c r="G18" s="903" t="s">
        <v>2621</v>
      </c>
      <c r="H18" s="904">
        <v>250043838</v>
      </c>
      <c r="I18" s="904"/>
      <c r="J18" s="904">
        <v>250043838</v>
      </c>
      <c r="K18" s="904">
        <v>40290018</v>
      </c>
      <c r="L18" s="904">
        <v>250043838</v>
      </c>
      <c r="M18" s="905">
        <v>40</v>
      </c>
      <c r="N18" s="906">
        <v>2.5000000000000001E-2</v>
      </c>
      <c r="O18" s="905">
        <v>12</v>
      </c>
      <c r="P18" s="904">
        <v>6251095</v>
      </c>
      <c r="Q18" s="904"/>
      <c r="R18" s="904">
        <v>46541113</v>
      </c>
      <c r="S18" s="904">
        <v>203502725</v>
      </c>
    </row>
    <row r="19" spans="2:19" hidden="1" x14ac:dyDescent="0.3">
      <c r="B19" s="900" t="s">
        <v>2642</v>
      </c>
      <c r="C19" s="901" t="s">
        <v>2643</v>
      </c>
      <c r="D19" s="902" t="str">
        <f t="shared" si="0"/>
        <v>2010</v>
      </c>
      <c r="E19" s="902" t="s">
        <v>3177</v>
      </c>
      <c r="F19" s="902" t="s">
        <v>2620</v>
      </c>
      <c r="G19" s="903" t="s">
        <v>2621</v>
      </c>
      <c r="H19" s="904">
        <v>135161104</v>
      </c>
      <c r="I19" s="904"/>
      <c r="J19" s="904">
        <v>135161104</v>
      </c>
      <c r="K19" s="904">
        <v>22245261</v>
      </c>
      <c r="L19" s="904">
        <v>135161104</v>
      </c>
      <c r="M19" s="905">
        <v>40</v>
      </c>
      <c r="N19" s="906">
        <v>2.5000000000000001E-2</v>
      </c>
      <c r="O19" s="905">
        <v>12</v>
      </c>
      <c r="P19" s="904">
        <v>3379027</v>
      </c>
      <c r="Q19" s="904"/>
      <c r="R19" s="904">
        <v>25624288</v>
      </c>
      <c r="S19" s="904">
        <v>109536816</v>
      </c>
    </row>
    <row r="20" spans="2:19" hidden="1" x14ac:dyDescent="0.3">
      <c r="B20" s="900" t="s">
        <v>2644</v>
      </c>
      <c r="C20" s="901" t="s">
        <v>2645</v>
      </c>
      <c r="D20" s="902" t="str">
        <f t="shared" si="0"/>
        <v>2010</v>
      </c>
      <c r="E20" s="902" t="s">
        <v>3177</v>
      </c>
      <c r="F20" s="902" t="s">
        <v>2620</v>
      </c>
      <c r="G20" s="903" t="s">
        <v>2621</v>
      </c>
      <c r="H20" s="904">
        <v>1162808872</v>
      </c>
      <c r="I20" s="904"/>
      <c r="J20" s="904">
        <v>1162808872</v>
      </c>
      <c r="K20" s="904">
        <v>179266362</v>
      </c>
      <c r="L20" s="904">
        <v>1162808872</v>
      </c>
      <c r="M20" s="905">
        <v>40</v>
      </c>
      <c r="N20" s="906">
        <v>2.5000000000000001E-2</v>
      </c>
      <c r="O20" s="905">
        <v>12</v>
      </c>
      <c r="P20" s="904">
        <v>29070221</v>
      </c>
      <c r="Q20" s="904"/>
      <c r="R20" s="904">
        <v>208336583</v>
      </c>
      <c r="S20" s="904">
        <v>954472289</v>
      </c>
    </row>
    <row r="21" spans="2:19" hidden="1" x14ac:dyDescent="0.3">
      <c r="B21" s="900" t="s">
        <v>2646</v>
      </c>
      <c r="C21" s="901" t="s">
        <v>2647</v>
      </c>
      <c r="D21" s="902" t="str">
        <f t="shared" si="0"/>
        <v>2010</v>
      </c>
      <c r="E21" s="902" t="s">
        <v>3177</v>
      </c>
      <c r="F21" s="902" t="s">
        <v>2620</v>
      </c>
      <c r="G21" s="903" t="s">
        <v>2621</v>
      </c>
      <c r="H21" s="904">
        <v>345917580</v>
      </c>
      <c r="I21" s="904"/>
      <c r="J21" s="904">
        <v>345917580</v>
      </c>
      <c r="K21" s="904">
        <v>52608295</v>
      </c>
      <c r="L21" s="904">
        <v>345917580</v>
      </c>
      <c r="M21" s="905">
        <v>40</v>
      </c>
      <c r="N21" s="906">
        <v>2.5000000000000001E-2</v>
      </c>
      <c r="O21" s="905">
        <v>12</v>
      </c>
      <c r="P21" s="904">
        <v>8647939</v>
      </c>
      <c r="Q21" s="904"/>
      <c r="R21" s="904">
        <v>61256234</v>
      </c>
      <c r="S21" s="904">
        <v>284661346</v>
      </c>
    </row>
    <row r="22" spans="2:19" hidden="1" x14ac:dyDescent="0.3">
      <c r="B22" s="900" t="s">
        <v>2648</v>
      </c>
      <c r="C22" s="901" t="s">
        <v>2649</v>
      </c>
      <c r="D22" s="902" t="str">
        <f t="shared" si="0"/>
        <v>2011</v>
      </c>
      <c r="E22" s="902" t="s">
        <v>3177</v>
      </c>
      <c r="F22" s="902" t="s">
        <v>2620</v>
      </c>
      <c r="G22" s="903" t="s">
        <v>2621</v>
      </c>
      <c r="H22" s="904">
        <v>333533620</v>
      </c>
      <c r="I22" s="904"/>
      <c r="J22" s="904">
        <v>333533620</v>
      </c>
      <c r="K22" s="904">
        <v>47250593</v>
      </c>
      <c r="L22" s="904">
        <v>333533620</v>
      </c>
      <c r="M22" s="905">
        <v>40</v>
      </c>
      <c r="N22" s="906">
        <v>2.5000000000000001E-2</v>
      </c>
      <c r="O22" s="905">
        <v>12</v>
      </c>
      <c r="P22" s="904">
        <v>8338340</v>
      </c>
      <c r="Q22" s="904"/>
      <c r="R22" s="904">
        <v>55588933</v>
      </c>
      <c r="S22" s="904">
        <v>277944687</v>
      </c>
    </row>
    <row r="23" spans="2:19" hidden="1" x14ac:dyDescent="0.3">
      <c r="B23" s="900" t="s">
        <v>2650</v>
      </c>
      <c r="C23" s="901" t="s">
        <v>2651</v>
      </c>
      <c r="D23" s="902" t="str">
        <f t="shared" si="0"/>
        <v>2011</v>
      </c>
      <c r="E23" s="902" t="s">
        <v>3177</v>
      </c>
      <c r="F23" s="902" t="s">
        <v>2620</v>
      </c>
      <c r="G23" s="903" t="s">
        <v>2621</v>
      </c>
      <c r="H23" s="904">
        <v>418400000</v>
      </c>
      <c r="I23" s="904"/>
      <c r="J23" s="904">
        <v>418400000</v>
      </c>
      <c r="K23" s="904">
        <v>54043333</v>
      </c>
      <c r="L23" s="904">
        <v>418400000</v>
      </c>
      <c r="M23" s="905">
        <v>40</v>
      </c>
      <c r="N23" s="906">
        <v>2.5000000000000001E-2</v>
      </c>
      <c r="O23" s="905">
        <v>12</v>
      </c>
      <c r="P23" s="904">
        <v>10460000</v>
      </c>
      <c r="Q23" s="904"/>
      <c r="R23" s="904">
        <v>64503333</v>
      </c>
      <c r="S23" s="904">
        <v>353896667</v>
      </c>
    </row>
    <row r="24" spans="2:19" hidden="1" x14ac:dyDescent="0.3">
      <c r="B24" s="900" t="s">
        <v>2652</v>
      </c>
      <c r="C24" s="901" t="s">
        <v>2653</v>
      </c>
      <c r="D24" s="902" t="str">
        <f t="shared" si="0"/>
        <v>2012</v>
      </c>
      <c r="E24" s="902" t="s">
        <v>3177</v>
      </c>
      <c r="F24" s="902" t="s">
        <v>2620</v>
      </c>
      <c r="G24" s="903" t="s">
        <v>2621</v>
      </c>
      <c r="H24" s="904">
        <v>460555369</v>
      </c>
      <c r="I24" s="904"/>
      <c r="J24" s="904">
        <v>460555369</v>
      </c>
      <c r="K24" s="904">
        <v>54690949</v>
      </c>
      <c r="L24" s="904">
        <v>460555369</v>
      </c>
      <c r="M24" s="905">
        <v>40</v>
      </c>
      <c r="N24" s="906">
        <v>2.5000000000000001E-2</v>
      </c>
      <c r="O24" s="905">
        <v>12</v>
      </c>
      <c r="P24" s="904">
        <v>11513884</v>
      </c>
      <c r="Q24" s="904"/>
      <c r="R24" s="904">
        <v>66204833</v>
      </c>
      <c r="S24" s="904">
        <v>394350536</v>
      </c>
    </row>
    <row r="25" spans="2:19" hidden="1" x14ac:dyDescent="0.3">
      <c r="B25" s="900" t="s">
        <v>2654</v>
      </c>
      <c r="C25" s="901" t="s">
        <v>2655</v>
      </c>
      <c r="D25" s="902" t="str">
        <f t="shared" si="0"/>
        <v>2013</v>
      </c>
      <c r="E25" s="902" t="s">
        <v>3177</v>
      </c>
      <c r="F25" s="902" t="s">
        <v>2620</v>
      </c>
      <c r="G25" s="903" t="s">
        <v>2621</v>
      </c>
      <c r="H25" s="904">
        <v>126038959</v>
      </c>
      <c r="I25" s="904"/>
      <c r="J25" s="904">
        <v>126038959</v>
      </c>
      <c r="K25" s="904">
        <v>11290987</v>
      </c>
      <c r="L25" s="904">
        <v>126038959</v>
      </c>
      <c r="M25" s="905">
        <v>40</v>
      </c>
      <c r="N25" s="906">
        <v>2.5000000000000001E-2</v>
      </c>
      <c r="O25" s="905">
        <v>12</v>
      </c>
      <c r="P25" s="904">
        <v>3150973</v>
      </c>
      <c r="Q25" s="904"/>
      <c r="R25" s="904">
        <v>14441960</v>
      </c>
      <c r="S25" s="904">
        <v>111596999</v>
      </c>
    </row>
    <row r="26" spans="2:19" hidden="1" x14ac:dyDescent="0.3">
      <c r="B26" s="900" t="s">
        <v>2656</v>
      </c>
      <c r="C26" s="901" t="s">
        <v>2657</v>
      </c>
      <c r="D26" s="902" t="str">
        <f t="shared" si="0"/>
        <v>2013</v>
      </c>
      <c r="E26" s="902" t="s">
        <v>3177</v>
      </c>
      <c r="F26" s="902" t="s">
        <v>2620</v>
      </c>
      <c r="G26" s="903" t="s">
        <v>2621</v>
      </c>
      <c r="H26" s="904">
        <v>288697430</v>
      </c>
      <c r="I26" s="904"/>
      <c r="J26" s="904">
        <v>288697430</v>
      </c>
      <c r="K26" s="904">
        <v>24659569</v>
      </c>
      <c r="L26" s="904">
        <v>288697430</v>
      </c>
      <c r="M26" s="905">
        <v>40</v>
      </c>
      <c r="N26" s="906">
        <v>2.5000000000000001E-2</v>
      </c>
      <c r="O26" s="905">
        <v>12</v>
      </c>
      <c r="P26" s="904">
        <v>7217435</v>
      </c>
      <c r="Q26" s="904"/>
      <c r="R26" s="904">
        <v>31877004</v>
      </c>
      <c r="S26" s="904">
        <v>256820426</v>
      </c>
    </row>
    <row r="27" spans="2:19" hidden="1" x14ac:dyDescent="0.3">
      <c r="B27" s="900" t="s">
        <v>2658</v>
      </c>
      <c r="C27" s="901" t="s">
        <v>2659</v>
      </c>
      <c r="D27" s="902" t="str">
        <f t="shared" si="0"/>
        <v>2014</v>
      </c>
      <c r="E27" s="902" t="s">
        <v>3177</v>
      </c>
      <c r="F27" s="902" t="s">
        <v>2620</v>
      </c>
      <c r="G27" s="903" t="s">
        <v>2621</v>
      </c>
      <c r="H27" s="904">
        <v>169974470</v>
      </c>
      <c r="I27" s="904"/>
      <c r="J27" s="904">
        <v>169974470</v>
      </c>
      <c r="K27" s="904">
        <v>9915175</v>
      </c>
      <c r="L27" s="904">
        <v>169974470</v>
      </c>
      <c r="M27" s="905">
        <v>40</v>
      </c>
      <c r="N27" s="906">
        <v>2.5000000000000001E-2</v>
      </c>
      <c r="O27" s="905">
        <v>12</v>
      </c>
      <c r="P27" s="904">
        <v>4249361</v>
      </c>
      <c r="Q27" s="904"/>
      <c r="R27" s="904">
        <v>14164536</v>
      </c>
      <c r="S27" s="904">
        <v>155809934</v>
      </c>
    </row>
    <row r="28" spans="2:19" hidden="1" x14ac:dyDescent="0.3">
      <c r="B28" s="900" t="s">
        <v>2660</v>
      </c>
      <c r="C28" s="901" t="s">
        <v>2661</v>
      </c>
      <c r="D28" s="902" t="str">
        <f t="shared" si="0"/>
        <v>2015</v>
      </c>
      <c r="E28" s="902" t="s">
        <v>3177</v>
      </c>
      <c r="F28" s="902" t="s">
        <v>2620</v>
      </c>
      <c r="G28" s="903" t="s">
        <v>2621</v>
      </c>
      <c r="H28" s="904">
        <v>309405500</v>
      </c>
      <c r="I28" s="904"/>
      <c r="J28" s="904">
        <v>309405500</v>
      </c>
      <c r="K28" s="904">
        <v>10313516</v>
      </c>
      <c r="L28" s="904">
        <v>309405500</v>
      </c>
      <c r="M28" s="905">
        <v>40</v>
      </c>
      <c r="N28" s="906">
        <v>2.5000000000000001E-2</v>
      </c>
      <c r="O28" s="905">
        <v>12</v>
      </c>
      <c r="P28" s="904">
        <v>7735137</v>
      </c>
      <c r="Q28" s="904"/>
      <c r="R28" s="904">
        <v>18048653</v>
      </c>
      <c r="S28" s="904">
        <v>291356847</v>
      </c>
    </row>
    <row r="29" spans="2:19" hidden="1" x14ac:dyDescent="0.3">
      <c r="B29" s="900" t="s">
        <v>2662</v>
      </c>
      <c r="C29" s="901" t="s">
        <v>2663</v>
      </c>
      <c r="D29" s="902" t="str">
        <f t="shared" si="0"/>
        <v>2016</v>
      </c>
      <c r="E29" s="902" t="s">
        <v>3177</v>
      </c>
      <c r="F29" s="902" t="s">
        <v>2620</v>
      </c>
      <c r="G29" s="903" t="s">
        <v>2621</v>
      </c>
      <c r="H29" s="904">
        <v>511302820</v>
      </c>
      <c r="I29" s="904"/>
      <c r="J29" s="904">
        <v>511302820</v>
      </c>
      <c r="K29" s="904">
        <v>3195642</v>
      </c>
      <c r="L29" s="904">
        <v>511302820</v>
      </c>
      <c r="M29" s="905">
        <v>40</v>
      </c>
      <c r="N29" s="906">
        <v>2.5000000000000001E-2</v>
      </c>
      <c r="O29" s="905">
        <v>12</v>
      </c>
      <c r="P29" s="904">
        <v>12782570</v>
      </c>
      <c r="Q29" s="904"/>
      <c r="R29" s="904">
        <v>15978212</v>
      </c>
      <c r="S29" s="904">
        <v>495324608</v>
      </c>
    </row>
    <row r="30" spans="2:19" hidden="1" x14ac:dyDescent="0.3">
      <c r="B30" s="900" t="s">
        <v>2664</v>
      </c>
      <c r="C30" s="901" t="s">
        <v>2663</v>
      </c>
      <c r="D30" s="902" t="str">
        <f t="shared" si="0"/>
        <v>2016</v>
      </c>
      <c r="E30" s="902" t="s">
        <v>3177</v>
      </c>
      <c r="F30" s="902" t="s">
        <v>2620</v>
      </c>
      <c r="G30" s="903" t="s">
        <v>2621</v>
      </c>
      <c r="H30" s="904">
        <v>511302820</v>
      </c>
      <c r="I30" s="904"/>
      <c r="J30" s="904">
        <v>511302820</v>
      </c>
      <c r="K30" s="904">
        <v>3195642</v>
      </c>
      <c r="L30" s="904">
        <v>511302820</v>
      </c>
      <c r="M30" s="905">
        <v>40</v>
      </c>
      <c r="N30" s="906">
        <v>2.5000000000000001E-2</v>
      </c>
      <c r="O30" s="905">
        <v>12</v>
      </c>
      <c r="P30" s="904">
        <v>12782570</v>
      </c>
      <c r="Q30" s="904"/>
      <c r="R30" s="904">
        <v>15978212</v>
      </c>
      <c r="S30" s="904">
        <v>495324608</v>
      </c>
    </row>
    <row r="31" spans="2:19" hidden="1" x14ac:dyDescent="0.3">
      <c r="B31" s="900" t="s">
        <v>2665</v>
      </c>
      <c r="C31" s="901" t="s">
        <v>2666</v>
      </c>
      <c r="D31" s="902" t="str">
        <f t="shared" si="0"/>
        <v>2016</v>
      </c>
      <c r="E31" s="902" t="s">
        <v>3177</v>
      </c>
      <c r="F31" s="902" t="s">
        <v>2620</v>
      </c>
      <c r="G31" s="903" t="s">
        <v>2621</v>
      </c>
      <c r="H31" s="904">
        <v>302619320</v>
      </c>
      <c r="I31" s="904"/>
      <c r="J31" s="904">
        <v>302619320</v>
      </c>
      <c r="K31" s="904">
        <v>1260913</v>
      </c>
      <c r="L31" s="904">
        <v>302619320</v>
      </c>
      <c r="M31" s="905">
        <v>40</v>
      </c>
      <c r="N31" s="906">
        <v>2.5000000000000001E-2</v>
      </c>
      <c r="O31" s="905">
        <v>12</v>
      </c>
      <c r="P31" s="904">
        <v>7565483</v>
      </c>
      <c r="Q31" s="904"/>
      <c r="R31" s="904">
        <v>8826396</v>
      </c>
      <c r="S31" s="904">
        <v>293792924</v>
      </c>
    </row>
    <row r="32" spans="2:19" hidden="1" x14ac:dyDescent="0.3">
      <c r="B32" s="900" t="s">
        <v>2667</v>
      </c>
      <c r="C32" s="901" t="s">
        <v>2668</v>
      </c>
      <c r="D32" s="902" t="str">
        <f t="shared" si="0"/>
        <v>2016</v>
      </c>
      <c r="E32" s="902" t="s">
        <v>3177</v>
      </c>
      <c r="F32" s="902" t="s">
        <v>2620</v>
      </c>
      <c r="G32" s="903" t="s">
        <v>2621</v>
      </c>
      <c r="H32" s="904">
        <v>239780542</v>
      </c>
      <c r="I32" s="904"/>
      <c r="J32" s="904">
        <v>239780542</v>
      </c>
      <c r="K32" s="904">
        <v>5994513</v>
      </c>
      <c r="L32" s="904">
        <v>239780542</v>
      </c>
      <c r="M32" s="905">
        <v>40</v>
      </c>
      <c r="N32" s="906">
        <v>2.5000000000000001E-2</v>
      </c>
      <c r="O32" s="905">
        <v>12</v>
      </c>
      <c r="P32" s="904">
        <v>5994513</v>
      </c>
      <c r="Q32" s="904"/>
      <c r="R32" s="904">
        <v>11989026</v>
      </c>
      <c r="S32" s="904">
        <v>227791516</v>
      </c>
    </row>
    <row r="33" spans="2:19" hidden="1" x14ac:dyDescent="0.3">
      <c r="B33" s="907" t="s">
        <v>2669</v>
      </c>
      <c r="C33" s="908"/>
      <c r="D33" s="909" t="str">
        <f t="shared" si="0"/>
        <v/>
      </c>
      <c r="E33" s="909"/>
      <c r="F33" s="909"/>
      <c r="G33" s="910"/>
      <c r="H33" s="911">
        <f>SUM(H5:H32)</f>
        <v>9829673326</v>
      </c>
      <c r="I33" s="911"/>
      <c r="J33" s="911">
        <f>SUM(J5:J32)</f>
        <v>9829673326</v>
      </c>
      <c r="K33" s="911">
        <f>SUM(K5:K32)</f>
        <v>1908108778</v>
      </c>
      <c r="L33" s="911">
        <f>SUM(L5:L32)</f>
        <v>9829673326</v>
      </c>
      <c r="M33" s="912"/>
      <c r="N33" s="913"/>
      <c r="O33" s="912"/>
      <c r="P33" s="911">
        <f>SUM(P5:P32)</f>
        <v>245741819</v>
      </c>
      <c r="Q33" s="911"/>
      <c r="R33" s="911">
        <f>SUM(R5:R32)</f>
        <v>2153850597</v>
      </c>
      <c r="S33" s="911">
        <f>SUM(S5:S32)</f>
        <v>7675822729</v>
      </c>
    </row>
    <row r="34" spans="2:19" hidden="1" x14ac:dyDescent="0.3">
      <c r="B34" s="900" t="s">
        <v>2670</v>
      </c>
      <c r="C34" s="901" t="s">
        <v>2671</v>
      </c>
      <c r="D34" s="902" t="str">
        <f t="shared" si="0"/>
        <v>1998</v>
      </c>
      <c r="E34" s="902" t="s">
        <v>3176</v>
      </c>
      <c r="F34" s="902" t="s">
        <v>2620</v>
      </c>
      <c r="G34" s="903" t="s">
        <v>2621</v>
      </c>
      <c r="H34" s="904">
        <v>45725620</v>
      </c>
      <c r="I34" s="904"/>
      <c r="J34" s="904">
        <v>45725620</v>
      </c>
      <c r="K34" s="904">
        <v>15988714</v>
      </c>
      <c r="L34" s="904">
        <v>45725620</v>
      </c>
      <c r="M34" s="905">
        <v>40</v>
      </c>
      <c r="N34" s="906">
        <v>2.5000000000000001E-2</v>
      </c>
      <c r="O34" s="905">
        <v>12</v>
      </c>
      <c r="P34" s="904">
        <v>1143140</v>
      </c>
      <c r="Q34" s="904"/>
      <c r="R34" s="904">
        <v>17131854</v>
      </c>
      <c r="S34" s="904">
        <v>28593766</v>
      </c>
    </row>
    <row r="35" spans="2:19" hidden="1" x14ac:dyDescent="0.3">
      <c r="B35" s="900" t="s">
        <v>2672</v>
      </c>
      <c r="C35" s="901" t="s">
        <v>2673</v>
      </c>
      <c r="D35" s="902" t="str">
        <f t="shared" si="0"/>
        <v>2000</v>
      </c>
      <c r="E35" s="902" t="s">
        <v>3176</v>
      </c>
      <c r="F35" s="902" t="s">
        <v>2620</v>
      </c>
      <c r="G35" s="903" t="s">
        <v>2621</v>
      </c>
      <c r="H35" s="904">
        <v>58292500</v>
      </c>
      <c r="I35" s="904"/>
      <c r="J35" s="904">
        <v>58292500</v>
      </c>
      <c r="K35" s="904">
        <v>16582556</v>
      </c>
      <c r="L35" s="904">
        <v>58292500</v>
      </c>
      <c r="M35" s="905">
        <v>40</v>
      </c>
      <c r="N35" s="906">
        <v>2.5000000000000001E-2</v>
      </c>
      <c r="O35" s="905">
        <v>12</v>
      </c>
      <c r="P35" s="904">
        <v>1457312</v>
      </c>
      <c r="Q35" s="904"/>
      <c r="R35" s="904">
        <v>18039868</v>
      </c>
      <c r="S35" s="904">
        <v>40252632</v>
      </c>
    </row>
    <row r="36" spans="2:19" hidden="1" x14ac:dyDescent="0.3">
      <c r="B36" s="900" t="s">
        <v>2674</v>
      </c>
      <c r="C36" s="901" t="s">
        <v>2675</v>
      </c>
      <c r="D36" s="902" t="str">
        <f t="shared" si="0"/>
        <v>2001</v>
      </c>
      <c r="E36" s="902" t="s">
        <v>3176</v>
      </c>
      <c r="F36" s="902" t="s">
        <v>2620</v>
      </c>
      <c r="G36" s="903" t="s">
        <v>2621</v>
      </c>
      <c r="H36" s="904">
        <v>194621411</v>
      </c>
      <c r="I36" s="904"/>
      <c r="J36" s="904">
        <v>194621411</v>
      </c>
      <c r="K36" s="904">
        <v>49881600</v>
      </c>
      <c r="L36" s="904">
        <v>194621411</v>
      </c>
      <c r="M36" s="905">
        <v>40</v>
      </c>
      <c r="N36" s="906">
        <v>2.5000000000000001E-2</v>
      </c>
      <c r="O36" s="905">
        <v>12</v>
      </c>
      <c r="P36" s="904">
        <v>4865535</v>
      </c>
      <c r="Q36" s="904"/>
      <c r="R36" s="904">
        <v>54747135</v>
      </c>
      <c r="S36" s="904">
        <v>139874276</v>
      </c>
    </row>
    <row r="37" spans="2:19" hidden="1" x14ac:dyDescent="0.3">
      <c r="B37" s="900" t="s">
        <v>2676</v>
      </c>
      <c r="C37" s="901" t="s">
        <v>2176</v>
      </c>
      <c r="D37" s="902" t="str">
        <f t="shared" si="0"/>
        <v>2008</v>
      </c>
      <c r="E37" s="902" t="s">
        <v>3176</v>
      </c>
      <c r="F37" s="902" t="s">
        <v>2620</v>
      </c>
      <c r="G37" s="903" t="s">
        <v>2621</v>
      </c>
      <c r="H37" s="904">
        <v>30181819</v>
      </c>
      <c r="I37" s="904"/>
      <c r="J37" s="904">
        <v>30181819</v>
      </c>
      <c r="K37" s="904">
        <v>6728026</v>
      </c>
      <c r="L37" s="904">
        <v>30181819</v>
      </c>
      <c r="M37" s="905">
        <v>40</v>
      </c>
      <c r="N37" s="906">
        <v>2.5000000000000001E-2</v>
      </c>
      <c r="O37" s="905">
        <v>12</v>
      </c>
      <c r="P37" s="904">
        <v>754545</v>
      </c>
      <c r="Q37" s="904"/>
      <c r="R37" s="904">
        <v>7482571</v>
      </c>
      <c r="S37" s="904">
        <v>22699248</v>
      </c>
    </row>
    <row r="38" spans="2:19" hidden="1" x14ac:dyDescent="0.3">
      <c r="B38" s="900" t="s">
        <v>2677</v>
      </c>
      <c r="C38" s="901" t="s">
        <v>2678</v>
      </c>
      <c r="D38" s="902" t="str">
        <f t="shared" si="0"/>
        <v>2012</v>
      </c>
      <c r="E38" s="902" t="s">
        <v>3176</v>
      </c>
      <c r="F38" s="902" t="s">
        <v>2620</v>
      </c>
      <c r="G38" s="903" t="s">
        <v>2621</v>
      </c>
      <c r="H38" s="904">
        <v>20881817</v>
      </c>
      <c r="I38" s="904"/>
      <c r="J38" s="904">
        <v>20881817</v>
      </c>
      <c r="K38" s="904">
        <v>2566721</v>
      </c>
      <c r="L38" s="904">
        <v>20881817</v>
      </c>
      <c r="M38" s="905">
        <v>40</v>
      </c>
      <c r="N38" s="906">
        <v>2.5000000000000001E-2</v>
      </c>
      <c r="O38" s="905">
        <v>12</v>
      </c>
      <c r="P38" s="904">
        <v>522045</v>
      </c>
      <c r="Q38" s="904"/>
      <c r="R38" s="904">
        <v>3088766</v>
      </c>
      <c r="S38" s="904">
        <v>17793051</v>
      </c>
    </row>
    <row r="39" spans="2:19" hidden="1" x14ac:dyDescent="0.3">
      <c r="B39" s="900" t="s">
        <v>2679</v>
      </c>
      <c r="C39" s="901" t="s">
        <v>2680</v>
      </c>
      <c r="D39" s="902" t="str">
        <f t="shared" si="0"/>
        <v>2015</v>
      </c>
      <c r="E39" s="902" t="s">
        <v>3176</v>
      </c>
      <c r="F39" s="902" t="s">
        <v>2620</v>
      </c>
      <c r="G39" s="903" t="s">
        <v>2621</v>
      </c>
      <c r="H39" s="904">
        <v>33851690</v>
      </c>
      <c r="I39" s="904"/>
      <c r="J39" s="904">
        <v>33851690</v>
      </c>
      <c r="K39" s="904">
        <v>1198913</v>
      </c>
      <c r="L39" s="904">
        <v>33851690</v>
      </c>
      <c r="M39" s="905">
        <v>40</v>
      </c>
      <c r="N39" s="906">
        <v>2.5000000000000001E-2</v>
      </c>
      <c r="O39" s="905">
        <v>12</v>
      </c>
      <c r="P39" s="904">
        <v>846292</v>
      </c>
      <c r="Q39" s="904"/>
      <c r="R39" s="904">
        <v>2045205</v>
      </c>
      <c r="S39" s="904">
        <v>31806485</v>
      </c>
    </row>
    <row r="40" spans="2:19" hidden="1" x14ac:dyDescent="0.3">
      <c r="B40" s="914" t="s">
        <v>2681</v>
      </c>
      <c r="C40" s="915"/>
      <c r="D40" s="915" t="str">
        <f t="shared" si="0"/>
        <v/>
      </c>
      <c r="E40" s="915"/>
      <c r="F40" s="915"/>
      <c r="G40" s="915"/>
      <c r="H40" s="916">
        <f>SUM(H34:H39)</f>
        <v>383554857</v>
      </c>
      <c r="I40" s="915"/>
      <c r="J40" s="916">
        <f>SUM(J34:J39)</f>
        <v>383554857</v>
      </c>
      <c r="K40" s="916">
        <f t="shared" ref="K40:L40" si="1">SUM(K34:K39)</f>
        <v>92946530</v>
      </c>
      <c r="L40" s="916">
        <f t="shared" si="1"/>
        <v>383554857</v>
      </c>
      <c r="M40" s="915"/>
      <c r="N40" s="915"/>
      <c r="O40" s="915"/>
      <c r="P40" s="916">
        <f t="shared" ref="P40" si="2">SUM(P34:P39)</f>
        <v>9588869</v>
      </c>
      <c r="Q40" s="915"/>
      <c r="R40" s="916">
        <f t="shared" ref="R40:S40" si="3">SUM(R34:R39)</f>
        <v>102535399</v>
      </c>
      <c r="S40" s="916">
        <f t="shared" si="3"/>
        <v>281019458</v>
      </c>
    </row>
    <row r="41" spans="2:19" hidden="1" x14ac:dyDescent="0.3">
      <c r="B41" s="900" t="s">
        <v>2177</v>
      </c>
      <c r="C41" s="901" t="s">
        <v>2178</v>
      </c>
      <c r="D41" s="902" t="str">
        <f t="shared" si="0"/>
        <v>1998</v>
      </c>
      <c r="E41" s="902" t="s">
        <v>3175</v>
      </c>
      <c r="F41" s="902" t="s">
        <v>2620</v>
      </c>
      <c r="G41" s="903" t="s">
        <v>2621</v>
      </c>
      <c r="H41" s="904">
        <v>170000000</v>
      </c>
      <c r="I41" s="904"/>
      <c r="J41" s="904">
        <v>170000000</v>
      </c>
      <c r="K41" s="904">
        <v>169999000</v>
      </c>
      <c r="L41" s="904">
        <v>1000</v>
      </c>
      <c r="M41" s="905">
        <v>10</v>
      </c>
      <c r="N41" s="906">
        <v>0.25900000000000001</v>
      </c>
      <c r="O41" s="905">
        <v>12</v>
      </c>
      <c r="P41" s="904"/>
      <c r="Q41" s="904"/>
      <c r="R41" s="904">
        <v>169999000</v>
      </c>
      <c r="S41" s="904">
        <v>1000</v>
      </c>
    </row>
    <row r="42" spans="2:19" hidden="1" x14ac:dyDescent="0.3">
      <c r="B42" s="900" t="s">
        <v>2179</v>
      </c>
      <c r="C42" s="901" t="s">
        <v>2180</v>
      </c>
      <c r="D42" s="902" t="str">
        <f t="shared" si="0"/>
        <v>1998</v>
      </c>
      <c r="E42" s="902" t="s">
        <v>3175</v>
      </c>
      <c r="F42" s="902" t="s">
        <v>2620</v>
      </c>
      <c r="G42" s="903" t="s">
        <v>2621</v>
      </c>
      <c r="H42" s="904">
        <v>202000000</v>
      </c>
      <c r="I42" s="904">
        <v>38283600</v>
      </c>
      <c r="J42" s="904">
        <v>240283600</v>
      </c>
      <c r="K42" s="904">
        <v>201999000</v>
      </c>
      <c r="L42" s="904">
        <v>38284600</v>
      </c>
      <c r="M42" s="905">
        <v>10</v>
      </c>
      <c r="N42" s="906">
        <v>0.25900000000000001</v>
      </c>
      <c r="O42" s="905">
        <v>12</v>
      </c>
      <c r="P42" s="904">
        <v>9915711</v>
      </c>
      <c r="Q42" s="904"/>
      <c r="R42" s="904">
        <v>211914711</v>
      </c>
      <c r="S42" s="904">
        <v>28368889</v>
      </c>
    </row>
    <row r="43" spans="2:19" hidden="1" x14ac:dyDescent="0.3">
      <c r="B43" s="900" t="s">
        <v>2181</v>
      </c>
      <c r="C43" s="901" t="s">
        <v>2180</v>
      </c>
      <c r="D43" s="902" t="str">
        <f t="shared" si="0"/>
        <v>1998</v>
      </c>
      <c r="E43" s="902" t="s">
        <v>3175</v>
      </c>
      <c r="F43" s="902" t="s">
        <v>2620</v>
      </c>
      <c r="G43" s="903" t="s">
        <v>2621</v>
      </c>
      <c r="H43" s="904">
        <v>2400000</v>
      </c>
      <c r="I43" s="904"/>
      <c r="J43" s="904">
        <v>2400000</v>
      </c>
      <c r="K43" s="904">
        <v>2399000</v>
      </c>
      <c r="L43" s="904">
        <v>1000</v>
      </c>
      <c r="M43" s="905">
        <v>10</v>
      </c>
      <c r="N43" s="906">
        <v>0.25900000000000001</v>
      </c>
      <c r="O43" s="905">
        <v>12</v>
      </c>
      <c r="P43" s="904"/>
      <c r="Q43" s="904"/>
      <c r="R43" s="904">
        <v>2399000</v>
      </c>
      <c r="S43" s="904">
        <v>1000</v>
      </c>
    </row>
    <row r="44" spans="2:19" hidden="1" x14ac:dyDescent="0.3">
      <c r="B44" s="900" t="s">
        <v>2182</v>
      </c>
      <c r="C44" s="901" t="s">
        <v>2180</v>
      </c>
      <c r="D44" s="902" t="str">
        <f t="shared" si="0"/>
        <v>1998</v>
      </c>
      <c r="E44" s="902" t="s">
        <v>3175</v>
      </c>
      <c r="F44" s="902" t="s">
        <v>2620</v>
      </c>
      <c r="G44" s="903" t="s">
        <v>2621</v>
      </c>
      <c r="H44" s="904">
        <v>24000000</v>
      </c>
      <c r="I44" s="904"/>
      <c r="J44" s="904">
        <v>24000000</v>
      </c>
      <c r="K44" s="904">
        <v>23999000</v>
      </c>
      <c r="L44" s="904">
        <v>1000</v>
      </c>
      <c r="M44" s="905">
        <v>10</v>
      </c>
      <c r="N44" s="906">
        <v>0.25900000000000001</v>
      </c>
      <c r="O44" s="905">
        <v>12</v>
      </c>
      <c r="P44" s="904"/>
      <c r="Q44" s="904"/>
      <c r="R44" s="904">
        <v>23999000</v>
      </c>
      <c r="S44" s="904">
        <v>1000</v>
      </c>
    </row>
    <row r="45" spans="2:19" hidden="1" x14ac:dyDescent="0.3">
      <c r="B45" s="900" t="s">
        <v>2183</v>
      </c>
      <c r="C45" s="901" t="s">
        <v>2184</v>
      </c>
      <c r="D45" s="902" t="str">
        <f t="shared" si="0"/>
        <v>1998</v>
      </c>
      <c r="E45" s="902" t="s">
        <v>3175</v>
      </c>
      <c r="F45" s="902" t="s">
        <v>2620</v>
      </c>
      <c r="G45" s="903" t="s">
        <v>2621</v>
      </c>
      <c r="H45" s="904">
        <v>22000000</v>
      </c>
      <c r="I45" s="904"/>
      <c r="J45" s="904">
        <v>22000000</v>
      </c>
      <c r="K45" s="904">
        <v>21999000</v>
      </c>
      <c r="L45" s="904">
        <v>1000</v>
      </c>
      <c r="M45" s="905">
        <v>10</v>
      </c>
      <c r="N45" s="906">
        <v>0.25900000000000001</v>
      </c>
      <c r="O45" s="905">
        <v>12</v>
      </c>
      <c r="P45" s="904"/>
      <c r="Q45" s="904"/>
      <c r="R45" s="904">
        <v>21999000</v>
      </c>
      <c r="S45" s="904">
        <v>1000</v>
      </c>
    </row>
    <row r="46" spans="2:19" hidden="1" x14ac:dyDescent="0.3">
      <c r="B46" s="900" t="s">
        <v>2185</v>
      </c>
      <c r="C46" s="901" t="s">
        <v>2186</v>
      </c>
      <c r="D46" s="902" t="str">
        <f t="shared" si="0"/>
        <v>1998</v>
      </c>
      <c r="E46" s="902" t="s">
        <v>3175</v>
      </c>
      <c r="F46" s="902" t="s">
        <v>2620</v>
      </c>
      <c r="G46" s="903" t="s">
        <v>2621</v>
      </c>
      <c r="H46" s="904">
        <v>18794000</v>
      </c>
      <c r="I46" s="904"/>
      <c r="J46" s="904">
        <v>18794000</v>
      </c>
      <c r="K46" s="904">
        <v>18793000</v>
      </c>
      <c r="L46" s="904">
        <v>1000</v>
      </c>
      <c r="M46" s="905">
        <v>10</v>
      </c>
      <c r="N46" s="906">
        <v>0.25900000000000001</v>
      </c>
      <c r="O46" s="905">
        <v>12</v>
      </c>
      <c r="P46" s="904"/>
      <c r="Q46" s="904"/>
      <c r="R46" s="904">
        <v>18793000</v>
      </c>
      <c r="S46" s="904">
        <v>1000</v>
      </c>
    </row>
    <row r="47" spans="2:19" hidden="1" x14ac:dyDescent="0.3">
      <c r="B47" s="900" t="s">
        <v>2187</v>
      </c>
      <c r="C47" s="901" t="s">
        <v>2186</v>
      </c>
      <c r="D47" s="902" t="str">
        <f t="shared" si="0"/>
        <v>1998</v>
      </c>
      <c r="E47" s="902" t="s">
        <v>3175</v>
      </c>
      <c r="F47" s="902" t="s">
        <v>2620</v>
      </c>
      <c r="G47" s="903" t="s">
        <v>2621</v>
      </c>
      <c r="H47" s="904">
        <v>17099200</v>
      </c>
      <c r="I47" s="904"/>
      <c r="J47" s="904">
        <v>17099200</v>
      </c>
      <c r="K47" s="904">
        <v>17098200</v>
      </c>
      <c r="L47" s="904">
        <v>1000</v>
      </c>
      <c r="M47" s="905">
        <v>10</v>
      </c>
      <c r="N47" s="906">
        <v>0.25900000000000001</v>
      </c>
      <c r="O47" s="905">
        <v>12</v>
      </c>
      <c r="P47" s="904"/>
      <c r="Q47" s="904"/>
      <c r="R47" s="904">
        <v>17098200</v>
      </c>
      <c r="S47" s="904">
        <v>1000</v>
      </c>
    </row>
    <row r="48" spans="2:19" hidden="1" x14ac:dyDescent="0.3">
      <c r="B48" s="900" t="s">
        <v>2188</v>
      </c>
      <c r="C48" s="901" t="s">
        <v>2186</v>
      </c>
      <c r="D48" s="902" t="str">
        <f t="shared" si="0"/>
        <v>1998</v>
      </c>
      <c r="E48" s="902" t="s">
        <v>3175</v>
      </c>
      <c r="F48" s="902" t="s">
        <v>2620</v>
      </c>
      <c r="G48" s="903" t="s">
        <v>2621</v>
      </c>
      <c r="H48" s="904">
        <v>5324800</v>
      </c>
      <c r="I48" s="904"/>
      <c r="J48" s="904">
        <v>5324800</v>
      </c>
      <c r="K48" s="904">
        <v>5323800</v>
      </c>
      <c r="L48" s="904">
        <v>1000</v>
      </c>
      <c r="M48" s="905">
        <v>10</v>
      </c>
      <c r="N48" s="906">
        <v>0.25900000000000001</v>
      </c>
      <c r="O48" s="905">
        <v>12</v>
      </c>
      <c r="P48" s="904"/>
      <c r="Q48" s="904"/>
      <c r="R48" s="904">
        <v>5323800</v>
      </c>
      <c r="S48" s="904">
        <v>1000</v>
      </c>
    </row>
    <row r="49" spans="2:19" hidden="1" x14ac:dyDescent="0.3">
      <c r="B49" s="900" t="s">
        <v>2189</v>
      </c>
      <c r="C49" s="901" t="s">
        <v>2190</v>
      </c>
      <c r="D49" s="902" t="str">
        <f t="shared" si="0"/>
        <v>1999</v>
      </c>
      <c r="E49" s="902" t="s">
        <v>3175</v>
      </c>
      <c r="F49" s="902" t="s">
        <v>2620</v>
      </c>
      <c r="G49" s="903" t="s">
        <v>2621</v>
      </c>
      <c r="H49" s="904">
        <v>3521200</v>
      </c>
      <c r="I49" s="904"/>
      <c r="J49" s="904">
        <v>3521200</v>
      </c>
      <c r="K49" s="904">
        <v>3520200</v>
      </c>
      <c r="L49" s="904">
        <v>1000</v>
      </c>
      <c r="M49" s="905">
        <v>10</v>
      </c>
      <c r="N49" s="906">
        <v>0.25900000000000001</v>
      </c>
      <c r="O49" s="905">
        <v>12</v>
      </c>
      <c r="P49" s="904"/>
      <c r="Q49" s="904"/>
      <c r="R49" s="904">
        <v>3520200</v>
      </c>
      <c r="S49" s="904">
        <v>1000</v>
      </c>
    </row>
    <row r="50" spans="2:19" hidden="1" x14ac:dyDescent="0.3">
      <c r="B50" s="900" t="s">
        <v>2191</v>
      </c>
      <c r="C50" s="901" t="s">
        <v>2174</v>
      </c>
      <c r="D50" s="902" t="str">
        <f t="shared" si="0"/>
        <v>2000</v>
      </c>
      <c r="E50" s="902" t="s">
        <v>3175</v>
      </c>
      <c r="F50" s="902" t="s">
        <v>2620</v>
      </c>
      <c r="G50" s="903" t="s">
        <v>2621</v>
      </c>
      <c r="H50" s="904">
        <v>1400000</v>
      </c>
      <c r="I50" s="904"/>
      <c r="J50" s="904">
        <v>1400000</v>
      </c>
      <c r="K50" s="904">
        <v>1399000</v>
      </c>
      <c r="L50" s="904">
        <v>1000</v>
      </c>
      <c r="M50" s="905">
        <v>10</v>
      </c>
      <c r="N50" s="906">
        <v>0.25900000000000001</v>
      </c>
      <c r="O50" s="905">
        <v>12</v>
      </c>
      <c r="P50" s="904"/>
      <c r="Q50" s="904"/>
      <c r="R50" s="904">
        <v>1399000</v>
      </c>
      <c r="S50" s="904">
        <v>1000</v>
      </c>
    </row>
    <row r="51" spans="2:19" hidden="1" x14ac:dyDescent="0.3">
      <c r="B51" s="900" t="s">
        <v>2192</v>
      </c>
      <c r="C51" s="901" t="s">
        <v>2174</v>
      </c>
      <c r="D51" s="902" t="str">
        <f t="shared" si="0"/>
        <v>2000</v>
      </c>
      <c r="E51" s="902" t="s">
        <v>3175</v>
      </c>
      <c r="F51" s="902" t="s">
        <v>2620</v>
      </c>
      <c r="G51" s="903" t="s">
        <v>2621</v>
      </c>
      <c r="H51" s="904">
        <v>2500000</v>
      </c>
      <c r="I51" s="904"/>
      <c r="J51" s="904">
        <v>2500000</v>
      </c>
      <c r="K51" s="904">
        <v>2499000</v>
      </c>
      <c r="L51" s="904">
        <v>1000</v>
      </c>
      <c r="M51" s="905">
        <v>10</v>
      </c>
      <c r="N51" s="906">
        <v>0.25900000000000001</v>
      </c>
      <c r="O51" s="905">
        <v>12</v>
      </c>
      <c r="P51" s="904"/>
      <c r="Q51" s="904"/>
      <c r="R51" s="904">
        <v>2499000</v>
      </c>
      <c r="S51" s="904">
        <v>1000</v>
      </c>
    </row>
    <row r="52" spans="2:19" hidden="1" x14ac:dyDescent="0.3">
      <c r="B52" s="900" t="s">
        <v>2193</v>
      </c>
      <c r="C52" s="901" t="s">
        <v>2174</v>
      </c>
      <c r="D52" s="902" t="str">
        <f t="shared" si="0"/>
        <v>2000</v>
      </c>
      <c r="E52" s="902" t="s">
        <v>3175</v>
      </c>
      <c r="F52" s="902" t="s">
        <v>2620</v>
      </c>
      <c r="G52" s="903" t="s">
        <v>2621</v>
      </c>
      <c r="H52" s="904">
        <v>16240000</v>
      </c>
      <c r="I52" s="904"/>
      <c r="J52" s="904">
        <v>16240000</v>
      </c>
      <c r="K52" s="904">
        <v>16239000</v>
      </c>
      <c r="L52" s="904">
        <v>1000</v>
      </c>
      <c r="M52" s="905">
        <v>10</v>
      </c>
      <c r="N52" s="906">
        <v>0.25900000000000001</v>
      </c>
      <c r="O52" s="905">
        <v>12</v>
      </c>
      <c r="P52" s="904"/>
      <c r="Q52" s="904"/>
      <c r="R52" s="904">
        <v>16239000</v>
      </c>
      <c r="S52" s="904">
        <v>1000</v>
      </c>
    </row>
    <row r="53" spans="2:19" hidden="1" x14ac:dyDescent="0.3">
      <c r="B53" s="900" t="s">
        <v>2194</v>
      </c>
      <c r="C53" s="901" t="s">
        <v>2174</v>
      </c>
      <c r="D53" s="902" t="str">
        <f t="shared" si="0"/>
        <v>2000</v>
      </c>
      <c r="E53" s="902" t="s">
        <v>3175</v>
      </c>
      <c r="F53" s="902" t="s">
        <v>2620</v>
      </c>
      <c r="G53" s="903" t="s">
        <v>2621</v>
      </c>
      <c r="H53" s="904">
        <v>16000000</v>
      </c>
      <c r="I53" s="904"/>
      <c r="J53" s="904">
        <v>16000000</v>
      </c>
      <c r="K53" s="904">
        <v>15999000</v>
      </c>
      <c r="L53" s="904">
        <v>1000</v>
      </c>
      <c r="M53" s="905">
        <v>10</v>
      </c>
      <c r="N53" s="906">
        <v>0.25900000000000001</v>
      </c>
      <c r="O53" s="905">
        <v>12</v>
      </c>
      <c r="P53" s="904"/>
      <c r="Q53" s="904"/>
      <c r="R53" s="904">
        <v>15999000</v>
      </c>
      <c r="S53" s="904">
        <v>1000</v>
      </c>
    </row>
    <row r="54" spans="2:19" hidden="1" x14ac:dyDescent="0.3">
      <c r="B54" s="900" t="s">
        <v>2195</v>
      </c>
      <c r="C54" s="901" t="s">
        <v>2174</v>
      </c>
      <c r="D54" s="902" t="str">
        <f t="shared" si="0"/>
        <v>2000</v>
      </c>
      <c r="E54" s="902" t="s">
        <v>3175</v>
      </c>
      <c r="F54" s="902" t="s">
        <v>2620</v>
      </c>
      <c r="G54" s="903" t="s">
        <v>2621</v>
      </c>
      <c r="H54" s="904">
        <v>2682000</v>
      </c>
      <c r="I54" s="904"/>
      <c r="J54" s="904">
        <v>2682000</v>
      </c>
      <c r="K54" s="904">
        <v>2681000</v>
      </c>
      <c r="L54" s="904">
        <v>1000</v>
      </c>
      <c r="M54" s="905">
        <v>10</v>
      </c>
      <c r="N54" s="906">
        <v>0.25900000000000001</v>
      </c>
      <c r="O54" s="905">
        <v>12</v>
      </c>
      <c r="P54" s="904"/>
      <c r="Q54" s="904"/>
      <c r="R54" s="904">
        <v>2681000</v>
      </c>
      <c r="S54" s="904">
        <v>1000</v>
      </c>
    </row>
    <row r="55" spans="2:19" hidden="1" x14ac:dyDescent="0.3">
      <c r="B55" s="900" t="s">
        <v>2195</v>
      </c>
      <c r="C55" s="901" t="s">
        <v>2174</v>
      </c>
      <c r="D55" s="902" t="str">
        <f t="shared" si="0"/>
        <v>2000</v>
      </c>
      <c r="E55" s="902" t="s">
        <v>3175</v>
      </c>
      <c r="F55" s="902" t="s">
        <v>2620</v>
      </c>
      <c r="G55" s="903" t="s">
        <v>2621</v>
      </c>
      <c r="H55" s="904">
        <v>8910000</v>
      </c>
      <c r="I55" s="904"/>
      <c r="J55" s="904">
        <v>8910000</v>
      </c>
      <c r="K55" s="904">
        <v>8909000</v>
      </c>
      <c r="L55" s="904">
        <v>1000</v>
      </c>
      <c r="M55" s="905">
        <v>10</v>
      </c>
      <c r="N55" s="906">
        <v>0.25900000000000001</v>
      </c>
      <c r="O55" s="905">
        <v>12</v>
      </c>
      <c r="P55" s="904"/>
      <c r="Q55" s="904"/>
      <c r="R55" s="904">
        <v>8909000</v>
      </c>
      <c r="S55" s="904">
        <v>1000</v>
      </c>
    </row>
    <row r="56" spans="2:19" hidden="1" x14ac:dyDescent="0.3">
      <c r="B56" s="900" t="s">
        <v>2195</v>
      </c>
      <c r="C56" s="901" t="s">
        <v>2174</v>
      </c>
      <c r="D56" s="902" t="str">
        <f t="shared" si="0"/>
        <v>2000</v>
      </c>
      <c r="E56" s="902" t="s">
        <v>3175</v>
      </c>
      <c r="F56" s="902" t="s">
        <v>2620</v>
      </c>
      <c r="G56" s="903" t="s">
        <v>2621</v>
      </c>
      <c r="H56" s="904">
        <v>4776000</v>
      </c>
      <c r="I56" s="904"/>
      <c r="J56" s="904">
        <v>4776000</v>
      </c>
      <c r="K56" s="904">
        <v>4775000</v>
      </c>
      <c r="L56" s="904">
        <v>1000</v>
      </c>
      <c r="M56" s="905">
        <v>10</v>
      </c>
      <c r="N56" s="906">
        <v>0.25900000000000001</v>
      </c>
      <c r="O56" s="905">
        <v>12</v>
      </c>
      <c r="P56" s="904"/>
      <c r="Q56" s="904"/>
      <c r="R56" s="904">
        <v>4775000</v>
      </c>
      <c r="S56" s="904">
        <v>1000</v>
      </c>
    </row>
    <row r="57" spans="2:19" hidden="1" x14ac:dyDescent="0.3">
      <c r="B57" s="900" t="s">
        <v>2196</v>
      </c>
      <c r="C57" s="901" t="s">
        <v>2174</v>
      </c>
      <c r="D57" s="902" t="str">
        <f t="shared" si="0"/>
        <v>2000</v>
      </c>
      <c r="E57" s="902" t="s">
        <v>3175</v>
      </c>
      <c r="F57" s="902" t="s">
        <v>2620</v>
      </c>
      <c r="G57" s="903" t="s">
        <v>2621</v>
      </c>
      <c r="H57" s="904">
        <v>7306000</v>
      </c>
      <c r="I57" s="904"/>
      <c r="J57" s="904">
        <v>7306000</v>
      </c>
      <c r="K57" s="904">
        <v>7305000</v>
      </c>
      <c r="L57" s="904">
        <v>1000</v>
      </c>
      <c r="M57" s="905">
        <v>10</v>
      </c>
      <c r="N57" s="906">
        <v>0.25900000000000001</v>
      </c>
      <c r="O57" s="905">
        <v>12</v>
      </c>
      <c r="P57" s="904"/>
      <c r="Q57" s="904"/>
      <c r="R57" s="904">
        <v>7305000</v>
      </c>
      <c r="S57" s="904">
        <v>1000</v>
      </c>
    </row>
    <row r="58" spans="2:19" hidden="1" x14ac:dyDescent="0.3">
      <c r="B58" s="900" t="s">
        <v>2197</v>
      </c>
      <c r="C58" s="901" t="s">
        <v>2174</v>
      </c>
      <c r="D58" s="902" t="str">
        <f t="shared" si="0"/>
        <v>2000</v>
      </c>
      <c r="E58" s="902" t="s">
        <v>3175</v>
      </c>
      <c r="F58" s="902" t="s">
        <v>2620</v>
      </c>
      <c r="G58" s="903" t="s">
        <v>2621</v>
      </c>
      <c r="H58" s="904">
        <v>9131000</v>
      </c>
      <c r="I58" s="904"/>
      <c r="J58" s="904">
        <v>9131000</v>
      </c>
      <c r="K58" s="904">
        <v>9130000</v>
      </c>
      <c r="L58" s="904">
        <v>1000</v>
      </c>
      <c r="M58" s="905">
        <v>10</v>
      </c>
      <c r="N58" s="906">
        <v>0.25900000000000001</v>
      </c>
      <c r="O58" s="905">
        <v>12</v>
      </c>
      <c r="P58" s="904"/>
      <c r="Q58" s="904"/>
      <c r="R58" s="904">
        <v>9130000</v>
      </c>
      <c r="S58" s="904">
        <v>1000</v>
      </c>
    </row>
    <row r="59" spans="2:19" hidden="1" x14ac:dyDescent="0.3">
      <c r="B59" s="900" t="s">
        <v>2198</v>
      </c>
      <c r="C59" s="901" t="s">
        <v>2174</v>
      </c>
      <c r="D59" s="902" t="str">
        <f t="shared" si="0"/>
        <v>2000</v>
      </c>
      <c r="E59" s="902" t="s">
        <v>3175</v>
      </c>
      <c r="F59" s="902" t="s">
        <v>2620</v>
      </c>
      <c r="G59" s="903" t="s">
        <v>2621</v>
      </c>
      <c r="H59" s="904">
        <v>5558000</v>
      </c>
      <c r="I59" s="904"/>
      <c r="J59" s="904">
        <v>5558000</v>
      </c>
      <c r="K59" s="904">
        <v>5557000</v>
      </c>
      <c r="L59" s="904">
        <v>1000</v>
      </c>
      <c r="M59" s="905">
        <v>10</v>
      </c>
      <c r="N59" s="906">
        <v>0.25900000000000001</v>
      </c>
      <c r="O59" s="905">
        <v>12</v>
      </c>
      <c r="P59" s="904"/>
      <c r="Q59" s="904"/>
      <c r="R59" s="904">
        <v>5557000</v>
      </c>
      <c r="S59" s="904">
        <v>1000</v>
      </c>
    </row>
    <row r="60" spans="2:19" hidden="1" x14ac:dyDescent="0.3">
      <c r="B60" s="900" t="s">
        <v>2199</v>
      </c>
      <c r="C60" s="901" t="s">
        <v>2174</v>
      </c>
      <c r="D60" s="902" t="str">
        <f t="shared" si="0"/>
        <v>2000</v>
      </c>
      <c r="E60" s="902" t="s">
        <v>3175</v>
      </c>
      <c r="F60" s="902" t="s">
        <v>2620</v>
      </c>
      <c r="G60" s="903" t="s">
        <v>2621</v>
      </c>
      <c r="H60" s="904">
        <v>7304000</v>
      </c>
      <c r="I60" s="904"/>
      <c r="J60" s="904">
        <v>7304000</v>
      </c>
      <c r="K60" s="904">
        <v>7303000</v>
      </c>
      <c r="L60" s="904">
        <v>1000</v>
      </c>
      <c r="M60" s="905">
        <v>10</v>
      </c>
      <c r="N60" s="906">
        <v>0.25900000000000001</v>
      </c>
      <c r="O60" s="905">
        <v>12</v>
      </c>
      <c r="P60" s="904"/>
      <c r="Q60" s="904"/>
      <c r="R60" s="904">
        <v>7303000</v>
      </c>
      <c r="S60" s="904">
        <v>1000</v>
      </c>
    </row>
    <row r="61" spans="2:19" hidden="1" x14ac:dyDescent="0.3">
      <c r="B61" s="900" t="s">
        <v>2179</v>
      </c>
      <c r="C61" s="901" t="s">
        <v>2174</v>
      </c>
      <c r="D61" s="902" t="str">
        <f t="shared" si="0"/>
        <v>2000</v>
      </c>
      <c r="E61" s="902" t="s">
        <v>3175</v>
      </c>
      <c r="F61" s="902" t="s">
        <v>2620</v>
      </c>
      <c r="G61" s="903" t="s">
        <v>2621</v>
      </c>
      <c r="H61" s="904">
        <v>56250000</v>
      </c>
      <c r="I61" s="904"/>
      <c r="J61" s="904">
        <v>56250000</v>
      </c>
      <c r="K61" s="904">
        <v>56249000</v>
      </c>
      <c r="L61" s="904">
        <v>1000</v>
      </c>
      <c r="M61" s="905">
        <v>10</v>
      </c>
      <c r="N61" s="906">
        <v>0.25900000000000001</v>
      </c>
      <c r="O61" s="905">
        <v>12</v>
      </c>
      <c r="P61" s="904"/>
      <c r="Q61" s="904"/>
      <c r="R61" s="904">
        <v>56249000</v>
      </c>
      <c r="S61" s="904">
        <v>1000</v>
      </c>
    </row>
    <row r="62" spans="2:19" hidden="1" x14ac:dyDescent="0.3">
      <c r="B62" s="900" t="s">
        <v>2200</v>
      </c>
      <c r="C62" s="901" t="s">
        <v>2174</v>
      </c>
      <c r="D62" s="902" t="str">
        <f t="shared" si="0"/>
        <v>2000</v>
      </c>
      <c r="E62" s="902" t="s">
        <v>3175</v>
      </c>
      <c r="F62" s="902" t="s">
        <v>2620</v>
      </c>
      <c r="G62" s="903" t="s">
        <v>2621</v>
      </c>
      <c r="H62" s="904">
        <v>3757000</v>
      </c>
      <c r="I62" s="904"/>
      <c r="J62" s="904">
        <v>3757000</v>
      </c>
      <c r="K62" s="904">
        <v>3756000</v>
      </c>
      <c r="L62" s="904">
        <v>1000</v>
      </c>
      <c r="M62" s="905">
        <v>10</v>
      </c>
      <c r="N62" s="906">
        <v>0.25900000000000001</v>
      </c>
      <c r="O62" s="905">
        <v>12</v>
      </c>
      <c r="P62" s="904"/>
      <c r="Q62" s="904"/>
      <c r="R62" s="904">
        <v>3756000</v>
      </c>
      <c r="S62" s="904">
        <v>1000</v>
      </c>
    </row>
    <row r="63" spans="2:19" hidden="1" x14ac:dyDescent="0.3">
      <c r="B63" s="900" t="s">
        <v>2201</v>
      </c>
      <c r="C63" s="901" t="s">
        <v>2174</v>
      </c>
      <c r="D63" s="902" t="str">
        <f t="shared" si="0"/>
        <v>2000</v>
      </c>
      <c r="E63" s="902" t="s">
        <v>3175</v>
      </c>
      <c r="F63" s="902" t="s">
        <v>2620</v>
      </c>
      <c r="G63" s="903" t="s">
        <v>2621</v>
      </c>
      <c r="H63" s="904">
        <v>3900000</v>
      </c>
      <c r="I63" s="904"/>
      <c r="J63" s="904">
        <v>3900000</v>
      </c>
      <c r="K63" s="904">
        <v>3899000</v>
      </c>
      <c r="L63" s="904">
        <v>1000</v>
      </c>
      <c r="M63" s="905">
        <v>10</v>
      </c>
      <c r="N63" s="906">
        <v>0.25900000000000001</v>
      </c>
      <c r="O63" s="905">
        <v>12</v>
      </c>
      <c r="P63" s="904"/>
      <c r="Q63" s="904"/>
      <c r="R63" s="904">
        <v>3899000</v>
      </c>
      <c r="S63" s="904">
        <v>1000</v>
      </c>
    </row>
    <row r="64" spans="2:19" hidden="1" x14ac:dyDescent="0.3">
      <c r="B64" s="900" t="s">
        <v>2202</v>
      </c>
      <c r="C64" s="901" t="s">
        <v>2174</v>
      </c>
      <c r="D64" s="902" t="str">
        <f t="shared" si="0"/>
        <v>2000</v>
      </c>
      <c r="E64" s="902" t="s">
        <v>3175</v>
      </c>
      <c r="F64" s="902" t="s">
        <v>2620</v>
      </c>
      <c r="G64" s="903" t="s">
        <v>2621</v>
      </c>
      <c r="H64" s="904">
        <v>2900000</v>
      </c>
      <c r="I64" s="904"/>
      <c r="J64" s="904">
        <v>2900000</v>
      </c>
      <c r="K64" s="904">
        <v>2899000</v>
      </c>
      <c r="L64" s="904">
        <v>1000</v>
      </c>
      <c r="M64" s="905">
        <v>10</v>
      </c>
      <c r="N64" s="906">
        <v>0.25900000000000001</v>
      </c>
      <c r="O64" s="905">
        <v>12</v>
      </c>
      <c r="P64" s="904"/>
      <c r="Q64" s="904"/>
      <c r="R64" s="904">
        <v>2899000</v>
      </c>
      <c r="S64" s="904">
        <v>1000</v>
      </c>
    </row>
    <row r="65" spans="2:19" hidden="1" x14ac:dyDescent="0.3">
      <c r="B65" s="900" t="s">
        <v>2203</v>
      </c>
      <c r="C65" s="901" t="s">
        <v>2174</v>
      </c>
      <c r="D65" s="902" t="str">
        <f t="shared" si="0"/>
        <v>2000</v>
      </c>
      <c r="E65" s="902" t="s">
        <v>3175</v>
      </c>
      <c r="F65" s="902" t="s">
        <v>2620</v>
      </c>
      <c r="G65" s="903" t="s">
        <v>2621</v>
      </c>
      <c r="H65" s="904">
        <v>9131000</v>
      </c>
      <c r="I65" s="904"/>
      <c r="J65" s="904">
        <v>9131000</v>
      </c>
      <c r="K65" s="904">
        <v>9130000</v>
      </c>
      <c r="L65" s="904">
        <v>1000</v>
      </c>
      <c r="M65" s="905">
        <v>10</v>
      </c>
      <c r="N65" s="906">
        <v>0.25900000000000001</v>
      </c>
      <c r="O65" s="905">
        <v>12</v>
      </c>
      <c r="P65" s="904"/>
      <c r="Q65" s="904"/>
      <c r="R65" s="904">
        <v>9130000</v>
      </c>
      <c r="S65" s="904">
        <v>1000</v>
      </c>
    </row>
    <row r="66" spans="2:19" hidden="1" x14ac:dyDescent="0.3">
      <c r="B66" s="900" t="s">
        <v>2203</v>
      </c>
      <c r="C66" s="901" t="s">
        <v>2174</v>
      </c>
      <c r="D66" s="902" t="str">
        <f t="shared" si="0"/>
        <v>2000</v>
      </c>
      <c r="E66" s="902" t="s">
        <v>3175</v>
      </c>
      <c r="F66" s="902" t="s">
        <v>2620</v>
      </c>
      <c r="G66" s="903" t="s">
        <v>2621</v>
      </c>
      <c r="H66" s="904">
        <v>10163000</v>
      </c>
      <c r="I66" s="904"/>
      <c r="J66" s="904">
        <v>10163000</v>
      </c>
      <c r="K66" s="904">
        <v>10162000</v>
      </c>
      <c r="L66" s="904">
        <v>1000</v>
      </c>
      <c r="M66" s="905">
        <v>10</v>
      </c>
      <c r="N66" s="906">
        <v>0.25900000000000001</v>
      </c>
      <c r="O66" s="905">
        <v>12</v>
      </c>
      <c r="P66" s="904"/>
      <c r="Q66" s="904"/>
      <c r="R66" s="904">
        <v>10162000</v>
      </c>
      <c r="S66" s="904">
        <v>1000</v>
      </c>
    </row>
    <row r="67" spans="2:19" hidden="1" x14ac:dyDescent="0.3">
      <c r="B67" s="900" t="s">
        <v>2204</v>
      </c>
      <c r="C67" s="901" t="s">
        <v>2174</v>
      </c>
      <c r="D67" s="902" t="str">
        <f t="shared" si="0"/>
        <v>2000</v>
      </c>
      <c r="E67" s="902" t="s">
        <v>3175</v>
      </c>
      <c r="F67" s="902" t="s">
        <v>2620</v>
      </c>
      <c r="G67" s="903" t="s">
        <v>2621</v>
      </c>
      <c r="H67" s="904">
        <v>1100000</v>
      </c>
      <c r="I67" s="904"/>
      <c r="J67" s="904">
        <v>1100000</v>
      </c>
      <c r="K67" s="904">
        <v>1099000</v>
      </c>
      <c r="L67" s="904">
        <v>1000</v>
      </c>
      <c r="M67" s="905">
        <v>10</v>
      </c>
      <c r="N67" s="906">
        <v>0.25900000000000001</v>
      </c>
      <c r="O67" s="905">
        <v>12</v>
      </c>
      <c r="P67" s="904"/>
      <c r="Q67" s="904"/>
      <c r="R67" s="904">
        <v>1099000</v>
      </c>
      <c r="S67" s="904">
        <v>1000</v>
      </c>
    </row>
    <row r="68" spans="2:19" hidden="1" x14ac:dyDescent="0.3">
      <c r="B68" s="900" t="s">
        <v>2205</v>
      </c>
      <c r="C68" s="901" t="s">
        <v>2206</v>
      </c>
      <c r="D68" s="902" t="str">
        <f t="shared" si="0"/>
        <v>2000</v>
      </c>
      <c r="E68" s="902" t="s">
        <v>3175</v>
      </c>
      <c r="F68" s="902" t="s">
        <v>2620</v>
      </c>
      <c r="G68" s="903" t="s">
        <v>2621</v>
      </c>
      <c r="H68" s="904">
        <v>12750000</v>
      </c>
      <c r="I68" s="904"/>
      <c r="J68" s="904">
        <v>12750000</v>
      </c>
      <c r="K68" s="904">
        <v>12749000</v>
      </c>
      <c r="L68" s="904">
        <v>1000</v>
      </c>
      <c r="M68" s="905">
        <v>10</v>
      </c>
      <c r="N68" s="906">
        <v>0.25900000000000001</v>
      </c>
      <c r="O68" s="905">
        <v>12</v>
      </c>
      <c r="P68" s="904"/>
      <c r="Q68" s="904"/>
      <c r="R68" s="904">
        <v>12749000</v>
      </c>
      <c r="S68" s="904">
        <v>1000</v>
      </c>
    </row>
    <row r="69" spans="2:19" hidden="1" x14ac:dyDescent="0.3">
      <c r="B69" s="900" t="s">
        <v>2207</v>
      </c>
      <c r="C69" s="901" t="s">
        <v>2208</v>
      </c>
      <c r="D69" s="902" t="str">
        <f t="shared" si="0"/>
        <v>2000</v>
      </c>
      <c r="E69" s="902" t="s">
        <v>3175</v>
      </c>
      <c r="F69" s="902" t="s">
        <v>2620</v>
      </c>
      <c r="G69" s="903" t="s">
        <v>2621</v>
      </c>
      <c r="H69" s="904">
        <v>30000000</v>
      </c>
      <c r="I69" s="904"/>
      <c r="J69" s="904">
        <v>30000000</v>
      </c>
      <c r="K69" s="904">
        <v>29999000</v>
      </c>
      <c r="L69" s="904">
        <v>1000</v>
      </c>
      <c r="M69" s="905">
        <v>10</v>
      </c>
      <c r="N69" s="906">
        <v>0.25900000000000001</v>
      </c>
      <c r="O69" s="905">
        <v>12</v>
      </c>
      <c r="P69" s="904"/>
      <c r="Q69" s="904"/>
      <c r="R69" s="904">
        <v>29999000</v>
      </c>
      <c r="S69" s="904">
        <v>1000</v>
      </c>
    </row>
    <row r="70" spans="2:19" hidden="1" x14ac:dyDescent="0.3">
      <c r="B70" s="900" t="s">
        <v>2209</v>
      </c>
      <c r="C70" s="901" t="s">
        <v>2208</v>
      </c>
      <c r="D70" s="902" t="str">
        <f t="shared" ref="D70:D133" si="4">LEFT(C70,4)</f>
        <v>2000</v>
      </c>
      <c r="E70" s="902" t="s">
        <v>3175</v>
      </c>
      <c r="F70" s="902" t="s">
        <v>2620</v>
      </c>
      <c r="G70" s="903" t="s">
        <v>2621</v>
      </c>
      <c r="H70" s="904">
        <v>15000000</v>
      </c>
      <c r="I70" s="904"/>
      <c r="J70" s="904">
        <v>15000000</v>
      </c>
      <c r="K70" s="904">
        <v>14999000</v>
      </c>
      <c r="L70" s="904">
        <v>1000</v>
      </c>
      <c r="M70" s="905">
        <v>10</v>
      </c>
      <c r="N70" s="906">
        <v>0.25900000000000001</v>
      </c>
      <c r="O70" s="905">
        <v>12</v>
      </c>
      <c r="P70" s="904"/>
      <c r="Q70" s="904"/>
      <c r="R70" s="904">
        <v>14999000</v>
      </c>
      <c r="S70" s="904">
        <v>1000</v>
      </c>
    </row>
    <row r="71" spans="2:19" hidden="1" x14ac:dyDescent="0.3">
      <c r="B71" s="900" t="s">
        <v>2210</v>
      </c>
      <c r="C71" s="901" t="s">
        <v>2211</v>
      </c>
      <c r="D71" s="902" t="str">
        <f t="shared" si="4"/>
        <v>2001</v>
      </c>
      <c r="E71" s="902" t="s">
        <v>3175</v>
      </c>
      <c r="F71" s="902" t="s">
        <v>2620</v>
      </c>
      <c r="G71" s="903" t="s">
        <v>2621</v>
      </c>
      <c r="H71" s="904">
        <v>17750000</v>
      </c>
      <c r="I71" s="904"/>
      <c r="J71" s="904">
        <v>17750000</v>
      </c>
      <c r="K71" s="904">
        <v>17749000</v>
      </c>
      <c r="L71" s="904">
        <v>1000</v>
      </c>
      <c r="M71" s="905">
        <v>10</v>
      </c>
      <c r="N71" s="906">
        <v>0.25900000000000001</v>
      </c>
      <c r="O71" s="905">
        <v>12</v>
      </c>
      <c r="P71" s="904"/>
      <c r="Q71" s="904"/>
      <c r="R71" s="904">
        <v>17749000</v>
      </c>
      <c r="S71" s="904">
        <v>1000</v>
      </c>
    </row>
    <row r="72" spans="2:19" hidden="1" x14ac:dyDescent="0.3">
      <c r="B72" s="900" t="s">
        <v>2212</v>
      </c>
      <c r="C72" s="901" t="s">
        <v>2213</v>
      </c>
      <c r="D72" s="902" t="str">
        <f t="shared" si="4"/>
        <v>2001</v>
      </c>
      <c r="E72" s="902" t="s">
        <v>3175</v>
      </c>
      <c r="F72" s="902" t="s">
        <v>2620</v>
      </c>
      <c r="G72" s="903" t="s">
        <v>2621</v>
      </c>
      <c r="H72" s="904">
        <v>12000000</v>
      </c>
      <c r="I72" s="904"/>
      <c r="J72" s="904">
        <v>12000000</v>
      </c>
      <c r="K72" s="904">
        <v>11999000</v>
      </c>
      <c r="L72" s="904">
        <v>1000</v>
      </c>
      <c r="M72" s="905">
        <v>10</v>
      </c>
      <c r="N72" s="906">
        <v>0.25900000000000001</v>
      </c>
      <c r="O72" s="905">
        <v>12</v>
      </c>
      <c r="P72" s="904"/>
      <c r="Q72" s="904"/>
      <c r="R72" s="904">
        <v>11999000</v>
      </c>
      <c r="S72" s="904">
        <v>1000</v>
      </c>
    </row>
    <row r="73" spans="2:19" hidden="1" x14ac:dyDescent="0.3">
      <c r="B73" s="900" t="s">
        <v>2214</v>
      </c>
      <c r="C73" s="901" t="s">
        <v>2215</v>
      </c>
      <c r="D73" s="902" t="str">
        <f t="shared" si="4"/>
        <v>2002</v>
      </c>
      <c r="E73" s="902" t="s">
        <v>3175</v>
      </c>
      <c r="F73" s="902" t="s">
        <v>2620</v>
      </c>
      <c r="G73" s="903" t="s">
        <v>2621</v>
      </c>
      <c r="H73" s="904">
        <v>13060000</v>
      </c>
      <c r="I73" s="904"/>
      <c r="J73" s="904">
        <v>13060000</v>
      </c>
      <c r="K73" s="904">
        <v>13059000</v>
      </c>
      <c r="L73" s="904">
        <v>1000</v>
      </c>
      <c r="M73" s="905">
        <v>10</v>
      </c>
      <c r="N73" s="906">
        <v>0.25900000000000001</v>
      </c>
      <c r="O73" s="905">
        <v>12</v>
      </c>
      <c r="P73" s="904"/>
      <c r="Q73" s="904"/>
      <c r="R73" s="904">
        <v>13059000</v>
      </c>
      <c r="S73" s="904">
        <v>1000</v>
      </c>
    </row>
    <row r="74" spans="2:19" hidden="1" x14ac:dyDescent="0.3">
      <c r="B74" s="900" t="s">
        <v>2216</v>
      </c>
      <c r="C74" s="901" t="s">
        <v>2175</v>
      </c>
      <c r="D74" s="902" t="str">
        <f t="shared" si="4"/>
        <v>2002</v>
      </c>
      <c r="E74" s="902" t="s">
        <v>3175</v>
      </c>
      <c r="F74" s="902" t="s">
        <v>2620</v>
      </c>
      <c r="G74" s="903" t="s">
        <v>2621</v>
      </c>
      <c r="H74" s="904">
        <v>10000000</v>
      </c>
      <c r="I74" s="904"/>
      <c r="J74" s="904">
        <v>10000000</v>
      </c>
      <c r="K74" s="904">
        <v>9999000</v>
      </c>
      <c r="L74" s="904">
        <v>1000</v>
      </c>
      <c r="M74" s="905">
        <v>5</v>
      </c>
      <c r="N74" s="906">
        <v>0.45100000000000001</v>
      </c>
      <c r="O74" s="905">
        <v>12</v>
      </c>
      <c r="P74" s="904"/>
      <c r="Q74" s="904"/>
      <c r="R74" s="904">
        <v>9999000</v>
      </c>
      <c r="S74" s="904">
        <v>1000</v>
      </c>
    </row>
    <row r="75" spans="2:19" hidden="1" x14ac:dyDescent="0.3">
      <c r="B75" s="900" t="s">
        <v>2217</v>
      </c>
      <c r="C75" s="901" t="s">
        <v>2218</v>
      </c>
      <c r="D75" s="902" t="str">
        <f t="shared" si="4"/>
        <v>2003</v>
      </c>
      <c r="E75" s="902" t="s">
        <v>3175</v>
      </c>
      <c r="F75" s="902" t="s">
        <v>2620</v>
      </c>
      <c r="G75" s="903" t="s">
        <v>2621</v>
      </c>
      <c r="H75" s="904">
        <v>49027800</v>
      </c>
      <c r="I75" s="904"/>
      <c r="J75" s="904">
        <v>49027800</v>
      </c>
      <c r="K75" s="904">
        <v>49026800</v>
      </c>
      <c r="L75" s="904">
        <v>1000</v>
      </c>
      <c r="M75" s="905">
        <v>10</v>
      </c>
      <c r="N75" s="906">
        <v>0.25900000000000001</v>
      </c>
      <c r="O75" s="905">
        <v>12</v>
      </c>
      <c r="P75" s="904"/>
      <c r="Q75" s="904"/>
      <c r="R75" s="904">
        <v>49026800</v>
      </c>
      <c r="S75" s="904">
        <v>1000</v>
      </c>
    </row>
    <row r="76" spans="2:19" hidden="1" x14ac:dyDescent="0.3">
      <c r="B76" s="900" t="s">
        <v>2219</v>
      </c>
      <c r="C76" s="901" t="s">
        <v>2220</v>
      </c>
      <c r="D76" s="902" t="str">
        <f t="shared" si="4"/>
        <v>2003</v>
      </c>
      <c r="E76" s="902" t="s">
        <v>3175</v>
      </c>
      <c r="F76" s="902" t="s">
        <v>2620</v>
      </c>
      <c r="G76" s="903" t="s">
        <v>2621</v>
      </c>
      <c r="H76" s="904">
        <v>1100000</v>
      </c>
      <c r="I76" s="904"/>
      <c r="J76" s="904">
        <v>1100000</v>
      </c>
      <c r="K76" s="904">
        <v>1099000</v>
      </c>
      <c r="L76" s="904">
        <v>1000</v>
      </c>
      <c r="M76" s="905">
        <v>10</v>
      </c>
      <c r="N76" s="906">
        <v>0.25900000000000001</v>
      </c>
      <c r="O76" s="905">
        <v>12</v>
      </c>
      <c r="P76" s="904"/>
      <c r="Q76" s="904"/>
      <c r="R76" s="904">
        <v>1099000</v>
      </c>
      <c r="S76" s="904">
        <v>1000</v>
      </c>
    </row>
    <row r="77" spans="2:19" hidden="1" x14ac:dyDescent="0.3">
      <c r="B77" s="900" t="s">
        <v>2221</v>
      </c>
      <c r="C77" s="901" t="s">
        <v>2222</v>
      </c>
      <c r="D77" s="902" t="str">
        <f t="shared" si="4"/>
        <v>2003</v>
      </c>
      <c r="E77" s="902" t="s">
        <v>3175</v>
      </c>
      <c r="F77" s="902" t="s">
        <v>2620</v>
      </c>
      <c r="G77" s="903" t="s">
        <v>2621</v>
      </c>
      <c r="H77" s="904">
        <v>10000000</v>
      </c>
      <c r="I77" s="904"/>
      <c r="J77" s="904">
        <v>10000000</v>
      </c>
      <c r="K77" s="904">
        <v>9999000</v>
      </c>
      <c r="L77" s="904">
        <v>1000</v>
      </c>
      <c r="M77" s="905">
        <v>10</v>
      </c>
      <c r="N77" s="906">
        <v>0.25900000000000001</v>
      </c>
      <c r="O77" s="905">
        <v>12</v>
      </c>
      <c r="P77" s="904"/>
      <c r="Q77" s="904"/>
      <c r="R77" s="904">
        <v>9999000</v>
      </c>
      <c r="S77" s="904">
        <v>1000</v>
      </c>
    </row>
    <row r="78" spans="2:19" hidden="1" x14ac:dyDescent="0.3">
      <c r="B78" s="900" t="s">
        <v>2223</v>
      </c>
      <c r="C78" s="901" t="s">
        <v>2224</v>
      </c>
      <c r="D78" s="902" t="str">
        <f t="shared" si="4"/>
        <v>2004</v>
      </c>
      <c r="E78" s="902" t="s">
        <v>3175</v>
      </c>
      <c r="F78" s="902" t="s">
        <v>2620</v>
      </c>
      <c r="G78" s="903" t="s">
        <v>2621</v>
      </c>
      <c r="H78" s="904">
        <v>1818182</v>
      </c>
      <c r="I78" s="904"/>
      <c r="J78" s="904">
        <v>1818182</v>
      </c>
      <c r="K78" s="904">
        <v>1817182</v>
      </c>
      <c r="L78" s="904">
        <v>1000</v>
      </c>
      <c r="M78" s="905">
        <v>10</v>
      </c>
      <c r="N78" s="906">
        <v>0.25900000000000001</v>
      </c>
      <c r="O78" s="905">
        <v>12</v>
      </c>
      <c r="P78" s="904"/>
      <c r="Q78" s="904"/>
      <c r="R78" s="904">
        <v>1817182</v>
      </c>
      <c r="S78" s="904">
        <v>1000</v>
      </c>
    </row>
    <row r="79" spans="2:19" hidden="1" x14ac:dyDescent="0.3">
      <c r="B79" s="900" t="s">
        <v>2225</v>
      </c>
      <c r="C79" s="901" t="s">
        <v>2226</v>
      </c>
      <c r="D79" s="902" t="str">
        <f t="shared" si="4"/>
        <v>2004</v>
      </c>
      <c r="E79" s="902" t="s">
        <v>3175</v>
      </c>
      <c r="F79" s="902" t="s">
        <v>2620</v>
      </c>
      <c r="G79" s="903" t="s">
        <v>2621</v>
      </c>
      <c r="H79" s="904">
        <v>9500000</v>
      </c>
      <c r="I79" s="904"/>
      <c r="J79" s="904">
        <v>9500000</v>
      </c>
      <c r="K79" s="904">
        <v>9499000</v>
      </c>
      <c r="L79" s="904">
        <v>1000</v>
      </c>
      <c r="M79" s="905">
        <v>10</v>
      </c>
      <c r="N79" s="906">
        <v>0.25900000000000001</v>
      </c>
      <c r="O79" s="905">
        <v>12</v>
      </c>
      <c r="P79" s="904"/>
      <c r="Q79" s="904"/>
      <c r="R79" s="904">
        <v>9499000</v>
      </c>
      <c r="S79" s="904">
        <v>1000</v>
      </c>
    </row>
    <row r="80" spans="2:19" hidden="1" x14ac:dyDescent="0.3">
      <c r="B80" s="900" t="s">
        <v>2227</v>
      </c>
      <c r="C80" s="901" t="s">
        <v>2228</v>
      </c>
      <c r="D80" s="902" t="str">
        <f t="shared" si="4"/>
        <v>2006</v>
      </c>
      <c r="E80" s="902" t="s">
        <v>3175</v>
      </c>
      <c r="F80" s="902" t="s">
        <v>2620</v>
      </c>
      <c r="G80" s="903" t="s">
        <v>2621</v>
      </c>
      <c r="H80" s="904">
        <v>11818182</v>
      </c>
      <c r="I80" s="904"/>
      <c r="J80" s="904">
        <v>11818182</v>
      </c>
      <c r="K80" s="904">
        <v>11817182</v>
      </c>
      <c r="L80" s="904">
        <v>1000</v>
      </c>
      <c r="M80" s="905">
        <v>10</v>
      </c>
      <c r="N80" s="906">
        <v>0.25900000000000001</v>
      </c>
      <c r="O80" s="905">
        <v>12</v>
      </c>
      <c r="P80" s="904"/>
      <c r="Q80" s="904"/>
      <c r="R80" s="904">
        <v>11817182</v>
      </c>
      <c r="S80" s="904">
        <v>1000</v>
      </c>
    </row>
    <row r="81" spans="2:19" hidden="1" x14ac:dyDescent="0.3">
      <c r="B81" s="900" t="s">
        <v>2229</v>
      </c>
      <c r="C81" s="901" t="s">
        <v>2230</v>
      </c>
      <c r="D81" s="902" t="str">
        <f t="shared" si="4"/>
        <v>2007</v>
      </c>
      <c r="E81" s="902" t="s">
        <v>3175</v>
      </c>
      <c r="F81" s="902" t="s">
        <v>2620</v>
      </c>
      <c r="G81" s="903" t="s">
        <v>2621</v>
      </c>
      <c r="H81" s="904">
        <v>4800000</v>
      </c>
      <c r="I81" s="904"/>
      <c r="J81" s="904">
        <v>4800000</v>
      </c>
      <c r="K81" s="904">
        <v>4532521</v>
      </c>
      <c r="L81" s="904">
        <v>267479</v>
      </c>
      <c r="M81" s="905">
        <v>10</v>
      </c>
      <c r="N81" s="906">
        <v>0.25900000000000001</v>
      </c>
      <c r="O81" s="905">
        <v>12</v>
      </c>
      <c r="P81" s="904">
        <v>266479</v>
      </c>
      <c r="Q81" s="904"/>
      <c r="R81" s="904">
        <v>4799000</v>
      </c>
      <c r="S81" s="904">
        <v>1000</v>
      </c>
    </row>
    <row r="82" spans="2:19" hidden="1" x14ac:dyDescent="0.3">
      <c r="B82" s="900" t="s">
        <v>2231</v>
      </c>
      <c r="C82" s="901" t="s">
        <v>2232</v>
      </c>
      <c r="D82" s="902" t="str">
        <f t="shared" si="4"/>
        <v>2007</v>
      </c>
      <c r="E82" s="902" t="s">
        <v>3175</v>
      </c>
      <c r="F82" s="902" t="s">
        <v>2620</v>
      </c>
      <c r="G82" s="903" t="s">
        <v>2621</v>
      </c>
      <c r="H82" s="904">
        <v>12500000</v>
      </c>
      <c r="I82" s="904"/>
      <c r="J82" s="904">
        <v>12500000</v>
      </c>
      <c r="K82" s="904">
        <v>11785273</v>
      </c>
      <c r="L82" s="904">
        <v>714727</v>
      </c>
      <c r="M82" s="905">
        <v>10</v>
      </c>
      <c r="N82" s="906">
        <v>0.25900000000000001</v>
      </c>
      <c r="O82" s="905">
        <v>12</v>
      </c>
      <c r="P82" s="904">
        <v>713727</v>
      </c>
      <c r="Q82" s="904"/>
      <c r="R82" s="904">
        <v>12499000</v>
      </c>
      <c r="S82" s="904">
        <v>1000</v>
      </c>
    </row>
    <row r="83" spans="2:19" hidden="1" x14ac:dyDescent="0.3">
      <c r="B83" s="900" t="s">
        <v>2233</v>
      </c>
      <c r="C83" s="901" t="s">
        <v>2232</v>
      </c>
      <c r="D83" s="902" t="str">
        <f t="shared" si="4"/>
        <v>2007</v>
      </c>
      <c r="E83" s="902" t="s">
        <v>3175</v>
      </c>
      <c r="F83" s="902" t="s">
        <v>2620</v>
      </c>
      <c r="G83" s="903" t="s">
        <v>2621</v>
      </c>
      <c r="H83" s="904">
        <v>12500000</v>
      </c>
      <c r="I83" s="904"/>
      <c r="J83" s="904">
        <v>12500000</v>
      </c>
      <c r="K83" s="904">
        <v>11785273</v>
      </c>
      <c r="L83" s="904">
        <v>714727</v>
      </c>
      <c r="M83" s="905">
        <v>10</v>
      </c>
      <c r="N83" s="906">
        <v>0.25900000000000001</v>
      </c>
      <c r="O83" s="905">
        <v>12</v>
      </c>
      <c r="P83" s="904">
        <v>713727</v>
      </c>
      <c r="Q83" s="904"/>
      <c r="R83" s="904">
        <v>12499000</v>
      </c>
      <c r="S83" s="904">
        <v>1000</v>
      </c>
    </row>
    <row r="84" spans="2:19" hidden="1" x14ac:dyDescent="0.3">
      <c r="B84" s="900" t="s">
        <v>2234</v>
      </c>
      <c r="C84" s="901" t="s">
        <v>2232</v>
      </c>
      <c r="D84" s="902" t="str">
        <f t="shared" si="4"/>
        <v>2007</v>
      </c>
      <c r="E84" s="902" t="s">
        <v>3175</v>
      </c>
      <c r="F84" s="902" t="s">
        <v>2620</v>
      </c>
      <c r="G84" s="903" t="s">
        <v>2621</v>
      </c>
      <c r="H84" s="904">
        <v>12500000</v>
      </c>
      <c r="I84" s="904"/>
      <c r="J84" s="904">
        <v>12500000</v>
      </c>
      <c r="K84" s="904">
        <v>11785273</v>
      </c>
      <c r="L84" s="904">
        <v>714727</v>
      </c>
      <c r="M84" s="905">
        <v>10</v>
      </c>
      <c r="N84" s="906">
        <v>0.25900000000000001</v>
      </c>
      <c r="O84" s="905">
        <v>12</v>
      </c>
      <c r="P84" s="904">
        <v>713727</v>
      </c>
      <c r="Q84" s="904"/>
      <c r="R84" s="904">
        <v>12499000</v>
      </c>
      <c r="S84" s="904">
        <v>1000</v>
      </c>
    </row>
    <row r="85" spans="2:19" hidden="1" x14ac:dyDescent="0.3">
      <c r="B85" s="900" t="s">
        <v>2234</v>
      </c>
      <c r="C85" s="901" t="s">
        <v>2232</v>
      </c>
      <c r="D85" s="902" t="str">
        <f t="shared" si="4"/>
        <v>2007</v>
      </c>
      <c r="E85" s="902" t="s">
        <v>3175</v>
      </c>
      <c r="F85" s="902" t="s">
        <v>2620</v>
      </c>
      <c r="G85" s="903" t="s">
        <v>2621</v>
      </c>
      <c r="H85" s="904">
        <v>12500000</v>
      </c>
      <c r="I85" s="904"/>
      <c r="J85" s="904">
        <v>12500000</v>
      </c>
      <c r="K85" s="904">
        <v>11785273</v>
      </c>
      <c r="L85" s="904">
        <v>714727</v>
      </c>
      <c r="M85" s="905">
        <v>10</v>
      </c>
      <c r="N85" s="906">
        <v>0.25900000000000001</v>
      </c>
      <c r="O85" s="905">
        <v>12</v>
      </c>
      <c r="P85" s="904">
        <v>713727</v>
      </c>
      <c r="Q85" s="904"/>
      <c r="R85" s="904">
        <v>12499000</v>
      </c>
      <c r="S85" s="904">
        <v>1000</v>
      </c>
    </row>
    <row r="86" spans="2:19" hidden="1" x14ac:dyDescent="0.3">
      <c r="B86" s="900" t="s">
        <v>2235</v>
      </c>
      <c r="C86" s="901" t="s">
        <v>2236</v>
      </c>
      <c r="D86" s="902" t="str">
        <f t="shared" si="4"/>
        <v>2007</v>
      </c>
      <c r="E86" s="902" t="s">
        <v>3175</v>
      </c>
      <c r="F86" s="902" t="s">
        <v>2620</v>
      </c>
      <c r="G86" s="903" t="s">
        <v>2621</v>
      </c>
      <c r="H86" s="904">
        <v>120000000</v>
      </c>
      <c r="I86" s="904"/>
      <c r="J86" s="904">
        <v>120000000</v>
      </c>
      <c r="K86" s="904">
        <v>113138638</v>
      </c>
      <c r="L86" s="904">
        <v>6861362</v>
      </c>
      <c r="M86" s="905">
        <v>10</v>
      </c>
      <c r="N86" s="906">
        <v>0.25900000000000001</v>
      </c>
      <c r="O86" s="905">
        <v>12</v>
      </c>
      <c r="P86" s="904">
        <v>6860362</v>
      </c>
      <c r="Q86" s="904"/>
      <c r="R86" s="904">
        <v>119999000</v>
      </c>
      <c r="S86" s="904">
        <v>1000</v>
      </c>
    </row>
    <row r="87" spans="2:19" hidden="1" x14ac:dyDescent="0.3">
      <c r="B87" s="900" t="s">
        <v>2237</v>
      </c>
      <c r="C87" s="901" t="s">
        <v>2236</v>
      </c>
      <c r="D87" s="902" t="str">
        <f t="shared" si="4"/>
        <v>2007</v>
      </c>
      <c r="E87" s="902" t="s">
        <v>3175</v>
      </c>
      <c r="F87" s="902" t="s">
        <v>2620</v>
      </c>
      <c r="G87" s="903" t="s">
        <v>2621</v>
      </c>
      <c r="H87" s="904">
        <v>72000000</v>
      </c>
      <c r="I87" s="904"/>
      <c r="J87" s="904">
        <v>72000000</v>
      </c>
      <c r="K87" s="904">
        <v>67883183</v>
      </c>
      <c r="L87" s="904">
        <v>4116817</v>
      </c>
      <c r="M87" s="905">
        <v>10</v>
      </c>
      <c r="N87" s="906">
        <v>0.25900000000000001</v>
      </c>
      <c r="O87" s="905">
        <v>12</v>
      </c>
      <c r="P87" s="904">
        <v>4115817</v>
      </c>
      <c r="Q87" s="904"/>
      <c r="R87" s="904">
        <v>71999000</v>
      </c>
      <c r="S87" s="904">
        <v>1000</v>
      </c>
    </row>
    <row r="88" spans="2:19" hidden="1" x14ac:dyDescent="0.3">
      <c r="B88" s="900" t="s">
        <v>2238</v>
      </c>
      <c r="C88" s="901" t="s">
        <v>2239</v>
      </c>
      <c r="D88" s="902" t="str">
        <f t="shared" si="4"/>
        <v>2007</v>
      </c>
      <c r="E88" s="902" t="s">
        <v>3175</v>
      </c>
      <c r="F88" s="902" t="s">
        <v>2620</v>
      </c>
      <c r="G88" s="903" t="s">
        <v>2621</v>
      </c>
      <c r="H88" s="904">
        <v>500000000</v>
      </c>
      <c r="I88" s="904"/>
      <c r="J88" s="904">
        <v>500000000</v>
      </c>
      <c r="K88" s="904">
        <v>470684137</v>
      </c>
      <c r="L88" s="904">
        <v>29315863</v>
      </c>
      <c r="M88" s="905">
        <v>10</v>
      </c>
      <c r="N88" s="906">
        <v>0.25900000000000001</v>
      </c>
      <c r="O88" s="905">
        <v>12</v>
      </c>
      <c r="P88" s="904">
        <v>29314863</v>
      </c>
      <c r="Q88" s="904"/>
      <c r="R88" s="904">
        <v>499999000</v>
      </c>
      <c r="S88" s="904">
        <v>1000</v>
      </c>
    </row>
    <row r="89" spans="2:19" hidden="1" x14ac:dyDescent="0.3">
      <c r="B89" s="900" t="s">
        <v>2240</v>
      </c>
      <c r="C89" s="901" t="s">
        <v>2241</v>
      </c>
      <c r="D89" s="902" t="str">
        <f t="shared" si="4"/>
        <v>2007</v>
      </c>
      <c r="E89" s="902" t="s">
        <v>3175</v>
      </c>
      <c r="F89" s="902" t="s">
        <v>2620</v>
      </c>
      <c r="G89" s="903" t="s">
        <v>2621</v>
      </c>
      <c r="H89" s="904">
        <v>2000000</v>
      </c>
      <c r="I89" s="904"/>
      <c r="J89" s="904">
        <v>2000000</v>
      </c>
      <c r="K89" s="904">
        <v>1879828</v>
      </c>
      <c r="L89" s="904">
        <v>120172</v>
      </c>
      <c r="M89" s="905">
        <v>10</v>
      </c>
      <c r="N89" s="906">
        <v>0.25900000000000001</v>
      </c>
      <c r="O89" s="905">
        <v>12</v>
      </c>
      <c r="P89" s="904">
        <v>119172</v>
      </c>
      <c r="Q89" s="904"/>
      <c r="R89" s="904">
        <v>1999000</v>
      </c>
      <c r="S89" s="904">
        <v>1000</v>
      </c>
    </row>
    <row r="90" spans="2:19" hidden="1" x14ac:dyDescent="0.3">
      <c r="B90" s="900" t="s">
        <v>2242</v>
      </c>
      <c r="C90" s="901" t="s">
        <v>2243</v>
      </c>
      <c r="D90" s="902" t="str">
        <f t="shared" si="4"/>
        <v>2007</v>
      </c>
      <c r="E90" s="902" t="s">
        <v>3175</v>
      </c>
      <c r="F90" s="902" t="s">
        <v>2620</v>
      </c>
      <c r="G90" s="903" t="s">
        <v>2621</v>
      </c>
      <c r="H90" s="904">
        <v>12900000</v>
      </c>
      <c r="I90" s="904"/>
      <c r="J90" s="904">
        <v>12900000</v>
      </c>
      <c r="K90" s="904">
        <v>12124896</v>
      </c>
      <c r="L90" s="904">
        <v>775104</v>
      </c>
      <c r="M90" s="905">
        <v>10</v>
      </c>
      <c r="N90" s="906">
        <v>0.25900000000000001</v>
      </c>
      <c r="O90" s="905">
        <v>12</v>
      </c>
      <c r="P90" s="904">
        <v>774104</v>
      </c>
      <c r="Q90" s="904"/>
      <c r="R90" s="904">
        <v>12899000</v>
      </c>
      <c r="S90" s="904">
        <v>1000</v>
      </c>
    </row>
    <row r="91" spans="2:19" hidden="1" x14ac:dyDescent="0.3">
      <c r="B91" s="900" t="s">
        <v>2179</v>
      </c>
      <c r="C91" s="901" t="s">
        <v>2244</v>
      </c>
      <c r="D91" s="902" t="str">
        <f t="shared" si="4"/>
        <v>2007</v>
      </c>
      <c r="E91" s="902" t="s">
        <v>3175</v>
      </c>
      <c r="F91" s="902" t="s">
        <v>2620</v>
      </c>
      <c r="G91" s="903" t="s">
        <v>2621</v>
      </c>
      <c r="H91" s="904">
        <v>45759600</v>
      </c>
      <c r="I91" s="904"/>
      <c r="J91" s="904">
        <v>45759600</v>
      </c>
      <c r="K91" s="904">
        <v>42744024</v>
      </c>
      <c r="L91" s="904">
        <v>3015576</v>
      </c>
      <c r="M91" s="905">
        <v>10</v>
      </c>
      <c r="N91" s="906">
        <v>0.25900000000000001</v>
      </c>
      <c r="O91" s="905">
        <v>12</v>
      </c>
      <c r="P91" s="904">
        <v>3014576</v>
      </c>
      <c r="Q91" s="904"/>
      <c r="R91" s="904">
        <v>45758600</v>
      </c>
      <c r="S91" s="904">
        <v>1000</v>
      </c>
    </row>
    <row r="92" spans="2:19" hidden="1" x14ac:dyDescent="0.3">
      <c r="B92" s="900" t="s">
        <v>2245</v>
      </c>
      <c r="C92" s="901" t="s">
        <v>2176</v>
      </c>
      <c r="D92" s="902" t="str">
        <f t="shared" si="4"/>
        <v>2008</v>
      </c>
      <c r="E92" s="902" t="s">
        <v>3175</v>
      </c>
      <c r="F92" s="902" t="s">
        <v>2620</v>
      </c>
      <c r="G92" s="903" t="s">
        <v>2621</v>
      </c>
      <c r="H92" s="904">
        <v>54818182</v>
      </c>
      <c r="I92" s="904"/>
      <c r="J92" s="904">
        <v>54818182</v>
      </c>
      <c r="K92" s="904">
        <v>51018408</v>
      </c>
      <c r="L92" s="904">
        <v>3799774</v>
      </c>
      <c r="M92" s="905">
        <v>10</v>
      </c>
      <c r="N92" s="906">
        <v>0.25900000000000001</v>
      </c>
      <c r="O92" s="905">
        <v>12</v>
      </c>
      <c r="P92" s="904">
        <v>984141</v>
      </c>
      <c r="Q92" s="904"/>
      <c r="R92" s="904">
        <v>52002549</v>
      </c>
      <c r="S92" s="904">
        <v>2815633</v>
      </c>
    </row>
    <row r="93" spans="2:19" hidden="1" x14ac:dyDescent="0.3">
      <c r="B93" s="900" t="s">
        <v>2246</v>
      </c>
      <c r="C93" s="901" t="s">
        <v>2247</v>
      </c>
      <c r="D93" s="902" t="str">
        <f t="shared" si="4"/>
        <v>2008</v>
      </c>
      <c r="E93" s="902" t="s">
        <v>3175</v>
      </c>
      <c r="F93" s="902" t="s">
        <v>2620</v>
      </c>
      <c r="G93" s="903" t="s">
        <v>2621</v>
      </c>
      <c r="H93" s="904">
        <v>12000000</v>
      </c>
      <c r="I93" s="904"/>
      <c r="J93" s="904">
        <v>12000000</v>
      </c>
      <c r="K93" s="904">
        <v>11097581</v>
      </c>
      <c r="L93" s="904">
        <v>902419</v>
      </c>
      <c r="M93" s="905">
        <v>10</v>
      </c>
      <c r="N93" s="906">
        <v>0.25900000000000001</v>
      </c>
      <c r="O93" s="905">
        <v>12</v>
      </c>
      <c r="P93" s="904">
        <v>233726</v>
      </c>
      <c r="Q93" s="904"/>
      <c r="R93" s="904">
        <v>11331307</v>
      </c>
      <c r="S93" s="904">
        <v>668693</v>
      </c>
    </row>
    <row r="94" spans="2:19" hidden="1" x14ac:dyDescent="0.3">
      <c r="B94" s="900" t="s">
        <v>2248</v>
      </c>
      <c r="C94" s="901" t="s">
        <v>2249</v>
      </c>
      <c r="D94" s="902" t="str">
        <f t="shared" si="4"/>
        <v>2008</v>
      </c>
      <c r="E94" s="902" t="s">
        <v>3175</v>
      </c>
      <c r="F94" s="902" t="s">
        <v>2620</v>
      </c>
      <c r="G94" s="903" t="s">
        <v>2621</v>
      </c>
      <c r="H94" s="904">
        <v>67000000</v>
      </c>
      <c r="I94" s="904"/>
      <c r="J94" s="904">
        <v>67000000</v>
      </c>
      <c r="K94" s="904">
        <v>61830058</v>
      </c>
      <c r="L94" s="904">
        <v>5169942</v>
      </c>
      <c r="M94" s="905">
        <v>10</v>
      </c>
      <c r="N94" s="906">
        <v>0.25900000000000001</v>
      </c>
      <c r="O94" s="905">
        <v>12</v>
      </c>
      <c r="P94" s="904">
        <v>1339014</v>
      </c>
      <c r="Q94" s="904"/>
      <c r="R94" s="904">
        <v>63169072</v>
      </c>
      <c r="S94" s="904">
        <v>3830928</v>
      </c>
    </row>
    <row r="95" spans="2:19" hidden="1" x14ac:dyDescent="0.3">
      <c r="B95" s="900" t="s">
        <v>2250</v>
      </c>
      <c r="C95" s="901" t="s">
        <v>2251</v>
      </c>
      <c r="D95" s="902" t="str">
        <f t="shared" si="4"/>
        <v>2008</v>
      </c>
      <c r="E95" s="902" t="s">
        <v>3175</v>
      </c>
      <c r="F95" s="902" t="s">
        <v>2620</v>
      </c>
      <c r="G95" s="903" t="s">
        <v>2621</v>
      </c>
      <c r="H95" s="904">
        <v>17000000</v>
      </c>
      <c r="I95" s="904"/>
      <c r="J95" s="904">
        <v>17000000</v>
      </c>
      <c r="K95" s="904">
        <v>15488114</v>
      </c>
      <c r="L95" s="904">
        <v>1511886</v>
      </c>
      <c r="M95" s="905">
        <v>10</v>
      </c>
      <c r="N95" s="906">
        <v>0.25900000000000001</v>
      </c>
      <c r="O95" s="905">
        <v>12</v>
      </c>
      <c r="P95" s="904">
        <v>391578</v>
      </c>
      <c r="Q95" s="904"/>
      <c r="R95" s="904">
        <v>15879692</v>
      </c>
      <c r="S95" s="904">
        <v>1120308</v>
      </c>
    </row>
    <row r="96" spans="2:19" hidden="1" x14ac:dyDescent="0.3">
      <c r="B96" s="900" t="s">
        <v>2252</v>
      </c>
      <c r="C96" s="901" t="s">
        <v>2251</v>
      </c>
      <c r="D96" s="902" t="str">
        <f t="shared" si="4"/>
        <v>2008</v>
      </c>
      <c r="E96" s="902" t="s">
        <v>3175</v>
      </c>
      <c r="F96" s="902" t="s">
        <v>2620</v>
      </c>
      <c r="G96" s="903" t="s">
        <v>2621</v>
      </c>
      <c r="H96" s="904">
        <v>31500000</v>
      </c>
      <c r="I96" s="904"/>
      <c r="J96" s="904">
        <v>31500000</v>
      </c>
      <c r="K96" s="904">
        <v>28698567</v>
      </c>
      <c r="L96" s="904">
        <v>2801433</v>
      </c>
      <c r="M96" s="905">
        <v>10</v>
      </c>
      <c r="N96" s="906">
        <v>0.25900000000000001</v>
      </c>
      <c r="O96" s="905">
        <v>12</v>
      </c>
      <c r="P96" s="904">
        <v>725571</v>
      </c>
      <c r="Q96" s="904"/>
      <c r="R96" s="904">
        <v>29424138</v>
      </c>
      <c r="S96" s="904">
        <v>2075862</v>
      </c>
    </row>
    <row r="97" spans="2:19" hidden="1" x14ac:dyDescent="0.3">
      <c r="B97" s="900" t="s">
        <v>2253</v>
      </c>
      <c r="C97" s="901" t="s">
        <v>2251</v>
      </c>
      <c r="D97" s="902" t="str">
        <f t="shared" si="4"/>
        <v>2008</v>
      </c>
      <c r="E97" s="902" t="s">
        <v>3175</v>
      </c>
      <c r="F97" s="902" t="s">
        <v>2620</v>
      </c>
      <c r="G97" s="903" t="s">
        <v>2621</v>
      </c>
      <c r="H97" s="904">
        <v>16500000</v>
      </c>
      <c r="I97" s="904"/>
      <c r="J97" s="904">
        <v>16500000</v>
      </c>
      <c r="K97" s="904">
        <v>15032581</v>
      </c>
      <c r="L97" s="904">
        <v>1467419</v>
      </c>
      <c r="M97" s="905">
        <v>10</v>
      </c>
      <c r="N97" s="906">
        <v>0.25900000000000001</v>
      </c>
      <c r="O97" s="905">
        <v>12</v>
      </c>
      <c r="P97" s="904">
        <v>380061</v>
      </c>
      <c r="Q97" s="904"/>
      <c r="R97" s="904">
        <v>15412642</v>
      </c>
      <c r="S97" s="904">
        <v>1087358</v>
      </c>
    </row>
    <row r="98" spans="2:19" hidden="1" x14ac:dyDescent="0.3">
      <c r="B98" s="900" t="s">
        <v>2253</v>
      </c>
      <c r="C98" s="901" t="s">
        <v>2251</v>
      </c>
      <c r="D98" s="902" t="str">
        <f t="shared" si="4"/>
        <v>2008</v>
      </c>
      <c r="E98" s="902" t="s">
        <v>3175</v>
      </c>
      <c r="F98" s="902" t="s">
        <v>2620</v>
      </c>
      <c r="G98" s="903" t="s">
        <v>2621</v>
      </c>
      <c r="H98" s="904">
        <v>16500000</v>
      </c>
      <c r="I98" s="904"/>
      <c r="J98" s="904">
        <v>16500000</v>
      </c>
      <c r="K98" s="904">
        <v>15032581</v>
      </c>
      <c r="L98" s="904">
        <v>1467419</v>
      </c>
      <c r="M98" s="905">
        <v>10</v>
      </c>
      <c r="N98" s="906">
        <v>0.25900000000000001</v>
      </c>
      <c r="O98" s="905">
        <v>12</v>
      </c>
      <c r="P98" s="904">
        <v>380061</v>
      </c>
      <c r="Q98" s="904"/>
      <c r="R98" s="904">
        <v>15412642</v>
      </c>
      <c r="S98" s="904">
        <v>1087358</v>
      </c>
    </row>
    <row r="99" spans="2:19" hidden="1" x14ac:dyDescent="0.3">
      <c r="B99" s="900" t="s">
        <v>2254</v>
      </c>
      <c r="C99" s="901" t="s">
        <v>2251</v>
      </c>
      <c r="D99" s="902" t="str">
        <f t="shared" si="4"/>
        <v>2008</v>
      </c>
      <c r="E99" s="902" t="s">
        <v>3175</v>
      </c>
      <c r="F99" s="902" t="s">
        <v>2620</v>
      </c>
      <c r="G99" s="903" t="s">
        <v>2621</v>
      </c>
      <c r="H99" s="904">
        <v>16500000</v>
      </c>
      <c r="I99" s="904"/>
      <c r="J99" s="904">
        <v>16500000</v>
      </c>
      <c r="K99" s="904">
        <v>15032581</v>
      </c>
      <c r="L99" s="904">
        <v>1467419</v>
      </c>
      <c r="M99" s="905">
        <v>10</v>
      </c>
      <c r="N99" s="906">
        <v>0.25900000000000001</v>
      </c>
      <c r="O99" s="905">
        <v>12</v>
      </c>
      <c r="P99" s="904">
        <v>380061</v>
      </c>
      <c r="Q99" s="904"/>
      <c r="R99" s="904">
        <v>15412642</v>
      </c>
      <c r="S99" s="904">
        <v>1087358</v>
      </c>
    </row>
    <row r="100" spans="2:19" hidden="1" x14ac:dyDescent="0.3">
      <c r="B100" s="900" t="s">
        <v>2255</v>
      </c>
      <c r="C100" s="901" t="s">
        <v>2251</v>
      </c>
      <c r="D100" s="902" t="str">
        <f t="shared" si="4"/>
        <v>2008</v>
      </c>
      <c r="E100" s="902" t="s">
        <v>3175</v>
      </c>
      <c r="F100" s="902" t="s">
        <v>2620</v>
      </c>
      <c r="G100" s="903" t="s">
        <v>2621</v>
      </c>
      <c r="H100" s="904">
        <v>25939170</v>
      </c>
      <c r="I100" s="904"/>
      <c r="J100" s="904">
        <v>25939170</v>
      </c>
      <c r="K100" s="904">
        <v>23632285</v>
      </c>
      <c r="L100" s="904">
        <v>2306885</v>
      </c>
      <c r="M100" s="905">
        <v>10</v>
      </c>
      <c r="N100" s="906">
        <v>0.25900000000000001</v>
      </c>
      <c r="O100" s="905">
        <v>12</v>
      </c>
      <c r="P100" s="904">
        <v>597483</v>
      </c>
      <c r="Q100" s="904"/>
      <c r="R100" s="904">
        <v>24229768</v>
      </c>
      <c r="S100" s="904">
        <v>1709402</v>
      </c>
    </row>
    <row r="101" spans="2:19" hidden="1" x14ac:dyDescent="0.3">
      <c r="B101" s="900" t="s">
        <v>2179</v>
      </c>
      <c r="C101" s="901" t="s">
        <v>2256</v>
      </c>
      <c r="D101" s="902" t="str">
        <f t="shared" si="4"/>
        <v>2009</v>
      </c>
      <c r="E101" s="902" t="s">
        <v>3175</v>
      </c>
      <c r="F101" s="902" t="s">
        <v>2620</v>
      </c>
      <c r="G101" s="903" t="s">
        <v>2621</v>
      </c>
      <c r="H101" s="904">
        <v>100591605</v>
      </c>
      <c r="I101" s="904"/>
      <c r="J101" s="904">
        <v>100591605</v>
      </c>
      <c r="K101" s="904">
        <v>90915565</v>
      </c>
      <c r="L101" s="904">
        <v>9676040</v>
      </c>
      <c r="M101" s="905">
        <v>10</v>
      </c>
      <c r="N101" s="906">
        <v>0.25900000000000001</v>
      </c>
      <c r="O101" s="905">
        <v>12</v>
      </c>
      <c r="P101" s="904">
        <v>2506094</v>
      </c>
      <c r="Q101" s="904"/>
      <c r="R101" s="904">
        <v>93421659</v>
      </c>
      <c r="S101" s="904">
        <v>7169946</v>
      </c>
    </row>
    <row r="102" spans="2:19" hidden="1" x14ac:dyDescent="0.3">
      <c r="B102" s="900" t="s">
        <v>2177</v>
      </c>
      <c r="C102" s="901" t="s">
        <v>2256</v>
      </c>
      <c r="D102" s="902" t="str">
        <f t="shared" si="4"/>
        <v>2009</v>
      </c>
      <c r="E102" s="902" t="s">
        <v>3175</v>
      </c>
      <c r="F102" s="902" t="s">
        <v>2620</v>
      </c>
      <c r="G102" s="903" t="s">
        <v>2621</v>
      </c>
      <c r="H102" s="904">
        <v>150000000</v>
      </c>
      <c r="I102" s="904"/>
      <c r="J102" s="904">
        <v>150000000</v>
      </c>
      <c r="K102" s="904">
        <v>135571302</v>
      </c>
      <c r="L102" s="904">
        <v>14428698</v>
      </c>
      <c r="M102" s="905">
        <v>10</v>
      </c>
      <c r="N102" s="906">
        <v>0.25900000000000001</v>
      </c>
      <c r="O102" s="905">
        <v>12</v>
      </c>
      <c r="P102" s="904">
        <v>3737032</v>
      </c>
      <c r="Q102" s="904"/>
      <c r="R102" s="904">
        <v>139308334</v>
      </c>
      <c r="S102" s="904">
        <v>10691666</v>
      </c>
    </row>
    <row r="103" spans="2:19" hidden="1" x14ac:dyDescent="0.3">
      <c r="B103" s="900" t="s">
        <v>2257</v>
      </c>
      <c r="C103" s="901" t="s">
        <v>2258</v>
      </c>
      <c r="D103" s="902" t="str">
        <f t="shared" si="4"/>
        <v>2009</v>
      </c>
      <c r="E103" s="902" t="s">
        <v>3175</v>
      </c>
      <c r="F103" s="902" t="s">
        <v>2620</v>
      </c>
      <c r="G103" s="903" t="s">
        <v>2621</v>
      </c>
      <c r="H103" s="904">
        <v>2100000</v>
      </c>
      <c r="I103" s="904"/>
      <c r="J103" s="904">
        <v>2100000</v>
      </c>
      <c r="K103" s="904">
        <v>1886877</v>
      </c>
      <c r="L103" s="904">
        <v>213123</v>
      </c>
      <c r="M103" s="905">
        <v>10</v>
      </c>
      <c r="N103" s="906">
        <v>0.25900000000000001</v>
      </c>
      <c r="O103" s="905">
        <v>12</v>
      </c>
      <c r="P103" s="904">
        <v>55198</v>
      </c>
      <c r="Q103" s="904"/>
      <c r="R103" s="904">
        <v>1942075</v>
      </c>
      <c r="S103" s="904">
        <v>157925</v>
      </c>
    </row>
    <row r="104" spans="2:19" hidden="1" x14ac:dyDescent="0.3">
      <c r="B104" s="900" t="s">
        <v>2257</v>
      </c>
      <c r="C104" s="901" t="s">
        <v>2258</v>
      </c>
      <c r="D104" s="902" t="str">
        <f t="shared" si="4"/>
        <v>2009</v>
      </c>
      <c r="E104" s="902" t="s">
        <v>3175</v>
      </c>
      <c r="F104" s="902" t="s">
        <v>2620</v>
      </c>
      <c r="G104" s="903" t="s">
        <v>2621</v>
      </c>
      <c r="H104" s="904">
        <v>2100000</v>
      </c>
      <c r="I104" s="904"/>
      <c r="J104" s="904">
        <v>2100000</v>
      </c>
      <c r="K104" s="904">
        <v>1886877</v>
      </c>
      <c r="L104" s="904">
        <v>213123</v>
      </c>
      <c r="M104" s="905">
        <v>10</v>
      </c>
      <c r="N104" s="906">
        <v>0.25900000000000001</v>
      </c>
      <c r="O104" s="905">
        <v>12</v>
      </c>
      <c r="P104" s="904">
        <v>55198</v>
      </c>
      <c r="Q104" s="904"/>
      <c r="R104" s="904">
        <v>1942075</v>
      </c>
      <c r="S104" s="904">
        <v>157925</v>
      </c>
    </row>
    <row r="105" spans="2:19" hidden="1" x14ac:dyDescent="0.3">
      <c r="B105" s="900" t="s">
        <v>2259</v>
      </c>
      <c r="C105" s="901" t="s">
        <v>2258</v>
      </c>
      <c r="D105" s="902" t="str">
        <f t="shared" si="4"/>
        <v>2009</v>
      </c>
      <c r="E105" s="902" t="s">
        <v>3175</v>
      </c>
      <c r="F105" s="902" t="s">
        <v>2620</v>
      </c>
      <c r="G105" s="903" t="s">
        <v>2621</v>
      </c>
      <c r="H105" s="904">
        <v>3150000</v>
      </c>
      <c r="I105" s="904"/>
      <c r="J105" s="904">
        <v>3150000</v>
      </c>
      <c r="K105" s="904">
        <v>2830316</v>
      </c>
      <c r="L105" s="904">
        <v>319684</v>
      </c>
      <c r="M105" s="905">
        <v>10</v>
      </c>
      <c r="N105" s="906">
        <v>0.25900000000000001</v>
      </c>
      <c r="O105" s="905">
        <v>12</v>
      </c>
      <c r="P105" s="904">
        <v>82798</v>
      </c>
      <c r="Q105" s="904"/>
      <c r="R105" s="904">
        <v>2913114</v>
      </c>
      <c r="S105" s="904">
        <v>236886</v>
      </c>
    </row>
    <row r="106" spans="2:19" hidden="1" x14ac:dyDescent="0.3">
      <c r="B106" s="900" t="s">
        <v>2259</v>
      </c>
      <c r="C106" s="901" t="s">
        <v>2258</v>
      </c>
      <c r="D106" s="902" t="str">
        <f t="shared" si="4"/>
        <v>2009</v>
      </c>
      <c r="E106" s="902" t="s">
        <v>3175</v>
      </c>
      <c r="F106" s="902" t="s">
        <v>2620</v>
      </c>
      <c r="G106" s="903" t="s">
        <v>2621</v>
      </c>
      <c r="H106" s="904">
        <v>3150000</v>
      </c>
      <c r="I106" s="904"/>
      <c r="J106" s="904">
        <v>3150000</v>
      </c>
      <c r="K106" s="904">
        <v>2830316</v>
      </c>
      <c r="L106" s="904">
        <v>319684</v>
      </c>
      <c r="M106" s="905">
        <v>10</v>
      </c>
      <c r="N106" s="906">
        <v>0.25900000000000001</v>
      </c>
      <c r="O106" s="905">
        <v>12</v>
      </c>
      <c r="P106" s="904">
        <v>82798</v>
      </c>
      <c r="Q106" s="904"/>
      <c r="R106" s="904">
        <v>2913114</v>
      </c>
      <c r="S106" s="904">
        <v>236886</v>
      </c>
    </row>
    <row r="107" spans="2:19" hidden="1" x14ac:dyDescent="0.3">
      <c r="B107" s="900" t="s">
        <v>2260</v>
      </c>
      <c r="C107" s="901" t="s">
        <v>2258</v>
      </c>
      <c r="D107" s="902" t="str">
        <f t="shared" si="4"/>
        <v>2009</v>
      </c>
      <c r="E107" s="902" t="s">
        <v>3175</v>
      </c>
      <c r="F107" s="902" t="s">
        <v>2620</v>
      </c>
      <c r="G107" s="903" t="s">
        <v>2621</v>
      </c>
      <c r="H107" s="904">
        <v>8300000</v>
      </c>
      <c r="I107" s="904"/>
      <c r="J107" s="904">
        <v>8300000</v>
      </c>
      <c r="K107" s="904">
        <v>7457660</v>
      </c>
      <c r="L107" s="904">
        <v>842340</v>
      </c>
      <c r="M107" s="905">
        <v>10</v>
      </c>
      <c r="N107" s="906">
        <v>0.25900000000000001</v>
      </c>
      <c r="O107" s="905">
        <v>12</v>
      </c>
      <c r="P107" s="904">
        <v>218166</v>
      </c>
      <c r="Q107" s="904"/>
      <c r="R107" s="904">
        <v>7675826</v>
      </c>
      <c r="S107" s="904">
        <v>624174</v>
      </c>
    </row>
    <row r="108" spans="2:19" hidden="1" x14ac:dyDescent="0.3">
      <c r="B108" s="900" t="s">
        <v>2261</v>
      </c>
      <c r="C108" s="901" t="s">
        <v>2262</v>
      </c>
      <c r="D108" s="902" t="str">
        <f t="shared" si="4"/>
        <v>2009</v>
      </c>
      <c r="E108" s="902" t="s">
        <v>3175</v>
      </c>
      <c r="F108" s="902" t="s">
        <v>2620</v>
      </c>
      <c r="G108" s="903" t="s">
        <v>2621</v>
      </c>
      <c r="H108" s="904">
        <v>32000000</v>
      </c>
      <c r="I108" s="904"/>
      <c r="J108" s="904">
        <v>32000000</v>
      </c>
      <c r="K108" s="904">
        <v>28667711</v>
      </c>
      <c r="L108" s="904">
        <v>3332289</v>
      </c>
      <c r="M108" s="905">
        <v>10</v>
      </c>
      <c r="N108" s="906">
        <v>0.25900000000000001</v>
      </c>
      <c r="O108" s="905">
        <v>12</v>
      </c>
      <c r="P108" s="904">
        <v>863062</v>
      </c>
      <c r="Q108" s="904"/>
      <c r="R108" s="904">
        <v>29530773</v>
      </c>
      <c r="S108" s="904">
        <v>2469227</v>
      </c>
    </row>
    <row r="109" spans="2:19" hidden="1" x14ac:dyDescent="0.3">
      <c r="B109" s="900" t="s">
        <v>2227</v>
      </c>
      <c r="C109" s="901" t="s">
        <v>2262</v>
      </c>
      <c r="D109" s="902" t="str">
        <f t="shared" si="4"/>
        <v>2009</v>
      </c>
      <c r="E109" s="902" t="s">
        <v>3175</v>
      </c>
      <c r="F109" s="902" t="s">
        <v>2620</v>
      </c>
      <c r="G109" s="903" t="s">
        <v>2621</v>
      </c>
      <c r="H109" s="904">
        <v>18000000</v>
      </c>
      <c r="I109" s="904"/>
      <c r="J109" s="904">
        <v>18000000</v>
      </c>
      <c r="K109" s="904">
        <v>16125587</v>
      </c>
      <c r="L109" s="904">
        <v>1874413</v>
      </c>
      <c r="M109" s="905">
        <v>10</v>
      </c>
      <c r="N109" s="906">
        <v>0.25900000000000001</v>
      </c>
      <c r="O109" s="905">
        <v>12</v>
      </c>
      <c r="P109" s="904">
        <v>485472</v>
      </c>
      <c r="Q109" s="904"/>
      <c r="R109" s="904">
        <v>16611059</v>
      </c>
      <c r="S109" s="904">
        <v>1388941</v>
      </c>
    </row>
    <row r="110" spans="2:19" hidden="1" x14ac:dyDescent="0.3">
      <c r="B110" s="900" t="s">
        <v>2263</v>
      </c>
      <c r="C110" s="901" t="s">
        <v>2264</v>
      </c>
      <c r="D110" s="902" t="str">
        <f t="shared" si="4"/>
        <v>2010</v>
      </c>
      <c r="E110" s="902" t="s">
        <v>3175</v>
      </c>
      <c r="F110" s="902" t="s">
        <v>2620</v>
      </c>
      <c r="G110" s="903" t="s">
        <v>2621</v>
      </c>
      <c r="H110" s="904">
        <v>15460000</v>
      </c>
      <c r="I110" s="904"/>
      <c r="J110" s="904">
        <v>15460000</v>
      </c>
      <c r="K110" s="904">
        <v>13397854</v>
      </c>
      <c r="L110" s="904">
        <v>2062146</v>
      </c>
      <c r="M110" s="905">
        <v>10</v>
      </c>
      <c r="N110" s="906">
        <v>0.25900000000000001</v>
      </c>
      <c r="O110" s="905">
        <v>12</v>
      </c>
      <c r="P110" s="904">
        <v>534095</v>
      </c>
      <c r="Q110" s="904"/>
      <c r="R110" s="904">
        <v>13931949</v>
      </c>
      <c r="S110" s="904">
        <v>1528051</v>
      </c>
    </row>
    <row r="111" spans="2:19" hidden="1" x14ac:dyDescent="0.3">
      <c r="B111" s="900" t="s">
        <v>2265</v>
      </c>
      <c r="C111" s="901" t="s">
        <v>2266</v>
      </c>
      <c r="D111" s="902" t="str">
        <f t="shared" si="4"/>
        <v>2010</v>
      </c>
      <c r="E111" s="902" t="s">
        <v>3175</v>
      </c>
      <c r="F111" s="902" t="s">
        <v>2620</v>
      </c>
      <c r="G111" s="903" t="s">
        <v>2621</v>
      </c>
      <c r="H111" s="904">
        <v>22000000</v>
      </c>
      <c r="I111" s="904"/>
      <c r="J111" s="904">
        <v>22000000</v>
      </c>
      <c r="K111" s="904">
        <v>18672486</v>
      </c>
      <c r="L111" s="904">
        <v>3327514</v>
      </c>
      <c r="M111" s="905">
        <v>10</v>
      </c>
      <c r="N111" s="906">
        <v>0.25900000000000001</v>
      </c>
      <c r="O111" s="905">
        <v>12</v>
      </c>
      <c r="P111" s="904">
        <v>861826</v>
      </c>
      <c r="Q111" s="904"/>
      <c r="R111" s="904">
        <v>19534312</v>
      </c>
      <c r="S111" s="904">
        <v>2465688</v>
      </c>
    </row>
    <row r="112" spans="2:19" hidden="1" x14ac:dyDescent="0.3">
      <c r="B112" s="900" t="s">
        <v>2267</v>
      </c>
      <c r="C112" s="901" t="s">
        <v>2268</v>
      </c>
      <c r="D112" s="902" t="str">
        <f t="shared" si="4"/>
        <v>2010</v>
      </c>
      <c r="E112" s="902" t="s">
        <v>3175</v>
      </c>
      <c r="F112" s="902" t="s">
        <v>2620</v>
      </c>
      <c r="G112" s="903" t="s">
        <v>2621</v>
      </c>
      <c r="H112" s="904">
        <v>14785000</v>
      </c>
      <c r="I112" s="904"/>
      <c r="J112" s="904">
        <v>14785000</v>
      </c>
      <c r="K112" s="904">
        <v>12654411</v>
      </c>
      <c r="L112" s="904">
        <v>2130589</v>
      </c>
      <c r="M112" s="905">
        <v>10</v>
      </c>
      <c r="N112" s="906">
        <v>0.25900000000000001</v>
      </c>
      <c r="O112" s="905">
        <v>12</v>
      </c>
      <c r="P112" s="904">
        <v>551822</v>
      </c>
      <c r="Q112" s="904"/>
      <c r="R112" s="904">
        <v>13206233</v>
      </c>
      <c r="S112" s="904">
        <v>1578767</v>
      </c>
    </row>
    <row r="113" spans="2:19" hidden="1" x14ac:dyDescent="0.3">
      <c r="B113" s="900" t="s">
        <v>2269</v>
      </c>
      <c r="C113" s="901" t="s">
        <v>2270</v>
      </c>
      <c r="D113" s="902" t="str">
        <f t="shared" si="4"/>
        <v>2010</v>
      </c>
      <c r="E113" s="902" t="s">
        <v>3175</v>
      </c>
      <c r="F113" s="902" t="s">
        <v>2620</v>
      </c>
      <c r="G113" s="903" t="s">
        <v>2621</v>
      </c>
      <c r="H113" s="904">
        <v>14727273</v>
      </c>
      <c r="I113" s="904"/>
      <c r="J113" s="904">
        <v>14727273</v>
      </c>
      <c r="K113" s="904">
        <v>12394523</v>
      </c>
      <c r="L113" s="904">
        <v>2332750</v>
      </c>
      <c r="M113" s="905">
        <v>10</v>
      </c>
      <c r="N113" s="906">
        <v>0.25900000000000001</v>
      </c>
      <c r="O113" s="905">
        <v>12</v>
      </c>
      <c r="P113" s="904">
        <v>604182</v>
      </c>
      <c r="Q113" s="904"/>
      <c r="R113" s="904">
        <v>12998705</v>
      </c>
      <c r="S113" s="904">
        <v>1728568</v>
      </c>
    </row>
    <row r="114" spans="2:19" hidden="1" x14ac:dyDescent="0.3">
      <c r="B114" s="900" t="s">
        <v>2271</v>
      </c>
      <c r="C114" s="901" t="s">
        <v>2272</v>
      </c>
      <c r="D114" s="902" t="str">
        <f t="shared" si="4"/>
        <v>2010</v>
      </c>
      <c r="E114" s="902" t="s">
        <v>3175</v>
      </c>
      <c r="F114" s="902" t="s">
        <v>2620</v>
      </c>
      <c r="G114" s="903" t="s">
        <v>2621</v>
      </c>
      <c r="H114" s="904">
        <v>14987000</v>
      </c>
      <c r="I114" s="904"/>
      <c r="J114" s="904">
        <v>14987000</v>
      </c>
      <c r="K114" s="904">
        <v>12613110</v>
      </c>
      <c r="L114" s="904">
        <v>2373890</v>
      </c>
      <c r="M114" s="905">
        <v>10</v>
      </c>
      <c r="N114" s="906">
        <v>0.25900000000000001</v>
      </c>
      <c r="O114" s="905">
        <v>12</v>
      </c>
      <c r="P114" s="904">
        <v>614837</v>
      </c>
      <c r="Q114" s="904"/>
      <c r="R114" s="904">
        <v>13227947</v>
      </c>
      <c r="S114" s="904">
        <v>1759053</v>
      </c>
    </row>
    <row r="115" spans="2:19" hidden="1" x14ac:dyDescent="0.3">
      <c r="B115" s="900" t="s">
        <v>2273</v>
      </c>
      <c r="C115" s="901" t="s">
        <v>2274</v>
      </c>
      <c r="D115" s="902" t="str">
        <f t="shared" si="4"/>
        <v>2011</v>
      </c>
      <c r="E115" s="902" t="s">
        <v>3175</v>
      </c>
      <c r="F115" s="902" t="s">
        <v>2620</v>
      </c>
      <c r="G115" s="903" t="s">
        <v>2621</v>
      </c>
      <c r="H115" s="904">
        <v>55000000</v>
      </c>
      <c r="I115" s="904"/>
      <c r="J115" s="904">
        <v>55000000</v>
      </c>
      <c r="K115" s="904">
        <v>45099568</v>
      </c>
      <c r="L115" s="904">
        <v>9900432</v>
      </c>
      <c r="M115" s="905">
        <v>10</v>
      </c>
      <c r="N115" s="906">
        <v>0.25900000000000001</v>
      </c>
      <c r="O115" s="905">
        <v>12</v>
      </c>
      <c r="P115" s="904">
        <v>2564211</v>
      </c>
      <c r="Q115" s="904"/>
      <c r="R115" s="904">
        <v>47663779</v>
      </c>
      <c r="S115" s="904">
        <v>7336221</v>
      </c>
    </row>
    <row r="116" spans="2:19" hidden="1" x14ac:dyDescent="0.3">
      <c r="B116" s="900" t="s">
        <v>2275</v>
      </c>
      <c r="C116" s="901" t="s">
        <v>2276</v>
      </c>
      <c r="D116" s="902" t="str">
        <f t="shared" si="4"/>
        <v>2011</v>
      </c>
      <c r="E116" s="902" t="s">
        <v>3175</v>
      </c>
      <c r="F116" s="902" t="s">
        <v>2620</v>
      </c>
      <c r="G116" s="903" t="s">
        <v>2621</v>
      </c>
      <c r="H116" s="904">
        <v>21490000</v>
      </c>
      <c r="I116" s="904"/>
      <c r="J116" s="904">
        <v>21490000</v>
      </c>
      <c r="K116" s="904">
        <v>17621630</v>
      </c>
      <c r="L116" s="904">
        <v>3868370</v>
      </c>
      <c r="M116" s="905">
        <v>10</v>
      </c>
      <c r="N116" s="906">
        <v>0.25900000000000001</v>
      </c>
      <c r="O116" s="905">
        <v>12</v>
      </c>
      <c r="P116" s="904">
        <v>1001907</v>
      </c>
      <c r="Q116" s="904"/>
      <c r="R116" s="904">
        <v>18623537</v>
      </c>
      <c r="S116" s="904">
        <v>2866463</v>
      </c>
    </row>
    <row r="117" spans="2:19" hidden="1" x14ac:dyDescent="0.3">
      <c r="B117" s="900" t="s">
        <v>2277</v>
      </c>
      <c r="C117" s="901" t="s">
        <v>2278</v>
      </c>
      <c r="D117" s="902" t="str">
        <f t="shared" si="4"/>
        <v>2011</v>
      </c>
      <c r="E117" s="902" t="s">
        <v>3175</v>
      </c>
      <c r="F117" s="902" t="s">
        <v>2620</v>
      </c>
      <c r="G117" s="903" t="s">
        <v>2621</v>
      </c>
      <c r="H117" s="904">
        <v>14400000</v>
      </c>
      <c r="I117" s="904"/>
      <c r="J117" s="904">
        <v>14400000</v>
      </c>
      <c r="K117" s="904">
        <v>11738452</v>
      </c>
      <c r="L117" s="904">
        <v>2661548</v>
      </c>
      <c r="M117" s="905">
        <v>10</v>
      </c>
      <c r="N117" s="906">
        <v>0.25900000000000001</v>
      </c>
      <c r="O117" s="905">
        <v>12</v>
      </c>
      <c r="P117" s="904">
        <v>689340</v>
      </c>
      <c r="Q117" s="904"/>
      <c r="R117" s="904">
        <v>12427792</v>
      </c>
      <c r="S117" s="904">
        <v>1972208</v>
      </c>
    </row>
    <row r="118" spans="2:19" hidden="1" x14ac:dyDescent="0.3">
      <c r="B118" s="900" t="s">
        <v>2279</v>
      </c>
      <c r="C118" s="901" t="s">
        <v>2280</v>
      </c>
      <c r="D118" s="902" t="str">
        <f t="shared" si="4"/>
        <v>2011</v>
      </c>
      <c r="E118" s="902" t="s">
        <v>3175</v>
      </c>
      <c r="F118" s="902" t="s">
        <v>2620</v>
      </c>
      <c r="G118" s="903" t="s">
        <v>2621</v>
      </c>
      <c r="H118" s="904">
        <v>3000000</v>
      </c>
      <c r="I118" s="904"/>
      <c r="J118" s="904">
        <v>3000000</v>
      </c>
      <c r="K118" s="904">
        <v>2503371</v>
      </c>
      <c r="L118" s="904">
        <v>496629</v>
      </c>
      <c r="M118" s="905">
        <v>10</v>
      </c>
      <c r="N118" s="906">
        <v>0.25900000000000001</v>
      </c>
      <c r="O118" s="905">
        <v>12</v>
      </c>
      <c r="P118" s="904">
        <v>128626</v>
      </c>
      <c r="Q118" s="904"/>
      <c r="R118" s="904">
        <v>2631997</v>
      </c>
      <c r="S118" s="904">
        <v>368003</v>
      </c>
    </row>
    <row r="119" spans="2:19" hidden="1" x14ac:dyDescent="0.3">
      <c r="B119" s="900" t="s">
        <v>2279</v>
      </c>
      <c r="C119" s="901" t="s">
        <v>2281</v>
      </c>
      <c r="D119" s="902" t="str">
        <f t="shared" si="4"/>
        <v>2011</v>
      </c>
      <c r="E119" s="902" t="s">
        <v>3175</v>
      </c>
      <c r="F119" s="902" t="s">
        <v>2620</v>
      </c>
      <c r="G119" s="903" t="s">
        <v>2621</v>
      </c>
      <c r="H119" s="904">
        <v>1500000</v>
      </c>
      <c r="I119" s="904"/>
      <c r="J119" s="904">
        <v>1500000</v>
      </c>
      <c r="K119" s="904">
        <v>1251685</v>
      </c>
      <c r="L119" s="904">
        <v>248315</v>
      </c>
      <c r="M119" s="905">
        <v>10</v>
      </c>
      <c r="N119" s="906">
        <v>0.25900000000000001</v>
      </c>
      <c r="O119" s="905">
        <v>12</v>
      </c>
      <c r="P119" s="904">
        <v>64313</v>
      </c>
      <c r="Q119" s="904"/>
      <c r="R119" s="904">
        <v>1315998</v>
      </c>
      <c r="S119" s="904">
        <v>184002</v>
      </c>
    </row>
    <row r="120" spans="2:19" hidden="1" x14ac:dyDescent="0.3">
      <c r="B120" s="900" t="s">
        <v>2282</v>
      </c>
      <c r="C120" s="901" t="s">
        <v>2283</v>
      </c>
      <c r="D120" s="902" t="str">
        <f t="shared" si="4"/>
        <v>2011</v>
      </c>
      <c r="E120" s="902" t="s">
        <v>3175</v>
      </c>
      <c r="F120" s="902" t="s">
        <v>2620</v>
      </c>
      <c r="G120" s="903" t="s">
        <v>2621</v>
      </c>
      <c r="H120" s="904">
        <v>75000000</v>
      </c>
      <c r="I120" s="904"/>
      <c r="J120" s="904">
        <v>75000000</v>
      </c>
      <c r="K120" s="904">
        <v>60052871</v>
      </c>
      <c r="L120" s="904">
        <v>14947129</v>
      </c>
      <c r="M120" s="905">
        <v>10</v>
      </c>
      <c r="N120" s="906">
        <v>0.25900000000000001</v>
      </c>
      <c r="O120" s="905">
        <v>12</v>
      </c>
      <c r="P120" s="904">
        <v>3871306</v>
      </c>
      <c r="Q120" s="904"/>
      <c r="R120" s="904">
        <v>63924177</v>
      </c>
      <c r="S120" s="904">
        <v>11075823</v>
      </c>
    </row>
    <row r="121" spans="2:19" hidden="1" x14ac:dyDescent="0.3">
      <c r="B121" s="900" t="s">
        <v>2284</v>
      </c>
      <c r="C121" s="901" t="s">
        <v>2285</v>
      </c>
      <c r="D121" s="902" t="str">
        <f t="shared" si="4"/>
        <v>2011</v>
      </c>
      <c r="E121" s="902" t="s">
        <v>3175</v>
      </c>
      <c r="F121" s="902" t="s">
        <v>2620</v>
      </c>
      <c r="G121" s="903" t="s">
        <v>2621</v>
      </c>
      <c r="H121" s="904">
        <v>8182000</v>
      </c>
      <c r="I121" s="904"/>
      <c r="J121" s="904">
        <v>8182000</v>
      </c>
      <c r="K121" s="904">
        <v>6433011</v>
      </c>
      <c r="L121" s="904">
        <v>1748989</v>
      </c>
      <c r="M121" s="905">
        <v>10</v>
      </c>
      <c r="N121" s="906">
        <v>0.25900000000000001</v>
      </c>
      <c r="O121" s="905">
        <v>12</v>
      </c>
      <c r="P121" s="904">
        <v>452988</v>
      </c>
      <c r="Q121" s="904"/>
      <c r="R121" s="904">
        <v>6885999</v>
      </c>
      <c r="S121" s="904">
        <v>1296001</v>
      </c>
    </row>
    <row r="122" spans="2:19" hidden="1" x14ac:dyDescent="0.3">
      <c r="B122" s="900" t="s">
        <v>2286</v>
      </c>
      <c r="C122" s="901" t="s">
        <v>2285</v>
      </c>
      <c r="D122" s="902" t="str">
        <f t="shared" si="4"/>
        <v>2011</v>
      </c>
      <c r="E122" s="902" t="s">
        <v>3175</v>
      </c>
      <c r="F122" s="902" t="s">
        <v>2620</v>
      </c>
      <c r="G122" s="903" t="s">
        <v>2621</v>
      </c>
      <c r="H122" s="904">
        <v>8182000</v>
      </c>
      <c r="I122" s="904"/>
      <c r="J122" s="904">
        <v>8182000</v>
      </c>
      <c r="K122" s="904">
        <v>6433011</v>
      </c>
      <c r="L122" s="904">
        <v>1748989</v>
      </c>
      <c r="M122" s="905">
        <v>10</v>
      </c>
      <c r="N122" s="906">
        <v>0.25900000000000001</v>
      </c>
      <c r="O122" s="905">
        <v>12</v>
      </c>
      <c r="P122" s="904">
        <v>452988</v>
      </c>
      <c r="Q122" s="904"/>
      <c r="R122" s="904">
        <v>6885999</v>
      </c>
      <c r="S122" s="904">
        <v>1296001</v>
      </c>
    </row>
    <row r="123" spans="2:19" hidden="1" x14ac:dyDescent="0.3">
      <c r="B123" s="900" t="s">
        <v>2287</v>
      </c>
      <c r="C123" s="901" t="s">
        <v>2285</v>
      </c>
      <c r="D123" s="902" t="str">
        <f t="shared" si="4"/>
        <v>2011</v>
      </c>
      <c r="E123" s="902" t="s">
        <v>3175</v>
      </c>
      <c r="F123" s="902" t="s">
        <v>2620</v>
      </c>
      <c r="G123" s="903" t="s">
        <v>2621</v>
      </c>
      <c r="H123" s="904">
        <v>8182000</v>
      </c>
      <c r="I123" s="904"/>
      <c r="J123" s="904">
        <v>8182000</v>
      </c>
      <c r="K123" s="904">
        <v>6433011</v>
      </c>
      <c r="L123" s="904">
        <v>1748989</v>
      </c>
      <c r="M123" s="905">
        <v>10</v>
      </c>
      <c r="N123" s="906">
        <v>0.25900000000000001</v>
      </c>
      <c r="O123" s="905">
        <v>12</v>
      </c>
      <c r="P123" s="904">
        <v>452988</v>
      </c>
      <c r="Q123" s="904"/>
      <c r="R123" s="904">
        <v>6885999</v>
      </c>
      <c r="S123" s="904">
        <v>1296001</v>
      </c>
    </row>
    <row r="124" spans="2:19" hidden="1" x14ac:dyDescent="0.3">
      <c r="B124" s="900" t="s">
        <v>2288</v>
      </c>
      <c r="C124" s="901" t="s">
        <v>2285</v>
      </c>
      <c r="D124" s="902" t="str">
        <f t="shared" si="4"/>
        <v>2011</v>
      </c>
      <c r="E124" s="902" t="s">
        <v>3175</v>
      </c>
      <c r="F124" s="902" t="s">
        <v>2620</v>
      </c>
      <c r="G124" s="903" t="s">
        <v>2621</v>
      </c>
      <c r="H124" s="904">
        <v>8182000</v>
      </c>
      <c r="I124" s="904"/>
      <c r="J124" s="904">
        <v>8182000</v>
      </c>
      <c r="K124" s="904">
        <v>6433011</v>
      </c>
      <c r="L124" s="904">
        <v>1748989</v>
      </c>
      <c r="M124" s="905">
        <v>10</v>
      </c>
      <c r="N124" s="906">
        <v>0.25900000000000001</v>
      </c>
      <c r="O124" s="905">
        <v>12</v>
      </c>
      <c r="P124" s="904">
        <v>452988</v>
      </c>
      <c r="Q124" s="904"/>
      <c r="R124" s="904">
        <v>6885999</v>
      </c>
      <c r="S124" s="904">
        <v>1296001</v>
      </c>
    </row>
    <row r="125" spans="2:19" hidden="1" x14ac:dyDescent="0.3">
      <c r="B125" s="900" t="s">
        <v>2289</v>
      </c>
      <c r="C125" s="901" t="s">
        <v>2285</v>
      </c>
      <c r="D125" s="902" t="str">
        <f t="shared" si="4"/>
        <v>2011</v>
      </c>
      <c r="E125" s="902" t="s">
        <v>3175</v>
      </c>
      <c r="F125" s="902" t="s">
        <v>2620</v>
      </c>
      <c r="G125" s="903" t="s">
        <v>2621</v>
      </c>
      <c r="H125" s="904">
        <v>8182000</v>
      </c>
      <c r="I125" s="904"/>
      <c r="J125" s="904">
        <v>8182000</v>
      </c>
      <c r="K125" s="904">
        <v>6433011</v>
      </c>
      <c r="L125" s="904">
        <v>1748989</v>
      </c>
      <c r="M125" s="905">
        <v>10</v>
      </c>
      <c r="N125" s="906">
        <v>0.25900000000000001</v>
      </c>
      <c r="O125" s="905">
        <v>12</v>
      </c>
      <c r="P125" s="904">
        <v>452988</v>
      </c>
      <c r="Q125" s="904"/>
      <c r="R125" s="904">
        <v>6885999</v>
      </c>
      <c r="S125" s="904">
        <v>1296001</v>
      </c>
    </row>
    <row r="126" spans="2:19" hidden="1" x14ac:dyDescent="0.3">
      <c r="B126" s="900" t="s">
        <v>2290</v>
      </c>
      <c r="C126" s="901" t="s">
        <v>2291</v>
      </c>
      <c r="D126" s="902" t="str">
        <f t="shared" si="4"/>
        <v>2011</v>
      </c>
      <c r="E126" s="902" t="s">
        <v>3175</v>
      </c>
      <c r="F126" s="902" t="s">
        <v>2620</v>
      </c>
      <c r="G126" s="903" t="s">
        <v>2621</v>
      </c>
      <c r="H126" s="904">
        <v>6500000</v>
      </c>
      <c r="I126" s="904"/>
      <c r="J126" s="904">
        <v>6500000</v>
      </c>
      <c r="K126" s="904">
        <v>5110556</v>
      </c>
      <c r="L126" s="904">
        <v>1389444</v>
      </c>
      <c r="M126" s="905">
        <v>10</v>
      </c>
      <c r="N126" s="906">
        <v>0.25900000000000001</v>
      </c>
      <c r="O126" s="905">
        <v>12</v>
      </c>
      <c r="P126" s="904">
        <v>359865</v>
      </c>
      <c r="Q126" s="904"/>
      <c r="R126" s="904">
        <v>5470421</v>
      </c>
      <c r="S126" s="904">
        <v>1029579</v>
      </c>
    </row>
    <row r="127" spans="2:19" hidden="1" x14ac:dyDescent="0.3">
      <c r="B127" s="900" t="s">
        <v>2292</v>
      </c>
      <c r="C127" s="901" t="s">
        <v>2293</v>
      </c>
      <c r="D127" s="902" t="str">
        <f t="shared" si="4"/>
        <v>2011</v>
      </c>
      <c r="E127" s="902" t="s">
        <v>3175</v>
      </c>
      <c r="F127" s="902" t="s">
        <v>2620</v>
      </c>
      <c r="G127" s="903" t="s">
        <v>2621</v>
      </c>
      <c r="H127" s="904">
        <v>4500000</v>
      </c>
      <c r="I127" s="904"/>
      <c r="J127" s="904">
        <v>4500000</v>
      </c>
      <c r="K127" s="904">
        <v>3516378</v>
      </c>
      <c r="L127" s="904">
        <v>983622</v>
      </c>
      <c r="M127" s="905">
        <v>10</v>
      </c>
      <c r="N127" s="906">
        <v>0.25900000000000001</v>
      </c>
      <c r="O127" s="905">
        <v>12</v>
      </c>
      <c r="P127" s="904">
        <v>254758</v>
      </c>
      <c r="Q127" s="904"/>
      <c r="R127" s="904">
        <v>3771136</v>
      </c>
      <c r="S127" s="904">
        <v>728864</v>
      </c>
    </row>
    <row r="128" spans="2:19" hidden="1" x14ac:dyDescent="0.3">
      <c r="B128" s="900" t="s">
        <v>2294</v>
      </c>
      <c r="C128" s="901" t="s">
        <v>2295</v>
      </c>
      <c r="D128" s="902" t="str">
        <f t="shared" si="4"/>
        <v>2011</v>
      </c>
      <c r="E128" s="902" t="s">
        <v>3175</v>
      </c>
      <c r="F128" s="902" t="s">
        <v>2620</v>
      </c>
      <c r="G128" s="903" t="s">
        <v>2621</v>
      </c>
      <c r="H128" s="904">
        <v>3800000</v>
      </c>
      <c r="I128" s="904"/>
      <c r="J128" s="904">
        <v>3800000</v>
      </c>
      <c r="K128" s="904">
        <v>2969386</v>
      </c>
      <c r="L128" s="904">
        <v>830614</v>
      </c>
      <c r="M128" s="905">
        <v>10</v>
      </c>
      <c r="N128" s="906">
        <v>0.25900000000000001</v>
      </c>
      <c r="O128" s="905">
        <v>12</v>
      </c>
      <c r="P128" s="904">
        <v>215129</v>
      </c>
      <c r="Q128" s="904"/>
      <c r="R128" s="904">
        <v>3184515</v>
      </c>
      <c r="S128" s="904">
        <v>615485</v>
      </c>
    </row>
    <row r="129" spans="2:19" hidden="1" x14ac:dyDescent="0.3">
      <c r="B129" s="900" t="s">
        <v>2296</v>
      </c>
      <c r="C129" s="901" t="s">
        <v>2297</v>
      </c>
      <c r="D129" s="902" t="str">
        <f t="shared" si="4"/>
        <v>2011</v>
      </c>
      <c r="E129" s="902" t="s">
        <v>3175</v>
      </c>
      <c r="F129" s="902" t="s">
        <v>2620</v>
      </c>
      <c r="G129" s="903" t="s">
        <v>2621</v>
      </c>
      <c r="H129" s="904">
        <v>20000000</v>
      </c>
      <c r="I129" s="904"/>
      <c r="J129" s="904">
        <v>20000000</v>
      </c>
      <c r="K129" s="904">
        <v>15724790</v>
      </c>
      <c r="L129" s="904">
        <v>4275210</v>
      </c>
      <c r="M129" s="905">
        <v>10</v>
      </c>
      <c r="N129" s="906">
        <v>0.25900000000000001</v>
      </c>
      <c r="O129" s="905">
        <v>12</v>
      </c>
      <c r="P129" s="904">
        <v>1107279</v>
      </c>
      <c r="Q129" s="904"/>
      <c r="R129" s="904">
        <v>16832069</v>
      </c>
      <c r="S129" s="904">
        <v>3167931</v>
      </c>
    </row>
    <row r="130" spans="2:19" hidden="1" x14ac:dyDescent="0.3">
      <c r="B130" s="900" t="s">
        <v>2296</v>
      </c>
      <c r="C130" s="901" t="s">
        <v>2298</v>
      </c>
      <c r="D130" s="902" t="str">
        <f t="shared" si="4"/>
        <v>2012</v>
      </c>
      <c r="E130" s="902" t="s">
        <v>3175</v>
      </c>
      <c r="F130" s="902" t="s">
        <v>2620</v>
      </c>
      <c r="G130" s="903" t="s">
        <v>2621</v>
      </c>
      <c r="H130" s="904">
        <v>15908000</v>
      </c>
      <c r="I130" s="904"/>
      <c r="J130" s="904">
        <v>15908000</v>
      </c>
      <c r="K130" s="904">
        <v>12250571</v>
      </c>
      <c r="L130" s="904">
        <v>3657429</v>
      </c>
      <c r="M130" s="905">
        <v>10</v>
      </c>
      <c r="N130" s="906">
        <v>0.25900000000000001</v>
      </c>
      <c r="O130" s="905">
        <v>12</v>
      </c>
      <c r="P130" s="904">
        <v>947274</v>
      </c>
      <c r="Q130" s="904"/>
      <c r="R130" s="904">
        <v>13197845</v>
      </c>
      <c r="S130" s="904">
        <v>2710155</v>
      </c>
    </row>
    <row r="131" spans="2:19" hidden="1" x14ac:dyDescent="0.3">
      <c r="B131" s="900" t="s">
        <v>2299</v>
      </c>
      <c r="C131" s="901" t="s">
        <v>2300</v>
      </c>
      <c r="D131" s="902" t="str">
        <f t="shared" si="4"/>
        <v>2012</v>
      </c>
      <c r="E131" s="902" t="s">
        <v>3175</v>
      </c>
      <c r="F131" s="902" t="s">
        <v>2620</v>
      </c>
      <c r="G131" s="903" t="s">
        <v>2621</v>
      </c>
      <c r="H131" s="904">
        <v>260000000</v>
      </c>
      <c r="I131" s="904"/>
      <c r="J131" s="904">
        <v>260000000</v>
      </c>
      <c r="K131" s="904">
        <v>198531223</v>
      </c>
      <c r="L131" s="904">
        <v>61468777</v>
      </c>
      <c r="M131" s="905">
        <v>10</v>
      </c>
      <c r="N131" s="906">
        <v>0.25900000000000001</v>
      </c>
      <c r="O131" s="905">
        <v>12</v>
      </c>
      <c r="P131" s="904">
        <v>15920413</v>
      </c>
      <c r="Q131" s="904"/>
      <c r="R131" s="904">
        <v>214451636</v>
      </c>
      <c r="S131" s="904">
        <v>45548364</v>
      </c>
    </row>
    <row r="132" spans="2:19" hidden="1" x14ac:dyDescent="0.3">
      <c r="B132" s="900" t="s">
        <v>2234</v>
      </c>
      <c r="C132" s="901" t="s">
        <v>2301</v>
      </c>
      <c r="D132" s="902" t="str">
        <f t="shared" si="4"/>
        <v>2012</v>
      </c>
      <c r="E132" s="902" t="s">
        <v>3175</v>
      </c>
      <c r="F132" s="902" t="s">
        <v>2620</v>
      </c>
      <c r="G132" s="903" t="s">
        <v>2621</v>
      </c>
      <c r="H132" s="904">
        <v>16020000</v>
      </c>
      <c r="I132" s="904"/>
      <c r="J132" s="904">
        <v>16020000</v>
      </c>
      <c r="K132" s="904">
        <v>12232576</v>
      </c>
      <c r="L132" s="904">
        <v>3787424</v>
      </c>
      <c r="M132" s="905">
        <v>10</v>
      </c>
      <c r="N132" s="906">
        <v>0.25900000000000001</v>
      </c>
      <c r="O132" s="905">
        <v>12</v>
      </c>
      <c r="P132" s="904">
        <v>980942</v>
      </c>
      <c r="Q132" s="904"/>
      <c r="R132" s="904">
        <v>13213518</v>
      </c>
      <c r="S132" s="904">
        <v>2806482</v>
      </c>
    </row>
    <row r="133" spans="2:19" hidden="1" x14ac:dyDescent="0.3">
      <c r="B133" s="900" t="s">
        <v>2302</v>
      </c>
      <c r="C133" s="901" t="s">
        <v>2301</v>
      </c>
      <c r="D133" s="902" t="str">
        <f t="shared" si="4"/>
        <v>2012</v>
      </c>
      <c r="E133" s="902" t="s">
        <v>3175</v>
      </c>
      <c r="F133" s="902" t="s">
        <v>2620</v>
      </c>
      <c r="G133" s="903" t="s">
        <v>2621</v>
      </c>
      <c r="H133" s="904">
        <v>19430000</v>
      </c>
      <c r="I133" s="904"/>
      <c r="J133" s="904">
        <v>19430000</v>
      </c>
      <c r="K133" s="904">
        <v>14836389</v>
      </c>
      <c r="L133" s="904">
        <v>4593611</v>
      </c>
      <c r="M133" s="905">
        <v>10</v>
      </c>
      <c r="N133" s="906">
        <v>0.25900000000000001</v>
      </c>
      <c r="O133" s="905">
        <v>12</v>
      </c>
      <c r="P133" s="904">
        <v>1189745</v>
      </c>
      <c r="Q133" s="904"/>
      <c r="R133" s="904">
        <v>16026134</v>
      </c>
      <c r="S133" s="904">
        <v>3403866</v>
      </c>
    </row>
    <row r="134" spans="2:19" hidden="1" x14ac:dyDescent="0.3">
      <c r="B134" s="900" t="s">
        <v>2303</v>
      </c>
      <c r="C134" s="901" t="s">
        <v>2301</v>
      </c>
      <c r="D134" s="902" t="str">
        <f t="shared" ref="D134:D197" si="5">LEFT(C134,4)</f>
        <v>2012</v>
      </c>
      <c r="E134" s="902" t="s">
        <v>3175</v>
      </c>
      <c r="F134" s="902" t="s">
        <v>2620</v>
      </c>
      <c r="G134" s="903" t="s">
        <v>2621</v>
      </c>
      <c r="H134" s="904">
        <v>11385000</v>
      </c>
      <c r="I134" s="904"/>
      <c r="J134" s="904">
        <v>11385000</v>
      </c>
      <c r="K134" s="904">
        <v>8693376</v>
      </c>
      <c r="L134" s="904">
        <v>2691624</v>
      </c>
      <c r="M134" s="905">
        <v>10</v>
      </c>
      <c r="N134" s="906">
        <v>0.25900000000000001</v>
      </c>
      <c r="O134" s="905">
        <v>12</v>
      </c>
      <c r="P134" s="904">
        <v>697130</v>
      </c>
      <c r="Q134" s="904"/>
      <c r="R134" s="904">
        <v>9390506</v>
      </c>
      <c r="S134" s="904">
        <v>1994494</v>
      </c>
    </row>
    <row r="135" spans="2:19" hidden="1" x14ac:dyDescent="0.3">
      <c r="B135" s="900" t="s">
        <v>2304</v>
      </c>
      <c r="C135" s="901" t="s">
        <v>2305</v>
      </c>
      <c r="D135" s="902" t="str">
        <f t="shared" si="5"/>
        <v>2012</v>
      </c>
      <c r="E135" s="902" t="s">
        <v>3175</v>
      </c>
      <c r="F135" s="902" t="s">
        <v>2620</v>
      </c>
      <c r="G135" s="903" t="s">
        <v>2621</v>
      </c>
      <c r="H135" s="904">
        <v>87000000</v>
      </c>
      <c r="I135" s="904"/>
      <c r="J135" s="904">
        <v>87000000</v>
      </c>
      <c r="K135" s="904">
        <v>65865478</v>
      </c>
      <c r="L135" s="904">
        <v>21134522</v>
      </c>
      <c r="M135" s="905">
        <v>10</v>
      </c>
      <c r="N135" s="906">
        <v>0.25900000000000001</v>
      </c>
      <c r="O135" s="905">
        <v>12</v>
      </c>
      <c r="P135" s="904">
        <v>5473841</v>
      </c>
      <c r="Q135" s="904"/>
      <c r="R135" s="904">
        <v>71339319</v>
      </c>
      <c r="S135" s="904">
        <v>15660681</v>
      </c>
    </row>
    <row r="136" spans="2:19" hidden="1" x14ac:dyDescent="0.3">
      <c r="B136" s="900" t="s">
        <v>2306</v>
      </c>
      <c r="C136" s="901" t="s">
        <v>2307</v>
      </c>
      <c r="D136" s="902" t="str">
        <f t="shared" si="5"/>
        <v>2012</v>
      </c>
      <c r="E136" s="902" t="s">
        <v>3175</v>
      </c>
      <c r="F136" s="902" t="s">
        <v>2620</v>
      </c>
      <c r="G136" s="903" t="s">
        <v>2621</v>
      </c>
      <c r="H136" s="904">
        <v>7000000</v>
      </c>
      <c r="I136" s="904"/>
      <c r="J136" s="904">
        <v>7000000</v>
      </c>
      <c r="K136" s="904">
        <v>5253970</v>
      </c>
      <c r="L136" s="904">
        <v>1746030</v>
      </c>
      <c r="M136" s="905">
        <v>10</v>
      </c>
      <c r="N136" s="906">
        <v>0.25900000000000001</v>
      </c>
      <c r="O136" s="905">
        <v>12</v>
      </c>
      <c r="P136" s="904">
        <v>452221</v>
      </c>
      <c r="Q136" s="904"/>
      <c r="R136" s="904">
        <v>5706191</v>
      </c>
      <c r="S136" s="904">
        <v>1293809</v>
      </c>
    </row>
    <row r="137" spans="2:19" hidden="1" x14ac:dyDescent="0.3">
      <c r="B137" s="900" t="s">
        <v>2308</v>
      </c>
      <c r="C137" s="901" t="s">
        <v>2309</v>
      </c>
      <c r="D137" s="902" t="str">
        <f t="shared" si="5"/>
        <v>2012</v>
      </c>
      <c r="E137" s="902" t="s">
        <v>3175</v>
      </c>
      <c r="F137" s="902" t="s">
        <v>2620</v>
      </c>
      <c r="G137" s="903" t="s">
        <v>2621</v>
      </c>
      <c r="H137" s="904">
        <v>900000000</v>
      </c>
      <c r="I137" s="904"/>
      <c r="J137" s="904">
        <v>900000000</v>
      </c>
      <c r="K137" s="904">
        <v>681367028</v>
      </c>
      <c r="L137" s="904">
        <v>218632972</v>
      </c>
      <c r="M137" s="905">
        <v>10</v>
      </c>
      <c r="N137" s="906">
        <v>0.25900000000000001</v>
      </c>
      <c r="O137" s="905">
        <v>12</v>
      </c>
      <c r="P137" s="904">
        <v>56625939</v>
      </c>
      <c r="Q137" s="904"/>
      <c r="R137" s="904">
        <v>737992967</v>
      </c>
      <c r="S137" s="904">
        <v>162007033</v>
      </c>
    </row>
    <row r="138" spans="2:19" hidden="1" x14ac:dyDescent="0.3">
      <c r="B138" s="900" t="s">
        <v>2310</v>
      </c>
      <c r="C138" s="901" t="s">
        <v>2311</v>
      </c>
      <c r="D138" s="902" t="str">
        <f t="shared" si="5"/>
        <v>2012</v>
      </c>
      <c r="E138" s="902" t="s">
        <v>3175</v>
      </c>
      <c r="F138" s="902" t="s">
        <v>2620</v>
      </c>
      <c r="G138" s="903" t="s">
        <v>2621</v>
      </c>
      <c r="H138" s="904">
        <v>21100000</v>
      </c>
      <c r="I138" s="904"/>
      <c r="J138" s="904">
        <v>21100000</v>
      </c>
      <c r="K138" s="904">
        <v>15699668</v>
      </c>
      <c r="L138" s="904">
        <v>5400332</v>
      </c>
      <c r="M138" s="905">
        <v>10</v>
      </c>
      <c r="N138" s="906">
        <v>0.25900000000000001</v>
      </c>
      <c r="O138" s="905">
        <v>12</v>
      </c>
      <c r="P138" s="904">
        <v>1398685</v>
      </c>
      <c r="Q138" s="904"/>
      <c r="R138" s="904">
        <v>17098353</v>
      </c>
      <c r="S138" s="904">
        <v>4001647</v>
      </c>
    </row>
    <row r="139" spans="2:19" hidden="1" x14ac:dyDescent="0.3">
      <c r="B139" s="900" t="s">
        <v>2254</v>
      </c>
      <c r="C139" s="901" t="s">
        <v>2311</v>
      </c>
      <c r="D139" s="902" t="str">
        <f t="shared" si="5"/>
        <v>2012</v>
      </c>
      <c r="E139" s="902" t="s">
        <v>3175</v>
      </c>
      <c r="F139" s="902" t="s">
        <v>2620</v>
      </c>
      <c r="G139" s="903" t="s">
        <v>2621</v>
      </c>
      <c r="H139" s="904">
        <v>19540000</v>
      </c>
      <c r="I139" s="904"/>
      <c r="J139" s="904">
        <v>19540000</v>
      </c>
      <c r="K139" s="904">
        <v>14538934</v>
      </c>
      <c r="L139" s="904">
        <v>5001066</v>
      </c>
      <c r="M139" s="905">
        <v>10</v>
      </c>
      <c r="N139" s="906">
        <v>0.25900000000000001</v>
      </c>
      <c r="O139" s="905">
        <v>12</v>
      </c>
      <c r="P139" s="904">
        <v>1295276</v>
      </c>
      <c r="Q139" s="904"/>
      <c r="R139" s="904">
        <v>15834210</v>
      </c>
      <c r="S139" s="904">
        <v>3705790</v>
      </c>
    </row>
    <row r="140" spans="2:19" hidden="1" x14ac:dyDescent="0.3">
      <c r="B140" s="900" t="s">
        <v>2312</v>
      </c>
      <c r="C140" s="901" t="s">
        <v>2313</v>
      </c>
      <c r="D140" s="902" t="str">
        <f t="shared" si="5"/>
        <v>2012</v>
      </c>
      <c r="E140" s="902" t="s">
        <v>3175</v>
      </c>
      <c r="F140" s="902" t="s">
        <v>2620</v>
      </c>
      <c r="G140" s="903" t="s">
        <v>2621</v>
      </c>
      <c r="H140" s="904">
        <v>3050000</v>
      </c>
      <c r="I140" s="904"/>
      <c r="J140" s="904">
        <v>3050000</v>
      </c>
      <c r="K140" s="904">
        <v>2249535</v>
      </c>
      <c r="L140" s="904">
        <v>800465</v>
      </c>
      <c r="M140" s="905">
        <v>10</v>
      </c>
      <c r="N140" s="906">
        <v>0.25900000000000001</v>
      </c>
      <c r="O140" s="905">
        <v>12</v>
      </c>
      <c r="P140" s="904">
        <v>207320</v>
      </c>
      <c r="Q140" s="904"/>
      <c r="R140" s="904">
        <v>2456855</v>
      </c>
      <c r="S140" s="904">
        <v>593145</v>
      </c>
    </row>
    <row r="141" spans="2:19" hidden="1" x14ac:dyDescent="0.3">
      <c r="B141" s="900" t="s">
        <v>2314</v>
      </c>
      <c r="C141" s="901" t="s">
        <v>2315</v>
      </c>
      <c r="D141" s="902" t="str">
        <f t="shared" si="5"/>
        <v>2012</v>
      </c>
      <c r="E141" s="902" t="s">
        <v>3175</v>
      </c>
      <c r="F141" s="902" t="s">
        <v>2620</v>
      </c>
      <c r="G141" s="903" t="s">
        <v>2621</v>
      </c>
      <c r="H141" s="904">
        <v>16970000</v>
      </c>
      <c r="I141" s="904"/>
      <c r="J141" s="904">
        <v>16970000</v>
      </c>
      <c r="K141" s="904">
        <v>12405846</v>
      </c>
      <c r="L141" s="904">
        <v>4564154</v>
      </c>
      <c r="M141" s="905">
        <v>10</v>
      </c>
      <c r="N141" s="906">
        <v>0.25900000000000001</v>
      </c>
      <c r="O141" s="905">
        <v>12</v>
      </c>
      <c r="P141" s="904">
        <v>1182115</v>
      </c>
      <c r="Q141" s="904"/>
      <c r="R141" s="904">
        <v>13587961</v>
      </c>
      <c r="S141" s="904">
        <v>3382039</v>
      </c>
    </row>
    <row r="142" spans="2:19" hidden="1" x14ac:dyDescent="0.3">
      <c r="B142" s="900" t="s">
        <v>2316</v>
      </c>
      <c r="C142" s="901" t="s">
        <v>2317</v>
      </c>
      <c r="D142" s="902" t="str">
        <f t="shared" si="5"/>
        <v>2012</v>
      </c>
      <c r="E142" s="902" t="s">
        <v>3175</v>
      </c>
      <c r="F142" s="902" t="s">
        <v>2620</v>
      </c>
      <c r="G142" s="903" t="s">
        <v>2621</v>
      </c>
      <c r="H142" s="904">
        <v>23741000</v>
      </c>
      <c r="I142" s="904"/>
      <c r="J142" s="904">
        <v>23741000</v>
      </c>
      <c r="K142" s="904">
        <v>16737812</v>
      </c>
      <c r="L142" s="904">
        <v>7003188</v>
      </c>
      <c r="M142" s="905">
        <v>10</v>
      </c>
      <c r="N142" s="906">
        <v>0.25900000000000001</v>
      </c>
      <c r="O142" s="905">
        <v>12</v>
      </c>
      <c r="P142" s="904">
        <v>1813825</v>
      </c>
      <c r="Q142" s="904"/>
      <c r="R142" s="904">
        <v>18551637</v>
      </c>
      <c r="S142" s="904">
        <v>5189363</v>
      </c>
    </row>
    <row r="143" spans="2:19" hidden="1" x14ac:dyDescent="0.3">
      <c r="B143" s="900" t="s">
        <v>2318</v>
      </c>
      <c r="C143" s="901" t="s">
        <v>2319</v>
      </c>
      <c r="D143" s="902" t="str">
        <f t="shared" si="5"/>
        <v>2012</v>
      </c>
      <c r="E143" s="902" t="s">
        <v>3175</v>
      </c>
      <c r="F143" s="902" t="s">
        <v>2620</v>
      </c>
      <c r="G143" s="903" t="s">
        <v>2621</v>
      </c>
      <c r="H143" s="904">
        <v>36650000</v>
      </c>
      <c r="I143" s="904"/>
      <c r="J143" s="904">
        <v>36650000</v>
      </c>
      <c r="K143" s="904">
        <v>25838879</v>
      </c>
      <c r="L143" s="904">
        <v>10811121</v>
      </c>
      <c r="M143" s="905">
        <v>10</v>
      </c>
      <c r="N143" s="906">
        <v>0.25900000000000001</v>
      </c>
      <c r="O143" s="905">
        <v>12</v>
      </c>
      <c r="P143" s="904">
        <v>2800080</v>
      </c>
      <c r="Q143" s="904"/>
      <c r="R143" s="904">
        <v>28638959</v>
      </c>
      <c r="S143" s="904">
        <v>8011041</v>
      </c>
    </row>
    <row r="144" spans="2:19" hidden="1" x14ac:dyDescent="0.3">
      <c r="B144" s="900" t="s">
        <v>2320</v>
      </c>
      <c r="C144" s="901" t="s">
        <v>2321</v>
      </c>
      <c r="D144" s="902" t="str">
        <f t="shared" si="5"/>
        <v>2013</v>
      </c>
      <c r="E144" s="902" t="s">
        <v>3175</v>
      </c>
      <c r="F144" s="902" t="s">
        <v>2620</v>
      </c>
      <c r="G144" s="903" t="s">
        <v>2621</v>
      </c>
      <c r="H144" s="904">
        <v>2500000</v>
      </c>
      <c r="I144" s="904"/>
      <c r="J144" s="904">
        <v>2500000</v>
      </c>
      <c r="K144" s="904">
        <v>1746274</v>
      </c>
      <c r="L144" s="904">
        <v>753726</v>
      </c>
      <c r="M144" s="905">
        <v>10</v>
      </c>
      <c r="N144" s="906">
        <v>0.25900000000000001</v>
      </c>
      <c r="O144" s="905">
        <v>12</v>
      </c>
      <c r="P144" s="904">
        <v>195215</v>
      </c>
      <c r="Q144" s="904"/>
      <c r="R144" s="904">
        <v>1941489</v>
      </c>
      <c r="S144" s="904">
        <v>558511</v>
      </c>
    </row>
    <row r="145" spans="2:19" hidden="1" x14ac:dyDescent="0.3">
      <c r="B145" s="900" t="s">
        <v>2269</v>
      </c>
      <c r="C145" s="901" t="s">
        <v>2322</v>
      </c>
      <c r="D145" s="902" t="str">
        <f t="shared" si="5"/>
        <v>2013</v>
      </c>
      <c r="E145" s="902" t="s">
        <v>3175</v>
      </c>
      <c r="F145" s="902" t="s">
        <v>2620</v>
      </c>
      <c r="G145" s="903" t="s">
        <v>2621</v>
      </c>
      <c r="H145" s="904">
        <v>12709090</v>
      </c>
      <c r="I145" s="904"/>
      <c r="J145" s="904">
        <v>12709090</v>
      </c>
      <c r="K145" s="904">
        <v>8542607</v>
      </c>
      <c r="L145" s="904">
        <v>4166483</v>
      </c>
      <c r="M145" s="905">
        <v>10</v>
      </c>
      <c r="N145" s="906">
        <v>0.25900000000000001</v>
      </c>
      <c r="O145" s="905">
        <v>12</v>
      </c>
      <c r="P145" s="904">
        <v>1079119</v>
      </c>
      <c r="Q145" s="904"/>
      <c r="R145" s="904">
        <v>9621726</v>
      </c>
      <c r="S145" s="904">
        <v>3087364</v>
      </c>
    </row>
    <row r="146" spans="2:19" hidden="1" x14ac:dyDescent="0.3">
      <c r="B146" s="900" t="s">
        <v>2323</v>
      </c>
      <c r="C146" s="901" t="s">
        <v>2322</v>
      </c>
      <c r="D146" s="902" t="str">
        <f t="shared" si="5"/>
        <v>2013</v>
      </c>
      <c r="E146" s="902" t="s">
        <v>3175</v>
      </c>
      <c r="F146" s="902" t="s">
        <v>2620</v>
      </c>
      <c r="G146" s="903" t="s">
        <v>2621</v>
      </c>
      <c r="H146" s="904">
        <v>14563637</v>
      </c>
      <c r="I146" s="904"/>
      <c r="J146" s="904">
        <v>14563637</v>
      </c>
      <c r="K146" s="904">
        <v>9789170</v>
      </c>
      <c r="L146" s="904">
        <v>4774467</v>
      </c>
      <c r="M146" s="905">
        <v>10</v>
      </c>
      <c r="N146" s="906">
        <v>0.25900000000000001</v>
      </c>
      <c r="O146" s="905">
        <v>12</v>
      </c>
      <c r="P146" s="904">
        <v>1236586</v>
      </c>
      <c r="Q146" s="904"/>
      <c r="R146" s="904">
        <v>11025756</v>
      </c>
      <c r="S146" s="904">
        <v>3537881</v>
      </c>
    </row>
    <row r="147" spans="2:19" hidden="1" x14ac:dyDescent="0.3">
      <c r="B147" s="900" t="s">
        <v>2324</v>
      </c>
      <c r="C147" s="901" t="s">
        <v>2325</v>
      </c>
      <c r="D147" s="902" t="str">
        <f t="shared" si="5"/>
        <v>2013</v>
      </c>
      <c r="E147" s="902" t="s">
        <v>3175</v>
      </c>
      <c r="F147" s="902" t="s">
        <v>2620</v>
      </c>
      <c r="G147" s="903" t="s">
        <v>2621</v>
      </c>
      <c r="H147" s="904">
        <v>8900000</v>
      </c>
      <c r="I147" s="904"/>
      <c r="J147" s="904">
        <v>8900000</v>
      </c>
      <c r="K147" s="904">
        <v>5904114</v>
      </c>
      <c r="L147" s="904">
        <v>2995886</v>
      </c>
      <c r="M147" s="905">
        <v>10</v>
      </c>
      <c r="N147" s="906">
        <v>0.25900000000000001</v>
      </c>
      <c r="O147" s="905">
        <v>12</v>
      </c>
      <c r="P147" s="904">
        <v>775934</v>
      </c>
      <c r="Q147" s="904"/>
      <c r="R147" s="904">
        <v>6680048</v>
      </c>
      <c r="S147" s="904">
        <v>2219952</v>
      </c>
    </row>
    <row r="148" spans="2:19" hidden="1" x14ac:dyDescent="0.3">
      <c r="B148" s="900" t="s">
        <v>2326</v>
      </c>
      <c r="C148" s="901" t="s">
        <v>2327</v>
      </c>
      <c r="D148" s="902" t="str">
        <f t="shared" si="5"/>
        <v>2013</v>
      </c>
      <c r="E148" s="902" t="s">
        <v>3175</v>
      </c>
      <c r="F148" s="902" t="s">
        <v>2620</v>
      </c>
      <c r="G148" s="903" t="s">
        <v>2621</v>
      </c>
      <c r="H148" s="904">
        <v>16800000</v>
      </c>
      <c r="I148" s="904"/>
      <c r="J148" s="904">
        <v>16800000</v>
      </c>
      <c r="K148" s="904">
        <v>10849784</v>
      </c>
      <c r="L148" s="904">
        <v>5950216</v>
      </c>
      <c r="M148" s="905">
        <v>10</v>
      </c>
      <c r="N148" s="906">
        <v>0.25900000000000001</v>
      </c>
      <c r="O148" s="905">
        <v>12</v>
      </c>
      <c r="P148" s="904">
        <v>1541105</v>
      </c>
      <c r="Q148" s="904"/>
      <c r="R148" s="904">
        <v>12390889</v>
      </c>
      <c r="S148" s="904">
        <v>4409111</v>
      </c>
    </row>
    <row r="149" spans="2:19" hidden="1" x14ac:dyDescent="0.3">
      <c r="B149" s="900" t="s">
        <v>2328</v>
      </c>
      <c r="C149" s="901" t="s">
        <v>2327</v>
      </c>
      <c r="D149" s="902" t="str">
        <f t="shared" si="5"/>
        <v>2013</v>
      </c>
      <c r="E149" s="902" t="s">
        <v>3175</v>
      </c>
      <c r="F149" s="902" t="s">
        <v>2620</v>
      </c>
      <c r="G149" s="903" t="s">
        <v>2621</v>
      </c>
      <c r="H149" s="904">
        <v>8900000</v>
      </c>
      <c r="I149" s="904"/>
      <c r="J149" s="904">
        <v>8900000</v>
      </c>
      <c r="K149" s="904">
        <v>5747801</v>
      </c>
      <c r="L149" s="904">
        <v>3152199</v>
      </c>
      <c r="M149" s="905">
        <v>10</v>
      </c>
      <c r="N149" s="906">
        <v>0.25900000000000001</v>
      </c>
      <c r="O149" s="905">
        <v>12</v>
      </c>
      <c r="P149" s="904">
        <v>816419</v>
      </c>
      <c r="Q149" s="904"/>
      <c r="R149" s="904">
        <v>6564220</v>
      </c>
      <c r="S149" s="904">
        <v>2335780</v>
      </c>
    </row>
    <row r="150" spans="2:19" hidden="1" x14ac:dyDescent="0.3">
      <c r="B150" s="900" t="s">
        <v>2329</v>
      </c>
      <c r="C150" s="901" t="s">
        <v>2330</v>
      </c>
      <c r="D150" s="902" t="str">
        <f t="shared" si="5"/>
        <v>2013</v>
      </c>
      <c r="E150" s="902" t="s">
        <v>3175</v>
      </c>
      <c r="F150" s="902" t="s">
        <v>2620</v>
      </c>
      <c r="G150" s="903" t="s">
        <v>2621</v>
      </c>
      <c r="H150" s="904">
        <v>2000000</v>
      </c>
      <c r="I150" s="904"/>
      <c r="J150" s="904">
        <v>2000000</v>
      </c>
      <c r="K150" s="904">
        <v>1221387</v>
      </c>
      <c r="L150" s="904">
        <v>778613</v>
      </c>
      <c r="M150" s="905">
        <v>10</v>
      </c>
      <c r="N150" s="906">
        <v>0.25900000000000001</v>
      </c>
      <c r="O150" s="905">
        <v>12</v>
      </c>
      <c r="P150" s="904">
        <v>201660</v>
      </c>
      <c r="Q150" s="904"/>
      <c r="R150" s="904">
        <v>1423047</v>
      </c>
      <c r="S150" s="904">
        <v>576953</v>
      </c>
    </row>
    <row r="151" spans="2:19" hidden="1" x14ac:dyDescent="0.3">
      <c r="B151" s="900" t="s">
        <v>2331</v>
      </c>
      <c r="C151" s="901" t="s">
        <v>2332</v>
      </c>
      <c r="D151" s="902" t="str">
        <f t="shared" si="5"/>
        <v>2014</v>
      </c>
      <c r="E151" s="902" t="s">
        <v>3175</v>
      </c>
      <c r="F151" s="902" t="s">
        <v>2620</v>
      </c>
      <c r="G151" s="903" t="s">
        <v>2621</v>
      </c>
      <c r="H151" s="904">
        <v>3100000</v>
      </c>
      <c r="I151" s="904"/>
      <c r="J151" s="904">
        <v>3100000</v>
      </c>
      <c r="K151" s="904">
        <v>1801967</v>
      </c>
      <c r="L151" s="904">
        <v>1298033</v>
      </c>
      <c r="M151" s="905">
        <v>10</v>
      </c>
      <c r="N151" s="906">
        <v>0.25900000000000001</v>
      </c>
      <c r="O151" s="905">
        <v>12</v>
      </c>
      <c r="P151" s="904">
        <v>336190</v>
      </c>
      <c r="Q151" s="904"/>
      <c r="R151" s="904">
        <v>2138157</v>
      </c>
      <c r="S151" s="904">
        <v>961843</v>
      </c>
    </row>
    <row r="152" spans="2:19" hidden="1" x14ac:dyDescent="0.3">
      <c r="B152" s="900" t="s">
        <v>2333</v>
      </c>
      <c r="C152" s="901" t="s">
        <v>2334</v>
      </c>
      <c r="D152" s="902" t="str">
        <f t="shared" si="5"/>
        <v>2014</v>
      </c>
      <c r="E152" s="902" t="s">
        <v>3175</v>
      </c>
      <c r="F152" s="902" t="s">
        <v>2620</v>
      </c>
      <c r="G152" s="903" t="s">
        <v>2621</v>
      </c>
      <c r="H152" s="904">
        <v>12400000</v>
      </c>
      <c r="I152" s="904"/>
      <c r="J152" s="904">
        <v>12400000</v>
      </c>
      <c r="K152" s="904">
        <v>7060918</v>
      </c>
      <c r="L152" s="904">
        <v>5339082</v>
      </c>
      <c r="M152" s="905">
        <v>10</v>
      </c>
      <c r="N152" s="906">
        <v>0.25900000000000001</v>
      </c>
      <c r="O152" s="905">
        <v>12</v>
      </c>
      <c r="P152" s="904">
        <v>1382822</v>
      </c>
      <c r="Q152" s="904"/>
      <c r="R152" s="904">
        <v>8443740</v>
      </c>
      <c r="S152" s="904">
        <v>3956260</v>
      </c>
    </row>
    <row r="153" spans="2:19" hidden="1" x14ac:dyDescent="0.3">
      <c r="B153" s="900" t="s">
        <v>2335</v>
      </c>
      <c r="C153" s="901" t="s">
        <v>2336</v>
      </c>
      <c r="D153" s="902" t="str">
        <f t="shared" si="5"/>
        <v>2014</v>
      </c>
      <c r="E153" s="902" t="s">
        <v>3175</v>
      </c>
      <c r="F153" s="902" t="s">
        <v>2620</v>
      </c>
      <c r="G153" s="903" t="s">
        <v>2621</v>
      </c>
      <c r="H153" s="904">
        <v>16154000</v>
      </c>
      <c r="I153" s="904"/>
      <c r="J153" s="904">
        <v>16154000</v>
      </c>
      <c r="K153" s="904">
        <v>9007114</v>
      </c>
      <c r="L153" s="904">
        <v>7146886</v>
      </c>
      <c r="M153" s="905">
        <v>10</v>
      </c>
      <c r="N153" s="906">
        <v>0.25900000000000001</v>
      </c>
      <c r="O153" s="905">
        <v>12</v>
      </c>
      <c r="P153" s="904">
        <v>1851043</v>
      </c>
      <c r="Q153" s="904"/>
      <c r="R153" s="904">
        <v>10858157</v>
      </c>
      <c r="S153" s="904">
        <v>5295843</v>
      </c>
    </row>
    <row r="154" spans="2:19" hidden="1" x14ac:dyDescent="0.3">
      <c r="B154" s="900" t="s">
        <v>2337</v>
      </c>
      <c r="C154" s="901" t="s">
        <v>2336</v>
      </c>
      <c r="D154" s="902" t="str">
        <f t="shared" si="5"/>
        <v>2014</v>
      </c>
      <c r="E154" s="902" t="s">
        <v>3175</v>
      </c>
      <c r="F154" s="902" t="s">
        <v>2620</v>
      </c>
      <c r="G154" s="903" t="s">
        <v>2621</v>
      </c>
      <c r="H154" s="904">
        <v>21251494</v>
      </c>
      <c r="I154" s="904"/>
      <c r="J154" s="904">
        <v>21251494</v>
      </c>
      <c r="K154" s="904">
        <v>11849364</v>
      </c>
      <c r="L154" s="904">
        <v>9402130</v>
      </c>
      <c r="M154" s="905">
        <v>10</v>
      </c>
      <c r="N154" s="906">
        <v>0.25900000000000001</v>
      </c>
      <c r="O154" s="905">
        <v>12</v>
      </c>
      <c r="P154" s="904">
        <v>2435151</v>
      </c>
      <c r="Q154" s="904"/>
      <c r="R154" s="904">
        <v>14284515</v>
      </c>
      <c r="S154" s="904">
        <v>6966979</v>
      </c>
    </row>
    <row r="155" spans="2:19" hidden="1" x14ac:dyDescent="0.3">
      <c r="B155" s="900" t="s">
        <v>2338</v>
      </c>
      <c r="C155" s="901" t="s">
        <v>2339</v>
      </c>
      <c r="D155" s="902" t="str">
        <f t="shared" si="5"/>
        <v>2014</v>
      </c>
      <c r="E155" s="902" t="s">
        <v>3175</v>
      </c>
      <c r="F155" s="902" t="s">
        <v>2620</v>
      </c>
      <c r="G155" s="903" t="s">
        <v>2621</v>
      </c>
      <c r="H155" s="904">
        <v>200000000</v>
      </c>
      <c r="I155" s="904"/>
      <c r="J155" s="904">
        <v>200000000</v>
      </c>
      <c r="K155" s="904">
        <v>109145396</v>
      </c>
      <c r="L155" s="904">
        <v>90854604</v>
      </c>
      <c r="M155" s="905">
        <v>10</v>
      </c>
      <c r="N155" s="906">
        <v>0.25900000000000001</v>
      </c>
      <c r="O155" s="905">
        <v>12</v>
      </c>
      <c r="P155" s="904">
        <v>23531342</v>
      </c>
      <c r="Q155" s="904"/>
      <c r="R155" s="904">
        <v>132676738</v>
      </c>
      <c r="S155" s="904">
        <v>67323262</v>
      </c>
    </row>
    <row r="156" spans="2:19" hidden="1" x14ac:dyDescent="0.3">
      <c r="B156" s="900" t="s">
        <v>2340</v>
      </c>
      <c r="C156" s="901" t="s">
        <v>2341</v>
      </c>
      <c r="D156" s="902" t="str">
        <f t="shared" si="5"/>
        <v>2014</v>
      </c>
      <c r="E156" s="902" t="s">
        <v>3175</v>
      </c>
      <c r="F156" s="902" t="s">
        <v>2620</v>
      </c>
      <c r="G156" s="903" t="s">
        <v>2621</v>
      </c>
      <c r="H156" s="904">
        <v>5520000</v>
      </c>
      <c r="I156" s="904"/>
      <c r="J156" s="904">
        <v>5520000</v>
      </c>
      <c r="K156" s="904">
        <v>2685325</v>
      </c>
      <c r="L156" s="904">
        <v>2834675</v>
      </c>
      <c r="M156" s="905">
        <v>10</v>
      </c>
      <c r="N156" s="906">
        <v>0.25900000000000001</v>
      </c>
      <c r="O156" s="905">
        <v>12</v>
      </c>
      <c r="P156" s="904">
        <v>734180</v>
      </c>
      <c r="Q156" s="904"/>
      <c r="R156" s="904">
        <v>3419505</v>
      </c>
      <c r="S156" s="904">
        <v>2100495</v>
      </c>
    </row>
    <row r="157" spans="2:19" hidden="1" x14ac:dyDescent="0.3">
      <c r="B157" s="900" t="s">
        <v>2342</v>
      </c>
      <c r="C157" s="901" t="s">
        <v>2343</v>
      </c>
      <c r="D157" s="902" t="str">
        <f t="shared" si="5"/>
        <v>2014</v>
      </c>
      <c r="E157" s="902" t="s">
        <v>3175</v>
      </c>
      <c r="F157" s="902" t="s">
        <v>2620</v>
      </c>
      <c r="G157" s="903" t="s">
        <v>2621</v>
      </c>
      <c r="H157" s="904">
        <v>99000000</v>
      </c>
      <c r="I157" s="904"/>
      <c r="J157" s="904">
        <v>99000000</v>
      </c>
      <c r="K157" s="904">
        <v>45814229</v>
      </c>
      <c r="L157" s="904">
        <v>53185771</v>
      </c>
      <c r="M157" s="905">
        <v>10</v>
      </c>
      <c r="N157" s="906">
        <v>0.25900000000000001</v>
      </c>
      <c r="O157" s="905">
        <v>12</v>
      </c>
      <c r="P157" s="904">
        <v>13775114</v>
      </c>
      <c r="Q157" s="904"/>
      <c r="R157" s="904">
        <v>59589343</v>
      </c>
      <c r="S157" s="904">
        <v>39410657</v>
      </c>
    </row>
    <row r="158" spans="2:19" hidden="1" x14ac:dyDescent="0.3">
      <c r="B158" s="900" t="s">
        <v>2344</v>
      </c>
      <c r="C158" s="901" t="s">
        <v>2343</v>
      </c>
      <c r="D158" s="902" t="str">
        <f t="shared" si="5"/>
        <v>2014</v>
      </c>
      <c r="E158" s="902" t="s">
        <v>3175</v>
      </c>
      <c r="F158" s="902" t="s">
        <v>2620</v>
      </c>
      <c r="G158" s="903" t="s">
        <v>2621</v>
      </c>
      <c r="H158" s="904">
        <v>65900000</v>
      </c>
      <c r="I158" s="904"/>
      <c r="J158" s="904">
        <v>65900000</v>
      </c>
      <c r="K158" s="904">
        <v>30496542</v>
      </c>
      <c r="L158" s="904">
        <v>35403458</v>
      </c>
      <c r="M158" s="905">
        <v>10</v>
      </c>
      <c r="N158" s="906">
        <v>0.25900000000000001</v>
      </c>
      <c r="O158" s="905">
        <v>12</v>
      </c>
      <c r="P158" s="904">
        <v>9169495</v>
      </c>
      <c r="Q158" s="904"/>
      <c r="R158" s="904">
        <v>39666037</v>
      </c>
      <c r="S158" s="904">
        <v>26233963</v>
      </c>
    </row>
    <row r="159" spans="2:19" hidden="1" x14ac:dyDescent="0.3">
      <c r="B159" s="900" t="s">
        <v>2345</v>
      </c>
      <c r="C159" s="901" t="s">
        <v>2346</v>
      </c>
      <c r="D159" s="902" t="str">
        <f t="shared" si="5"/>
        <v>2015</v>
      </c>
      <c r="E159" s="902" t="s">
        <v>3175</v>
      </c>
      <c r="F159" s="902" t="s">
        <v>2620</v>
      </c>
      <c r="G159" s="903" t="s">
        <v>2621</v>
      </c>
      <c r="H159" s="904">
        <v>29925000</v>
      </c>
      <c r="I159" s="904"/>
      <c r="J159" s="904">
        <v>29925000</v>
      </c>
      <c r="K159" s="904">
        <v>10622162</v>
      </c>
      <c r="L159" s="904">
        <v>19302838</v>
      </c>
      <c r="M159" s="905">
        <v>10</v>
      </c>
      <c r="N159" s="906">
        <v>0.25900000000000001</v>
      </c>
      <c r="O159" s="905">
        <v>12</v>
      </c>
      <c r="P159" s="904">
        <v>4999435</v>
      </c>
      <c r="Q159" s="904"/>
      <c r="R159" s="904">
        <v>15621597</v>
      </c>
      <c r="S159" s="904">
        <v>14303403</v>
      </c>
    </row>
    <row r="160" spans="2:19" hidden="1" x14ac:dyDescent="0.3">
      <c r="B160" s="900" t="s">
        <v>2347</v>
      </c>
      <c r="C160" s="901" t="s">
        <v>2348</v>
      </c>
      <c r="D160" s="902" t="str">
        <f t="shared" si="5"/>
        <v>2015</v>
      </c>
      <c r="E160" s="902" t="s">
        <v>3175</v>
      </c>
      <c r="F160" s="902" t="s">
        <v>2620</v>
      </c>
      <c r="G160" s="903" t="s">
        <v>2621</v>
      </c>
      <c r="H160" s="904">
        <v>1000000</v>
      </c>
      <c r="I160" s="904"/>
      <c r="J160" s="904">
        <v>1000000</v>
      </c>
      <c r="K160" s="904">
        <v>354959</v>
      </c>
      <c r="L160" s="904">
        <v>645041</v>
      </c>
      <c r="M160" s="905">
        <v>10</v>
      </c>
      <c r="N160" s="906">
        <v>0.25900000000000001</v>
      </c>
      <c r="O160" s="905">
        <v>12</v>
      </c>
      <c r="P160" s="904">
        <v>167065</v>
      </c>
      <c r="Q160" s="904"/>
      <c r="R160" s="904">
        <v>522024</v>
      </c>
      <c r="S160" s="904">
        <v>477976</v>
      </c>
    </row>
    <row r="161" spans="2:19" hidden="1" x14ac:dyDescent="0.3">
      <c r="B161" s="900" t="s">
        <v>2349</v>
      </c>
      <c r="C161" s="901" t="s">
        <v>2348</v>
      </c>
      <c r="D161" s="902" t="str">
        <f t="shared" si="5"/>
        <v>2015</v>
      </c>
      <c r="E161" s="902" t="s">
        <v>3175</v>
      </c>
      <c r="F161" s="902" t="s">
        <v>2620</v>
      </c>
      <c r="G161" s="903" t="s">
        <v>2621</v>
      </c>
      <c r="H161" s="904">
        <v>2500000</v>
      </c>
      <c r="I161" s="904"/>
      <c r="J161" s="904">
        <v>2500000</v>
      </c>
      <c r="K161" s="904">
        <v>887398</v>
      </c>
      <c r="L161" s="904">
        <v>1612602</v>
      </c>
      <c r="M161" s="905">
        <v>10</v>
      </c>
      <c r="N161" s="906">
        <v>0.25900000000000001</v>
      </c>
      <c r="O161" s="905">
        <v>12</v>
      </c>
      <c r="P161" s="904">
        <v>417663</v>
      </c>
      <c r="Q161" s="904"/>
      <c r="R161" s="904">
        <v>1305061</v>
      </c>
      <c r="S161" s="904">
        <v>1194939</v>
      </c>
    </row>
    <row r="162" spans="2:19" hidden="1" x14ac:dyDescent="0.3">
      <c r="B162" s="900" t="s">
        <v>2261</v>
      </c>
      <c r="C162" s="901" t="s">
        <v>2350</v>
      </c>
      <c r="D162" s="902" t="str">
        <f t="shared" si="5"/>
        <v>2015</v>
      </c>
      <c r="E162" s="902" t="s">
        <v>3175</v>
      </c>
      <c r="F162" s="902" t="s">
        <v>2620</v>
      </c>
      <c r="G162" s="903" t="s">
        <v>2621</v>
      </c>
      <c r="H162" s="904">
        <v>15400000</v>
      </c>
      <c r="I162" s="904"/>
      <c r="J162" s="904">
        <v>15400000</v>
      </c>
      <c r="K162" s="904">
        <v>5220079</v>
      </c>
      <c r="L162" s="904">
        <v>10179921</v>
      </c>
      <c r="M162" s="905">
        <v>10</v>
      </c>
      <c r="N162" s="906">
        <v>0.25900000000000001</v>
      </c>
      <c r="O162" s="905">
        <v>12</v>
      </c>
      <c r="P162" s="904">
        <v>2636599</v>
      </c>
      <c r="Q162" s="904"/>
      <c r="R162" s="904">
        <v>7856678</v>
      </c>
      <c r="S162" s="904">
        <v>7543322</v>
      </c>
    </row>
    <row r="163" spans="2:19" hidden="1" x14ac:dyDescent="0.3">
      <c r="B163" s="900" t="s">
        <v>2351</v>
      </c>
      <c r="C163" s="901" t="s">
        <v>2350</v>
      </c>
      <c r="D163" s="902" t="str">
        <f t="shared" si="5"/>
        <v>2015</v>
      </c>
      <c r="E163" s="902" t="s">
        <v>3175</v>
      </c>
      <c r="F163" s="902" t="s">
        <v>2620</v>
      </c>
      <c r="G163" s="903" t="s">
        <v>2621</v>
      </c>
      <c r="H163" s="904">
        <v>7400000</v>
      </c>
      <c r="I163" s="904"/>
      <c r="J163" s="904">
        <v>7400000</v>
      </c>
      <c r="K163" s="904">
        <v>2508350</v>
      </c>
      <c r="L163" s="904">
        <v>4891650</v>
      </c>
      <c r="M163" s="905">
        <v>10</v>
      </c>
      <c r="N163" s="906">
        <v>0.25900000000000001</v>
      </c>
      <c r="O163" s="905">
        <v>12</v>
      </c>
      <c r="P163" s="904">
        <v>1266937</v>
      </c>
      <c r="Q163" s="904"/>
      <c r="R163" s="904">
        <v>3775287</v>
      </c>
      <c r="S163" s="904">
        <v>3624713</v>
      </c>
    </row>
    <row r="164" spans="2:19" hidden="1" x14ac:dyDescent="0.3">
      <c r="B164" s="900" t="s">
        <v>2352</v>
      </c>
      <c r="C164" s="901" t="s">
        <v>2353</v>
      </c>
      <c r="D164" s="902" t="str">
        <f t="shared" si="5"/>
        <v>2015</v>
      </c>
      <c r="E164" s="902" t="s">
        <v>3175</v>
      </c>
      <c r="F164" s="902" t="s">
        <v>2620</v>
      </c>
      <c r="G164" s="903" t="s">
        <v>2621</v>
      </c>
      <c r="H164" s="904">
        <v>6081816</v>
      </c>
      <c r="I164" s="904"/>
      <c r="J164" s="904">
        <v>6081816</v>
      </c>
      <c r="K164" s="904">
        <v>2061530</v>
      </c>
      <c r="L164" s="904">
        <v>4020286</v>
      </c>
      <c r="M164" s="905">
        <v>10</v>
      </c>
      <c r="N164" s="906">
        <v>0.25900000000000001</v>
      </c>
      <c r="O164" s="905">
        <v>12</v>
      </c>
      <c r="P164" s="904">
        <v>1041254</v>
      </c>
      <c r="Q164" s="904"/>
      <c r="R164" s="904">
        <v>3102784</v>
      </c>
      <c r="S164" s="904">
        <v>2979032</v>
      </c>
    </row>
    <row r="165" spans="2:19" hidden="1" x14ac:dyDescent="0.3">
      <c r="B165" s="900" t="s">
        <v>2354</v>
      </c>
      <c r="C165" s="901" t="s">
        <v>2355</v>
      </c>
      <c r="D165" s="902" t="str">
        <f t="shared" si="5"/>
        <v>2015</v>
      </c>
      <c r="E165" s="902" t="s">
        <v>3175</v>
      </c>
      <c r="F165" s="902" t="s">
        <v>2620</v>
      </c>
      <c r="G165" s="903" t="s">
        <v>2621</v>
      </c>
      <c r="H165" s="904">
        <v>3650000</v>
      </c>
      <c r="I165" s="904"/>
      <c r="J165" s="904">
        <v>3650000</v>
      </c>
      <c r="K165" s="904">
        <v>1062100</v>
      </c>
      <c r="L165" s="904">
        <v>2587900</v>
      </c>
      <c r="M165" s="905">
        <v>10</v>
      </c>
      <c r="N165" s="906">
        <v>0.25900000000000001</v>
      </c>
      <c r="O165" s="905">
        <v>12</v>
      </c>
      <c r="P165" s="904">
        <v>670266</v>
      </c>
      <c r="Q165" s="904"/>
      <c r="R165" s="904">
        <v>1732366</v>
      </c>
      <c r="S165" s="904">
        <v>1917634</v>
      </c>
    </row>
    <row r="166" spans="2:19" hidden="1" x14ac:dyDescent="0.3">
      <c r="B166" s="900" t="s">
        <v>2356</v>
      </c>
      <c r="C166" s="901" t="s">
        <v>2357</v>
      </c>
      <c r="D166" s="902" t="str">
        <f t="shared" si="5"/>
        <v>2016</v>
      </c>
      <c r="E166" s="902" t="s">
        <v>3175</v>
      </c>
      <c r="F166" s="902" t="s">
        <v>2620</v>
      </c>
      <c r="G166" s="903" t="s">
        <v>2621</v>
      </c>
      <c r="H166" s="904">
        <v>16290000</v>
      </c>
      <c r="I166" s="904"/>
      <c r="J166" s="904">
        <v>16290000</v>
      </c>
      <c r="K166" s="904">
        <v>3515925</v>
      </c>
      <c r="L166" s="904">
        <v>12774075</v>
      </c>
      <c r="M166" s="905">
        <v>10</v>
      </c>
      <c r="N166" s="906">
        <v>0.25900000000000001</v>
      </c>
      <c r="O166" s="905">
        <v>12</v>
      </c>
      <c r="P166" s="904">
        <v>3308485</v>
      </c>
      <c r="Q166" s="904"/>
      <c r="R166" s="904">
        <v>6824410</v>
      </c>
      <c r="S166" s="904">
        <v>9465590</v>
      </c>
    </row>
    <row r="167" spans="2:19" hidden="1" x14ac:dyDescent="0.3">
      <c r="B167" s="900" t="s">
        <v>2358</v>
      </c>
      <c r="C167" s="901" t="s">
        <v>2359</v>
      </c>
      <c r="D167" s="902" t="str">
        <f t="shared" si="5"/>
        <v>2016</v>
      </c>
      <c r="E167" s="902" t="s">
        <v>3175</v>
      </c>
      <c r="F167" s="902" t="s">
        <v>2620</v>
      </c>
      <c r="G167" s="903" t="s">
        <v>2621</v>
      </c>
      <c r="H167" s="904">
        <v>1345365</v>
      </c>
      <c r="I167" s="904"/>
      <c r="J167" s="904">
        <v>1345365</v>
      </c>
      <c r="K167" s="904">
        <v>261337</v>
      </c>
      <c r="L167" s="904">
        <v>1084028</v>
      </c>
      <c r="M167" s="905">
        <v>10</v>
      </c>
      <c r="N167" s="906">
        <v>0.25900000000000001</v>
      </c>
      <c r="O167" s="905">
        <v>12</v>
      </c>
      <c r="P167" s="904">
        <v>280763</v>
      </c>
      <c r="Q167" s="904"/>
      <c r="R167" s="904">
        <v>542100</v>
      </c>
      <c r="S167" s="904">
        <v>803265</v>
      </c>
    </row>
    <row r="168" spans="2:19" hidden="1" x14ac:dyDescent="0.3">
      <c r="B168" s="900" t="s">
        <v>2360</v>
      </c>
      <c r="C168" s="901" t="s">
        <v>2361</v>
      </c>
      <c r="D168" s="902" t="str">
        <f t="shared" si="5"/>
        <v>2016</v>
      </c>
      <c r="E168" s="902" t="s">
        <v>3175</v>
      </c>
      <c r="F168" s="902" t="s">
        <v>2620</v>
      </c>
      <c r="G168" s="903" t="s">
        <v>2621</v>
      </c>
      <c r="H168" s="904">
        <v>80000000</v>
      </c>
      <c r="I168" s="904"/>
      <c r="J168" s="904">
        <v>80000000</v>
      </c>
      <c r="K168" s="904">
        <v>12086666</v>
      </c>
      <c r="L168" s="904">
        <v>67913334</v>
      </c>
      <c r="M168" s="905">
        <v>10</v>
      </c>
      <c r="N168" s="906">
        <v>0.25900000000000001</v>
      </c>
      <c r="O168" s="905">
        <v>12</v>
      </c>
      <c r="P168" s="904">
        <v>17589553</v>
      </c>
      <c r="Q168" s="904"/>
      <c r="R168" s="904">
        <v>29676219</v>
      </c>
      <c r="S168" s="904">
        <v>50323781</v>
      </c>
    </row>
    <row r="169" spans="2:19" hidden="1" x14ac:dyDescent="0.3">
      <c r="B169" s="900" t="s">
        <v>2362</v>
      </c>
      <c r="C169" s="901" t="s">
        <v>2363</v>
      </c>
      <c r="D169" s="902" t="str">
        <f t="shared" si="5"/>
        <v>2016</v>
      </c>
      <c r="E169" s="902" t="s">
        <v>3175</v>
      </c>
      <c r="F169" s="902" t="s">
        <v>2620</v>
      </c>
      <c r="G169" s="903" t="s">
        <v>2621</v>
      </c>
      <c r="H169" s="904">
        <v>140000000</v>
      </c>
      <c r="I169" s="904"/>
      <c r="J169" s="904">
        <v>140000000</v>
      </c>
      <c r="K169" s="904">
        <v>15108333</v>
      </c>
      <c r="L169" s="904">
        <v>124891667</v>
      </c>
      <c r="M169" s="905">
        <v>10</v>
      </c>
      <c r="N169" s="906">
        <v>0.25900000000000001</v>
      </c>
      <c r="O169" s="905">
        <v>12</v>
      </c>
      <c r="P169" s="904">
        <v>32346941</v>
      </c>
      <c r="Q169" s="904"/>
      <c r="R169" s="904">
        <v>47455274</v>
      </c>
      <c r="S169" s="904">
        <v>92544726</v>
      </c>
    </row>
    <row r="170" spans="2:19" hidden="1" x14ac:dyDescent="0.3">
      <c r="B170" s="900" t="s">
        <v>2364</v>
      </c>
      <c r="C170" s="901" t="s">
        <v>2363</v>
      </c>
      <c r="D170" s="902" t="str">
        <f t="shared" si="5"/>
        <v>2016</v>
      </c>
      <c r="E170" s="902" t="s">
        <v>3175</v>
      </c>
      <c r="F170" s="902" t="s">
        <v>2620</v>
      </c>
      <c r="G170" s="903" t="s">
        <v>2621</v>
      </c>
      <c r="H170" s="904">
        <v>116000000</v>
      </c>
      <c r="I170" s="904"/>
      <c r="J170" s="904">
        <v>116000000</v>
      </c>
      <c r="K170" s="904">
        <v>12518333</v>
      </c>
      <c r="L170" s="904">
        <v>103481667</v>
      </c>
      <c r="M170" s="905">
        <v>10</v>
      </c>
      <c r="N170" s="906">
        <v>0.25900000000000001</v>
      </c>
      <c r="O170" s="905">
        <v>12</v>
      </c>
      <c r="P170" s="904">
        <v>26801751</v>
      </c>
      <c r="Q170" s="904"/>
      <c r="R170" s="904">
        <v>39320084</v>
      </c>
      <c r="S170" s="904">
        <v>76679916</v>
      </c>
    </row>
    <row r="171" spans="2:19" hidden="1" x14ac:dyDescent="0.3">
      <c r="B171" s="900" t="s">
        <v>2365</v>
      </c>
      <c r="C171" s="901" t="s">
        <v>2366</v>
      </c>
      <c r="D171" s="902" t="str">
        <f t="shared" si="5"/>
        <v>2016</v>
      </c>
      <c r="E171" s="902" t="s">
        <v>3175</v>
      </c>
      <c r="F171" s="902" t="s">
        <v>2620</v>
      </c>
      <c r="G171" s="903" t="s">
        <v>2621</v>
      </c>
      <c r="H171" s="904">
        <v>10000000</v>
      </c>
      <c r="I171" s="904"/>
      <c r="J171" s="904">
        <v>10000000</v>
      </c>
      <c r="K171" s="904">
        <v>863333</v>
      </c>
      <c r="L171" s="904">
        <v>9136667</v>
      </c>
      <c r="M171" s="905">
        <v>10</v>
      </c>
      <c r="N171" s="906">
        <v>0.25900000000000001</v>
      </c>
      <c r="O171" s="905">
        <v>12</v>
      </c>
      <c r="P171" s="904">
        <v>2366396</v>
      </c>
      <c r="Q171" s="904"/>
      <c r="R171" s="904">
        <v>3229729</v>
      </c>
      <c r="S171" s="904">
        <v>6770271</v>
      </c>
    </row>
    <row r="172" spans="2:19" hidden="1" x14ac:dyDescent="0.3">
      <c r="B172" s="900" t="s">
        <v>2173</v>
      </c>
      <c r="C172" s="901" t="s">
        <v>2367</v>
      </c>
      <c r="D172" s="902" t="str">
        <f t="shared" si="5"/>
        <v>2016</v>
      </c>
      <c r="E172" s="902" t="s">
        <v>3175</v>
      </c>
      <c r="F172" s="902" t="s">
        <v>2620</v>
      </c>
      <c r="G172" s="903" t="s">
        <v>2621</v>
      </c>
      <c r="H172" s="904">
        <v>12000000</v>
      </c>
      <c r="I172" s="904"/>
      <c r="J172" s="904">
        <v>12000000</v>
      </c>
      <c r="K172" s="904">
        <v>1036000</v>
      </c>
      <c r="L172" s="904">
        <v>10964000</v>
      </c>
      <c r="M172" s="905">
        <v>10</v>
      </c>
      <c r="N172" s="906">
        <v>0.25900000000000001</v>
      </c>
      <c r="O172" s="905">
        <v>12</v>
      </c>
      <c r="P172" s="904">
        <v>2839676</v>
      </c>
      <c r="Q172" s="904"/>
      <c r="R172" s="904">
        <v>3875676</v>
      </c>
      <c r="S172" s="904">
        <v>8124324</v>
      </c>
    </row>
    <row r="173" spans="2:19" hidden="1" x14ac:dyDescent="0.3">
      <c r="B173" s="900" t="s">
        <v>2368</v>
      </c>
      <c r="C173" s="901" t="s">
        <v>2369</v>
      </c>
      <c r="D173" s="902" t="str">
        <f t="shared" si="5"/>
        <v>2016</v>
      </c>
      <c r="E173" s="902" t="s">
        <v>3175</v>
      </c>
      <c r="F173" s="902" t="s">
        <v>2620</v>
      </c>
      <c r="G173" s="903" t="s">
        <v>2621</v>
      </c>
      <c r="H173" s="904">
        <v>530000000</v>
      </c>
      <c r="I173" s="904"/>
      <c r="J173" s="904">
        <v>530000000</v>
      </c>
      <c r="K173" s="904">
        <v>45756666</v>
      </c>
      <c r="L173" s="904">
        <v>484243334</v>
      </c>
      <c r="M173" s="905">
        <v>10</v>
      </c>
      <c r="N173" s="906">
        <v>0.25900000000000001</v>
      </c>
      <c r="O173" s="905">
        <v>12</v>
      </c>
      <c r="P173" s="904">
        <v>125419023</v>
      </c>
      <c r="Q173" s="904"/>
      <c r="R173" s="904">
        <v>171175689</v>
      </c>
      <c r="S173" s="904">
        <v>358824311</v>
      </c>
    </row>
    <row r="174" spans="2:19" hidden="1" x14ac:dyDescent="0.3">
      <c r="B174" s="900" t="s">
        <v>2370</v>
      </c>
      <c r="C174" s="901" t="s">
        <v>2371</v>
      </c>
      <c r="D174" s="902" t="str">
        <f t="shared" si="5"/>
        <v>2016</v>
      </c>
      <c r="E174" s="902" t="s">
        <v>3175</v>
      </c>
      <c r="F174" s="902" t="s">
        <v>2620</v>
      </c>
      <c r="G174" s="903" t="s">
        <v>2621</v>
      </c>
      <c r="H174" s="904">
        <v>3700000</v>
      </c>
      <c r="I174" s="904"/>
      <c r="J174" s="904">
        <v>3700000</v>
      </c>
      <c r="K174" s="904">
        <v>159716</v>
      </c>
      <c r="L174" s="904">
        <v>3540284</v>
      </c>
      <c r="M174" s="905">
        <v>10</v>
      </c>
      <c r="N174" s="906">
        <v>0.25900000000000001</v>
      </c>
      <c r="O174" s="905">
        <v>12</v>
      </c>
      <c r="P174" s="904">
        <v>916933</v>
      </c>
      <c r="Q174" s="904"/>
      <c r="R174" s="904">
        <v>1076649</v>
      </c>
      <c r="S174" s="904">
        <v>2623351</v>
      </c>
    </row>
    <row r="175" spans="2:19" hidden="1" x14ac:dyDescent="0.3">
      <c r="B175" s="900" t="s">
        <v>2173</v>
      </c>
      <c r="C175" s="901" t="s">
        <v>2372</v>
      </c>
      <c r="D175" s="902" t="str">
        <f t="shared" si="5"/>
        <v>2016</v>
      </c>
      <c r="E175" s="902" t="s">
        <v>3175</v>
      </c>
      <c r="F175" s="902" t="s">
        <v>2620</v>
      </c>
      <c r="G175" s="903" t="s">
        <v>2621</v>
      </c>
      <c r="H175" s="904">
        <v>9000000</v>
      </c>
      <c r="I175" s="904"/>
      <c r="J175" s="904">
        <v>9000000</v>
      </c>
      <c r="K175" s="904">
        <v>194250</v>
      </c>
      <c r="L175" s="904">
        <v>8805750</v>
      </c>
      <c r="M175" s="905">
        <v>10</v>
      </c>
      <c r="N175" s="906">
        <v>0.25900000000000001</v>
      </c>
      <c r="O175" s="905">
        <v>12</v>
      </c>
      <c r="P175" s="904">
        <v>2280689</v>
      </c>
      <c r="Q175" s="904"/>
      <c r="R175" s="904">
        <v>2474939</v>
      </c>
      <c r="S175" s="904">
        <v>6525061</v>
      </c>
    </row>
    <row r="176" spans="2:19" x14ac:dyDescent="0.3">
      <c r="B176" s="900" t="s">
        <v>2373</v>
      </c>
      <c r="C176" s="901" t="s">
        <v>2374</v>
      </c>
      <c r="D176" s="902" t="str">
        <f t="shared" si="5"/>
        <v>2017</v>
      </c>
      <c r="E176" s="902" t="s">
        <v>3175</v>
      </c>
      <c r="F176" s="902" t="s">
        <v>2073</v>
      </c>
      <c r="G176" s="903" t="s">
        <v>2073</v>
      </c>
      <c r="H176" s="904">
        <v>15270000</v>
      </c>
      <c r="I176" s="904"/>
      <c r="J176" s="904">
        <v>15270000</v>
      </c>
      <c r="K176" s="904"/>
      <c r="L176" s="904">
        <v>15270000</v>
      </c>
      <c r="M176" s="905">
        <v>10</v>
      </c>
      <c r="N176" s="906">
        <v>0.25900000000000001</v>
      </c>
      <c r="O176" s="905">
        <v>12</v>
      </c>
      <c r="P176" s="904">
        <v>3954930</v>
      </c>
      <c r="Q176" s="904"/>
      <c r="R176" s="904">
        <v>3954930</v>
      </c>
      <c r="S176" s="904">
        <v>11315070</v>
      </c>
    </row>
    <row r="177" spans="2:19" x14ac:dyDescent="0.3">
      <c r="B177" s="900" t="s">
        <v>2375</v>
      </c>
      <c r="C177" s="901" t="s">
        <v>2374</v>
      </c>
      <c r="D177" s="902" t="str">
        <f t="shared" si="5"/>
        <v>2017</v>
      </c>
      <c r="E177" s="902" t="s">
        <v>3175</v>
      </c>
      <c r="F177" s="902" t="s">
        <v>2073</v>
      </c>
      <c r="G177" s="903" t="s">
        <v>2073</v>
      </c>
      <c r="H177" s="904">
        <v>8120000</v>
      </c>
      <c r="I177" s="904"/>
      <c r="J177" s="904">
        <v>8120000</v>
      </c>
      <c r="K177" s="904"/>
      <c r="L177" s="904">
        <v>8120000</v>
      </c>
      <c r="M177" s="905">
        <v>10</v>
      </c>
      <c r="N177" s="906">
        <v>0.25900000000000001</v>
      </c>
      <c r="O177" s="905">
        <v>12</v>
      </c>
      <c r="P177" s="904">
        <v>2103080</v>
      </c>
      <c r="Q177" s="904"/>
      <c r="R177" s="904">
        <v>2103080</v>
      </c>
      <c r="S177" s="904">
        <v>6016920</v>
      </c>
    </row>
    <row r="178" spans="2:19" x14ac:dyDescent="0.3">
      <c r="B178" s="900" t="s">
        <v>2376</v>
      </c>
      <c r="C178" s="901" t="s">
        <v>2377</v>
      </c>
      <c r="D178" s="902" t="str">
        <f t="shared" si="5"/>
        <v>2017</v>
      </c>
      <c r="E178" s="902" t="s">
        <v>3175</v>
      </c>
      <c r="F178" s="902" t="s">
        <v>2620</v>
      </c>
      <c r="G178" s="903" t="s">
        <v>2621</v>
      </c>
      <c r="H178" s="904">
        <v>72000000</v>
      </c>
      <c r="I178" s="904"/>
      <c r="J178" s="904">
        <v>72000000</v>
      </c>
      <c r="K178" s="904"/>
      <c r="L178" s="904">
        <v>72000000</v>
      </c>
      <c r="M178" s="905">
        <v>10</v>
      </c>
      <c r="N178" s="906">
        <v>0.25900000000000001</v>
      </c>
      <c r="O178" s="905">
        <v>6</v>
      </c>
      <c r="P178" s="904">
        <v>9324000</v>
      </c>
      <c r="Q178" s="904"/>
      <c r="R178" s="904">
        <v>9324000</v>
      </c>
      <c r="S178" s="904">
        <v>62676000</v>
      </c>
    </row>
    <row r="179" spans="2:19" x14ac:dyDescent="0.3">
      <c r="B179" s="900" t="s">
        <v>2378</v>
      </c>
      <c r="C179" s="901" t="s">
        <v>2379</v>
      </c>
      <c r="D179" s="902" t="str">
        <f t="shared" si="5"/>
        <v>2017</v>
      </c>
      <c r="E179" s="902" t="s">
        <v>3175</v>
      </c>
      <c r="F179" s="902" t="s">
        <v>2682</v>
      </c>
      <c r="G179" s="903" t="s">
        <v>2683</v>
      </c>
      <c r="H179" s="904">
        <v>25990000</v>
      </c>
      <c r="I179" s="904"/>
      <c r="J179" s="904">
        <v>25990000</v>
      </c>
      <c r="K179" s="904"/>
      <c r="L179" s="904">
        <v>25990000</v>
      </c>
      <c r="M179" s="905">
        <v>10</v>
      </c>
      <c r="N179" s="906">
        <v>0.25900000000000001</v>
      </c>
      <c r="O179" s="905">
        <v>5</v>
      </c>
      <c r="P179" s="904">
        <v>2804754</v>
      </c>
      <c r="Q179" s="904"/>
      <c r="R179" s="904">
        <v>2804754</v>
      </c>
      <c r="S179" s="904">
        <v>23185246</v>
      </c>
    </row>
    <row r="180" spans="2:19" x14ac:dyDescent="0.3">
      <c r="B180" s="900" t="s">
        <v>2380</v>
      </c>
      <c r="C180" s="901" t="s">
        <v>2381</v>
      </c>
      <c r="D180" s="902" t="str">
        <f t="shared" si="5"/>
        <v>2017</v>
      </c>
      <c r="E180" s="902" t="s">
        <v>3175</v>
      </c>
      <c r="F180" s="902" t="s">
        <v>2620</v>
      </c>
      <c r="G180" s="903" t="s">
        <v>2621</v>
      </c>
      <c r="H180" s="904">
        <v>20800000</v>
      </c>
      <c r="I180" s="904"/>
      <c r="J180" s="904">
        <v>20800000</v>
      </c>
      <c r="K180" s="904"/>
      <c r="L180" s="904">
        <v>20800000</v>
      </c>
      <c r="M180" s="905">
        <v>10</v>
      </c>
      <c r="N180" s="906">
        <v>0.25900000000000001</v>
      </c>
      <c r="O180" s="905">
        <v>5</v>
      </c>
      <c r="P180" s="904">
        <v>2244666</v>
      </c>
      <c r="Q180" s="904"/>
      <c r="R180" s="904">
        <v>2244666</v>
      </c>
      <c r="S180" s="904">
        <v>18555334</v>
      </c>
    </row>
    <row r="181" spans="2:19" x14ac:dyDescent="0.3">
      <c r="B181" s="900" t="s">
        <v>2382</v>
      </c>
      <c r="C181" s="901" t="s">
        <v>2381</v>
      </c>
      <c r="D181" s="902" t="str">
        <f t="shared" si="5"/>
        <v>2017</v>
      </c>
      <c r="E181" s="902" t="s">
        <v>3175</v>
      </c>
      <c r="F181" s="902" t="s">
        <v>2620</v>
      </c>
      <c r="G181" s="903" t="s">
        <v>2621</v>
      </c>
      <c r="H181" s="904">
        <v>7946000</v>
      </c>
      <c r="I181" s="904"/>
      <c r="J181" s="904">
        <v>7946000</v>
      </c>
      <c r="K181" s="904"/>
      <c r="L181" s="904">
        <v>7946000</v>
      </c>
      <c r="M181" s="905">
        <v>10</v>
      </c>
      <c r="N181" s="906">
        <v>0.25900000000000001</v>
      </c>
      <c r="O181" s="905">
        <v>5</v>
      </c>
      <c r="P181" s="904">
        <v>857505</v>
      </c>
      <c r="Q181" s="904"/>
      <c r="R181" s="904">
        <v>857505</v>
      </c>
      <c r="S181" s="904">
        <v>7088495</v>
      </c>
    </row>
    <row r="182" spans="2:19" x14ac:dyDescent="0.3">
      <c r="B182" s="900" t="s">
        <v>2173</v>
      </c>
      <c r="C182" s="901" t="s">
        <v>2383</v>
      </c>
      <c r="D182" s="902" t="str">
        <f t="shared" si="5"/>
        <v>2017</v>
      </c>
      <c r="E182" s="902" t="s">
        <v>3175</v>
      </c>
      <c r="F182" s="902" t="s">
        <v>2620</v>
      </c>
      <c r="G182" s="903" t="s">
        <v>2621</v>
      </c>
      <c r="H182" s="904">
        <v>14500000</v>
      </c>
      <c r="I182" s="904"/>
      <c r="J182" s="904">
        <v>14500000</v>
      </c>
      <c r="K182" s="904"/>
      <c r="L182" s="904">
        <v>14500000</v>
      </c>
      <c r="M182" s="905">
        <v>10</v>
      </c>
      <c r="N182" s="906">
        <v>0.25900000000000001</v>
      </c>
      <c r="O182" s="905">
        <v>4</v>
      </c>
      <c r="P182" s="904">
        <v>1251833</v>
      </c>
      <c r="Q182" s="904"/>
      <c r="R182" s="904">
        <v>1251833</v>
      </c>
      <c r="S182" s="904">
        <v>13248167</v>
      </c>
    </row>
    <row r="183" spans="2:19" x14ac:dyDescent="0.3">
      <c r="B183" s="900" t="s">
        <v>2384</v>
      </c>
      <c r="C183" s="901" t="s">
        <v>2385</v>
      </c>
      <c r="D183" s="902" t="str">
        <f t="shared" si="5"/>
        <v>2017</v>
      </c>
      <c r="E183" s="902" t="s">
        <v>3175</v>
      </c>
      <c r="F183" s="902" t="s">
        <v>2620</v>
      </c>
      <c r="G183" s="903" t="s">
        <v>2621</v>
      </c>
      <c r="H183" s="904">
        <v>10700000</v>
      </c>
      <c r="I183" s="904"/>
      <c r="J183" s="904">
        <v>10700000</v>
      </c>
      <c r="K183" s="904"/>
      <c r="L183" s="904">
        <v>10700000</v>
      </c>
      <c r="M183" s="905">
        <v>10</v>
      </c>
      <c r="N183" s="906">
        <v>0.25900000000000001</v>
      </c>
      <c r="O183" s="905">
        <v>4</v>
      </c>
      <c r="P183" s="904">
        <v>923766</v>
      </c>
      <c r="Q183" s="904"/>
      <c r="R183" s="904">
        <v>923766</v>
      </c>
      <c r="S183" s="904">
        <v>9776234</v>
      </c>
    </row>
    <row r="184" spans="2:19" x14ac:dyDescent="0.3">
      <c r="B184" s="900" t="s">
        <v>2386</v>
      </c>
      <c r="C184" s="901" t="s">
        <v>2385</v>
      </c>
      <c r="D184" s="902" t="str">
        <f t="shared" si="5"/>
        <v>2017</v>
      </c>
      <c r="E184" s="902" t="s">
        <v>3175</v>
      </c>
      <c r="F184" s="902" t="s">
        <v>2620</v>
      </c>
      <c r="G184" s="903" t="s">
        <v>2621</v>
      </c>
      <c r="H184" s="904">
        <v>9500000</v>
      </c>
      <c r="I184" s="904"/>
      <c r="J184" s="904">
        <v>9500000</v>
      </c>
      <c r="K184" s="904"/>
      <c r="L184" s="904">
        <v>9500000</v>
      </c>
      <c r="M184" s="905">
        <v>10</v>
      </c>
      <c r="N184" s="906">
        <v>0.25900000000000001</v>
      </c>
      <c r="O184" s="905">
        <v>4</v>
      </c>
      <c r="P184" s="904">
        <v>820166</v>
      </c>
      <c r="Q184" s="904"/>
      <c r="R184" s="904">
        <v>820166</v>
      </c>
      <c r="S184" s="904">
        <v>8679834</v>
      </c>
    </row>
    <row r="185" spans="2:19" x14ac:dyDescent="0.3">
      <c r="B185" s="900" t="s">
        <v>2387</v>
      </c>
      <c r="C185" s="901" t="s">
        <v>2385</v>
      </c>
      <c r="D185" s="902" t="str">
        <f t="shared" si="5"/>
        <v>2017</v>
      </c>
      <c r="E185" s="902" t="s">
        <v>3175</v>
      </c>
      <c r="F185" s="902" t="s">
        <v>2620</v>
      </c>
      <c r="G185" s="903" t="s">
        <v>2621</v>
      </c>
      <c r="H185" s="904">
        <v>9880000</v>
      </c>
      <c r="I185" s="904"/>
      <c r="J185" s="904">
        <v>9880000</v>
      </c>
      <c r="K185" s="904"/>
      <c r="L185" s="904">
        <v>9880000</v>
      </c>
      <c r="M185" s="905">
        <v>10</v>
      </c>
      <c r="N185" s="906">
        <v>0.25900000000000001</v>
      </c>
      <c r="O185" s="905">
        <v>4</v>
      </c>
      <c r="P185" s="904">
        <v>852973</v>
      </c>
      <c r="Q185" s="904"/>
      <c r="R185" s="904">
        <v>852973</v>
      </c>
      <c r="S185" s="904">
        <v>9027027</v>
      </c>
    </row>
    <row r="186" spans="2:19" x14ac:dyDescent="0.3">
      <c r="B186" s="900" t="s">
        <v>2388</v>
      </c>
      <c r="C186" s="901" t="s">
        <v>2389</v>
      </c>
      <c r="D186" s="902" t="str">
        <f t="shared" si="5"/>
        <v>2017</v>
      </c>
      <c r="E186" s="902" t="s">
        <v>3175</v>
      </c>
      <c r="F186" s="902" t="s">
        <v>2620</v>
      </c>
      <c r="G186" s="903" t="s">
        <v>2621</v>
      </c>
      <c r="H186" s="904">
        <v>18200000</v>
      </c>
      <c r="I186" s="904"/>
      <c r="J186" s="904">
        <v>18200000</v>
      </c>
      <c r="K186" s="904"/>
      <c r="L186" s="904">
        <v>18200000</v>
      </c>
      <c r="M186" s="905">
        <v>10</v>
      </c>
      <c r="N186" s="906">
        <v>0.25900000000000001</v>
      </c>
      <c r="O186" s="905">
        <v>3</v>
      </c>
      <c r="P186" s="904">
        <v>1178450</v>
      </c>
      <c r="Q186" s="904"/>
      <c r="R186" s="904">
        <v>1178450</v>
      </c>
      <c r="S186" s="904">
        <v>17021550</v>
      </c>
    </row>
    <row r="187" spans="2:19" x14ac:dyDescent="0.3">
      <c r="B187" s="900" t="s">
        <v>2390</v>
      </c>
      <c r="C187" s="901" t="s">
        <v>2391</v>
      </c>
      <c r="D187" s="902" t="str">
        <f t="shared" si="5"/>
        <v>2017</v>
      </c>
      <c r="E187" s="902" t="s">
        <v>3175</v>
      </c>
      <c r="F187" s="902" t="s">
        <v>2620</v>
      </c>
      <c r="G187" s="903" t="s">
        <v>2621</v>
      </c>
      <c r="H187" s="904">
        <v>43800000</v>
      </c>
      <c r="I187" s="904"/>
      <c r="J187" s="904">
        <v>43800000</v>
      </c>
      <c r="K187" s="904"/>
      <c r="L187" s="904">
        <v>43800000</v>
      </c>
      <c r="M187" s="905">
        <v>10</v>
      </c>
      <c r="N187" s="906">
        <v>0.25900000000000001</v>
      </c>
      <c r="O187" s="905">
        <v>2</v>
      </c>
      <c r="P187" s="904">
        <v>1890700</v>
      </c>
      <c r="Q187" s="904"/>
      <c r="R187" s="904">
        <v>1890700</v>
      </c>
      <c r="S187" s="904">
        <v>41909300</v>
      </c>
    </row>
    <row r="188" spans="2:19" hidden="1" x14ac:dyDescent="0.3">
      <c r="B188" s="907" t="s">
        <v>2684</v>
      </c>
      <c r="C188" s="908"/>
      <c r="D188" s="909" t="str">
        <f t="shared" si="5"/>
        <v/>
      </c>
      <c r="E188" s="909"/>
      <c r="F188" s="909"/>
      <c r="G188" s="910"/>
      <c r="H188" s="911">
        <f>SUM(H41:H187)</f>
        <v>5709129596</v>
      </c>
      <c r="I188" s="911">
        <f>SUM(I41:I187)</f>
        <v>38283600</v>
      </c>
      <c r="J188" s="911">
        <f>SUM(J41:J187)</f>
        <v>5747413196</v>
      </c>
      <c r="K188" s="911"/>
      <c r="L188" s="911">
        <f>SUM(L41:L187)</f>
        <v>1904452006</v>
      </c>
      <c r="M188" s="912"/>
      <c r="N188" s="913"/>
      <c r="O188" s="912"/>
      <c r="P188" s="911">
        <f>SUM(P41:P187)</f>
        <v>490024375</v>
      </c>
      <c r="Q188" s="911"/>
      <c r="R188" s="911">
        <f t="shared" ref="R188:S188" si="6">SUM(R41:R187)</f>
        <v>4332985565</v>
      </c>
      <c r="S188" s="911">
        <f t="shared" si="6"/>
        <v>1414427631</v>
      </c>
    </row>
    <row r="189" spans="2:19" hidden="1" x14ac:dyDescent="0.3">
      <c r="B189" s="900" t="s">
        <v>2392</v>
      </c>
      <c r="C189" s="901" t="s">
        <v>2174</v>
      </c>
      <c r="D189" s="902" t="str">
        <f t="shared" si="5"/>
        <v>2000</v>
      </c>
      <c r="E189" s="902" t="s">
        <v>3174</v>
      </c>
      <c r="F189" s="902" t="s">
        <v>2620</v>
      </c>
      <c r="G189" s="903" t="s">
        <v>2621</v>
      </c>
      <c r="H189" s="904">
        <v>9398019</v>
      </c>
      <c r="I189" s="904"/>
      <c r="J189" s="904">
        <v>9398019</v>
      </c>
      <c r="K189" s="904">
        <v>9397019</v>
      </c>
      <c r="L189" s="904">
        <v>1000</v>
      </c>
      <c r="M189" s="905">
        <v>5</v>
      </c>
      <c r="N189" s="906">
        <v>0.45100000000000001</v>
      </c>
      <c r="O189" s="905">
        <v>12</v>
      </c>
      <c r="P189" s="904"/>
      <c r="Q189" s="904"/>
      <c r="R189" s="904">
        <v>9397019</v>
      </c>
      <c r="S189" s="904">
        <v>1000</v>
      </c>
    </row>
    <row r="190" spans="2:19" hidden="1" x14ac:dyDescent="0.3">
      <c r="B190" s="900" t="s">
        <v>2393</v>
      </c>
      <c r="C190" s="901" t="s">
        <v>2174</v>
      </c>
      <c r="D190" s="902" t="str">
        <f t="shared" si="5"/>
        <v>2000</v>
      </c>
      <c r="E190" s="902" t="s">
        <v>3174</v>
      </c>
      <c r="F190" s="902" t="s">
        <v>2620</v>
      </c>
      <c r="G190" s="903" t="s">
        <v>2621</v>
      </c>
      <c r="H190" s="904">
        <v>10396257</v>
      </c>
      <c r="I190" s="904"/>
      <c r="J190" s="904">
        <v>10396257</v>
      </c>
      <c r="K190" s="904">
        <v>10395257</v>
      </c>
      <c r="L190" s="904">
        <v>1000</v>
      </c>
      <c r="M190" s="905">
        <v>5</v>
      </c>
      <c r="N190" s="906">
        <v>0.45100000000000001</v>
      </c>
      <c r="O190" s="905">
        <v>12</v>
      </c>
      <c r="P190" s="904"/>
      <c r="Q190" s="904"/>
      <c r="R190" s="904">
        <v>10395257</v>
      </c>
      <c r="S190" s="904">
        <v>1000</v>
      </c>
    </row>
    <row r="191" spans="2:19" hidden="1" x14ac:dyDescent="0.3">
      <c r="B191" s="900" t="s">
        <v>2394</v>
      </c>
      <c r="C191" s="901" t="s">
        <v>2395</v>
      </c>
      <c r="D191" s="902" t="str">
        <f t="shared" si="5"/>
        <v>2003</v>
      </c>
      <c r="E191" s="902" t="s">
        <v>3174</v>
      </c>
      <c r="F191" s="902" t="s">
        <v>2620</v>
      </c>
      <c r="G191" s="903" t="s">
        <v>2621</v>
      </c>
      <c r="H191" s="904">
        <v>20680000</v>
      </c>
      <c r="I191" s="904"/>
      <c r="J191" s="904">
        <v>20680000</v>
      </c>
      <c r="K191" s="904">
        <v>20679000</v>
      </c>
      <c r="L191" s="904">
        <v>1000</v>
      </c>
      <c r="M191" s="905">
        <v>5</v>
      </c>
      <c r="N191" s="906">
        <v>0.45100000000000001</v>
      </c>
      <c r="O191" s="905">
        <v>12</v>
      </c>
      <c r="P191" s="904"/>
      <c r="Q191" s="904"/>
      <c r="R191" s="904">
        <v>20679000</v>
      </c>
      <c r="S191" s="904">
        <v>1000</v>
      </c>
    </row>
    <row r="192" spans="2:19" hidden="1" x14ac:dyDescent="0.3">
      <c r="B192" s="900" t="s">
        <v>2396</v>
      </c>
      <c r="C192" s="901" t="s">
        <v>2397</v>
      </c>
      <c r="D192" s="902" t="str">
        <f t="shared" si="5"/>
        <v>2005</v>
      </c>
      <c r="E192" s="902" t="s">
        <v>3174</v>
      </c>
      <c r="F192" s="902" t="s">
        <v>2620</v>
      </c>
      <c r="G192" s="903" t="s">
        <v>2621</v>
      </c>
      <c r="H192" s="904">
        <v>12320765</v>
      </c>
      <c r="I192" s="904"/>
      <c r="J192" s="904">
        <v>12320765</v>
      </c>
      <c r="K192" s="904">
        <v>12319765</v>
      </c>
      <c r="L192" s="904">
        <v>1000</v>
      </c>
      <c r="M192" s="905">
        <v>5</v>
      </c>
      <c r="N192" s="906">
        <v>0.45100000000000001</v>
      </c>
      <c r="O192" s="905">
        <v>12</v>
      </c>
      <c r="P192" s="904"/>
      <c r="Q192" s="904"/>
      <c r="R192" s="904">
        <v>12319765</v>
      </c>
      <c r="S192" s="904">
        <v>1000</v>
      </c>
    </row>
    <row r="193" spans="2:19" hidden="1" x14ac:dyDescent="0.3">
      <c r="B193" s="900" t="s">
        <v>2398</v>
      </c>
      <c r="C193" s="901" t="s">
        <v>2399</v>
      </c>
      <c r="D193" s="902" t="str">
        <f t="shared" si="5"/>
        <v>2008</v>
      </c>
      <c r="E193" s="902" t="s">
        <v>3174</v>
      </c>
      <c r="F193" s="902" t="s">
        <v>2620</v>
      </c>
      <c r="G193" s="903" t="s">
        <v>2621</v>
      </c>
      <c r="H193" s="904">
        <v>8816363</v>
      </c>
      <c r="I193" s="904"/>
      <c r="J193" s="904">
        <v>8816363</v>
      </c>
      <c r="K193" s="904">
        <v>8815363</v>
      </c>
      <c r="L193" s="904">
        <v>1000</v>
      </c>
      <c r="M193" s="905">
        <v>5</v>
      </c>
      <c r="N193" s="906">
        <v>0.45100000000000001</v>
      </c>
      <c r="O193" s="905">
        <v>12</v>
      </c>
      <c r="P193" s="904"/>
      <c r="Q193" s="904"/>
      <c r="R193" s="904">
        <v>8815363</v>
      </c>
      <c r="S193" s="904">
        <v>1000</v>
      </c>
    </row>
    <row r="194" spans="2:19" hidden="1" x14ac:dyDescent="0.3">
      <c r="B194" s="900" t="s">
        <v>2400</v>
      </c>
      <c r="C194" s="901" t="s">
        <v>2401</v>
      </c>
      <c r="D194" s="902" t="str">
        <f t="shared" si="5"/>
        <v>2009</v>
      </c>
      <c r="E194" s="902" t="s">
        <v>3174</v>
      </c>
      <c r="F194" s="902" t="s">
        <v>2620</v>
      </c>
      <c r="G194" s="903" t="s">
        <v>2621</v>
      </c>
      <c r="H194" s="904">
        <v>8311819</v>
      </c>
      <c r="I194" s="904"/>
      <c r="J194" s="904">
        <v>8311819</v>
      </c>
      <c r="K194" s="904">
        <v>8310819</v>
      </c>
      <c r="L194" s="904">
        <v>1000</v>
      </c>
      <c r="M194" s="905">
        <v>5</v>
      </c>
      <c r="N194" s="906">
        <v>0.45100000000000001</v>
      </c>
      <c r="O194" s="905">
        <v>12</v>
      </c>
      <c r="P194" s="904"/>
      <c r="Q194" s="904"/>
      <c r="R194" s="904">
        <v>8310819</v>
      </c>
      <c r="S194" s="904">
        <v>1000</v>
      </c>
    </row>
    <row r="195" spans="2:19" hidden="1" x14ac:dyDescent="0.3">
      <c r="B195" s="900" t="s">
        <v>2402</v>
      </c>
      <c r="C195" s="901" t="s">
        <v>2403</v>
      </c>
      <c r="D195" s="902" t="str">
        <f t="shared" si="5"/>
        <v>2009</v>
      </c>
      <c r="E195" s="902" t="s">
        <v>3174</v>
      </c>
      <c r="F195" s="902" t="s">
        <v>2620</v>
      </c>
      <c r="G195" s="903" t="s">
        <v>2621</v>
      </c>
      <c r="H195" s="904">
        <v>15000000</v>
      </c>
      <c r="I195" s="904"/>
      <c r="J195" s="904">
        <v>15000000</v>
      </c>
      <c r="K195" s="904">
        <v>13643394</v>
      </c>
      <c r="L195" s="904">
        <v>1356606</v>
      </c>
      <c r="M195" s="905">
        <v>5</v>
      </c>
      <c r="N195" s="906">
        <v>0.45100000000000001</v>
      </c>
      <c r="O195" s="905">
        <v>12</v>
      </c>
      <c r="P195" s="904">
        <v>1355606</v>
      </c>
      <c r="Q195" s="904"/>
      <c r="R195" s="904">
        <v>14999000</v>
      </c>
      <c r="S195" s="904">
        <v>1000</v>
      </c>
    </row>
    <row r="196" spans="2:19" hidden="1" x14ac:dyDescent="0.3">
      <c r="B196" s="900" t="s">
        <v>2404</v>
      </c>
      <c r="C196" s="901" t="s">
        <v>2405</v>
      </c>
      <c r="D196" s="902" t="str">
        <f t="shared" si="5"/>
        <v>2009</v>
      </c>
      <c r="E196" s="902" t="s">
        <v>3174</v>
      </c>
      <c r="F196" s="902" t="s">
        <v>2620</v>
      </c>
      <c r="G196" s="903" t="s">
        <v>2621</v>
      </c>
      <c r="H196" s="904">
        <v>10550230</v>
      </c>
      <c r="I196" s="904"/>
      <c r="J196" s="904">
        <v>10550230</v>
      </c>
      <c r="K196" s="904">
        <v>10549230</v>
      </c>
      <c r="L196" s="904">
        <v>1000</v>
      </c>
      <c r="M196" s="905">
        <v>5</v>
      </c>
      <c r="N196" s="906">
        <v>0.45100000000000001</v>
      </c>
      <c r="O196" s="905">
        <v>12</v>
      </c>
      <c r="P196" s="904"/>
      <c r="Q196" s="904"/>
      <c r="R196" s="904">
        <v>10549230</v>
      </c>
      <c r="S196" s="904">
        <v>1000</v>
      </c>
    </row>
    <row r="197" spans="2:19" hidden="1" x14ac:dyDescent="0.3">
      <c r="B197" s="900" t="s">
        <v>2406</v>
      </c>
      <c r="C197" s="901" t="s">
        <v>2407</v>
      </c>
      <c r="D197" s="902" t="str">
        <f t="shared" si="5"/>
        <v>2009</v>
      </c>
      <c r="E197" s="902" t="s">
        <v>3174</v>
      </c>
      <c r="F197" s="902" t="s">
        <v>2620</v>
      </c>
      <c r="G197" s="903" t="s">
        <v>2621</v>
      </c>
      <c r="H197" s="904">
        <v>50690950</v>
      </c>
      <c r="I197" s="904"/>
      <c r="J197" s="904">
        <v>50690950</v>
      </c>
      <c r="K197" s="904">
        <v>50689950</v>
      </c>
      <c r="L197" s="904">
        <v>1000</v>
      </c>
      <c r="M197" s="905">
        <v>5</v>
      </c>
      <c r="N197" s="906">
        <v>0.45100000000000001</v>
      </c>
      <c r="O197" s="905">
        <v>12</v>
      </c>
      <c r="P197" s="904"/>
      <c r="Q197" s="904"/>
      <c r="R197" s="904">
        <v>50689950</v>
      </c>
      <c r="S197" s="904">
        <v>1000</v>
      </c>
    </row>
    <row r="198" spans="2:19" hidden="1" x14ac:dyDescent="0.3">
      <c r="B198" s="900" t="s">
        <v>2408</v>
      </c>
      <c r="C198" s="901" t="s">
        <v>2409</v>
      </c>
      <c r="D198" s="902" t="str">
        <f t="shared" ref="D198:D261" si="7">LEFT(C198,4)</f>
        <v>2010</v>
      </c>
      <c r="E198" s="902" t="s">
        <v>3174</v>
      </c>
      <c r="F198" s="902" t="s">
        <v>2620</v>
      </c>
      <c r="G198" s="903" t="s">
        <v>2621</v>
      </c>
      <c r="H198" s="904">
        <v>8460000</v>
      </c>
      <c r="I198" s="904"/>
      <c r="J198" s="904">
        <v>8460000</v>
      </c>
      <c r="K198" s="904">
        <v>8459000</v>
      </c>
      <c r="L198" s="904">
        <v>1000</v>
      </c>
      <c r="M198" s="905">
        <v>5</v>
      </c>
      <c r="N198" s="906">
        <v>0.45100000000000001</v>
      </c>
      <c r="O198" s="905">
        <v>12</v>
      </c>
      <c r="P198" s="904"/>
      <c r="Q198" s="904"/>
      <c r="R198" s="904">
        <v>8459000</v>
      </c>
      <c r="S198" s="904">
        <v>1000</v>
      </c>
    </row>
    <row r="199" spans="2:19" hidden="1" x14ac:dyDescent="0.3">
      <c r="B199" s="900" t="s">
        <v>2410</v>
      </c>
      <c r="C199" s="901" t="s">
        <v>2411</v>
      </c>
      <c r="D199" s="902" t="str">
        <f t="shared" si="7"/>
        <v>2010</v>
      </c>
      <c r="E199" s="902" t="s">
        <v>3174</v>
      </c>
      <c r="F199" s="902" t="s">
        <v>2620</v>
      </c>
      <c r="G199" s="903" t="s">
        <v>2621</v>
      </c>
      <c r="H199" s="904">
        <v>15562997</v>
      </c>
      <c r="I199" s="904"/>
      <c r="J199" s="904">
        <v>15562997</v>
      </c>
      <c r="K199" s="904">
        <v>15561997</v>
      </c>
      <c r="L199" s="904">
        <v>1000</v>
      </c>
      <c r="M199" s="905">
        <v>5</v>
      </c>
      <c r="N199" s="906">
        <v>0.45100000000000001</v>
      </c>
      <c r="O199" s="905">
        <v>12</v>
      </c>
      <c r="P199" s="904"/>
      <c r="Q199" s="904"/>
      <c r="R199" s="904">
        <v>15561997</v>
      </c>
      <c r="S199" s="904">
        <v>1000</v>
      </c>
    </row>
    <row r="200" spans="2:19" hidden="1" x14ac:dyDescent="0.3">
      <c r="B200" s="900" t="s">
        <v>2412</v>
      </c>
      <c r="C200" s="901" t="s">
        <v>2413</v>
      </c>
      <c r="D200" s="902" t="str">
        <f t="shared" si="7"/>
        <v>2011</v>
      </c>
      <c r="E200" s="902" t="s">
        <v>3174</v>
      </c>
      <c r="F200" s="902" t="s">
        <v>2620</v>
      </c>
      <c r="G200" s="903" t="s">
        <v>2621</v>
      </c>
      <c r="H200" s="904">
        <v>14159674</v>
      </c>
      <c r="I200" s="904"/>
      <c r="J200" s="904">
        <v>14159674</v>
      </c>
      <c r="K200" s="904">
        <v>14158674</v>
      </c>
      <c r="L200" s="904">
        <v>1000</v>
      </c>
      <c r="M200" s="905">
        <v>5</v>
      </c>
      <c r="N200" s="906">
        <v>0.45100000000000001</v>
      </c>
      <c r="O200" s="905">
        <v>12</v>
      </c>
      <c r="P200" s="904"/>
      <c r="Q200" s="904"/>
      <c r="R200" s="904">
        <v>14158674</v>
      </c>
      <c r="S200" s="904">
        <v>1000</v>
      </c>
    </row>
    <row r="201" spans="2:19" hidden="1" x14ac:dyDescent="0.3">
      <c r="B201" s="900" t="s">
        <v>2414</v>
      </c>
      <c r="C201" s="901" t="s">
        <v>2415</v>
      </c>
      <c r="D201" s="902" t="str">
        <f t="shared" si="7"/>
        <v>2011</v>
      </c>
      <c r="E201" s="902" t="s">
        <v>3174</v>
      </c>
      <c r="F201" s="902" t="s">
        <v>2620</v>
      </c>
      <c r="G201" s="903" t="s">
        <v>2621</v>
      </c>
      <c r="H201" s="904">
        <v>16112230</v>
      </c>
      <c r="I201" s="904"/>
      <c r="J201" s="904">
        <v>16112230</v>
      </c>
      <c r="K201" s="904">
        <v>16111230</v>
      </c>
      <c r="L201" s="904">
        <v>1000</v>
      </c>
      <c r="M201" s="905">
        <v>5</v>
      </c>
      <c r="N201" s="906">
        <v>0.45100000000000001</v>
      </c>
      <c r="O201" s="905">
        <v>12</v>
      </c>
      <c r="P201" s="904"/>
      <c r="Q201" s="904"/>
      <c r="R201" s="904">
        <v>16111230</v>
      </c>
      <c r="S201" s="904">
        <v>1000</v>
      </c>
    </row>
    <row r="202" spans="2:19" hidden="1" x14ac:dyDescent="0.3">
      <c r="B202" s="900" t="s">
        <v>2416</v>
      </c>
      <c r="C202" s="901" t="s">
        <v>2417</v>
      </c>
      <c r="D202" s="902" t="str">
        <f t="shared" si="7"/>
        <v>2011</v>
      </c>
      <c r="E202" s="902" t="s">
        <v>3174</v>
      </c>
      <c r="F202" s="902" t="s">
        <v>2620</v>
      </c>
      <c r="G202" s="903" t="s">
        <v>2621</v>
      </c>
      <c r="H202" s="904">
        <v>3001667</v>
      </c>
      <c r="I202" s="904"/>
      <c r="J202" s="904">
        <v>3001667</v>
      </c>
      <c r="K202" s="904">
        <v>3000667</v>
      </c>
      <c r="L202" s="904">
        <v>1000</v>
      </c>
      <c r="M202" s="905">
        <v>2</v>
      </c>
      <c r="N202" s="906">
        <v>0.77700000000000002</v>
      </c>
      <c r="O202" s="905">
        <v>12</v>
      </c>
      <c r="P202" s="904"/>
      <c r="Q202" s="904"/>
      <c r="R202" s="904">
        <v>3000667</v>
      </c>
      <c r="S202" s="904">
        <v>1000</v>
      </c>
    </row>
    <row r="203" spans="2:19" hidden="1" x14ac:dyDescent="0.3">
      <c r="B203" s="900" t="s">
        <v>2418</v>
      </c>
      <c r="C203" s="901" t="s">
        <v>2419</v>
      </c>
      <c r="D203" s="902" t="str">
        <f t="shared" si="7"/>
        <v>2012</v>
      </c>
      <c r="E203" s="902" t="s">
        <v>3174</v>
      </c>
      <c r="F203" s="902" t="s">
        <v>2620</v>
      </c>
      <c r="G203" s="903" t="s">
        <v>2621</v>
      </c>
      <c r="H203" s="904">
        <v>38434270</v>
      </c>
      <c r="I203" s="904"/>
      <c r="J203" s="904">
        <v>38434270</v>
      </c>
      <c r="K203" s="904">
        <v>36143893</v>
      </c>
      <c r="L203" s="904">
        <v>2290377</v>
      </c>
      <c r="M203" s="905">
        <v>5</v>
      </c>
      <c r="N203" s="906">
        <v>0.45100000000000001</v>
      </c>
      <c r="O203" s="905">
        <v>12</v>
      </c>
      <c r="P203" s="904">
        <v>2289377</v>
      </c>
      <c r="Q203" s="904"/>
      <c r="R203" s="904">
        <v>38433270</v>
      </c>
      <c r="S203" s="904">
        <v>1000</v>
      </c>
    </row>
    <row r="204" spans="2:19" hidden="1" x14ac:dyDescent="0.3">
      <c r="B204" s="900" t="s">
        <v>2420</v>
      </c>
      <c r="C204" s="901" t="s">
        <v>2421</v>
      </c>
      <c r="D204" s="902" t="str">
        <f t="shared" si="7"/>
        <v>2012</v>
      </c>
      <c r="E204" s="902" t="s">
        <v>3174</v>
      </c>
      <c r="F204" s="902" t="s">
        <v>2620</v>
      </c>
      <c r="G204" s="903" t="s">
        <v>2621</v>
      </c>
      <c r="H204" s="904">
        <v>40000000</v>
      </c>
      <c r="I204" s="904"/>
      <c r="J204" s="904">
        <v>40000000</v>
      </c>
      <c r="K204" s="904">
        <v>37595397</v>
      </c>
      <c r="L204" s="904">
        <v>2404603</v>
      </c>
      <c r="M204" s="905">
        <v>5</v>
      </c>
      <c r="N204" s="906">
        <v>0.45100000000000001</v>
      </c>
      <c r="O204" s="905">
        <v>12</v>
      </c>
      <c r="P204" s="904">
        <v>2403603</v>
      </c>
      <c r="Q204" s="904"/>
      <c r="R204" s="904">
        <v>39999000</v>
      </c>
      <c r="S204" s="904">
        <v>1000</v>
      </c>
    </row>
    <row r="205" spans="2:19" hidden="1" x14ac:dyDescent="0.3">
      <c r="B205" s="900" t="s">
        <v>2422</v>
      </c>
      <c r="C205" s="901" t="s">
        <v>2423</v>
      </c>
      <c r="D205" s="902" t="str">
        <f t="shared" si="7"/>
        <v>2012</v>
      </c>
      <c r="E205" s="902" t="s">
        <v>3174</v>
      </c>
      <c r="F205" s="902" t="s">
        <v>2620</v>
      </c>
      <c r="G205" s="903" t="s">
        <v>2621</v>
      </c>
      <c r="H205" s="904">
        <v>13500000</v>
      </c>
      <c r="I205" s="904"/>
      <c r="J205" s="904">
        <v>13500000</v>
      </c>
      <c r="K205" s="904">
        <v>11541204</v>
      </c>
      <c r="L205" s="904">
        <v>1958796</v>
      </c>
      <c r="M205" s="905">
        <v>5</v>
      </c>
      <c r="N205" s="906">
        <v>0.45100000000000001</v>
      </c>
      <c r="O205" s="905">
        <v>12</v>
      </c>
      <c r="P205" s="904">
        <v>883416</v>
      </c>
      <c r="Q205" s="904"/>
      <c r="R205" s="904">
        <v>12424620</v>
      </c>
      <c r="S205" s="904">
        <v>1075380</v>
      </c>
    </row>
    <row r="206" spans="2:19" hidden="1" x14ac:dyDescent="0.3">
      <c r="B206" s="900" t="s">
        <v>2424</v>
      </c>
      <c r="C206" s="901" t="s">
        <v>2425</v>
      </c>
      <c r="D206" s="902" t="str">
        <f t="shared" si="7"/>
        <v>2013</v>
      </c>
      <c r="E206" s="902" t="s">
        <v>3174</v>
      </c>
      <c r="F206" s="902" t="s">
        <v>2620</v>
      </c>
      <c r="G206" s="903" t="s">
        <v>2621</v>
      </c>
      <c r="H206" s="904">
        <v>13806541</v>
      </c>
      <c r="I206" s="904"/>
      <c r="J206" s="904">
        <v>13806541</v>
      </c>
      <c r="K206" s="904">
        <v>12037151</v>
      </c>
      <c r="L206" s="904">
        <v>1769390</v>
      </c>
      <c r="M206" s="905">
        <v>5</v>
      </c>
      <c r="N206" s="906">
        <v>0.45100000000000001</v>
      </c>
      <c r="O206" s="905">
        <v>12</v>
      </c>
      <c r="P206" s="904">
        <v>797994</v>
      </c>
      <c r="Q206" s="904"/>
      <c r="R206" s="904">
        <v>12835145</v>
      </c>
      <c r="S206" s="904">
        <v>971396</v>
      </c>
    </row>
    <row r="207" spans="2:19" hidden="1" x14ac:dyDescent="0.3">
      <c r="B207" s="900" t="s">
        <v>2426</v>
      </c>
      <c r="C207" s="901" t="s">
        <v>2427</v>
      </c>
      <c r="D207" s="902" t="str">
        <f t="shared" si="7"/>
        <v>2014</v>
      </c>
      <c r="E207" s="902" t="s">
        <v>3174</v>
      </c>
      <c r="F207" s="902" t="s">
        <v>2620</v>
      </c>
      <c r="G207" s="903" t="s">
        <v>2621</v>
      </c>
      <c r="H207" s="904">
        <v>13067670</v>
      </c>
      <c r="I207" s="904"/>
      <c r="J207" s="904">
        <v>13067670</v>
      </c>
      <c r="K207" s="904">
        <v>10905373</v>
      </c>
      <c r="L207" s="904">
        <v>2162297</v>
      </c>
      <c r="M207" s="905">
        <v>5</v>
      </c>
      <c r="N207" s="906">
        <v>0.45100000000000001</v>
      </c>
      <c r="O207" s="905">
        <v>12</v>
      </c>
      <c r="P207" s="904">
        <v>975195</v>
      </c>
      <c r="Q207" s="904"/>
      <c r="R207" s="904">
        <v>11880568</v>
      </c>
      <c r="S207" s="904">
        <v>1187102</v>
      </c>
    </row>
    <row r="208" spans="2:19" hidden="1" x14ac:dyDescent="0.3">
      <c r="B208" s="900" t="s">
        <v>2428</v>
      </c>
      <c r="C208" s="901" t="s">
        <v>2429</v>
      </c>
      <c r="D208" s="902" t="str">
        <f t="shared" si="7"/>
        <v>2014</v>
      </c>
      <c r="E208" s="902" t="s">
        <v>3174</v>
      </c>
      <c r="F208" s="902" t="s">
        <v>2620</v>
      </c>
      <c r="G208" s="903" t="s">
        <v>2621</v>
      </c>
      <c r="H208" s="904">
        <v>25575358</v>
      </c>
      <c r="I208" s="904"/>
      <c r="J208" s="904">
        <v>25575358</v>
      </c>
      <c r="K208" s="904">
        <v>21053716</v>
      </c>
      <c r="L208" s="904">
        <v>4521642</v>
      </c>
      <c r="M208" s="905">
        <v>5</v>
      </c>
      <c r="N208" s="906">
        <v>0.45100000000000001</v>
      </c>
      <c r="O208" s="905">
        <v>12</v>
      </c>
      <c r="P208" s="904">
        <v>2039260</v>
      </c>
      <c r="Q208" s="904"/>
      <c r="R208" s="904">
        <v>23092976</v>
      </c>
      <c r="S208" s="904">
        <v>2482382</v>
      </c>
    </row>
    <row r="209" spans="2:19" hidden="1" x14ac:dyDescent="0.3">
      <c r="B209" s="900" t="s">
        <v>2430</v>
      </c>
      <c r="C209" s="901" t="s">
        <v>2431</v>
      </c>
      <c r="D209" s="902" t="str">
        <f t="shared" si="7"/>
        <v>2014</v>
      </c>
      <c r="E209" s="902" t="s">
        <v>3174</v>
      </c>
      <c r="F209" s="902" t="s">
        <v>2620</v>
      </c>
      <c r="G209" s="903" t="s">
        <v>2621</v>
      </c>
      <c r="H209" s="904">
        <v>13000000</v>
      </c>
      <c r="I209" s="904"/>
      <c r="J209" s="904">
        <v>13000000</v>
      </c>
      <c r="K209" s="904">
        <v>10701641</v>
      </c>
      <c r="L209" s="904">
        <v>2298359</v>
      </c>
      <c r="M209" s="905">
        <v>5</v>
      </c>
      <c r="N209" s="906">
        <v>0.45100000000000001</v>
      </c>
      <c r="O209" s="905">
        <v>12</v>
      </c>
      <c r="P209" s="904">
        <v>1036559</v>
      </c>
      <c r="Q209" s="904"/>
      <c r="R209" s="904">
        <v>11738200</v>
      </c>
      <c r="S209" s="904">
        <v>1261800</v>
      </c>
    </row>
    <row r="210" spans="2:19" hidden="1" x14ac:dyDescent="0.3">
      <c r="B210" s="900" t="s">
        <v>2432</v>
      </c>
      <c r="C210" s="901" t="s">
        <v>2433</v>
      </c>
      <c r="D210" s="902" t="str">
        <f t="shared" si="7"/>
        <v>2014</v>
      </c>
      <c r="E210" s="902" t="s">
        <v>3174</v>
      </c>
      <c r="F210" s="902" t="s">
        <v>2620</v>
      </c>
      <c r="G210" s="903" t="s">
        <v>2621</v>
      </c>
      <c r="H210" s="904">
        <v>24847819</v>
      </c>
      <c r="I210" s="904"/>
      <c r="J210" s="904">
        <v>24847819</v>
      </c>
      <c r="K210" s="904">
        <v>20454803</v>
      </c>
      <c r="L210" s="904">
        <v>4393016</v>
      </c>
      <c r="M210" s="905">
        <v>5</v>
      </c>
      <c r="N210" s="906">
        <v>0.45100000000000001</v>
      </c>
      <c r="O210" s="905">
        <v>12</v>
      </c>
      <c r="P210" s="904">
        <v>1981250</v>
      </c>
      <c r="Q210" s="904"/>
      <c r="R210" s="904">
        <v>22436053</v>
      </c>
      <c r="S210" s="904">
        <v>2411766</v>
      </c>
    </row>
    <row r="211" spans="2:19" hidden="1" x14ac:dyDescent="0.3">
      <c r="B211" s="900" t="s">
        <v>2434</v>
      </c>
      <c r="C211" s="901" t="s">
        <v>2435</v>
      </c>
      <c r="D211" s="902" t="str">
        <f t="shared" si="7"/>
        <v>2014</v>
      </c>
      <c r="E211" s="902" t="s">
        <v>3174</v>
      </c>
      <c r="F211" s="902" t="s">
        <v>2620</v>
      </c>
      <c r="G211" s="903" t="s">
        <v>2621</v>
      </c>
      <c r="H211" s="904">
        <v>16560820</v>
      </c>
      <c r="I211" s="904"/>
      <c r="J211" s="904">
        <v>16560820</v>
      </c>
      <c r="K211" s="904">
        <v>13445324</v>
      </c>
      <c r="L211" s="904">
        <v>3115496</v>
      </c>
      <c r="M211" s="905">
        <v>5</v>
      </c>
      <c r="N211" s="906">
        <v>0.45100000000000001</v>
      </c>
      <c r="O211" s="905">
        <v>12</v>
      </c>
      <c r="P211" s="904">
        <v>1405088</v>
      </c>
      <c r="Q211" s="904"/>
      <c r="R211" s="904">
        <v>14850412</v>
      </c>
      <c r="S211" s="904">
        <v>1710408</v>
      </c>
    </row>
    <row r="212" spans="2:19" hidden="1" x14ac:dyDescent="0.3">
      <c r="B212" s="900" t="s">
        <v>2430</v>
      </c>
      <c r="C212" s="901" t="s">
        <v>2436</v>
      </c>
      <c r="D212" s="902" t="str">
        <f t="shared" si="7"/>
        <v>2014</v>
      </c>
      <c r="E212" s="902" t="s">
        <v>3174</v>
      </c>
      <c r="F212" s="902" t="s">
        <v>2620</v>
      </c>
      <c r="G212" s="903" t="s">
        <v>2621</v>
      </c>
      <c r="H212" s="904">
        <v>16000000</v>
      </c>
      <c r="I212" s="904"/>
      <c r="J212" s="904">
        <v>16000000</v>
      </c>
      <c r="K212" s="904">
        <v>12446280</v>
      </c>
      <c r="L212" s="904">
        <v>3553720</v>
      </c>
      <c r="M212" s="905">
        <v>5</v>
      </c>
      <c r="N212" s="906">
        <v>0.45100000000000001</v>
      </c>
      <c r="O212" s="905">
        <v>12</v>
      </c>
      <c r="P212" s="904">
        <v>1602727</v>
      </c>
      <c r="Q212" s="904"/>
      <c r="R212" s="904">
        <v>14049007</v>
      </c>
      <c r="S212" s="904">
        <v>1950993</v>
      </c>
    </row>
    <row r="213" spans="2:19" hidden="1" x14ac:dyDescent="0.3">
      <c r="B213" s="900" t="s">
        <v>2437</v>
      </c>
      <c r="C213" s="901" t="s">
        <v>2438</v>
      </c>
      <c r="D213" s="902" t="str">
        <f t="shared" si="7"/>
        <v>2014</v>
      </c>
      <c r="E213" s="902" t="s">
        <v>3174</v>
      </c>
      <c r="F213" s="902" t="s">
        <v>2620</v>
      </c>
      <c r="G213" s="903" t="s">
        <v>2621</v>
      </c>
      <c r="H213" s="904">
        <v>14700000</v>
      </c>
      <c r="I213" s="904"/>
      <c r="J213" s="904">
        <v>14700000</v>
      </c>
      <c r="K213" s="904">
        <v>11268504</v>
      </c>
      <c r="L213" s="904">
        <v>3431496</v>
      </c>
      <c r="M213" s="905">
        <v>5</v>
      </c>
      <c r="N213" s="906">
        <v>0.45100000000000001</v>
      </c>
      <c r="O213" s="905">
        <v>12</v>
      </c>
      <c r="P213" s="904">
        <v>1547604</v>
      </c>
      <c r="Q213" s="904"/>
      <c r="R213" s="904">
        <v>12816108</v>
      </c>
      <c r="S213" s="904">
        <v>1883892</v>
      </c>
    </row>
    <row r="214" spans="2:19" hidden="1" x14ac:dyDescent="0.3">
      <c r="B214" s="900" t="s">
        <v>2439</v>
      </c>
      <c r="C214" s="901" t="s">
        <v>2440</v>
      </c>
      <c r="D214" s="902" t="str">
        <f t="shared" si="7"/>
        <v>2014</v>
      </c>
      <c r="E214" s="902" t="s">
        <v>3174</v>
      </c>
      <c r="F214" s="902" t="s">
        <v>2620</v>
      </c>
      <c r="G214" s="903" t="s">
        <v>2621</v>
      </c>
      <c r="H214" s="904">
        <v>16553370</v>
      </c>
      <c r="I214" s="904"/>
      <c r="J214" s="904">
        <v>16553370</v>
      </c>
      <c r="K214" s="904">
        <v>12314210</v>
      </c>
      <c r="L214" s="904">
        <v>4239160</v>
      </c>
      <c r="M214" s="905">
        <v>5</v>
      </c>
      <c r="N214" s="906">
        <v>0.45100000000000001</v>
      </c>
      <c r="O214" s="905">
        <v>12</v>
      </c>
      <c r="P214" s="904">
        <v>1911861</v>
      </c>
      <c r="Q214" s="904"/>
      <c r="R214" s="904">
        <v>14226071</v>
      </c>
      <c r="S214" s="904">
        <v>2327299</v>
      </c>
    </row>
    <row r="215" spans="2:19" hidden="1" x14ac:dyDescent="0.3">
      <c r="B215" s="900" t="s">
        <v>2441</v>
      </c>
      <c r="C215" s="901" t="s">
        <v>2442</v>
      </c>
      <c r="D215" s="902" t="str">
        <f t="shared" si="7"/>
        <v>2015</v>
      </c>
      <c r="E215" s="902" t="s">
        <v>3174</v>
      </c>
      <c r="F215" s="902" t="s">
        <v>2620</v>
      </c>
      <c r="G215" s="903" t="s">
        <v>2621</v>
      </c>
      <c r="H215" s="904">
        <v>18203636</v>
      </c>
      <c r="I215" s="904"/>
      <c r="J215" s="904">
        <v>18203636</v>
      </c>
      <c r="K215" s="904">
        <v>12717041</v>
      </c>
      <c r="L215" s="904">
        <v>5486595</v>
      </c>
      <c r="M215" s="905">
        <v>5</v>
      </c>
      <c r="N215" s="906">
        <v>0.45100000000000001</v>
      </c>
      <c r="O215" s="905">
        <v>12</v>
      </c>
      <c r="P215" s="904">
        <v>2474454</v>
      </c>
      <c r="Q215" s="904"/>
      <c r="R215" s="904">
        <v>15191495</v>
      </c>
      <c r="S215" s="904">
        <v>3012141</v>
      </c>
    </row>
    <row r="216" spans="2:19" hidden="1" x14ac:dyDescent="0.3">
      <c r="B216" s="900" t="s">
        <v>2443</v>
      </c>
      <c r="C216" s="901" t="s">
        <v>2444</v>
      </c>
      <c r="D216" s="902" t="str">
        <f t="shared" si="7"/>
        <v>2015</v>
      </c>
      <c r="E216" s="902" t="s">
        <v>3174</v>
      </c>
      <c r="F216" s="902" t="s">
        <v>2620</v>
      </c>
      <c r="G216" s="903" t="s">
        <v>2621</v>
      </c>
      <c r="H216" s="904">
        <v>14707632</v>
      </c>
      <c r="I216" s="904"/>
      <c r="J216" s="904">
        <v>14707632</v>
      </c>
      <c r="K216" s="904">
        <v>9667804</v>
      </c>
      <c r="L216" s="904">
        <v>5039828</v>
      </c>
      <c r="M216" s="905">
        <v>5</v>
      </c>
      <c r="N216" s="906">
        <v>0.45100000000000001</v>
      </c>
      <c r="O216" s="905">
        <v>12</v>
      </c>
      <c r="P216" s="904">
        <v>2272962</v>
      </c>
      <c r="Q216" s="904"/>
      <c r="R216" s="904">
        <v>11940766</v>
      </c>
      <c r="S216" s="904">
        <v>2766866</v>
      </c>
    </row>
    <row r="217" spans="2:19" hidden="1" x14ac:dyDescent="0.3">
      <c r="B217" s="900" t="s">
        <v>2445</v>
      </c>
      <c r="C217" s="901" t="s">
        <v>2446</v>
      </c>
      <c r="D217" s="902" t="str">
        <f t="shared" si="7"/>
        <v>2015</v>
      </c>
      <c r="E217" s="902" t="s">
        <v>3174</v>
      </c>
      <c r="F217" s="902" t="s">
        <v>2620</v>
      </c>
      <c r="G217" s="903" t="s">
        <v>2621</v>
      </c>
      <c r="H217" s="904">
        <v>16000000</v>
      </c>
      <c r="I217" s="904"/>
      <c r="J217" s="904">
        <v>16000000</v>
      </c>
      <c r="K217" s="904">
        <v>9857055</v>
      </c>
      <c r="L217" s="904">
        <v>6142945</v>
      </c>
      <c r="M217" s="905">
        <v>5</v>
      </c>
      <c r="N217" s="906">
        <v>0.45100000000000001</v>
      </c>
      <c r="O217" s="905">
        <v>12</v>
      </c>
      <c r="P217" s="904">
        <v>2770468</v>
      </c>
      <c r="Q217" s="904"/>
      <c r="R217" s="904">
        <v>12627523</v>
      </c>
      <c r="S217" s="904">
        <v>3372477</v>
      </c>
    </row>
    <row r="218" spans="2:19" hidden="1" x14ac:dyDescent="0.3">
      <c r="B218" s="900" t="s">
        <v>2447</v>
      </c>
      <c r="C218" s="901" t="s">
        <v>2448</v>
      </c>
      <c r="D218" s="902" t="str">
        <f t="shared" si="7"/>
        <v>2015</v>
      </c>
      <c r="E218" s="902" t="s">
        <v>3174</v>
      </c>
      <c r="F218" s="902" t="s">
        <v>2620</v>
      </c>
      <c r="G218" s="903" t="s">
        <v>2621</v>
      </c>
      <c r="H218" s="904">
        <v>14655133</v>
      </c>
      <c r="I218" s="904"/>
      <c r="J218" s="904">
        <v>14655133</v>
      </c>
      <c r="K218" s="904">
        <v>9028528</v>
      </c>
      <c r="L218" s="904">
        <v>5626605</v>
      </c>
      <c r="M218" s="905">
        <v>5</v>
      </c>
      <c r="N218" s="906">
        <v>0.45100000000000001</v>
      </c>
      <c r="O218" s="905">
        <v>12</v>
      </c>
      <c r="P218" s="904">
        <v>2537598</v>
      </c>
      <c r="Q218" s="904"/>
      <c r="R218" s="904">
        <v>11566126</v>
      </c>
      <c r="S218" s="904">
        <v>3089007</v>
      </c>
    </row>
    <row r="219" spans="2:19" hidden="1" x14ac:dyDescent="0.3">
      <c r="B219" s="900" t="s">
        <v>2449</v>
      </c>
      <c r="C219" s="901" t="s">
        <v>2450</v>
      </c>
      <c r="D219" s="902" t="str">
        <f t="shared" si="7"/>
        <v>2015</v>
      </c>
      <c r="E219" s="902" t="s">
        <v>3174</v>
      </c>
      <c r="F219" s="902" t="s">
        <v>2620</v>
      </c>
      <c r="G219" s="903" t="s">
        <v>2621</v>
      </c>
      <c r="H219" s="904">
        <v>14872745</v>
      </c>
      <c r="I219" s="904"/>
      <c r="J219" s="904">
        <v>14872745</v>
      </c>
      <c r="K219" s="904">
        <v>8855719</v>
      </c>
      <c r="L219" s="904">
        <v>6017026</v>
      </c>
      <c r="M219" s="905">
        <v>5</v>
      </c>
      <c r="N219" s="906">
        <v>0.45100000000000001</v>
      </c>
      <c r="O219" s="905">
        <v>12</v>
      </c>
      <c r="P219" s="904">
        <v>2713678</v>
      </c>
      <c r="Q219" s="904"/>
      <c r="R219" s="904">
        <v>11569397</v>
      </c>
      <c r="S219" s="904">
        <v>3303348</v>
      </c>
    </row>
    <row r="220" spans="2:19" hidden="1" x14ac:dyDescent="0.3">
      <c r="B220" s="900" t="s">
        <v>2451</v>
      </c>
      <c r="C220" s="901" t="s">
        <v>2452</v>
      </c>
      <c r="D220" s="902" t="str">
        <f t="shared" si="7"/>
        <v>2015</v>
      </c>
      <c r="E220" s="902" t="s">
        <v>3174</v>
      </c>
      <c r="F220" s="902" t="s">
        <v>2620</v>
      </c>
      <c r="G220" s="903" t="s">
        <v>2621</v>
      </c>
      <c r="H220" s="904">
        <v>17234100</v>
      </c>
      <c r="I220" s="904"/>
      <c r="J220" s="904">
        <v>17234100</v>
      </c>
      <c r="K220" s="904">
        <v>9194960</v>
      </c>
      <c r="L220" s="904">
        <v>8039140</v>
      </c>
      <c r="M220" s="905">
        <v>5</v>
      </c>
      <c r="N220" s="906">
        <v>0.45100000000000001</v>
      </c>
      <c r="O220" s="905">
        <v>12</v>
      </c>
      <c r="P220" s="904">
        <v>3625652</v>
      </c>
      <c r="Q220" s="904"/>
      <c r="R220" s="904">
        <v>12820612</v>
      </c>
      <c r="S220" s="904">
        <v>4413488</v>
      </c>
    </row>
    <row r="221" spans="2:19" hidden="1" x14ac:dyDescent="0.3">
      <c r="B221" s="900" t="s">
        <v>2453</v>
      </c>
      <c r="C221" s="901" t="s">
        <v>2454</v>
      </c>
      <c r="D221" s="902" t="str">
        <f t="shared" si="7"/>
        <v>2015</v>
      </c>
      <c r="E221" s="902" t="s">
        <v>3174</v>
      </c>
      <c r="F221" s="902" t="s">
        <v>2620</v>
      </c>
      <c r="G221" s="903" t="s">
        <v>2621</v>
      </c>
      <c r="H221" s="904">
        <v>15000000</v>
      </c>
      <c r="I221" s="904"/>
      <c r="J221" s="904">
        <v>15000000</v>
      </c>
      <c r="K221" s="904">
        <v>7383997</v>
      </c>
      <c r="L221" s="904">
        <v>7616003</v>
      </c>
      <c r="M221" s="905">
        <v>5</v>
      </c>
      <c r="N221" s="906">
        <v>0.45100000000000001</v>
      </c>
      <c r="O221" s="905">
        <v>12</v>
      </c>
      <c r="P221" s="904">
        <v>3434817</v>
      </c>
      <c r="Q221" s="904"/>
      <c r="R221" s="904">
        <v>10818814</v>
      </c>
      <c r="S221" s="904">
        <v>4181186</v>
      </c>
    </row>
    <row r="222" spans="2:19" hidden="1" x14ac:dyDescent="0.3">
      <c r="B222" s="900" t="s">
        <v>2455</v>
      </c>
      <c r="C222" s="901" t="s">
        <v>2456</v>
      </c>
      <c r="D222" s="902" t="str">
        <f t="shared" si="7"/>
        <v>2016</v>
      </c>
      <c r="E222" s="902" t="s">
        <v>3174</v>
      </c>
      <c r="F222" s="902" t="s">
        <v>2620</v>
      </c>
      <c r="G222" s="903" t="s">
        <v>2621</v>
      </c>
      <c r="H222" s="904">
        <v>21587470</v>
      </c>
      <c r="I222" s="904"/>
      <c r="J222" s="904">
        <v>21587470</v>
      </c>
      <c r="K222" s="904">
        <v>8924619</v>
      </c>
      <c r="L222" s="904">
        <v>21587470</v>
      </c>
      <c r="M222" s="905">
        <v>5</v>
      </c>
      <c r="N222" s="906">
        <v>0.2</v>
      </c>
      <c r="O222" s="905">
        <v>12</v>
      </c>
      <c r="P222" s="904">
        <v>4317494</v>
      </c>
      <c r="Q222" s="904"/>
      <c r="R222" s="904">
        <v>13242113</v>
      </c>
      <c r="S222" s="904">
        <v>8345357</v>
      </c>
    </row>
    <row r="223" spans="2:19" hidden="1" x14ac:dyDescent="0.3">
      <c r="B223" s="900" t="s">
        <v>2457</v>
      </c>
      <c r="C223" s="901" t="s">
        <v>2458</v>
      </c>
      <c r="D223" s="902" t="str">
        <f t="shared" si="7"/>
        <v>2016</v>
      </c>
      <c r="E223" s="902" t="s">
        <v>3174</v>
      </c>
      <c r="F223" s="902" t="s">
        <v>2620</v>
      </c>
      <c r="G223" s="903" t="s">
        <v>2621</v>
      </c>
      <c r="H223" s="904">
        <v>18281449</v>
      </c>
      <c r="I223" s="904"/>
      <c r="J223" s="904">
        <v>18281449</v>
      </c>
      <c r="K223" s="904">
        <v>6183700</v>
      </c>
      <c r="L223" s="904">
        <v>12097749</v>
      </c>
      <c r="M223" s="905">
        <v>5</v>
      </c>
      <c r="N223" s="906">
        <v>0.45100000000000001</v>
      </c>
      <c r="O223" s="905">
        <v>12</v>
      </c>
      <c r="P223" s="904">
        <v>5456084</v>
      </c>
      <c r="Q223" s="904"/>
      <c r="R223" s="904">
        <v>11639784</v>
      </c>
      <c r="S223" s="904">
        <v>6641665</v>
      </c>
    </row>
    <row r="224" spans="2:19" hidden="1" x14ac:dyDescent="0.3">
      <c r="B224" s="900" t="s">
        <v>2459</v>
      </c>
      <c r="C224" s="901" t="s">
        <v>2460</v>
      </c>
      <c r="D224" s="902" t="str">
        <f t="shared" si="7"/>
        <v>2016</v>
      </c>
      <c r="E224" s="902" t="s">
        <v>3174</v>
      </c>
      <c r="F224" s="902" t="s">
        <v>2620</v>
      </c>
      <c r="G224" s="903" t="s">
        <v>2621</v>
      </c>
      <c r="H224" s="904">
        <v>115500000</v>
      </c>
      <c r="I224" s="904"/>
      <c r="J224" s="904">
        <v>115500000</v>
      </c>
      <c r="K224" s="904">
        <v>34727000</v>
      </c>
      <c r="L224" s="904">
        <v>80773000</v>
      </c>
      <c r="M224" s="905">
        <v>5</v>
      </c>
      <c r="N224" s="906">
        <v>0.45100000000000001</v>
      </c>
      <c r="O224" s="905">
        <v>12</v>
      </c>
      <c r="P224" s="904">
        <v>36428623</v>
      </c>
      <c r="Q224" s="904"/>
      <c r="R224" s="904">
        <v>71155623</v>
      </c>
      <c r="S224" s="904">
        <v>44344377</v>
      </c>
    </row>
    <row r="225" spans="2:19" hidden="1" x14ac:dyDescent="0.3">
      <c r="B225" s="900" t="s">
        <v>2461</v>
      </c>
      <c r="C225" s="901" t="s">
        <v>2462</v>
      </c>
      <c r="D225" s="902" t="str">
        <f t="shared" si="7"/>
        <v>2016</v>
      </c>
      <c r="E225" s="902" t="s">
        <v>3174</v>
      </c>
      <c r="F225" s="902" t="s">
        <v>2620</v>
      </c>
      <c r="G225" s="903" t="s">
        <v>2621</v>
      </c>
      <c r="H225" s="904">
        <v>21205120</v>
      </c>
      <c r="I225" s="904"/>
      <c r="J225" s="904">
        <v>21205120</v>
      </c>
      <c r="K225" s="904">
        <v>4781754</v>
      </c>
      <c r="L225" s="904">
        <v>21205120</v>
      </c>
      <c r="M225" s="905">
        <v>5</v>
      </c>
      <c r="N225" s="906">
        <v>0.2</v>
      </c>
      <c r="O225" s="905">
        <v>12</v>
      </c>
      <c r="P225" s="904">
        <v>4241024</v>
      </c>
      <c r="Q225" s="904"/>
      <c r="R225" s="904">
        <v>9022778</v>
      </c>
      <c r="S225" s="904">
        <v>12182342</v>
      </c>
    </row>
    <row r="226" spans="2:19" hidden="1" x14ac:dyDescent="0.3">
      <c r="B226" s="900" t="s">
        <v>2463</v>
      </c>
      <c r="C226" s="901" t="s">
        <v>2464</v>
      </c>
      <c r="D226" s="902" t="str">
        <f t="shared" si="7"/>
        <v>2016</v>
      </c>
      <c r="E226" s="902" t="s">
        <v>3174</v>
      </c>
      <c r="F226" s="902" t="s">
        <v>2620</v>
      </c>
      <c r="G226" s="903" t="s">
        <v>2621</v>
      </c>
      <c r="H226" s="904">
        <v>1536400</v>
      </c>
      <c r="I226" s="904"/>
      <c r="J226" s="904">
        <v>1536400</v>
      </c>
      <c r="K226" s="904">
        <v>323668</v>
      </c>
      <c r="L226" s="904">
        <v>1212732</v>
      </c>
      <c r="M226" s="905">
        <v>3</v>
      </c>
      <c r="N226" s="906">
        <v>0.63200000000000001</v>
      </c>
      <c r="O226" s="905">
        <v>12</v>
      </c>
      <c r="P226" s="904">
        <v>766446</v>
      </c>
      <c r="Q226" s="904"/>
      <c r="R226" s="904">
        <v>1090114</v>
      </c>
      <c r="S226" s="904">
        <v>446286</v>
      </c>
    </row>
    <row r="227" spans="2:19" hidden="1" x14ac:dyDescent="0.3">
      <c r="B227" s="900" t="s">
        <v>2465</v>
      </c>
      <c r="C227" s="901" t="s">
        <v>2464</v>
      </c>
      <c r="D227" s="902" t="str">
        <f t="shared" si="7"/>
        <v>2016</v>
      </c>
      <c r="E227" s="902" t="s">
        <v>3174</v>
      </c>
      <c r="F227" s="902" t="s">
        <v>2620</v>
      </c>
      <c r="G227" s="903" t="s">
        <v>2621</v>
      </c>
      <c r="H227" s="904">
        <v>1536400</v>
      </c>
      <c r="I227" s="904"/>
      <c r="J227" s="904">
        <v>1536400</v>
      </c>
      <c r="K227" s="904">
        <v>323668</v>
      </c>
      <c r="L227" s="904">
        <v>1212732</v>
      </c>
      <c r="M227" s="905">
        <v>3</v>
      </c>
      <c r="N227" s="906">
        <v>0.63200000000000001</v>
      </c>
      <c r="O227" s="905">
        <v>12</v>
      </c>
      <c r="P227" s="904">
        <v>766446</v>
      </c>
      <c r="Q227" s="904"/>
      <c r="R227" s="904">
        <v>1090114</v>
      </c>
      <c r="S227" s="904">
        <v>446286</v>
      </c>
    </row>
    <row r="228" spans="2:19" hidden="1" x14ac:dyDescent="0.3">
      <c r="B228" s="900" t="s">
        <v>2466</v>
      </c>
      <c r="C228" s="901" t="s">
        <v>2464</v>
      </c>
      <c r="D228" s="902" t="str">
        <f t="shared" si="7"/>
        <v>2016</v>
      </c>
      <c r="E228" s="902" t="s">
        <v>3174</v>
      </c>
      <c r="F228" s="902" t="s">
        <v>2620</v>
      </c>
      <c r="G228" s="903" t="s">
        <v>2621</v>
      </c>
      <c r="H228" s="904">
        <v>1536400</v>
      </c>
      <c r="I228" s="904"/>
      <c r="J228" s="904">
        <v>1536400</v>
      </c>
      <c r="K228" s="904">
        <v>323668</v>
      </c>
      <c r="L228" s="904">
        <v>1212732</v>
      </c>
      <c r="M228" s="905">
        <v>3</v>
      </c>
      <c r="N228" s="906">
        <v>0.63200000000000001</v>
      </c>
      <c r="O228" s="905">
        <v>12</v>
      </c>
      <c r="P228" s="904">
        <v>766446</v>
      </c>
      <c r="Q228" s="904"/>
      <c r="R228" s="904">
        <v>1090114</v>
      </c>
      <c r="S228" s="904">
        <v>446286</v>
      </c>
    </row>
    <row r="229" spans="2:19" x14ac:dyDescent="0.3">
      <c r="B229" s="900" t="s">
        <v>2467</v>
      </c>
      <c r="C229" s="901" t="s">
        <v>2468</v>
      </c>
      <c r="D229" s="902" t="str">
        <f t="shared" si="7"/>
        <v>2017</v>
      </c>
      <c r="E229" s="902" t="s">
        <v>3174</v>
      </c>
      <c r="F229" s="902" t="s">
        <v>2620</v>
      </c>
      <c r="G229" s="903" t="s">
        <v>2621</v>
      </c>
      <c r="H229" s="904">
        <v>73391270</v>
      </c>
      <c r="I229" s="904"/>
      <c r="J229" s="904">
        <v>73391270</v>
      </c>
      <c r="K229" s="904"/>
      <c r="L229" s="904">
        <v>73391270</v>
      </c>
      <c r="M229" s="905">
        <v>5</v>
      </c>
      <c r="N229" s="906">
        <v>0.45100000000000001</v>
      </c>
      <c r="O229" s="905">
        <v>11</v>
      </c>
      <c r="P229" s="904">
        <v>30341174</v>
      </c>
      <c r="Q229" s="904"/>
      <c r="R229" s="904">
        <v>30341174</v>
      </c>
      <c r="S229" s="904">
        <v>43050096</v>
      </c>
    </row>
    <row r="230" spans="2:19" x14ac:dyDescent="0.3">
      <c r="B230" s="900" t="s">
        <v>2469</v>
      </c>
      <c r="C230" s="901" t="s">
        <v>2470</v>
      </c>
      <c r="D230" s="902" t="str">
        <f t="shared" si="7"/>
        <v>2017</v>
      </c>
      <c r="E230" s="902" t="s">
        <v>3174</v>
      </c>
      <c r="F230" s="902" t="s">
        <v>2073</v>
      </c>
      <c r="G230" s="903" t="s">
        <v>2073</v>
      </c>
      <c r="H230" s="904">
        <v>5488633</v>
      </c>
      <c r="I230" s="904"/>
      <c r="J230" s="904">
        <v>5488633</v>
      </c>
      <c r="K230" s="904"/>
      <c r="L230" s="904">
        <v>5488633</v>
      </c>
      <c r="M230" s="905">
        <v>5</v>
      </c>
      <c r="N230" s="906">
        <v>0.45100000000000001</v>
      </c>
      <c r="O230" s="905">
        <v>10</v>
      </c>
      <c r="P230" s="904">
        <v>2062811</v>
      </c>
      <c r="Q230" s="904"/>
      <c r="R230" s="904">
        <v>2062811</v>
      </c>
      <c r="S230" s="904">
        <v>3425822</v>
      </c>
    </row>
    <row r="231" spans="2:19" x14ac:dyDescent="0.3">
      <c r="B231" s="900" t="s">
        <v>2471</v>
      </c>
      <c r="C231" s="901" t="s">
        <v>2472</v>
      </c>
      <c r="D231" s="902" t="str">
        <f t="shared" si="7"/>
        <v>2017</v>
      </c>
      <c r="E231" s="902" t="s">
        <v>3174</v>
      </c>
      <c r="F231" s="902" t="s">
        <v>2620</v>
      </c>
      <c r="G231" s="903" t="s">
        <v>2621</v>
      </c>
      <c r="H231" s="904">
        <v>9285455</v>
      </c>
      <c r="I231" s="904"/>
      <c r="J231" s="904">
        <v>9285455</v>
      </c>
      <c r="K231" s="904"/>
      <c r="L231" s="904">
        <v>9285455</v>
      </c>
      <c r="M231" s="905">
        <v>5</v>
      </c>
      <c r="N231" s="906">
        <v>0.45100000000000001</v>
      </c>
      <c r="O231" s="905">
        <v>9</v>
      </c>
      <c r="P231" s="904">
        <v>3140805</v>
      </c>
      <c r="Q231" s="904"/>
      <c r="R231" s="904">
        <v>3140805</v>
      </c>
      <c r="S231" s="904">
        <v>6144650</v>
      </c>
    </row>
    <row r="232" spans="2:19" x14ac:dyDescent="0.3">
      <c r="B232" s="900" t="s">
        <v>2473</v>
      </c>
      <c r="C232" s="901" t="s">
        <v>2474</v>
      </c>
      <c r="D232" s="902" t="str">
        <f t="shared" si="7"/>
        <v>2017</v>
      </c>
      <c r="E232" s="902" t="s">
        <v>3174</v>
      </c>
      <c r="F232" s="902" t="s">
        <v>2620</v>
      </c>
      <c r="G232" s="903" t="s">
        <v>2621</v>
      </c>
      <c r="H232" s="904">
        <v>16265449</v>
      </c>
      <c r="I232" s="904"/>
      <c r="J232" s="904">
        <v>16265449</v>
      </c>
      <c r="K232" s="904"/>
      <c r="L232" s="904">
        <v>16265449</v>
      </c>
      <c r="M232" s="905">
        <v>5</v>
      </c>
      <c r="N232" s="906">
        <v>0.45100000000000001</v>
      </c>
      <c r="O232" s="905">
        <v>11</v>
      </c>
      <c r="P232" s="904">
        <v>6724407</v>
      </c>
      <c r="Q232" s="904"/>
      <c r="R232" s="904">
        <v>6724407</v>
      </c>
      <c r="S232" s="904">
        <v>9541042</v>
      </c>
    </row>
    <row r="233" spans="2:19" hidden="1" x14ac:dyDescent="0.3">
      <c r="B233" s="907" t="s">
        <v>2685</v>
      </c>
      <c r="C233" s="908"/>
      <c r="D233" s="909" t="str">
        <f t="shared" si="7"/>
        <v/>
      </c>
      <c r="E233" s="909"/>
      <c r="F233" s="909"/>
      <c r="G233" s="910"/>
      <c r="H233" s="911">
        <f>SUM(H189:H232)</f>
        <v>845794111</v>
      </c>
      <c r="I233" s="911"/>
      <c r="J233" s="911">
        <f>SUM(J189:J232)</f>
        <v>845794111</v>
      </c>
      <c r="K233" s="911">
        <f>SUM(K189:K232)</f>
        <v>534292042</v>
      </c>
      <c r="L233" s="911">
        <f>SUM(L189:L232)</f>
        <v>325208442</v>
      </c>
      <c r="M233" s="912"/>
      <c r="N233" s="913"/>
      <c r="O233" s="912"/>
      <c r="P233" s="911">
        <f>SUM(P189:P232)</f>
        <v>135070929</v>
      </c>
      <c r="Q233" s="911"/>
      <c r="R233" s="911">
        <f>SUM(R189:R232)</f>
        <v>669362971</v>
      </c>
      <c r="S233" s="911">
        <f>SUM(S189:S232)</f>
        <v>176431140</v>
      </c>
    </row>
    <row r="234" spans="2:19" hidden="1" x14ac:dyDescent="0.3">
      <c r="B234" s="900" t="s">
        <v>2475</v>
      </c>
      <c r="C234" s="901" t="s">
        <v>2476</v>
      </c>
      <c r="D234" s="902" t="str">
        <f t="shared" si="7"/>
        <v>2001</v>
      </c>
      <c r="E234" s="902" t="s">
        <v>3173</v>
      </c>
      <c r="F234" s="902" t="s">
        <v>2620</v>
      </c>
      <c r="G234" s="903" t="s">
        <v>2621</v>
      </c>
      <c r="H234" s="904">
        <v>4590400</v>
      </c>
      <c r="I234" s="904"/>
      <c r="J234" s="904">
        <v>4590400</v>
      </c>
      <c r="K234" s="904">
        <v>4589400</v>
      </c>
      <c r="L234" s="904">
        <v>1000</v>
      </c>
      <c r="M234" s="905">
        <v>5</v>
      </c>
      <c r="N234" s="906">
        <v>0.45100000000000001</v>
      </c>
      <c r="O234" s="905">
        <v>12</v>
      </c>
      <c r="P234" s="904"/>
      <c r="Q234" s="904"/>
      <c r="R234" s="904">
        <v>4589400</v>
      </c>
      <c r="S234" s="904">
        <v>1000</v>
      </c>
    </row>
    <row r="235" spans="2:19" hidden="1" x14ac:dyDescent="0.3">
      <c r="B235" s="900" t="s">
        <v>2477</v>
      </c>
      <c r="C235" s="901" t="s">
        <v>2478</v>
      </c>
      <c r="D235" s="902" t="str">
        <f t="shared" si="7"/>
        <v>2001</v>
      </c>
      <c r="E235" s="902" t="s">
        <v>3173</v>
      </c>
      <c r="F235" s="902" t="s">
        <v>2620</v>
      </c>
      <c r="G235" s="903" t="s">
        <v>2621</v>
      </c>
      <c r="H235" s="904">
        <v>1200000</v>
      </c>
      <c r="I235" s="904"/>
      <c r="J235" s="904">
        <v>1200000</v>
      </c>
      <c r="K235" s="904">
        <v>1199000</v>
      </c>
      <c r="L235" s="904">
        <v>1000</v>
      </c>
      <c r="M235" s="905">
        <v>5</v>
      </c>
      <c r="N235" s="906">
        <v>0.45100000000000001</v>
      </c>
      <c r="O235" s="905">
        <v>12</v>
      </c>
      <c r="P235" s="904"/>
      <c r="Q235" s="904"/>
      <c r="R235" s="904">
        <v>1199000</v>
      </c>
      <c r="S235" s="904">
        <v>1000</v>
      </c>
    </row>
    <row r="236" spans="2:19" hidden="1" x14ac:dyDescent="0.3">
      <c r="B236" s="900" t="s">
        <v>2479</v>
      </c>
      <c r="C236" s="901" t="s">
        <v>2480</v>
      </c>
      <c r="D236" s="902" t="str">
        <f t="shared" si="7"/>
        <v>2002</v>
      </c>
      <c r="E236" s="902" t="s">
        <v>3173</v>
      </c>
      <c r="F236" s="902" t="s">
        <v>2620</v>
      </c>
      <c r="G236" s="903" t="s">
        <v>2621</v>
      </c>
      <c r="H236" s="904">
        <v>5454546</v>
      </c>
      <c r="I236" s="904"/>
      <c r="J236" s="904">
        <v>5454546</v>
      </c>
      <c r="K236" s="904">
        <v>5453546</v>
      </c>
      <c r="L236" s="904">
        <v>1000</v>
      </c>
      <c r="M236" s="905">
        <v>5</v>
      </c>
      <c r="N236" s="906">
        <v>0.45100000000000001</v>
      </c>
      <c r="O236" s="905">
        <v>12</v>
      </c>
      <c r="P236" s="904"/>
      <c r="Q236" s="904"/>
      <c r="R236" s="904">
        <v>5453546</v>
      </c>
      <c r="S236" s="904">
        <v>1000</v>
      </c>
    </row>
    <row r="237" spans="2:19" hidden="1" x14ac:dyDescent="0.3">
      <c r="B237" s="900" t="s">
        <v>2481</v>
      </c>
      <c r="C237" s="901" t="s">
        <v>2482</v>
      </c>
      <c r="D237" s="902" t="str">
        <f t="shared" si="7"/>
        <v>2007</v>
      </c>
      <c r="E237" s="902" t="s">
        <v>3173</v>
      </c>
      <c r="F237" s="902" t="s">
        <v>2620</v>
      </c>
      <c r="G237" s="903" t="s">
        <v>2621</v>
      </c>
      <c r="H237" s="904">
        <v>30000000</v>
      </c>
      <c r="I237" s="904"/>
      <c r="J237" s="904">
        <v>30000000</v>
      </c>
      <c r="K237" s="904">
        <v>29999000</v>
      </c>
      <c r="L237" s="904">
        <v>1000</v>
      </c>
      <c r="M237" s="905">
        <v>5</v>
      </c>
      <c r="N237" s="906">
        <v>0.45100000000000001</v>
      </c>
      <c r="O237" s="905">
        <v>12</v>
      </c>
      <c r="P237" s="904"/>
      <c r="Q237" s="904"/>
      <c r="R237" s="904">
        <v>29999000</v>
      </c>
      <c r="S237" s="904">
        <v>1000</v>
      </c>
    </row>
    <row r="238" spans="2:19" hidden="1" x14ac:dyDescent="0.3">
      <c r="B238" s="900" t="s">
        <v>2483</v>
      </c>
      <c r="C238" s="901" t="s">
        <v>2484</v>
      </c>
      <c r="D238" s="902" t="str">
        <f t="shared" si="7"/>
        <v>2007</v>
      </c>
      <c r="E238" s="902" t="s">
        <v>3173</v>
      </c>
      <c r="F238" s="902" t="s">
        <v>2620</v>
      </c>
      <c r="G238" s="903" t="s">
        <v>2621</v>
      </c>
      <c r="H238" s="904">
        <v>31000000</v>
      </c>
      <c r="I238" s="904"/>
      <c r="J238" s="904">
        <v>31000000</v>
      </c>
      <c r="K238" s="904">
        <v>30999000</v>
      </c>
      <c r="L238" s="904">
        <v>1000</v>
      </c>
      <c r="M238" s="905">
        <v>5</v>
      </c>
      <c r="N238" s="906">
        <v>0.45100000000000001</v>
      </c>
      <c r="O238" s="905">
        <v>12</v>
      </c>
      <c r="P238" s="904"/>
      <c r="Q238" s="904"/>
      <c r="R238" s="904">
        <v>30999000</v>
      </c>
      <c r="S238" s="904">
        <v>1000</v>
      </c>
    </row>
    <row r="239" spans="2:19" hidden="1" x14ac:dyDescent="0.3">
      <c r="B239" s="900" t="s">
        <v>2485</v>
      </c>
      <c r="C239" s="901" t="s">
        <v>2486</v>
      </c>
      <c r="D239" s="902" t="str">
        <f t="shared" si="7"/>
        <v>2009</v>
      </c>
      <c r="E239" s="902" t="s">
        <v>3173</v>
      </c>
      <c r="F239" s="902" t="s">
        <v>2620</v>
      </c>
      <c r="G239" s="903" t="s">
        <v>2621</v>
      </c>
      <c r="H239" s="904">
        <v>7875408</v>
      </c>
      <c r="I239" s="904"/>
      <c r="J239" s="904">
        <v>7875408</v>
      </c>
      <c r="K239" s="904">
        <v>7874408</v>
      </c>
      <c r="L239" s="904">
        <v>1000</v>
      </c>
      <c r="M239" s="905">
        <v>5</v>
      </c>
      <c r="N239" s="906">
        <v>0.45100000000000001</v>
      </c>
      <c r="O239" s="905">
        <v>12</v>
      </c>
      <c r="P239" s="904"/>
      <c r="Q239" s="904"/>
      <c r="R239" s="904">
        <v>7874408</v>
      </c>
      <c r="S239" s="904">
        <v>1000</v>
      </c>
    </row>
    <row r="240" spans="2:19" hidden="1" x14ac:dyDescent="0.3">
      <c r="B240" s="900" t="s">
        <v>2487</v>
      </c>
      <c r="C240" s="901" t="s">
        <v>2488</v>
      </c>
      <c r="D240" s="902" t="str">
        <f t="shared" si="7"/>
        <v>2009</v>
      </c>
      <c r="E240" s="902" t="s">
        <v>3173</v>
      </c>
      <c r="F240" s="902" t="s">
        <v>2620</v>
      </c>
      <c r="G240" s="903" t="s">
        <v>2621</v>
      </c>
      <c r="H240" s="904">
        <v>12218070</v>
      </c>
      <c r="I240" s="904"/>
      <c r="J240" s="904">
        <v>12218070</v>
      </c>
      <c r="K240" s="904">
        <v>12217070</v>
      </c>
      <c r="L240" s="904">
        <v>1000</v>
      </c>
      <c r="M240" s="905">
        <v>5</v>
      </c>
      <c r="N240" s="906">
        <v>0.45100000000000001</v>
      </c>
      <c r="O240" s="905">
        <v>12</v>
      </c>
      <c r="P240" s="904"/>
      <c r="Q240" s="904"/>
      <c r="R240" s="904">
        <v>12217070</v>
      </c>
      <c r="S240" s="904">
        <v>1000</v>
      </c>
    </row>
    <row r="241" spans="2:19" hidden="1" x14ac:dyDescent="0.3">
      <c r="B241" s="900" t="s">
        <v>2489</v>
      </c>
      <c r="C241" s="901" t="s">
        <v>2490</v>
      </c>
      <c r="D241" s="902" t="str">
        <f t="shared" si="7"/>
        <v>2009</v>
      </c>
      <c r="E241" s="902" t="s">
        <v>3173</v>
      </c>
      <c r="F241" s="902" t="s">
        <v>2620</v>
      </c>
      <c r="G241" s="903" t="s">
        <v>2621</v>
      </c>
      <c r="H241" s="904">
        <v>3500000</v>
      </c>
      <c r="I241" s="904"/>
      <c r="J241" s="904">
        <v>3500000</v>
      </c>
      <c r="K241" s="904">
        <v>3499000</v>
      </c>
      <c r="L241" s="904">
        <v>1000</v>
      </c>
      <c r="M241" s="905">
        <v>5</v>
      </c>
      <c r="N241" s="906">
        <v>0.45100000000000001</v>
      </c>
      <c r="O241" s="905">
        <v>12</v>
      </c>
      <c r="P241" s="904"/>
      <c r="Q241" s="904"/>
      <c r="R241" s="904">
        <v>3499000</v>
      </c>
      <c r="S241" s="904">
        <v>1000</v>
      </c>
    </row>
    <row r="242" spans="2:19" hidden="1" x14ac:dyDescent="0.3">
      <c r="B242" s="900" t="s">
        <v>2491</v>
      </c>
      <c r="C242" s="901" t="s">
        <v>2492</v>
      </c>
      <c r="D242" s="902" t="str">
        <f t="shared" si="7"/>
        <v>2011</v>
      </c>
      <c r="E242" s="902" t="s">
        <v>3173</v>
      </c>
      <c r="F242" s="902" t="s">
        <v>2620</v>
      </c>
      <c r="G242" s="903" t="s">
        <v>2621</v>
      </c>
      <c r="H242" s="904">
        <v>13636363</v>
      </c>
      <c r="I242" s="904"/>
      <c r="J242" s="904">
        <v>13636363</v>
      </c>
      <c r="K242" s="904">
        <v>13635363</v>
      </c>
      <c r="L242" s="904">
        <v>1000</v>
      </c>
      <c r="M242" s="905">
        <v>5</v>
      </c>
      <c r="N242" s="906">
        <v>0.45100000000000001</v>
      </c>
      <c r="O242" s="905">
        <v>12</v>
      </c>
      <c r="P242" s="904"/>
      <c r="Q242" s="904"/>
      <c r="R242" s="904">
        <v>13635363</v>
      </c>
      <c r="S242" s="904">
        <v>1000</v>
      </c>
    </row>
    <row r="243" spans="2:19" hidden="1" x14ac:dyDescent="0.3">
      <c r="B243" s="900" t="s">
        <v>2493</v>
      </c>
      <c r="C243" s="901" t="s">
        <v>2494</v>
      </c>
      <c r="D243" s="902" t="str">
        <f t="shared" si="7"/>
        <v>2012</v>
      </c>
      <c r="E243" s="902" t="s">
        <v>3173</v>
      </c>
      <c r="F243" s="902" t="s">
        <v>2620</v>
      </c>
      <c r="G243" s="903" t="s">
        <v>2621</v>
      </c>
      <c r="H243" s="904">
        <v>112700000</v>
      </c>
      <c r="I243" s="904"/>
      <c r="J243" s="904">
        <v>112700000</v>
      </c>
      <c r="K243" s="904">
        <v>105155478</v>
      </c>
      <c r="L243" s="904">
        <v>7544522</v>
      </c>
      <c r="M243" s="905">
        <v>5</v>
      </c>
      <c r="N243" s="906">
        <v>0.45100000000000001</v>
      </c>
      <c r="O243" s="905">
        <v>12</v>
      </c>
      <c r="P243" s="904">
        <v>7543522</v>
      </c>
      <c r="Q243" s="904"/>
      <c r="R243" s="904">
        <v>112699000</v>
      </c>
      <c r="S243" s="904">
        <v>1000</v>
      </c>
    </row>
    <row r="244" spans="2:19" hidden="1" x14ac:dyDescent="0.3">
      <c r="B244" s="900" t="s">
        <v>2495</v>
      </c>
      <c r="C244" s="901" t="s">
        <v>2496</v>
      </c>
      <c r="D244" s="902" t="str">
        <f t="shared" si="7"/>
        <v>2012</v>
      </c>
      <c r="E244" s="902" t="s">
        <v>3173</v>
      </c>
      <c r="F244" s="902" t="s">
        <v>2620</v>
      </c>
      <c r="G244" s="903" t="s">
        <v>2621</v>
      </c>
      <c r="H244" s="904">
        <v>23434545</v>
      </c>
      <c r="I244" s="904"/>
      <c r="J244" s="904">
        <v>23434545</v>
      </c>
      <c r="K244" s="904">
        <v>21465709</v>
      </c>
      <c r="L244" s="904">
        <v>1968836</v>
      </c>
      <c r="M244" s="905">
        <v>5</v>
      </c>
      <c r="N244" s="906">
        <v>0.45100000000000001</v>
      </c>
      <c r="O244" s="905">
        <v>12</v>
      </c>
      <c r="P244" s="904">
        <v>1967836</v>
      </c>
      <c r="Q244" s="904"/>
      <c r="R244" s="904">
        <v>23433545</v>
      </c>
      <c r="S244" s="904">
        <v>1000</v>
      </c>
    </row>
    <row r="245" spans="2:19" hidden="1" x14ac:dyDescent="0.3">
      <c r="B245" s="900" t="s">
        <v>2497</v>
      </c>
      <c r="C245" s="901" t="s">
        <v>2498</v>
      </c>
      <c r="D245" s="902" t="str">
        <f t="shared" si="7"/>
        <v>2014</v>
      </c>
      <c r="E245" s="902" t="s">
        <v>3173</v>
      </c>
      <c r="F245" s="902" t="s">
        <v>2620</v>
      </c>
      <c r="G245" s="903" t="s">
        <v>2621</v>
      </c>
      <c r="H245" s="904">
        <v>4550000</v>
      </c>
      <c r="I245" s="904"/>
      <c r="J245" s="904">
        <v>4550000</v>
      </c>
      <c r="K245" s="904">
        <v>3590951</v>
      </c>
      <c r="L245" s="904">
        <v>959049</v>
      </c>
      <c r="M245" s="905">
        <v>5</v>
      </c>
      <c r="N245" s="906">
        <v>0.45100000000000001</v>
      </c>
      <c r="O245" s="905">
        <v>12</v>
      </c>
      <c r="P245" s="904">
        <v>432531</v>
      </c>
      <c r="Q245" s="904"/>
      <c r="R245" s="904">
        <v>4023482</v>
      </c>
      <c r="S245" s="904">
        <v>526518</v>
      </c>
    </row>
    <row r="246" spans="2:19" hidden="1" x14ac:dyDescent="0.3">
      <c r="B246" s="900" t="s">
        <v>2499</v>
      </c>
      <c r="C246" s="901" t="s">
        <v>2500</v>
      </c>
      <c r="D246" s="902" t="str">
        <f t="shared" si="7"/>
        <v>2014</v>
      </c>
      <c r="E246" s="902" t="s">
        <v>3173</v>
      </c>
      <c r="F246" s="902" t="s">
        <v>2620</v>
      </c>
      <c r="G246" s="903" t="s">
        <v>2621</v>
      </c>
      <c r="H246" s="904">
        <v>3051818</v>
      </c>
      <c r="I246" s="904"/>
      <c r="J246" s="904">
        <v>3051818</v>
      </c>
      <c r="K246" s="904">
        <v>2270276</v>
      </c>
      <c r="L246" s="904">
        <v>781542</v>
      </c>
      <c r="M246" s="905">
        <v>5</v>
      </c>
      <c r="N246" s="906">
        <v>0.45100000000000001</v>
      </c>
      <c r="O246" s="905">
        <v>12</v>
      </c>
      <c r="P246" s="904">
        <v>352475</v>
      </c>
      <c r="Q246" s="904"/>
      <c r="R246" s="904">
        <v>2622751</v>
      </c>
      <c r="S246" s="904">
        <v>429067</v>
      </c>
    </row>
    <row r="247" spans="2:19" hidden="1" x14ac:dyDescent="0.3">
      <c r="B247" s="900" t="s">
        <v>2501</v>
      </c>
      <c r="C247" s="901" t="s">
        <v>2502</v>
      </c>
      <c r="D247" s="902" t="str">
        <f t="shared" si="7"/>
        <v>2015</v>
      </c>
      <c r="E247" s="902" t="s">
        <v>3173</v>
      </c>
      <c r="F247" s="902" t="s">
        <v>2620</v>
      </c>
      <c r="G247" s="903" t="s">
        <v>2621</v>
      </c>
      <c r="H247" s="904">
        <v>6760000</v>
      </c>
      <c r="I247" s="904"/>
      <c r="J247" s="904">
        <v>6760000</v>
      </c>
      <c r="K247" s="904">
        <v>3746163</v>
      </c>
      <c r="L247" s="904">
        <v>3013837</v>
      </c>
      <c r="M247" s="905">
        <v>5</v>
      </c>
      <c r="N247" s="906">
        <v>0.45100000000000001</v>
      </c>
      <c r="O247" s="905">
        <v>12</v>
      </c>
      <c r="P247" s="904">
        <v>1359240</v>
      </c>
      <c r="Q247" s="904"/>
      <c r="R247" s="904">
        <v>5105403</v>
      </c>
      <c r="S247" s="904">
        <v>1654597</v>
      </c>
    </row>
    <row r="248" spans="2:19" hidden="1" x14ac:dyDescent="0.3">
      <c r="B248" s="900" t="s">
        <v>2503</v>
      </c>
      <c r="C248" s="901" t="s">
        <v>2504</v>
      </c>
      <c r="D248" s="902" t="str">
        <f t="shared" si="7"/>
        <v>2016</v>
      </c>
      <c r="E248" s="902" t="s">
        <v>3173</v>
      </c>
      <c r="F248" s="902" t="s">
        <v>2620</v>
      </c>
      <c r="G248" s="903" t="s">
        <v>2621</v>
      </c>
      <c r="H248" s="904">
        <v>7300000</v>
      </c>
      <c r="I248" s="904"/>
      <c r="J248" s="904">
        <v>7300000</v>
      </c>
      <c r="K248" s="904">
        <v>2743583</v>
      </c>
      <c r="L248" s="904">
        <v>4556417</v>
      </c>
      <c r="M248" s="905">
        <v>5</v>
      </c>
      <c r="N248" s="906">
        <v>0.45100000000000001</v>
      </c>
      <c r="O248" s="905">
        <v>12</v>
      </c>
      <c r="P248" s="904">
        <v>2054944</v>
      </c>
      <c r="Q248" s="904"/>
      <c r="R248" s="904">
        <v>4798527</v>
      </c>
      <c r="S248" s="904">
        <v>2501473</v>
      </c>
    </row>
    <row r="249" spans="2:19" x14ac:dyDescent="0.3">
      <c r="B249" s="900" t="s">
        <v>2505</v>
      </c>
      <c r="C249" s="901" t="s">
        <v>2506</v>
      </c>
      <c r="D249" s="902" t="str">
        <f t="shared" si="7"/>
        <v>2017</v>
      </c>
      <c r="E249" s="902" t="s">
        <v>3173</v>
      </c>
      <c r="F249" s="902" t="s">
        <v>2620</v>
      </c>
      <c r="G249" s="903" t="s">
        <v>2621</v>
      </c>
      <c r="H249" s="904">
        <v>3090000</v>
      </c>
      <c r="I249" s="904"/>
      <c r="J249" s="904">
        <v>3090000</v>
      </c>
      <c r="K249" s="904"/>
      <c r="L249" s="904">
        <v>3090000</v>
      </c>
      <c r="M249" s="905">
        <v>5</v>
      </c>
      <c r="N249" s="906">
        <v>0.45100000000000001</v>
      </c>
      <c r="O249" s="905">
        <v>3</v>
      </c>
      <c r="P249" s="904">
        <v>348397</v>
      </c>
      <c r="Q249" s="904"/>
      <c r="R249" s="904">
        <v>348397</v>
      </c>
      <c r="S249" s="904">
        <v>2741603</v>
      </c>
    </row>
    <row r="250" spans="2:19" hidden="1" x14ac:dyDescent="0.3">
      <c r="B250" s="917" t="s">
        <v>3172</v>
      </c>
      <c r="C250" s="917"/>
      <c r="D250" s="917" t="str">
        <f t="shared" si="7"/>
        <v/>
      </c>
      <c r="E250" s="917"/>
      <c r="F250" s="917"/>
      <c r="G250" s="917"/>
      <c r="H250" s="917">
        <f>SUM(H234:H249)</f>
        <v>270361150</v>
      </c>
      <c r="I250" s="917"/>
      <c r="J250" s="917">
        <f>SUM(J234:J249)</f>
        <v>270361150</v>
      </c>
      <c r="K250" s="917">
        <f t="shared" ref="K250:L250" si="8">SUM(K234:K249)</f>
        <v>248437947</v>
      </c>
      <c r="L250" s="917">
        <f t="shared" si="8"/>
        <v>21923203</v>
      </c>
      <c r="M250" s="917"/>
      <c r="N250" s="917"/>
      <c r="O250" s="917"/>
      <c r="P250" s="917">
        <f t="shared" ref="P250" si="9">SUM(P234:P249)</f>
        <v>14058945</v>
      </c>
      <c r="Q250" s="917"/>
      <c r="R250" s="917">
        <f t="shared" ref="R250:S250" si="10">SUM(R234:R249)</f>
        <v>262496892</v>
      </c>
      <c r="S250" s="917">
        <f t="shared" si="10"/>
        <v>7864258</v>
      </c>
    </row>
    <row r="251" spans="2:19" hidden="1" x14ac:dyDescent="0.3">
      <c r="B251" s="900" t="s">
        <v>2507</v>
      </c>
      <c r="C251" s="901" t="s">
        <v>2508</v>
      </c>
      <c r="D251" s="902" t="str">
        <f t="shared" si="7"/>
        <v>1997</v>
      </c>
      <c r="E251" s="902" t="s">
        <v>3171</v>
      </c>
      <c r="F251" s="902" t="s">
        <v>2620</v>
      </c>
      <c r="G251" s="903" t="s">
        <v>2621</v>
      </c>
      <c r="H251" s="904">
        <v>4300000</v>
      </c>
      <c r="I251" s="904"/>
      <c r="J251" s="904">
        <v>4300000</v>
      </c>
      <c r="K251" s="904">
        <v>4299000</v>
      </c>
      <c r="L251" s="904">
        <v>1000</v>
      </c>
      <c r="M251" s="905">
        <v>5</v>
      </c>
      <c r="N251" s="906">
        <v>0.45100000000000001</v>
      </c>
      <c r="O251" s="905">
        <v>12</v>
      </c>
      <c r="P251" s="904"/>
      <c r="Q251" s="904"/>
      <c r="R251" s="904">
        <v>4299000</v>
      </c>
      <c r="S251" s="904">
        <v>1000</v>
      </c>
    </row>
    <row r="252" spans="2:19" hidden="1" x14ac:dyDescent="0.3">
      <c r="B252" s="900" t="s">
        <v>2509</v>
      </c>
      <c r="C252" s="901" t="s">
        <v>2510</v>
      </c>
      <c r="D252" s="902" t="str">
        <f t="shared" si="7"/>
        <v>1999</v>
      </c>
      <c r="E252" s="902" t="s">
        <v>3171</v>
      </c>
      <c r="F252" s="902" t="s">
        <v>2620</v>
      </c>
      <c r="G252" s="903" t="s">
        <v>2621</v>
      </c>
      <c r="H252" s="904">
        <v>12500000</v>
      </c>
      <c r="I252" s="904"/>
      <c r="J252" s="904">
        <v>12500000</v>
      </c>
      <c r="K252" s="904">
        <v>12499000</v>
      </c>
      <c r="L252" s="904">
        <v>1000</v>
      </c>
      <c r="M252" s="905">
        <v>5</v>
      </c>
      <c r="N252" s="906">
        <v>0.45100000000000001</v>
      </c>
      <c r="O252" s="905">
        <v>12</v>
      </c>
      <c r="P252" s="904"/>
      <c r="Q252" s="904"/>
      <c r="R252" s="904">
        <v>12499000</v>
      </c>
      <c r="S252" s="904">
        <v>1000</v>
      </c>
    </row>
    <row r="253" spans="2:19" hidden="1" x14ac:dyDescent="0.3">
      <c r="B253" s="900" t="s">
        <v>2511</v>
      </c>
      <c r="C253" s="901" t="s">
        <v>2512</v>
      </c>
      <c r="D253" s="902" t="str">
        <f t="shared" si="7"/>
        <v>1999</v>
      </c>
      <c r="E253" s="902" t="s">
        <v>3171</v>
      </c>
      <c r="F253" s="902" t="s">
        <v>2620</v>
      </c>
      <c r="G253" s="903" t="s">
        <v>2621</v>
      </c>
      <c r="H253" s="904">
        <v>14545455</v>
      </c>
      <c r="I253" s="904"/>
      <c r="J253" s="904">
        <v>14545455</v>
      </c>
      <c r="K253" s="904">
        <v>14544455</v>
      </c>
      <c r="L253" s="904">
        <v>1000</v>
      </c>
      <c r="M253" s="905">
        <v>5</v>
      </c>
      <c r="N253" s="906">
        <v>0.45100000000000001</v>
      </c>
      <c r="O253" s="905">
        <v>12</v>
      </c>
      <c r="P253" s="904"/>
      <c r="Q253" s="904"/>
      <c r="R253" s="904">
        <v>14544455</v>
      </c>
      <c r="S253" s="904">
        <v>1000</v>
      </c>
    </row>
    <row r="254" spans="2:19" hidden="1" x14ac:dyDescent="0.3">
      <c r="B254" s="900" t="s">
        <v>2513</v>
      </c>
      <c r="C254" s="901" t="s">
        <v>2514</v>
      </c>
      <c r="D254" s="902" t="str">
        <f t="shared" si="7"/>
        <v>1999</v>
      </c>
      <c r="E254" s="902" t="s">
        <v>3171</v>
      </c>
      <c r="F254" s="902" t="s">
        <v>2620</v>
      </c>
      <c r="G254" s="903" t="s">
        <v>2621</v>
      </c>
      <c r="H254" s="904">
        <v>2161818</v>
      </c>
      <c r="I254" s="904"/>
      <c r="J254" s="904">
        <v>2161818</v>
      </c>
      <c r="K254" s="904">
        <v>2160818</v>
      </c>
      <c r="L254" s="904">
        <v>1000</v>
      </c>
      <c r="M254" s="905">
        <v>5</v>
      </c>
      <c r="N254" s="906">
        <v>0.45100000000000001</v>
      </c>
      <c r="O254" s="905">
        <v>12</v>
      </c>
      <c r="P254" s="904"/>
      <c r="Q254" s="904"/>
      <c r="R254" s="904">
        <v>2160818</v>
      </c>
      <c r="S254" s="904">
        <v>1000</v>
      </c>
    </row>
    <row r="255" spans="2:19" hidden="1" x14ac:dyDescent="0.3">
      <c r="B255" s="900" t="s">
        <v>2515</v>
      </c>
      <c r="C255" s="901" t="s">
        <v>2516</v>
      </c>
      <c r="D255" s="902" t="str">
        <f t="shared" si="7"/>
        <v>1999</v>
      </c>
      <c r="E255" s="902" t="s">
        <v>3171</v>
      </c>
      <c r="F255" s="902" t="s">
        <v>2620</v>
      </c>
      <c r="G255" s="903" t="s">
        <v>2621</v>
      </c>
      <c r="H255" s="904">
        <v>1500000</v>
      </c>
      <c r="I255" s="904"/>
      <c r="J255" s="904">
        <v>1500000</v>
      </c>
      <c r="K255" s="904">
        <v>1499000</v>
      </c>
      <c r="L255" s="904">
        <v>1000</v>
      </c>
      <c r="M255" s="905">
        <v>5</v>
      </c>
      <c r="N255" s="906">
        <v>0.45100000000000001</v>
      </c>
      <c r="O255" s="905">
        <v>12</v>
      </c>
      <c r="P255" s="904"/>
      <c r="Q255" s="904"/>
      <c r="R255" s="904">
        <v>1499000</v>
      </c>
      <c r="S255" s="904">
        <v>1000</v>
      </c>
    </row>
    <row r="256" spans="2:19" hidden="1" x14ac:dyDescent="0.3">
      <c r="B256" s="900" t="s">
        <v>2517</v>
      </c>
      <c r="C256" s="901" t="s">
        <v>2518</v>
      </c>
      <c r="D256" s="902" t="str">
        <f t="shared" si="7"/>
        <v>2000</v>
      </c>
      <c r="E256" s="902" t="s">
        <v>3171</v>
      </c>
      <c r="F256" s="902" t="s">
        <v>2620</v>
      </c>
      <c r="G256" s="903" t="s">
        <v>2621</v>
      </c>
      <c r="H256" s="904">
        <v>5454545</v>
      </c>
      <c r="I256" s="904"/>
      <c r="J256" s="904">
        <v>5454545</v>
      </c>
      <c r="K256" s="904">
        <v>5453545</v>
      </c>
      <c r="L256" s="904">
        <v>1000</v>
      </c>
      <c r="M256" s="905">
        <v>5</v>
      </c>
      <c r="N256" s="906">
        <v>0.45100000000000001</v>
      </c>
      <c r="O256" s="905">
        <v>12</v>
      </c>
      <c r="P256" s="904"/>
      <c r="Q256" s="904"/>
      <c r="R256" s="904">
        <v>5453545</v>
      </c>
      <c r="S256" s="904">
        <v>1000</v>
      </c>
    </row>
    <row r="257" spans="2:19" hidden="1" x14ac:dyDescent="0.3">
      <c r="B257" s="900" t="s">
        <v>2519</v>
      </c>
      <c r="C257" s="901" t="s">
        <v>2520</v>
      </c>
      <c r="D257" s="902" t="str">
        <f t="shared" si="7"/>
        <v>2001</v>
      </c>
      <c r="E257" s="902" t="s">
        <v>3171</v>
      </c>
      <c r="F257" s="902" t="s">
        <v>2620</v>
      </c>
      <c r="G257" s="903" t="s">
        <v>2621</v>
      </c>
      <c r="H257" s="904">
        <v>15409090</v>
      </c>
      <c r="I257" s="904"/>
      <c r="J257" s="904">
        <v>15409090</v>
      </c>
      <c r="K257" s="904">
        <v>15408090</v>
      </c>
      <c r="L257" s="904">
        <v>1000</v>
      </c>
      <c r="M257" s="905">
        <v>5</v>
      </c>
      <c r="N257" s="906">
        <v>0.45100000000000001</v>
      </c>
      <c r="O257" s="905">
        <v>12</v>
      </c>
      <c r="P257" s="904"/>
      <c r="Q257" s="904"/>
      <c r="R257" s="904">
        <v>15408090</v>
      </c>
      <c r="S257" s="904">
        <v>1000</v>
      </c>
    </row>
    <row r="258" spans="2:19" hidden="1" x14ac:dyDescent="0.3">
      <c r="B258" s="900" t="s">
        <v>2521</v>
      </c>
      <c r="C258" s="901" t="s">
        <v>2522</v>
      </c>
      <c r="D258" s="902" t="str">
        <f t="shared" si="7"/>
        <v>2002</v>
      </c>
      <c r="E258" s="902" t="s">
        <v>3171</v>
      </c>
      <c r="F258" s="902" t="s">
        <v>2620</v>
      </c>
      <c r="G258" s="903" t="s">
        <v>2621</v>
      </c>
      <c r="H258" s="904">
        <v>1036365</v>
      </c>
      <c r="I258" s="904"/>
      <c r="J258" s="904">
        <v>1036365</v>
      </c>
      <c r="K258" s="904">
        <v>1035365</v>
      </c>
      <c r="L258" s="904">
        <v>1000</v>
      </c>
      <c r="M258" s="905">
        <v>5</v>
      </c>
      <c r="N258" s="906">
        <v>0.45100000000000001</v>
      </c>
      <c r="O258" s="905">
        <v>12</v>
      </c>
      <c r="P258" s="904"/>
      <c r="Q258" s="904"/>
      <c r="R258" s="904">
        <v>1035365</v>
      </c>
      <c r="S258" s="904">
        <v>1000</v>
      </c>
    </row>
    <row r="259" spans="2:19" hidden="1" x14ac:dyDescent="0.3">
      <c r="B259" s="900" t="s">
        <v>2523</v>
      </c>
      <c r="C259" s="901" t="s">
        <v>2524</v>
      </c>
      <c r="D259" s="902" t="str">
        <f t="shared" si="7"/>
        <v>2005</v>
      </c>
      <c r="E259" s="902" t="s">
        <v>3171</v>
      </c>
      <c r="F259" s="902" t="s">
        <v>2620</v>
      </c>
      <c r="G259" s="903" t="s">
        <v>2621</v>
      </c>
      <c r="H259" s="904">
        <v>5000000</v>
      </c>
      <c r="I259" s="904"/>
      <c r="J259" s="904">
        <v>5000000</v>
      </c>
      <c r="K259" s="904">
        <v>4999000</v>
      </c>
      <c r="L259" s="904">
        <v>1000</v>
      </c>
      <c r="M259" s="905">
        <v>5</v>
      </c>
      <c r="N259" s="906">
        <v>0.45100000000000001</v>
      </c>
      <c r="O259" s="905">
        <v>12</v>
      </c>
      <c r="P259" s="904"/>
      <c r="Q259" s="904"/>
      <c r="R259" s="904">
        <v>4999000</v>
      </c>
      <c r="S259" s="904">
        <v>1000</v>
      </c>
    </row>
    <row r="260" spans="2:19" hidden="1" x14ac:dyDescent="0.3">
      <c r="B260" s="900" t="s">
        <v>2525</v>
      </c>
      <c r="C260" s="901" t="s">
        <v>2526</v>
      </c>
      <c r="D260" s="902" t="str">
        <f t="shared" si="7"/>
        <v>2009</v>
      </c>
      <c r="E260" s="902" t="s">
        <v>3171</v>
      </c>
      <c r="F260" s="902" t="s">
        <v>2620</v>
      </c>
      <c r="G260" s="903" t="s">
        <v>2621</v>
      </c>
      <c r="H260" s="904">
        <v>4804545</v>
      </c>
      <c r="I260" s="904"/>
      <c r="J260" s="904">
        <v>4804545</v>
      </c>
      <c r="K260" s="904">
        <v>4803545</v>
      </c>
      <c r="L260" s="904">
        <v>1000</v>
      </c>
      <c r="M260" s="905">
        <v>5</v>
      </c>
      <c r="N260" s="906">
        <v>0.45100000000000001</v>
      </c>
      <c r="O260" s="905">
        <v>12</v>
      </c>
      <c r="P260" s="904"/>
      <c r="Q260" s="904"/>
      <c r="R260" s="904">
        <v>4803545</v>
      </c>
      <c r="S260" s="904">
        <v>1000</v>
      </c>
    </row>
    <row r="261" spans="2:19" hidden="1" x14ac:dyDescent="0.3">
      <c r="B261" s="900" t="s">
        <v>2521</v>
      </c>
      <c r="C261" s="901" t="s">
        <v>2527</v>
      </c>
      <c r="D261" s="902" t="str">
        <f t="shared" si="7"/>
        <v>2012</v>
      </c>
      <c r="E261" s="902" t="s">
        <v>3171</v>
      </c>
      <c r="F261" s="902" t="s">
        <v>2620</v>
      </c>
      <c r="G261" s="903" t="s">
        <v>2621</v>
      </c>
      <c r="H261" s="904">
        <v>2000000</v>
      </c>
      <c r="I261" s="904"/>
      <c r="J261" s="904">
        <v>2000000</v>
      </c>
      <c r="K261" s="904">
        <v>1866112</v>
      </c>
      <c r="L261" s="904">
        <v>133888</v>
      </c>
      <c r="M261" s="905">
        <v>5</v>
      </c>
      <c r="N261" s="906">
        <v>0.45100000000000001</v>
      </c>
      <c r="O261" s="905">
        <v>12</v>
      </c>
      <c r="P261" s="904">
        <v>132888</v>
      </c>
      <c r="Q261" s="904"/>
      <c r="R261" s="904">
        <v>1999000</v>
      </c>
      <c r="S261" s="904">
        <v>1000</v>
      </c>
    </row>
    <row r="262" spans="2:19" hidden="1" x14ac:dyDescent="0.3">
      <c r="B262" s="900" t="s">
        <v>2521</v>
      </c>
      <c r="C262" s="901" t="s">
        <v>2528</v>
      </c>
      <c r="D262" s="902" t="str">
        <f t="shared" ref="D262:D304" si="11">LEFT(C262,4)</f>
        <v>2012</v>
      </c>
      <c r="E262" s="902" t="s">
        <v>3171</v>
      </c>
      <c r="F262" s="902" t="s">
        <v>2620</v>
      </c>
      <c r="G262" s="903" t="s">
        <v>2621</v>
      </c>
      <c r="H262" s="904">
        <v>1854545</v>
      </c>
      <c r="I262" s="904"/>
      <c r="J262" s="904">
        <v>1854545</v>
      </c>
      <c r="K262" s="904">
        <v>1724063</v>
      </c>
      <c r="L262" s="904">
        <v>130482</v>
      </c>
      <c r="M262" s="905">
        <v>5</v>
      </c>
      <c r="N262" s="906">
        <v>0.45100000000000001</v>
      </c>
      <c r="O262" s="905">
        <v>12</v>
      </c>
      <c r="P262" s="904">
        <v>129482</v>
      </c>
      <c r="Q262" s="904"/>
      <c r="R262" s="904">
        <v>1853545</v>
      </c>
      <c r="S262" s="904">
        <v>1000</v>
      </c>
    </row>
    <row r="263" spans="2:19" hidden="1" x14ac:dyDescent="0.3">
      <c r="B263" s="900" t="s">
        <v>2521</v>
      </c>
      <c r="C263" s="901" t="s">
        <v>2529</v>
      </c>
      <c r="D263" s="902" t="str">
        <f t="shared" si="11"/>
        <v>2012</v>
      </c>
      <c r="E263" s="902" t="s">
        <v>3171</v>
      </c>
      <c r="F263" s="902" t="s">
        <v>2620</v>
      </c>
      <c r="G263" s="903" t="s">
        <v>2621</v>
      </c>
      <c r="H263" s="904">
        <v>1127273</v>
      </c>
      <c r="I263" s="904"/>
      <c r="J263" s="904">
        <v>1127273</v>
      </c>
      <c r="K263" s="904">
        <v>1047960</v>
      </c>
      <c r="L263" s="904">
        <v>79313</v>
      </c>
      <c r="M263" s="905">
        <v>5</v>
      </c>
      <c r="N263" s="906">
        <v>0.45100000000000001</v>
      </c>
      <c r="O263" s="905">
        <v>12</v>
      </c>
      <c r="P263" s="904">
        <v>78313</v>
      </c>
      <c r="Q263" s="904"/>
      <c r="R263" s="904">
        <v>1126273</v>
      </c>
      <c r="S263" s="904">
        <v>1000</v>
      </c>
    </row>
    <row r="264" spans="2:19" hidden="1" x14ac:dyDescent="0.3">
      <c r="B264" s="900" t="s">
        <v>2530</v>
      </c>
      <c r="C264" s="901" t="s">
        <v>2531</v>
      </c>
      <c r="D264" s="902" t="str">
        <f t="shared" si="11"/>
        <v>2012</v>
      </c>
      <c r="E264" s="902" t="s">
        <v>3171</v>
      </c>
      <c r="F264" s="902" t="s">
        <v>2620</v>
      </c>
      <c r="G264" s="903" t="s">
        <v>2621</v>
      </c>
      <c r="H264" s="904">
        <v>27284546</v>
      </c>
      <c r="I264" s="904"/>
      <c r="J264" s="904">
        <v>27284546</v>
      </c>
      <c r="K264" s="904">
        <v>25178563</v>
      </c>
      <c r="L264" s="904">
        <v>2105983</v>
      </c>
      <c r="M264" s="905">
        <v>5</v>
      </c>
      <c r="N264" s="906">
        <v>0.45100000000000001</v>
      </c>
      <c r="O264" s="905">
        <v>12</v>
      </c>
      <c r="P264" s="904">
        <v>2104983</v>
      </c>
      <c r="Q264" s="904"/>
      <c r="R264" s="904">
        <v>27283546</v>
      </c>
      <c r="S264" s="904">
        <v>1000</v>
      </c>
    </row>
    <row r="265" spans="2:19" hidden="1" x14ac:dyDescent="0.3">
      <c r="B265" s="900" t="s">
        <v>2532</v>
      </c>
      <c r="C265" s="901" t="s">
        <v>2533</v>
      </c>
      <c r="D265" s="902" t="str">
        <f t="shared" si="11"/>
        <v>2013</v>
      </c>
      <c r="E265" s="902" t="s">
        <v>3171</v>
      </c>
      <c r="F265" s="902" t="s">
        <v>2620</v>
      </c>
      <c r="G265" s="903" t="s">
        <v>2621</v>
      </c>
      <c r="H265" s="904">
        <v>2000000</v>
      </c>
      <c r="I265" s="904"/>
      <c r="J265" s="904">
        <v>2000000</v>
      </c>
      <c r="K265" s="904">
        <v>1731250</v>
      </c>
      <c r="L265" s="904">
        <v>268750</v>
      </c>
      <c r="M265" s="905">
        <v>5</v>
      </c>
      <c r="N265" s="906">
        <v>0.45100000000000001</v>
      </c>
      <c r="O265" s="905">
        <v>12</v>
      </c>
      <c r="P265" s="904">
        <v>121206</v>
      </c>
      <c r="Q265" s="904"/>
      <c r="R265" s="904">
        <v>1852456</v>
      </c>
      <c r="S265" s="904">
        <v>147544</v>
      </c>
    </row>
    <row r="266" spans="2:19" hidden="1" x14ac:dyDescent="0.3">
      <c r="B266" s="900" t="s">
        <v>2534</v>
      </c>
      <c r="C266" s="901" t="s">
        <v>2535</v>
      </c>
      <c r="D266" s="902" t="str">
        <f t="shared" si="11"/>
        <v>2014</v>
      </c>
      <c r="E266" s="902" t="s">
        <v>3171</v>
      </c>
      <c r="F266" s="902" t="s">
        <v>2620</v>
      </c>
      <c r="G266" s="903" t="s">
        <v>2621</v>
      </c>
      <c r="H266" s="904">
        <v>13636364</v>
      </c>
      <c r="I266" s="904"/>
      <c r="J266" s="904">
        <v>13636364</v>
      </c>
      <c r="K266" s="904">
        <v>10607625</v>
      </c>
      <c r="L266" s="904">
        <v>3028739</v>
      </c>
      <c r="M266" s="905">
        <v>5</v>
      </c>
      <c r="N266" s="906">
        <v>0.45100000000000001</v>
      </c>
      <c r="O266" s="905">
        <v>12</v>
      </c>
      <c r="P266" s="904">
        <v>1365961</v>
      </c>
      <c r="Q266" s="904"/>
      <c r="R266" s="904">
        <v>11973586</v>
      </c>
      <c r="S266" s="904">
        <v>1662778</v>
      </c>
    </row>
    <row r="267" spans="2:19" hidden="1" x14ac:dyDescent="0.3">
      <c r="B267" s="900" t="s">
        <v>2536</v>
      </c>
      <c r="C267" s="901" t="s">
        <v>2537</v>
      </c>
      <c r="D267" s="902" t="str">
        <f t="shared" si="11"/>
        <v>2015</v>
      </c>
      <c r="E267" s="902" t="s">
        <v>3171</v>
      </c>
      <c r="F267" s="902" t="s">
        <v>2620</v>
      </c>
      <c r="G267" s="903" t="s">
        <v>2621</v>
      </c>
      <c r="H267" s="904">
        <v>4460000</v>
      </c>
      <c r="I267" s="904"/>
      <c r="J267" s="904">
        <v>4460000</v>
      </c>
      <c r="K267" s="904">
        <v>2931702</v>
      </c>
      <c r="L267" s="904">
        <v>1528298</v>
      </c>
      <c r="M267" s="905">
        <v>5</v>
      </c>
      <c r="N267" s="906">
        <v>0.45100000000000001</v>
      </c>
      <c r="O267" s="905">
        <v>12</v>
      </c>
      <c r="P267" s="904">
        <v>689262</v>
      </c>
      <c r="Q267" s="904"/>
      <c r="R267" s="904">
        <v>3620964</v>
      </c>
      <c r="S267" s="904">
        <v>839036</v>
      </c>
    </row>
    <row r="268" spans="2:19" hidden="1" x14ac:dyDescent="0.3">
      <c r="B268" s="900" t="s">
        <v>2538</v>
      </c>
      <c r="C268" s="901" t="s">
        <v>2539</v>
      </c>
      <c r="D268" s="902" t="str">
        <f t="shared" si="11"/>
        <v>2015</v>
      </c>
      <c r="E268" s="902" t="s">
        <v>3171</v>
      </c>
      <c r="F268" s="902" t="s">
        <v>2620</v>
      </c>
      <c r="G268" s="903" t="s">
        <v>2621</v>
      </c>
      <c r="H268" s="904">
        <v>18430000</v>
      </c>
      <c r="I268" s="904"/>
      <c r="J268" s="904">
        <v>18430000</v>
      </c>
      <c r="K268" s="904">
        <v>12114637</v>
      </c>
      <c r="L268" s="904">
        <v>6315363</v>
      </c>
      <c r="M268" s="905">
        <v>5</v>
      </c>
      <c r="N268" s="906">
        <v>0.45100000000000001</v>
      </c>
      <c r="O268" s="905">
        <v>12</v>
      </c>
      <c r="P268" s="904">
        <v>2848228</v>
      </c>
      <c r="Q268" s="904"/>
      <c r="R268" s="904">
        <v>14962865</v>
      </c>
      <c r="S268" s="904">
        <v>3467135</v>
      </c>
    </row>
    <row r="269" spans="2:19" hidden="1" x14ac:dyDescent="0.3">
      <c r="B269" s="900" t="s">
        <v>2540</v>
      </c>
      <c r="C269" s="901" t="s">
        <v>2541</v>
      </c>
      <c r="D269" s="902" t="str">
        <f t="shared" si="11"/>
        <v>2015</v>
      </c>
      <c r="E269" s="902" t="s">
        <v>3171</v>
      </c>
      <c r="F269" s="902" t="s">
        <v>2620</v>
      </c>
      <c r="G269" s="903" t="s">
        <v>2621</v>
      </c>
      <c r="H269" s="904">
        <v>7710000</v>
      </c>
      <c r="I269" s="904"/>
      <c r="J269" s="904">
        <v>7710000</v>
      </c>
      <c r="K269" s="904">
        <v>5068033</v>
      </c>
      <c r="L269" s="904">
        <v>2641967</v>
      </c>
      <c r="M269" s="905">
        <v>5</v>
      </c>
      <c r="N269" s="906">
        <v>0.45100000000000001</v>
      </c>
      <c r="O269" s="905">
        <v>12</v>
      </c>
      <c r="P269" s="904">
        <v>1191527</v>
      </c>
      <c r="Q269" s="904"/>
      <c r="R269" s="904">
        <v>6259560</v>
      </c>
      <c r="S269" s="904">
        <v>1450440</v>
      </c>
    </row>
    <row r="270" spans="2:19" hidden="1" x14ac:dyDescent="0.3">
      <c r="B270" s="900" t="s">
        <v>2542</v>
      </c>
      <c r="C270" s="901" t="s">
        <v>2543</v>
      </c>
      <c r="D270" s="902" t="str">
        <f t="shared" si="11"/>
        <v>2015</v>
      </c>
      <c r="E270" s="902" t="s">
        <v>3171</v>
      </c>
      <c r="F270" s="902" t="s">
        <v>2620</v>
      </c>
      <c r="G270" s="903" t="s">
        <v>2621</v>
      </c>
      <c r="H270" s="904">
        <v>1545455</v>
      </c>
      <c r="I270" s="904"/>
      <c r="J270" s="904">
        <v>1545455</v>
      </c>
      <c r="K270" s="904">
        <v>983989</v>
      </c>
      <c r="L270" s="904">
        <v>561466</v>
      </c>
      <c r="M270" s="905">
        <v>5</v>
      </c>
      <c r="N270" s="906">
        <v>0.45100000000000001</v>
      </c>
      <c r="O270" s="905">
        <v>12</v>
      </c>
      <c r="P270" s="904">
        <v>253221</v>
      </c>
      <c r="Q270" s="904"/>
      <c r="R270" s="904">
        <v>1237210</v>
      </c>
      <c r="S270" s="904">
        <v>308245</v>
      </c>
    </row>
    <row r="271" spans="2:19" hidden="1" x14ac:dyDescent="0.3">
      <c r="B271" s="900" t="s">
        <v>2544</v>
      </c>
      <c r="C271" s="901" t="s">
        <v>2545</v>
      </c>
      <c r="D271" s="902" t="str">
        <f t="shared" si="11"/>
        <v>2015</v>
      </c>
      <c r="E271" s="902" t="s">
        <v>3171</v>
      </c>
      <c r="F271" s="902" t="s">
        <v>2620</v>
      </c>
      <c r="G271" s="903" t="s">
        <v>2621</v>
      </c>
      <c r="H271" s="904">
        <v>4350000</v>
      </c>
      <c r="I271" s="904"/>
      <c r="J271" s="904">
        <v>4350000</v>
      </c>
      <c r="K271" s="904">
        <v>2769641</v>
      </c>
      <c r="L271" s="904">
        <v>1580359</v>
      </c>
      <c r="M271" s="905">
        <v>5</v>
      </c>
      <c r="N271" s="906">
        <v>0.45100000000000001</v>
      </c>
      <c r="O271" s="905">
        <v>12</v>
      </c>
      <c r="P271" s="904">
        <v>712741</v>
      </c>
      <c r="Q271" s="904"/>
      <c r="R271" s="904">
        <v>3482382</v>
      </c>
      <c r="S271" s="904">
        <v>867618</v>
      </c>
    </row>
    <row r="272" spans="2:19" hidden="1" x14ac:dyDescent="0.3">
      <c r="B272" s="900" t="s">
        <v>2546</v>
      </c>
      <c r="C272" s="901" t="s">
        <v>2547</v>
      </c>
      <c r="D272" s="902" t="str">
        <f t="shared" si="11"/>
        <v>2016</v>
      </c>
      <c r="E272" s="902" t="s">
        <v>3171</v>
      </c>
      <c r="F272" s="902" t="s">
        <v>2620</v>
      </c>
      <c r="G272" s="903" t="s">
        <v>2621</v>
      </c>
      <c r="H272" s="904">
        <v>6000000</v>
      </c>
      <c r="I272" s="904"/>
      <c r="J272" s="904">
        <v>6000000</v>
      </c>
      <c r="K272" s="904">
        <v>2480500</v>
      </c>
      <c r="L272" s="904">
        <v>3519500</v>
      </c>
      <c r="M272" s="905">
        <v>5</v>
      </c>
      <c r="N272" s="906">
        <v>0.45100000000000001</v>
      </c>
      <c r="O272" s="905">
        <v>12</v>
      </c>
      <c r="P272" s="904">
        <v>1587294</v>
      </c>
      <c r="Q272" s="904"/>
      <c r="R272" s="904">
        <v>4067794</v>
      </c>
      <c r="S272" s="904">
        <v>1932206</v>
      </c>
    </row>
    <row r="273" spans="1:20" hidden="1" x14ac:dyDescent="0.3">
      <c r="B273" s="900" t="s">
        <v>2548</v>
      </c>
      <c r="C273" s="901" t="s">
        <v>2549</v>
      </c>
      <c r="D273" s="902" t="str">
        <f t="shared" si="11"/>
        <v>2016</v>
      </c>
      <c r="E273" s="902" t="s">
        <v>3171</v>
      </c>
      <c r="F273" s="902" t="s">
        <v>2620</v>
      </c>
      <c r="G273" s="903" t="s">
        <v>2621</v>
      </c>
      <c r="H273" s="904">
        <v>4130000</v>
      </c>
      <c r="I273" s="904"/>
      <c r="J273" s="904">
        <v>4130000</v>
      </c>
      <c r="K273" s="904">
        <v>1086534</v>
      </c>
      <c r="L273" s="904">
        <v>3043466</v>
      </c>
      <c r="M273" s="905">
        <v>5</v>
      </c>
      <c r="N273" s="906">
        <v>0.45100000000000001</v>
      </c>
      <c r="O273" s="905">
        <v>12</v>
      </c>
      <c r="P273" s="904">
        <v>1372603</v>
      </c>
      <c r="Q273" s="904"/>
      <c r="R273" s="904">
        <v>2459137</v>
      </c>
      <c r="S273" s="904">
        <v>1670863</v>
      </c>
    </row>
    <row r="274" spans="1:20" x14ac:dyDescent="0.3">
      <c r="B274" s="900" t="s">
        <v>2550</v>
      </c>
      <c r="C274" s="901" t="s">
        <v>2551</v>
      </c>
      <c r="D274" s="902" t="str">
        <f t="shared" si="11"/>
        <v>2017</v>
      </c>
      <c r="E274" s="902" t="s">
        <v>3171</v>
      </c>
      <c r="F274" s="902" t="s">
        <v>2620</v>
      </c>
      <c r="G274" s="903" t="s">
        <v>2621</v>
      </c>
      <c r="H274" s="904">
        <v>3050909</v>
      </c>
      <c r="I274" s="904"/>
      <c r="J274" s="904">
        <v>3050909</v>
      </c>
      <c r="K274" s="904"/>
      <c r="L274" s="904">
        <v>3050909</v>
      </c>
      <c r="M274" s="905">
        <v>5</v>
      </c>
      <c r="N274" s="906">
        <v>0.45100000000000001</v>
      </c>
      <c r="O274" s="905">
        <v>5</v>
      </c>
      <c r="P274" s="904">
        <v>573316</v>
      </c>
      <c r="Q274" s="904"/>
      <c r="R274" s="904">
        <v>573316</v>
      </c>
      <c r="S274" s="904">
        <v>2477593</v>
      </c>
    </row>
    <row r="275" spans="1:20" x14ac:dyDescent="0.3">
      <c r="B275" s="900" t="s">
        <v>2507</v>
      </c>
      <c r="C275" s="901" t="s">
        <v>2552</v>
      </c>
      <c r="D275" s="902" t="str">
        <f t="shared" si="11"/>
        <v>2017</v>
      </c>
      <c r="E275" s="902" t="s">
        <v>3171</v>
      </c>
      <c r="F275" s="902" t="s">
        <v>2073</v>
      </c>
      <c r="G275" s="903" t="s">
        <v>2073</v>
      </c>
      <c r="H275" s="904">
        <v>2000000</v>
      </c>
      <c r="I275" s="904"/>
      <c r="J275" s="904">
        <v>2000000</v>
      </c>
      <c r="K275" s="904"/>
      <c r="L275" s="904">
        <v>2000000</v>
      </c>
      <c r="M275" s="905">
        <v>5</v>
      </c>
      <c r="N275" s="906">
        <v>0.45100000000000001</v>
      </c>
      <c r="O275" s="905">
        <v>2</v>
      </c>
      <c r="P275" s="904">
        <v>150333</v>
      </c>
      <c r="Q275" s="904"/>
      <c r="R275" s="904">
        <v>150333</v>
      </c>
      <c r="S275" s="904">
        <v>1849667</v>
      </c>
    </row>
    <row r="276" spans="1:20" hidden="1" x14ac:dyDescent="0.3">
      <c r="A276" s="918"/>
      <c r="B276" s="917" t="s">
        <v>2686</v>
      </c>
      <c r="C276" s="917"/>
      <c r="D276" s="917" t="str">
        <f t="shared" si="11"/>
        <v/>
      </c>
      <c r="E276" s="917"/>
      <c r="F276" s="917"/>
      <c r="G276" s="917"/>
      <c r="H276" s="917">
        <f>SUM(H251:H275)</f>
        <v>166290910</v>
      </c>
      <c r="I276" s="917"/>
      <c r="J276" s="917">
        <f>SUM(J251:J275)</f>
        <v>166290910</v>
      </c>
      <c r="K276" s="917">
        <f>SUM(K251:K275)</f>
        <v>136292427</v>
      </c>
      <c r="L276" s="917">
        <f>SUM(L251:L275)</f>
        <v>29998483</v>
      </c>
      <c r="M276" s="917"/>
      <c r="N276" s="917"/>
      <c r="O276" s="917"/>
      <c r="P276" s="917">
        <f>SUM(P251:P275)</f>
        <v>13311358</v>
      </c>
      <c r="Q276" s="917"/>
      <c r="R276" s="917">
        <f t="shared" ref="R276:S276" si="12">SUM(R251:R275)</f>
        <v>149603785</v>
      </c>
      <c r="S276" s="917">
        <f t="shared" si="12"/>
        <v>16687125</v>
      </c>
    </row>
    <row r="277" spans="1:20" hidden="1" x14ac:dyDescent="0.3">
      <c r="B277" s="919" t="s">
        <v>2687</v>
      </c>
      <c r="C277" s="919"/>
      <c r="D277" s="919" t="str">
        <f t="shared" si="11"/>
        <v/>
      </c>
      <c r="E277" s="919"/>
      <c r="F277" s="919"/>
      <c r="G277" s="919"/>
      <c r="H277" s="919">
        <f>SUM(H276,H250,H233,H188,H40,H33)</f>
        <v>17204803950</v>
      </c>
      <c r="I277" s="919">
        <f>SUM(I276,I250,I233,I188,I40,I33)</f>
        <v>38283600</v>
      </c>
      <c r="J277" s="919">
        <f t="shared" ref="J277:L277" si="13">SUM(J276,J250,J233,J188,J40,J33)</f>
        <v>17243087550</v>
      </c>
      <c r="K277" s="919"/>
      <c r="L277" s="919">
        <f t="shared" si="13"/>
        <v>12494810317</v>
      </c>
      <c r="M277" s="919"/>
      <c r="N277" s="919"/>
      <c r="O277" s="919"/>
      <c r="P277" s="919">
        <f t="shared" ref="P277:S277" si="14">SUM(P276,P250,P233,P188,P40,P33)</f>
        <v>907796295</v>
      </c>
      <c r="Q277" s="919"/>
      <c r="R277" s="919">
        <f t="shared" si="14"/>
        <v>7670835209</v>
      </c>
      <c r="S277" s="919">
        <f t="shared" si="14"/>
        <v>9572252341</v>
      </c>
    </row>
    <row r="278" spans="1:20" hidden="1" x14ac:dyDescent="0.3">
      <c r="B278" s="900" t="s">
        <v>2553</v>
      </c>
      <c r="C278" s="901" t="s">
        <v>2554</v>
      </c>
      <c r="D278" s="902" t="str">
        <f t="shared" si="11"/>
        <v>2016</v>
      </c>
      <c r="E278" s="902" t="s">
        <v>3178</v>
      </c>
      <c r="F278" s="902" t="s">
        <v>2073</v>
      </c>
      <c r="G278" s="903" t="s">
        <v>2073</v>
      </c>
      <c r="H278" s="904">
        <v>431864290</v>
      </c>
      <c r="I278" s="904"/>
      <c r="J278" s="904">
        <v>431864290</v>
      </c>
      <c r="K278" s="904">
        <v>51475710</v>
      </c>
      <c r="L278" s="904">
        <v>483340000</v>
      </c>
      <c r="M278" s="905">
        <v>7</v>
      </c>
      <c r="N278" s="906">
        <v>0.14199999999999999</v>
      </c>
      <c r="O278" s="905">
        <v>12</v>
      </c>
      <c r="P278" s="904">
        <v>68634280</v>
      </c>
      <c r="Q278" s="904"/>
      <c r="R278" s="904">
        <v>68634280</v>
      </c>
      <c r="S278" s="904">
        <v>363230010</v>
      </c>
      <c r="T278" s="928">
        <f>S278-K278</f>
        <v>311754300</v>
      </c>
    </row>
    <row r="279" spans="1:20" hidden="1" x14ac:dyDescent="0.3">
      <c r="B279" s="900" t="s">
        <v>2555</v>
      </c>
      <c r="C279" s="901" t="s">
        <v>2554</v>
      </c>
      <c r="D279" s="902" t="str">
        <f t="shared" si="11"/>
        <v>2016</v>
      </c>
      <c r="E279" s="902" t="s">
        <v>3178</v>
      </c>
      <c r="F279" s="902" t="s">
        <v>2073</v>
      </c>
      <c r="G279" s="903" t="s">
        <v>2073</v>
      </c>
      <c r="H279" s="904">
        <v>431855355</v>
      </c>
      <c r="I279" s="904"/>
      <c r="J279" s="904">
        <v>431855355</v>
      </c>
      <c r="K279" s="904">
        <v>51474645</v>
      </c>
      <c r="L279" s="904">
        <v>483330000</v>
      </c>
      <c r="M279" s="905">
        <v>7</v>
      </c>
      <c r="N279" s="906">
        <v>0.14199999999999999</v>
      </c>
      <c r="O279" s="905">
        <v>12</v>
      </c>
      <c r="P279" s="904">
        <v>68632860</v>
      </c>
      <c r="Q279" s="904"/>
      <c r="R279" s="904">
        <v>68632860</v>
      </c>
      <c r="S279" s="904">
        <v>363222495</v>
      </c>
    </row>
    <row r="280" spans="1:20" hidden="1" x14ac:dyDescent="0.3">
      <c r="B280" s="900" t="s">
        <v>2556</v>
      </c>
      <c r="C280" s="901" t="s">
        <v>2554</v>
      </c>
      <c r="D280" s="902" t="str">
        <f t="shared" si="11"/>
        <v>2016</v>
      </c>
      <c r="E280" s="902" t="s">
        <v>3178</v>
      </c>
      <c r="F280" s="902" t="s">
        <v>2073</v>
      </c>
      <c r="G280" s="903" t="s">
        <v>2073</v>
      </c>
      <c r="H280" s="904">
        <v>431855355</v>
      </c>
      <c r="I280" s="904"/>
      <c r="J280" s="904">
        <v>431855355</v>
      </c>
      <c r="K280" s="904">
        <v>51474645</v>
      </c>
      <c r="L280" s="904">
        <v>483330000</v>
      </c>
      <c r="M280" s="905">
        <v>7</v>
      </c>
      <c r="N280" s="906">
        <v>0.14199999999999999</v>
      </c>
      <c r="O280" s="905">
        <v>12</v>
      </c>
      <c r="P280" s="904">
        <v>68632860</v>
      </c>
      <c r="Q280" s="904"/>
      <c r="R280" s="904">
        <v>68632860</v>
      </c>
      <c r="S280" s="904">
        <v>363222495</v>
      </c>
    </row>
    <row r="281" spans="1:20" hidden="1" x14ac:dyDescent="0.3">
      <c r="B281" s="920" t="s">
        <v>2688</v>
      </c>
      <c r="C281" s="921" t="s">
        <v>2073</v>
      </c>
      <c r="D281" s="922" t="str">
        <f t="shared" si="11"/>
        <v/>
      </c>
      <c r="E281" s="922"/>
      <c r="F281" s="922" t="s">
        <v>2073</v>
      </c>
      <c r="G281" s="923" t="s">
        <v>2073</v>
      </c>
      <c r="H281" s="924">
        <v>1295575000</v>
      </c>
      <c r="I281" s="924"/>
      <c r="J281" s="924">
        <v>1295575000</v>
      </c>
      <c r="K281" s="924">
        <v>154425000</v>
      </c>
      <c r="L281" s="924">
        <v>1450000000</v>
      </c>
      <c r="M281" s="921"/>
      <c r="N281" s="925"/>
      <c r="O281" s="921"/>
      <c r="P281" s="924">
        <v>205900000</v>
      </c>
      <c r="Q281" s="924"/>
      <c r="R281" s="924">
        <v>205900000</v>
      </c>
      <c r="S281" s="924">
        <v>1089675000</v>
      </c>
    </row>
    <row r="282" spans="1:20" hidden="1" x14ac:dyDescent="0.3">
      <c r="B282" s="900" t="s">
        <v>2558</v>
      </c>
      <c r="C282" s="901" t="s">
        <v>2559</v>
      </c>
      <c r="D282" s="902" t="str">
        <f t="shared" si="11"/>
        <v>2006</v>
      </c>
      <c r="E282" s="902" t="s">
        <v>3179</v>
      </c>
      <c r="F282" s="902" t="s">
        <v>2620</v>
      </c>
      <c r="G282" s="903" t="s">
        <v>2621</v>
      </c>
      <c r="H282" s="904">
        <v>1000</v>
      </c>
      <c r="I282" s="904"/>
      <c r="J282" s="904">
        <v>1000</v>
      </c>
      <c r="K282" s="904">
        <v>6179000</v>
      </c>
      <c r="L282" s="904">
        <v>6180000</v>
      </c>
      <c r="M282" s="905">
        <v>5</v>
      </c>
      <c r="N282" s="906">
        <v>0.2</v>
      </c>
      <c r="O282" s="905">
        <v>12</v>
      </c>
      <c r="P282" s="904"/>
      <c r="Q282" s="904"/>
      <c r="R282" s="904"/>
      <c r="S282" s="904">
        <v>1000</v>
      </c>
    </row>
    <row r="283" spans="1:20" hidden="1" x14ac:dyDescent="0.3">
      <c r="B283" s="900" t="s">
        <v>2560</v>
      </c>
      <c r="C283" s="901" t="s">
        <v>2561</v>
      </c>
      <c r="D283" s="902" t="str">
        <f t="shared" si="11"/>
        <v>2007</v>
      </c>
      <c r="E283" s="902" t="s">
        <v>3179</v>
      </c>
      <c r="F283" s="902" t="s">
        <v>2620</v>
      </c>
      <c r="G283" s="903" t="s">
        <v>2621</v>
      </c>
      <c r="H283" s="904">
        <v>1000</v>
      </c>
      <c r="I283" s="904"/>
      <c r="J283" s="904">
        <v>1000</v>
      </c>
      <c r="K283" s="904">
        <v>499000</v>
      </c>
      <c r="L283" s="904">
        <v>500000</v>
      </c>
      <c r="M283" s="905">
        <v>5</v>
      </c>
      <c r="N283" s="906">
        <v>0.2</v>
      </c>
      <c r="O283" s="905">
        <v>12</v>
      </c>
      <c r="P283" s="904"/>
      <c r="Q283" s="904"/>
      <c r="R283" s="904"/>
      <c r="S283" s="904">
        <v>1000</v>
      </c>
    </row>
    <row r="284" spans="1:20" hidden="1" x14ac:dyDescent="0.3">
      <c r="B284" s="900" t="s">
        <v>2562</v>
      </c>
      <c r="C284" s="901" t="s">
        <v>2563</v>
      </c>
      <c r="D284" s="902" t="str">
        <f t="shared" si="11"/>
        <v>2009</v>
      </c>
      <c r="E284" s="902" t="s">
        <v>3179</v>
      </c>
      <c r="F284" s="902" t="s">
        <v>2620</v>
      </c>
      <c r="G284" s="903" t="s">
        <v>2621</v>
      </c>
      <c r="H284" s="904">
        <v>1000</v>
      </c>
      <c r="I284" s="904"/>
      <c r="J284" s="904">
        <v>1000</v>
      </c>
      <c r="K284" s="904">
        <v>3399000</v>
      </c>
      <c r="L284" s="904">
        <v>3400000</v>
      </c>
      <c r="M284" s="905">
        <v>5</v>
      </c>
      <c r="N284" s="906">
        <v>0.2</v>
      </c>
      <c r="O284" s="905">
        <v>12</v>
      </c>
      <c r="P284" s="904"/>
      <c r="Q284" s="904"/>
      <c r="R284" s="904"/>
      <c r="S284" s="904">
        <v>1000</v>
      </c>
    </row>
    <row r="285" spans="1:20" hidden="1" x14ac:dyDescent="0.3">
      <c r="B285" s="900" t="s">
        <v>2564</v>
      </c>
      <c r="C285" s="901" t="s">
        <v>2565</v>
      </c>
      <c r="D285" s="902" t="str">
        <f t="shared" si="11"/>
        <v>2010</v>
      </c>
      <c r="E285" s="902" t="s">
        <v>3179</v>
      </c>
      <c r="F285" s="902" t="s">
        <v>2620</v>
      </c>
      <c r="G285" s="903" t="s">
        <v>2621</v>
      </c>
      <c r="H285" s="904">
        <v>1000</v>
      </c>
      <c r="I285" s="904"/>
      <c r="J285" s="904">
        <v>1000</v>
      </c>
      <c r="K285" s="904">
        <v>8999000</v>
      </c>
      <c r="L285" s="904">
        <v>9000000</v>
      </c>
      <c r="M285" s="905">
        <v>5</v>
      </c>
      <c r="N285" s="906">
        <v>0.2</v>
      </c>
      <c r="O285" s="905">
        <v>12</v>
      </c>
      <c r="P285" s="904"/>
      <c r="Q285" s="904"/>
      <c r="R285" s="904"/>
      <c r="S285" s="904">
        <v>1000</v>
      </c>
    </row>
    <row r="286" spans="1:20" hidden="1" x14ac:dyDescent="0.3">
      <c r="B286" s="900" t="s">
        <v>2566</v>
      </c>
      <c r="C286" s="901" t="s">
        <v>2567</v>
      </c>
      <c r="D286" s="902" t="str">
        <f t="shared" si="11"/>
        <v>2011</v>
      </c>
      <c r="E286" s="902" t="s">
        <v>3179</v>
      </c>
      <c r="F286" s="902" t="s">
        <v>2620</v>
      </c>
      <c r="G286" s="903" t="s">
        <v>2621</v>
      </c>
      <c r="H286" s="904">
        <v>1000</v>
      </c>
      <c r="I286" s="904"/>
      <c r="J286" s="904">
        <v>1000</v>
      </c>
      <c r="K286" s="904">
        <v>11339000</v>
      </c>
      <c r="L286" s="904">
        <v>11340000</v>
      </c>
      <c r="M286" s="905">
        <v>5</v>
      </c>
      <c r="N286" s="906">
        <v>0.2</v>
      </c>
      <c r="O286" s="905">
        <v>12</v>
      </c>
      <c r="P286" s="904"/>
      <c r="Q286" s="904"/>
      <c r="R286" s="904"/>
      <c r="S286" s="904">
        <v>1000</v>
      </c>
    </row>
    <row r="287" spans="1:20" hidden="1" x14ac:dyDescent="0.3">
      <c r="B287" s="900" t="s">
        <v>2568</v>
      </c>
      <c r="C287" s="901" t="s">
        <v>2569</v>
      </c>
      <c r="D287" s="902" t="str">
        <f t="shared" si="11"/>
        <v>2011</v>
      </c>
      <c r="E287" s="902" t="s">
        <v>3179</v>
      </c>
      <c r="F287" s="902" t="s">
        <v>2620</v>
      </c>
      <c r="G287" s="903" t="s">
        <v>2621</v>
      </c>
      <c r="H287" s="904">
        <v>1000</v>
      </c>
      <c r="I287" s="904"/>
      <c r="J287" s="904">
        <v>1000</v>
      </c>
      <c r="K287" s="904">
        <v>10566000</v>
      </c>
      <c r="L287" s="904">
        <v>10567000</v>
      </c>
      <c r="M287" s="905">
        <v>5</v>
      </c>
      <c r="N287" s="906">
        <v>0.2</v>
      </c>
      <c r="O287" s="905">
        <v>12</v>
      </c>
      <c r="P287" s="904"/>
      <c r="Q287" s="904"/>
      <c r="R287" s="904"/>
      <c r="S287" s="904">
        <v>1000</v>
      </c>
    </row>
    <row r="288" spans="1:20" hidden="1" x14ac:dyDescent="0.3">
      <c r="B288" s="900" t="s">
        <v>2560</v>
      </c>
      <c r="C288" s="901" t="s">
        <v>2570</v>
      </c>
      <c r="D288" s="902" t="str">
        <f t="shared" si="11"/>
        <v>2011</v>
      </c>
      <c r="E288" s="902" t="s">
        <v>3179</v>
      </c>
      <c r="F288" s="902" t="s">
        <v>2620</v>
      </c>
      <c r="G288" s="903" t="s">
        <v>2621</v>
      </c>
      <c r="H288" s="904">
        <v>1000</v>
      </c>
      <c r="I288" s="904"/>
      <c r="J288" s="904">
        <v>1000</v>
      </c>
      <c r="K288" s="904">
        <v>1399000</v>
      </c>
      <c r="L288" s="904">
        <v>1400000</v>
      </c>
      <c r="M288" s="905">
        <v>5</v>
      </c>
      <c r="N288" s="906">
        <v>0.2</v>
      </c>
      <c r="O288" s="905">
        <v>12</v>
      </c>
      <c r="P288" s="904"/>
      <c r="Q288" s="904"/>
      <c r="R288" s="904"/>
      <c r="S288" s="904">
        <v>1000</v>
      </c>
    </row>
    <row r="289" spans="2:19" hidden="1" x14ac:dyDescent="0.3">
      <c r="B289" s="900" t="s">
        <v>2571</v>
      </c>
      <c r="C289" s="901" t="s">
        <v>2572</v>
      </c>
      <c r="D289" s="902" t="str">
        <f t="shared" si="11"/>
        <v>2012</v>
      </c>
      <c r="E289" s="902" t="s">
        <v>3179</v>
      </c>
      <c r="F289" s="902" t="s">
        <v>2620</v>
      </c>
      <c r="G289" s="903" t="s">
        <v>2621</v>
      </c>
      <c r="H289" s="904">
        <v>42500</v>
      </c>
      <c r="I289" s="904">
        <v>200000</v>
      </c>
      <c r="J289" s="904">
        <v>242500</v>
      </c>
      <c r="K289" s="904">
        <v>807500</v>
      </c>
      <c r="L289" s="904">
        <v>1050000</v>
      </c>
      <c r="M289" s="905">
        <v>5</v>
      </c>
      <c r="N289" s="906">
        <v>0.2</v>
      </c>
      <c r="O289" s="905">
        <v>12</v>
      </c>
      <c r="P289" s="904">
        <v>210000</v>
      </c>
      <c r="Q289" s="904"/>
      <c r="R289" s="904">
        <v>210000</v>
      </c>
      <c r="S289" s="904">
        <v>32500</v>
      </c>
    </row>
    <row r="290" spans="2:19" hidden="1" x14ac:dyDescent="0.3">
      <c r="B290" s="900" t="s">
        <v>2573</v>
      </c>
      <c r="C290" s="901" t="s">
        <v>2574</v>
      </c>
      <c r="D290" s="902" t="str">
        <f t="shared" si="11"/>
        <v>2013</v>
      </c>
      <c r="E290" s="902" t="s">
        <v>3179</v>
      </c>
      <c r="F290" s="902" t="s">
        <v>2620</v>
      </c>
      <c r="G290" s="903" t="s">
        <v>2621</v>
      </c>
      <c r="H290" s="904">
        <v>297500</v>
      </c>
      <c r="I290" s="904"/>
      <c r="J290" s="904">
        <v>297500</v>
      </c>
      <c r="K290" s="904">
        <v>752500</v>
      </c>
      <c r="L290" s="904">
        <v>1050000</v>
      </c>
      <c r="M290" s="905">
        <v>5</v>
      </c>
      <c r="N290" s="906">
        <v>0.2</v>
      </c>
      <c r="O290" s="905">
        <v>12</v>
      </c>
      <c r="P290" s="904">
        <v>210000</v>
      </c>
      <c r="Q290" s="904"/>
      <c r="R290" s="904">
        <v>210000</v>
      </c>
      <c r="S290" s="904">
        <v>87500</v>
      </c>
    </row>
    <row r="291" spans="2:19" hidden="1" x14ac:dyDescent="0.3">
      <c r="B291" s="900" t="s">
        <v>2575</v>
      </c>
      <c r="C291" s="901" t="s">
        <v>2576</v>
      </c>
      <c r="D291" s="902" t="str">
        <f t="shared" si="11"/>
        <v>2013</v>
      </c>
      <c r="E291" s="902" t="s">
        <v>3179</v>
      </c>
      <c r="F291" s="902" t="s">
        <v>2620</v>
      </c>
      <c r="G291" s="903" t="s">
        <v>2621</v>
      </c>
      <c r="H291" s="904">
        <v>360000</v>
      </c>
      <c r="I291" s="904"/>
      <c r="J291" s="904">
        <v>360000</v>
      </c>
      <c r="K291" s="904">
        <v>840000</v>
      </c>
      <c r="L291" s="904">
        <v>1200000</v>
      </c>
      <c r="M291" s="905">
        <v>5</v>
      </c>
      <c r="N291" s="906">
        <v>0.2</v>
      </c>
      <c r="O291" s="905">
        <v>12</v>
      </c>
      <c r="P291" s="904">
        <v>240000</v>
      </c>
      <c r="Q291" s="904"/>
      <c r="R291" s="904">
        <v>240000</v>
      </c>
      <c r="S291" s="904">
        <v>120000</v>
      </c>
    </row>
    <row r="292" spans="2:19" hidden="1" x14ac:dyDescent="0.3">
      <c r="B292" s="900" t="s">
        <v>2577</v>
      </c>
      <c r="C292" s="901" t="s">
        <v>2578</v>
      </c>
      <c r="D292" s="902" t="str">
        <f t="shared" si="11"/>
        <v>2014</v>
      </c>
      <c r="E292" s="902" t="s">
        <v>3179</v>
      </c>
      <c r="F292" s="902" t="s">
        <v>2620</v>
      </c>
      <c r="G292" s="903" t="s">
        <v>2621</v>
      </c>
      <c r="H292" s="904">
        <v>7995000</v>
      </c>
      <c r="I292" s="904"/>
      <c r="J292" s="904">
        <v>7995000</v>
      </c>
      <c r="K292" s="904">
        <v>10455000</v>
      </c>
      <c r="L292" s="904">
        <v>18450000</v>
      </c>
      <c r="M292" s="905">
        <v>5</v>
      </c>
      <c r="N292" s="906">
        <v>0.2</v>
      </c>
      <c r="O292" s="905">
        <v>12</v>
      </c>
      <c r="P292" s="904">
        <v>3690000</v>
      </c>
      <c r="Q292" s="904"/>
      <c r="R292" s="904">
        <v>3690000</v>
      </c>
      <c r="S292" s="904">
        <v>4305000</v>
      </c>
    </row>
    <row r="293" spans="2:19" hidden="1" x14ac:dyDescent="0.3">
      <c r="B293" s="900" t="s">
        <v>2579</v>
      </c>
      <c r="C293" s="901" t="s">
        <v>2580</v>
      </c>
      <c r="D293" s="902" t="str">
        <f t="shared" si="11"/>
        <v>2014</v>
      </c>
      <c r="E293" s="902" t="s">
        <v>3179</v>
      </c>
      <c r="F293" s="902" t="s">
        <v>2620</v>
      </c>
      <c r="G293" s="903" t="s">
        <v>2621</v>
      </c>
      <c r="H293" s="904">
        <v>2986667</v>
      </c>
      <c r="I293" s="904"/>
      <c r="J293" s="904">
        <v>2986667</v>
      </c>
      <c r="K293" s="904">
        <v>2613333</v>
      </c>
      <c r="L293" s="904">
        <v>5600000</v>
      </c>
      <c r="M293" s="905">
        <v>5</v>
      </c>
      <c r="N293" s="906">
        <v>0.2</v>
      </c>
      <c r="O293" s="905">
        <v>12</v>
      </c>
      <c r="P293" s="904">
        <v>1120000</v>
      </c>
      <c r="Q293" s="904"/>
      <c r="R293" s="904">
        <v>1120000</v>
      </c>
      <c r="S293" s="904">
        <v>1866667</v>
      </c>
    </row>
    <row r="294" spans="2:19" hidden="1" x14ac:dyDescent="0.3">
      <c r="B294" s="900" t="s">
        <v>2581</v>
      </c>
      <c r="C294" s="901" t="s">
        <v>2582</v>
      </c>
      <c r="D294" s="902" t="str">
        <f t="shared" si="11"/>
        <v>2015</v>
      </c>
      <c r="E294" s="902" t="s">
        <v>3179</v>
      </c>
      <c r="F294" s="902" t="s">
        <v>2620</v>
      </c>
      <c r="G294" s="903" t="s">
        <v>2621</v>
      </c>
      <c r="H294" s="904">
        <v>10133334</v>
      </c>
      <c r="I294" s="904"/>
      <c r="J294" s="904">
        <v>10133334</v>
      </c>
      <c r="K294" s="904">
        <v>5866666</v>
      </c>
      <c r="L294" s="904">
        <v>16000000</v>
      </c>
      <c r="M294" s="905">
        <v>5</v>
      </c>
      <c r="N294" s="906">
        <v>0.2</v>
      </c>
      <c r="O294" s="905">
        <v>12</v>
      </c>
      <c r="P294" s="904">
        <v>3200000</v>
      </c>
      <c r="Q294" s="904"/>
      <c r="R294" s="904">
        <v>3200000</v>
      </c>
      <c r="S294" s="904">
        <v>6933334</v>
      </c>
    </row>
    <row r="295" spans="2:19" hidden="1" x14ac:dyDescent="0.3">
      <c r="B295" s="900" t="s">
        <v>2583</v>
      </c>
      <c r="C295" s="901" t="s">
        <v>2584</v>
      </c>
      <c r="D295" s="902" t="str">
        <f t="shared" si="11"/>
        <v>2015</v>
      </c>
      <c r="E295" s="902" t="s">
        <v>3179</v>
      </c>
      <c r="F295" s="902" t="s">
        <v>2620</v>
      </c>
      <c r="G295" s="903" t="s">
        <v>2621</v>
      </c>
      <c r="H295" s="904">
        <v>71500000</v>
      </c>
      <c r="I295" s="904"/>
      <c r="J295" s="904">
        <v>71500000</v>
      </c>
      <c r="K295" s="904">
        <v>38500000</v>
      </c>
      <c r="L295" s="904">
        <v>110000000</v>
      </c>
      <c r="M295" s="905">
        <v>5</v>
      </c>
      <c r="N295" s="906">
        <v>0.2</v>
      </c>
      <c r="O295" s="905">
        <v>12</v>
      </c>
      <c r="P295" s="904">
        <v>22000000</v>
      </c>
      <c r="Q295" s="904"/>
      <c r="R295" s="904">
        <v>22000000</v>
      </c>
      <c r="S295" s="904">
        <v>49500000</v>
      </c>
    </row>
    <row r="296" spans="2:19" hidden="1" x14ac:dyDescent="0.3">
      <c r="B296" s="900" t="s">
        <v>2585</v>
      </c>
      <c r="C296" s="901" t="s">
        <v>2355</v>
      </c>
      <c r="D296" s="902" t="str">
        <f t="shared" si="11"/>
        <v>2015</v>
      </c>
      <c r="E296" s="902" t="s">
        <v>3179</v>
      </c>
      <c r="F296" s="902" t="s">
        <v>2620</v>
      </c>
      <c r="G296" s="903" t="s">
        <v>2621</v>
      </c>
      <c r="H296" s="904">
        <v>2683334</v>
      </c>
      <c r="I296" s="904"/>
      <c r="J296" s="904">
        <v>2683334</v>
      </c>
      <c r="K296" s="904">
        <v>816666</v>
      </c>
      <c r="L296" s="904">
        <v>3500000</v>
      </c>
      <c r="M296" s="905">
        <v>5</v>
      </c>
      <c r="N296" s="906">
        <v>0.2</v>
      </c>
      <c r="O296" s="905">
        <v>12</v>
      </c>
      <c r="P296" s="904">
        <v>700000</v>
      </c>
      <c r="Q296" s="904"/>
      <c r="R296" s="904">
        <v>700000</v>
      </c>
      <c r="S296" s="904">
        <v>1983334</v>
      </c>
    </row>
    <row r="297" spans="2:19" hidden="1" x14ac:dyDescent="0.3">
      <c r="B297" s="900" t="s">
        <v>2586</v>
      </c>
      <c r="C297" s="901" t="s">
        <v>2587</v>
      </c>
      <c r="D297" s="902" t="str">
        <f t="shared" si="11"/>
        <v>2016</v>
      </c>
      <c r="E297" s="902" t="s">
        <v>3179</v>
      </c>
      <c r="F297" s="902" t="s">
        <v>2620</v>
      </c>
      <c r="G297" s="903" t="s">
        <v>2621</v>
      </c>
      <c r="H297" s="904">
        <v>10000000</v>
      </c>
      <c r="I297" s="904"/>
      <c r="J297" s="904">
        <v>10000000</v>
      </c>
      <c r="K297" s="904">
        <v>2000000</v>
      </c>
      <c r="L297" s="904">
        <v>12000000</v>
      </c>
      <c r="M297" s="905">
        <v>5</v>
      </c>
      <c r="N297" s="906">
        <v>0.2</v>
      </c>
      <c r="O297" s="905">
        <v>12</v>
      </c>
      <c r="P297" s="904">
        <v>2400000</v>
      </c>
      <c r="Q297" s="904"/>
      <c r="R297" s="904">
        <v>2400000</v>
      </c>
      <c r="S297" s="904">
        <v>7600000</v>
      </c>
    </row>
    <row r="298" spans="2:19" hidden="1" x14ac:dyDescent="0.3">
      <c r="B298" s="900" t="s">
        <v>2588</v>
      </c>
      <c r="C298" s="901" t="s">
        <v>2361</v>
      </c>
      <c r="D298" s="902" t="str">
        <f t="shared" si="11"/>
        <v>2016</v>
      </c>
      <c r="E298" s="902" t="s">
        <v>3179</v>
      </c>
      <c r="F298" s="902" t="s">
        <v>2620</v>
      </c>
      <c r="G298" s="903" t="s">
        <v>2621</v>
      </c>
      <c r="H298" s="904">
        <v>861250</v>
      </c>
      <c r="I298" s="904"/>
      <c r="J298" s="904">
        <v>861250</v>
      </c>
      <c r="K298" s="904">
        <v>113750</v>
      </c>
      <c r="L298" s="904">
        <v>975000</v>
      </c>
      <c r="M298" s="905">
        <v>5</v>
      </c>
      <c r="N298" s="906">
        <v>0.2</v>
      </c>
      <c r="O298" s="905">
        <v>12</v>
      </c>
      <c r="P298" s="904">
        <v>195000</v>
      </c>
      <c r="Q298" s="904"/>
      <c r="R298" s="904">
        <v>195000</v>
      </c>
      <c r="S298" s="904">
        <v>666250</v>
      </c>
    </row>
    <row r="299" spans="2:19" hidden="1" x14ac:dyDescent="0.3">
      <c r="B299" s="900" t="s">
        <v>2589</v>
      </c>
      <c r="C299" s="901" t="s">
        <v>2361</v>
      </c>
      <c r="D299" s="902" t="str">
        <f t="shared" si="11"/>
        <v>2016</v>
      </c>
      <c r="E299" s="902" t="s">
        <v>3179</v>
      </c>
      <c r="F299" s="902" t="s">
        <v>2620</v>
      </c>
      <c r="G299" s="903" t="s">
        <v>2621</v>
      </c>
      <c r="H299" s="904">
        <v>1501667</v>
      </c>
      <c r="I299" s="904"/>
      <c r="J299" s="904">
        <v>1501667</v>
      </c>
      <c r="K299" s="904">
        <v>198333</v>
      </c>
      <c r="L299" s="904">
        <v>1700000</v>
      </c>
      <c r="M299" s="905">
        <v>5</v>
      </c>
      <c r="N299" s="906">
        <v>0.2</v>
      </c>
      <c r="O299" s="905">
        <v>12</v>
      </c>
      <c r="P299" s="904">
        <v>340000</v>
      </c>
      <c r="Q299" s="904"/>
      <c r="R299" s="904">
        <v>340000</v>
      </c>
      <c r="S299" s="904">
        <v>1161667</v>
      </c>
    </row>
    <row r="300" spans="2:19" hidden="1" x14ac:dyDescent="0.3">
      <c r="B300" s="900" t="s">
        <v>2590</v>
      </c>
      <c r="C300" s="901" t="s">
        <v>2591</v>
      </c>
      <c r="D300" s="902" t="str">
        <f t="shared" si="11"/>
        <v>2016</v>
      </c>
      <c r="E300" s="902" t="s">
        <v>3179</v>
      </c>
      <c r="F300" s="902" t="s">
        <v>2620</v>
      </c>
      <c r="G300" s="903" t="s">
        <v>2621</v>
      </c>
      <c r="H300" s="904">
        <v>46075000</v>
      </c>
      <c r="I300" s="904"/>
      <c r="J300" s="904">
        <v>46075000</v>
      </c>
      <c r="K300" s="904">
        <v>2425000</v>
      </c>
      <c r="L300" s="904">
        <v>48500000</v>
      </c>
      <c r="M300" s="905">
        <v>5</v>
      </c>
      <c r="N300" s="906">
        <v>0.2</v>
      </c>
      <c r="O300" s="905">
        <v>12</v>
      </c>
      <c r="P300" s="904">
        <v>9700000</v>
      </c>
      <c r="Q300" s="904"/>
      <c r="R300" s="904">
        <v>9700000</v>
      </c>
      <c r="S300" s="904">
        <v>36375000</v>
      </c>
    </row>
    <row r="301" spans="2:19" hidden="1" x14ac:dyDescent="0.3">
      <c r="B301" s="900" t="s">
        <v>2592</v>
      </c>
      <c r="C301" s="901" t="s">
        <v>2593</v>
      </c>
      <c r="D301" s="902" t="str">
        <f t="shared" si="11"/>
        <v>2016</v>
      </c>
      <c r="E301" s="902" t="s">
        <v>3179</v>
      </c>
      <c r="F301" s="902" t="s">
        <v>2620</v>
      </c>
      <c r="G301" s="903" t="s">
        <v>2621</v>
      </c>
      <c r="H301" s="904">
        <v>734667</v>
      </c>
      <c r="I301" s="904"/>
      <c r="J301" s="904">
        <v>734667</v>
      </c>
      <c r="K301" s="904">
        <v>25333</v>
      </c>
      <c r="L301" s="904">
        <v>760000</v>
      </c>
      <c r="M301" s="905">
        <v>5</v>
      </c>
      <c r="N301" s="906">
        <v>0.2</v>
      </c>
      <c r="O301" s="905">
        <v>12</v>
      </c>
      <c r="P301" s="904">
        <v>152000</v>
      </c>
      <c r="Q301" s="904"/>
      <c r="R301" s="904">
        <v>152000</v>
      </c>
      <c r="S301" s="904">
        <v>582667</v>
      </c>
    </row>
    <row r="302" spans="2:19" hidden="1" x14ac:dyDescent="0.3">
      <c r="B302" s="900" t="s">
        <v>2594</v>
      </c>
      <c r="C302" s="901" t="s">
        <v>2595</v>
      </c>
      <c r="D302" s="902" t="str">
        <f t="shared" si="11"/>
        <v>2016</v>
      </c>
      <c r="E302" s="902" t="s">
        <v>3179</v>
      </c>
      <c r="F302" s="902" t="s">
        <v>2620</v>
      </c>
      <c r="G302" s="903" t="s">
        <v>2621</v>
      </c>
      <c r="H302" s="904">
        <v>2330319</v>
      </c>
      <c r="I302" s="904"/>
      <c r="J302" s="904">
        <v>2330319</v>
      </c>
      <c r="K302" s="904">
        <v>122648</v>
      </c>
      <c r="L302" s="904">
        <v>2452967</v>
      </c>
      <c r="M302" s="905">
        <v>5</v>
      </c>
      <c r="N302" s="906">
        <v>0.2</v>
      </c>
      <c r="O302" s="905">
        <v>12</v>
      </c>
      <c r="P302" s="904">
        <v>490593</v>
      </c>
      <c r="Q302" s="904"/>
      <c r="R302" s="904">
        <v>490593</v>
      </c>
      <c r="S302" s="904">
        <v>1839726</v>
      </c>
    </row>
    <row r="303" spans="2:19" x14ac:dyDescent="0.3">
      <c r="B303" s="900" t="s">
        <v>2596</v>
      </c>
      <c r="C303" s="901" t="s">
        <v>2597</v>
      </c>
      <c r="D303" s="902" t="str">
        <f t="shared" si="11"/>
        <v>2017</v>
      </c>
      <c r="E303" s="902" t="s">
        <v>3179</v>
      </c>
      <c r="F303" s="902" t="s">
        <v>2620</v>
      </c>
      <c r="G303" s="903" t="s">
        <v>2621</v>
      </c>
      <c r="H303" s="904">
        <v>480000</v>
      </c>
      <c r="I303" s="904"/>
      <c r="J303" s="904">
        <v>480000</v>
      </c>
      <c r="K303" s="904"/>
      <c r="L303" s="904">
        <v>480000</v>
      </c>
      <c r="M303" s="905">
        <v>5</v>
      </c>
      <c r="N303" s="906">
        <v>0.2</v>
      </c>
      <c r="O303" s="905">
        <v>10</v>
      </c>
      <c r="P303" s="904">
        <v>80000</v>
      </c>
      <c r="Q303" s="904"/>
      <c r="R303" s="904">
        <v>80000</v>
      </c>
      <c r="S303" s="904">
        <v>400000</v>
      </c>
    </row>
    <row r="304" spans="2:19" x14ac:dyDescent="0.3">
      <c r="B304" s="900" t="s">
        <v>2598</v>
      </c>
      <c r="C304" s="901" t="s">
        <v>2599</v>
      </c>
      <c r="D304" s="902" t="str">
        <f t="shared" si="11"/>
        <v>2017</v>
      </c>
      <c r="E304" s="902" t="s">
        <v>3179</v>
      </c>
      <c r="F304" s="902" t="s">
        <v>2620</v>
      </c>
      <c r="G304" s="903" t="s">
        <v>2621</v>
      </c>
      <c r="H304" s="904">
        <v>12500000</v>
      </c>
      <c r="I304" s="904"/>
      <c r="J304" s="904">
        <v>12500000</v>
      </c>
      <c r="K304" s="904"/>
      <c r="L304" s="904">
        <v>12500000</v>
      </c>
      <c r="M304" s="905">
        <v>5</v>
      </c>
      <c r="N304" s="906">
        <v>0.2</v>
      </c>
      <c r="O304" s="905">
        <v>6</v>
      </c>
      <c r="P304" s="904">
        <v>1250000</v>
      </c>
      <c r="Q304" s="904"/>
      <c r="R304" s="904">
        <v>1250000</v>
      </c>
      <c r="S304" s="904">
        <v>11250000</v>
      </c>
    </row>
    <row r="305" spans="2:19" hidden="1" x14ac:dyDescent="0.3">
      <c r="B305" s="920" t="s">
        <v>2689</v>
      </c>
      <c r="C305" s="921">
        <v>1</v>
      </c>
      <c r="D305" s="922">
        <v>1</v>
      </c>
      <c r="E305" s="922"/>
      <c r="F305" s="922" t="s">
        <v>2073</v>
      </c>
      <c r="G305" s="923" t="s">
        <v>2073</v>
      </c>
      <c r="H305" s="924">
        <v>170488238</v>
      </c>
      <c r="I305" s="924">
        <v>200000</v>
      </c>
      <c r="J305" s="924">
        <v>170688238</v>
      </c>
      <c r="K305" s="924">
        <v>107916729</v>
      </c>
      <c r="L305" s="924">
        <v>278604967</v>
      </c>
      <c r="M305" s="921"/>
      <c r="N305" s="925"/>
      <c r="O305" s="921"/>
      <c r="P305" s="924">
        <v>45977593</v>
      </c>
      <c r="Q305" s="924"/>
      <c r="R305" s="924">
        <v>45977593</v>
      </c>
      <c r="S305" s="924">
        <v>124710645</v>
      </c>
    </row>
    <row r="306" spans="2:19" hidden="1" x14ac:dyDescent="0.3">
      <c r="B306" s="926" t="s">
        <v>1991</v>
      </c>
      <c r="C306" s="926" t="s">
        <v>2073</v>
      </c>
      <c r="D306" s="965"/>
      <c r="E306" s="965"/>
      <c r="F306" s="1938" t="s">
        <v>2073</v>
      </c>
      <c r="G306" s="1938"/>
      <c r="H306" s="924">
        <v>1466063238</v>
      </c>
      <c r="I306" s="924">
        <v>200000</v>
      </c>
      <c r="J306" s="924">
        <v>1466263238</v>
      </c>
      <c r="K306" s="924">
        <v>262341729</v>
      </c>
      <c r="L306" s="924">
        <v>1728604967</v>
      </c>
      <c r="M306" s="926" t="s">
        <v>2073</v>
      </c>
      <c r="N306" s="927" t="s">
        <v>2073</v>
      </c>
      <c r="O306" s="926" t="s">
        <v>2073</v>
      </c>
      <c r="P306" s="924">
        <v>251877593</v>
      </c>
      <c r="Q306" s="924"/>
      <c r="R306" s="924">
        <v>251877593</v>
      </c>
      <c r="S306" s="924">
        <v>1214385645</v>
      </c>
    </row>
    <row r="307" spans="2:19" x14ac:dyDescent="0.3">
      <c r="H307" s="1301"/>
    </row>
    <row r="308" spans="2:19" x14ac:dyDescent="0.3">
      <c r="C308" s="1300" t="s">
        <v>3175</v>
      </c>
      <c r="H308" s="1301">
        <f>SUBTOTAL(9,H176:H187)</f>
        <v>256706000</v>
      </c>
      <c r="P308" s="928">
        <f>P306+P277</f>
        <v>1159673888</v>
      </c>
    </row>
    <row r="309" spans="2:19" x14ac:dyDescent="0.3">
      <c r="C309" s="1300" t="s">
        <v>3174</v>
      </c>
      <c r="H309" s="1301">
        <f>SUBTOTAL(9,H229:H232)</f>
        <v>104430807</v>
      </c>
    </row>
    <row r="310" spans="2:19" x14ac:dyDescent="0.3">
      <c r="C310" s="1300" t="s">
        <v>3180</v>
      </c>
      <c r="H310" s="1301">
        <f>SUBTOTAL(9,H249)</f>
        <v>3090000</v>
      </c>
    </row>
    <row r="311" spans="2:19" x14ac:dyDescent="0.3">
      <c r="C311" s="1300" t="s">
        <v>3171</v>
      </c>
      <c r="H311" s="1301">
        <f>SUBTOTAL(9,H274:H275)</f>
        <v>5050909</v>
      </c>
    </row>
    <row r="312" spans="2:19" x14ac:dyDescent="0.3">
      <c r="C312" s="1300" t="s">
        <v>3179</v>
      </c>
      <c r="H312" s="1301">
        <f>SUBTOTAL(9,H303:H304)</f>
        <v>12980000</v>
      </c>
    </row>
  </sheetData>
  <autoFilter ref="A4:T306">
    <filterColumn colId="3">
      <filters>
        <filter val="2017"/>
      </filters>
    </filterColumn>
    <filterColumn colId="5" showButton="0"/>
  </autoFilter>
  <mergeCells count="2">
    <mergeCell ref="F4:G4"/>
    <mergeCell ref="F306:G306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5"/>
  <sheetViews>
    <sheetView topLeftCell="A5" workbookViewId="0">
      <selection activeCell="E14" sqref="E14:E17"/>
    </sheetView>
  </sheetViews>
  <sheetFormatPr defaultColWidth="9" defaultRowHeight="13.5" x14ac:dyDescent="0.3"/>
  <cols>
    <col min="1" max="1" width="3.625" style="856" customWidth="1"/>
    <col min="2" max="3" width="9" style="856"/>
    <col min="4" max="4" width="11.25" style="856" bestFit="1" customWidth="1"/>
    <col min="5" max="5" width="12.625" style="856" bestFit="1" customWidth="1"/>
    <col min="6" max="7" width="11.5" style="856" bestFit="1" customWidth="1"/>
    <col min="8" max="8" width="12.625" style="856" bestFit="1" customWidth="1"/>
    <col min="9" max="9" width="12.625" style="856" customWidth="1"/>
    <col min="10" max="16384" width="9" style="856"/>
  </cols>
  <sheetData>
    <row r="2" spans="2:10" x14ac:dyDescent="0.3">
      <c r="B2" s="1021" t="s">
        <v>2986</v>
      </c>
    </row>
    <row r="4" spans="2:10" x14ac:dyDescent="0.3">
      <c r="B4" s="1945" t="s">
        <v>2987</v>
      </c>
      <c r="C4" s="1945"/>
      <c r="D4" s="1022" t="s">
        <v>2988</v>
      </c>
      <c r="E4" s="1022" t="s">
        <v>2989</v>
      </c>
      <c r="F4" s="1022" t="s">
        <v>2990</v>
      </c>
      <c r="G4" s="1022" t="s">
        <v>2991</v>
      </c>
      <c r="H4" s="1022" t="s">
        <v>2992</v>
      </c>
      <c r="I4" s="1022" t="s">
        <v>2993</v>
      </c>
    </row>
    <row r="5" spans="2:10" x14ac:dyDescent="0.25">
      <c r="B5" s="1943" t="s">
        <v>2994</v>
      </c>
      <c r="C5" s="1023" t="s">
        <v>2995</v>
      </c>
      <c r="D5" s="1024">
        <v>1</v>
      </c>
      <c r="E5" s="1024">
        <v>1</v>
      </c>
      <c r="F5" s="1024">
        <v>1</v>
      </c>
      <c r="G5" s="1024">
        <v>1</v>
      </c>
      <c r="H5" s="1024">
        <v>1</v>
      </c>
      <c r="I5" s="1024">
        <v>1</v>
      </c>
    </row>
    <row r="6" spans="2:10" x14ac:dyDescent="0.25">
      <c r="B6" s="1944"/>
      <c r="C6" s="1023" t="s">
        <v>2996</v>
      </c>
      <c r="D6" s="1024">
        <v>540</v>
      </c>
      <c r="E6" s="1024">
        <v>480</v>
      </c>
      <c r="F6" s="1024">
        <f>1500+F17</f>
        <v>3500</v>
      </c>
      <c r="G6" s="1024">
        <v>900</v>
      </c>
      <c r="H6" s="1024">
        <v>1100</v>
      </c>
      <c r="I6" s="1024">
        <v>420</v>
      </c>
    </row>
    <row r="7" spans="2:10" x14ac:dyDescent="0.25">
      <c r="B7" s="1943" t="s">
        <v>2997</v>
      </c>
      <c r="C7" s="1023" t="s">
        <v>2995</v>
      </c>
      <c r="D7" s="1024">
        <v>1</v>
      </c>
      <c r="E7" s="1024">
        <v>1</v>
      </c>
      <c r="F7" s="1024">
        <v>1</v>
      </c>
      <c r="G7" s="1024">
        <v>1</v>
      </c>
      <c r="H7" s="1024">
        <v>1</v>
      </c>
      <c r="I7" s="1024">
        <v>1</v>
      </c>
      <c r="J7" s="856" t="s">
        <v>3013</v>
      </c>
    </row>
    <row r="8" spans="2:10" x14ac:dyDescent="0.25">
      <c r="B8" s="1944"/>
      <c r="C8" s="1023" t="s">
        <v>2996</v>
      </c>
      <c r="D8" s="1024">
        <v>650</v>
      </c>
      <c r="E8" s="1024">
        <v>420</v>
      </c>
      <c r="F8" s="1024">
        <f>840+F18</f>
        <v>6840</v>
      </c>
      <c r="G8" s="1024">
        <v>390</v>
      </c>
      <c r="H8" s="1024">
        <v>700</v>
      </c>
      <c r="I8" s="1024">
        <v>360</v>
      </c>
    </row>
    <row r="9" spans="2:10" x14ac:dyDescent="0.25">
      <c r="B9" s="1939" t="s">
        <v>2998</v>
      </c>
      <c r="C9" s="1940"/>
      <c r="D9" s="1025"/>
      <c r="E9" s="1025"/>
      <c r="F9" s="1025"/>
      <c r="G9" s="1025"/>
      <c r="H9" s="1025"/>
      <c r="I9" s="1025"/>
    </row>
    <row r="10" spans="2:10" x14ac:dyDescent="0.25">
      <c r="B10" s="1943" t="s">
        <v>2999</v>
      </c>
      <c r="C10" s="1023" t="s">
        <v>3000</v>
      </c>
      <c r="D10" s="1025">
        <v>4</v>
      </c>
      <c r="E10" s="1025">
        <v>3</v>
      </c>
      <c r="F10" s="1025">
        <v>6</v>
      </c>
      <c r="G10" s="1025">
        <v>8</v>
      </c>
      <c r="H10" s="1025">
        <v>4</v>
      </c>
      <c r="I10" s="1025">
        <v>4</v>
      </c>
    </row>
    <row r="11" spans="2:10" x14ac:dyDescent="0.25">
      <c r="B11" s="1944"/>
      <c r="C11" s="1023" t="s">
        <v>2996</v>
      </c>
      <c r="D11" s="1025">
        <f>800+D19</f>
        <v>1200</v>
      </c>
      <c r="E11" s="1025">
        <f>600+E19</f>
        <v>1000</v>
      </c>
      <c r="F11" s="1025">
        <f>1800+F19</f>
        <v>3800</v>
      </c>
      <c r="G11" s="1025">
        <f>2900+G19</f>
        <v>3300</v>
      </c>
      <c r="H11" s="1025">
        <f>800+H19</f>
        <v>1200</v>
      </c>
      <c r="I11" s="1025">
        <f>1200+I19</f>
        <v>1600</v>
      </c>
      <c r="J11" s="856" t="s">
        <v>3014</v>
      </c>
    </row>
    <row r="12" spans="2:10" x14ac:dyDescent="0.25">
      <c r="B12" s="1939" t="s">
        <v>3001</v>
      </c>
      <c r="C12" s="1940"/>
      <c r="D12" s="1025"/>
      <c r="E12" s="1025"/>
      <c r="F12" s="1025"/>
      <c r="G12" s="1025"/>
      <c r="H12" s="1025"/>
      <c r="I12" s="1025"/>
    </row>
    <row r="13" spans="2:10" x14ac:dyDescent="0.25">
      <c r="B13" s="1939" t="s">
        <v>3002</v>
      </c>
      <c r="C13" s="1940"/>
      <c r="D13" s="1025"/>
      <c r="E13" s="1025"/>
      <c r="F13" s="1025"/>
      <c r="G13" s="1025"/>
      <c r="H13" s="1025"/>
      <c r="I13" s="1025"/>
    </row>
    <row r="14" spans="2:10" x14ac:dyDescent="0.2">
      <c r="B14" s="1941" t="s">
        <v>3003</v>
      </c>
      <c r="C14" s="1942"/>
      <c r="D14" s="1026"/>
      <c r="E14" s="1026"/>
      <c r="F14" s="1026"/>
      <c r="G14" s="1026"/>
      <c r="H14" s="1026"/>
      <c r="I14" s="1026"/>
    </row>
    <row r="15" spans="2:10" x14ac:dyDescent="0.25">
      <c r="B15" s="1941" t="s">
        <v>3004</v>
      </c>
      <c r="C15" s="1942"/>
      <c r="D15" s="1302">
        <f>SUM(D6,D8,D11,D12,D13,D14)</f>
        <v>2390</v>
      </c>
      <c r="E15" s="1302">
        <f t="shared" ref="E15:I15" si="0">SUM(E6,E8,E11,E12,E13,E14)</f>
        <v>1900</v>
      </c>
      <c r="F15" s="1302">
        <f t="shared" si="0"/>
        <v>14140</v>
      </c>
      <c r="G15" s="1302">
        <f t="shared" si="0"/>
        <v>4590</v>
      </c>
      <c r="H15" s="1302">
        <f t="shared" si="0"/>
        <v>3000</v>
      </c>
      <c r="I15" s="1302">
        <f t="shared" si="0"/>
        <v>2380</v>
      </c>
    </row>
    <row r="16" spans="2:10" x14ac:dyDescent="0.3">
      <c r="D16" s="1027" t="s">
        <v>3005</v>
      </c>
      <c r="E16" s="1027" t="s">
        <v>3006</v>
      </c>
      <c r="F16" s="1027" t="s">
        <v>3007</v>
      </c>
      <c r="G16" s="1027" t="s">
        <v>3008</v>
      </c>
      <c r="H16" s="1027" t="s">
        <v>3009</v>
      </c>
      <c r="I16" s="1027" t="s">
        <v>3010</v>
      </c>
    </row>
    <row r="17" spans="2:10" x14ac:dyDescent="0.3">
      <c r="B17" s="856" t="s">
        <v>7521</v>
      </c>
      <c r="D17" s="1027"/>
      <c r="E17" s="1027"/>
      <c r="F17" s="1029">
        <v>2000</v>
      </c>
      <c r="G17" s="1027"/>
      <c r="H17" s="1027"/>
      <c r="I17" s="1027"/>
    </row>
    <row r="18" spans="2:10" x14ac:dyDescent="0.3">
      <c r="B18" s="856" t="s">
        <v>7522</v>
      </c>
      <c r="D18" s="1027"/>
      <c r="E18" s="1027"/>
      <c r="F18" s="1029">
        <v>6000</v>
      </c>
      <c r="G18" s="1027"/>
      <c r="H18" s="1027"/>
      <c r="I18" s="1027"/>
    </row>
    <row r="19" spans="2:10" x14ac:dyDescent="0.3">
      <c r="B19" s="856" t="s">
        <v>7523</v>
      </c>
      <c r="D19" s="1027">
        <v>400</v>
      </c>
      <c r="E19" s="1027">
        <v>400</v>
      </c>
      <c r="F19" s="1029">
        <v>2000</v>
      </c>
      <c r="G19" s="1027">
        <v>400</v>
      </c>
      <c r="H19" s="1027">
        <v>400</v>
      </c>
      <c r="I19" s="1027">
        <v>400</v>
      </c>
    </row>
    <row r="20" spans="2:10" x14ac:dyDescent="0.3">
      <c r="D20" s="1027"/>
      <c r="E20" s="1027"/>
      <c r="F20" s="1027"/>
      <c r="G20" s="1027"/>
      <c r="H20" s="1027"/>
      <c r="I20" s="1027"/>
    </row>
    <row r="21" spans="2:10" x14ac:dyDescent="0.3">
      <c r="B21" s="1943" t="s">
        <v>3018</v>
      </c>
      <c r="C21" s="856" t="s">
        <v>3012</v>
      </c>
      <c r="D21" s="1029">
        <v>321</v>
      </c>
      <c r="E21" s="1029">
        <v>321</v>
      </c>
      <c r="F21" s="1029">
        <v>321</v>
      </c>
      <c r="G21" s="1029">
        <v>321</v>
      </c>
      <c r="H21" s="1029">
        <v>321</v>
      </c>
      <c r="I21" s="1029">
        <v>321</v>
      </c>
    </row>
    <row r="22" spans="2:10" x14ac:dyDescent="0.3">
      <c r="B22" s="1944"/>
      <c r="D22" s="1027"/>
      <c r="E22" s="1027"/>
      <c r="F22" s="1027"/>
      <c r="G22" s="1027"/>
      <c r="H22" s="1027"/>
      <c r="I22" s="1027"/>
    </row>
    <row r="23" spans="2:10" x14ac:dyDescent="0.3">
      <c r="B23" s="1030"/>
      <c r="D23" s="1029">
        <f>D21/2/5</f>
        <v>32.1</v>
      </c>
      <c r="E23" s="1029">
        <f>D21/5</f>
        <v>64.2</v>
      </c>
      <c r="F23" s="1029">
        <f t="shared" ref="F23:I23" si="1">E21/5</f>
        <v>64.2</v>
      </c>
      <c r="G23" s="1029">
        <f t="shared" si="1"/>
        <v>64.2</v>
      </c>
      <c r="H23" s="1029">
        <f t="shared" si="1"/>
        <v>64.2</v>
      </c>
      <c r="I23" s="1029">
        <f t="shared" si="1"/>
        <v>64.2</v>
      </c>
    </row>
    <row r="24" spans="2:10" x14ac:dyDescent="0.3">
      <c r="B24" s="1030"/>
      <c r="D24" s="1029"/>
      <c r="E24" s="1029">
        <f>E21/2/5</f>
        <v>32.1</v>
      </c>
      <c r="F24" s="1029">
        <f>E21/5</f>
        <v>64.2</v>
      </c>
      <c r="G24" s="1029">
        <f t="shared" ref="G24:I24" si="2">F21/5</f>
        <v>64.2</v>
      </c>
      <c r="H24" s="1029">
        <f t="shared" si="2"/>
        <v>64.2</v>
      </c>
      <c r="I24" s="1029">
        <f t="shared" si="2"/>
        <v>64.2</v>
      </c>
    </row>
    <row r="25" spans="2:10" x14ac:dyDescent="0.3">
      <c r="B25" s="1030"/>
      <c r="D25" s="1029"/>
      <c r="E25" s="1029"/>
      <c r="F25" s="1029">
        <f>F21/2/5</f>
        <v>32.1</v>
      </c>
      <c r="G25" s="1029">
        <f>F21/5</f>
        <v>64.2</v>
      </c>
      <c r="H25" s="1029">
        <f t="shared" ref="H25:I25" si="3">G21/5</f>
        <v>64.2</v>
      </c>
      <c r="I25" s="1029">
        <f t="shared" si="3"/>
        <v>64.2</v>
      </c>
    </row>
    <row r="26" spans="2:10" x14ac:dyDescent="0.3">
      <c r="B26" s="1030"/>
      <c r="D26" s="1029"/>
      <c r="E26" s="1029"/>
      <c r="F26" s="1029"/>
      <c r="G26" s="1029">
        <f>G21/2/5</f>
        <v>32.1</v>
      </c>
      <c r="H26" s="1029">
        <f>G21/5</f>
        <v>64.2</v>
      </c>
      <c r="I26" s="1029">
        <f t="shared" ref="I26" si="4">H21/5</f>
        <v>64.2</v>
      </c>
    </row>
    <row r="27" spans="2:10" x14ac:dyDescent="0.3">
      <c r="B27" s="1030"/>
      <c r="D27" s="1029"/>
      <c r="E27" s="1029"/>
      <c r="F27" s="1029"/>
      <c r="G27" s="1029"/>
      <c r="H27" s="1029">
        <f>H21/2/5</f>
        <v>32.1</v>
      </c>
      <c r="I27" s="1029">
        <f>H21/5</f>
        <v>64.2</v>
      </c>
    </row>
    <row r="28" spans="2:10" x14ac:dyDescent="0.3">
      <c r="B28" s="1030"/>
      <c r="D28" s="1029"/>
      <c r="E28" s="1029"/>
      <c r="F28" s="1029"/>
      <c r="G28" s="1029"/>
      <c r="H28" s="1029"/>
      <c r="I28" s="1029">
        <f>I21/2/5</f>
        <v>32.1</v>
      </c>
    </row>
    <row r="29" spans="2:10" x14ac:dyDescent="0.3">
      <c r="D29" s="1027"/>
      <c r="E29" s="1027"/>
      <c r="F29" s="1027"/>
      <c r="G29" s="1027"/>
      <c r="H29" s="1027"/>
      <c r="I29" s="1027"/>
    </row>
    <row r="31" spans="2:10" x14ac:dyDescent="0.3">
      <c r="C31" s="856" t="s">
        <v>3017</v>
      </c>
      <c r="D31" s="1028">
        <f>D8/2/40</f>
        <v>8.125</v>
      </c>
      <c r="E31" s="1028">
        <f>D8/40</f>
        <v>16.25</v>
      </c>
      <c r="F31" s="1028">
        <f>E8/40</f>
        <v>10.5</v>
      </c>
      <c r="G31" s="1028">
        <f>F8/40</f>
        <v>171</v>
      </c>
      <c r="H31" s="1028">
        <f>G8/40</f>
        <v>9.75</v>
      </c>
      <c r="I31" s="1028">
        <f>H8/40</f>
        <v>17.5</v>
      </c>
      <c r="J31" s="856" t="s">
        <v>3015</v>
      </c>
    </row>
    <row r="32" spans="2:10" x14ac:dyDescent="0.3">
      <c r="E32" s="1028">
        <f>E8/2/40</f>
        <v>5.25</v>
      </c>
      <c r="F32" s="1028">
        <f>E8/40</f>
        <v>10.5</v>
      </c>
      <c r="G32" s="1028">
        <f>F8/40</f>
        <v>171</v>
      </c>
      <c r="H32" s="1028">
        <f>G8/40</f>
        <v>9.75</v>
      </c>
      <c r="I32" s="1028">
        <f>H8/40</f>
        <v>17.5</v>
      </c>
    </row>
    <row r="33" spans="3:10" x14ac:dyDescent="0.3">
      <c r="E33" s="1028"/>
      <c r="F33" s="1028">
        <f>F8/2/40</f>
        <v>85.5</v>
      </c>
      <c r="G33" s="1028">
        <f>F8/40</f>
        <v>171</v>
      </c>
      <c r="H33" s="1028">
        <f>G8/40</f>
        <v>9.75</v>
      </c>
      <c r="I33" s="1028">
        <f>H8/40</f>
        <v>17.5</v>
      </c>
    </row>
    <row r="34" spans="3:10" x14ac:dyDescent="0.3">
      <c r="E34" s="1028"/>
      <c r="F34" s="1028"/>
      <c r="G34" s="1028">
        <f>G8/2/40</f>
        <v>4.875</v>
      </c>
      <c r="H34" s="1028">
        <f>H8/40</f>
        <v>17.5</v>
      </c>
      <c r="I34" s="1028">
        <f>I8/40</f>
        <v>9</v>
      </c>
    </row>
    <row r="35" spans="3:10" x14ac:dyDescent="0.3">
      <c r="E35" s="1028"/>
      <c r="F35" s="1028"/>
      <c r="G35" s="1028"/>
      <c r="H35" s="1028">
        <f>H8/2/40</f>
        <v>8.75</v>
      </c>
      <c r="I35" s="1028">
        <f>H8/40</f>
        <v>17.5</v>
      </c>
    </row>
    <row r="36" spans="3:10" x14ac:dyDescent="0.3">
      <c r="E36" s="1028"/>
      <c r="F36" s="1028"/>
      <c r="G36" s="1028"/>
      <c r="H36" s="1028"/>
      <c r="I36" s="1028">
        <f>I8/2/40</f>
        <v>4.5</v>
      </c>
    </row>
    <row r="40" spans="3:10" x14ac:dyDescent="0.3">
      <c r="C40" s="856" t="s">
        <v>3016</v>
      </c>
      <c r="D40" s="1028">
        <f>D11/2/5</f>
        <v>120</v>
      </c>
      <c r="E40" s="1028">
        <f>D11/5</f>
        <v>240</v>
      </c>
      <c r="F40" s="1028">
        <f>E11/5</f>
        <v>200</v>
      </c>
      <c r="G40" s="1028">
        <f>F11/5</f>
        <v>760</v>
      </c>
      <c r="H40" s="1028">
        <f>G11/5</f>
        <v>660</v>
      </c>
      <c r="I40" s="1028">
        <f>H11/5</f>
        <v>240</v>
      </c>
      <c r="J40" s="856" t="s">
        <v>3015</v>
      </c>
    </row>
    <row r="41" spans="3:10" x14ac:dyDescent="0.3">
      <c r="E41" s="1028">
        <f>E11/2/5</f>
        <v>100</v>
      </c>
      <c r="F41" s="1028">
        <f>E11/5</f>
        <v>200</v>
      </c>
      <c r="G41" s="1028">
        <f>F11/5</f>
        <v>760</v>
      </c>
      <c r="H41" s="1028">
        <f>G11/5</f>
        <v>660</v>
      </c>
      <c r="I41" s="1028">
        <f>H11/5</f>
        <v>240</v>
      </c>
    </row>
    <row r="42" spans="3:10" x14ac:dyDescent="0.3">
      <c r="F42" s="1028">
        <f>F11/2/5</f>
        <v>380</v>
      </c>
      <c r="G42" s="1028">
        <f>F11/5</f>
        <v>760</v>
      </c>
      <c r="H42" s="1028">
        <f>G11/5</f>
        <v>660</v>
      </c>
      <c r="I42" s="1028">
        <f>H11/5</f>
        <v>240</v>
      </c>
      <c r="J42" s="1028"/>
    </row>
    <row r="43" spans="3:10" x14ac:dyDescent="0.3">
      <c r="G43" s="1028">
        <f>G11/2/5</f>
        <v>330</v>
      </c>
      <c r="H43" s="1028">
        <f>G11/5</f>
        <v>660</v>
      </c>
      <c r="I43" s="1028">
        <f>H11/5</f>
        <v>240</v>
      </c>
    </row>
    <row r="44" spans="3:10" x14ac:dyDescent="0.3">
      <c r="H44" s="1028">
        <f>H11/2/5</f>
        <v>120</v>
      </c>
      <c r="I44" s="1028">
        <f>H11/5</f>
        <v>240</v>
      </c>
    </row>
    <row r="45" spans="3:10" x14ac:dyDescent="0.3">
      <c r="I45" s="1028">
        <f>I11/2/5</f>
        <v>160</v>
      </c>
    </row>
    <row r="46" spans="3:10" x14ac:dyDescent="0.3">
      <c r="I46" s="1028"/>
    </row>
    <row r="47" spans="3:10" x14ac:dyDescent="0.3">
      <c r="I47" s="1028"/>
    </row>
    <row r="48" spans="3:10" x14ac:dyDescent="0.3">
      <c r="D48" s="90">
        <v>1523.3126666666667</v>
      </c>
      <c r="E48" s="90">
        <v>1523.3126666666667</v>
      </c>
      <c r="F48" s="90">
        <v>1523.3126666666667</v>
      </c>
      <c r="G48" s="267">
        <v>1523.3126666666667</v>
      </c>
      <c r="H48" s="267">
        <v>1523.3126666666667</v>
      </c>
      <c r="I48" s="267">
        <v>1523.3126666666667</v>
      </c>
    </row>
    <row r="51" spans="3:10" x14ac:dyDescent="0.3">
      <c r="C51" s="856" t="s">
        <v>3019</v>
      </c>
      <c r="D51" s="1033">
        <f>D48/2/7</f>
        <v>108.80804761904763</v>
      </c>
      <c r="E51" s="1033">
        <f>$D$48/7</f>
        <v>217.61609523809526</v>
      </c>
      <c r="F51" s="1033">
        <f t="shared" ref="F51:J51" si="5">$D$48/7</f>
        <v>217.61609523809526</v>
      </c>
      <c r="G51" s="1033">
        <f t="shared" si="5"/>
        <v>217.61609523809526</v>
      </c>
      <c r="H51" s="1033">
        <f t="shared" si="5"/>
        <v>217.61609523809526</v>
      </c>
      <c r="I51" s="1033">
        <f t="shared" si="5"/>
        <v>217.61609523809526</v>
      </c>
      <c r="J51" s="1033">
        <f t="shared" si="5"/>
        <v>217.61609523809526</v>
      </c>
    </row>
    <row r="52" spans="3:10" x14ac:dyDescent="0.3">
      <c r="D52" s="1033"/>
      <c r="E52" s="1033">
        <f>E48/2/7</f>
        <v>108.80804761904763</v>
      </c>
      <c r="F52" s="1033">
        <f>$E$48/2/7</f>
        <v>108.80804761904763</v>
      </c>
      <c r="G52" s="1033">
        <f t="shared" ref="G52:J52" si="6">$E$48/2/7</f>
        <v>108.80804761904763</v>
      </c>
      <c r="H52" s="1033">
        <f t="shared" si="6"/>
        <v>108.80804761904763</v>
      </c>
      <c r="I52" s="1033">
        <f t="shared" si="6"/>
        <v>108.80804761904763</v>
      </c>
      <c r="J52" s="1033">
        <f t="shared" si="6"/>
        <v>108.80804761904763</v>
      </c>
    </row>
    <row r="53" spans="3:10" x14ac:dyDescent="0.3">
      <c r="D53" s="1033"/>
      <c r="E53" s="1033"/>
      <c r="F53" s="1033">
        <f>F48/2/7</f>
        <v>108.80804761904763</v>
      </c>
      <c r="G53" s="1033">
        <f>$F$48/7</f>
        <v>217.61609523809526</v>
      </c>
      <c r="H53" s="1033">
        <f t="shared" ref="H53:J53" si="7">$F$48/7</f>
        <v>217.61609523809526</v>
      </c>
      <c r="I53" s="1033">
        <f t="shared" si="7"/>
        <v>217.61609523809526</v>
      </c>
      <c r="J53" s="1033">
        <f t="shared" si="7"/>
        <v>217.61609523809526</v>
      </c>
    </row>
    <row r="54" spans="3:10" x14ac:dyDescent="0.3">
      <c r="D54" s="1033"/>
      <c r="E54" s="1033"/>
      <c r="F54" s="1033"/>
      <c r="G54" s="1033">
        <f>G48/2/7</f>
        <v>108.80804761904763</v>
      </c>
      <c r="H54" s="1033">
        <f>$G$48/2/7</f>
        <v>108.80804761904763</v>
      </c>
      <c r="I54" s="1033">
        <f t="shared" ref="I54:J54" si="8">$G$48/2/7</f>
        <v>108.80804761904763</v>
      </c>
      <c r="J54" s="1033">
        <f t="shared" si="8"/>
        <v>108.80804761904763</v>
      </c>
    </row>
    <row r="55" spans="3:10" x14ac:dyDescent="0.3">
      <c r="H55" s="1033">
        <f>H48/2/7</f>
        <v>108.80804761904763</v>
      </c>
      <c r="I55" s="1033">
        <f>$H$48/7</f>
        <v>217.61609523809526</v>
      </c>
      <c r="J55" s="1033">
        <f t="shared" ref="J55" si="9">$H$48/7</f>
        <v>217.61609523809526</v>
      </c>
    </row>
    <row r="58" spans="3:10" x14ac:dyDescent="0.3">
      <c r="C58" s="856" t="s">
        <v>3020</v>
      </c>
      <c r="D58" s="1033">
        <v>73.312666666666672</v>
      </c>
      <c r="E58" s="1033">
        <v>73.312666666666672</v>
      </c>
      <c r="F58" s="1033">
        <v>73.312666666666672</v>
      </c>
      <c r="G58" s="1033">
        <v>73.312666666666672</v>
      </c>
      <c r="H58" s="1033">
        <v>73.312666666666672</v>
      </c>
      <c r="I58" s="856">
        <v>73</v>
      </c>
    </row>
    <row r="60" spans="3:10" x14ac:dyDescent="0.3">
      <c r="D60" s="1033">
        <f>D58/2/5</f>
        <v>7.331266666666667</v>
      </c>
      <c r="E60" s="1033">
        <f>$D$58/5</f>
        <v>14.662533333333334</v>
      </c>
      <c r="F60" s="1033">
        <f t="shared" ref="F60:I60" si="10">$D$58/5</f>
        <v>14.662533333333334</v>
      </c>
      <c r="G60" s="1033">
        <f t="shared" si="10"/>
        <v>14.662533333333334</v>
      </c>
      <c r="H60" s="1033">
        <f t="shared" si="10"/>
        <v>14.662533333333334</v>
      </c>
      <c r="I60" s="1033">
        <f t="shared" si="10"/>
        <v>14.662533333333334</v>
      </c>
    </row>
    <row r="61" spans="3:10" x14ac:dyDescent="0.3">
      <c r="E61" s="1033">
        <f>E58/2/5</f>
        <v>7.331266666666667</v>
      </c>
      <c r="F61" s="1033">
        <f>$E$58/5</f>
        <v>14.662533333333334</v>
      </c>
      <c r="G61" s="1033">
        <f t="shared" ref="G61:I61" si="11">$E$58/5</f>
        <v>14.662533333333334</v>
      </c>
      <c r="H61" s="1033">
        <f t="shared" si="11"/>
        <v>14.662533333333334</v>
      </c>
      <c r="I61" s="1033">
        <f t="shared" si="11"/>
        <v>14.662533333333334</v>
      </c>
    </row>
    <row r="62" spans="3:10" x14ac:dyDescent="0.3">
      <c r="E62" s="1033"/>
      <c r="F62" s="1033">
        <f>F58/2/5</f>
        <v>7.331266666666667</v>
      </c>
      <c r="G62" s="1033">
        <f>$F$58/5</f>
        <v>14.662533333333334</v>
      </c>
      <c r="H62" s="1033">
        <f t="shared" ref="H62:I62" si="12">$F$58/5</f>
        <v>14.662533333333334</v>
      </c>
      <c r="I62" s="1033">
        <f t="shared" si="12"/>
        <v>14.662533333333334</v>
      </c>
    </row>
    <row r="63" spans="3:10" x14ac:dyDescent="0.3">
      <c r="E63" s="1033"/>
      <c r="F63" s="1033"/>
      <c r="G63" s="1033">
        <f>G58/2/5</f>
        <v>7.331266666666667</v>
      </c>
      <c r="H63" s="1033">
        <f>$G$58/5</f>
        <v>14.662533333333334</v>
      </c>
      <c r="I63" s="1033">
        <f t="shared" ref="I63" si="13">$G$58/5</f>
        <v>14.662533333333334</v>
      </c>
    </row>
    <row r="64" spans="3:10" x14ac:dyDescent="0.3">
      <c r="E64" s="1033"/>
      <c r="F64" s="1033"/>
      <c r="G64" s="1033"/>
      <c r="H64" s="1033">
        <f>H58/2/5</f>
        <v>7.331266666666667</v>
      </c>
      <c r="I64" s="1033">
        <f>H58/5</f>
        <v>14.662533333333334</v>
      </c>
    </row>
    <row r="65" spans="5:9" x14ac:dyDescent="0.3">
      <c r="E65" s="1033"/>
      <c r="F65" s="1033"/>
      <c r="G65" s="1033"/>
      <c r="H65" s="1033"/>
      <c r="I65" s="1033">
        <f>I58/2/5</f>
        <v>7.3</v>
      </c>
    </row>
  </sheetData>
  <mergeCells count="10">
    <mergeCell ref="B13:C13"/>
    <mergeCell ref="B14:C14"/>
    <mergeCell ref="B15:C15"/>
    <mergeCell ref="B21:B22"/>
    <mergeCell ref="B4:C4"/>
    <mergeCell ref="B5:B6"/>
    <mergeCell ref="B7:B8"/>
    <mergeCell ref="B9:C9"/>
    <mergeCell ref="B10:B11"/>
    <mergeCell ref="B12:C12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X75"/>
  <sheetViews>
    <sheetView topLeftCell="E1" zoomScale="40" zoomScaleNormal="40" workbookViewId="0">
      <selection activeCell="E14" sqref="E14:E17"/>
    </sheetView>
  </sheetViews>
  <sheetFormatPr defaultColWidth="9" defaultRowHeight="16.5" x14ac:dyDescent="0.3"/>
  <cols>
    <col min="1" max="4" width="0" style="153" hidden="1" customWidth="1"/>
    <col min="5" max="5" width="9" style="153"/>
    <col min="6" max="6" width="22.75" style="153" customWidth="1"/>
    <col min="7" max="7" width="22.125" style="153" customWidth="1"/>
    <col min="8" max="19" width="11.625" style="153" customWidth="1"/>
    <col min="20" max="20" width="13.75" style="153" customWidth="1"/>
    <col min="21" max="22" width="12.625" style="153" bestFit="1" customWidth="1"/>
    <col min="23" max="26" width="9" style="153"/>
    <col min="27" max="27" width="1.75" style="37" customWidth="1"/>
    <col min="28" max="28" width="9" style="153"/>
    <col min="29" max="29" width="15.625" style="153" customWidth="1"/>
    <col min="30" max="34" width="13.625" style="153" customWidth="1"/>
    <col min="35" max="35" width="5.875" style="153" customWidth="1"/>
    <col min="36" max="36" width="9" style="153"/>
    <col min="37" max="37" width="15.625" style="153" customWidth="1"/>
    <col min="38" max="42" width="13.625" style="153" customWidth="1"/>
    <col min="43" max="43" width="6.75" style="153" customWidth="1"/>
    <col min="44" max="44" width="9" style="153"/>
    <col min="45" max="46" width="15.625" style="153" customWidth="1"/>
    <col min="47" max="50" width="13.625" style="153" customWidth="1"/>
    <col min="51" max="16384" width="9" style="153"/>
  </cols>
  <sheetData>
    <row r="5" spans="7:26" x14ac:dyDescent="0.3">
      <c r="G5" s="888" t="s">
        <v>2165</v>
      </c>
      <c r="M5" s="888" t="s">
        <v>2168</v>
      </c>
      <c r="S5" s="888" t="s">
        <v>2169</v>
      </c>
    </row>
    <row r="6" spans="7:26" x14ac:dyDescent="0.3">
      <c r="K6" s="536" t="s">
        <v>2166</v>
      </c>
      <c r="Q6" s="536" t="s">
        <v>2166</v>
      </c>
      <c r="W6" s="536" t="s">
        <v>2166</v>
      </c>
      <c r="X6" s="536"/>
      <c r="Y6" s="536"/>
      <c r="Z6" s="536"/>
    </row>
    <row r="7" spans="7:26" x14ac:dyDescent="0.3">
      <c r="H7" s="889">
        <v>2014</v>
      </c>
      <c r="I7" s="889">
        <v>2015</v>
      </c>
      <c r="J7" s="889">
        <v>2016</v>
      </c>
      <c r="K7" s="889">
        <v>2017</v>
      </c>
      <c r="N7" s="889">
        <v>2014</v>
      </c>
      <c r="O7" s="889">
        <v>2015</v>
      </c>
      <c r="P7" s="889">
        <v>2016</v>
      </c>
      <c r="Q7" s="889">
        <v>2017</v>
      </c>
      <c r="T7" s="889">
        <v>2014</v>
      </c>
      <c r="U7" s="889">
        <v>2015</v>
      </c>
      <c r="V7" s="889">
        <v>2016</v>
      </c>
      <c r="W7" s="889">
        <v>2017</v>
      </c>
      <c r="X7" s="889"/>
      <c r="Y7" s="889"/>
      <c r="Z7" s="889"/>
    </row>
    <row r="8" spans="7:26" x14ac:dyDescent="0.3">
      <c r="G8" s="153" t="s">
        <v>2157</v>
      </c>
      <c r="H8" s="819">
        <f>SUMIF($F$35:$F$69,G8,$H$35:$H$69)</f>
        <v>184218610</v>
      </c>
      <c r="I8" s="819">
        <f>SUMIF($F$35:$F$69,G8,$L$35:$L$69)</f>
        <v>96973506.194473177</v>
      </c>
      <c r="J8" s="819">
        <f>SUMIF($F$35:$F$69,G8,$P$35:$P$69)</f>
        <v>137695437.68055665</v>
      </c>
      <c r="M8" s="153" t="s">
        <v>2157</v>
      </c>
      <c r="N8" s="819">
        <f>SUMIF($F$35:$F$69,M8,$I$35:$I$69)</f>
        <v>51378841</v>
      </c>
      <c r="O8" s="819">
        <f>SUMIF($F$35:$F$69,M8,$M$35:$M$69)</f>
        <v>31011570.215103857</v>
      </c>
      <c r="P8" s="819">
        <f>SUMIF($F$35:$F$69,M8,$Q$35:$Q$69)</f>
        <v>23695145.774331473</v>
      </c>
      <c r="S8" s="153" t="s">
        <v>2157</v>
      </c>
      <c r="T8" s="819">
        <f>SUMIF($F$35:$F$69,S8,$J$35:$J$69)</f>
        <v>54241412</v>
      </c>
      <c r="U8" s="819">
        <f>SUMIF($F$35:$F$69,S8,$N$35:$N$69)</f>
        <v>58738708.085465349</v>
      </c>
      <c r="V8" s="819">
        <f>SUMIF($F$35:$F$69,S8,$R$35:$R$69)</f>
        <v>52738428.802688532</v>
      </c>
      <c r="W8" s="819"/>
      <c r="X8" s="819"/>
      <c r="Y8" s="819"/>
      <c r="Z8" s="819"/>
    </row>
    <row r="9" spans="7:26" x14ac:dyDescent="0.3">
      <c r="G9" s="153" t="s">
        <v>2162</v>
      </c>
      <c r="H9" s="819">
        <f>SUMIF($F$35:$F$69,G9,$H$35:$H$69)</f>
        <v>351010067</v>
      </c>
      <c r="I9" s="819">
        <f>SUMIF($F$35:$F$69,G9,$L$35:$L$69)</f>
        <v>326300804.1153385</v>
      </c>
      <c r="J9" s="819">
        <f>SUMIF($F$35:$F$69,G9,$P$35:$P$69)</f>
        <v>297185648.24070352</v>
      </c>
      <c r="M9" s="153" t="s">
        <v>2162</v>
      </c>
      <c r="N9" s="819">
        <f>SUMIF($F$35:$F$69,M9,$I$35:$I$69)</f>
        <v>97897225</v>
      </c>
      <c r="O9" s="819">
        <f>SUMIF($F$35:$F$69,M9,$M$35:$M$69)</f>
        <v>50143996.411307469</v>
      </c>
      <c r="P9" s="819">
        <f>SUMIF($F$35:$F$69,M9,$Q$35:$Q$69)</f>
        <v>51140817.558816016</v>
      </c>
      <c r="S9" s="153" t="s">
        <v>2162</v>
      </c>
      <c r="T9" s="819">
        <f>SUMIF($F$35:$F$69,S9,$J$35:$J$69)</f>
        <v>103351563</v>
      </c>
      <c r="U9" s="819">
        <f>SUMIF($F$35:$F$69,S9,$N$35:$N$69)</f>
        <v>94977247.10527198</v>
      </c>
      <c r="V9" s="819">
        <f>SUMIF($F$35:$F$69,S9,$R$35:$R$69)</f>
        <v>113824425.95726115</v>
      </c>
      <c r="W9" s="819"/>
      <c r="X9" s="819"/>
      <c r="Y9" s="819"/>
      <c r="Z9" s="819"/>
    </row>
    <row r="10" spans="7:26" x14ac:dyDescent="0.3">
      <c r="G10" s="153" t="s">
        <v>2163</v>
      </c>
      <c r="H10" s="819">
        <f>SUMIF($F$35:$F$69,G10,$H$35:$H$69)</f>
        <v>80401283</v>
      </c>
      <c r="I10" s="819">
        <f>SUMIF($F$35:$F$69,G10,$L$35:$L$69)</f>
        <v>34632106.055777945</v>
      </c>
      <c r="J10" s="819">
        <f>SUMIF($F$35:$F$69,G10,$P$35:$P$69)</f>
        <v>59804091.151993483</v>
      </c>
      <c r="M10" s="153" t="s">
        <v>2163</v>
      </c>
      <c r="N10" s="819">
        <f>SUMIF($F$35:$F$69,M10,$I$35:$I$69)</f>
        <v>22424037</v>
      </c>
      <c r="O10" s="819">
        <f>SUMIF($F$35:$F$69,M10,$M$35:$M$69)</f>
        <v>11075148.571939453</v>
      </c>
      <c r="P10" s="819">
        <f>SUMIF($F$35:$F$69,M10,$Q$35:$Q$69)</f>
        <v>10291311.61945528</v>
      </c>
      <c r="S10" s="153" t="s">
        <v>2163</v>
      </c>
      <c r="T10" s="819">
        <f>SUMIF($F$35:$F$69,S10,$J$35:$J$69)</f>
        <v>23673391</v>
      </c>
      <c r="U10" s="819">
        <f>SUMIF($F$35:$F$69,S10,$N$35:$N$69)</f>
        <v>20977329.250276774</v>
      </c>
      <c r="V10" s="819">
        <f>SUMIF($F$35:$F$69,S10,$R$35:$R$69)</f>
        <v>22905434.315448366</v>
      </c>
      <c r="W10" s="819"/>
      <c r="X10" s="819"/>
      <c r="Y10" s="819"/>
      <c r="Z10" s="819"/>
    </row>
    <row r="11" spans="7:26" x14ac:dyDescent="0.3">
      <c r="G11" s="153" t="s">
        <v>2164</v>
      </c>
      <c r="H11" s="819">
        <f>SUMIF($F$35:$F$69,G11,$H$35:$H$69)</f>
        <v>1341610</v>
      </c>
      <c r="I11" s="819">
        <f>SUMIF($F$35:$F$69,G11,$L$35:$L$69)</f>
        <v>0</v>
      </c>
      <c r="J11" s="819">
        <f>SUMIF($F$35:$F$69,G11,$P$35:$P$69)</f>
        <v>0</v>
      </c>
      <c r="M11" s="153" t="s">
        <v>2164</v>
      </c>
      <c r="N11" s="819">
        <f>SUMIF($F$35:$F$69,M11,$I$35:$I$69)</f>
        <v>374177</v>
      </c>
      <c r="O11" s="819">
        <f>SUMIF($F$35:$F$69,M11,$M$35:$M$69)</f>
        <v>0</v>
      </c>
      <c r="P11" s="819">
        <f>SUMIF($F$35:$F$69,M11,$Q$35:$Q$69)</f>
        <v>0</v>
      </c>
      <c r="S11" s="153" t="s">
        <v>2164</v>
      </c>
      <c r="T11" s="819">
        <f>SUMIF($F$35:$F$69,S11,$J$35:$J$69)</f>
        <v>395024</v>
      </c>
      <c r="U11" s="819">
        <f>SUMIF($F$35:$F$69,S11,$N$35:$N$69)</f>
        <v>0</v>
      </c>
      <c r="V11" s="819">
        <f>SUMIF($F$35:$F$69,S11,$R$35:$R$69)</f>
        <v>0</v>
      </c>
      <c r="W11" s="819"/>
      <c r="X11" s="819"/>
      <c r="Y11" s="819"/>
      <c r="Z11" s="819"/>
    </row>
    <row r="12" spans="7:26" x14ac:dyDescent="0.3">
      <c r="G12" s="153" t="s">
        <v>2167</v>
      </c>
      <c r="H12" s="819">
        <f>SUM(H8:H11)</f>
        <v>616971570</v>
      </c>
      <c r="I12" s="819">
        <f t="shared" ref="I12:J12" si="0">SUM(I8:I11)</f>
        <v>457906416.36558968</v>
      </c>
      <c r="J12" s="819">
        <f t="shared" si="0"/>
        <v>494685177.07325363</v>
      </c>
      <c r="K12" s="819"/>
      <c r="M12" s="153" t="s">
        <v>2167</v>
      </c>
      <c r="N12" s="819">
        <f>SUM(N8:N11)</f>
        <v>172074280</v>
      </c>
      <c r="O12" s="819">
        <f t="shared" ref="O12" si="1">SUM(O8:O11)</f>
        <v>92230715.198350772</v>
      </c>
      <c r="P12" s="819">
        <f t="shared" ref="P12" si="2">SUM(P8:P11)</f>
        <v>85127274.952602774</v>
      </c>
      <c r="S12" s="153" t="s">
        <v>2167</v>
      </c>
      <c r="T12" s="819">
        <f>SUM(T8:T11)</f>
        <v>181661390</v>
      </c>
      <c r="U12" s="819">
        <f t="shared" ref="U12" si="3">SUM(U8:U11)</f>
        <v>174693284.44101411</v>
      </c>
      <c r="V12" s="819">
        <f t="shared" ref="V12" si="4">SUM(V8:V11)</f>
        <v>189468289.07539806</v>
      </c>
      <c r="W12" s="819"/>
      <c r="X12" s="819"/>
      <c r="Y12" s="819"/>
      <c r="Z12" s="819"/>
    </row>
    <row r="13" spans="7:26" x14ac:dyDescent="0.3">
      <c r="H13" s="890" t="b">
        <f>H70=H12</f>
        <v>1</v>
      </c>
      <c r="I13" s="890" t="b">
        <f>I12=L70</f>
        <v>1</v>
      </c>
      <c r="J13" s="890" t="b">
        <f>J12=P70</f>
        <v>1</v>
      </c>
      <c r="N13" s="890" t="b">
        <f>N12=I70</f>
        <v>1</v>
      </c>
      <c r="O13" s="890" t="b">
        <f>O12=M70</f>
        <v>1</v>
      </c>
      <c r="P13" s="890" t="b">
        <f>P12=Q70</f>
        <v>1</v>
      </c>
      <c r="T13" s="890" t="b">
        <f>J70=T12</f>
        <v>1</v>
      </c>
      <c r="U13" s="890" t="b">
        <f>U12=N70</f>
        <v>1</v>
      </c>
      <c r="V13" s="890" t="b">
        <f>V12=R70</f>
        <v>1</v>
      </c>
      <c r="W13" s="819"/>
      <c r="X13" s="819"/>
      <c r="Y13" s="819"/>
      <c r="Z13" s="819"/>
    </row>
    <row r="30" spans="7:44" x14ac:dyDescent="0.3">
      <c r="AB30" s="814" t="s">
        <v>2074</v>
      </c>
      <c r="AJ30" s="814" t="s">
        <v>2075</v>
      </c>
      <c r="AR30" s="814" t="s">
        <v>2076</v>
      </c>
    </row>
    <row r="31" spans="7:44" x14ac:dyDescent="0.3">
      <c r="AB31" s="814"/>
      <c r="AJ31" s="814"/>
      <c r="AR31" s="814"/>
    </row>
    <row r="32" spans="7:44" x14ac:dyDescent="0.3">
      <c r="G32" s="833" t="s">
        <v>2137</v>
      </c>
      <c r="S32" s="153" t="s">
        <v>2077</v>
      </c>
    </row>
    <row r="33" spans="2:50" x14ac:dyDescent="0.3">
      <c r="G33" s="719"/>
      <c r="H33" s="1946">
        <v>2014</v>
      </c>
      <c r="I33" s="1946"/>
      <c r="J33" s="1946"/>
      <c r="K33" s="1946"/>
      <c r="L33" s="1946">
        <v>2015</v>
      </c>
      <c r="M33" s="1946"/>
      <c r="N33" s="1946"/>
      <c r="O33" s="1946"/>
      <c r="P33" s="1946">
        <v>2016</v>
      </c>
      <c r="Q33" s="1946"/>
      <c r="R33" s="1946"/>
      <c r="S33" s="1947"/>
      <c r="AE33" s="815" t="s">
        <v>2078</v>
      </c>
      <c r="AH33" s="536" t="s">
        <v>2079</v>
      </c>
      <c r="AP33" s="536" t="s">
        <v>2079</v>
      </c>
      <c r="AX33" s="536" t="s">
        <v>2079</v>
      </c>
    </row>
    <row r="34" spans="2:50" x14ac:dyDescent="0.3">
      <c r="F34" s="153" t="s">
        <v>2143</v>
      </c>
      <c r="G34" s="839" t="s">
        <v>2080</v>
      </c>
      <c r="H34" s="825" t="s">
        <v>2081</v>
      </c>
      <c r="I34" s="825" t="s">
        <v>2082</v>
      </c>
      <c r="J34" s="825" t="s">
        <v>2083</v>
      </c>
      <c r="K34" s="825" t="s">
        <v>2084</v>
      </c>
      <c r="L34" s="825" t="s">
        <v>2081</v>
      </c>
      <c r="M34" s="826" t="s">
        <v>2082</v>
      </c>
      <c r="N34" s="825" t="s">
        <v>2083</v>
      </c>
      <c r="O34" s="825" t="s">
        <v>2084</v>
      </c>
      <c r="P34" s="826" t="s">
        <v>2081</v>
      </c>
      <c r="Q34" s="825" t="s">
        <v>2085</v>
      </c>
      <c r="R34" s="825" t="s">
        <v>2086</v>
      </c>
      <c r="S34" s="827" t="s">
        <v>2087</v>
      </c>
      <c r="AB34" s="816" t="s">
        <v>2088</v>
      </c>
      <c r="AC34" s="817" t="s">
        <v>2089</v>
      </c>
      <c r="AD34" s="817" t="s">
        <v>2090</v>
      </c>
      <c r="AE34" s="817" t="s">
        <v>2091</v>
      </c>
      <c r="AF34" s="817" t="s">
        <v>2092</v>
      </c>
      <c r="AG34" s="817" t="s">
        <v>2093</v>
      </c>
      <c r="AH34" s="817" t="s">
        <v>2094</v>
      </c>
      <c r="AJ34" s="816" t="s">
        <v>2095</v>
      </c>
      <c r="AK34" s="817" t="s">
        <v>185</v>
      </c>
      <c r="AL34" s="817" t="s">
        <v>2090</v>
      </c>
      <c r="AM34" s="817" t="s">
        <v>2091</v>
      </c>
      <c r="AN34" s="817" t="s">
        <v>2092</v>
      </c>
      <c r="AO34" s="817" t="s">
        <v>2093</v>
      </c>
      <c r="AP34" s="817" t="s">
        <v>2094</v>
      </c>
      <c r="AR34" s="816" t="s">
        <v>2095</v>
      </c>
      <c r="AS34" s="817" t="s">
        <v>185</v>
      </c>
      <c r="AT34" s="817" t="s">
        <v>2090</v>
      </c>
      <c r="AU34" s="817" t="s">
        <v>2091</v>
      </c>
      <c r="AV34" s="817" t="s">
        <v>2092</v>
      </c>
      <c r="AW34" s="817" t="s">
        <v>2093</v>
      </c>
      <c r="AX34" s="817" t="s">
        <v>2094</v>
      </c>
    </row>
    <row r="35" spans="2:50" x14ac:dyDescent="0.3">
      <c r="B35" s="153">
        <v>2014</v>
      </c>
      <c r="C35" s="818" t="s">
        <v>2096</v>
      </c>
      <c r="F35" s="153" t="s">
        <v>2098</v>
      </c>
      <c r="G35" s="828" t="s">
        <v>2097</v>
      </c>
      <c r="H35" s="829">
        <f t="shared" ref="H35:H69" si="5">SUMIF($AD$35:$AD$60,G35,$AE$35:$AE$60)</f>
        <v>20890319</v>
      </c>
      <c r="I35" s="829">
        <f t="shared" ref="I35:I69" si="6">SUMIF($AD$35:$AD$60,G35,$AF$35:$AF$60)</f>
        <v>5826341</v>
      </c>
      <c r="J35" s="829">
        <f t="shared" ref="J35:J69" si="7">SUMIF($AD$35:$AD$60,G35,$AG$35:$AG$60)</f>
        <v>6150955</v>
      </c>
      <c r="K35" s="829">
        <f t="shared" ref="K35:K69" si="8">SUMIF($AD$35:$AD$60,G35,$AH$35:$AH$60)</f>
        <v>32867615</v>
      </c>
      <c r="L35" s="829">
        <f t="shared" ref="L35:L68" si="9">SUMIF($AL$35:$AL$60,G35,$AM$35:$AM$60)</f>
        <v>8173416.9417535281</v>
      </c>
      <c r="M35" s="829">
        <f t="shared" ref="M35:M68" si="10">SUMIF($AL$35:$AL$60,G35,$AN$35:$AN$60)</f>
        <v>2613811.7856457899</v>
      </c>
      <c r="N35" s="829">
        <f t="shared" ref="N35:N68" si="11">SUMIF($AL$35:$AL$60,G35,$AO$35:$AO$60)</f>
        <v>4950795.0227112621</v>
      </c>
      <c r="O35" s="829">
        <f t="shared" ref="O35:O68" si="12">SUMIF($AL$35:$AL$60,G35,$AP$35:$AP$60)</f>
        <v>15738023.75011058</v>
      </c>
      <c r="P35" s="829">
        <f t="shared" ref="P35:P68" si="13">SUMIF($AT$35:$AT$60,G35,$AU$35:$AU$60)</f>
        <v>18302454.853771724</v>
      </c>
      <c r="Q35" s="829">
        <f t="shared" ref="Q35:Q68" si="14">SUMIF($AT$35:$AT$60,G35,$AV$35:$AV$60)</f>
        <v>3149554.8661121661</v>
      </c>
      <c r="R35" s="829">
        <f t="shared" ref="R35:R68" si="15">SUMIF($AT$35:$AT$60,G35,$AW$35:$AW$60)</f>
        <v>7009983.2534709964</v>
      </c>
      <c r="S35" s="722">
        <f t="shared" ref="S35:S68" si="16">SUMIF($AT$35:$AT$60,G35,$AX$35:$AX$60)</f>
        <v>28461992.973354883</v>
      </c>
      <c r="AB35" s="817">
        <v>1</v>
      </c>
      <c r="AC35" s="817" t="s">
        <v>2098</v>
      </c>
      <c r="AD35" s="817" t="s">
        <v>2096</v>
      </c>
      <c r="AE35" s="817">
        <v>5028022</v>
      </c>
      <c r="AF35" s="817">
        <v>1402323</v>
      </c>
      <c r="AG35" s="817">
        <v>1480453</v>
      </c>
      <c r="AH35" s="817">
        <f>SUM(AE35:AG35)</f>
        <v>7910798</v>
      </c>
      <c r="AJ35" s="817">
        <v>1</v>
      </c>
      <c r="AK35" s="817" t="s">
        <v>2098</v>
      </c>
      <c r="AL35" s="817" t="s">
        <v>2096</v>
      </c>
      <c r="AM35" s="817">
        <v>2971069.683008437</v>
      </c>
      <c r="AN35" s="817">
        <v>950131.01726782497</v>
      </c>
      <c r="AO35" s="817">
        <v>1799633.7521490478</v>
      </c>
      <c r="AP35" s="817">
        <f>SUM(AM35:AO35)</f>
        <v>5720834.4524253104</v>
      </c>
      <c r="AR35" s="817">
        <v>1</v>
      </c>
      <c r="AS35" s="817" t="s">
        <v>2098</v>
      </c>
      <c r="AT35" s="817" t="s">
        <v>2096</v>
      </c>
      <c r="AU35" s="817">
        <v>4369687.1187316459</v>
      </c>
      <c r="AV35" s="817">
        <v>751952.09812812356</v>
      </c>
      <c r="AW35" s="817">
        <v>1673624.3181555679</v>
      </c>
      <c r="AX35" s="817">
        <f>SUM(AU35:AW35)</f>
        <v>6795263.5350153372</v>
      </c>
    </row>
    <row r="36" spans="2:50" x14ac:dyDescent="0.3">
      <c r="B36" s="153">
        <v>2014</v>
      </c>
      <c r="C36" s="818" t="s">
        <v>2099</v>
      </c>
      <c r="F36" s="153" t="s">
        <v>2098</v>
      </c>
      <c r="G36" s="828" t="s">
        <v>2100</v>
      </c>
      <c r="H36" s="829">
        <f t="shared" si="5"/>
        <v>12574633</v>
      </c>
      <c r="I36" s="829">
        <f t="shared" si="6"/>
        <v>3507084</v>
      </c>
      <c r="J36" s="829">
        <f t="shared" si="7"/>
        <v>3702481</v>
      </c>
      <c r="K36" s="829">
        <f t="shared" si="8"/>
        <v>19784198</v>
      </c>
      <c r="L36" s="829">
        <f t="shared" si="9"/>
        <v>7430379.0379577531</v>
      </c>
      <c r="M36" s="829">
        <f t="shared" si="10"/>
        <v>2376192.5324052637</v>
      </c>
      <c r="N36" s="829">
        <f t="shared" si="11"/>
        <v>4500722.7479193294</v>
      </c>
      <c r="O36" s="829">
        <f t="shared" si="12"/>
        <v>14307294.318282347</v>
      </c>
      <c r="P36" s="829">
        <f t="shared" si="13"/>
        <v>11356482.030642254</v>
      </c>
      <c r="Q36" s="829">
        <f t="shared" si="14"/>
        <v>1954265.8909579953</v>
      </c>
      <c r="R36" s="829">
        <f t="shared" si="15"/>
        <v>4349621.3753392166</v>
      </c>
      <c r="S36" s="722">
        <f t="shared" si="16"/>
        <v>17660369.296939466</v>
      </c>
      <c r="AB36" s="817">
        <f>AB35+1</f>
        <v>2</v>
      </c>
      <c r="AC36" s="817" t="s">
        <v>2101</v>
      </c>
      <c r="AD36" s="817" t="s">
        <v>2099</v>
      </c>
      <c r="AE36" s="817">
        <v>8899337</v>
      </c>
      <c r="AF36" s="817">
        <v>2482038</v>
      </c>
      <c r="AG36" s="817">
        <v>2620325</v>
      </c>
      <c r="AH36" s="817">
        <f t="shared" ref="AH36:AH60" si="17">SUM(AE36:AG36)</f>
        <v>14001700</v>
      </c>
      <c r="AJ36" s="817">
        <f>AJ35+1</f>
        <v>2</v>
      </c>
      <c r="AK36" s="817" t="s">
        <v>2098</v>
      </c>
      <c r="AL36" s="817" t="s">
        <v>2102</v>
      </c>
      <c r="AM36" s="817">
        <v>3268176.6513092807</v>
      </c>
      <c r="AN36" s="817">
        <v>1045144.1189946076</v>
      </c>
      <c r="AO36" s="817">
        <v>1979597.1273639526</v>
      </c>
      <c r="AP36" s="817">
        <f t="shared" ref="AP36:AP58" si="18">SUM(AM36:AO36)</f>
        <v>6292917.8976678411</v>
      </c>
      <c r="AR36" s="817">
        <f>AR35+1</f>
        <v>2</v>
      </c>
      <c r="AS36" s="817" t="s">
        <v>2098</v>
      </c>
      <c r="AT36" s="817" t="s">
        <v>2102</v>
      </c>
      <c r="AU36" s="817">
        <v>6376478.9345365046</v>
      </c>
      <c r="AV36" s="817">
        <v>1097288.3374053235</v>
      </c>
      <c r="AW36" s="817">
        <v>2442241.2678701417</v>
      </c>
      <c r="AX36" s="817">
        <f t="shared" ref="AX36:AX60" si="19">SUM(AU36:AW36)</f>
        <v>9916008.5398119688</v>
      </c>
    </row>
    <row r="37" spans="2:50" x14ac:dyDescent="0.3">
      <c r="B37" s="153">
        <v>2014</v>
      </c>
      <c r="C37" s="818" t="s">
        <v>2103</v>
      </c>
      <c r="F37" s="153" t="s">
        <v>2161</v>
      </c>
      <c r="G37" s="828" t="s">
        <v>2104</v>
      </c>
      <c r="H37" s="829">
        <f t="shared" si="5"/>
        <v>0</v>
      </c>
      <c r="I37" s="829">
        <f t="shared" si="6"/>
        <v>0</v>
      </c>
      <c r="J37" s="829">
        <f t="shared" si="7"/>
        <v>0</v>
      </c>
      <c r="K37" s="829">
        <f t="shared" si="8"/>
        <v>0</v>
      </c>
      <c r="L37" s="829">
        <f t="shared" si="9"/>
        <v>0</v>
      </c>
      <c r="M37" s="829">
        <f t="shared" si="10"/>
        <v>0</v>
      </c>
      <c r="N37" s="829">
        <f t="shared" si="11"/>
        <v>0</v>
      </c>
      <c r="O37" s="829">
        <f t="shared" si="12"/>
        <v>0</v>
      </c>
      <c r="P37" s="829">
        <f t="shared" si="13"/>
        <v>8741137.1515576672</v>
      </c>
      <c r="Q37" s="829">
        <f t="shared" si="14"/>
        <v>1504207.5651053353</v>
      </c>
      <c r="R37" s="829">
        <f t="shared" si="15"/>
        <v>3347923.8461874947</v>
      </c>
      <c r="S37" s="722">
        <f t="shared" si="16"/>
        <v>13593268.562850498</v>
      </c>
      <c r="AB37" s="817">
        <f t="shared" ref="AB37:AB60" si="20">AB36+1</f>
        <v>3</v>
      </c>
      <c r="AC37" s="817" t="s">
        <v>2101</v>
      </c>
      <c r="AD37" s="817" t="s">
        <v>2103</v>
      </c>
      <c r="AE37" s="817">
        <v>9367725</v>
      </c>
      <c r="AF37" s="817">
        <v>2612672</v>
      </c>
      <c r="AG37" s="817">
        <v>2758237</v>
      </c>
      <c r="AH37" s="817">
        <f t="shared" si="17"/>
        <v>14738634</v>
      </c>
      <c r="AJ37" s="817">
        <f t="shared" ref="AJ37:AJ58" si="21">AJ36+1</f>
        <v>3</v>
      </c>
      <c r="AK37" s="817" t="s">
        <v>2101</v>
      </c>
      <c r="AL37" s="817" t="s">
        <v>2105</v>
      </c>
      <c r="AM37" s="817">
        <v>3267663.2125559011</v>
      </c>
      <c r="AN37" s="817">
        <v>1044979.9242307341</v>
      </c>
      <c r="AO37" s="817">
        <v>1979286.1276874631</v>
      </c>
      <c r="AP37" s="817">
        <f t="shared" si="18"/>
        <v>6291929.2644740976</v>
      </c>
      <c r="AR37" s="817">
        <f t="shared" ref="AR37:AR60" si="22">AR36+1</f>
        <v>3</v>
      </c>
      <c r="AS37" s="817" t="s">
        <v>2101</v>
      </c>
      <c r="AT37" s="817" t="s">
        <v>2099</v>
      </c>
      <c r="AU37" s="817">
        <v>7734118.2696318347</v>
      </c>
      <c r="AV37" s="817">
        <v>1330915.9905500929</v>
      </c>
      <c r="AW37" s="817">
        <v>2962227.7439635666</v>
      </c>
      <c r="AX37" s="817">
        <f t="shared" si="19"/>
        <v>12027262.004145496</v>
      </c>
    </row>
    <row r="38" spans="2:50" x14ac:dyDescent="0.3">
      <c r="B38" s="153">
        <v>2014</v>
      </c>
      <c r="C38" s="818" t="s">
        <v>2106</v>
      </c>
      <c r="F38" s="153" t="s">
        <v>2161</v>
      </c>
      <c r="G38" s="828" t="s">
        <v>2107</v>
      </c>
      <c r="H38" s="829">
        <f t="shared" si="5"/>
        <v>0</v>
      </c>
      <c r="I38" s="829">
        <f t="shared" si="6"/>
        <v>0</v>
      </c>
      <c r="J38" s="829">
        <f t="shared" si="7"/>
        <v>0</v>
      </c>
      <c r="K38" s="829">
        <f t="shared" si="8"/>
        <v>0</v>
      </c>
      <c r="L38" s="829">
        <f t="shared" si="9"/>
        <v>0</v>
      </c>
      <c r="M38" s="829">
        <f t="shared" si="10"/>
        <v>0</v>
      </c>
      <c r="N38" s="829">
        <f t="shared" si="11"/>
        <v>0</v>
      </c>
      <c r="O38" s="829">
        <f t="shared" si="12"/>
        <v>0</v>
      </c>
      <c r="P38" s="829">
        <f t="shared" si="13"/>
        <v>9201197.0016396493</v>
      </c>
      <c r="Q38" s="829">
        <f t="shared" si="14"/>
        <v>1583376.3843214056</v>
      </c>
      <c r="R38" s="829">
        <f t="shared" si="15"/>
        <v>3524130.3644078895</v>
      </c>
      <c r="S38" s="722">
        <f t="shared" si="16"/>
        <v>14308703.750368945</v>
      </c>
      <c r="AB38" s="817">
        <f t="shared" si="20"/>
        <v>4</v>
      </c>
      <c r="AC38" s="817" t="s">
        <v>2101</v>
      </c>
      <c r="AD38" s="817" t="s">
        <v>2106</v>
      </c>
      <c r="AE38" s="817">
        <v>9993096</v>
      </c>
      <c r="AF38" s="817">
        <v>2787089</v>
      </c>
      <c r="AG38" s="817">
        <v>2942372</v>
      </c>
      <c r="AH38" s="817">
        <f t="shared" si="17"/>
        <v>15722557</v>
      </c>
      <c r="AJ38" s="817">
        <f t="shared" si="21"/>
        <v>4</v>
      </c>
      <c r="AK38" s="817" t="s">
        <v>2101</v>
      </c>
      <c r="AL38" s="817" t="s">
        <v>2103</v>
      </c>
      <c r="AM38" s="817">
        <v>5535409.5130769443</v>
      </c>
      <c r="AN38" s="817">
        <v>1770192.1640317373</v>
      </c>
      <c r="AO38" s="817">
        <v>3352903.4504546509</v>
      </c>
      <c r="AP38" s="817">
        <f t="shared" si="18"/>
        <v>10658505.127563333</v>
      </c>
      <c r="AR38" s="817">
        <f t="shared" si="22"/>
        <v>4</v>
      </c>
      <c r="AS38" s="817" t="s">
        <v>2101</v>
      </c>
      <c r="AT38" s="817" t="s">
        <v>2103</v>
      </c>
      <c r="AU38" s="817">
        <v>8141178.1704509566</v>
      </c>
      <c r="AV38" s="817">
        <v>1400964.3803244189</v>
      </c>
      <c r="AW38" s="817">
        <v>3118134.8673904315</v>
      </c>
      <c r="AX38" s="817">
        <f t="shared" si="19"/>
        <v>12660277.418165807</v>
      </c>
    </row>
    <row r="39" spans="2:50" x14ac:dyDescent="0.3">
      <c r="B39" s="153">
        <v>2014</v>
      </c>
      <c r="C39" s="818" t="s">
        <v>2108</v>
      </c>
      <c r="F39" s="153" t="s">
        <v>2161</v>
      </c>
      <c r="G39" s="828" t="s">
        <v>2109</v>
      </c>
      <c r="H39" s="829">
        <f t="shared" si="5"/>
        <v>0</v>
      </c>
      <c r="I39" s="829">
        <f t="shared" si="6"/>
        <v>0</v>
      </c>
      <c r="J39" s="829">
        <f t="shared" si="7"/>
        <v>0</v>
      </c>
      <c r="K39" s="829">
        <f t="shared" si="8"/>
        <v>0</v>
      </c>
      <c r="L39" s="829">
        <f t="shared" si="9"/>
        <v>5520533.9577096486</v>
      </c>
      <c r="M39" s="829">
        <f t="shared" si="10"/>
        <v>1765435.0468781467</v>
      </c>
      <c r="N39" s="829">
        <f t="shared" si="11"/>
        <v>3343893.0419563088</v>
      </c>
      <c r="O39" s="829">
        <f t="shared" si="12"/>
        <v>10629862.046544105</v>
      </c>
      <c r="P39" s="829">
        <f t="shared" si="13"/>
        <v>0</v>
      </c>
      <c r="Q39" s="829">
        <f t="shared" si="14"/>
        <v>0</v>
      </c>
      <c r="R39" s="829">
        <f t="shared" si="15"/>
        <v>0</v>
      </c>
      <c r="S39" s="722">
        <f t="shared" si="16"/>
        <v>0</v>
      </c>
      <c r="AB39" s="817">
        <f t="shared" si="20"/>
        <v>5</v>
      </c>
      <c r="AC39" s="817" t="s">
        <v>2101</v>
      </c>
      <c r="AD39" s="817" t="s">
        <v>2108</v>
      </c>
      <c r="AE39" s="817">
        <v>10005903</v>
      </c>
      <c r="AF39" s="817">
        <v>2790661</v>
      </c>
      <c r="AG39" s="817">
        <v>2946143</v>
      </c>
      <c r="AH39" s="817">
        <f t="shared" si="17"/>
        <v>15742707</v>
      </c>
      <c r="AJ39" s="817">
        <f t="shared" si="21"/>
        <v>5</v>
      </c>
      <c r="AK39" s="817" t="s">
        <v>2101</v>
      </c>
      <c r="AL39" s="817" t="s">
        <v>2108</v>
      </c>
      <c r="AM39" s="817">
        <v>6133926.619677389</v>
      </c>
      <c r="AN39" s="817">
        <v>1961594.4965312744</v>
      </c>
      <c r="AO39" s="817">
        <v>3715436.7132847877</v>
      </c>
      <c r="AP39" s="817">
        <f t="shared" si="18"/>
        <v>11810957.829493452</v>
      </c>
      <c r="AR39" s="817">
        <f t="shared" si="22"/>
        <v>5</v>
      </c>
      <c r="AS39" s="817" t="s">
        <v>2101</v>
      </c>
      <c r="AT39" s="817" t="s">
        <v>2108</v>
      </c>
      <c r="AU39" s="817">
        <v>9996332.1852132678</v>
      </c>
      <c r="AV39" s="817">
        <v>1720206.2198079384</v>
      </c>
      <c r="AW39" s="817">
        <v>3828673.3541668835</v>
      </c>
      <c r="AX39" s="817">
        <f t="shared" si="19"/>
        <v>15545211.75918809</v>
      </c>
    </row>
    <row r="40" spans="2:50" x14ac:dyDescent="0.3">
      <c r="B40" s="153">
        <v>2014</v>
      </c>
      <c r="C40" s="818" t="s">
        <v>2110</v>
      </c>
      <c r="F40" s="153" t="s">
        <v>2161</v>
      </c>
      <c r="G40" s="828" t="s">
        <v>2110</v>
      </c>
      <c r="H40" s="829">
        <f t="shared" si="5"/>
        <v>10767224</v>
      </c>
      <c r="I40" s="829">
        <f t="shared" si="6"/>
        <v>3002994</v>
      </c>
      <c r="J40" s="829">
        <f t="shared" si="7"/>
        <v>3170306</v>
      </c>
      <c r="K40" s="829">
        <f t="shared" si="8"/>
        <v>16940524</v>
      </c>
      <c r="L40" s="829">
        <f t="shared" si="9"/>
        <v>6440622.9506612588</v>
      </c>
      <c r="M40" s="829">
        <f t="shared" si="10"/>
        <v>2059674.221357838</v>
      </c>
      <c r="N40" s="829">
        <f t="shared" si="11"/>
        <v>3901208.548949027</v>
      </c>
      <c r="O40" s="829">
        <f t="shared" si="12"/>
        <v>12401505.720968124</v>
      </c>
      <c r="P40" s="829">
        <f t="shared" si="13"/>
        <v>9520484.3012519684</v>
      </c>
      <c r="Q40" s="829">
        <f t="shared" si="14"/>
        <v>1638320.5366887345</v>
      </c>
      <c r="R40" s="829">
        <f t="shared" si="15"/>
        <v>3646419.8955779164</v>
      </c>
      <c r="S40" s="722">
        <f t="shared" si="16"/>
        <v>14805224.733518619</v>
      </c>
      <c r="AB40" s="817">
        <f t="shared" si="20"/>
        <v>6</v>
      </c>
      <c r="AC40" s="817" t="s">
        <v>2101</v>
      </c>
      <c r="AD40" s="817" t="s">
        <v>2110</v>
      </c>
      <c r="AE40" s="817">
        <v>10767224</v>
      </c>
      <c r="AF40" s="817">
        <v>3002994</v>
      </c>
      <c r="AG40" s="817">
        <v>3170306</v>
      </c>
      <c r="AH40" s="817">
        <f t="shared" si="17"/>
        <v>16940524</v>
      </c>
      <c r="AJ40" s="817">
        <f t="shared" si="21"/>
        <v>6</v>
      </c>
      <c r="AK40" s="817" t="s">
        <v>2101</v>
      </c>
      <c r="AL40" s="817" t="s">
        <v>2110</v>
      </c>
      <c r="AM40" s="817">
        <v>6440622.9506612588</v>
      </c>
      <c r="AN40" s="817">
        <v>2059674.221357838</v>
      </c>
      <c r="AO40" s="817">
        <v>3901208.548949027</v>
      </c>
      <c r="AP40" s="817">
        <f t="shared" si="18"/>
        <v>12401505.720968124</v>
      </c>
      <c r="AR40" s="817">
        <f t="shared" si="22"/>
        <v>6</v>
      </c>
      <c r="AS40" s="817" t="s">
        <v>2101</v>
      </c>
      <c r="AT40" s="817" t="s">
        <v>2111</v>
      </c>
      <c r="AU40" s="817">
        <v>10496148.794473933</v>
      </c>
      <c r="AV40" s="817">
        <v>1806216.5307983353</v>
      </c>
      <c r="AW40" s="817">
        <v>4020107.0218752278</v>
      </c>
      <c r="AX40" s="817">
        <f t="shared" si="19"/>
        <v>16322472.347147495</v>
      </c>
    </row>
    <row r="41" spans="2:50" x14ac:dyDescent="0.3">
      <c r="B41" s="153">
        <v>2014</v>
      </c>
      <c r="C41" s="818" t="s">
        <v>2112</v>
      </c>
      <c r="F41" s="153" t="s">
        <v>2161</v>
      </c>
      <c r="G41" s="828" t="s">
        <v>2111</v>
      </c>
      <c r="H41" s="829">
        <f t="shared" si="5"/>
        <v>0</v>
      </c>
      <c r="I41" s="829">
        <f t="shared" si="6"/>
        <v>0</v>
      </c>
      <c r="J41" s="829">
        <f t="shared" si="7"/>
        <v>0</v>
      </c>
      <c r="K41" s="829">
        <f t="shared" si="8"/>
        <v>0</v>
      </c>
      <c r="L41" s="829">
        <f t="shared" si="9"/>
        <v>0</v>
      </c>
      <c r="M41" s="829">
        <f t="shared" si="10"/>
        <v>0</v>
      </c>
      <c r="N41" s="829">
        <f t="shared" si="11"/>
        <v>0</v>
      </c>
      <c r="O41" s="829">
        <f t="shared" si="12"/>
        <v>0</v>
      </c>
      <c r="P41" s="829">
        <f t="shared" si="13"/>
        <v>10496148.794473933</v>
      </c>
      <c r="Q41" s="829">
        <f t="shared" si="14"/>
        <v>1806216.5307983353</v>
      </c>
      <c r="R41" s="829">
        <f t="shared" si="15"/>
        <v>4020107.0218752278</v>
      </c>
      <c r="S41" s="722">
        <f t="shared" si="16"/>
        <v>16322472.347147495</v>
      </c>
      <c r="AB41" s="817">
        <f t="shared" si="20"/>
        <v>7</v>
      </c>
      <c r="AC41" s="817" t="s">
        <v>2101</v>
      </c>
      <c r="AD41" s="817" t="s">
        <v>2112</v>
      </c>
      <c r="AE41" s="817">
        <v>10380612</v>
      </c>
      <c r="AF41" s="817">
        <v>2895168</v>
      </c>
      <c r="AG41" s="817">
        <v>3056472</v>
      </c>
      <c r="AH41" s="817">
        <f t="shared" si="17"/>
        <v>16332252</v>
      </c>
      <c r="AJ41" s="817">
        <f t="shared" si="21"/>
        <v>7</v>
      </c>
      <c r="AK41" s="817" t="s">
        <v>2101</v>
      </c>
      <c r="AL41" s="817" t="s">
        <v>2112</v>
      </c>
      <c r="AM41" s="817">
        <v>6587199.9317525132</v>
      </c>
      <c r="AN41" s="817">
        <v>2106548.6978969621</v>
      </c>
      <c r="AO41" s="817">
        <v>3989993.0308373258</v>
      </c>
      <c r="AP41" s="817">
        <f t="shared" si="18"/>
        <v>12683741.660486801</v>
      </c>
      <c r="AR41" s="817">
        <f t="shared" si="22"/>
        <v>7</v>
      </c>
      <c r="AS41" s="817" t="s">
        <v>2101</v>
      </c>
      <c r="AT41" s="817" t="s">
        <v>2110</v>
      </c>
      <c r="AU41" s="817">
        <v>9520484.3012519684</v>
      </c>
      <c r="AV41" s="817">
        <v>1638320.5366887345</v>
      </c>
      <c r="AW41" s="817">
        <v>3646419.8955779164</v>
      </c>
      <c r="AX41" s="817">
        <f t="shared" si="19"/>
        <v>14805224.733518619</v>
      </c>
    </row>
    <row r="42" spans="2:50" x14ac:dyDescent="0.3">
      <c r="B42" s="153">
        <v>2014</v>
      </c>
      <c r="C42" s="818" t="s">
        <v>2113</v>
      </c>
      <c r="F42" s="153" t="s">
        <v>2161</v>
      </c>
      <c r="G42" s="828" t="s">
        <v>2112</v>
      </c>
      <c r="H42" s="829">
        <f t="shared" si="5"/>
        <v>10380612</v>
      </c>
      <c r="I42" s="829">
        <f t="shared" si="6"/>
        <v>2895168</v>
      </c>
      <c r="J42" s="829">
        <f t="shared" si="7"/>
        <v>3056472</v>
      </c>
      <c r="K42" s="829">
        <f t="shared" si="8"/>
        <v>16332252</v>
      </c>
      <c r="L42" s="829">
        <f t="shared" si="9"/>
        <v>6587199.9317525132</v>
      </c>
      <c r="M42" s="829">
        <f t="shared" si="10"/>
        <v>2106548.6978969621</v>
      </c>
      <c r="N42" s="829">
        <f t="shared" si="11"/>
        <v>3989993.0308373258</v>
      </c>
      <c r="O42" s="829">
        <f t="shared" si="12"/>
        <v>12683741.660486801</v>
      </c>
      <c r="P42" s="829">
        <f t="shared" si="13"/>
        <v>10978079.654896643</v>
      </c>
      <c r="Q42" s="829">
        <f t="shared" si="14"/>
        <v>1889148.9952519317</v>
      </c>
      <c r="R42" s="829">
        <f t="shared" si="15"/>
        <v>4204690.3079909626</v>
      </c>
      <c r="S42" s="722">
        <f t="shared" si="16"/>
        <v>17071918.958139539</v>
      </c>
      <c r="AB42" s="817">
        <f t="shared" si="20"/>
        <v>8</v>
      </c>
      <c r="AC42" s="817" t="s">
        <v>2101</v>
      </c>
      <c r="AD42" s="817" t="s">
        <v>2113</v>
      </c>
      <c r="AE42" s="817">
        <v>10899642</v>
      </c>
      <c r="AF42" s="817">
        <v>3039926</v>
      </c>
      <c r="AG42" s="817">
        <v>3209296</v>
      </c>
      <c r="AH42" s="817">
        <f t="shared" si="17"/>
        <v>17148864</v>
      </c>
      <c r="AJ42" s="817">
        <f t="shared" si="21"/>
        <v>8</v>
      </c>
      <c r="AK42" s="817" t="s">
        <v>2101</v>
      </c>
      <c r="AL42" s="817" t="s">
        <v>2113</v>
      </c>
      <c r="AM42" s="817">
        <v>7084685.2457273845</v>
      </c>
      <c r="AN42" s="817">
        <v>2265641.6434936221</v>
      </c>
      <c r="AO42" s="817">
        <v>4291329.40384393</v>
      </c>
      <c r="AP42" s="817">
        <f t="shared" si="18"/>
        <v>13641656.293064937</v>
      </c>
      <c r="AR42" s="817">
        <f t="shared" si="22"/>
        <v>8</v>
      </c>
      <c r="AS42" s="817" t="s">
        <v>2101</v>
      </c>
      <c r="AT42" s="817" t="s">
        <v>2112</v>
      </c>
      <c r="AU42" s="817">
        <v>10978079.654896643</v>
      </c>
      <c r="AV42" s="817">
        <v>1889148.9952519317</v>
      </c>
      <c r="AW42" s="817">
        <v>4204690.3079909626</v>
      </c>
      <c r="AX42" s="817">
        <f t="shared" si="19"/>
        <v>17071918.958139539</v>
      </c>
    </row>
    <row r="43" spans="2:50" x14ac:dyDescent="0.3">
      <c r="B43" s="153">
        <v>2014</v>
      </c>
      <c r="C43" s="820" t="s">
        <v>2114</v>
      </c>
      <c r="F43" s="153" t="s">
        <v>2161</v>
      </c>
      <c r="G43" s="828" t="s">
        <v>2113</v>
      </c>
      <c r="H43" s="829">
        <f t="shared" si="5"/>
        <v>10899642</v>
      </c>
      <c r="I43" s="829">
        <f t="shared" si="6"/>
        <v>3039926</v>
      </c>
      <c r="J43" s="829">
        <f t="shared" si="7"/>
        <v>3209296</v>
      </c>
      <c r="K43" s="829">
        <f t="shared" si="8"/>
        <v>17148864</v>
      </c>
      <c r="L43" s="829">
        <f t="shared" si="9"/>
        <v>7084685.2457273845</v>
      </c>
      <c r="M43" s="829">
        <f t="shared" si="10"/>
        <v>2265641.6434936221</v>
      </c>
      <c r="N43" s="829">
        <f t="shared" si="11"/>
        <v>4291329.40384393</v>
      </c>
      <c r="O43" s="829">
        <f t="shared" si="12"/>
        <v>13641656.293064937</v>
      </c>
      <c r="P43" s="829">
        <f t="shared" si="13"/>
        <v>10472532.731377166</v>
      </c>
      <c r="Q43" s="829">
        <f t="shared" si="14"/>
        <v>1802152.5903576079</v>
      </c>
      <c r="R43" s="829">
        <f t="shared" si="15"/>
        <v>4011061.8851357088</v>
      </c>
      <c r="S43" s="722">
        <f t="shared" si="16"/>
        <v>16285747.206870481</v>
      </c>
      <c r="AB43" s="817">
        <f t="shared" si="20"/>
        <v>9</v>
      </c>
      <c r="AC43" s="817" t="s">
        <v>2098</v>
      </c>
      <c r="AD43" s="821" t="s">
        <v>2114</v>
      </c>
      <c r="AE43" s="817">
        <v>21643282</v>
      </c>
      <c r="AF43" s="817">
        <v>6036343</v>
      </c>
      <c r="AG43" s="817">
        <v>6372658</v>
      </c>
      <c r="AH43" s="817">
        <f t="shared" si="17"/>
        <v>34052283</v>
      </c>
      <c r="AJ43" s="817">
        <f t="shared" si="21"/>
        <v>9</v>
      </c>
      <c r="AK43" s="817" t="s">
        <v>2098</v>
      </c>
      <c r="AL43" s="817" t="s">
        <v>2114</v>
      </c>
      <c r="AM43" s="817">
        <v>12789063.741748948</v>
      </c>
      <c r="AN43" s="817">
        <v>4089869.1176259685</v>
      </c>
      <c r="AO43" s="817">
        <v>7746580.6001331825</v>
      </c>
      <c r="AP43" s="817">
        <f t="shared" si="18"/>
        <v>24625513.459508099</v>
      </c>
      <c r="AR43" s="817">
        <f t="shared" si="22"/>
        <v>9</v>
      </c>
      <c r="AS43" s="817" t="s">
        <v>2101</v>
      </c>
      <c r="AT43" s="817" t="s">
        <v>2113</v>
      </c>
      <c r="AU43" s="817">
        <v>10472532.731377166</v>
      </c>
      <c r="AV43" s="817">
        <v>1802152.5903576079</v>
      </c>
      <c r="AW43" s="817">
        <v>4011061.8851357088</v>
      </c>
      <c r="AX43" s="817">
        <f t="shared" si="19"/>
        <v>16285747.206870481</v>
      </c>
    </row>
    <row r="44" spans="2:50" x14ac:dyDescent="0.3">
      <c r="B44" s="153">
        <v>2014</v>
      </c>
      <c r="C44" s="820" t="s">
        <v>2115</v>
      </c>
      <c r="F44" s="153" t="s">
        <v>2161</v>
      </c>
      <c r="G44" s="828" t="s">
        <v>2116</v>
      </c>
      <c r="H44" s="829">
        <f t="shared" si="5"/>
        <v>0</v>
      </c>
      <c r="I44" s="829">
        <f t="shared" si="6"/>
        <v>0</v>
      </c>
      <c r="J44" s="829">
        <f t="shared" si="7"/>
        <v>0</v>
      </c>
      <c r="K44" s="829">
        <f t="shared" si="8"/>
        <v>0</v>
      </c>
      <c r="L44" s="829">
        <f t="shared" si="9"/>
        <v>0</v>
      </c>
      <c r="M44" s="829">
        <f t="shared" si="10"/>
        <v>0</v>
      </c>
      <c r="N44" s="829">
        <f t="shared" si="11"/>
        <v>0</v>
      </c>
      <c r="O44" s="829">
        <f t="shared" si="12"/>
        <v>0</v>
      </c>
      <c r="P44" s="829">
        <f t="shared" si="13"/>
        <v>11545763.673921326</v>
      </c>
      <c r="Q44" s="829">
        <f t="shared" si="14"/>
        <v>1986838.1838781692</v>
      </c>
      <c r="R44" s="829">
        <f t="shared" si="15"/>
        <v>4422117.7240627501</v>
      </c>
      <c r="S44" s="722">
        <f t="shared" si="16"/>
        <v>17954719.581862245</v>
      </c>
      <c r="AB44" s="817">
        <f t="shared" si="20"/>
        <v>10</v>
      </c>
      <c r="AC44" s="817" t="s">
        <v>2101</v>
      </c>
      <c r="AD44" s="821" t="s">
        <v>2115</v>
      </c>
      <c r="AE44" s="817">
        <v>12354867</v>
      </c>
      <c r="AF44" s="817">
        <v>3445791</v>
      </c>
      <c r="AG44" s="817">
        <v>3637773</v>
      </c>
      <c r="AH44" s="817">
        <f t="shared" si="17"/>
        <v>19438431</v>
      </c>
      <c r="AJ44" s="817">
        <f t="shared" si="21"/>
        <v>10</v>
      </c>
      <c r="AK44" s="817" t="s">
        <v>2101</v>
      </c>
      <c r="AL44" s="817" t="s">
        <v>2115</v>
      </c>
      <c r="AM44" s="817">
        <v>6828236.1496744417</v>
      </c>
      <c r="AN44" s="817">
        <v>2183630.6957519078</v>
      </c>
      <c r="AO44" s="817">
        <v>4135993.2797521953</v>
      </c>
      <c r="AP44" s="817">
        <f t="shared" si="18"/>
        <v>13147860.125178544</v>
      </c>
      <c r="AR44" s="817">
        <f t="shared" si="22"/>
        <v>10</v>
      </c>
      <c r="AS44" s="817" t="s">
        <v>2098</v>
      </c>
      <c r="AT44" s="817" t="s">
        <v>2114</v>
      </c>
      <c r="AU44" s="817">
        <v>19398988.214311358</v>
      </c>
      <c r="AV44" s="817">
        <v>3338250.4268516712</v>
      </c>
      <c r="AW44" s="817">
        <v>7429964.100612442</v>
      </c>
      <c r="AX44" s="817">
        <f t="shared" si="19"/>
        <v>30167202.741775472</v>
      </c>
    </row>
    <row r="45" spans="2:50" x14ac:dyDescent="0.3">
      <c r="B45" s="153">
        <v>2014</v>
      </c>
      <c r="C45" s="818" t="s">
        <v>2117</v>
      </c>
      <c r="F45" s="153" t="s">
        <v>2161</v>
      </c>
      <c r="G45" s="828" t="s">
        <v>2118</v>
      </c>
      <c r="H45" s="829">
        <f t="shared" si="5"/>
        <v>10947410</v>
      </c>
      <c r="I45" s="829">
        <f t="shared" si="6"/>
        <v>3053249</v>
      </c>
      <c r="J45" s="829">
        <f t="shared" si="7"/>
        <v>3223360</v>
      </c>
      <c r="K45" s="829">
        <f t="shared" si="8"/>
        <v>17224019</v>
      </c>
      <c r="L45" s="829">
        <f t="shared" si="9"/>
        <v>6468909.9850557232</v>
      </c>
      <c r="M45" s="829">
        <f t="shared" si="10"/>
        <v>2068720.2524618574</v>
      </c>
      <c r="N45" s="829">
        <f t="shared" si="11"/>
        <v>3918342.5468944856</v>
      </c>
      <c r="O45" s="829">
        <f t="shared" si="12"/>
        <v>12455972.784412066</v>
      </c>
      <c r="P45" s="829">
        <f t="shared" si="13"/>
        <v>12689468.749639027</v>
      </c>
      <c r="Q45" s="829">
        <f t="shared" si="14"/>
        <v>2183651.2297457042</v>
      </c>
      <c r="R45" s="829">
        <f t="shared" si="15"/>
        <v>4860165.7067921637</v>
      </c>
      <c r="S45" s="722">
        <f t="shared" si="16"/>
        <v>19733285.686176896</v>
      </c>
      <c r="AB45" s="817">
        <f t="shared" si="20"/>
        <v>11</v>
      </c>
      <c r="AC45" s="817" t="s">
        <v>2101</v>
      </c>
      <c r="AD45" s="817" t="s">
        <v>2117</v>
      </c>
      <c r="AE45" s="817">
        <v>16635945</v>
      </c>
      <c r="AF45" s="817">
        <v>4639790</v>
      </c>
      <c r="AG45" s="817">
        <v>4898295</v>
      </c>
      <c r="AH45" s="817">
        <f t="shared" si="17"/>
        <v>26174030</v>
      </c>
      <c r="AJ45" s="817">
        <f t="shared" si="21"/>
        <v>11</v>
      </c>
      <c r="AK45" s="817" t="s">
        <v>2101</v>
      </c>
      <c r="AL45" s="817" t="s">
        <v>2117</v>
      </c>
      <c r="AM45" s="817">
        <v>9749986.0260179117</v>
      </c>
      <c r="AN45" s="817">
        <v>3117989.5221667103</v>
      </c>
      <c r="AO45" s="817">
        <v>5905753.0813738136</v>
      </c>
      <c r="AP45" s="817">
        <f t="shared" si="18"/>
        <v>18773728.629558437</v>
      </c>
      <c r="AR45" s="817">
        <f t="shared" si="22"/>
        <v>11</v>
      </c>
      <c r="AS45" s="817" t="s">
        <v>2101</v>
      </c>
      <c r="AT45" s="817" t="s">
        <v>2116</v>
      </c>
      <c r="AU45" s="817">
        <v>11545763.673921326</v>
      </c>
      <c r="AV45" s="817">
        <v>1986838.1838781692</v>
      </c>
      <c r="AW45" s="817">
        <v>4422117.7240627501</v>
      </c>
      <c r="AX45" s="817">
        <f t="shared" si="19"/>
        <v>17954719.581862245</v>
      </c>
    </row>
    <row r="46" spans="2:50" x14ac:dyDescent="0.3">
      <c r="B46" s="153">
        <v>2014</v>
      </c>
      <c r="C46" s="818" t="s">
        <v>2118</v>
      </c>
      <c r="F46" s="153" t="s">
        <v>2161</v>
      </c>
      <c r="G46" s="828" t="s">
        <v>2119</v>
      </c>
      <c r="H46" s="829">
        <f t="shared" si="5"/>
        <v>12042160</v>
      </c>
      <c r="I46" s="829">
        <f t="shared" si="6"/>
        <v>3358576</v>
      </c>
      <c r="J46" s="829">
        <f t="shared" si="7"/>
        <v>3545699</v>
      </c>
      <c r="K46" s="829">
        <f t="shared" si="8"/>
        <v>18946435</v>
      </c>
      <c r="L46" s="829">
        <f t="shared" si="9"/>
        <v>7115739.5868115472</v>
      </c>
      <c r="M46" s="829">
        <f t="shared" si="10"/>
        <v>2275572.6433801684</v>
      </c>
      <c r="N46" s="829">
        <f t="shared" si="11"/>
        <v>4310139.6123979148</v>
      </c>
      <c r="O46" s="829">
        <f t="shared" si="12"/>
        <v>13701451.84258963</v>
      </c>
      <c r="P46" s="829">
        <f t="shared" si="13"/>
        <v>13839249.73666653</v>
      </c>
      <c r="Q46" s="829">
        <f t="shared" si="14"/>
        <v>2381509.8411499257</v>
      </c>
      <c r="R46" s="829">
        <f t="shared" si="15"/>
        <v>5300540.8110400615</v>
      </c>
      <c r="S46" s="722">
        <f t="shared" si="16"/>
        <v>21521300.388856519</v>
      </c>
      <c r="AB46" s="817">
        <f t="shared" si="20"/>
        <v>12</v>
      </c>
      <c r="AC46" s="817" t="s">
        <v>2101</v>
      </c>
      <c r="AD46" s="817" t="s">
        <v>2118</v>
      </c>
      <c r="AE46" s="817">
        <v>10947410</v>
      </c>
      <c r="AF46" s="817">
        <v>3053249</v>
      </c>
      <c r="AG46" s="817">
        <v>3223360</v>
      </c>
      <c r="AH46" s="817">
        <f t="shared" si="17"/>
        <v>17224019</v>
      </c>
      <c r="AJ46" s="817">
        <f t="shared" si="21"/>
        <v>12</v>
      </c>
      <c r="AK46" s="817" t="s">
        <v>2101</v>
      </c>
      <c r="AL46" s="817" t="s">
        <v>2118</v>
      </c>
      <c r="AM46" s="817">
        <v>6468909.9850557232</v>
      </c>
      <c r="AN46" s="817">
        <v>2068720.2524618574</v>
      </c>
      <c r="AO46" s="817">
        <v>3918342.5468944856</v>
      </c>
      <c r="AP46" s="817">
        <f t="shared" si="18"/>
        <v>12455972.784412066</v>
      </c>
      <c r="AR46" s="817">
        <f t="shared" si="22"/>
        <v>12</v>
      </c>
      <c r="AS46" s="817" t="s">
        <v>2101</v>
      </c>
      <c r="AT46" s="817" t="s">
        <v>2117</v>
      </c>
      <c r="AU46" s="817">
        <v>14339747.259836663</v>
      </c>
      <c r="AV46" s="817">
        <v>2467637.326351875</v>
      </c>
      <c r="AW46" s="817">
        <v>5492235.2740974743</v>
      </c>
      <c r="AX46" s="817">
        <f t="shared" si="19"/>
        <v>22299619.860286012</v>
      </c>
    </row>
    <row r="47" spans="2:50" x14ac:dyDescent="0.3">
      <c r="B47" s="153">
        <v>2014</v>
      </c>
      <c r="C47" s="818" t="s">
        <v>2119</v>
      </c>
      <c r="F47" s="153" t="s">
        <v>2161</v>
      </c>
      <c r="G47" s="830" t="s">
        <v>2115</v>
      </c>
      <c r="H47" s="829">
        <f t="shared" si="5"/>
        <v>12354867</v>
      </c>
      <c r="I47" s="829">
        <f t="shared" si="6"/>
        <v>3445791</v>
      </c>
      <c r="J47" s="829">
        <f t="shared" si="7"/>
        <v>3637773</v>
      </c>
      <c r="K47" s="829">
        <f t="shared" si="8"/>
        <v>19438431</v>
      </c>
      <c r="L47" s="829">
        <f t="shared" si="9"/>
        <v>6828236.1496744417</v>
      </c>
      <c r="M47" s="829">
        <f t="shared" si="10"/>
        <v>2183630.6957519078</v>
      </c>
      <c r="N47" s="829">
        <f t="shared" si="11"/>
        <v>4135993.2797521953</v>
      </c>
      <c r="O47" s="829">
        <f t="shared" si="12"/>
        <v>13147860.125178544</v>
      </c>
      <c r="P47" s="829">
        <f t="shared" si="13"/>
        <v>0</v>
      </c>
      <c r="Q47" s="829">
        <f t="shared" si="14"/>
        <v>0</v>
      </c>
      <c r="R47" s="829">
        <f t="shared" si="15"/>
        <v>0</v>
      </c>
      <c r="S47" s="722">
        <f t="shared" si="16"/>
        <v>0</v>
      </c>
      <c r="AB47" s="817">
        <f t="shared" si="20"/>
        <v>13</v>
      </c>
      <c r="AC47" s="817" t="s">
        <v>2101</v>
      </c>
      <c r="AD47" s="817" t="s">
        <v>2119</v>
      </c>
      <c r="AE47" s="817">
        <v>12042160</v>
      </c>
      <c r="AF47" s="817">
        <v>3358576</v>
      </c>
      <c r="AG47" s="817">
        <v>3545699</v>
      </c>
      <c r="AH47" s="817">
        <f t="shared" si="17"/>
        <v>18946435</v>
      </c>
      <c r="AJ47" s="817">
        <f t="shared" si="21"/>
        <v>13</v>
      </c>
      <c r="AK47" s="817" t="s">
        <v>2101</v>
      </c>
      <c r="AL47" s="817" t="s">
        <v>2119</v>
      </c>
      <c r="AM47" s="817">
        <v>7115739.5868115472</v>
      </c>
      <c r="AN47" s="817">
        <v>2275572.6433801684</v>
      </c>
      <c r="AO47" s="817">
        <v>4310139.6123979148</v>
      </c>
      <c r="AP47" s="817">
        <f t="shared" si="18"/>
        <v>13701451.84258963</v>
      </c>
      <c r="AR47" s="817">
        <f t="shared" si="22"/>
        <v>13</v>
      </c>
      <c r="AS47" s="817" t="s">
        <v>2101</v>
      </c>
      <c r="AT47" s="817" t="s">
        <v>2118</v>
      </c>
      <c r="AU47" s="817">
        <v>12689468.749639027</v>
      </c>
      <c r="AV47" s="817">
        <v>2183651.2297457042</v>
      </c>
      <c r="AW47" s="817">
        <v>4860165.7067921637</v>
      </c>
      <c r="AX47" s="817">
        <f t="shared" si="19"/>
        <v>19733285.686176896</v>
      </c>
    </row>
    <row r="48" spans="2:50" x14ac:dyDescent="0.3">
      <c r="B48" s="153">
        <v>2014</v>
      </c>
      <c r="C48" s="818" t="s">
        <v>2120</v>
      </c>
      <c r="F48" s="153" t="s">
        <v>2161</v>
      </c>
      <c r="G48" s="828" t="s">
        <v>2117</v>
      </c>
      <c r="H48" s="829">
        <f t="shared" si="5"/>
        <v>16635945</v>
      </c>
      <c r="I48" s="829">
        <f t="shared" si="6"/>
        <v>4639790</v>
      </c>
      <c r="J48" s="829">
        <f t="shared" si="7"/>
        <v>4898295</v>
      </c>
      <c r="K48" s="829">
        <f t="shared" si="8"/>
        <v>26174030</v>
      </c>
      <c r="L48" s="829">
        <f t="shared" si="9"/>
        <v>9749986.0260179117</v>
      </c>
      <c r="M48" s="829">
        <f t="shared" si="10"/>
        <v>3117989.5221667103</v>
      </c>
      <c r="N48" s="829">
        <f t="shared" si="11"/>
        <v>5905753.0813738136</v>
      </c>
      <c r="O48" s="829">
        <f t="shared" si="12"/>
        <v>18773728.629558437</v>
      </c>
      <c r="P48" s="829">
        <f t="shared" si="13"/>
        <v>14339747.259836663</v>
      </c>
      <c r="Q48" s="829">
        <f t="shared" si="14"/>
        <v>2467637.326351875</v>
      </c>
      <c r="R48" s="829">
        <f t="shared" si="15"/>
        <v>5492235.2740974743</v>
      </c>
      <c r="S48" s="722">
        <f t="shared" si="16"/>
        <v>22299619.860286012</v>
      </c>
      <c r="AB48" s="817">
        <f t="shared" si="20"/>
        <v>14</v>
      </c>
      <c r="AC48" s="817" t="s">
        <v>2101</v>
      </c>
      <c r="AD48" s="817" t="s">
        <v>2120</v>
      </c>
      <c r="AE48" s="817">
        <v>29811118</v>
      </c>
      <c r="AF48" s="817">
        <v>8314365</v>
      </c>
      <c r="AG48" s="817">
        <v>8777599</v>
      </c>
      <c r="AH48" s="817">
        <f t="shared" si="17"/>
        <v>46903082</v>
      </c>
      <c r="AJ48" s="817">
        <f t="shared" si="21"/>
        <v>14</v>
      </c>
      <c r="AK48" s="817" t="s">
        <v>2101</v>
      </c>
      <c r="AL48" s="817" t="s">
        <v>2121</v>
      </c>
      <c r="AM48" s="817">
        <v>8625136.8485910948</v>
      </c>
      <c r="AN48" s="817">
        <v>2758269.2169400686</v>
      </c>
      <c r="AO48" s="817">
        <v>5224410.4129902795</v>
      </c>
      <c r="AP48" s="817">
        <f t="shared" si="18"/>
        <v>16607816.478521444</v>
      </c>
      <c r="AR48" s="817">
        <f t="shared" si="22"/>
        <v>14</v>
      </c>
      <c r="AS48" s="817" t="s">
        <v>2101</v>
      </c>
      <c r="AT48" s="817" t="s">
        <v>2119</v>
      </c>
      <c r="AU48" s="817">
        <v>13839249.73666653</v>
      </c>
      <c r="AV48" s="817">
        <v>2381509.8411499257</v>
      </c>
      <c r="AW48" s="817">
        <v>5300540.8110400615</v>
      </c>
      <c r="AX48" s="817">
        <f t="shared" si="19"/>
        <v>21521300.388856519</v>
      </c>
    </row>
    <row r="49" spans="2:50" x14ac:dyDescent="0.3">
      <c r="B49" s="153">
        <v>2014</v>
      </c>
      <c r="C49" s="818" t="s">
        <v>2122</v>
      </c>
      <c r="F49" s="153" t="s">
        <v>2161</v>
      </c>
      <c r="G49" s="828" t="s">
        <v>2121</v>
      </c>
      <c r="H49" s="829">
        <f t="shared" si="5"/>
        <v>0</v>
      </c>
      <c r="I49" s="829">
        <f t="shared" si="6"/>
        <v>0</v>
      </c>
      <c r="J49" s="829">
        <f t="shared" si="7"/>
        <v>0</v>
      </c>
      <c r="K49" s="829">
        <f t="shared" si="8"/>
        <v>0</v>
      </c>
      <c r="L49" s="829">
        <f t="shared" si="9"/>
        <v>8625136.8485910948</v>
      </c>
      <c r="M49" s="829">
        <f t="shared" si="10"/>
        <v>2758269.2169400686</v>
      </c>
      <c r="N49" s="829">
        <f t="shared" si="11"/>
        <v>5224410.4129902795</v>
      </c>
      <c r="O49" s="829">
        <f t="shared" si="12"/>
        <v>16607816.478521444</v>
      </c>
      <c r="P49" s="829">
        <f t="shared" si="13"/>
        <v>0</v>
      </c>
      <c r="Q49" s="829">
        <f t="shared" si="14"/>
        <v>0</v>
      </c>
      <c r="R49" s="829">
        <f t="shared" si="15"/>
        <v>0</v>
      </c>
      <c r="S49" s="722">
        <f t="shared" si="16"/>
        <v>0</v>
      </c>
      <c r="AB49" s="817">
        <f t="shared" si="20"/>
        <v>15</v>
      </c>
      <c r="AC49" s="817" t="s">
        <v>2101</v>
      </c>
      <c r="AD49" s="817" t="s">
        <v>2122</v>
      </c>
      <c r="AE49" s="817">
        <v>32113571</v>
      </c>
      <c r="AF49" s="817">
        <v>8956522</v>
      </c>
      <c r="AG49" s="817">
        <v>9455535</v>
      </c>
      <c r="AH49" s="817">
        <f t="shared" si="17"/>
        <v>50525628</v>
      </c>
      <c r="AJ49" s="817">
        <f t="shared" si="21"/>
        <v>15</v>
      </c>
      <c r="AK49" s="817" t="s">
        <v>2101</v>
      </c>
      <c r="AL49" s="817" t="s">
        <v>2120</v>
      </c>
      <c r="AM49" s="817">
        <v>17615456.167161401</v>
      </c>
      <c r="AN49" s="817">
        <v>5633321.6899828315</v>
      </c>
      <c r="AO49" s="817">
        <v>10670018.835043168</v>
      </c>
      <c r="AP49" s="817">
        <f t="shared" si="18"/>
        <v>33918796.692187399</v>
      </c>
      <c r="AR49" s="817">
        <f t="shared" si="22"/>
        <v>15</v>
      </c>
      <c r="AS49" s="817" t="s">
        <v>2101</v>
      </c>
      <c r="AT49" s="817" t="s">
        <v>2104</v>
      </c>
      <c r="AU49" s="817">
        <v>8741137.1515576672</v>
      </c>
      <c r="AV49" s="817">
        <v>1504207.5651053353</v>
      </c>
      <c r="AW49" s="817">
        <v>3347923.8461874947</v>
      </c>
      <c r="AX49" s="817">
        <f t="shared" si="19"/>
        <v>13593268.562850498</v>
      </c>
    </row>
    <row r="50" spans="2:50" x14ac:dyDescent="0.3">
      <c r="B50" s="153">
        <v>2014</v>
      </c>
      <c r="C50" s="818" t="s">
        <v>2100</v>
      </c>
      <c r="F50" s="153" t="s">
        <v>2161</v>
      </c>
      <c r="G50" s="828" t="s">
        <v>2120</v>
      </c>
      <c r="H50" s="829">
        <f t="shared" si="5"/>
        <v>29811118</v>
      </c>
      <c r="I50" s="829">
        <f t="shared" si="6"/>
        <v>8314365</v>
      </c>
      <c r="J50" s="829">
        <f t="shared" si="7"/>
        <v>8777599</v>
      </c>
      <c r="K50" s="829">
        <f t="shared" si="8"/>
        <v>46903082</v>
      </c>
      <c r="L50" s="829">
        <f t="shared" si="9"/>
        <v>17615456.167161401</v>
      </c>
      <c r="M50" s="829">
        <f t="shared" si="10"/>
        <v>5633321.6899828315</v>
      </c>
      <c r="N50" s="829">
        <f t="shared" si="11"/>
        <v>10670018.835043168</v>
      </c>
      <c r="O50" s="829">
        <f t="shared" si="12"/>
        <v>33918796.692187399</v>
      </c>
      <c r="P50" s="829">
        <f t="shared" si="13"/>
        <v>0</v>
      </c>
      <c r="Q50" s="829">
        <f t="shared" si="14"/>
        <v>0</v>
      </c>
      <c r="R50" s="829">
        <f t="shared" si="15"/>
        <v>0</v>
      </c>
      <c r="S50" s="722">
        <f t="shared" si="16"/>
        <v>0</v>
      </c>
      <c r="AB50" s="817">
        <f t="shared" si="20"/>
        <v>16</v>
      </c>
      <c r="AC50" s="817" t="s">
        <v>2098</v>
      </c>
      <c r="AD50" s="817" t="s">
        <v>2100</v>
      </c>
      <c r="AE50" s="817">
        <v>12574633</v>
      </c>
      <c r="AF50" s="817">
        <v>3507084</v>
      </c>
      <c r="AG50" s="817">
        <v>3702481</v>
      </c>
      <c r="AH50" s="817">
        <f t="shared" si="17"/>
        <v>19784198</v>
      </c>
      <c r="AJ50" s="817">
        <f t="shared" si="21"/>
        <v>16</v>
      </c>
      <c r="AK50" s="817" t="s">
        <v>2098</v>
      </c>
      <c r="AL50" s="817" t="s">
        <v>2100</v>
      </c>
      <c r="AM50" s="817">
        <v>7430379.0379577531</v>
      </c>
      <c r="AN50" s="817">
        <v>2376192.5324052637</v>
      </c>
      <c r="AO50" s="817">
        <v>4500722.7479193294</v>
      </c>
      <c r="AP50" s="817">
        <f t="shared" si="18"/>
        <v>14307294.318282347</v>
      </c>
      <c r="AR50" s="817">
        <f t="shared" si="22"/>
        <v>16</v>
      </c>
      <c r="AS50" s="817" t="s">
        <v>2101</v>
      </c>
      <c r="AT50" s="817" t="s">
        <v>2107</v>
      </c>
      <c r="AU50" s="817">
        <v>9201197.0016396493</v>
      </c>
      <c r="AV50" s="817">
        <v>1583376.3843214056</v>
      </c>
      <c r="AW50" s="817">
        <v>3524130.3644078895</v>
      </c>
      <c r="AX50" s="817">
        <f t="shared" si="19"/>
        <v>14308703.750368945</v>
      </c>
    </row>
    <row r="51" spans="2:50" x14ac:dyDescent="0.3">
      <c r="B51" s="153">
        <v>2014</v>
      </c>
      <c r="C51" s="818" t="s">
        <v>2097</v>
      </c>
      <c r="F51" s="153" t="s">
        <v>2161</v>
      </c>
      <c r="G51" s="828" t="s">
        <v>2122</v>
      </c>
      <c r="H51" s="829">
        <f t="shared" si="5"/>
        <v>32113571</v>
      </c>
      <c r="I51" s="829">
        <f t="shared" si="6"/>
        <v>8956522</v>
      </c>
      <c r="J51" s="829">
        <f t="shared" si="7"/>
        <v>9455535</v>
      </c>
      <c r="K51" s="829">
        <f t="shared" si="8"/>
        <v>50525628</v>
      </c>
      <c r="L51" s="829">
        <f t="shared" si="9"/>
        <v>0</v>
      </c>
      <c r="M51" s="829">
        <f t="shared" si="10"/>
        <v>0</v>
      </c>
      <c r="N51" s="829">
        <f t="shared" si="11"/>
        <v>0</v>
      </c>
      <c r="O51" s="829">
        <f t="shared" si="12"/>
        <v>0</v>
      </c>
      <c r="P51" s="829">
        <f t="shared" si="13"/>
        <v>0</v>
      </c>
      <c r="Q51" s="829">
        <f t="shared" si="14"/>
        <v>0</v>
      </c>
      <c r="R51" s="829">
        <f t="shared" si="15"/>
        <v>0</v>
      </c>
      <c r="S51" s="722">
        <f t="shared" si="16"/>
        <v>0</v>
      </c>
      <c r="AB51" s="817">
        <f t="shared" si="20"/>
        <v>17</v>
      </c>
      <c r="AC51" s="817" t="s">
        <v>2098</v>
      </c>
      <c r="AD51" s="817" t="s">
        <v>2097</v>
      </c>
      <c r="AE51" s="817">
        <v>20890319</v>
      </c>
      <c r="AF51" s="817">
        <v>5826341</v>
      </c>
      <c r="AG51" s="817">
        <v>6150955</v>
      </c>
      <c r="AH51" s="817">
        <f t="shared" si="17"/>
        <v>32867615</v>
      </c>
      <c r="AJ51" s="817">
        <f t="shared" si="21"/>
        <v>17</v>
      </c>
      <c r="AK51" s="817" t="s">
        <v>2098</v>
      </c>
      <c r="AL51" s="817" t="s">
        <v>2097</v>
      </c>
      <c r="AM51" s="817">
        <v>8173416.9417535281</v>
      </c>
      <c r="AN51" s="817">
        <v>2613811.7856457899</v>
      </c>
      <c r="AO51" s="817">
        <v>4950795.0227112621</v>
      </c>
      <c r="AP51" s="817">
        <f t="shared" si="18"/>
        <v>15738023.75011058</v>
      </c>
      <c r="AR51" s="817">
        <f t="shared" si="22"/>
        <v>17</v>
      </c>
      <c r="AS51" s="817" t="s">
        <v>2098</v>
      </c>
      <c r="AT51" s="817" t="s">
        <v>2100</v>
      </c>
      <c r="AU51" s="817">
        <v>11356482.030642254</v>
      </c>
      <c r="AV51" s="817">
        <v>1954265.8909579953</v>
      </c>
      <c r="AW51" s="817">
        <v>4349621.3753392166</v>
      </c>
      <c r="AX51" s="817">
        <f t="shared" si="19"/>
        <v>17660369.296939466</v>
      </c>
    </row>
    <row r="52" spans="2:50" x14ac:dyDescent="0.3">
      <c r="B52" s="153">
        <v>2014</v>
      </c>
      <c r="C52" s="818" t="s">
        <v>2123</v>
      </c>
      <c r="F52" s="153" t="s">
        <v>2098</v>
      </c>
      <c r="G52" s="830" t="s">
        <v>2114</v>
      </c>
      <c r="H52" s="829">
        <f t="shared" si="5"/>
        <v>21643282</v>
      </c>
      <c r="I52" s="829">
        <f t="shared" si="6"/>
        <v>6036343</v>
      </c>
      <c r="J52" s="829">
        <f t="shared" si="7"/>
        <v>6372658</v>
      </c>
      <c r="K52" s="829">
        <f t="shared" si="8"/>
        <v>34052283</v>
      </c>
      <c r="L52" s="829">
        <f t="shared" si="9"/>
        <v>12789063.741748948</v>
      </c>
      <c r="M52" s="829">
        <f t="shared" si="10"/>
        <v>4089869.1176259685</v>
      </c>
      <c r="N52" s="829">
        <f t="shared" si="11"/>
        <v>7746580.6001331825</v>
      </c>
      <c r="O52" s="829">
        <f t="shared" si="12"/>
        <v>24625513.459508099</v>
      </c>
      <c r="P52" s="829">
        <f t="shared" si="13"/>
        <v>19398988.214311358</v>
      </c>
      <c r="Q52" s="829">
        <f t="shared" si="14"/>
        <v>3338250.4268516712</v>
      </c>
      <c r="R52" s="829">
        <f t="shared" si="15"/>
        <v>7429964.100612442</v>
      </c>
      <c r="S52" s="722">
        <f t="shared" si="16"/>
        <v>30167202.741775472</v>
      </c>
      <c r="AB52" s="817">
        <f t="shared" si="20"/>
        <v>18</v>
      </c>
      <c r="AC52" s="817" t="s">
        <v>2124</v>
      </c>
      <c r="AD52" s="817" t="s">
        <v>2123</v>
      </c>
      <c r="AE52" s="817">
        <v>28765937</v>
      </c>
      <c r="AF52" s="817">
        <v>8022862</v>
      </c>
      <c r="AG52" s="817">
        <v>8469856</v>
      </c>
      <c r="AH52" s="817">
        <f t="shared" si="17"/>
        <v>45258655</v>
      </c>
      <c r="AJ52" s="817">
        <f t="shared" si="21"/>
        <v>18</v>
      </c>
      <c r="AK52" s="817" t="s">
        <v>2124</v>
      </c>
      <c r="AL52" s="817" t="s">
        <v>2123</v>
      </c>
      <c r="AM52" s="817">
        <v>28473788.266963702</v>
      </c>
      <c r="AN52" s="817">
        <v>4788531.4706039485</v>
      </c>
      <c r="AO52" s="817">
        <v>9069910.0451507885</v>
      </c>
      <c r="AP52" s="817">
        <f t="shared" si="18"/>
        <v>42332229.782718435</v>
      </c>
      <c r="AR52" s="817">
        <f t="shared" si="22"/>
        <v>18</v>
      </c>
      <c r="AS52" s="817" t="s">
        <v>2125</v>
      </c>
      <c r="AT52" s="817" t="s">
        <v>2097</v>
      </c>
      <c r="AU52" s="817">
        <v>18302454.853771724</v>
      </c>
      <c r="AV52" s="817">
        <v>3149554.8661121661</v>
      </c>
      <c r="AW52" s="817">
        <v>7009983.2534709964</v>
      </c>
      <c r="AX52" s="817">
        <f t="shared" si="19"/>
        <v>28461992.973354883</v>
      </c>
    </row>
    <row r="53" spans="2:50" x14ac:dyDescent="0.3">
      <c r="B53" s="153">
        <v>2014</v>
      </c>
      <c r="C53" s="818" t="s">
        <v>2126</v>
      </c>
      <c r="F53" s="153" t="s">
        <v>2098</v>
      </c>
      <c r="G53" s="828" t="s">
        <v>2096</v>
      </c>
      <c r="H53" s="829">
        <f t="shared" si="5"/>
        <v>5028022</v>
      </c>
      <c r="I53" s="829">
        <f t="shared" si="6"/>
        <v>1402323</v>
      </c>
      <c r="J53" s="829">
        <f t="shared" si="7"/>
        <v>1480453</v>
      </c>
      <c r="K53" s="829">
        <f t="shared" si="8"/>
        <v>7910798</v>
      </c>
      <c r="L53" s="829">
        <f t="shared" si="9"/>
        <v>2971069.683008437</v>
      </c>
      <c r="M53" s="829">
        <f t="shared" si="10"/>
        <v>950131.01726782497</v>
      </c>
      <c r="N53" s="829">
        <f t="shared" si="11"/>
        <v>1799633.7521490478</v>
      </c>
      <c r="O53" s="829">
        <f t="shared" si="12"/>
        <v>5720834.4524253104</v>
      </c>
      <c r="P53" s="829">
        <f t="shared" si="13"/>
        <v>4369687.1187316459</v>
      </c>
      <c r="Q53" s="829">
        <f t="shared" si="14"/>
        <v>751952.09812812356</v>
      </c>
      <c r="R53" s="829">
        <f t="shared" si="15"/>
        <v>1673624.3181555679</v>
      </c>
      <c r="S53" s="722">
        <f t="shared" si="16"/>
        <v>6795263.5350153372</v>
      </c>
      <c r="AB53" s="817">
        <f t="shared" si="20"/>
        <v>19</v>
      </c>
      <c r="AC53" s="817" t="s">
        <v>2124</v>
      </c>
      <c r="AD53" s="817" t="s">
        <v>2126</v>
      </c>
      <c r="AE53" s="817">
        <v>25889343</v>
      </c>
      <c r="AF53" s="817">
        <v>7220576</v>
      </c>
      <c r="AG53" s="817">
        <v>7622870</v>
      </c>
      <c r="AH53" s="817">
        <f t="shared" si="17"/>
        <v>40732789</v>
      </c>
      <c r="AJ53" s="817">
        <f t="shared" si="21"/>
        <v>19</v>
      </c>
      <c r="AK53" s="817" t="s">
        <v>2124</v>
      </c>
      <c r="AL53" s="817" t="s">
        <v>2127</v>
      </c>
      <c r="AM53" s="817">
        <v>49022395.2779276</v>
      </c>
      <c r="AN53" s="817">
        <v>8321812.5238069622</v>
      </c>
      <c r="AO53" s="817">
        <v>15762262.703479486</v>
      </c>
      <c r="AP53" s="817">
        <f t="shared" si="18"/>
        <v>73106470.50521405</v>
      </c>
      <c r="AR53" s="817">
        <f t="shared" si="22"/>
        <v>19</v>
      </c>
      <c r="AS53" s="817" t="s">
        <v>2124</v>
      </c>
      <c r="AT53" s="817" t="s">
        <v>2123</v>
      </c>
      <c r="AU53" s="817">
        <v>42010733.063507088</v>
      </c>
      <c r="AV53" s="817">
        <v>7229364.0282817502</v>
      </c>
      <c r="AW53" s="817">
        <v>16090439.101973051</v>
      </c>
      <c r="AX53" s="817">
        <f t="shared" si="19"/>
        <v>65330536.193761885</v>
      </c>
    </row>
    <row r="54" spans="2:50" x14ac:dyDescent="0.3">
      <c r="B54" s="153">
        <v>2014</v>
      </c>
      <c r="C54" s="818" t="s">
        <v>2128</v>
      </c>
      <c r="F54" s="153" t="s">
        <v>2098</v>
      </c>
      <c r="G54" s="828" t="s">
        <v>2102</v>
      </c>
      <c r="H54" s="829">
        <f t="shared" si="5"/>
        <v>0</v>
      </c>
      <c r="I54" s="829">
        <f t="shared" si="6"/>
        <v>0</v>
      </c>
      <c r="J54" s="829">
        <f t="shared" si="7"/>
        <v>0</v>
      </c>
      <c r="K54" s="829">
        <f t="shared" si="8"/>
        <v>0</v>
      </c>
      <c r="L54" s="829">
        <f t="shared" si="9"/>
        <v>3268176.6513092807</v>
      </c>
      <c r="M54" s="829">
        <f t="shared" si="10"/>
        <v>1045144.1189946076</v>
      </c>
      <c r="N54" s="829">
        <f t="shared" si="11"/>
        <v>1979597.1273639526</v>
      </c>
      <c r="O54" s="829">
        <f t="shared" si="12"/>
        <v>6292917.8976678411</v>
      </c>
      <c r="P54" s="829">
        <f t="shared" si="13"/>
        <v>6376478.9345365046</v>
      </c>
      <c r="Q54" s="829">
        <f t="shared" si="14"/>
        <v>1097288.3374053235</v>
      </c>
      <c r="R54" s="829">
        <f t="shared" si="15"/>
        <v>2442241.2678701417</v>
      </c>
      <c r="S54" s="722">
        <f t="shared" si="16"/>
        <v>9916008.5398119688</v>
      </c>
      <c r="AB54" s="817">
        <f t="shared" si="20"/>
        <v>20</v>
      </c>
      <c r="AC54" s="817" t="s">
        <v>2124</v>
      </c>
      <c r="AD54" s="817" t="s">
        <v>2128</v>
      </c>
      <c r="AE54" s="817">
        <v>49586155</v>
      </c>
      <c r="AF54" s="817">
        <v>13829652</v>
      </c>
      <c r="AG54" s="817">
        <v>14600170</v>
      </c>
      <c r="AH54" s="817">
        <f t="shared" si="17"/>
        <v>78015977</v>
      </c>
      <c r="AJ54" s="817">
        <f t="shared" si="21"/>
        <v>20</v>
      </c>
      <c r="AK54" s="817" t="s">
        <v>2124</v>
      </c>
      <c r="AL54" s="817" t="s">
        <v>2129</v>
      </c>
      <c r="AM54" s="817">
        <v>56089489.441269301</v>
      </c>
      <c r="AN54" s="817">
        <v>8663063.1073038224</v>
      </c>
      <c r="AO54" s="817">
        <v>16408622.05481134</v>
      </c>
      <c r="AP54" s="817">
        <f t="shared" si="18"/>
        <v>81161174.603384465</v>
      </c>
      <c r="AR54" s="817">
        <f t="shared" si="22"/>
        <v>20</v>
      </c>
      <c r="AS54" s="817" t="s">
        <v>2124</v>
      </c>
      <c r="AT54" s="817" t="s">
        <v>2129</v>
      </c>
      <c r="AU54" s="817">
        <v>49100075.376471542</v>
      </c>
      <c r="AV54" s="817">
        <v>8449324.5613208842</v>
      </c>
      <c r="AW54" s="817">
        <v>18805712.615228724</v>
      </c>
      <c r="AX54" s="817">
        <f t="shared" si="19"/>
        <v>76355112.553021148</v>
      </c>
    </row>
    <row r="55" spans="2:50" x14ac:dyDescent="0.3">
      <c r="B55" s="153">
        <v>2014</v>
      </c>
      <c r="C55" s="818" t="s">
        <v>2127</v>
      </c>
      <c r="F55" s="153" t="s">
        <v>2098</v>
      </c>
      <c r="G55" s="828" t="s">
        <v>2130</v>
      </c>
      <c r="H55" s="829">
        <f t="shared" si="5"/>
        <v>20265027</v>
      </c>
      <c r="I55" s="829">
        <f t="shared" si="6"/>
        <v>5651946</v>
      </c>
      <c r="J55" s="829">
        <f t="shared" si="7"/>
        <v>5966844</v>
      </c>
      <c r="K55" s="829">
        <f t="shared" si="8"/>
        <v>31883817</v>
      </c>
      <c r="L55" s="829">
        <f t="shared" si="9"/>
        <v>0</v>
      </c>
      <c r="M55" s="829">
        <f t="shared" si="10"/>
        <v>0</v>
      </c>
      <c r="N55" s="829">
        <f t="shared" si="11"/>
        <v>0</v>
      </c>
      <c r="O55" s="829">
        <f t="shared" si="12"/>
        <v>0</v>
      </c>
      <c r="P55" s="829">
        <f t="shared" si="13"/>
        <v>0</v>
      </c>
      <c r="Q55" s="829">
        <f t="shared" si="14"/>
        <v>0</v>
      </c>
      <c r="R55" s="829">
        <f t="shared" si="15"/>
        <v>0</v>
      </c>
      <c r="S55" s="722">
        <f t="shared" si="16"/>
        <v>0</v>
      </c>
      <c r="AB55" s="817">
        <f t="shared" si="20"/>
        <v>21</v>
      </c>
      <c r="AC55" s="817" t="s">
        <v>2124</v>
      </c>
      <c r="AD55" s="817" t="s">
        <v>2127</v>
      </c>
      <c r="AE55" s="817">
        <v>59462268</v>
      </c>
      <c r="AF55" s="817">
        <v>16584114</v>
      </c>
      <c r="AG55" s="817">
        <v>17508097</v>
      </c>
      <c r="AH55" s="817">
        <f t="shared" si="17"/>
        <v>93554479</v>
      </c>
      <c r="AJ55" s="817">
        <f t="shared" si="21"/>
        <v>21</v>
      </c>
      <c r="AK55" s="817" t="s">
        <v>2124</v>
      </c>
      <c r="AL55" s="817" t="s">
        <v>2131</v>
      </c>
      <c r="AM55" s="817">
        <v>61765330.8289425</v>
      </c>
      <c r="AN55" s="817">
        <v>8879193.3006998114</v>
      </c>
      <c r="AO55" s="817">
        <v>16817992.114124205</v>
      </c>
      <c r="AP55" s="817">
        <f t="shared" si="18"/>
        <v>87462516.243766516</v>
      </c>
      <c r="AR55" s="817">
        <f t="shared" si="22"/>
        <v>21</v>
      </c>
      <c r="AS55" s="817" t="s">
        <v>2124</v>
      </c>
      <c r="AT55" s="817" t="s">
        <v>2131</v>
      </c>
      <c r="AU55" s="817">
        <v>74482175.473777205</v>
      </c>
      <c r="AV55" s="817">
        <v>12817171.252506185</v>
      </c>
      <c r="AW55" s="817">
        <v>28527255.328575201</v>
      </c>
      <c r="AX55" s="817">
        <f t="shared" si="19"/>
        <v>115826602.0548586</v>
      </c>
    </row>
    <row r="56" spans="2:50" x14ac:dyDescent="0.3">
      <c r="B56" s="153">
        <v>2014</v>
      </c>
      <c r="C56" s="818" t="s">
        <v>2129</v>
      </c>
      <c r="F56" s="153" t="s">
        <v>2161</v>
      </c>
      <c r="G56" s="828" t="s">
        <v>2105</v>
      </c>
      <c r="H56" s="829">
        <f t="shared" si="5"/>
        <v>0</v>
      </c>
      <c r="I56" s="829">
        <f t="shared" si="6"/>
        <v>0</v>
      </c>
      <c r="J56" s="829">
        <f t="shared" si="7"/>
        <v>0</v>
      </c>
      <c r="K56" s="829">
        <f t="shared" si="8"/>
        <v>0</v>
      </c>
      <c r="L56" s="829">
        <f t="shared" si="9"/>
        <v>3267663.2125559011</v>
      </c>
      <c r="M56" s="829">
        <f t="shared" si="10"/>
        <v>1044979.9242307341</v>
      </c>
      <c r="N56" s="829">
        <f t="shared" si="11"/>
        <v>1979286.1276874631</v>
      </c>
      <c r="O56" s="829">
        <f t="shared" si="12"/>
        <v>6291929.2644740976</v>
      </c>
      <c r="P56" s="829">
        <f t="shared" si="13"/>
        <v>0</v>
      </c>
      <c r="Q56" s="829">
        <f t="shared" si="14"/>
        <v>0</v>
      </c>
      <c r="R56" s="829">
        <f t="shared" si="15"/>
        <v>0</v>
      </c>
      <c r="S56" s="722">
        <f t="shared" si="16"/>
        <v>0</v>
      </c>
      <c r="AB56" s="817">
        <f t="shared" si="20"/>
        <v>22</v>
      </c>
      <c r="AC56" s="817" t="s">
        <v>2124</v>
      </c>
      <c r="AD56" s="817" t="s">
        <v>2129</v>
      </c>
      <c r="AE56" s="817">
        <v>56192062</v>
      </c>
      <c r="AF56" s="817">
        <v>15672049</v>
      </c>
      <c r="AG56" s="817">
        <v>16545216</v>
      </c>
      <c r="AH56" s="817">
        <f t="shared" si="17"/>
        <v>88409327</v>
      </c>
      <c r="AJ56" s="817">
        <f t="shared" si="21"/>
        <v>22</v>
      </c>
      <c r="AK56" s="817" t="s">
        <v>2124</v>
      </c>
      <c r="AL56" s="817" t="s">
        <v>2132</v>
      </c>
      <c r="AM56" s="817">
        <v>62099432.712521501</v>
      </c>
      <c r="AN56" s="817">
        <v>9625625.6747820247</v>
      </c>
      <c r="AO56" s="817">
        <v>18231802.283123713</v>
      </c>
      <c r="AP56" s="817">
        <f t="shared" si="18"/>
        <v>89956860.670427248</v>
      </c>
      <c r="AR56" s="817">
        <f t="shared" si="22"/>
        <v>22</v>
      </c>
      <c r="AS56" s="817" t="s">
        <v>2124</v>
      </c>
      <c r="AT56" s="817" t="s">
        <v>2132</v>
      </c>
      <c r="AU56" s="817">
        <v>53563718.592514403</v>
      </c>
      <c r="AV56" s="817">
        <v>9217444.9759864192</v>
      </c>
      <c r="AW56" s="817">
        <v>20515322.852976792</v>
      </c>
      <c r="AX56" s="817">
        <f t="shared" si="19"/>
        <v>83296486.421477616</v>
      </c>
    </row>
    <row r="57" spans="2:50" x14ac:dyDescent="0.3">
      <c r="B57" s="153">
        <v>2014</v>
      </c>
      <c r="C57" s="818" t="s">
        <v>2132</v>
      </c>
      <c r="F57" s="153" t="s">
        <v>2161</v>
      </c>
      <c r="G57" s="828" t="s">
        <v>2099</v>
      </c>
      <c r="H57" s="829">
        <f t="shared" si="5"/>
        <v>8899337</v>
      </c>
      <c r="I57" s="829">
        <f t="shared" si="6"/>
        <v>2482038</v>
      </c>
      <c r="J57" s="829">
        <f t="shared" si="7"/>
        <v>2620325</v>
      </c>
      <c r="K57" s="829">
        <f t="shared" si="8"/>
        <v>14001700</v>
      </c>
      <c r="L57" s="829">
        <f t="shared" si="9"/>
        <v>0</v>
      </c>
      <c r="M57" s="829">
        <f t="shared" si="10"/>
        <v>0</v>
      </c>
      <c r="N57" s="829">
        <f t="shared" si="11"/>
        <v>0</v>
      </c>
      <c r="O57" s="829">
        <f t="shared" si="12"/>
        <v>0</v>
      </c>
      <c r="P57" s="829">
        <f t="shared" si="13"/>
        <v>7734118.2696318347</v>
      </c>
      <c r="Q57" s="829">
        <f t="shared" si="14"/>
        <v>1330915.9905500929</v>
      </c>
      <c r="R57" s="829">
        <f t="shared" si="15"/>
        <v>2962227.7439635666</v>
      </c>
      <c r="S57" s="722">
        <f t="shared" si="16"/>
        <v>12027262.004145496</v>
      </c>
      <c r="AB57" s="817">
        <f t="shared" si="20"/>
        <v>23</v>
      </c>
      <c r="AC57" s="817" t="s">
        <v>2124</v>
      </c>
      <c r="AD57" s="817" t="s">
        <v>2132</v>
      </c>
      <c r="AE57" s="817">
        <v>62435382</v>
      </c>
      <c r="AF57" s="817">
        <v>17413320</v>
      </c>
      <c r="AG57" s="817">
        <v>18383502</v>
      </c>
      <c r="AH57" s="817">
        <f t="shared" si="17"/>
        <v>98232204</v>
      </c>
      <c r="AJ57" s="817">
        <f t="shared" si="21"/>
        <v>23</v>
      </c>
      <c r="AK57" s="817" t="s">
        <v>2124</v>
      </c>
      <c r="AL57" s="817" t="s">
        <v>2133</v>
      </c>
      <c r="AM57" s="817">
        <v>68850367.587713897</v>
      </c>
      <c r="AN57" s="817">
        <v>9865770.3341108989</v>
      </c>
      <c r="AO57" s="817">
        <v>18686657.904582448</v>
      </c>
      <c r="AP57" s="817">
        <f t="shared" si="18"/>
        <v>97402795.826407254</v>
      </c>
      <c r="AR57" s="817">
        <f t="shared" si="22"/>
        <v>23</v>
      </c>
      <c r="AS57" s="817" t="s">
        <v>2124</v>
      </c>
      <c r="AT57" s="817" t="s">
        <v>2133</v>
      </c>
      <c r="AU57" s="817">
        <v>78028945.734433293</v>
      </c>
      <c r="AV57" s="817">
        <v>13427512.740720769</v>
      </c>
      <c r="AW57" s="817">
        <v>29885696.058507361</v>
      </c>
      <c r="AX57" s="817">
        <f t="shared" si="19"/>
        <v>121342154.53366143</v>
      </c>
    </row>
    <row r="58" spans="2:50" x14ac:dyDescent="0.3">
      <c r="B58" s="153">
        <v>2014</v>
      </c>
      <c r="C58" s="818" t="s">
        <v>2133</v>
      </c>
      <c r="F58" s="153" t="s">
        <v>2161</v>
      </c>
      <c r="G58" s="828" t="s">
        <v>2103</v>
      </c>
      <c r="H58" s="829">
        <f t="shared" si="5"/>
        <v>9367725</v>
      </c>
      <c r="I58" s="829">
        <f t="shared" si="6"/>
        <v>2612672</v>
      </c>
      <c r="J58" s="829">
        <f t="shared" si="7"/>
        <v>2758237</v>
      </c>
      <c r="K58" s="829">
        <f t="shared" si="8"/>
        <v>14738634</v>
      </c>
      <c r="L58" s="829">
        <f t="shared" si="9"/>
        <v>5535409.5130769443</v>
      </c>
      <c r="M58" s="829">
        <f t="shared" si="10"/>
        <v>1770192.1640317373</v>
      </c>
      <c r="N58" s="829">
        <f t="shared" si="11"/>
        <v>3352903.4504546509</v>
      </c>
      <c r="O58" s="829">
        <f t="shared" si="12"/>
        <v>10658505.127563333</v>
      </c>
      <c r="P58" s="829">
        <f t="shared" si="13"/>
        <v>8141178.1704509566</v>
      </c>
      <c r="Q58" s="829">
        <f t="shared" si="14"/>
        <v>1400964.3803244189</v>
      </c>
      <c r="R58" s="829">
        <f t="shared" si="15"/>
        <v>3118134.8673904315</v>
      </c>
      <c r="S58" s="722">
        <f t="shared" si="16"/>
        <v>12660277.418165807</v>
      </c>
      <c r="AB58" s="817">
        <f t="shared" si="20"/>
        <v>24</v>
      </c>
      <c r="AC58" s="817" t="s">
        <v>2124</v>
      </c>
      <c r="AD58" s="817" t="s">
        <v>2133</v>
      </c>
      <c r="AE58" s="817">
        <v>68678920</v>
      </c>
      <c r="AF58" s="817">
        <v>19154652</v>
      </c>
      <c r="AG58" s="817">
        <v>20221852</v>
      </c>
      <c r="AH58" s="817">
        <f t="shared" si="17"/>
        <v>108055424</v>
      </c>
      <c r="AJ58" s="817">
        <f t="shared" si="21"/>
        <v>24</v>
      </c>
      <c r="AK58" s="817" t="s">
        <v>2134</v>
      </c>
      <c r="AL58" s="817" t="s">
        <v>2109</v>
      </c>
      <c r="AM58" s="817">
        <v>5520533.9577096486</v>
      </c>
      <c r="AN58" s="817">
        <v>1765435.0468781467</v>
      </c>
      <c r="AO58" s="817">
        <v>3343893.0419563088</v>
      </c>
      <c r="AP58" s="817">
        <f t="shared" si="18"/>
        <v>10629862.046544105</v>
      </c>
      <c r="AR58" s="817">
        <f t="shared" si="22"/>
        <v>24</v>
      </c>
      <c r="AS58" s="817"/>
      <c r="AT58" s="817"/>
      <c r="AU58" s="817"/>
      <c r="AV58" s="817"/>
      <c r="AW58" s="817"/>
      <c r="AX58" s="817">
        <f t="shared" si="19"/>
        <v>0</v>
      </c>
    </row>
    <row r="59" spans="2:50" x14ac:dyDescent="0.3">
      <c r="B59" s="153">
        <v>2014</v>
      </c>
      <c r="C59" s="818" t="s">
        <v>2130</v>
      </c>
      <c r="F59" s="153" t="s">
        <v>2161</v>
      </c>
      <c r="G59" s="828" t="s">
        <v>2108</v>
      </c>
      <c r="H59" s="829">
        <f t="shared" si="5"/>
        <v>10005903</v>
      </c>
      <c r="I59" s="829">
        <f t="shared" si="6"/>
        <v>2790661</v>
      </c>
      <c r="J59" s="829">
        <f t="shared" si="7"/>
        <v>2946143</v>
      </c>
      <c r="K59" s="829">
        <f t="shared" si="8"/>
        <v>15742707</v>
      </c>
      <c r="L59" s="829">
        <f t="shared" si="9"/>
        <v>6133926.619677389</v>
      </c>
      <c r="M59" s="829">
        <f t="shared" si="10"/>
        <v>1961594.4965312744</v>
      </c>
      <c r="N59" s="829">
        <f t="shared" si="11"/>
        <v>3715436.7132847877</v>
      </c>
      <c r="O59" s="829">
        <f t="shared" si="12"/>
        <v>11810957.829493452</v>
      </c>
      <c r="P59" s="829">
        <f t="shared" si="13"/>
        <v>9996332.1852132678</v>
      </c>
      <c r="Q59" s="829">
        <f t="shared" si="14"/>
        <v>1720206.2198079384</v>
      </c>
      <c r="R59" s="829">
        <f t="shared" si="15"/>
        <v>3828673.3541668835</v>
      </c>
      <c r="S59" s="722">
        <f t="shared" si="16"/>
        <v>15545211.75918809</v>
      </c>
      <c r="AB59" s="817">
        <f t="shared" si="20"/>
        <v>25</v>
      </c>
      <c r="AC59" s="817" t="s">
        <v>2125</v>
      </c>
      <c r="AD59" s="817" t="s">
        <v>2130</v>
      </c>
      <c r="AE59" s="817">
        <v>20265027</v>
      </c>
      <c r="AF59" s="817">
        <v>5651946</v>
      </c>
      <c r="AG59" s="817">
        <v>5966844</v>
      </c>
      <c r="AH59" s="817">
        <f t="shared" si="17"/>
        <v>31883817</v>
      </c>
      <c r="AJ59" s="817"/>
      <c r="AK59" s="817"/>
      <c r="AL59" s="817"/>
      <c r="AM59" s="817"/>
      <c r="AN59" s="817"/>
      <c r="AO59" s="817"/>
      <c r="AP59" s="817"/>
      <c r="AR59" s="817">
        <f t="shared" si="22"/>
        <v>25</v>
      </c>
      <c r="AS59" s="817"/>
      <c r="AT59" s="817"/>
      <c r="AU59" s="817"/>
      <c r="AV59" s="817"/>
      <c r="AW59" s="817"/>
      <c r="AX59" s="817">
        <f t="shared" si="19"/>
        <v>0</v>
      </c>
    </row>
    <row r="60" spans="2:50" x14ac:dyDescent="0.3">
      <c r="B60" s="153">
        <v>2014</v>
      </c>
      <c r="C60" s="822" t="s">
        <v>2135</v>
      </c>
      <c r="F60" s="153" t="s">
        <v>2161</v>
      </c>
      <c r="G60" s="828" t="s">
        <v>2106</v>
      </c>
      <c r="H60" s="829">
        <f t="shared" si="5"/>
        <v>9993096</v>
      </c>
      <c r="I60" s="829">
        <f t="shared" si="6"/>
        <v>2787089</v>
      </c>
      <c r="J60" s="829">
        <f t="shared" si="7"/>
        <v>2942372</v>
      </c>
      <c r="K60" s="829">
        <f t="shared" si="8"/>
        <v>15722557</v>
      </c>
      <c r="L60" s="829">
        <f t="shared" si="9"/>
        <v>0</v>
      </c>
      <c r="M60" s="829">
        <f t="shared" si="10"/>
        <v>0</v>
      </c>
      <c r="N60" s="829">
        <f t="shared" si="11"/>
        <v>0</v>
      </c>
      <c r="O60" s="829">
        <f t="shared" si="12"/>
        <v>0</v>
      </c>
      <c r="P60" s="829">
        <f t="shared" si="13"/>
        <v>0</v>
      </c>
      <c r="Q60" s="829">
        <f t="shared" si="14"/>
        <v>0</v>
      </c>
      <c r="R60" s="829">
        <f t="shared" si="15"/>
        <v>0</v>
      </c>
      <c r="S60" s="722">
        <f t="shared" si="16"/>
        <v>0</v>
      </c>
      <c r="AB60" s="817">
        <f t="shared" si="20"/>
        <v>26</v>
      </c>
      <c r="AC60" s="817"/>
      <c r="AD60" s="822" t="s">
        <v>2135</v>
      </c>
      <c r="AE60" s="817">
        <v>1341610</v>
      </c>
      <c r="AF60" s="817">
        <v>374177</v>
      </c>
      <c r="AG60" s="817">
        <v>395024</v>
      </c>
      <c r="AH60" s="817">
        <f t="shared" si="17"/>
        <v>2110811</v>
      </c>
      <c r="AJ60" s="817"/>
      <c r="AK60" s="817"/>
      <c r="AL60" s="817"/>
      <c r="AM60" s="817"/>
      <c r="AN60" s="817"/>
      <c r="AO60" s="817"/>
      <c r="AP60" s="817"/>
      <c r="AR60" s="817">
        <f t="shared" si="22"/>
        <v>26</v>
      </c>
      <c r="AS60" s="817"/>
      <c r="AT60" s="817"/>
      <c r="AU60" s="817"/>
      <c r="AV60" s="817"/>
      <c r="AW60" s="817"/>
      <c r="AX60" s="817">
        <f t="shared" si="19"/>
        <v>0</v>
      </c>
    </row>
    <row r="61" spans="2:50" x14ac:dyDescent="0.3">
      <c r="B61" s="153">
        <v>2015</v>
      </c>
      <c r="C61" s="818" t="s">
        <v>2096</v>
      </c>
      <c r="F61" s="153" t="s">
        <v>2138</v>
      </c>
      <c r="G61" s="828" t="s">
        <v>2123</v>
      </c>
      <c r="H61" s="829">
        <f t="shared" si="5"/>
        <v>28765937</v>
      </c>
      <c r="I61" s="829">
        <f t="shared" si="6"/>
        <v>8022862</v>
      </c>
      <c r="J61" s="829">
        <f t="shared" si="7"/>
        <v>8469856</v>
      </c>
      <c r="K61" s="829">
        <f t="shared" si="8"/>
        <v>45258655</v>
      </c>
      <c r="L61" s="829">
        <f t="shared" si="9"/>
        <v>28473788.266963702</v>
      </c>
      <c r="M61" s="829">
        <f t="shared" si="10"/>
        <v>4788531.4706039485</v>
      </c>
      <c r="N61" s="829">
        <f t="shared" si="11"/>
        <v>9069910.0451507885</v>
      </c>
      <c r="O61" s="829">
        <f t="shared" si="12"/>
        <v>42332229.782718435</v>
      </c>
      <c r="P61" s="829">
        <f t="shared" si="13"/>
        <v>42010733.063507088</v>
      </c>
      <c r="Q61" s="829">
        <f t="shared" si="14"/>
        <v>7229364.0282817502</v>
      </c>
      <c r="R61" s="829">
        <f t="shared" si="15"/>
        <v>16090439.101973051</v>
      </c>
      <c r="S61" s="722">
        <f t="shared" si="16"/>
        <v>65330536.193761885</v>
      </c>
      <c r="AH61" s="823">
        <f>SUM(AH35:AH60)</f>
        <v>970707240</v>
      </c>
      <c r="AP61" s="823">
        <f>SUM(AP35:AP60)</f>
        <v>724830416.00495434</v>
      </c>
      <c r="AX61" s="823">
        <f>SUM(AX35:AX60)</f>
        <v>769280741.10125446</v>
      </c>
    </row>
    <row r="62" spans="2:50" x14ac:dyDescent="0.3">
      <c r="B62" s="153">
        <v>2015</v>
      </c>
      <c r="C62" s="818" t="s">
        <v>2102</v>
      </c>
      <c r="F62" s="153" t="s">
        <v>2138</v>
      </c>
      <c r="G62" s="828" t="s">
        <v>2126</v>
      </c>
      <c r="H62" s="829">
        <f t="shared" si="5"/>
        <v>25889343</v>
      </c>
      <c r="I62" s="829">
        <f t="shared" si="6"/>
        <v>7220576</v>
      </c>
      <c r="J62" s="829">
        <f t="shared" si="7"/>
        <v>7622870</v>
      </c>
      <c r="K62" s="829">
        <f t="shared" si="8"/>
        <v>40732789</v>
      </c>
      <c r="L62" s="829">
        <f t="shared" si="9"/>
        <v>0</v>
      </c>
      <c r="M62" s="829">
        <f t="shared" si="10"/>
        <v>0</v>
      </c>
      <c r="N62" s="829">
        <f t="shared" si="11"/>
        <v>0</v>
      </c>
      <c r="O62" s="829">
        <f t="shared" si="12"/>
        <v>0</v>
      </c>
      <c r="P62" s="829">
        <f t="shared" si="13"/>
        <v>0</v>
      </c>
      <c r="Q62" s="829">
        <f t="shared" si="14"/>
        <v>0</v>
      </c>
      <c r="R62" s="829">
        <f t="shared" si="15"/>
        <v>0</v>
      </c>
      <c r="S62" s="722">
        <f t="shared" si="16"/>
        <v>0</v>
      </c>
      <c r="AE62" s="824" t="s">
        <v>2136</v>
      </c>
    </row>
    <row r="63" spans="2:50" x14ac:dyDescent="0.3">
      <c r="B63" s="153">
        <v>2015</v>
      </c>
      <c r="C63" s="818" t="s">
        <v>2105</v>
      </c>
      <c r="F63" s="153" t="s">
        <v>2138</v>
      </c>
      <c r="G63" s="828" t="s">
        <v>2127</v>
      </c>
      <c r="H63" s="829">
        <f t="shared" si="5"/>
        <v>59462268</v>
      </c>
      <c r="I63" s="829">
        <f t="shared" si="6"/>
        <v>16584114</v>
      </c>
      <c r="J63" s="829">
        <f t="shared" si="7"/>
        <v>17508097</v>
      </c>
      <c r="K63" s="829">
        <f t="shared" si="8"/>
        <v>93554479</v>
      </c>
      <c r="L63" s="829">
        <f t="shared" si="9"/>
        <v>49022395.2779276</v>
      </c>
      <c r="M63" s="829">
        <f t="shared" si="10"/>
        <v>8321812.5238069622</v>
      </c>
      <c r="N63" s="829">
        <f t="shared" si="11"/>
        <v>15762262.703479486</v>
      </c>
      <c r="O63" s="829">
        <f t="shared" si="12"/>
        <v>73106470.50521405</v>
      </c>
      <c r="P63" s="829">
        <f t="shared" si="13"/>
        <v>0</v>
      </c>
      <c r="Q63" s="829">
        <f t="shared" si="14"/>
        <v>0</v>
      </c>
      <c r="R63" s="829">
        <f t="shared" si="15"/>
        <v>0</v>
      </c>
      <c r="S63" s="722">
        <f t="shared" si="16"/>
        <v>0</v>
      </c>
    </row>
    <row r="64" spans="2:50" x14ac:dyDescent="0.3">
      <c r="B64" s="153">
        <v>2015</v>
      </c>
      <c r="C64" s="818" t="s">
        <v>2103</v>
      </c>
      <c r="F64" s="153" t="s">
        <v>2138</v>
      </c>
      <c r="G64" s="828" t="s">
        <v>2128</v>
      </c>
      <c r="H64" s="829">
        <f t="shared" si="5"/>
        <v>49586155</v>
      </c>
      <c r="I64" s="829">
        <f t="shared" si="6"/>
        <v>13829652</v>
      </c>
      <c r="J64" s="829">
        <f t="shared" si="7"/>
        <v>14600170</v>
      </c>
      <c r="K64" s="829">
        <f t="shared" si="8"/>
        <v>78015977</v>
      </c>
      <c r="L64" s="829">
        <f t="shared" si="9"/>
        <v>0</v>
      </c>
      <c r="M64" s="829">
        <f t="shared" si="10"/>
        <v>0</v>
      </c>
      <c r="N64" s="829">
        <f t="shared" si="11"/>
        <v>0</v>
      </c>
      <c r="O64" s="829">
        <f t="shared" si="12"/>
        <v>0</v>
      </c>
      <c r="P64" s="829">
        <f t="shared" si="13"/>
        <v>0</v>
      </c>
      <c r="Q64" s="829">
        <f t="shared" si="14"/>
        <v>0</v>
      </c>
      <c r="R64" s="829">
        <f t="shared" si="15"/>
        <v>0</v>
      </c>
      <c r="S64" s="722">
        <f t="shared" si="16"/>
        <v>0</v>
      </c>
    </row>
    <row r="65" spans="2:19" x14ac:dyDescent="0.3">
      <c r="B65" s="153">
        <v>2015</v>
      </c>
      <c r="C65" s="818" t="s">
        <v>2108</v>
      </c>
      <c r="F65" s="153" t="s">
        <v>2138</v>
      </c>
      <c r="G65" s="828" t="s">
        <v>2131</v>
      </c>
      <c r="H65" s="829">
        <f t="shared" si="5"/>
        <v>0</v>
      </c>
      <c r="I65" s="829">
        <f t="shared" si="6"/>
        <v>0</v>
      </c>
      <c r="J65" s="829">
        <f t="shared" si="7"/>
        <v>0</v>
      </c>
      <c r="K65" s="829">
        <f t="shared" si="8"/>
        <v>0</v>
      </c>
      <c r="L65" s="829">
        <f t="shared" si="9"/>
        <v>61765330.8289425</v>
      </c>
      <c r="M65" s="829">
        <f t="shared" si="10"/>
        <v>8879193.3006998114</v>
      </c>
      <c r="N65" s="829">
        <f t="shared" si="11"/>
        <v>16817992.114124205</v>
      </c>
      <c r="O65" s="829">
        <f t="shared" si="12"/>
        <v>87462516.243766516</v>
      </c>
      <c r="P65" s="829">
        <f t="shared" si="13"/>
        <v>74482175.473777205</v>
      </c>
      <c r="Q65" s="829">
        <f t="shared" si="14"/>
        <v>12817171.252506185</v>
      </c>
      <c r="R65" s="829">
        <f t="shared" si="15"/>
        <v>28527255.328575201</v>
      </c>
      <c r="S65" s="722">
        <f t="shared" si="16"/>
        <v>115826602.0548586</v>
      </c>
    </row>
    <row r="66" spans="2:19" x14ac:dyDescent="0.3">
      <c r="B66" s="153">
        <v>2015</v>
      </c>
      <c r="C66" s="818" t="s">
        <v>2110</v>
      </c>
      <c r="F66" s="153" t="s">
        <v>2138</v>
      </c>
      <c r="G66" s="828" t="s">
        <v>2129</v>
      </c>
      <c r="H66" s="829">
        <f t="shared" si="5"/>
        <v>56192062</v>
      </c>
      <c r="I66" s="829">
        <f t="shared" si="6"/>
        <v>15672049</v>
      </c>
      <c r="J66" s="829">
        <f t="shared" si="7"/>
        <v>16545216</v>
      </c>
      <c r="K66" s="829">
        <f t="shared" si="8"/>
        <v>88409327</v>
      </c>
      <c r="L66" s="829">
        <f t="shared" si="9"/>
        <v>56089489.441269301</v>
      </c>
      <c r="M66" s="829">
        <f t="shared" si="10"/>
        <v>8663063.1073038224</v>
      </c>
      <c r="N66" s="829">
        <f t="shared" si="11"/>
        <v>16408622.05481134</v>
      </c>
      <c r="O66" s="829">
        <f t="shared" si="12"/>
        <v>81161174.603384465</v>
      </c>
      <c r="P66" s="829">
        <f t="shared" si="13"/>
        <v>49100075.376471542</v>
      </c>
      <c r="Q66" s="829">
        <f t="shared" si="14"/>
        <v>8449324.5613208842</v>
      </c>
      <c r="R66" s="829">
        <f t="shared" si="15"/>
        <v>18805712.615228724</v>
      </c>
      <c r="S66" s="722">
        <f t="shared" si="16"/>
        <v>76355112.553021148</v>
      </c>
    </row>
    <row r="67" spans="2:19" x14ac:dyDescent="0.3">
      <c r="B67" s="153">
        <v>2015</v>
      </c>
      <c r="C67" s="818" t="s">
        <v>2112</v>
      </c>
      <c r="F67" s="153" t="s">
        <v>2138</v>
      </c>
      <c r="G67" s="828" t="s">
        <v>2133</v>
      </c>
      <c r="H67" s="829">
        <f t="shared" si="5"/>
        <v>68678920</v>
      </c>
      <c r="I67" s="829">
        <f t="shared" si="6"/>
        <v>19154652</v>
      </c>
      <c r="J67" s="829">
        <f t="shared" si="7"/>
        <v>20221852</v>
      </c>
      <c r="K67" s="829">
        <f t="shared" si="8"/>
        <v>108055424</v>
      </c>
      <c r="L67" s="829">
        <f t="shared" si="9"/>
        <v>68850367.587713897</v>
      </c>
      <c r="M67" s="829">
        <f t="shared" si="10"/>
        <v>9865770.3341108989</v>
      </c>
      <c r="N67" s="829">
        <f t="shared" si="11"/>
        <v>18686657.904582448</v>
      </c>
      <c r="O67" s="829">
        <f t="shared" si="12"/>
        <v>97402795.826407254</v>
      </c>
      <c r="P67" s="829">
        <f t="shared" si="13"/>
        <v>78028945.734433293</v>
      </c>
      <c r="Q67" s="829">
        <f t="shared" si="14"/>
        <v>13427512.740720769</v>
      </c>
      <c r="R67" s="829">
        <f t="shared" si="15"/>
        <v>29885696.058507361</v>
      </c>
      <c r="S67" s="722">
        <f t="shared" si="16"/>
        <v>121342154.53366143</v>
      </c>
    </row>
    <row r="68" spans="2:19" x14ac:dyDescent="0.3">
      <c r="B68" s="153">
        <v>2015</v>
      </c>
      <c r="C68" s="818" t="s">
        <v>2113</v>
      </c>
      <c r="F68" s="153" t="s">
        <v>2138</v>
      </c>
      <c r="G68" s="828" t="s">
        <v>2132</v>
      </c>
      <c r="H68" s="829">
        <f t="shared" si="5"/>
        <v>62435382</v>
      </c>
      <c r="I68" s="829">
        <f t="shared" si="6"/>
        <v>17413320</v>
      </c>
      <c r="J68" s="829">
        <f t="shared" si="7"/>
        <v>18383502</v>
      </c>
      <c r="K68" s="829">
        <f t="shared" si="8"/>
        <v>98232204</v>
      </c>
      <c r="L68" s="829">
        <f t="shared" si="9"/>
        <v>62099432.712521501</v>
      </c>
      <c r="M68" s="829">
        <f t="shared" si="10"/>
        <v>9625625.6747820247</v>
      </c>
      <c r="N68" s="829">
        <f t="shared" si="11"/>
        <v>18231802.283123713</v>
      </c>
      <c r="O68" s="829">
        <f t="shared" si="12"/>
        <v>89956860.670427248</v>
      </c>
      <c r="P68" s="829">
        <f t="shared" si="13"/>
        <v>53563718.592514403</v>
      </c>
      <c r="Q68" s="829">
        <f t="shared" si="14"/>
        <v>9217444.9759864192</v>
      </c>
      <c r="R68" s="829">
        <f t="shared" si="15"/>
        <v>20515322.852976792</v>
      </c>
      <c r="S68" s="722">
        <f t="shared" si="16"/>
        <v>83296486.421477616</v>
      </c>
    </row>
    <row r="69" spans="2:19" x14ac:dyDescent="0.3">
      <c r="B69" s="153">
        <v>2015</v>
      </c>
      <c r="C69" s="818" t="s">
        <v>2114</v>
      </c>
      <c r="F69" s="153" t="s">
        <v>2160</v>
      </c>
      <c r="G69" s="831" t="s">
        <v>2135</v>
      </c>
      <c r="H69" s="832">
        <f t="shared" si="5"/>
        <v>1341610</v>
      </c>
      <c r="I69" s="832">
        <f t="shared" si="6"/>
        <v>374177</v>
      </c>
      <c r="J69" s="832">
        <f t="shared" si="7"/>
        <v>395024</v>
      </c>
      <c r="K69" s="832">
        <f t="shared" si="8"/>
        <v>2110811</v>
      </c>
      <c r="L69" s="832"/>
      <c r="M69" s="832"/>
      <c r="N69" s="832"/>
      <c r="O69" s="832"/>
      <c r="P69" s="832"/>
      <c r="Q69" s="832"/>
      <c r="R69" s="832"/>
      <c r="S69" s="725"/>
    </row>
    <row r="70" spans="2:19" x14ac:dyDescent="0.3">
      <c r="B70" s="153">
        <v>2015</v>
      </c>
      <c r="C70" s="818" t="s">
        <v>2115</v>
      </c>
      <c r="H70" s="819">
        <f t="shared" ref="H70:J70" si="23">SUM(H35:H69)</f>
        <v>616971570</v>
      </c>
      <c r="I70" s="819">
        <f t="shared" si="23"/>
        <v>172074280</v>
      </c>
      <c r="J70" s="819">
        <f t="shared" si="23"/>
        <v>181661390</v>
      </c>
      <c r="K70" s="819">
        <f>SUM(K35:K69)</f>
        <v>970707240</v>
      </c>
      <c r="L70" s="819">
        <f t="shared" ref="L70:R70" si="24">SUM(L35:L69)</f>
        <v>457906416.36558956</v>
      </c>
      <c r="M70" s="819">
        <f t="shared" si="24"/>
        <v>92230715.198350787</v>
      </c>
      <c r="N70" s="819">
        <f t="shared" si="24"/>
        <v>174693284.44101408</v>
      </c>
      <c r="O70" s="819">
        <f t="shared" si="24"/>
        <v>724830416.00495446</v>
      </c>
      <c r="P70" s="819">
        <f t="shared" si="24"/>
        <v>494685177.07325363</v>
      </c>
      <c r="Q70" s="819">
        <f t="shared" si="24"/>
        <v>85127274.952602759</v>
      </c>
      <c r="R70" s="819">
        <f t="shared" si="24"/>
        <v>189468289.075398</v>
      </c>
      <c r="S70" s="819">
        <f>SUM(S35:S69)</f>
        <v>769280741.10125446</v>
      </c>
    </row>
    <row r="71" spans="2:19" x14ac:dyDescent="0.3">
      <c r="B71" s="153">
        <v>2015</v>
      </c>
      <c r="C71" s="818" t="s">
        <v>2117</v>
      </c>
      <c r="H71" s="887"/>
      <c r="K71" s="819" t="b">
        <f>K70=AH61</f>
        <v>1</v>
      </c>
      <c r="O71" s="153" t="b">
        <f>O70=AP61</f>
        <v>1</v>
      </c>
      <c r="S71" s="153" t="b">
        <f>S70=AX61</f>
        <v>1</v>
      </c>
    </row>
    <row r="72" spans="2:19" x14ac:dyDescent="0.3">
      <c r="B72" s="153">
        <v>2015</v>
      </c>
      <c r="C72" s="818" t="s">
        <v>2118</v>
      </c>
    </row>
    <row r="73" spans="2:19" x14ac:dyDescent="0.3">
      <c r="B73" s="153">
        <v>2015</v>
      </c>
      <c r="C73" s="818" t="s">
        <v>2119</v>
      </c>
    </row>
    <row r="74" spans="2:19" x14ac:dyDescent="0.3">
      <c r="B74" s="153">
        <v>2015</v>
      </c>
      <c r="C74" s="818" t="s">
        <v>2121</v>
      </c>
    </row>
    <row r="75" spans="2:19" x14ac:dyDescent="0.3">
      <c r="B75" s="153">
        <v>2015</v>
      </c>
      <c r="C75" s="818" t="s">
        <v>2120</v>
      </c>
    </row>
  </sheetData>
  <autoFilter ref="AB34:AH62"/>
  <mergeCells count="3">
    <mergeCell ref="H33:K33"/>
    <mergeCell ref="L33:O33"/>
    <mergeCell ref="P33:S3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/>
  </sheetPr>
  <dimension ref="A1"/>
  <sheetViews>
    <sheetView showGridLines="0" topLeftCell="A10" zoomScale="85" zoomScaleNormal="85" workbookViewId="0">
      <selection activeCell="W46" sqref="W46"/>
    </sheetView>
  </sheetViews>
  <sheetFormatPr defaultColWidth="9" defaultRowHeight="16.5" x14ac:dyDescent="0.3"/>
  <cols>
    <col min="1" max="1" width="1.625" style="40" customWidth="1"/>
    <col min="2" max="16384" width="9" style="40"/>
  </cols>
  <sheetData/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0" tint="-0.499984740745262"/>
  </sheetPr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2</v>
      </c>
      <c r="B2">
        <v>18</v>
      </c>
      <c r="C2">
        <v>7</v>
      </c>
      <c r="D2">
        <v>24</v>
      </c>
      <c r="E2" t="s">
        <v>78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338D"/>
  </sheetPr>
  <dimension ref="B1:R40"/>
  <sheetViews>
    <sheetView showGridLines="0" zoomScaleNormal="100" workbookViewId="0">
      <selection activeCell="J37" sqref="J37"/>
    </sheetView>
  </sheetViews>
  <sheetFormatPr defaultColWidth="9" defaultRowHeight="13.5" customHeight="1" outlineLevelCol="1" x14ac:dyDescent="0.3"/>
  <cols>
    <col min="1" max="1" width="1.625" style="159" customWidth="1"/>
    <col min="2" max="2" width="20.625" style="159" customWidth="1"/>
    <col min="3" max="8" width="9.625" style="159" customWidth="1"/>
    <col min="9" max="9" width="9.625" style="159" hidden="1" customWidth="1" outlineLevel="1"/>
    <col min="10" max="10" width="9.625" style="159" customWidth="1" collapsed="1"/>
    <col min="11" max="14" width="9.625" style="159" customWidth="1"/>
    <col min="15" max="15" width="9" style="159"/>
    <col min="16" max="16" width="13.625" style="159" customWidth="1"/>
    <col min="17" max="16384" width="9" style="159"/>
  </cols>
  <sheetData>
    <row r="1" spans="2:14" s="153" customFormat="1" ht="30" customHeight="1" x14ac:dyDescent="0.3">
      <c r="B1" s="254" t="str">
        <f>"Project"&amp;" "&amp;Title!L6</f>
        <v>Project SVG1</v>
      </c>
      <c r="C1" s="254"/>
      <c r="D1" s="254"/>
      <c r="E1" s="254"/>
      <c r="F1" s="254"/>
      <c r="G1" s="254"/>
      <c r="H1" s="255"/>
      <c r="I1" s="255"/>
      <c r="J1" s="255"/>
      <c r="K1" s="255"/>
      <c r="L1" s="255"/>
      <c r="M1" s="255"/>
      <c r="N1" s="256" t="str">
        <f>Des!C12</f>
        <v>DRAFT - For Discussion Purposes Only</v>
      </c>
    </row>
    <row r="2" spans="2:14" s="153" customFormat="1" ht="20.100000000000001" customHeight="1" x14ac:dyDescent="0.3">
      <c r="B2" s="257" t="s">
        <v>130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2:14" s="153" customFormat="1" ht="14.1" customHeight="1" x14ac:dyDescent="0.3"/>
    <row r="4" spans="2:14" ht="13.5" customHeight="1" x14ac:dyDescent="0.3">
      <c r="B4" s="335" t="s">
        <v>131</v>
      </c>
      <c r="C4" s="336"/>
      <c r="D4" s="337" t="s">
        <v>132</v>
      </c>
      <c r="E4" s="337"/>
      <c r="F4" s="337"/>
      <c r="G4" s="337"/>
      <c r="H4" s="338" t="s">
        <v>133</v>
      </c>
      <c r="I4" s="337"/>
      <c r="J4" s="339"/>
      <c r="K4" s="339"/>
      <c r="L4" s="339"/>
      <c r="M4" s="340"/>
    </row>
    <row r="5" spans="2:14" ht="13.5" customHeight="1" x14ac:dyDescent="0.3">
      <c r="B5" s="343" t="str">
        <f>unit</f>
        <v>KRW Million</v>
      </c>
      <c r="C5" s="344"/>
      <c r="D5" s="345"/>
      <c r="E5" s="345"/>
      <c r="F5" s="345">
        <f>'Pro forma(BP)'!F$5</f>
        <v>2016</v>
      </c>
      <c r="G5" s="345" t="str">
        <f>'Pro forma(BP)'!G$5</f>
        <v>2017/12A</v>
      </c>
      <c r="H5" s="346" t="str">
        <f>'Pro forma(BP)'!H$5</f>
        <v>2017/0E</v>
      </c>
      <c r="I5" s="358">
        <f>'Pro forma(BP)'!I$5</f>
        <v>2017</v>
      </c>
      <c r="J5" s="347">
        <f>'Pro forma(BP)'!J$5</f>
        <v>2018</v>
      </c>
      <c r="K5" s="347">
        <f>'Pro forma(BP)'!K$5</f>
        <v>2019</v>
      </c>
      <c r="L5" s="347">
        <f>'Pro forma(BP)'!L$5</f>
        <v>2020</v>
      </c>
      <c r="M5" s="348" t="s">
        <v>30</v>
      </c>
    </row>
    <row r="6" spans="2:14" s="65" customFormat="1" ht="13.5" customHeight="1" x14ac:dyDescent="0.3">
      <c r="B6" s="260" t="s">
        <v>152</v>
      </c>
      <c r="C6" s="261"/>
      <c r="D6" s="262"/>
      <c r="E6" s="262"/>
      <c r="F6" s="262"/>
      <c r="G6" s="263"/>
      <c r="H6" s="262"/>
      <c r="I6" s="262"/>
      <c r="J6" s="262"/>
      <c r="K6" s="262"/>
      <c r="L6" s="262"/>
      <c r="M6" s="264"/>
    </row>
    <row r="7" spans="2:14" ht="13.5" customHeight="1" x14ac:dyDescent="0.3">
      <c r="B7" s="265" t="s">
        <v>153</v>
      </c>
      <c r="C7" s="66"/>
      <c r="D7" s="89"/>
      <c r="E7" s="89"/>
      <c r="F7" s="89"/>
      <c r="G7" s="266"/>
      <c r="H7" s="89"/>
      <c r="I7" s="89"/>
      <c r="J7" s="89"/>
      <c r="K7" s="89"/>
      <c r="L7" s="89"/>
      <c r="M7" s="267"/>
    </row>
    <row r="8" spans="2:14" s="65" customFormat="1" ht="13.5" customHeight="1" x14ac:dyDescent="0.3">
      <c r="B8" s="265" t="s">
        <v>76</v>
      </c>
      <c r="C8" s="66"/>
      <c r="D8" s="89"/>
      <c r="E8" s="89"/>
      <c r="F8" s="89"/>
      <c r="G8" s="266"/>
      <c r="H8" s="89"/>
      <c r="I8" s="89"/>
      <c r="J8" s="89"/>
      <c r="K8" s="89"/>
      <c r="L8" s="89"/>
      <c r="M8" s="267"/>
    </row>
    <row r="9" spans="2:14" s="65" customFormat="1" ht="13.5" customHeight="1" x14ac:dyDescent="0.3">
      <c r="B9" s="265" t="s">
        <v>154</v>
      </c>
      <c r="C9" s="66"/>
      <c r="D9" s="89"/>
      <c r="E9" s="89"/>
      <c r="F9" s="89"/>
      <c r="G9" s="266"/>
      <c r="H9" s="89"/>
      <c r="I9" s="89"/>
      <c r="J9" s="89"/>
      <c r="K9" s="89"/>
      <c r="L9" s="89"/>
      <c r="M9" s="267"/>
    </row>
    <row r="10" spans="2:14" s="65" customFormat="1" ht="13.5" customHeight="1" x14ac:dyDescent="0.3">
      <c r="B10" s="265" t="s">
        <v>155</v>
      </c>
      <c r="C10" s="66"/>
      <c r="D10" s="90"/>
      <c r="E10" s="90"/>
      <c r="F10" s="90"/>
      <c r="G10" s="267"/>
      <c r="H10" s="90"/>
      <c r="I10" s="90"/>
      <c r="J10" s="89"/>
      <c r="K10" s="89"/>
      <c r="L10" s="89"/>
      <c r="M10" s="267"/>
    </row>
    <row r="11" spans="2:14" ht="13.5" customHeight="1" x14ac:dyDescent="0.3">
      <c r="B11" s="265" t="s">
        <v>158</v>
      </c>
      <c r="C11" s="66"/>
      <c r="D11" s="89"/>
      <c r="E11" s="89"/>
      <c r="F11" s="89"/>
      <c r="G11" s="266"/>
      <c r="H11" s="89"/>
      <c r="I11" s="89"/>
      <c r="J11" s="89"/>
      <c r="K11" s="89"/>
      <c r="L11" s="89"/>
      <c r="M11" s="267"/>
    </row>
    <row r="12" spans="2:14" s="65" customFormat="1" ht="13.5" customHeight="1" x14ac:dyDescent="0.3">
      <c r="B12" s="268" t="s">
        <v>159</v>
      </c>
      <c r="C12" s="67"/>
      <c r="D12" s="91"/>
      <c r="E12" s="91"/>
      <c r="F12" s="91"/>
      <c r="G12" s="269"/>
      <c r="H12" s="91"/>
      <c r="I12" s="91"/>
      <c r="J12" s="91"/>
      <c r="K12" s="91"/>
      <c r="L12" s="91"/>
      <c r="M12" s="270"/>
    </row>
    <row r="13" spans="2:14" ht="13.5" customHeight="1" x14ac:dyDescent="0.3">
      <c r="B13" s="271" t="s">
        <v>160</v>
      </c>
      <c r="C13" s="68"/>
      <c r="D13" s="89"/>
      <c r="E13" s="89"/>
      <c r="F13" s="89"/>
      <c r="G13" s="266"/>
      <c r="H13" s="89"/>
      <c r="I13" s="89"/>
      <c r="J13" s="89"/>
      <c r="K13" s="89"/>
      <c r="L13" s="89"/>
      <c r="M13" s="267"/>
    </row>
    <row r="14" spans="2:14" ht="13.5" customHeight="1" x14ac:dyDescent="0.3">
      <c r="B14" s="271" t="s">
        <v>161</v>
      </c>
      <c r="C14" s="68"/>
      <c r="D14" s="90"/>
      <c r="E14" s="90"/>
      <c r="F14" s="90"/>
      <c r="G14" s="267"/>
      <c r="H14" s="90"/>
      <c r="I14" s="90"/>
      <c r="J14" s="90"/>
      <c r="K14" s="90"/>
      <c r="L14" s="90"/>
      <c r="M14" s="476"/>
    </row>
    <row r="15" spans="2:14" ht="13.5" customHeight="1" x14ac:dyDescent="0.3">
      <c r="B15" s="272" t="s">
        <v>162</v>
      </c>
      <c r="C15" s="69"/>
      <c r="D15" s="89"/>
      <c r="E15" s="89"/>
      <c r="F15" s="89"/>
      <c r="G15" s="266"/>
      <c r="H15" s="89"/>
      <c r="I15" s="89"/>
      <c r="J15" s="89"/>
      <c r="K15" s="89"/>
      <c r="L15" s="89"/>
      <c r="M15" s="267"/>
    </row>
    <row r="16" spans="2:14" s="65" customFormat="1" ht="13.5" customHeight="1" x14ac:dyDescent="0.3">
      <c r="B16" s="273" t="s">
        <v>163</v>
      </c>
      <c r="C16" s="274"/>
      <c r="D16" s="275"/>
      <c r="E16" s="275"/>
      <c r="F16" s="275"/>
      <c r="G16" s="276"/>
      <c r="H16" s="275"/>
      <c r="I16" s="275"/>
      <c r="J16" s="275"/>
      <c r="K16" s="275"/>
      <c r="L16" s="275"/>
      <c r="M16" s="278"/>
    </row>
    <row r="17" spans="2:18" ht="13.5" customHeight="1" x14ac:dyDescent="0.3">
      <c r="B17" s="260" t="s">
        <v>156</v>
      </c>
      <c r="C17" s="261"/>
      <c r="D17" s="353"/>
      <c r="E17" s="353"/>
      <c r="F17" s="353"/>
      <c r="G17" s="279"/>
      <c r="H17" s="354"/>
      <c r="I17" s="354"/>
      <c r="J17" s="354"/>
      <c r="K17" s="354"/>
      <c r="L17" s="354"/>
      <c r="M17" s="355"/>
    </row>
    <row r="18" spans="2:18" ht="13.5" customHeight="1" x14ac:dyDescent="0.3">
      <c r="B18" s="280" t="s">
        <v>157</v>
      </c>
      <c r="C18" s="108"/>
      <c r="D18" s="70"/>
      <c r="E18" s="70"/>
      <c r="F18" s="70"/>
      <c r="G18" s="281"/>
      <c r="H18" s="120"/>
      <c r="I18" s="120"/>
      <c r="J18" s="120"/>
      <c r="K18" s="120"/>
      <c r="L18" s="120"/>
      <c r="M18" s="341"/>
    </row>
    <row r="19" spans="2:18" ht="13.5" customHeight="1" x14ac:dyDescent="0.3">
      <c r="B19" s="282" t="s">
        <v>164</v>
      </c>
      <c r="C19" s="283"/>
      <c r="D19" s="284"/>
      <c r="E19" s="284"/>
      <c r="F19" s="284"/>
      <c r="G19" s="285"/>
      <c r="H19" s="286"/>
      <c r="I19" s="286"/>
      <c r="J19" s="286"/>
      <c r="K19" s="286"/>
      <c r="L19" s="286"/>
      <c r="M19" s="287"/>
      <c r="O19" s="94"/>
    </row>
    <row r="20" spans="2:18" ht="13.5" customHeight="1" x14ac:dyDescent="0.3">
      <c r="B20" s="280" t="s">
        <v>165</v>
      </c>
      <c r="C20" s="108"/>
      <c r="D20" s="64"/>
      <c r="E20" s="64"/>
      <c r="F20" s="64"/>
      <c r="G20" s="288"/>
      <c r="H20" s="90"/>
      <c r="I20" s="90"/>
      <c r="J20" s="60"/>
      <c r="K20" s="60"/>
      <c r="L20" s="60"/>
      <c r="M20" s="342"/>
    </row>
    <row r="21" spans="2:18" ht="13.5" customHeight="1" x14ac:dyDescent="0.3">
      <c r="B21" s="289" t="s">
        <v>166</v>
      </c>
      <c r="C21" s="290"/>
      <c r="D21" s="291"/>
      <c r="E21" s="291"/>
      <c r="F21" s="291"/>
      <c r="G21" s="292"/>
      <c r="H21" s="293"/>
      <c r="I21" s="293"/>
      <c r="J21" s="356"/>
      <c r="K21" s="356"/>
      <c r="L21" s="356"/>
      <c r="M21" s="357"/>
    </row>
    <row r="22" spans="2:18" s="65" customFormat="1" ht="13.5" customHeight="1" x14ac:dyDescent="0.3">
      <c r="B22" s="273" t="s">
        <v>65</v>
      </c>
      <c r="C22" s="274"/>
      <c r="D22" s="349"/>
      <c r="E22" s="349"/>
      <c r="F22" s="349"/>
      <c r="G22" s="349"/>
      <c r="H22" s="277"/>
      <c r="I22" s="277"/>
      <c r="J22" s="350"/>
      <c r="K22" s="351"/>
      <c r="L22" s="351"/>
      <c r="M22" s="352"/>
    </row>
    <row r="23" spans="2:18" ht="4.5" customHeight="1" x14ac:dyDescent="0.3"/>
    <row r="24" spans="2:18" ht="13.5" customHeight="1" x14ac:dyDescent="0.3">
      <c r="B24" s="323" t="s">
        <v>14</v>
      </c>
      <c r="C24" s="131">
        <f>g</f>
        <v>0.01</v>
      </c>
      <c r="D24" s="71"/>
      <c r="E24" s="71"/>
    </row>
    <row r="25" spans="2:18" ht="13.5" customHeight="1" x14ac:dyDescent="0.3">
      <c r="B25" s="324" t="s">
        <v>15</v>
      </c>
      <c r="C25" s="131">
        <f>wacc</f>
        <v>0.113</v>
      </c>
      <c r="D25" s="71"/>
    </row>
    <row r="27" spans="2:18" ht="13.5" customHeight="1" x14ac:dyDescent="0.3">
      <c r="B27" s="325" t="s">
        <v>16</v>
      </c>
      <c r="C27" s="325"/>
      <c r="D27" s="325"/>
      <c r="E27" s="325"/>
      <c r="F27" s="325"/>
      <c r="G27" s="325"/>
      <c r="H27" s="326"/>
      <c r="I27" s="326"/>
      <c r="J27" s="327"/>
      <c r="K27" s="327"/>
      <c r="L27" s="327"/>
      <c r="M27" s="327"/>
      <c r="N27" s="327"/>
      <c r="O27" s="359"/>
    </row>
    <row r="28" spans="2:18" ht="13.5" customHeight="1" x14ac:dyDescent="0.3">
      <c r="F28" s="88" t="str">
        <f>unit</f>
        <v>KRW Million</v>
      </c>
      <c r="J28" s="108"/>
      <c r="K28" s="108"/>
      <c r="L28" s="108"/>
      <c r="M28" s="108"/>
      <c r="N28" s="108"/>
    </row>
    <row r="29" spans="2:18" ht="13.5" customHeight="1" x14ac:dyDescent="0.3">
      <c r="B29" s="1" t="s">
        <v>17</v>
      </c>
      <c r="C29" s="1948"/>
      <c r="D29" s="328" t="s">
        <v>18</v>
      </c>
      <c r="E29" s="328"/>
      <c r="F29" s="329"/>
      <c r="J29" s="36"/>
      <c r="K29" s="150" t="s">
        <v>14</v>
      </c>
      <c r="L29" s="150"/>
      <c r="M29" s="150"/>
      <c r="N29" s="150"/>
      <c r="O29" s="150"/>
    </row>
    <row r="30" spans="2:18" ht="13.5" customHeight="1" x14ac:dyDescent="0.3">
      <c r="B30" s="1949"/>
      <c r="C30" s="1950"/>
      <c r="D30" s="330" t="s">
        <v>20</v>
      </c>
      <c r="E30" s="330" t="s">
        <v>19</v>
      </c>
      <c r="F30" s="331" t="s">
        <v>21</v>
      </c>
      <c r="J30" s="73">
        <f>H22</f>
        <v>0</v>
      </c>
      <c r="K30" s="74">
        <f>L30-CHOOSE($Q$33,$R$32,$R$33)</f>
        <v>0</v>
      </c>
      <c r="L30" s="74">
        <f>M30-CHOOSE($Q$33,$R$32,$R$33)</f>
        <v>5.0000000000000001E-3</v>
      </c>
      <c r="M30" s="75">
        <f>g</f>
        <v>0.01</v>
      </c>
      <c r="N30" s="74">
        <f>M30+CHOOSE($Q$33,$R$32,$R$33)</f>
        <v>1.4999999999999999E-2</v>
      </c>
      <c r="O30" s="74">
        <f>N30+CHOOSE($Q$33,$R$32,$R$33)</f>
        <v>0.02</v>
      </c>
    </row>
    <row r="31" spans="2:18" ht="13.5" customHeight="1" x14ac:dyDescent="0.3">
      <c r="B31" s="137" t="s">
        <v>167</v>
      </c>
      <c r="C31" s="138"/>
      <c r="D31" s="132">
        <f>L34</f>
        <v>0</v>
      </c>
      <c r="E31" s="127">
        <f>M33</f>
        <v>0</v>
      </c>
      <c r="F31" s="133">
        <f>N32</f>
        <v>0</v>
      </c>
      <c r="J31" s="74">
        <f>J32-CHOOSE($Q$33,$R$32,$R$33)</f>
        <v>0.10299999999999999</v>
      </c>
      <c r="K31" s="142">
        <f t="dataTable" ref="K31:O35" dt2D="1" dtr="1" r1="C24" r2="C25"/>
        <v>0</v>
      </c>
      <c r="L31" s="143">
        <v>0</v>
      </c>
      <c r="M31" s="143">
        <v>0</v>
      </c>
      <c r="N31" s="143">
        <v>0</v>
      </c>
      <c r="O31" s="148">
        <v>0</v>
      </c>
    </row>
    <row r="32" spans="2:18" ht="13.5" customHeight="1" x14ac:dyDescent="0.3">
      <c r="B32" s="128" t="s">
        <v>168</v>
      </c>
      <c r="C32" s="139"/>
      <c r="D32" s="134"/>
      <c r="E32" s="90">
        <f>'NOA&amp;IBD'!E11</f>
        <v>46315.428310000003</v>
      </c>
      <c r="F32" s="135"/>
      <c r="J32" s="74">
        <f>J33-CHOOSE($Q$33,$R$32,$R$33)</f>
        <v>0.108</v>
      </c>
      <c r="K32" s="144">
        <v>0</v>
      </c>
      <c r="L32" s="142">
        <v>0</v>
      </c>
      <c r="M32" s="143">
        <v>0</v>
      </c>
      <c r="N32" s="332">
        <v>0</v>
      </c>
      <c r="O32" s="145">
        <v>0</v>
      </c>
      <c r="Q32" s="65" t="s">
        <v>126</v>
      </c>
      <c r="R32" s="151">
        <v>5.0000000000000001E-3</v>
      </c>
    </row>
    <row r="33" spans="2:18" ht="13.5" customHeight="1" x14ac:dyDescent="0.3">
      <c r="B33" s="128" t="s">
        <v>169</v>
      </c>
      <c r="C33" s="139"/>
      <c r="D33" s="134">
        <f>D31+$E$32</f>
        <v>46315.428310000003</v>
      </c>
      <c r="E33" s="89">
        <f>E31+$E$32</f>
        <v>46315.428310000003</v>
      </c>
      <c r="F33" s="135">
        <f>F31+$E$32</f>
        <v>46315.428310000003</v>
      </c>
      <c r="J33" s="75">
        <f>wacc</f>
        <v>0.113</v>
      </c>
      <c r="K33" s="144">
        <v>0</v>
      </c>
      <c r="L33" s="144">
        <v>0</v>
      </c>
      <c r="M33" s="334">
        <v>0</v>
      </c>
      <c r="N33" s="145">
        <v>0</v>
      </c>
      <c r="O33" s="145">
        <v>0</v>
      </c>
      <c r="Q33" s="159">
        <v>1</v>
      </c>
      <c r="R33" s="152">
        <v>0.01</v>
      </c>
    </row>
    <row r="34" spans="2:18" ht="13.5" customHeight="1" x14ac:dyDescent="0.3">
      <c r="B34" s="128" t="s">
        <v>170</v>
      </c>
      <c r="C34" s="139"/>
      <c r="D34" s="134"/>
      <c r="E34" s="89">
        <f>'NOA&amp;IBD'!E18</f>
        <v>0</v>
      </c>
      <c r="F34" s="135"/>
      <c r="J34" s="74">
        <f>J33+CHOOSE($Q$33,$R$32,$R$33)</f>
        <v>0.11800000000000001</v>
      </c>
      <c r="K34" s="144">
        <v>0</v>
      </c>
      <c r="L34" s="333">
        <v>0</v>
      </c>
      <c r="M34" s="146">
        <v>0</v>
      </c>
      <c r="N34" s="147">
        <v>0</v>
      </c>
      <c r="O34" s="145">
        <v>0</v>
      </c>
    </row>
    <row r="35" spans="2:18" ht="13.5" customHeight="1" x14ac:dyDescent="0.3">
      <c r="B35" s="128" t="s">
        <v>186</v>
      </c>
      <c r="C35" s="139"/>
      <c r="D35" s="134"/>
      <c r="E35" s="488"/>
      <c r="F35" s="135"/>
      <c r="J35" s="74">
        <f>J34+CHOOSE($Q$33,$R$32,$R$33)</f>
        <v>0.12300000000000001</v>
      </c>
      <c r="K35" s="149">
        <v>0</v>
      </c>
      <c r="L35" s="146">
        <v>0</v>
      </c>
      <c r="M35" s="146">
        <v>0</v>
      </c>
      <c r="N35" s="146">
        <v>0</v>
      </c>
      <c r="O35" s="147">
        <v>0</v>
      </c>
    </row>
    <row r="36" spans="2:18" ht="13.5" customHeight="1" x14ac:dyDescent="0.3">
      <c r="B36" s="140" t="s">
        <v>171</v>
      </c>
      <c r="C36" s="141"/>
      <c r="D36" s="136">
        <f>D33-$E$34-$E$35</f>
        <v>46315.428310000003</v>
      </c>
      <c r="E36" s="129">
        <f t="shared" ref="E36:F36" si="0">E33-$E$34-$E$35</f>
        <v>46315.428310000003</v>
      </c>
      <c r="F36" s="130">
        <f t="shared" si="0"/>
        <v>46315.428310000003</v>
      </c>
    </row>
    <row r="37" spans="2:18" ht="13.5" customHeight="1" x14ac:dyDescent="0.3">
      <c r="B37" s="128" t="s">
        <v>172</v>
      </c>
      <c r="C37" s="139"/>
      <c r="D37" s="134"/>
      <c r="E37" s="89"/>
      <c r="F37" s="135"/>
    </row>
    <row r="38" spans="2:18" ht="13.5" customHeight="1" x14ac:dyDescent="0.3">
      <c r="B38" s="140" t="s">
        <v>178</v>
      </c>
      <c r="C38" s="141"/>
      <c r="D38" s="136" t="e">
        <f t="shared" ref="D38" si="1">D36*10^6/$E$37</f>
        <v>#DIV/0!</v>
      </c>
      <c r="E38" s="129" t="e">
        <f>E36*10^6/$E$37</f>
        <v>#DIV/0!</v>
      </c>
      <c r="F38" s="130" t="e">
        <f t="shared" ref="F38" si="2">F36*10^6/$E$37</f>
        <v>#DIV/0!</v>
      </c>
    </row>
    <row r="39" spans="2:18" ht="13.5" customHeight="1" x14ac:dyDescent="0.3">
      <c r="B39" s="128" t="s">
        <v>176</v>
      </c>
      <c r="C39" s="139"/>
      <c r="D39" s="134"/>
      <c r="E39" s="89"/>
      <c r="F39" s="135"/>
    </row>
    <row r="40" spans="2:18" ht="13.5" customHeight="1" x14ac:dyDescent="0.3">
      <c r="B40" s="140" t="s">
        <v>177</v>
      </c>
      <c r="C40" s="141"/>
      <c r="D40" s="136"/>
      <c r="E40" s="129"/>
      <c r="F40" s="130"/>
    </row>
  </sheetData>
  <mergeCells count="1">
    <mergeCell ref="B29:C30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7489" r:id="rId3" name="Drop Down 1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90" r:id="rId4" name="Drop Down 2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91" r:id="rId5" name="Drop Down 3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92" r:id="rId6" name="Drop Down 4">
              <controlPr defaultSize="0" autoLine="0" autoPict="0">
                <anchor moveWithCells="1">
                  <from>
                    <xdr:col>16</xdr:col>
                    <xdr:colOff>28575</xdr:colOff>
                    <xdr:row>32</xdr:row>
                    <xdr:rowOff>0</xdr:rowOff>
                  </from>
                  <to>
                    <xdr:col>17</xdr:col>
                    <xdr:colOff>361950</xdr:colOff>
                    <xdr:row>32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  <pageSetUpPr fitToPage="1"/>
  </sheetPr>
  <dimension ref="B1:O38"/>
  <sheetViews>
    <sheetView showGridLines="0" zoomScale="85" zoomScaleNormal="85" workbookViewId="0">
      <selection activeCell="J37" sqref="J37"/>
    </sheetView>
  </sheetViews>
  <sheetFormatPr defaultColWidth="9" defaultRowHeight="14.1" customHeight="1" x14ac:dyDescent="0.3"/>
  <cols>
    <col min="1" max="1" width="1.625" style="159" customWidth="1"/>
    <col min="2" max="2" width="20.625" style="159" customWidth="1"/>
    <col min="3" max="10" width="9.625" style="159" customWidth="1"/>
    <col min="11" max="13" width="9.625" style="108" customWidth="1"/>
    <col min="14" max="15" width="11.875" style="159" bestFit="1" customWidth="1"/>
    <col min="16" max="16384" width="9" style="159"/>
  </cols>
  <sheetData>
    <row r="1" spans="2:15" s="153" customFormat="1" ht="30" customHeight="1" x14ac:dyDescent="0.3">
      <c r="B1" s="254" t="str">
        <f>"Project"&amp;" "&amp;Title!L6</f>
        <v>Project SVG1</v>
      </c>
      <c r="C1" s="255"/>
      <c r="D1" s="255"/>
      <c r="E1" s="255"/>
      <c r="F1" s="255"/>
      <c r="G1" s="255"/>
      <c r="H1" s="255"/>
      <c r="I1" s="255"/>
      <c r="J1" s="255"/>
      <c r="K1" s="320"/>
      <c r="L1" s="320"/>
      <c r="M1" s="320" t="str">
        <f>Des!C12</f>
        <v>DRAFT - For Discussion Purposes Only</v>
      </c>
    </row>
    <row r="2" spans="2:15" s="153" customFormat="1" ht="20.100000000000001" customHeight="1" x14ac:dyDescent="0.3">
      <c r="B2" s="257" t="s">
        <v>173</v>
      </c>
      <c r="C2" s="257"/>
      <c r="D2" s="257"/>
      <c r="E2" s="257"/>
      <c r="F2" s="257"/>
      <c r="G2" s="257"/>
      <c r="H2" s="257"/>
      <c r="I2" s="257"/>
      <c r="J2" s="257"/>
      <c r="K2" s="321"/>
      <c r="L2" s="321"/>
      <c r="M2" s="321"/>
    </row>
    <row r="3" spans="2:15" s="153" customFormat="1" ht="14.1" customHeight="1" x14ac:dyDescent="0.3">
      <c r="C3" s="38"/>
      <c r="D3" s="38"/>
      <c r="E3" s="38"/>
      <c r="F3" s="38"/>
      <c r="K3" s="37"/>
      <c r="L3" s="37"/>
      <c r="M3" s="37"/>
    </row>
    <row r="4" spans="2:15" ht="13.5" customHeight="1" x14ac:dyDescent="0.3">
      <c r="B4" s="258" t="s">
        <v>173</v>
      </c>
      <c r="C4" s="295"/>
      <c r="D4" s="295"/>
      <c r="E4" s="295"/>
      <c r="F4" s="295"/>
      <c r="G4" s="296"/>
      <c r="H4" s="295"/>
      <c r="I4" s="295"/>
      <c r="J4" s="295"/>
      <c r="K4" s="295"/>
      <c r="L4" s="295"/>
      <c r="M4" s="297"/>
    </row>
    <row r="5" spans="2:15" ht="13.5" customHeight="1" x14ac:dyDescent="0.3">
      <c r="B5" s="298" t="str">
        <f>unit</f>
        <v>KRW Million</v>
      </c>
      <c r="C5" s="299"/>
      <c r="D5" s="299"/>
      <c r="E5" s="299"/>
      <c r="F5" s="299">
        <f>I5-1</f>
        <v>2016</v>
      </c>
      <c r="G5" s="300" t="str">
        <f>YEAR(Des!$C$8)&amp;"/"&amp;MONTH(Des!$C$8)&amp;"A"</f>
        <v>2017/12A</v>
      </c>
      <c r="H5" s="301" t="str">
        <f>YEAR(Des!$C$8)&amp;"/"&amp;12-MONTH(Des!$C$8)&amp;"E"</f>
        <v>2017/0E</v>
      </c>
      <c r="I5" s="418">
        <f>YEAR(Des!C8)</f>
        <v>2017</v>
      </c>
      <c r="J5" s="301">
        <f>I5+1</f>
        <v>2018</v>
      </c>
      <c r="K5" s="301">
        <f>J5+1</f>
        <v>2019</v>
      </c>
      <c r="L5" s="301">
        <f>K5+1</f>
        <v>2020</v>
      </c>
      <c r="M5" s="302">
        <f>L5+1</f>
        <v>2021</v>
      </c>
    </row>
    <row r="6" spans="2:15" s="65" customFormat="1" ht="13.5" customHeight="1" x14ac:dyDescent="0.3">
      <c r="B6" s="303" t="s">
        <v>152</v>
      </c>
      <c r="C6" s="304"/>
      <c r="D6" s="305"/>
      <c r="E6" s="306"/>
      <c r="F6" s="305" t="e">
        <f>#REF!</f>
        <v>#REF!</v>
      </c>
      <c r="G6" s="307" t="e">
        <f>#REF!</f>
        <v>#REF!</v>
      </c>
      <c r="H6" s="305" t="e">
        <f>I6-G6</f>
        <v>#REF!</v>
      </c>
      <c r="I6" s="305" t="e">
        <f>#REF!/10^6</f>
        <v>#REF!</v>
      </c>
      <c r="J6" s="305" t="e">
        <f>#REF!/10^6</f>
        <v>#REF!</v>
      </c>
      <c r="K6" s="305" t="e">
        <f>#REF!/10^6</f>
        <v>#REF!</v>
      </c>
      <c r="L6" s="305" t="e">
        <f>#REF!/10^6</f>
        <v>#REF!</v>
      </c>
      <c r="M6" s="307" t="e">
        <f>#REF!/10^6</f>
        <v>#REF!</v>
      </c>
      <c r="N6" s="163"/>
      <c r="O6" s="163"/>
    </row>
    <row r="7" spans="2:15" s="85" customFormat="1" ht="13.5" customHeight="1" x14ac:dyDescent="0.3">
      <c r="B7" s="308" t="s">
        <v>37</v>
      </c>
      <c r="C7" s="58"/>
      <c r="D7" s="58"/>
      <c r="E7" s="58"/>
      <c r="F7" s="58" t="e">
        <f>F6/E6-1</f>
        <v>#REF!</v>
      </c>
      <c r="G7" s="309" t="s">
        <v>31</v>
      </c>
      <c r="H7" s="58" t="s">
        <v>31</v>
      </c>
      <c r="I7" s="58" t="e">
        <f>I6/F6-1</f>
        <v>#REF!</v>
      </c>
      <c r="J7" s="58" t="e">
        <f>J6/I6-1</f>
        <v>#REF!</v>
      </c>
      <c r="K7" s="58" t="e">
        <f>K6/J6-1</f>
        <v>#REF!</v>
      </c>
      <c r="L7" s="58" t="e">
        <f>L6/K6-1</f>
        <v>#REF!</v>
      </c>
      <c r="M7" s="309" t="e">
        <f>M6/L6-1</f>
        <v>#REF!</v>
      </c>
    </row>
    <row r="8" spans="2:15" s="85" customFormat="1" ht="13.5" customHeight="1" x14ac:dyDescent="0.3">
      <c r="B8" s="308"/>
      <c r="C8" s="57"/>
      <c r="D8" s="57"/>
      <c r="E8" s="58"/>
      <c r="F8" s="58"/>
      <c r="G8" s="309"/>
      <c r="H8" s="58"/>
      <c r="I8" s="58"/>
      <c r="J8" s="58"/>
      <c r="K8" s="58"/>
      <c r="L8" s="58"/>
      <c r="M8" s="309"/>
    </row>
    <row r="9" spans="2:15" s="65" customFormat="1" ht="13.5" customHeight="1" x14ac:dyDescent="0.3">
      <c r="B9" s="310" t="s">
        <v>153</v>
      </c>
      <c r="C9" s="54"/>
      <c r="D9" s="90"/>
      <c r="E9" s="90"/>
      <c r="F9" s="90">
        <f>매출원가!F6</f>
        <v>59896.716215999993</v>
      </c>
      <c r="G9" s="267" t="e">
        <f>매출원가!#REF!</f>
        <v>#REF!</v>
      </c>
      <c r="H9" s="90" t="e">
        <f>I9-G9</f>
        <v>#REF!</v>
      </c>
      <c r="I9" s="90" t="e">
        <f>#REF!/10^6</f>
        <v>#REF!</v>
      </c>
      <c r="J9" s="90" t="e">
        <f>#REF!/10^6</f>
        <v>#REF!</v>
      </c>
      <c r="K9" s="90" t="e">
        <f>#REF!/10^6</f>
        <v>#REF!</v>
      </c>
      <c r="L9" s="90" t="e">
        <f>#REF!/10^6</f>
        <v>#REF!</v>
      </c>
      <c r="M9" s="267" t="e">
        <f>#REF!/10^6</f>
        <v>#REF!</v>
      </c>
    </row>
    <row r="10" spans="2:15" s="85" customFormat="1" ht="13.5" customHeight="1" x14ac:dyDescent="0.3">
      <c r="B10" s="308" t="s">
        <v>37</v>
      </c>
      <c r="C10" s="57"/>
      <c r="D10" s="58"/>
      <c r="E10" s="57"/>
      <c r="F10" s="57" t="e">
        <f>F9/E9-1</f>
        <v>#DIV/0!</v>
      </c>
      <c r="G10" s="311" t="s">
        <v>31</v>
      </c>
      <c r="H10" s="57" t="s">
        <v>31</v>
      </c>
      <c r="I10" s="57" t="e">
        <f>I9/F9-1</f>
        <v>#REF!</v>
      </c>
      <c r="J10" s="58" t="e">
        <f>J9/I9-1</f>
        <v>#REF!</v>
      </c>
      <c r="K10" s="58" t="e">
        <f>K9/J9-1</f>
        <v>#REF!</v>
      </c>
      <c r="L10" s="58" t="e">
        <f>L9/K9-1</f>
        <v>#REF!</v>
      </c>
      <c r="M10" s="309" t="e">
        <f>M9/L9-1</f>
        <v>#REF!</v>
      </c>
    </row>
    <row r="11" spans="2:15" s="86" customFormat="1" ht="13.5" customHeight="1" x14ac:dyDescent="0.3">
      <c r="B11" s="312" t="s">
        <v>47</v>
      </c>
      <c r="C11" s="43"/>
      <c r="D11" s="43"/>
      <c r="E11" s="52"/>
      <c r="F11" s="52" t="e">
        <f t="shared" ref="F11:M11" si="0">F9/F$6</f>
        <v>#REF!</v>
      </c>
      <c r="G11" s="313" t="e">
        <f t="shared" si="0"/>
        <v>#REF!</v>
      </c>
      <c r="H11" s="52" t="e">
        <f t="shared" si="0"/>
        <v>#REF!</v>
      </c>
      <c r="I11" s="52" t="e">
        <f t="shared" si="0"/>
        <v>#REF!</v>
      </c>
      <c r="J11" s="43" t="e">
        <f t="shared" si="0"/>
        <v>#REF!</v>
      </c>
      <c r="K11" s="43" t="e">
        <f t="shared" si="0"/>
        <v>#REF!</v>
      </c>
      <c r="L11" s="43" t="e">
        <f t="shared" si="0"/>
        <v>#REF!</v>
      </c>
      <c r="M11" s="314" t="e">
        <f t="shared" si="0"/>
        <v>#REF!</v>
      </c>
    </row>
    <row r="12" spans="2:15" s="86" customFormat="1" ht="13.5" customHeight="1" x14ac:dyDescent="0.3">
      <c r="B12" s="312"/>
      <c r="C12" s="43"/>
      <c r="D12" s="43"/>
      <c r="E12" s="52"/>
      <c r="F12" s="52"/>
      <c r="G12" s="313"/>
      <c r="H12" s="52"/>
      <c r="I12" s="52"/>
      <c r="J12" s="43"/>
      <c r="K12" s="43"/>
      <c r="L12" s="43"/>
      <c r="M12" s="314"/>
    </row>
    <row r="13" spans="2:15" s="65" customFormat="1" ht="13.5" customHeight="1" x14ac:dyDescent="0.3">
      <c r="B13" s="315" t="s">
        <v>76</v>
      </c>
      <c r="C13" s="56"/>
      <c r="D13" s="90"/>
      <c r="E13" s="90"/>
      <c r="F13" s="90" t="e">
        <f t="shared" ref="F13:M13" si="1">F6-F9</f>
        <v>#REF!</v>
      </c>
      <c r="G13" s="267" t="e">
        <f t="shared" si="1"/>
        <v>#REF!</v>
      </c>
      <c r="H13" s="90" t="e">
        <f t="shared" si="1"/>
        <v>#REF!</v>
      </c>
      <c r="I13" s="90" t="e">
        <f t="shared" si="1"/>
        <v>#REF!</v>
      </c>
      <c r="J13" s="90" t="e">
        <f t="shared" si="1"/>
        <v>#REF!</v>
      </c>
      <c r="K13" s="90" t="e">
        <f t="shared" si="1"/>
        <v>#REF!</v>
      </c>
      <c r="L13" s="90" t="e">
        <f t="shared" si="1"/>
        <v>#REF!</v>
      </c>
      <c r="M13" s="267" t="e">
        <f t="shared" si="1"/>
        <v>#REF!</v>
      </c>
    </row>
    <row r="14" spans="2:15" s="85" customFormat="1" ht="13.5" customHeight="1" x14ac:dyDescent="0.3">
      <c r="B14" s="308" t="s">
        <v>37</v>
      </c>
      <c r="C14" s="58"/>
      <c r="D14" s="58"/>
      <c r="E14" s="57"/>
      <c r="F14" s="57" t="e">
        <f>F13/E13-1</f>
        <v>#REF!</v>
      </c>
      <c r="G14" s="311" t="s">
        <v>31</v>
      </c>
      <c r="H14" s="57" t="s">
        <v>31</v>
      </c>
      <c r="I14" s="57" t="e">
        <f>I13/F13-1</f>
        <v>#REF!</v>
      </c>
      <c r="J14" s="58" t="e">
        <f>J13/I13-1</f>
        <v>#REF!</v>
      </c>
      <c r="K14" s="58" t="e">
        <f>K13/J13-1</f>
        <v>#REF!</v>
      </c>
      <c r="L14" s="58" t="e">
        <f>L13/K13-1</f>
        <v>#REF!</v>
      </c>
      <c r="M14" s="309" t="e">
        <f>M13/L13-1</f>
        <v>#REF!</v>
      </c>
    </row>
    <row r="15" spans="2:15" s="86" customFormat="1" ht="13.5" customHeight="1" x14ac:dyDescent="0.3">
      <c r="B15" s="312" t="s">
        <v>47</v>
      </c>
      <c r="C15" s="43"/>
      <c r="D15" s="43"/>
      <c r="E15" s="52"/>
      <c r="F15" s="52" t="e">
        <f t="shared" ref="F15:M15" si="2">F13/F$6</f>
        <v>#REF!</v>
      </c>
      <c r="G15" s="313" t="e">
        <f t="shared" si="2"/>
        <v>#REF!</v>
      </c>
      <c r="H15" s="52" t="e">
        <f>H13/H$6</f>
        <v>#REF!</v>
      </c>
      <c r="I15" s="52" t="e">
        <f t="shared" si="2"/>
        <v>#REF!</v>
      </c>
      <c r="J15" s="43" t="e">
        <f t="shared" si="2"/>
        <v>#REF!</v>
      </c>
      <c r="K15" s="43" t="e">
        <f t="shared" si="2"/>
        <v>#REF!</v>
      </c>
      <c r="L15" s="43" t="e">
        <f t="shared" si="2"/>
        <v>#REF!</v>
      </c>
      <c r="M15" s="314" t="e">
        <f t="shared" si="2"/>
        <v>#REF!</v>
      </c>
    </row>
    <row r="16" spans="2:15" s="86" customFormat="1" ht="13.5" customHeight="1" x14ac:dyDescent="0.3">
      <c r="B16" s="312"/>
      <c r="C16" s="43"/>
      <c r="D16" s="43"/>
      <c r="E16" s="52"/>
      <c r="F16" s="52"/>
      <c r="G16" s="313"/>
      <c r="H16" s="52"/>
      <c r="I16" s="52"/>
      <c r="J16" s="43"/>
      <c r="K16" s="43"/>
      <c r="L16" s="43"/>
      <c r="M16" s="314"/>
    </row>
    <row r="17" spans="2:13" s="65" customFormat="1" ht="13.5" customHeight="1" x14ac:dyDescent="0.3">
      <c r="B17" s="310" t="s">
        <v>179</v>
      </c>
      <c r="C17" s="54"/>
      <c r="D17" s="90"/>
      <c r="E17" s="90"/>
      <c r="F17" s="90">
        <f>'SG&amp;A'!F6</f>
        <v>7407.6969589999999</v>
      </c>
      <c r="G17" s="267" t="e">
        <f>'SG&amp;A'!#REF!</f>
        <v>#REF!</v>
      </c>
      <c r="H17" s="90" t="e">
        <f>I17-G17</f>
        <v>#REF!</v>
      </c>
      <c r="I17" s="90" t="e">
        <f>#REF!/10^6</f>
        <v>#REF!</v>
      </c>
      <c r="J17" s="90" t="e">
        <f>#REF!/10^6</f>
        <v>#REF!</v>
      </c>
      <c r="K17" s="90" t="e">
        <f>#REF!/10^6</f>
        <v>#REF!</v>
      </c>
      <c r="L17" s="90" t="e">
        <f>#REF!/10^6</f>
        <v>#REF!</v>
      </c>
      <c r="M17" s="267" t="e">
        <f>#REF!/10^6</f>
        <v>#REF!</v>
      </c>
    </row>
    <row r="18" spans="2:13" s="85" customFormat="1" ht="13.5" customHeight="1" x14ac:dyDescent="0.3">
      <c r="B18" s="308" t="s">
        <v>37</v>
      </c>
      <c r="C18" s="58"/>
      <c r="D18" s="58"/>
      <c r="E18" s="57"/>
      <c r="F18" s="57" t="e">
        <f>F17/E17-1</f>
        <v>#DIV/0!</v>
      </c>
      <c r="G18" s="311" t="s">
        <v>31</v>
      </c>
      <c r="H18" s="57" t="s">
        <v>31</v>
      </c>
      <c r="I18" s="57" t="e">
        <f>I17/F17-1</f>
        <v>#REF!</v>
      </c>
      <c r="J18" s="58" t="e">
        <f>J17/I17-1</f>
        <v>#REF!</v>
      </c>
      <c r="K18" s="58" t="e">
        <f>K17/J17-1</f>
        <v>#REF!</v>
      </c>
      <c r="L18" s="58" t="e">
        <f>L17/K17-1</f>
        <v>#REF!</v>
      </c>
      <c r="M18" s="309" t="e">
        <f>M17/L17-1</f>
        <v>#REF!</v>
      </c>
    </row>
    <row r="19" spans="2:13" s="86" customFormat="1" ht="13.5" customHeight="1" x14ac:dyDescent="0.3">
      <c r="B19" s="312" t="s">
        <v>47</v>
      </c>
      <c r="C19" s="43"/>
      <c r="D19" s="43"/>
      <c r="E19" s="52"/>
      <c r="F19" s="52" t="e">
        <f t="shared" ref="F19:M19" si="3">F17/F$6</f>
        <v>#REF!</v>
      </c>
      <c r="G19" s="313" t="e">
        <f t="shared" si="3"/>
        <v>#REF!</v>
      </c>
      <c r="H19" s="52" t="e">
        <f t="shared" si="3"/>
        <v>#REF!</v>
      </c>
      <c r="I19" s="52" t="e">
        <f t="shared" si="3"/>
        <v>#REF!</v>
      </c>
      <c r="J19" s="43" t="e">
        <f>J17/J$6</f>
        <v>#REF!</v>
      </c>
      <c r="K19" s="43" t="e">
        <f t="shared" si="3"/>
        <v>#REF!</v>
      </c>
      <c r="L19" s="43" t="e">
        <f t="shared" si="3"/>
        <v>#REF!</v>
      </c>
      <c r="M19" s="314" t="e">
        <f t="shared" si="3"/>
        <v>#REF!</v>
      </c>
    </row>
    <row r="20" spans="2:13" s="86" customFormat="1" ht="13.5" customHeight="1" x14ac:dyDescent="0.3">
      <c r="B20" s="312"/>
      <c r="C20" s="43"/>
      <c r="D20" s="43"/>
      <c r="E20" s="52"/>
      <c r="F20" s="52"/>
      <c r="G20" s="313"/>
      <c r="H20" s="52"/>
      <c r="I20" s="52"/>
      <c r="J20" s="43"/>
      <c r="K20" s="43"/>
      <c r="L20" s="43"/>
      <c r="M20" s="314"/>
    </row>
    <row r="21" spans="2:13" s="65" customFormat="1" ht="13.5" customHeight="1" x14ac:dyDescent="0.3">
      <c r="B21" s="315" t="s">
        <v>155</v>
      </c>
      <c r="C21" s="56"/>
      <c r="D21" s="90"/>
      <c r="E21" s="90"/>
      <c r="F21" s="90" t="e">
        <f t="shared" ref="F21:M21" si="4">F13-F17</f>
        <v>#REF!</v>
      </c>
      <c r="G21" s="267" t="e">
        <f t="shared" si="4"/>
        <v>#REF!</v>
      </c>
      <c r="H21" s="90" t="e">
        <f t="shared" si="4"/>
        <v>#REF!</v>
      </c>
      <c r="I21" s="90" t="e">
        <f t="shared" si="4"/>
        <v>#REF!</v>
      </c>
      <c r="J21" s="90" t="e">
        <f t="shared" si="4"/>
        <v>#REF!</v>
      </c>
      <c r="K21" s="90" t="e">
        <f t="shared" si="4"/>
        <v>#REF!</v>
      </c>
      <c r="L21" s="90" t="e">
        <f t="shared" si="4"/>
        <v>#REF!</v>
      </c>
      <c r="M21" s="267" t="e">
        <f t="shared" si="4"/>
        <v>#REF!</v>
      </c>
    </row>
    <row r="22" spans="2:13" s="85" customFormat="1" ht="13.5" customHeight="1" x14ac:dyDescent="0.3">
      <c r="B22" s="308" t="s">
        <v>37</v>
      </c>
      <c r="C22" s="58"/>
      <c r="D22" s="58"/>
      <c r="E22" s="57"/>
      <c r="F22" s="57" t="e">
        <f>F21/E21-1</f>
        <v>#REF!</v>
      </c>
      <c r="G22" s="311" t="s">
        <v>31</v>
      </c>
      <c r="H22" s="57" t="s">
        <v>31</v>
      </c>
      <c r="I22" s="57" t="e">
        <f>I21/F21-1</f>
        <v>#REF!</v>
      </c>
      <c r="J22" s="58" t="e">
        <f>J21/I21-1</f>
        <v>#REF!</v>
      </c>
      <c r="K22" s="58" t="e">
        <f>K21/J21-1</f>
        <v>#REF!</v>
      </c>
      <c r="L22" s="58" t="e">
        <f>L21/K21-1</f>
        <v>#REF!</v>
      </c>
      <c r="M22" s="309" t="e">
        <f>M21/L21-1</f>
        <v>#REF!</v>
      </c>
    </row>
    <row r="23" spans="2:13" s="86" customFormat="1" ht="13.5" customHeight="1" x14ac:dyDescent="0.3">
      <c r="B23" s="312" t="s">
        <v>47</v>
      </c>
      <c r="C23" s="43"/>
      <c r="D23" s="43"/>
      <c r="E23" s="52"/>
      <c r="F23" s="52" t="e">
        <f t="shared" ref="F23:M23" si="5">F21/F$6</f>
        <v>#REF!</v>
      </c>
      <c r="G23" s="313" t="e">
        <f t="shared" si="5"/>
        <v>#REF!</v>
      </c>
      <c r="H23" s="52" t="e">
        <f t="shared" si="5"/>
        <v>#REF!</v>
      </c>
      <c r="I23" s="52" t="e">
        <f t="shared" si="5"/>
        <v>#REF!</v>
      </c>
      <c r="J23" s="43" t="e">
        <f t="shared" si="5"/>
        <v>#REF!</v>
      </c>
      <c r="K23" s="490" t="e">
        <f t="shared" si="5"/>
        <v>#REF!</v>
      </c>
      <c r="L23" s="490" t="e">
        <f t="shared" si="5"/>
        <v>#REF!</v>
      </c>
      <c r="M23" s="491" t="e">
        <f t="shared" si="5"/>
        <v>#REF!</v>
      </c>
    </row>
    <row r="24" spans="2:13" s="86" customFormat="1" ht="13.5" customHeight="1" x14ac:dyDescent="0.3">
      <c r="B24" s="312"/>
      <c r="C24" s="43"/>
      <c r="D24" s="43"/>
      <c r="E24" s="52"/>
      <c r="F24" s="52"/>
      <c r="G24" s="313"/>
      <c r="H24" s="43"/>
      <c r="I24" s="43"/>
      <c r="J24" s="43"/>
      <c r="K24" s="43"/>
      <c r="L24" s="43"/>
      <c r="M24" s="314"/>
    </row>
    <row r="25" spans="2:13" ht="13.5" customHeight="1" x14ac:dyDescent="0.3">
      <c r="B25" s="310" t="s">
        <v>181</v>
      </c>
      <c r="C25" s="54"/>
      <c r="D25" s="90"/>
      <c r="E25" s="90"/>
      <c r="F25" s="90">
        <f>'CapEx&amp;Dep'!F8</f>
        <v>1082.779</v>
      </c>
      <c r="G25" s="267" t="e">
        <f>'CapEx&amp;Dep'!#REF!</f>
        <v>#REF!</v>
      </c>
      <c r="H25" s="90" t="e">
        <f>I25-G25</f>
        <v>#REF!</v>
      </c>
      <c r="I25" s="90" t="e">
        <f>#REF!/10^6</f>
        <v>#REF!</v>
      </c>
      <c r="J25" s="90" t="e">
        <f>#REF!/10^6</f>
        <v>#REF!</v>
      </c>
      <c r="K25" s="90" t="e">
        <f>#REF!/10^6</f>
        <v>#REF!</v>
      </c>
      <c r="L25" s="90" t="e">
        <f>#REF!/10^6</f>
        <v>#REF!</v>
      </c>
      <c r="M25" s="267" t="e">
        <f>#REF!/10^6</f>
        <v>#REF!</v>
      </c>
    </row>
    <row r="26" spans="2:13" s="85" customFormat="1" ht="13.5" customHeight="1" x14ac:dyDescent="0.3">
      <c r="B26" s="308" t="s">
        <v>37</v>
      </c>
      <c r="C26" s="58"/>
      <c r="D26" s="58"/>
      <c r="E26" s="57"/>
      <c r="F26" s="57" t="e">
        <f>F25/E25-1</f>
        <v>#DIV/0!</v>
      </c>
      <c r="G26" s="311" t="s">
        <v>31</v>
      </c>
      <c r="H26" s="57" t="s">
        <v>31</v>
      </c>
      <c r="I26" s="57" t="e">
        <f>I25/F25-1</f>
        <v>#REF!</v>
      </c>
      <c r="J26" s="58" t="e">
        <f>J25/I25-1</f>
        <v>#REF!</v>
      </c>
      <c r="K26" s="58" t="e">
        <f>K25/J25-1</f>
        <v>#REF!</v>
      </c>
      <c r="L26" s="58" t="e">
        <f>L25/K25-1</f>
        <v>#REF!</v>
      </c>
      <c r="M26" s="309" t="e">
        <f>M25/L25-1</f>
        <v>#REF!</v>
      </c>
    </row>
    <row r="27" spans="2:13" s="86" customFormat="1" ht="13.5" customHeight="1" x14ac:dyDescent="0.3">
      <c r="B27" s="312" t="s">
        <v>47</v>
      </c>
      <c r="C27" s="43"/>
      <c r="D27" s="43"/>
      <c r="E27" s="52"/>
      <c r="F27" s="52" t="e">
        <f t="shared" ref="F27:M27" si="6">F25/F$6</f>
        <v>#REF!</v>
      </c>
      <c r="G27" s="313" t="e">
        <f t="shared" si="6"/>
        <v>#REF!</v>
      </c>
      <c r="H27" s="52" t="e">
        <f t="shared" si="6"/>
        <v>#REF!</v>
      </c>
      <c r="I27" s="52" t="e">
        <f t="shared" si="6"/>
        <v>#REF!</v>
      </c>
      <c r="J27" s="43" t="e">
        <f t="shared" si="6"/>
        <v>#REF!</v>
      </c>
      <c r="K27" s="43" t="e">
        <f t="shared" si="6"/>
        <v>#REF!</v>
      </c>
      <c r="L27" s="43" t="e">
        <f t="shared" si="6"/>
        <v>#REF!</v>
      </c>
      <c r="M27" s="314" t="e">
        <f t="shared" si="6"/>
        <v>#REF!</v>
      </c>
    </row>
    <row r="28" spans="2:13" s="86" customFormat="1" ht="13.5" customHeight="1" x14ac:dyDescent="0.3">
      <c r="B28" s="312"/>
      <c r="C28" s="43"/>
      <c r="D28" s="43"/>
      <c r="E28" s="52"/>
      <c r="F28" s="52"/>
      <c r="G28" s="313"/>
      <c r="H28" s="52"/>
      <c r="I28" s="52"/>
      <c r="J28" s="43"/>
      <c r="K28" s="43"/>
      <c r="L28" s="43"/>
      <c r="M28" s="314"/>
    </row>
    <row r="29" spans="2:13" s="65" customFormat="1" ht="13.5" customHeight="1" x14ac:dyDescent="0.3">
      <c r="B29" s="315" t="s">
        <v>48</v>
      </c>
      <c r="C29" s="55"/>
      <c r="D29" s="90"/>
      <c r="E29" s="90"/>
      <c r="F29" s="90" t="e">
        <f t="shared" ref="F29:M29" si="7">F21+F25</f>
        <v>#REF!</v>
      </c>
      <c r="G29" s="267" t="e">
        <f t="shared" si="7"/>
        <v>#REF!</v>
      </c>
      <c r="H29" s="90" t="e">
        <f t="shared" si="7"/>
        <v>#REF!</v>
      </c>
      <c r="I29" s="90" t="e">
        <f t="shared" si="7"/>
        <v>#REF!</v>
      </c>
      <c r="J29" s="90" t="e">
        <f t="shared" si="7"/>
        <v>#REF!</v>
      </c>
      <c r="K29" s="90" t="e">
        <f t="shared" si="7"/>
        <v>#REF!</v>
      </c>
      <c r="L29" s="90" t="e">
        <f t="shared" si="7"/>
        <v>#REF!</v>
      </c>
      <c r="M29" s="267" t="e">
        <f t="shared" si="7"/>
        <v>#REF!</v>
      </c>
    </row>
    <row r="30" spans="2:13" s="85" customFormat="1" ht="13.5" customHeight="1" x14ac:dyDescent="0.3">
      <c r="B30" s="308" t="s">
        <v>37</v>
      </c>
      <c r="C30" s="58"/>
      <c r="D30" s="58"/>
      <c r="E30" s="57"/>
      <c r="F30" s="57" t="e">
        <f>F29/E29-1</f>
        <v>#REF!</v>
      </c>
      <c r="G30" s="311" t="s">
        <v>31</v>
      </c>
      <c r="H30" s="57" t="s">
        <v>31</v>
      </c>
      <c r="I30" s="57" t="e">
        <f>I29/F29-1</f>
        <v>#REF!</v>
      </c>
      <c r="J30" s="58" t="e">
        <f>J29/I29-1</f>
        <v>#REF!</v>
      </c>
      <c r="K30" s="58" t="e">
        <f>K29/J29-1</f>
        <v>#REF!</v>
      </c>
      <c r="L30" s="58" t="e">
        <f>L29/K29-1</f>
        <v>#REF!</v>
      </c>
      <c r="M30" s="309" t="e">
        <f>M29/L29-1</f>
        <v>#REF!</v>
      </c>
    </row>
    <row r="31" spans="2:13" s="86" customFormat="1" ht="13.5" customHeight="1" x14ac:dyDescent="0.3">
      <c r="B31" s="312" t="s">
        <v>47</v>
      </c>
      <c r="C31" s="43"/>
      <c r="D31" s="43"/>
      <c r="E31" s="52"/>
      <c r="F31" s="52" t="e">
        <f t="shared" ref="F31:M31" si="8">F29/F$6</f>
        <v>#REF!</v>
      </c>
      <c r="G31" s="313" t="e">
        <f t="shared" si="8"/>
        <v>#REF!</v>
      </c>
      <c r="H31" s="52" t="e">
        <f t="shared" si="8"/>
        <v>#REF!</v>
      </c>
      <c r="I31" s="52" t="e">
        <f t="shared" si="8"/>
        <v>#REF!</v>
      </c>
      <c r="J31" s="43" t="e">
        <f t="shared" si="8"/>
        <v>#REF!</v>
      </c>
      <c r="K31" s="43" t="e">
        <f t="shared" si="8"/>
        <v>#REF!</v>
      </c>
      <c r="L31" s="43" t="e">
        <f t="shared" si="8"/>
        <v>#REF!</v>
      </c>
      <c r="M31" s="314" t="e">
        <f t="shared" si="8"/>
        <v>#REF!</v>
      </c>
    </row>
    <row r="32" spans="2:13" ht="13.5" customHeight="1" thickBot="1" x14ac:dyDescent="0.35">
      <c r="B32" s="317"/>
      <c r="C32" s="318"/>
      <c r="D32" s="318"/>
      <c r="E32" s="318"/>
      <c r="F32" s="318"/>
      <c r="G32" s="319"/>
      <c r="H32" s="318"/>
      <c r="I32" s="318"/>
      <c r="J32" s="318"/>
      <c r="K32" s="318"/>
      <c r="L32" s="318"/>
      <c r="M32" s="319"/>
    </row>
    <row r="33" spans="3:13" ht="13.5" customHeight="1" x14ac:dyDescent="0.3">
      <c r="C33" s="87"/>
      <c r="D33" s="87"/>
      <c r="E33" s="87"/>
      <c r="F33" s="87"/>
      <c r="G33" s="87"/>
      <c r="H33" s="87"/>
      <c r="I33" s="87"/>
      <c r="J33" s="87"/>
      <c r="K33" s="322"/>
      <c r="L33" s="322"/>
      <c r="M33" s="322"/>
    </row>
    <row r="34" spans="3:13" ht="13.5" customHeight="1" x14ac:dyDescent="0.3"/>
    <row r="35" spans="3:13" ht="13.5" customHeight="1" x14ac:dyDescent="0.3">
      <c r="C35" s="87"/>
      <c r="D35" s="87"/>
      <c r="E35" s="87"/>
      <c r="F35" s="87"/>
      <c r="G35" s="87"/>
      <c r="H35" s="87"/>
      <c r="I35" s="87"/>
      <c r="J35" s="87"/>
      <c r="K35" s="322"/>
      <c r="L35" s="322"/>
      <c r="M35" s="322"/>
    </row>
    <row r="37" spans="3:13" ht="14.1" customHeight="1" x14ac:dyDescent="0.3">
      <c r="K37" s="159"/>
      <c r="L37" s="159"/>
      <c r="M37" s="159"/>
    </row>
    <row r="38" spans="3:13" ht="14.1" customHeight="1" x14ac:dyDescent="0.3">
      <c r="I38" s="489"/>
      <c r="J38" s="489"/>
      <c r="K38" s="489"/>
      <c r="L38" s="489"/>
      <c r="M38" s="489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tabColor rgb="FF000000"/>
  </sheetPr>
  <dimension ref="A1"/>
  <sheetViews>
    <sheetView showGridLines="0" zoomScale="85" zoomScaleNormal="85" workbookViewId="0">
      <selection activeCell="L23" sqref="L23"/>
    </sheetView>
  </sheetViews>
  <sheetFormatPr defaultColWidth="9" defaultRowHeight="16.5" x14ac:dyDescent="0.3"/>
  <cols>
    <col min="1" max="16384" width="9" style="40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L97"/>
  <sheetViews>
    <sheetView workbookViewId="0">
      <selection activeCell="B5" sqref="B5"/>
    </sheetView>
  </sheetViews>
  <sheetFormatPr defaultColWidth="9" defaultRowHeight="12.75" x14ac:dyDescent="0.2"/>
  <cols>
    <col min="1" max="1" width="9" style="494"/>
    <col min="2" max="2" width="25.625" style="494" customWidth="1"/>
    <col min="3" max="12" width="13.375" style="494" customWidth="1"/>
    <col min="13" max="16384" width="9" style="494"/>
  </cols>
  <sheetData>
    <row r="1" spans="1:12" x14ac:dyDescent="0.2">
      <c r="A1" s="494" t="s">
        <v>234</v>
      </c>
      <c r="G1" s="495" t="s">
        <v>213</v>
      </c>
    </row>
    <row r="2" spans="1:12" x14ac:dyDescent="0.2">
      <c r="G2" s="495"/>
    </row>
    <row r="3" spans="1:12" ht="15.95" customHeight="1" x14ac:dyDescent="0.25">
      <c r="A3" s="496" t="s">
        <v>214</v>
      </c>
      <c r="G3" s="495" t="s">
        <v>215</v>
      </c>
    </row>
    <row r="4" spans="1:12" x14ac:dyDescent="0.2">
      <c r="A4" s="494" t="s">
        <v>216</v>
      </c>
      <c r="G4" s="495" t="s">
        <v>188</v>
      </c>
    </row>
    <row r="6" spans="1:12" x14ac:dyDescent="0.2">
      <c r="A6" s="497"/>
      <c r="B6" s="497" t="s">
        <v>217</v>
      </c>
      <c r="C6" s="497" t="s">
        <v>218</v>
      </c>
      <c r="D6" s="497" t="s">
        <v>219</v>
      </c>
      <c r="E6" s="497" t="s">
        <v>220</v>
      </c>
      <c r="F6" s="497" t="s">
        <v>221</v>
      </c>
      <c r="G6" s="497" t="s">
        <v>222</v>
      </c>
      <c r="H6" s="497" t="s">
        <v>223</v>
      </c>
      <c r="I6" s="497" t="s">
        <v>224</v>
      </c>
      <c r="J6" s="497" t="s">
        <v>225</v>
      </c>
      <c r="K6" s="497" t="s">
        <v>226</v>
      </c>
      <c r="L6" s="497" t="s">
        <v>227</v>
      </c>
    </row>
    <row r="7" spans="1:12" x14ac:dyDescent="0.2">
      <c r="A7" s="498" t="s">
        <v>228</v>
      </c>
      <c r="B7" s="498" t="s">
        <v>229</v>
      </c>
      <c r="C7" s="498">
        <v>20071231</v>
      </c>
      <c r="D7" s="498">
        <v>20081231</v>
      </c>
      <c r="E7" s="498">
        <v>20091231</v>
      </c>
      <c r="F7" s="498">
        <v>20101231</v>
      </c>
      <c r="G7" s="498">
        <v>20111231</v>
      </c>
      <c r="H7" s="498">
        <v>20121231</v>
      </c>
      <c r="I7" s="498">
        <v>20131231</v>
      </c>
      <c r="J7" s="498">
        <v>20141231</v>
      </c>
      <c r="K7" s="498">
        <v>20151231</v>
      </c>
      <c r="L7" s="498">
        <v>20161231</v>
      </c>
    </row>
    <row r="8" spans="1:12" x14ac:dyDescent="0.2">
      <c r="A8" s="499">
        <v>102000</v>
      </c>
      <c r="B8" s="500" t="s">
        <v>230</v>
      </c>
      <c r="C8" s="501" t="s">
        <v>231</v>
      </c>
      <c r="D8" s="501" t="s">
        <v>231</v>
      </c>
      <c r="E8" s="501" t="s">
        <v>231</v>
      </c>
      <c r="F8" s="501" t="s">
        <v>231</v>
      </c>
      <c r="G8" s="501" t="s">
        <v>231</v>
      </c>
      <c r="H8" s="501" t="s">
        <v>231</v>
      </c>
      <c r="I8" s="501" t="s">
        <v>231</v>
      </c>
      <c r="J8" s="501" t="s">
        <v>231</v>
      </c>
      <c r="K8" s="501" t="s">
        <v>231</v>
      </c>
      <c r="L8" s="501" t="s">
        <v>231</v>
      </c>
    </row>
    <row r="9" spans="1:12" x14ac:dyDescent="0.2">
      <c r="A9" s="499">
        <v>161000</v>
      </c>
      <c r="B9" s="500" t="s">
        <v>235</v>
      </c>
      <c r="C9" s="501">
        <v>2363399000</v>
      </c>
      <c r="D9" s="501">
        <v>3986263000</v>
      </c>
      <c r="E9" s="501">
        <v>2291509000</v>
      </c>
      <c r="F9" s="501">
        <v>9515317000</v>
      </c>
      <c r="G9" s="501">
        <v>1909460000</v>
      </c>
      <c r="H9" s="501">
        <v>10240678000</v>
      </c>
      <c r="I9" s="501">
        <v>6837622000</v>
      </c>
      <c r="J9" s="501">
        <v>5059562000</v>
      </c>
      <c r="K9" s="501">
        <v>10825687000</v>
      </c>
      <c r="L9" s="501">
        <v>14772387000</v>
      </c>
    </row>
    <row r="10" spans="1:12" x14ac:dyDescent="0.2">
      <c r="A10" s="499">
        <v>161100</v>
      </c>
      <c r="B10" s="500" t="s">
        <v>236</v>
      </c>
      <c r="C10" s="501">
        <v>1861687000</v>
      </c>
      <c r="D10" s="501">
        <v>3445886000</v>
      </c>
      <c r="E10" s="501">
        <v>6597950000</v>
      </c>
      <c r="F10" s="501">
        <v>5281620000</v>
      </c>
      <c r="G10" s="501">
        <v>4772456000</v>
      </c>
      <c r="H10" s="501">
        <v>8504750000</v>
      </c>
      <c r="I10" s="501">
        <v>5297620000</v>
      </c>
      <c r="J10" s="501">
        <v>5746442000</v>
      </c>
      <c r="K10" s="501">
        <v>10920024000</v>
      </c>
      <c r="L10" s="501">
        <v>12506588000</v>
      </c>
    </row>
    <row r="11" spans="1:12" x14ac:dyDescent="0.2">
      <c r="A11" s="499">
        <v>161210</v>
      </c>
      <c r="B11" s="500" t="s">
        <v>237</v>
      </c>
      <c r="C11" s="501">
        <v>441165000</v>
      </c>
      <c r="D11" s="501">
        <v>696034000</v>
      </c>
      <c r="E11" s="501">
        <v>771738000</v>
      </c>
      <c r="F11" s="501">
        <v>688539000</v>
      </c>
      <c r="G11" s="501">
        <v>776725000</v>
      </c>
      <c r="H11" s="501">
        <v>1126460000</v>
      </c>
      <c r="I11" s="501">
        <v>1134410000</v>
      </c>
      <c r="J11" s="501">
        <v>1236576000</v>
      </c>
      <c r="K11" s="501">
        <v>1346987000</v>
      </c>
      <c r="L11" s="501">
        <v>1029797000</v>
      </c>
    </row>
    <row r="12" spans="1:12" x14ac:dyDescent="0.2">
      <c r="A12" s="499">
        <v>161211</v>
      </c>
      <c r="B12" s="500" t="s">
        <v>238</v>
      </c>
      <c r="C12" s="501">
        <v>253515000</v>
      </c>
      <c r="D12" s="501">
        <v>415587000</v>
      </c>
      <c r="E12" s="501">
        <v>443388000</v>
      </c>
      <c r="F12" s="501">
        <v>447986000</v>
      </c>
      <c r="G12" s="501">
        <v>455312000</v>
      </c>
      <c r="H12" s="501">
        <v>766761000</v>
      </c>
      <c r="I12" s="501">
        <v>768086000</v>
      </c>
      <c r="J12" s="501">
        <v>716002000</v>
      </c>
      <c r="K12" s="501">
        <v>715791000</v>
      </c>
      <c r="L12" s="501">
        <v>773928000</v>
      </c>
    </row>
    <row r="13" spans="1:12" x14ac:dyDescent="0.2">
      <c r="A13" s="499">
        <v>161212</v>
      </c>
      <c r="B13" s="500" t="s">
        <v>233</v>
      </c>
      <c r="C13" s="501">
        <v>1328000</v>
      </c>
      <c r="D13" s="501">
        <v>1336000</v>
      </c>
      <c r="E13" s="501">
        <v>2016000</v>
      </c>
      <c r="F13" s="501">
        <v>2166000</v>
      </c>
      <c r="G13" s="501">
        <v>6658000</v>
      </c>
      <c r="H13" s="501">
        <v>7276000</v>
      </c>
      <c r="I13" s="501">
        <v>7553000</v>
      </c>
      <c r="J13" s="501">
        <v>10530000</v>
      </c>
      <c r="K13" s="501">
        <v>31024000</v>
      </c>
      <c r="L13" s="501">
        <v>191940000</v>
      </c>
    </row>
    <row r="14" spans="1:12" x14ac:dyDescent="0.2">
      <c r="A14" s="499">
        <v>161249</v>
      </c>
      <c r="B14" s="500" t="s">
        <v>239</v>
      </c>
      <c r="C14" s="501">
        <v>1328000</v>
      </c>
      <c r="D14" s="501">
        <v>1336000</v>
      </c>
      <c r="E14" s="501">
        <v>2016000</v>
      </c>
      <c r="F14" s="501">
        <v>2166000</v>
      </c>
      <c r="G14" s="501">
        <v>6658000</v>
      </c>
      <c r="H14" s="501">
        <v>7276000</v>
      </c>
      <c r="I14" s="501">
        <v>7553000</v>
      </c>
      <c r="J14" s="501">
        <v>10530000</v>
      </c>
      <c r="K14" s="501">
        <v>31024000</v>
      </c>
      <c r="L14" s="501">
        <v>191940000</v>
      </c>
    </row>
    <row r="15" spans="1:12" x14ac:dyDescent="0.2">
      <c r="A15" s="499">
        <v>161214</v>
      </c>
      <c r="B15" s="500" t="s">
        <v>232</v>
      </c>
      <c r="C15" s="501">
        <v>4173000</v>
      </c>
      <c r="D15" s="501">
        <v>69598000</v>
      </c>
      <c r="E15" s="501">
        <v>33527000</v>
      </c>
      <c r="F15" s="501">
        <v>2825000</v>
      </c>
      <c r="G15" s="501">
        <v>3362000</v>
      </c>
      <c r="H15" s="501"/>
      <c r="I15" s="501"/>
      <c r="J15" s="501">
        <v>25206000</v>
      </c>
      <c r="K15" s="501">
        <v>3480000</v>
      </c>
      <c r="L15" s="501">
        <v>21745000</v>
      </c>
    </row>
    <row r="16" spans="1:12" x14ac:dyDescent="0.2">
      <c r="A16" s="499">
        <v>161268</v>
      </c>
      <c r="B16" s="500" t="s">
        <v>240</v>
      </c>
      <c r="C16" s="501"/>
      <c r="D16" s="501"/>
      <c r="E16" s="501"/>
      <c r="F16" s="501"/>
      <c r="G16" s="501"/>
      <c r="H16" s="501"/>
      <c r="I16" s="501">
        <v>2284000</v>
      </c>
      <c r="J16" s="501"/>
      <c r="K16" s="501"/>
      <c r="L16" s="501"/>
    </row>
    <row r="17" spans="1:12" x14ac:dyDescent="0.2">
      <c r="A17" s="499">
        <v>161215</v>
      </c>
      <c r="B17" s="500" t="s">
        <v>241</v>
      </c>
      <c r="C17" s="501">
        <v>182148000</v>
      </c>
      <c r="D17" s="501">
        <v>206254000</v>
      </c>
      <c r="E17" s="501">
        <v>292808000</v>
      </c>
      <c r="F17" s="501">
        <v>235540000</v>
      </c>
      <c r="G17" s="501">
        <v>292394000</v>
      </c>
      <c r="H17" s="501">
        <v>352423000</v>
      </c>
      <c r="I17" s="501">
        <v>356488000</v>
      </c>
      <c r="J17" s="501">
        <v>477255000</v>
      </c>
      <c r="K17" s="501">
        <v>542589000</v>
      </c>
      <c r="L17" s="501"/>
    </row>
    <row r="18" spans="1:12" x14ac:dyDescent="0.2">
      <c r="A18" s="499">
        <v>161219</v>
      </c>
      <c r="B18" s="500" t="s">
        <v>242</v>
      </c>
      <c r="C18" s="501"/>
      <c r="D18" s="501">
        <v>3259000</v>
      </c>
      <c r="E18" s="501"/>
      <c r="F18" s="501">
        <v>22000</v>
      </c>
      <c r="G18" s="501">
        <v>18998000</v>
      </c>
      <c r="H18" s="501"/>
      <c r="I18" s="501"/>
      <c r="J18" s="501">
        <v>7583000</v>
      </c>
      <c r="K18" s="501">
        <v>54103000</v>
      </c>
      <c r="L18" s="501">
        <v>1222000</v>
      </c>
    </row>
    <row r="19" spans="1:12" x14ac:dyDescent="0.2">
      <c r="A19" s="499">
        <v>161245</v>
      </c>
      <c r="B19" s="500" t="s">
        <v>243</v>
      </c>
      <c r="C19" s="501"/>
      <c r="D19" s="501"/>
      <c r="E19" s="501"/>
      <c r="F19" s="501"/>
      <c r="G19" s="501"/>
      <c r="H19" s="501"/>
      <c r="I19" s="501"/>
      <c r="J19" s="501"/>
      <c r="K19" s="501"/>
      <c r="L19" s="501">
        <v>40806000</v>
      </c>
    </row>
    <row r="20" spans="1:12" x14ac:dyDescent="0.2">
      <c r="A20" s="499">
        <v>161239</v>
      </c>
      <c r="B20" s="500" t="s">
        <v>244</v>
      </c>
      <c r="C20" s="501"/>
      <c r="D20" s="501"/>
      <c r="E20" s="501"/>
      <c r="F20" s="501"/>
      <c r="G20" s="501"/>
      <c r="H20" s="501"/>
      <c r="I20" s="501"/>
      <c r="J20" s="501">
        <v>1000</v>
      </c>
      <c r="K20" s="501"/>
      <c r="L20" s="501">
        <v>156000</v>
      </c>
    </row>
    <row r="21" spans="1:12" x14ac:dyDescent="0.2">
      <c r="A21" s="499">
        <v>161510</v>
      </c>
      <c r="B21" s="500" t="s">
        <v>245</v>
      </c>
      <c r="C21" s="501">
        <v>43851000</v>
      </c>
      <c r="D21" s="501">
        <v>5217000</v>
      </c>
      <c r="E21" s="501"/>
      <c r="F21" s="501">
        <v>139907000</v>
      </c>
      <c r="G21" s="501">
        <v>8999000</v>
      </c>
      <c r="H21" s="501">
        <v>73191000</v>
      </c>
      <c r="I21" s="501">
        <v>10412000</v>
      </c>
      <c r="J21" s="501">
        <v>9359000</v>
      </c>
      <c r="K21" s="501">
        <v>70127000</v>
      </c>
      <c r="L21" s="501">
        <v>246720000</v>
      </c>
    </row>
    <row r="22" spans="1:12" x14ac:dyDescent="0.2">
      <c r="A22" s="499">
        <v>161514</v>
      </c>
      <c r="B22" s="500" t="s">
        <v>246</v>
      </c>
      <c r="C22" s="501">
        <v>2523000</v>
      </c>
      <c r="D22" s="501">
        <v>5217000</v>
      </c>
      <c r="E22" s="501"/>
      <c r="F22" s="501"/>
      <c r="G22" s="501">
        <v>8999000</v>
      </c>
      <c r="H22" s="501">
        <v>69538000</v>
      </c>
      <c r="I22" s="501">
        <v>699000</v>
      </c>
      <c r="J22" s="501">
        <v>9359000</v>
      </c>
      <c r="K22" s="501">
        <v>70127000</v>
      </c>
      <c r="L22" s="501">
        <v>226068000</v>
      </c>
    </row>
    <row r="23" spans="1:12" x14ac:dyDescent="0.2">
      <c r="A23" s="499">
        <v>161516</v>
      </c>
      <c r="B23" s="500" t="s">
        <v>247</v>
      </c>
      <c r="C23" s="501"/>
      <c r="D23" s="501"/>
      <c r="E23" s="501"/>
      <c r="F23" s="501"/>
      <c r="G23" s="501"/>
      <c r="H23" s="501"/>
      <c r="I23" s="501"/>
      <c r="J23" s="501"/>
      <c r="K23" s="501"/>
      <c r="L23" s="501">
        <v>20652000</v>
      </c>
    </row>
    <row r="24" spans="1:12" x14ac:dyDescent="0.2">
      <c r="A24" s="499">
        <v>161518</v>
      </c>
      <c r="B24" s="500" t="s">
        <v>248</v>
      </c>
      <c r="C24" s="501"/>
      <c r="D24" s="501"/>
      <c r="E24" s="501"/>
      <c r="F24" s="501">
        <v>27872000</v>
      </c>
      <c r="G24" s="501"/>
      <c r="H24" s="501">
        <v>3653000</v>
      </c>
      <c r="I24" s="501">
        <v>9713000</v>
      </c>
      <c r="J24" s="501"/>
      <c r="K24" s="501"/>
      <c r="L24" s="501"/>
    </row>
    <row r="25" spans="1:12" x14ac:dyDescent="0.2">
      <c r="A25" s="499">
        <v>161558</v>
      </c>
      <c r="B25" s="500" t="s">
        <v>249</v>
      </c>
      <c r="C25" s="501"/>
      <c r="D25" s="501"/>
      <c r="E25" s="501"/>
      <c r="F25" s="501">
        <v>112035000</v>
      </c>
      <c r="G25" s="501"/>
      <c r="H25" s="501"/>
      <c r="I25" s="501"/>
      <c r="J25" s="501"/>
      <c r="K25" s="501"/>
      <c r="L25" s="501"/>
    </row>
    <row r="26" spans="1:12" x14ac:dyDescent="0.2">
      <c r="A26" s="499">
        <v>161626</v>
      </c>
      <c r="B26" s="500" t="s">
        <v>250</v>
      </c>
      <c r="C26" s="501">
        <v>41328000</v>
      </c>
      <c r="D26" s="501"/>
      <c r="E26" s="501"/>
      <c r="F26" s="501"/>
      <c r="G26" s="501"/>
      <c r="H26" s="501"/>
      <c r="I26" s="501"/>
      <c r="J26" s="501"/>
      <c r="K26" s="501"/>
      <c r="L26" s="501"/>
    </row>
    <row r="27" spans="1:12" x14ac:dyDescent="0.2">
      <c r="A27" s="499">
        <v>161540</v>
      </c>
      <c r="B27" s="500" t="s">
        <v>251</v>
      </c>
      <c r="C27" s="501">
        <v>104398000</v>
      </c>
      <c r="D27" s="501">
        <v>-150441000</v>
      </c>
      <c r="E27" s="501">
        <v>-5078179000</v>
      </c>
      <c r="F27" s="501">
        <v>3685066000</v>
      </c>
      <c r="G27" s="501">
        <v>-3630722000</v>
      </c>
      <c r="H27" s="501">
        <v>682659000</v>
      </c>
      <c r="I27" s="501">
        <v>416003000</v>
      </c>
      <c r="J27" s="501">
        <v>-1914097000</v>
      </c>
      <c r="K27" s="501">
        <v>-1371197000</v>
      </c>
      <c r="L27" s="501">
        <v>1482723000</v>
      </c>
    </row>
    <row r="28" spans="1:12" x14ac:dyDescent="0.2">
      <c r="A28" s="499">
        <v>161541</v>
      </c>
      <c r="B28" s="500" t="s">
        <v>252</v>
      </c>
      <c r="C28" s="501">
        <v>87241000</v>
      </c>
      <c r="D28" s="501">
        <v>-52939000</v>
      </c>
      <c r="E28" s="501">
        <v>-5557443000</v>
      </c>
      <c r="F28" s="501">
        <v>5121677000</v>
      </c>
      <c r="G28" s="501">
        <v>-62778000</v>
      </c>
      <c r="H28" s="501">
        <v>-162547000</v>
      </c>
      <c r="I28" s="501">
        <v>750770000</v>
      </c>
      <c r="J28" s="501">
        <v>-1657956000</v>
      </c>
      <c r="K28" s="501">
        <v>610516000</v>
      </c>
      <c r="L28" s="501">
        <v>732019000</v>
      </c>
    </row>
    <row r="29" spans="1:12" x14ac:dyDescent="0.2">
      <c r="A29" s="499">
        <v>161542</v>
      </c>
      <c r="B29" s="500" t="s">
        <v>253</v>
      </c>
      <c r="C29" s="501">
        <v>-119647000</v>
      </c>
      <c r="D29" s="501">
        <v>-175615000</v>
      </c>
      <c r="E29" s="501">
        <v>-847627000</v>
      </c>
      <c r="F29" s="501">
        <v>414186000</v>
      </c>
      <c r="G29" s="501">
        <v>-4558188000</v>
      </c>
      <c r="H29" s="501">
        <v>2942146000</v>
      </c>
      <c r="I29" s="501">
        <v>35805000</v>
      </c>
      <c r="J29" s="501">
        <v>-1201256000</v>
      </c>
      <c r="K29" s="501">
        <v>-3341257000</v>
      </c>
      <c r="L29" s="501">
        <v>-924873000</v>
      </c>
    </row>
    <row r="30" spans="1:12" x14ac:dyDescent="0.2">
      <c r="A30" s="499">
        <v>161543</v>
      </c>
      <c r="B30" s="500" t="s">
        <v>254</v>
      </c>
      <c r="C30" s="501">
        <v>-170700000</v>
      </c>
      <c r="D30" s="501">
        <v>-185637000</v>
      </c>
      <c r="E30" s="501">
        <v>295386000</v>
      </c>
      <c r="F30" s="501">
        <v>-173934000</v>
      </c>
      <c r="G30" s="501">
        <v>87642000</v>
      </c>
      <c r="H30" s="501">
        <v>-78160000</v>
      </c>
      <c r="I30" s="501">
        <v>-124805000</v>
      </c>
      <c r="J30" s="501">
        <v>-333568000</v>
      </c>
      <c r="K30" s="501">
        <v>445187000</v>
      </c>
      <c r="L30" s="501">
        <v>51890000</v>
      </c>
    </row>
    <row r="31" spans="1:12" x14ac:dyDescent="0.2">
      <c r="A31" s="499">
        <v>161544</v>
      </c>
      <c r="B31" s="500" t="s">
        <v>255</v>
      </c>
      <c r="C31" s="501">
        <v>346000</v>
      </c>
      <c r="D31" s="501">
        <v>-7836000</v>
      </c>
      <c r="E31" s="501">
        <v>1804000</v>
      </c>
      <c r="F31" s="501">
        <v>-6689000</v>
      </c>
      <c r="G31" s="501">
        <v>-7792000</v>
      </c>
      <c r="H31" s="501">
        <v>-453000</v>
      </c>
      <c r="I31" s="501">
        <v>3333000</v>
      </c>
      <c r="J31" s="501">
        <v>2523000</v>
      </c>
      <c r="K31" s="501">
        <v>-3144000</v>
      </c>
      <c r="L31" s="501">
        <v>-869000</v>
      </c>
    </row>
    <row r="32" spans="1:12" x14ac:dyDescent="0.2">
      <c r="A32" s="499">
        <v>161545</v>
      </c>
      <c r="B32" s="500" t="s">
        <v>256</v>
      </c>
      <c r="C32" s="501"/>
      <c r="D32" s="501"/>
      <c r="E32" s="501">
        <v>-1937000</v>
      </c>
      <c r="F32" s="501">
        <v>-12425000</v>
      </c>
      <c r="G32" s="501">
        <v>-20151000</v>
      </c>
      <c r="H32" s="501">
        <v>-133594000</v>
      </c>
      <c r="I32" s="501">
        <v>-6718000</v>
      </c>
      <c r="J32" s="501">
        <v>5398000</v>
      </c>
      <c r="K32" s="501">
        <v>-18063000</v>
      </c>
      <c r="L32" s="501">
        <v>45771000</v>
      </c>
    </row>
    <row r="33" spans="1:12" x14ac:dyDescent="0.2">
      <c r="A33" s="499">
        <v>161686</v>
      </c>
      <c r="B33" s="500" t="s">
        <v>257</v>
      </c>
      <c r="C33" s="501">
        <v>-13637000</v>
      </c>
      <c r="D33" s="501">
        <v>-87548000</v>
      </c>
      <c r="E33" s="501">
        <v>15890000</v>
      </c>
      <c r="F33" s="501">
        <v>46396000</v>
      </c>
      <c r="G33" s="501">
        <v>-333248000</v>
      </c>
      <c r="H33" s="501">
        <v>-238458000</v>
      </c>
      <c r="I33" s="501">
        <v>111328000</v>
      </c>
      <c r="J33" s="501">
        <v>134872000</v>
      </c>
      <c r="K33" s="501">
        <v>86128000</v>
      </c>
      <c r="L33" s="501">
        <v>-62198000</v>
      </c>
    </row>
    <row r="34" spans="1:12" x14ac:dyDescent="0.2">
      <c r="A34" s="499">
        <v>161571</v>
      </c>
      <c r="B34" s="500" t="s">
        <v>258</v>
      </c>
      <c r="C34" s="501">
        <v>3606000</v>
      </c>
      <c r="D34" s="501">
        <v>231548000</v>
      </c>
      <c r="E34" s="501">
        <v>851554000</v>
      </c>
      <c r="F34" s="501">
        <v>-1126416000</v>
      </c>
      <c r="G34" s="501">
        <v>1396336000</v>
      </c>
      <c r="H34" s="501">
        <v>-1715954000</v>
      </c>
      <c r="I34" s="501">
        <v>200982000</v>
      </c>
      <c r="J34" s="501">
        <v>629557000</v>
      </c>
      <c r="K34" s="501">
        <v>961082000</v>
      </c>
      <c r="L34" s="501">
        <v>251708000</v>
      </c>
    </row>
    <row r="35" spans="1:12" x14ac:dyDescent="0.2">
      <c r="A35" s="499">
        <v>161572</v>
      </c>
      <c r="B35" s="500" t="s">
        <v>259</v>
      </c>
      <c r="C35" s="501">
        <v>242410000</v>
      </c>
      <c r="D35" s="501">
        <v>-29992000</v>
      </c>
      <c r="E35" s="501">
        <v>-108479000</v>
      </c>
      <c r="F35" s="501">
        <v>9953000</v>
      </c>
      <c r="G35" s="501">
        <v>195345000</v>
      </c>
      <c r="H35" s="501">
        <v>-41660000</v>
      </c>
      <c r="I35" s="501">
        <v>327590000</v>
      </c>
      <c r="J35" s="501">
        <v>-106624000</v>
      </c>
      <c r="K35" s="501">
        <v>-183311000</v>
      </c>
      <c r="L35" s="501">
        <v>1099743000</v>
      </c>
    </row>
    <row r="36" spans="1:12" x14ac:dyDescent="0.2">
      <c r="A36" s="499">
        <v>161573</v>
      </c>
      <c r="B36" s="500" t="s">
        <v>260</v>
      </c>
      <c r="C36" s="501">
        <v>2933000</v>
      </c>
      <c r="D36" s="501">
        <v>5064000</v>
      </c>
      <c r="E36" s="501">
        <v>24923000</v>
      </c>
      <c r="F36" s="501">
        <v>-12439000</v>
      </c>
      <c r="G36" s="501">
        <v>9732000</v>
      </c>
      <c r="H36" s="501">
        <v>28786000</v>
      </c>
      <c r="I36" s="501">
        <v>10798000</v>
      </c>
      <c r="J36" s="501">
        <v>21613000</v>
      </c>
      <c r="K36" s="501">
        <v>47746000</v>
      </c>
      <c r="L36" s="501">
        <v>-17578000</v>
      </c>
    </row>
    <row r="37" spans="1:12" x14ac:dyDescent="0.2">
      <c r="A37" s="499">
        <v>161578</v>
      </c>
      <c r="B37" s="500" t="s">
        <v>261</v>
      </c>
      <c r="C37" s="501">
        <v>114433000</v>
      </c>
      <c r="D37" s="501">
        <v>61199000</v>
      </c>
      <c r="E37" s="501">
        <v>-175632000</v>
      </c>
      <c r="F37" s="501"/>
      <c r="G37" s="501"/>
      <c r="H37" s="501"/>
      <c r="I37" s="501"/>
      <c r="J37" s="501"/>
      <c r="K37" s="501"/>
      <c r="L37" s="501"/>
    </row>
    <row r="38" spans="1:12" x14ac:dyDescent="0.2">
      <c r="A38" s="499">
        <v>161574</v>
      </c>
      <c r="B38" s="500" t="s">
        <v>262</v>
      </c>
      <c r="C38" s="501">
        <v>1815000</v>
      </c>
      <c r="D38" s="501">
        <v>5511000</v>
      </c>
      <c r="E38" s="501">
        <v>-2097000</v>
      </c>
      <c r="F38" s="501">
        <v>-9581000</v>
      </c>
      <c r="G38" s="501">
        <v>590000</v>
      </c>
      <c r="H38" s="501">
        <v>9696000</v>
      </c>
      <c r="I38" s="501">
        <v>-570624000</v>
      </c>
      <c r="J38" s="501">
        <v>25583000</v>
      </c>
      <c r="K38" s="501">
        <v>-10573000</v>
      </c>
      <c r="L38" s="501">
        <v>73690000</v>
      </c>
    </row>
    <row r="39" spans="1:12" x14ac:dyDescent="0.2">
      <c r="A39" s="499">
        <v>161575</v>
      </c>
      <c r="B39" s="500" t="s">
        <v>263</v>
      </c>
      <c r="C39" s="501">
        <v>114943000</v>
      </c>
      <c r="D39" s="501">
        <v>266233000</v>
      </c>
      <c r="E39" s="501">
        <v>634075000</v>
      </c>
      <c r="F39" s="501">
        <v>-317943000</v>
      </c>
      <c r="G39" s="501">
        <v>-65642000</v>
      </c>
      <c r="H39" s="501">
        <v>564483000</v>
      </c>
      <c r="I39" s="501">
        <v>34032000</v>
      </c>
      <c r="J39" s="501">
        <v>1020559000</v>
      </c>
      <c r="K39" s="501">
        <v>554625000</v>
      </c>
      <c r="L39" s="501">
        <v>252888000</v>
      </c>
    </row>
    <row r="40" spans="1:12" x14ac:dyDescent="0.2">
      <c r="A40" s="499">
        <v>161582</v>
      </c>
      <c r="B40" s="500" t="s">
        <v>264</v>
      </c>
      <c r="C40" s="501">
        <v>-159345000</v>
      </c>
      <c r="D40" s="501">
        <v>-180428000</v>
      </c>
      <c r="E40" s="501">
        <v>-208596000</v>
      </c>
      <c r="F40" s="501">
        <v>-247721000</v>
      </c>
      <c r="G40" s="501">
        <v>-272566000</v>
      </c>
      <c r="H40" s="501">
        <v>-491628000</v>
      </c>
      <c r="I40" s="501">
        <v>-356488000</v>
      </c>
      <c r="J40" s="501">
        <v>-454797000</v>
      </c>
      <c r="K40" s="501">
        <v>-520132000</v>
      </c>
      <c r="L40" s="501"/>
    </row>
    <row r="41" spans="1:12" x14ac:dyDescent="0.2">
      <c r="A41" s="499">
        <v>161589</v>
      </c>
      <c r="B41" s="500" t="s">
        <v>265</v>
      </c>
      <c r="C41" s="501"/>
      <c r="D41" s="501"/>
      <c r="E41" s="501"/>
      <c r="F41" s="501"/>
      <c r="G41" s="501"/>
      <c r="H41" s="501"/>
      <c r="I41" s="501"/>
      <c r="J41" s="501"/>
      <c r="K41" s="501"/>
      <c r="L41" s="501">
        <v>-19469000</v>
      </c>
    </row>
    <row r="42" spans="1:12" x14ac:dyDescent="0.2">
      <c r="A42" s="499">
        <v>162000</v>
      </c>
      <c r="B42" s="500" t="s">
        <v>266</v>
      </c>
      <c r="C42" s="501">
        <v>-2116107000</v>
      </c>
      <c r="D42" s="501">
        <v>-5247863000</v>
      </c>
      <c r="E42" s="501">
        <v>-2263646000</v>
      </c>
      <c r="F42" s="501">
        <v>-8077535000</v>
      </c>
      <c r="G42" s="501">
        <v>-2680839000</v>
      </c>
      <c r="H42" s="501">
        <v>-9325465000</v>
      </c>
      <c r="I42" s="501">
        <v>-5504427000</v>
      </c>
      <c r="J42" s="501">
        <v>1142388000</v>
      </c>
      <c r="K42" s="501">
        <v>356452000</v>
      </c>
      <c r="L42" s="501">
        <v>-14417547000</v>
      </c>
    </row>
    <row r="43" spans="1:12" x14ac:dyDescent="0.2">
      <c r="A43" s="499">
        <v>162100</v>
      </c>
      <c r="B43" s="500" t="s">
        <v>267</v>
      </c>
      <c r="C43" s="501">
        <v>519599000</v>
      </c>
      <c r="D43" s="501">
        <v>107615000</v>
      </c>
      <c r="E43" s="501"/>
      <c r="F43" s="501">
        <v>287095000</v>
      </c>
      <c r="G43" s="501">
        <v>171909000</v>
      </c>
      <c r="H43" s="501">
        <v>102636000</v>
      </c>
      <c r="I43" s="501">
        <v>700000</v>
      </c>
      <c r="J43" s="501">
        <v>4551403000</v>
      </c>
      <c r="K43" s="501">
        <v>1611135000</v>
      </c>
      <c r="L43" s="501">
        <v>20926514000</v>
      </c>
    </row>
    <row r="44" spans="1:12" x14ac:dyDescent="0.2">
      <c r="A44" s="499">
        <v>162110</v>
      </c>
      <c r="B44" s="500" t="s">
        <v>268</v>
      </c>
      <c r="C44" s="501">
        <v>497218000</v>
      </c>
      <c r="D44" s="501">
        <v>85496000</v>
      </c>
      <c r="E44" s="501"/>
      <c r="F44" s="501"/>
      <c r="G44" s="501"/>
      <c r="H44" s="501"/>
      <c r="I44" s="501"/>
      <c r="J44" s="501">
        <v>2816096000</v>
      </c>
      <c r="K44" s="501">
        <v>1148968000</v>
      </c>
      <c r="L44" s="501">
        <v>20109642000</v>
      </c>
    </row>
    <row r="45" spans="1:12" x14ac:dyDescent="0.2">
      <c r="A45" s="499">
        <v>162111</v>
      </c>
      <c r="B45" s="500" t="s">
        <v>269</v>
      </c>
      <c r="C45" s="501">
        <v>105000</v>
      </c>
      <c r="D45" s="501"/>
      <c r="E45" s="501"/>
      <c r="F45" s="501"/>
      <c r="G45" s="501"/>
      <c r="H45" s="501"/>
      <c r="I45" s="501"/>
      <c r="J45" s="501"/>
      <c r="K45" s="501"/>
      <c r="L45" s="501"/>
    </row>
    <row r="46" spans="1:12" x14ac:dyDescent="0.2">
      <c r="A46" s="499">
        <v>162112</v>
      </c>
      <c r="B46" s="500" t="s">
        <v>270</v>
      </c>
      <c r="C46" s="501"/>
      <c r="D46" s="501">
        <v>85496000</v>
      </c>
      <c r="E46" s="501"/>
      <c r="F46" s="501"/>
      <c r="G46" s="501"/>
      <c r="H46" s="501"/>
      <c r="I46" s="501"/>
      <c r="J46" s="501"/>
      <c r="K46" s="501"/>
      <c r="L46" s="501"/>
    </row>
    <row r="47" spans="1:12" x14ac:dyDescent="0.2">
      <c r="A47" s="499">
        <v>162116</v>
      </c>
      <c r="B47" s="500" t="s">
        <v>271</v>
      </c>
      <c r="C47" s="501">
        <v>497113000</v>
      </c>
      <c r="D47" s="501"/>
      <c r="E47" s="501"/>
      <c r="F47" s="501"/>
      <c r="G47" s="501"/>
      <c r="H47" s="501"/>
      <c r="I47" s="501"/>
      <c r="J47" s="501">
        <v>2816096000</v>
      </c>
      <c r="K47" s="501">
        <v>1148968000</v>
      </c>
      <c r="L47" s="501">
        <v>20109642000</v>
      </c>
    </row>
    <row r="48" spans="1:12" x14ac:dyDescent="0.2">
      <c r="A48" s="499">
        <v>162120</v>
      </c>
      <c r="B48" s="500" t="s">
        <v>272</v>
      </c>
      <c r="C48" s="501"/>
      <c r="D48" s="501"/>
      <c r="E48" s="501"/>
      <c r="F48" s="501">
        <v>287095000</v>
      </c>
      <c r="G48" s="501">
        <v>162909000</v>
      </c>
      <c r="H48" s="501"/>
      <c r="I48" s="501"/>
      <c r="J48" s="501">
        <v>1722534000</v>
      </c>
      <c r="K48" s="501">
        <v>180722000</v>
      </c>
      <c r="L48" s="501">
        <v>358200000</v>
      </c>
    </row>
    <row r="49" spans="1:12" x14ac:dyDescent="0.2">
      <c r="A49" s="499">
        <v>162133</v>
      </c>
      <c r="B49" s="500" t="s">
        <v>273</v>
      </c>
      <c r="C49" s="501"/>
      <c r="D49" s="501"/>
      <c r="E49" s="501"/>
      <c r="F49" s="501"/>
      <c r="G49" s="501">
        <v>162909000</v>
      </c>
      <c r="H49" s="501"/>
      <c r="I49" s="501"/>
      <c r="J49" s="501">
        <v>112534000</v>
      </c>
      <c r="K49" s="501"/>
      <c r="L49" s="501">
        <v>297000000</v>
      </c>
    </row>
    <row r="50" spans="1:12" x14ac:dyDescent="0.2">
      <c r="A50" s="499">
        <v>162122</v>
      </c>
      <c r="B50" s="500" t="s">
        <v>274</v>
      </c>
      <c r="C50" s="501"/>
      <c r="D50" s="501"/>
      <c r="E50" s="501"/>
      <c r="F50" s="501">
        <v>95000</v>
      </c>
      <c r="G50" s="501"/>
      <c r="H50" s="501"/>
      <c r="I50" s="501"/>
      <c r="J50" s="501"/>
      <c r="K50" s="501"/>
      <c r="L50" s="501"/>
    </row>
    <row r="51" spans="1:12" x14ac:dyDescent="0.2">
      <c r="A51" s="499">
        <v>162126</v>
      </c>
      <c r="B51" s="500" t="s">
        <v>275</v>
      </c>
      <c r="C51" s="501"/>
      <c r="D51" s="501"/>
      <c r="E51" s="501"/>
      <c r="F51" s="501"/>
      <c r="G51" s="501"/>
      <c r="H51" s="501"/>
      <c r="I51" s="501"/>
      <c r="J51" s="501">
        <v>1600000000</v>
      </c>
      <c r="K51" s="501"/>
      <c r="L51" s="501"/>
    </row>
    <row r="52" spans="1:12" x14ac:dyDescent="0.2">
      <c r="A52" s="499">
        <v>162131</v>
      </c>
      <c r="B52" s="500" t="s">
        <v>276</v>
      </c>
      <c r="C52" s="501"/>
      <c r="D52" s="501"/>
      <c r="E52" s="501"/>
      <c r="F52" s="501">
        <v>287000000</v>
      </c>
      <c r="G52" s="501"/>
      <c r="H52" s="501"/>
      <c r="I52" s="501"/>
      <c r="J52" s="501">
        <v>10000000</v>
      </c>
      <c r="K52" s="501">
        <v>180722000</v>
      </c>
      <c r="L52" s="501">
        <v>61200000</v>
      </c>
    </row>
    <row r="53" spans="1:12" x14ac:dyDescent="0.2">
      <c r="A53" s="499">
        <v>162150</v>
      </c>
      <c r="B53" s="500" t="s">
        <v>277</v>
      </c>
      <c r="C53" s="501">
        <v>22380000</v>
      </c>
      <c r="D53" s="501">
        <v>22118000</v>
      </c>
      <c r="E53" s="501"/>
      <c r="F53" s="501"/>
      <c r="G53" s="501">
        <v>9000000</v>
      </c>
      <c r="H53" s="501">
        <v>102636000</v>
      </c>
      <c r="I53" s="501">
        <v>700000</v>
      </c>
      <c r="J53" s="501">
        <v>12773000</v>
      </c>
      <c r="K53" s="501">
        <v>281444000</v>
      </c>
      <c r="L53" s="501">
        <v>458672000</v>
      </c>
    </row>
    <row r="54" spans="1:12" x14ac:dyDescent="0.2">
      <c r="A54" s="499">
        <v>162153</v>
      </c>
      <c r="B54" s="500" t="s">
        <v>278</v>
      </c>
      <c r="C54" s="501"/>
      <c r="D54" s="501"/>
      <c r="E54" s="501"/>
      <c r="F54" s="501"/>
      <c r="G54" s="501">
        <v>9000000</v>
      </c>
      <c r="H54" s="501">
        <v>68000000</v>
      </c>
      <c r="I54" s="501"/>
      <c r="J54" s="501"/>
      <c r="K54" s="501">
        <v>39000000</v>
      </c>
      <c r="L54" s="501"/>
    </row>
    <row r="55" spans="1:12" x14ac:dyDescent="0.2">
      <c r="A55" s="499">
        <v>162155</v>
      </c>
      <c r="B55" s="500" t="s">
        <v>279</v>
      </c>
      <c r="C55" s="501">
        <v>22380000</v>
      </c>
      <c r="D55" s="501">
        <v>22118000</v>
      </c>
      <c r="E55" s="501"/>
      <c r="F55" s="501"/>
      <c r="G55" s="501"/>
      <c r="H55" s="501">
        <v>34636000</v>
      </c>
      <c r="I55" s="501">
        <v>700000</v>
      </c>
      <c r="J55" s="501">
        <v>12773000</v>
      </c>
      <c r="K55" s="501">
        <v>242444000</v>
      </c>
      <c r="L55" s="501">
        <v>458672000</v>
      </c>
    </row>
    <row r="56" spans="1:12" x14ac:dyDescent="0.2">
      <c r="A56" s="499">
        <v>162500</v>
      </c>
      <c r="B56" s="500" t="s">
        <v>280</v>
      </c>
      <c r="C56" s="501">
        <v>2635705000</v>
      </c>
      <c r="D56" s="501">
        <v>5355478000</v>
      </c>
      <c r="E56" s="501">
        <v>2263646000</v>
      </c>
      <c r="F56" s="501">
        <v>8364630000</v>
      </c>
      <c r="G56" s="501">
        <v>2852747000</v>
      </c>
      <c r="H56" s="501">
        <v>9428102000</v>
      </c>
      <c r="I56" s="501">
        <v>5505127000</v>
      </c>
      <c r="J56" s="501">
        <v>3409015000</v>
      </c>
      <c r="K56" s="501">
        <v>1254683000</v>
      </c>
      <c r="L56" s="501">
        <v>35344061000</v>
      </c>
    </row>
    <row r="57" spans="1:12" x14ac:dyDescent="0.2">
      <c r="A57" s="499">
        <v>162510</v>
      </c>
      <c r="B57" s="500" t="s">
        <v>281</v>
      </c>
      <c r="C57" s="501"/>
      <c r="D57" s="501">
        <v>1623753000</v>
      </c>
      <c r="E57" s="501">
        <v>1081422000</v>
      </c>
      <c r="F57" s="501">
        <v>5762798000</v>
      </c>
      <c r="G57" s="501">
        <v>808854000</v>
      </c>
      <c r="H57" s="501">
        <v>7172829000</v>
      </c>
      <c r="I57" s="501">
        <v>2398896000</v>
      </c>
      <c r="J57" s="501"/>
      <c r="K57" s="501">
        <v>200000000</v>
      </c>
      <c r="L57" s="501">
        <v>30918901000</v>
      </c>
    </row>
    <row r="58" spans="1:12" x14ac:dyDescent="0.2">
      <c r="A58" s="499">
        <v>162512</v>
      </c>
      <c r="B58" s="500" t="s">
        <v>282</v>
      </c>
      <c r="C58" s="501"/>
      <c r="D58" s="501"/>
      <c r="E58" s="501"/>
      <c r="F58" s="501"/>
      <c r="G58" s="501"/>
      <c r="H58" s="501"/>
      <c r="I58" s="501"/>
      <c r="J58" s="501"/>
      <c r="K58" s="501">
        <v>200000000</v>
      </c>
      <c r="L58" s="501"/>
    </row>
    <row r="59" spans="1:12" x14ac:dyDescent="0.2">
      <c r="A59" s="499">
        <v>162516</v>
      </c>
      <c r="B59" s="500" t="s">
        <v>283</v>
      </c>
      <c r="C59" s="501"/>
      <c r="D59" s="501">
        <v>1623753000</v>
      </c>
      <c r="E59" s="501">
        <v>1081422000</v>
      </c>
      <c r="F59" s="501">
        <v>5762798000</v>
      </c>
      <c r="G59" s="501">
        <v>808854000</v>
      </c>
      <c r="H59" s="501">
        <v>7172829000</v>
      </c>
      <c r="I59" s="501">
        <v>2398896000</v>
      </c>
      <c r="J59" s="501"/>
      <c r="K59" s="501"/>
      <c r="L59" s="501">
        <v>30918901000</v>
      </c>
    </row>
    <row r="60" spans="1:12" x14ac:dyDescent="0.2">
      <c r="A60" s="499">
        <v>162520</v>
      </c>
      <c r="B60" s="500" t="s">
        <v>284</v>
      </c>
      <c r="C60" s="501">
        <v>25373000</v>
      </c>
      <c r="D60" s="501">
        <v>29850000</v>
      </c>
      <c r="E60" s="501">
        <v>543715000</v>
      </c>
      <c r="F60" s="501">
        <v>107591000</v>
      </c>
      <c r="G60" s="501">
        <v>26454000</v>
      </c>
      <c r="H60" s="501">
        <v>132183000</v>
      </c>
      <c r="I60" s="501">
        <v>1906841000</v>
      </c>
      <c r="J60" s="501"/>
      <c r="K60" s="501">
        <v>50000000</v>
      </c>
      <c r="L60" s="501">
        <v>2200000</v>
      </c>
    </row>
    <row r="61" spans="1:12" x14ac:dyDescent="0.2">
      <c r="A61" s="499">
        <v>162532</v>
      </c>
      <c r="B61" s="500" t="s">
        <v>285</v>
      </c>
      <c r="C61" s="501"/>
      <c r="D61" s="501">
        <v>14850000</v>
      </c>
      <c r="E61" s="501">
        <v>323169000</v>
      </c>
      <c r="F61" s="501">
        <v>78591000</v>
      </c>
      <c r="G61" s="501"/>
      <c r="H61" s="501">
        <v>83091000</v>
      </c>
      <c r="I61" s="501">
        <v>68241000</v>
      </c>
      <c r="J61" s="501"/>
      <c r="K61" s="501"/>
      <c r="L61" s="501"/>
    </row>
    <row r="62" spans="1:12" x14ac:dyDescent="0.2">
      <c r="A62" s="499">
        <v>162526</v>
      </c>
      <c r="B62" s="500" t="s">
        <v>286</v>
      </c>
      <c r="C62" s="501"/>
      <c r="D62" s="501"/>
      <c r="E62" s="501"/>
      <c r="F62" s="501"/>
      <c r="G62" s="501"/>
      <c r="H62" s="501"/>
      <c r="I62" s="501">
        <v>1600000000</v>
      </c>
      <c r="J62" s="501"/>
      <c r="K62" s="501"/>
      <c r="L62" s="501"/>
    </row>
    <row r="63" spans="1:12" x14ac:dyDescent="0.2">
      <c r="A63" s="499">
        <v>162530</v>
      </c>
      <c r="B63" s="500" t="s">
        <v>287</v>
      </c>
      <c r="C63" s="501">
        <v>25373000</v>
      </c>
      <c r="D63" s="501">
        <v>15000000</v>
      </c>
      <c r="E63" s="501">
        <v>220547000</v>
      </c>
      <c r="F63" s="501">
        <v>29000000</v>
      </c>
      <c r="G63" s="501">
        <v>26454000</v>
      </c>
      <c r="H63" s="501">
        <v>49092000</v>
      </c>
      <c r="I63" s="501">
        <v>238600000</v>
      </c>
      <c r="J63" s="501"/>
      <c r="K63" s="501">
        <v>50000000</v>
      </c>
      <c r="L63" s="501">
        <v>2200000</v>
      </c>
    </row>
    <row r="64" spans="1:12" x14ac:dyDescent="0.2">
      <c r="A64" s="499">
        <v>162550</v>
      </c>
      <c r="B64" s="500" t="s">
        <v>288</v>
      </c>
      <c r="C64" s="501">
        <v>2610332000</v>
      </c>
      <c r="D64" s="501">
        <v>3701875000</v>
      </c>
      <c r="E64" s="501">
        <v>638509000</v>
      </c>
      <c r="F64" s="501">
        <v>2494240000</v>
      </c>
      <c r="G64" s="501">
        <v>2017439000</v>
      </c>
      <c r="H64" s="501">
        <v>2123089000</v>
      </c>
      <c r="I64" s="501">
        <v>1199389000</v>
      </c>
      <c r="J64" s="501">
        <v>3409015000</v>
      </c>
      <c r="K64" s="501">
        <v>1004683000</v>
      </c>
      <c r="L64" s="501">
        <v>4422960000</v>
      </c>
    </row>
    <row r="65" spans="1:12" x14ac:dyDescent="0.2">
      <c r="A65" s="499">
        <v>162551</v>
      </c>
      <c r="B65" s="500" t="s">
        <v>289</v>
      </c>
      <c r="C65" s="501">
        <v>629942000</v>
      </c>
      <c r="D65" s="501">
        <v>1360514000</v>
      </c>
      <c r="E65" s="501">
        <v>10000000</v>
      </c>
      <c r="F65" s="501">
        <v>1534408000</v>
      </c>
      <c r="G65" s="501">
        <v>419445000</v>
      </c>
      <c r="H65" s="501"/>
      <c r="I65" s="501">
        <v>696969000</v>
      </c>
      <c r="J65" s="501">
        <v>2487160000</v>
      </c>
      <c r="K65" s="501">
        <v>162184000</v>
      </c>
      <c r="L65" s="501">
        <v>219437000</v>
      </c>
    </row>
    <row r="66" spans="1:12" x14ac:dyDescent="0.2">
      <c r="A66" s="499">
        <v>162552</v>
      </c>
      <c r="B66" s="500" t="s">
        <v>290</v>
      </c>
      <c r="C66" s="501">
        <v>1121243000</v>
      </c>
      <c r="D66" s="501">
        <v>713516000</v>
      </c>
      <c r="E66" s="501">
        <v>53656000</v>
      </c>
      <c r="F66" s="501">
        <v>723288000</v>
      </c>
      <c r="G66" s="501">
        <v>749697000</v>
      </c>
      <c r="H66" s="501">
        <v>230655000</v>
      </c>
      <c r="I66" s="501">
        <v>414736000</v>
      </c>
      <c r="J66" s="501">
        <v>185159000</v>
      </c>
      <c r="K66" s="501">
        <v>18449000</v>
      </c>
      <c r="L66" s="501">
        <v>47894000</v>
      </c>
    </row>
    <row r="67" spans="1:12" x14ac:dyDescent="0.2">
      <c r="A67" s="499">
        <v>162553</v>
      </c>
      <c r="B67" s="500" t="s">
        <v>291</v>
      </c>
      <c r="C67" s="501">
        <v>807460000</v>
      </c>
      <c r="D67" s="501">
        <v>308757000</v>
      </c>
      <c r="E67" s="501">
        <v>99846000</v>
      </c>
      <c r="F67" s="501">
        <v>81959000</v>
      </c>
      <c r="G67" s="501">
        <v>246100000</v>
      </c>
      <c r="H67" s="501">
        <v>1437794000</v>
      </c>
      <c r="I67" s="501">
        <v>66373000</v>
      </c>
      <c r="J67" s="501">
        <v>423325000</v>
      </c>
      <c r="K67" s="501">
        <v>65957000</v>
      </c>
      <c r="L67" s="501">
        <v>918335000</v>
      </c>
    </row>
    <row r="68" spans="1:12" x14ac:dyDescent="0.2">
      <c r="A68" s="499">
        <v>162554</v>
      </c>
      <c r="B68" s="500" t="s">
        <v>292</v>
      </c>
      <c r="C68" s="501"/>
      <c r="D68" s="501"/>
      <c r="E68" s="501">
        <v>4805000</v>
      </c>
      <c r="F68" s="501"/>
      <c r="G68" s="501"/>
      <c r="H68" s="501">
        <v>32266000</v>
      </c>
      <c r="I68" s="501">
        <v>2000000</v>
      </c>
      <c r="J68" s="501">
        <v>13636000</v>
      </c>
      <c r="K68" s="501">
        <v>36495000</v>
      </c>
      <c r="L68" s="501">
        <v>10130000</v>
      </c>
    </row>
    <row r="69" spans="1:12" x14ac:dyDescent="0.2">
      <c r="A69" s="499">
        <v>162555</v>
      </c>
      <c r="B69" s="500" t="s">
        <v>293</v>
      </c>
      <c r="C69" s="501">
        <v>51187000</v>
      </c>
      <c r="D69" s="501">
        <v>66224000</v>
      </c>
      <c r="E69" s="501">
        <v>88667000</v>
      </c>
      <c r="F69" s="501">
        <v>83313000</v>
      </c>
      <c r="G69" s="501">
        <v>44274000</v>
      </c>
      <c r="H69" s="501">
        <v>84180000</v>
      </c>
      <c r="I69" s="501">
        <v>17061000</v>
      </c>
      <c r="J69" s="501">
        <v>140305000</v>
      </c>
      <c r="K69" s="501">
        <v>395909000</v>
      </c>
      <c r="L69" s="501">
        <v>425988000</v>
      </c>
    </row>
    <row r="70" spans="1:12" x14ac:dyDescent="0.2">
      <c r="A70" s="499">
        <v>162556</v>
      </c>
      <c r="B70" s="500" t="s">
        <v>294</v>
      </c>
      <c r="C70" s="501"/>
      <c r="D70" s="501">
        <v>1252864000</v>
      </c>
      <c r="E70" s="501">
        <v>378135000</v>
      </c>
      <c r="F70" s="501">
        <v>62272000</v>
      </c>
      <c r="G70" s="501">
        <v>534617000</v>
      </c>
      <c r="H70" s="501">
        <v>337345000</v>
      </c>
      <c r="I70" s="501"/>
      <c r="J70" s="501">
        <v>135379000</v>
      </c>
      <c r="K70" s="501">
        <v>196188000</v>
      </c>
      <c r="L70" s="501">
        <v>1284787000</v>
      </c>
    </row>
    <row r="71" spans="1:12" x14ac:dyDescent="0.2">
      <c r="A71" s="499">
        <v>162557</v>
      </c>
      <c r="B71" s="500" t="s">
        <v>295</v>
      </c>
      <c r="C71" s="501">
        <v>500000</v>
      </c>
      <c r="D71" s="501"/>
      <c r="E71" s="501">
        <v>3400000</v>
      </c>
      <c r="F71" s="501">
        <v>9000000</v>
      </c>
      <c r="G71" s="501">
        <v>23307000</v>
      </c>
      <c r="H71" s="501">
        <v>850000</v>
      </c>
      <c r="I71" s="501">
        <v>2250000</v>
      </c>
      <c r="J71" s="501">
        <v>24050000</v>
      </c>
      <c r="K71" s="501">
        <v>129500000</v>
      </c>
      <c r="L71" s="501">
        <v>1516388000</v>
      </c>
    </row>
    <row r="72" spans="1:12" x14ac:dyDescent="0.2">
      <c r="A72" s="499">
        <v>162563</v>
      </c>
      <c r="B72" s="500" t="s">
        <v>296</v>
      </c>
      <c r="C72" s="501">
        <v>500000</v>
      </c>
      <c r="D72" s="501"/>
      <c r="E72" s="501">
        <v>3400000</v>
      </c>
      <c r="F72" s="501">
        <v>9000000</v>
      </c>
      <c r="G72" s="501">
        <v>23307000</v>
      </c>
      <c r="H72" s="501">
        <v>850000</v>
      </c>
      <c r="I72" s="501">
        <v>2250000</v>
      </c>
      <c r="J72" s="501">
        <v>24050000</v>
      </c>
      <c r="K72" s="501">
        <v>129500000</v>
      </c>
      <c r="L72" s="501">
        <v>1516388000</v>
      </c>
    </row>
    <row r="73" spans="1:12" x14ac:dyDescent="0.2">
      <c r="A73" s="499">
        <v>163000</v>
      </c>
      <c r="B73" s="500" t="s">
        <v>297</v>
      </c>
      <c r="C73" s="501">
        <v>203253000</v>
      </c>
      <c r="D73" s="501">
        <v>835634000</v>
      </c>
      <c r="E73" s="501">
        <v>2709419000</v>
      </c>
      <c r="F73" s="501">
        <v>-4194320000</v>
      </c>
      <c r="G73" s="501">
        <v>676000000</v>
      </c>
      <c r="H73" s="501">
        <v>538000000</v>
      </c>
      <c r="I73" s="501">
        <v>-252400000</v>
      </c>
      <c r="J73" s="501">
        <v>-8728400000</v>
      </c>
      <c r="K73" s="501">
        <v>-7998841000</v>
      </c>
      <c r="L73" s="501">
        <v>-104800000</v>
      </c>
    </row>
    <row r="74" spans="1:12" x14ac:dyDescent="0.2">
      <c r="A74" s="499">
        <v>163100</v>
      </c>
      <c r="B74" s="500" t="s">
        <v>298</v>
      </c>
      <c r="C74" s="501">
        <v>900000000</v>
      </c>
      <c r="D74" s="501">
        <v>1097634000</v>
      </c>
      <c r="E74" s="501">
        <v>3230000000</v>
      </c>
      <c r="F74" s="501"/>
      <c r="G74" s="501">
        <v>20434200000</v>
      </c>
      <c r="H74" s="501">
        <v>620000000</v>
      </c>
      <c r="I74" s="501"/>
      <c r="J74" s="501">
        <v>1588000000</v>
      </c>
      <c r="K74" s="501">
        <v>40559000</v>
      </c>
      <c r="L74" s="501">
        <v>20000000</v>
      </c>
    </row>
    <row r="75" spans="1:12" x14ac:dyDescent="0.2">
      <c r="A75" s="499">
        <v>163120</v>
      </c>
      <c r="B75" s="500" t="s">
        <v>299</v>
      </c>
      <c r="C75" s="501"/>
      <c r="D75" s="501">
        <v>856933000</v>
      </c>
      <c r="E75" s="501">
        <v>2840000000</v>
      </c>
      <c r="F75" s="501"/>
      <c r="G75" s="501">
        <v>19834200000</v>
      </c>
      <c r="H75" s="501">
        <v>600000000</v>
      </c>
      <c r="I75" s="501"/>
      <c r="J75" s="501">
        <v>1533000000</v>
      </c>
      <c r="K75" s="501"/>
      <c r="L75" s="501"/>
    </row>
    <row r="76" spans="1:12" x14ac:dyDescent="0.2">
      <c r="A76" s="499">
        <v>163122</v>
      </c>
      <c r="B76" s="500" t="s">
        <v>300</v>
      </c>
      <c r="C76" s="501"/>
      <c r="D76" s="501">
        <v>856933000</v>
      </c>
      <c r="E76" s="501">
        <v>2840000000</v>
      </c>
      <c r="F76" s="501"/>
      <c r="G76" s="501">
        <v>19834200000</v>
      </c>
      <c r="H76" s="501">
        <v>600000000</v>
      </c>
      <c r="I76" s="501"/>
      <c r="J76" s="501">
        <v>1533000000</v>
      </c>
      <c r="K76" s="501"/>
      <c r="L76" s="501"/>
    </row>
    <row r="77" spans="1:12" x14ac:dyDescent="0.2">
      <c r="A77" s="499">
        <v>163140</v>
      </c>
      <c r="B77" s="500" t="s">
        <v>301</v>
      </c>
      <c r="C77" s="501">
        <v>900000000</v>
      </c>
      <c r="D77" s="501">
        <v>240701000</v>
      </c>
      <c r="E77" s="501">
        <v>390000000</v>
      </c>
      <c r="F77" s="501"/>
      <c r="G77" s="501">
        <v>600000000</v>
      </c>
      <c r="H77" s="501">
        <v>20000000</v>
      </c>
      <c r="I77" s="501"/>
      <c r="J77" s="501">
        <v>55000000</v>
      </c>
      <c r="K77" s="501">
        <v>40559000</v>
      </c>
      <c r="L77" s="501">
        <v>20000000</v>
      </c>
    </row>
    <row r="78" spans="1:12" x14ac:dyDescent="0.2">
      <c r="A78" s="499">
        <v>163145</v>
      </c>
      <c r="B78" s="500" t="s">
        <v>302</v>
      </c>
      <c r="C78" s="501">
        <v>900000000</v>
      </c>
      <c r="D78" s="501">
        <v>240701000</v>
      </c>
      <c r="E78" s="501">
        <v>390000000</v>
      </c>
      <c r="F78" s="501"/>
      <c r="G78" s="501">
        <v>500000000</v>
      </c>
      <c r="H78" s="501"/>
      <c r="I78" s="501"/>
      <c r="J78" s="501"/>
      <c r="K78" s="501"/>
      <c r="L78" s="501"/>
    </row>
    <row r="79" spans="1:12" x14ac:dyDescent="0.2">
      <c r="A79" s="499">
        <v>163147</v>
      </c>
      <c r="B79" s="500" t="s">
        <v>303</v>
      </c>
      <c r="C79" s="501"/>
      <c r="D79" s="501"/>
      <c r="E79" s="501"/>
      <c r="F79" s="501"/>
      <c r="G79" s="501"/>
      <c r="H79" s="501"/>
      <c r="I79" s="501"/>
      <c r="J79" s="501"/>
      <c r="K79" s="501">
        <v>40559000</v>
      </c>
      <c r="L79" s="501"/>
    </row>
    <row r="80" spans="1:12" x14ac:dyDescent="0.2">
      <c r="A80" s="499">
        <v>163148</v>
      </c>
      <c r="B80" s="500" t="s">
        <v>287</v>
      </c>
      <c r="C80" s="501"/>
      <c r="D80" s="501"/>
      <c r="E80" s="501"/>
      <c r="F80" s="501"/>
      <c r="G80" s="501">
        <v>100000000</v>
      </c>
      <c r="H80" s="501">
        <v>20000000</v>
      </c>
      <c r="I80" s="501"/>
      <c r="J80" s="501">
        <v>55000000</v>
      </c>
      <c r="K80" s="501"/>
      <c r="L80" s="501">
        <v>20000000</v>
      </c>
    </row>
    <row r="81" spans="1:12" x14ac:dyDescent="0.2">
      <c r="A81" s="499">
        <v>163500</v>
      </c>
      <c r="B81" s="500" t="s">
        <v>304</v>
      </c>
      <c r="C81" s="501">
        <v>696747000</v>
      </c>
      <c r="D81" s="501">
        <v>262000000</v>
      </c>
      <c r="E81" s="501">
        <v>520581000</v>
      </c>
      <c r="F81" s="501">
        <v>4194320000</v>
      </c>
      <c r="G81" s="501">
        <v>19758200000</v>
      </c>
      <c r="H81" s="501">
        <v>82000000</v>
      </c>
      <c r="I81" s="501">
        <v>252400000</v>
      </c>
      <c r="J81" s="501">
        <v>10316400000</v>
      </c>
      <c r="K81" s="501">
        <v>8039400000</v>
      </c>
      <c r="L81" s="501">
        <v>124800000</v>
      </c>
    </row>
    <row r="82" spans="1:12" x14ac:dyDescent="0.2">
      <c r="A82" s="499">
        <v>163520</v>
      </c>
      <c r="B82" s="500" t="s">
        <v>305</v>
      </c>
      <c r="C82" s="501">
        <v>682947000</v>
      </c>
      <c r="D82" s="501">
        <v>262000000</v>
      </c>
      <c r="E82" s="501">
        <v>510381000</v>
      </c>
      <c r="F82" s="501">
        <v>3853070000</v>
      </c>
      <c r="G82" s="501">
        <v>19758200000</v>
      </c>
      <c r="H82" s="501">
        <v>82000000</v>
      </c>
      <c r="I82" s="501">
        <v>252400000</v>
      </c>
      <c r="J82" s="501">
        <v>166400000</v>
      </c>
      <c r="K82" s="501">
        <v>2899400000</v>
      </c>
      <c r="L82" s="501">
        <v>124800000</v>
      </c>
    </row>
    <row r="83" spans="1:12" x14ac:dyDescent="0.2">
      <c r="A83" s="499">
        <v>163522</v>
      </c>
      <c r="B83" s="500" t="s">
        <v>306</v>
      </c>
      <c r="C83" s="501">
        <v>108947000</v>
      </c>
      <c r="D83" s="501"/>
      <c r="E83" s="501"/>
      <c r="F83" s="501">
        <v>3270000000</v>
      </c>
      <c r="G83" s="501">
        <v>19494200000</v>
      </c>
      <c r="H83" s="501"/>
      <c r="I83" s="501">
        <v>200000000</v>
      </c>
      <c r="J83" s="501"/>
      <c r="K83" s="501">
        <v>2733000000</v>
      </c>
      <c r="L83" s="501"/>
    </row>
    <row r="84" spans="1:12" x14ac:dyDescent="0.2">
      <c r="A84" s="499">
        <v>163525</v>
      </c>
      <c r="B84" s="500" t="s">
        <v>307</v>
      </c>
      <c r="C84" s="501">
        <v>574000000</v>
      </c>
      <c r="D84" s="501">
        <v>262000000</v>
      </c>
      <c r="E84" s="501">
        <v>510381000</v>
      </c>
      <c r="F84" s="501">
        <v>583070000</v>
      </c>
      <c r="G84" s="501">
        <v>264000000</v>
      </c>
      <c r="H84" s="501">
        <v>82000000</v>
      </c>
      <c r="I84" s="501">
        <v>42400000</v>
      </c>
      <c r="J84" s="501">
        <v>166400000</v>
      </c>
      <c r="K84" s="501">
        <v>166400000</v>
      </c>
      <c r="L84" s="501">
        <v>124800000</v>
      </c>
    </row>
    <row r="85" spans="1:12" x14ac:dyDescent="0.2">
      <c r="A85" s="499">
        <v>163531</v>
      </c>
      <c r="B85" s="500" t="s">
        <v>276</v>
      </c>
      <c r="C85" s="501"/>
      <c r="D85" s="501"/>
      <c r="E85" s="501"/>
      <c r="F85" s="501"/>
      <c r="G85" s="501"/>
      <c r="H85" s="501"/>
      <c r="I85" s="501">
        <v>10000000</v>
      </c>
      <c r="J85" s="501"/>
      <c r="K85" s="501"/>
      <c r="L85" s="501"/>
    </row>
    <row r="86" spans="1:12" x14ac:dyDescent="0.2">
      <c r="A86" s="499">
        <v>163540</v>
      </c>
      <c r="B86" s="500" t="s">
        <v>308</v>
      </c>
      <c r="C86" s="501">
        <v>13800000</v>
      </c>
      <c r="D86" s="501"/>
      <c r="E86" s="501">
        <v>10200000</v>
      </c>
      <c r="F86" s="501">
        <v>341250000</v>
      </c>
      <c r="G86" s="501"/>
      <c r="H86" s="501"/>
      <c r="I86" s="501"/>
      <c r="J86" s="501"/>
      <c r="K86" s="501">
        <v>65000000</v>
      </c>
      <c r="L86" s="501"/>
    </row>
    <row r="87" spans="1:12" x14ac:dyDescent="0.2">
      <c r="A87" s="499">
        <v>163544</v>
      </c>
      <c r="B87" s="500" t="s">
        <v>309</v>
      </c>
      <c r="C87" s="501"/>
      <c r="D87" s="501"/>
      <c r="E87" s="501"/>
      <c r="F87" s="501">
        <v>341250000</v>
      </c>
      <c r="G87" s="501"/>
      <c r="H87" s="501"/>
      <c r="I87" s="501"/>
      <c r="J87" s="501"/>
      <c r="K87" s="501"/>
      <c r="L87" s="501"/>
    </row>
    <row r="88" spans="1:12" x14ac:dyDescent="0.2">
      <c r="A88" s="499">
        <v>163547</v>
      </c>
      <c r="B88" s="500" t="s">
        <v>276</v>
      </c>
      <c r="C88" s="501">
        <v>13800000</v>
      </c>
      <c r="D88" s="501"/>
      <c r="E88" s="501">
        <v>10200000</v>
      </c>
      <c r="F88" s="501"/>
      <c r="G88" s="501"/>
      <c r="H88" s="501"/>
      <c r="I88" s="501"/>
      <c r="J88" s="501"/>
      <c r="K88" s="501">
        <v>65000000</v>
      </c>
      <c r="L88" s="501"/>
    </row>
    <row r="89" spans="1:12" x14ac:dyDescent="0.2">
      <c r="A89" s="499">
        <v>163590</v>
      </c>
      <c r="B89" s="500" t="s">
        <v>310</v>
      </c>
      <c r="C89" s="501"/>
      <c r="D89" s="501"/>
      <c r="E89" s="501"/>
      <c r="F89" s="501"/>
      <c r="G89" s="501"/>
      <c r="H89" s="501"/>
      <c r="I89" s="501"/>
      <c r="J89" s="501">
        <v>10150000000</v>
      </c>
      <c r="K89" s="501">
        <v>5075000000</v>
      </c>
      <c r="L89" s="501"/>
    </row>
    <row r="90" spans="1:12" x14ac:dyDescent="0.2">
      <c r="A90" s="499">
        <v>164000</v>
      </c>
      <c r="B90" s="500" t="s">
        <v>311</v>
      </c>
      <c r="C90" s="501">
        <v>450545000</v>
      </c>
      <c r="D90" s="501">
        <v>-425966000</v>
      </c>
      <c r="E90" s="501">
        <v>2737282000</v>
      </c>
      <c r="F90" s="501">
        <v>-2756538000</v>
      </c>
      <c r="G90" s="501">
        <v>-95379000</v>
      </c>
      <c r="H90" s="501">
        <v>1453212000</v>
      </c>
      <c r="I90" s="501">
        <v>1080795000</v>
      </c>
      <c r="J90" s="501">
        <v>-2526451000</v>
      </c>
      <c r="K90" s="501">
        <v>3183298000</v>
      </c>
      <c r="L90" s="501">
        <v>250041000</v>
      </c>
    </row>
    <row r="91" spans="1:12" x14ac:dyDescent="0.2">
      <c r="A91" s="499">
        <v>165000</v>
      </c>
      <c r="B91" s="500" t="s">
        <v>312</v>
      </c>
      <c r="C91" s="501">
        <v>100936000</v>
      </c>
      <c r="D91" s="501">
        <v>551482000</v>
      </c>
      <c r="E91" s="501">
        <v>125516000</v>
      </c>
      <c r="F91" s="501">
        <v>2862798000</v>
      </c>
      <c r="G91" s="501">
        <v>106260000</v>
      </c>
      <c r="H91" s="501">
        <v>10881000</v>
      </c>
      <c r="I91" s="501">
        <v>1464094000</v>
      </c>
      <c r="J91" s="501">
        <v>2544888000</v>
      </c>
      <c r="K91" s="501">
        <v>18438000</v>
      </c>
      <c r="L91" s="501">
        <v>3201736000</v>
      </c>
    </row>
    <row r="92" spans="1:12" x14ac:dyDescent="0.2">
      <c r="A92" s="499">
        <v>166000</v>
      </c>
      <c r="B92" s="500" t="s">
        <v>313</v>
      </c>
      <c r="C92" s="501">
        <v>551482000</v>
      </c>
      <c r="D92" s="501">
        <v>125516000</v>
      </c>
      <c r="E92" s="501">
        <v>2862798000</v>
      </c>
      <c r="F92" s="501">
        <v>106260000</v>
      </c>
      <c r="G92" s="501">
        <v>10881000</v>
      </c>
      <c r="H92" s="501">
        <v>1464094000</v>
      </c>
      <c r="I92" s="501">
        <v>2544888000</v>
      </c>
      <c r="J92" s="501">
        <v>18438000</v>
      </c>
      <c r="K92" s="501">
        <v>3201736000</v>
      </c>
      <c r="L92" s="501">
        <v>3451777000</v>
      </c>
    </row>
    <row r="93" spans="1:12" x14ac:dyDescent="0.2">
      <c r="A93" s="499">
        <v>167000</v>
      </c>
      <c r="B93" s="500" t="s">
        <v>314</v>
      </c>
      <c r="C93" s="501">
        <v>299742000</v>
      </c>
      <c r="D93" s="501">
        <v>617783000</v>
      </c>
      <c r="E93" s="501">
        <v>1092076000</v>
      </c>
      <c r="F93" s="501">
        <v>1395205000</v>
      </c>
      <c r="G93" s="501">
        <v>145352000</v>
      </c>
      <c r="H93" s="501">
        <v>674770000</v>
      </c>
      <c r="I93" s="501">
        <v>168931000</v>
      </c>
      <c r="J93" s="501">
        <v>168813000</v>
      </c>
      <c r="K93" s="501">
        <v>456367000</v>
      </c>
      <c r="L93" s="501">
        <v>1575659000</v>
      </c>
    </row>
    <row r="94" spans="1:12" x14ac:dyDescent="0.2">
      <c r="A94" s="499">
        <v>167006</v>
      </c>
      <c r="B94" s="500" t="s">
        <v>315</v>
      </c>
      <c r="C94" s="501">
        <v>35000000</v>
      </c>
      <c r="D94" s="501"/>
      <c r="E94" s="501">
        <v>503894000</v>
      </c>
      <c r="F94" s="501">
        <v>1127103000</v>
      </c>
      <c r="G94" s="501">
        <v>62272000</v>
      </c>
      <c r="H94" s="501">
        <v>632181000</v>
      </c>
      <c r="I94" s="501"/>
      <c r="J94" s="501"/>
      <c r="K94" s="501">
        <v>331567000</v>
      </c>
      <c r="L94" s="501">
        <v>1524411000</v>
      </c>
    </row>
    <row r="95" spans="1:12" x14ac:dyDescent="0.2">
      <c r="A95" s="499">
        <v>167010</v>
      </c>
      <c r="B95" s="500" t="s">
        <v>316</v>
      </c>
      <c r="C95" s="501">
        <v>262000000</v>
      </c>
      <c r="D95" s="501">
        <v>510381000</v>
      </c>
      <c r="E95" s="501">
        <v>583070000</v>
      </c>
      <c r="F95" s="501">
        <v>264000000</v>
      </c>
      <c r="G95" s="501">
        <v>82000000</v>
      </c>
      <c r="H95" s="501">
        <v>42400000</v>
      </c>
      <c r="I95" s="501">
        <v>166400000</v>
      </c>
      <c r="J95" s="501">
        <v>166400000</v>
      </c>
      <c r="K95" s="501">
        <v>124800000</v>
      </c>
      <c r="L95" s="501"/>
    </row>
    <row r="96" spans="1:12" x14ac:dyDescent="0.2">
      <c r="A96" s="499">
        <v>167056</v>
      </c>
      <c r="B96" s="500" t="s">
        <v>317</v>
      </c>
      <c r="C96" s="501">
        <v>2742000</v>
      </c>
      <c r="D96" s="501">
        <v>107402000</v>
      </c>
      <c r="E96" s="501">
        <v>5112000</v>
      </c>
      <c r="F96" s="501">
        <v>4102000</v>
      </c>
      <c r="G96" s="501">
        <v>1080000</v>
      </c>
      <c r="H96" s="501"/>
      <c r="I96" s="501"/>
      <c r="J96" s="501">
        <v>2273000</v>
      </c>
      <c r="K96" s="501"/>
      <c r="L96" s="501"/>
    </row>
    <row r="97" spans="1:12" x14ac:dyDescent="0.2">
      <c r="A97" s="499">
        <v>167049</v>
      </c>
      <c r="B97" s="500" t="s">
        <v>318</v>
      </c>
      <c r="C97" s="501"/>
      <c r="D97" s="501"/>
      <c r="E97" s="501"/>
      <c r="F97" s="501"/>
      <c r="G97" s="501"/>
      <c r="H97" s="501">
        <v>189000</v>
      </c>
      <c r="I97" s="501">
        <v>2531000</v>
      </c>
      <c r="J97" s="501">
        <v>140000</v>
      </c>
      <c r="K97" s="501"/>
      <c r="L97" s="501">
        <v>51248000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rgb="FF000000"/>
  </sheetPr>
  <dimension ref="A1"/>
  <sheetViews>
    <sheetView showGridLines="0" zoomScale="85" zoomScaleNormal="85" workbookViewId="0">
      <selection activeCell="Y35" sqref="Y35"/>
    </sheetView>
  </sheetViews>
  <sheetFormatPr defaultColWidth="9" defaultRowHeight="16.5" x14ac:dyDescent="0.3"/>
  <cols>
    <col min="1" max="1" width="1.625" style="40" customWidth="1"/>
    <col min="2" max="16384" width="9" style="40"/>
  </cols>
  <sheetData/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2:W61"/>
  <sheetViews>
    <sheetView zoomScale="85" zoomScaleNormal="85" workbookViewId="0">
      <selection activeCell="F40" sqref="F40"/>
    </sheetView>
  </sheetViews>
  <sheetFormatPr defaultColWidth="12.625" defaultRowHeight="12" x14ac:dyDescent="0.3"/>
  <cols>
    <col min="1" max="1" width="2.125" style="93" customWidth="1"/>
    <col min="2" max="2" width="2.75" style="93" customWidth="1"/>
    <col min="3" max="5" width="14.625" style="93" customWidth="1"/>
    <col min="6" max="6" width="38.5" style="93" customWidth="1"/>
    <col min="7" max="10" width="14.625" style="93" customWidth="1"/>
    <col min="11" max="11" width="14.625" style="676" customWidth="1"/>
    <col min="12" max="12" width="14.625" style="93" customWidth="1"/>
    <col min="13" max="13" width="12.625" style="676"/>
    <col min="14" max="16384" width="12.625" style="93"/>
  </cols>
  <sheetData>
    <row r="2" spans="2:23" ht="17.25" x14ac:dyDescent="0.3">
      <c r="B2" s="677" t="s">
        <v>694</v>
      </c>
    </row>
    <row r="3" spans="2:23" s="38" customFormat="1" ht="12" customHeight="1" x14ac:dyDescent="0.3">
      <c r="C3" s="678"/>
      <c r="K3" s="679"/>
      <c r="M3" s="679"/>
    </row>
    <row r="4" spans="2:23" s="38" customFormat="1" ht="12" customHeight="1" x14ac:dyDescent="0.3">
      <c r="C4" s="678" t="s">
        <v>695</v>
      </c>
      <c r="K4" s="679"/>
      <c r="M4" s="679"/>
    </row>
    <row r="5" spans="2:23" s="38" customFormat="1" ht="12" customHeight="1" x14ac:dyDescent="0.3">
      <c r="C5" s="678"/>
      <c r="K5" s="679"/>
      <c r="M5" s="679"/>
    </row>
    <row r="6" spans="2:23" s="38" customFormat="1" ht="12" customHeight="1" x14ac:dyDescent="0.3">
      <c r="C6" s="680" t="s">
        <v>696</v>
      </c>
      <c r="K6" s="679"/>
      <c r="M6" s="679"/>
    </row>
    <row r="7" spans="2:23" s="38" customFormat="1" ht="12" customHeight="1" x14ac:dyDescent="0.3">
      <c r="C7" s="681" t="s">
        <v>697</v>
      </c>
      <c r="K7" s="679"/>
      <c r="M7" s="679"/>
    </row>
    <row r="8" spans="2:23" s="38" customFormat="1" ht="12" customHeight="1" x14ac:dyDescent="0.3">
      <c r="K8" s="679"/>
      <c r="M8" s="679"/>
    </row>
    <row r="9" spans="2:23" s="682" customFormat="1" ht="12" customHeight="1" x14ac:dyDescent="0.2">
      <c r="C9" s="683" t="s">
        <v>698</v>
      </c>
      <c r="D9" s="683" t="s">
        <v>699</v>
      </c>
      <c r="E9" s="684" t="s">
        <v>700</v>
      </c>
      <c r="F9" s="684" t="s">
        <v>701</v>
      </c>
      <c r="G9" s="684" t="s">
        <v>702</v>
      </c>
      <c r="H9" s="684" t="s">
        <v>703</v>
      </c>
      <c r="I9" s="684" t="s">
        <v>704</v>
      </c>
      <c r="J9" s="684" t="s">
        <v>705</v>
      </c>
      <c r="K9" s="684" t="s">
        <v>706</v>
      </c>
      <c r="L9" s="685"/>
      <c r="M9" s="686"/>
    </row>
    <row r="10" spans="2:23" s="682" customFormat="1" ht="12" customHeight="1" x14ac:dyDescent="0.2">
      <c r="C10" s="687" t="s">
        <v>707</v>
      </c>
      <c r="D10" s="687" t="s">
        <v>708</v>
      </c>
      <c r="E10" s="687" t="s">
        <v>709</v>
      </c>
      <c r="F10" s="687" t="s">
        <v>710</v>
      </c>
      <c r="G10" s="687" t="s">
        <v>711</v>
      </c>
      <c r="H10" s="688">
        <v>42865</v>
      </c>
      <c r="I10" s="687" t="s">
        <v>712</v>
      </c>
      <c r="J10" s="687" t="s">
        <v>713</v>
      </c>
      <c r="K10" s="689" t="s">
        <v>714</v>
      </c>
      <c r="L10" s="690"/>
      <c r="M10" s="691"/>
      <c r="N10" s="692"/>
      <c r="O10" s="692"/>
      <c r="P10" s="692"/>
      <c r="Q10" s="692"/>
      <c r="R10" s="692"/>
      <c r="S10" s="692"/>
      <c r="T10" s="692"/>
      <c r="U10" s="692"/>
      <c r="V10" s="692"/>
      <c r="W10" s="692"/>
    </row>
    <row r="11" spans="2:23" s="682" customFormat="1" ht="12" customHeight="1" x14ac:dyDescent="0.2">
      <c r="C11" s="687" t="s">
        <v>715</v>
      </c>
      <c r="D11" s="687" t="s">
        <v>716</v>
      </c>
      <c r="E11" s="687" t="s">
        <v>717</v>
      </c>
      <c r="F11" s="687" t="s">
        <v>718</v>
      </c>
      <c r="G11" s="687" t="s">
        <v>719</v>
      </c>
      <c r="H11" s="688">
        <v>42692</v>
      </c>
      <c r="I11" s="687" t="s">
        <v>720</v>
      </c>
      <c r="J11" s="687" t="s">
        <v>713</v>
      </c>
      <c r="K11" s="689"/>
      <c r="L11" s="690"/>
      <c r="M11" s="693"/>
      <c r="N11" s="692"/>
      <c r="O11" s="692"/>
      <c r="P11" s="692"/>
      <c r="Q11" s="692"/>
      <c r="R11" s="692"/>
      <c r="S11" s="692"/>
      <c r="T11" s="692"/>
      <c r="U11" s="692"/>
      <c r="V11" s="692"/>
      <c r="W11" s="692"/>
    </row>
    <row r="12" spans="2:23" s="682" customFormat="1" ht="12" customHeight="1" x14ac:dyDescent="0.2">
      <c r="C12" s="687" t="s">
        <v>721</v>
      </c>
      <c r="D12" s="687" t="s">
        <v>722</v>
      </c>
      <c r="E12" s="687" t="s">
        <v>723</v>
      </c>
      <c r="F12" s="687" t="s">
        <v>724</v>
      </c>
      <c r="G12" s="687" t="s">
        <v>725</v>
      </c>
      <c r="H12" s="688">
        <v>42019</v>
      </c>
      <c r="I12" s="687" t="s">
        <v>726</v>
      </c>
      <c r="J12" s="687" t="s">
        <v>727</v>
      </c>
      <c r="K12" s="689"/>
      <c r="L12" s="690"/>
      <c r="M12" s="691"/>
      <c r="N12" s="692"/>
      <c r="O12" s="692"/>
      <c r="P12" s="692"/>
      <c r="Q12" s="692"/>
      <c r="R12" s="692"/>
      <c r="S12" s="692"/>
      <c r="T12" s="692"/>
      <c r="U12" s="692"/>
      <c r="V12" s="692"/>
      <c r="W12" s="692"/>
    </row>
    <row r="13" spans="2:23" s="682" customFormat="1" ht="12" customHeight="1" x14ac:dyDescent="0.2">
      <c r="C13" s="687" t="s">
        <v>728</v>
      </c>
      <c r="D13" s="687" t="s">
        <v>729</v>
      </c>
      <c r="E13" s="687" t="s">
        <v>730</v>
      </c>
      <c r="F13" s="687" t="s">
        <v>731</v>
      </c>
      <c r="G13" s="687" t="s">
        <v>732</v>
      </c>
      <c r="H13" s="688">
        <v>40022</v>
      </c>
      <c r="I13" s="687" t="s">
        <v>733</v>
      </c>
      <c r="J13" s="687" t="s">
        <v>734</v>
      </c>
      <c r="K13" s="689" t="s">
        <v>735</v>
      </c>
      <c r="L13" s="690"/>
      <c r="M13" s="691"/>
      <c r="N13" s="692"/>
      <c r="O13" s="692"/>
      <c r="P13" s="692"/>
      <c r="Q13" s="692"/>
      <c r="R13" s="692"/>
      <c r="S13" s="692"/>
      <c r="T13" s="692"/>
      <c r="U13" s="692"/>
      <c r="V13" s="692"/>
      <c r="W13" s="692"/>
    </row>
    <row r="14" spans="2:23" s="682" customFormat="1" ht="12" customHeight="1" x14ac:dyDescent="0.2">
      <c r="C14" s="687" t="s">
        <v>736</v>
      </c>
      <c r="D14" s="687" t="s">
        <v>737</v>
      </c>
      <c r="E14" s="687" t="s">
        <v>723</v>
      </c>
      <c r="F14" s="687" t="s">
        <v>738</v>
      </c>
      <c r="G14" s="687" t="s">
        <v>739</v>
      </c>
      <c r="H14" s="688">
        <v>39945</v>
      </c>
      <c r="I14" s="687" t="s">
        <v>740</v>
      </c>
      <c r="J14" s="687" t="s">
        <v>741</v>
      </c>
      <c r="K14" s="689" t="s">
        <v>742</v>
      </c>
      <c r="L14" s="690"/>
      <c r="M14" s="691"/>
      <c r="N14" s="692"/>
      <c r="O14" s="692"/>
      <c r="P14" s="692"/>
      <c r="Q14" s="692"/>
      <c r="R14" s="692"/>
      <c r="S14" s="692"/>
      <c r="T14" s="692"/>
      <c r="U14" s="692"/>
      <c r="V14" s="692"/>
      <c r="W14" s="692"/>
    </row>
    <row r="15" spans="2:23" s="682" customFormat="1" ht="12" customHeight="1" x14ac:dyDescent="0.2">
      <c r="C15" s="687" t="s">
        <v>743</v>
      </c>
      <c r="D15" s="687" t="s">
        <v>744</v>
      </c>
      <c r="E15" s="687" t="s">
        <v>709</v>
      </c>
      <c r="F15" s="687" t="s">
        <v>745</v>
      </c>
      <c r="G15" s="687" t="s">
        <v>746</v>
      </c>
      <c r="H15" s="688">
        <v>39931</v>
      </c>
      <c r="I15" s="687" t="s">
        <v>747</v>
      </c>
      <c r="J15" s="687" t="s">
        <v>727</v>
      </c>
      <c r="K15" s="689" t="s">
        <v>748</v>
      </c>
      <c r="L15" s="690"/>
      <c r="M15" s="691"/>
      <c r="N15" s="692"/>
      <c r="O15" s="692"/>
      <c r="P15" s="692"/>
      <c r="Q15" s="692"/>
      <c r="R15" s="692"/>
      <c r="S15" s="692"/>
      <c r="T15" s="692"/>
      <c r="U15" s="692"/>
      <c r="V15" s="692"/>
      <c r="W15" s="692"/>
    </row>
    <row r="16" spans="2:23" s="682" customFormat="1" ht="12" customHeight="1" x14ac:dyDescent="0.2">
      <c r="C16" s="687" t="s">
        <v>749</v>
      </c>
      <c r="D16" s="687" t="s">
        <v>750</v>
      </c>
      <c r="E16" s="687" t="s">
        <v>723</v>
      </c>
      <c r="F16" s="687" t="s">
        <v>751</v>
      </c>
      <c r="G16" s="687" t="s">
        <v>752</v>
      </c>
      <c r="H16" s="688">
        <v>37939</v>
      </c>
      <c r="I16" s="687" t="s">
        <v>753</v>
      </c>
      <c r="J16" s="687" t="s">
        <v>754</v>
      </c>
      <c r="K16" s="689" t="s">
        <v>755</v>
      </c>
      <c r="L16" s="690"/>
      <c r="M16" s="691"/>
      <c r="N16" s="692"/>
      <c r="O16" s="692"/>
      <c r="P16" s="692"/>
      <c r="Q16" s="692"/>
      <c r="R16" s="692"/>
      <c r="S16" s="692"/>
      <c r="T16" s="692"/>
      <c r="U16" s="692"/>
      <c r="V16" s="692"/>
      <c r="W16" s="692"/>
    </row>
    <row r="17" spans="3:23" s="682" customFormat="1" ht="12" customHeight="1" x14ac:dyDescent="0.2">
      <c r="C17" s="687" t="s">
        <v>756</v>
      </c>
      <c r="D17" s="687" t="s">
        <v>757</v>
      </c>
      <c r="E17" s="687" t="s">
        <v>723</v>
      </c>
      <c r="F17" s="687" t="s">
        <v>758</v>
      </c>
      <c r="G17" s="687" t="s">
        <v>759</v>
      </c>
      <c r="H17" s="688">
        <v>36924</v>
      </c>
      <c r="I17" s="687" t="s">
        <v>760</v>
      </c>
      <c r="J17" s="687" t="s">
        <v>761</v>
      </c>
      <c r="K17" s="689"/>
      <c r="L17" s="690"/>
      <c r="M17" s="691"/>
      <c r="N17" s="692"/>
      <c r="O17" s="692"/>
      <c r="P17" s="692"/>
      <c r="Q17" s="692"/>
      <c r="R17" s="692"/>
      <c r="S17" s="692"/>
      <c r="T17" s="692"/>
      <c r="U17" s="692"/>
      <c r="V17" s="692"/>
      <c r="W17" s="692"/>
    </row>
    <row r="18" spans="3:23" s="682" customFormat="1" ht="12" customHeight="1" x14ac:dyDescent="0.2">
      <c r="C18" s="687" t="s">
        <v>762</v>
      </c>
      <c r="D18" s="687" t="s">
        <v>763</v>
      </c>
      <c r="E18" s="687" t="s">
        <v>723</v>
      </c>
      <c r="F18" s="687" t="s">
        <v>764</v>
      </c>
      <c r="G18" s="687" t="s">
        <v>765</v>
      </c>
      <c r="H18" s="688">
        <v>36727</v>
      </c>
      <c r="I18" s="687" t="s">
        <v>766</v>
      </c>
      <c r="J18" s="687" t="s">
        <v>767</v>
      </c>
      <c r="K18" s="689" t="s">
        <v>768</v>
      </c>
      <c r="L18" s="690"/>
      <c r="M18" s="693"/>
      <c r="N18" s="692"/>
      <c r="O18" s="692"/>
      <c r="P18" s="692"/>
      <c r="Q18" s="692"/>
      <c r="R18" s="692"/>
      <c r="S18" s="692"/>
      <c r="T18" s="692"/>
      <c r="U18" s="692"/>
      <c r="V18" s="692"/>
      <c r="W18" s="692"/>
    </row>
    <row r="19" spans="3:23" s="682" customFormat="1" ht="12" customHeight="1" x14ac:dyDescent="0.2">
      <c r="C19" s="687" t="s">
        <v>769</v>
      </c>
      <c r="D19" s="687" t="s">
        <v>770</v>
      </c>
      <c r="E19" s="687" t="s">
        <v>771</v>
      </c>
      <c r="F19" s="687" t="s">
        <v>772</v>
      </c>
      <c r="G19" s="687" t="s">
        <v>773</v>
      </c>
      <c r="H19" s="688">
        <v>34157</v>
      </c>
      <c r="I19" s="687" t="s">
        <v>774</v>
      </c>
      <c r="J19" s="687" t="s">
        <v>754</v>
      </c>
      <c r="K19" s="689"/>
      <c r="L19" s="690"/>
      <c r="M19" s="691"/>
      <c r="N19" s="692"/>
      <c r="O19" s="692"/>
      <c r="P19" s="692"/>
      <c r="Q19" s="692"/>
      <c r="R19" s="692"/>
      <c r="S19" s="692"/>
      <c r="T19" s="692"/>
      <c r="U19" s="692"/>
      <c r="V19" s="692"/>
      <c r="W19" s="692"/>
    </row>
    <row r="20" spans="3:23" s="682" customFormat="1" ht="12" customHeight="1" x14ac:dyDescent="0.2">
      <c r="C20" s="687" t="s">
        <v>775</v>
      </c>
      <c r="D20" s="687" t="s">
        <v>776</v>
      </c>
      <c r="E20" s="687" t="s">
        <v>723</v>
      </c>
      <c r="F20" s="687" t="s">
        <v>777</v>
      </c>
      <c r="G20" s="687" t="s">
        <v>778</v>
      </c>
      <c r="H20" s="688">
        <v>33480</v>
      </c>
      <c r="I20" s="687" t="s">
        <v>779</v>
      </c>
      <c r="J20" s="687" t="s">
        <v>767</v>
      </c>
      <c r="K20" s="689" t="s">
        <v>780</v>
      </c>
      <c r="L20" s="690"/>
      <c r="M20" s="691"/>
      <c r="N20" s="692"/>
      <c r="O20" s="692"/>
      <c r="P20" s="692"/>
      <c r="Q20" s="692"/>
      <c r="R20" s="692"/>
      <c r="S20" s="692"/>
      <c r="T20" s="692"/>
      <c r="U20" s="692"/>
      <c r="V20" s="692"/>
      <c r="W20" s="692"/>
    </row>
    <row r="21" spans="3:23" s="682" customFormat="1" ht="12" customHeight="1" x14ac:dyDescent="0.2">
      <c r="C21" s="687" t="s">
        <v>781</v>
      </c>
      <c r="D21" s="687" t="s">
        <v>782</v>
      </c>
      <c r="E21" s="687" t="s">
        <v>783</v>
      </c>
      <c r="F21" s="687" t="s">
        <v>784</v>
      </c>
      <c r="G21" s="687" t="s">
        <v>785</v>
      </c>
      <c r="H21" s="688">
        <v>32714</v>
      </c>
      <c r="I21" s="687" t="s">
        <v>786</v>
      </c>
      <c r="J21" s="687" t="s">
        <v>727</v>
      </c>
      <c r="K21" s="689" t="s">
        <v>787</v>
      </c>
      <c r="L21" s="690"/>
      <c r="M21" s="693"/>
      <c r="N21" s="692"/>
      <c r="O21" s="692"/>
      <c r="P21" s="692"/>
      <c r="Q21" s="692"/>
      <c r="R21" s="692"/>
      <c r="S21" s="692"/>
      <c r="T21" s="692"/>
      <c r="U21" s="692"/>
      <c r="V21" s="692"/>
      <c r="W21" s="692"/>
    </row>
    <row r="22" spans="3:23" s="682" customFormat="1" ht="12" customHeight="1" x14ac:dyDescent="0.2">
      <c r="C22" s="687" t="s">
        <v>788</v>
      </c>
      <c r="D22" s="687" t="s">
        <v>789</v>
      </c>
      <c r="E22" s="687" t="s">
        <v>717</v>
      </c>
      <c r="F22" s="687" t="s">
        <v>790</v>
      </c>
      <c r="G22" s="687" t="s">
        <v>791</v>
      </c>
      <c r="H22" s="688">
        <v>32658</v>
      </c>
      <c r="I22" s="687" t="s">
        <v>792</v>
      </c>
      <c r="J22" s="687" t="s">
        <v>761</v>
      </c>
      <c r="K22" s="689"/>
      <c r="L22" s="690"/>
      <c r="M22" s="693"/>
      <c r="N22" s="692"/>
      <c r="O22" s="692"/>
      <c r="P22" s="692"/>
      <c r="Q22" s="692"/>
      <c r="R22" s="692"/>
      <c r="S22" s="692"/>
      <c r="T22" s="692"/>
      <c r="U22" s="692"/>
      <c r="V22" s="692"/>
      <c r="W22" s="692"/>
    </row>
    <row r="23" spans="3:23" s="682" customFormat="1" ht="12" customHeight="1" x14ac:dyDescent="0.2">
      <c r="C23" s="694" t="s">
        <v>793</v>
      </c>
      <c r="D23" s="694" t="s">
        <v>794</v>
      </c>
      <c r="E23" s="694" t="s">
        <v>795</v>
      </c>
      <c r="F23" s="694" t="s">
        <v>796</v>
      </c>
      <c r="G23" s="694" t="s">
        <v>797</v>
      </c>
      <c r="H23" s="695">
        <v>32406</v>
      </c>
      <c r="I23" s="694" t="s">
        <v>798</v>
      </c>
      <c r="J23" s="694" t="s">
        <v>713</v>
      </c>
      <c r="K23" s="696"/>
      <c r="L23" s="690"/>
      <c r="M23" s="691"/>
      <c r="N23" s="692"/>
      <c r="O23" s="692"/>
      <c r="P23" s="692"/>
      <c r="Q23" s="692"/>
      <c r="R23" s="692"/>
      <c r="S23" s="692"/>
      <c r="T23" s="692"/>
      <c r="U23" s="692"/>
      <c r="V23" s="692"/>
      <c r="W23" s="692"/>
    </row>
    <row r="24" spans="3:23" s="682" customFormat="1" ht="12" customHeight="1" x14ac:dyDescent="0.2">
      <c r="C24" s="697"/>
      <c r="D24" s="697"/>
      <c r="E24" s="697"/>
      <c r="F24" s="697"/>
      <c r="G24" s="697"/>
      <c r="H24" s="697"/>
      <c r="I24" s="697"/>
      <c r="J24" s="697"/>
      <c r="K24" s="698"/>
      <c r="L24" s="697"/>
      <c r="M24" s="686"/>
    </row>
    <row r="25" spans="3:23" s="682" customFormat="1" ht="12" customHeight="1" x14ac:dyDescent="0.2">
      <c r="C25" s="699">
        <f>COUNTA($C$9:$C$23)-1</f>
        <v>14</v>
      </c>
      <c r="E25" s="697"/>
      <c r="F25" s="697"/>
      <c r="G25" s="697"/>
      <c r="H25" s="697"/>
      <c r="I25" s="697"/>
      <c r="J25" s="697"/>
      <c r="K25" s="698"/>
      <c r="L25" s="697"/>
      <c r="M25" s="686"/>
    </row>
    <row r="26" spans="3:23" s="682" customFormat="1" ht="12" customHeight="1" x14ac:dyDescent="0.2">
      <c r="C26" s="700"/>
      <c r="D26" s="697"/>
      <c r="E26" s="697"/>
      <c r="F26" s="697"/>
      <c r="G26" s="697"/>
      <c r="H26" s="697"/>
      <c r="I26" s="697"/>
      <c r="J26" s="697"/>
      <c r="K26" s="698"/>
      <c r="L26" s="697"/>
      <c r="M26" s="686"/>
    </row>
    <row r="27" spans="3:23" s="38" customFormat="1" ht="12" customHeight="1" x14ac:dyDescent="0.2">
      <c r="C27" s="697" t="s">
        <v>799</v>
      </c>
      <c r="K27" s="679"/>
      <c r="M27" s="679"/>
    </row>
    <row r="28" spans="3:23" s="38" customFormat="1" ht="12" customHeight="1" x14ac:dyDescent="0.2">
      <c r="C28" s="697"/>
      <c r="K28" s="679"/>
      <c r="M28" s="679"/>
    </row>
    <row r="29" spans="3:23" s="38" customFormat="1" ht="12" customHeight="1" x14ac:dyDescent="0.3">
      <c r="C29" s="678" t="s">
        <v>800</v>
      </c>
      <c r="K29" s="679"/>
      <c r="M29" s="679"/>
    </row>
    <row r="30" spans="3:23" s="38" customFormat="1" ht="12" customHeight="1" x14ac:dyDescent="0.3">
      <c r="C30" s="678"/>
      <c r="K30" s="679"/>
      <c r="M30" s="679"/>
    </row>
    <row r="31" spans="3:23" s="38" customFormat="1" ht="12" customHeight="1" x14ac:dyDescent="0.3">
      <c r="C31" s="701" t="s">
        <v>801</v>
      </c>
      <c r="D31" s="38" t="s">
        <v>802</v>
      </c>
      <c r="K31" s="679"/>
      <c r="M31" s="679"/>
    </row>
    <row r="32" spans="3:23" s="38" customFormat="1" ht="12" customHeight="1" x14ac:dyDescent="0.3">
      <c r="C32" s="702"/>
      <c r="D32" s="38" t="s">
        <v>803</v>
      </c>
      <c r="K32" s="679"/>
      <c r="M32" s="679"/>
    </row>
    <row r="33" spans="3:13" s="38" customFormat="1" ht="12" customHeight="1" x14ac:dyDescent="0.3">
      <c r="C33" s="701" t="s">
        <v>804</v>
      </c>
      <c r="D33" s="38" t="s">
        <v>805</v>
      </c>
      <c r="K33" s="679"/>
      <c r="M33" s="679"/>
    </row>
    <row r="34" spans="3:13" s="38" customFormat="1" ht="12" customHeight="1" x14ac:dyDescent="0.3">
      <c r="C34" s="702"/>
      <c r="D34" s="38" t="s">
        <v>806</v>
      </c>
      <c r="K34" s="679"/>
      <c r="M34" s="679"/>
    </row>
    <row r="35" spans="3:13" s="38" customFormat="1" ht="12" customHeight="1" x14ac:dyDescent="0.3">
      <c r="C35" s="701" t="s">
        <v>807</v>
      </c>
      <c r="D35" s="38" t="s">
        <v>808</v>
      </c>
      <c r="K35" s="679"/>
      <c r="M35" s="679"/>
    </row>
    <row r="36" spans="3:13" s="38" customFormat="1" ht="12" customHeight="1" x14ac:dyDescent="0.3">
      <c r="C36" s="702"/>
      <c r="D36" s="38" t="s">
        <v>809</v>
      </c>
      <c r="K36" s="679"/>
      <c r="M36" s="679"/>
    </row>
    <row r="37" spans="3:13" s="38" customFormat="1" ht="12" customHeight="1" x14ac:dyDescent="0.3">
      <c r="C37" s="701" t="s">
        <v>810</v>
      </c>
      <c r="D37" s="38" t="s">
        <v>811</v>
      </c>
      <c r="K37" s="679"/>
      <c r="M37" s="679"/>
    </row>
    <row r="38" spans="3:13" s="38" customFormat="1" ht="12" customHeight="1" x14ac:dyDescent="0.3">
      <c r="C38" s="703"/>
      <c r="D38" s="38" t="s">
        <v>812</v>
      </c>
      <c r="K38" s="679"/>
      <c r="M38" s="679"/>
    </row>
    <row r="39" spans="3:13" s="38" customFormat="1" ht="12" customHeight="1" x14ac:dyDescent="0.3">
      <c r="C39" s="703"/>
      <c r="K39" s="679"/>
      <c r="M39" s="679"/>
    </row>
    <row r="40" spans="3:13" s="38" customFormat="1" ht="12" customHeight="1" x14ac:dyDescent="0.3">
      <c r="C40" s="704" t="s">
        <v>813</v>
      </c>
      <c r="D40" s="38" t="s">
        <v>814</v>
      </c>
      <c r="K40" s="679"/>
      <c r="M40" s="679"/>
    </row>
    <row r="41" spans="3:13" s="38" customFormat="1" ht="12" customHeight="1" x14ac:dyDescent="0.3">
      <c r="C41" s="705" t="s">
        <v>815</v>
      </c>
      <c r="D41" s="38" t="s">
        <v>816</v>
      </c>
      <c r="K41" s="679"/>
      <c r="M41" s="679"/>
    </row>
    <row r="42" spans="3:13" s="38" customFormat="1" ht="12" customHeight="1" x14ac:dyDescent="0.3">
      <c r="C42" s="703"/>
      <c r="E42" s="706" t="s">
        <v>817</v>
      </c>
      <c r="F42" s="706" t="s">
        <v>818</v>
      </c>
      <c r="G42" s="706" t="s">
        <v>819</v>
      </c>
      <c r="H42" s="706" t="s">
        <v>820</v>
      </c>
      <c r="K42" s="679"/>
      <c r="M42" s="679"/>
    </row>
    <row r="43" spans="3:13" s="682" customFormat="1" ht="12" customHeight="1" x14ac:dyDescent="0.2">
      <c r="C43" s="707" t="s">
        <v>821</v>
      </c>
      <c r="D43" s="707" t="s">
        <v>822</v>
      </c>
      <c r="E43" s="707" t="s">
        <v>823</v>
      </c>
      <c r="F43" s="707" t="s">
        <v>824</v>
      </c>
      <c r="G43" s="707" t="s">
        <v>825</v>
      </c>
      <c r="H43" s="707" t="s">
        <v>826</v>
      </c>
      <c r="I43" s="1951"/>
      <c r="J43" s="1951"/>
      <c r="K43" s="1951"/>
      <c r="L43" s="1951"/>
      <c r="M43" s="686"/>
    </row>
    <row r="44" spans="3:13" s="682" customFormat="1" ht="12" hidden="1" customHeight="1" x14ac:dyDescent="0.2">
      <c r="C44" s="708" t="s">
        <v>707</v>
      </c>
      <c r="D44" s="708" t="s">
        <v>708</v>
      </c>
      <c r="E44" s="709" t="s">
        <v>827</v>
      </c>
      <c r="F44" s="710" t="s">
        <v>828</v>
      </c>
      <c r="G44" s="708" t="s">
        <v>829</v>
      </c>
      <c r="H44" s="708"/>
      <c r="I44" s="711"/>
      <c r="J44" s="711"/>
      <c r="K44" s="712"/>
      <c r="L44" s="711"/>
      <c r="M44" s="686"/>
    </row>
    <row r="45" spans="3:13" s="682" customFormat="1" ht="12" hidden="1" customHeight="1" x14ac:dyDescent="0.2">
      <c r="C45" s="687" t="s">
        <v>715</v>
      </c>
      <c r="D45" s="687" t="s">
        <v>716</v>
      </c>
      <c r="E45" s="713" t="s">
        <v>830</v>
      </c>
      <c r="F45" s="714" t="s">
        <v>831</v>
      </c>
      <c r="G45" s="715" t="s">
        <v>829</v>
      </c>
      <c r="H45" s="715"/>
      <c r="I45" s="711"/>
      <c r="J45" s="711"/>
      <c r="K45" s="712"/>
      <c r="L45" s="711"/>
      <c r="M45" s="686"/>
    </row>
    <row r="46" spans="3:13" s="682" customFormat="1" ht="12" customHeight="1" x14ac:dyDescent="0.2">
      <c r="C46" s="687" t="s">
        <v>721</v>
      </c>
      <c r="D46" s="713" t="s">
        <v>722</v>
      </c>
      <c r="E46" s="713" t="s">
        <v>832</v>
      </c>
      <c r="F46" s="713" t="s">
        <v>833</v>
      </c>
      <c r="G46" s="713" t="s">
        <v>834</v>
      </c>
      <c r="H46" s="713" t="s">
        <v>834</v>
      </c>
      <c r="I46" s="711"/>
      <c r="J46" s="711"/>
      <c r="K46" s="712"/>
      <c r="L46" s="711"/>
      <c r="M46" s="686"/>
    </row>
    <row r="47" spans="3:13" s="682" customFormat="1" ht="12" customHeight="1" x14ac:dyDescent="0.2">
      <c r="C47" s="687" t="s">
        <v>728</v>
      </c>
      <c r="D47" s="713" t="s">
        <v>729</v>
      </c>
      <c r="E47" s="713" t="s">
        <v>835</v>
      </c>
      <c r="F47" s="713" t="s">
        <v>836</v>
      </c>
      <c r="G47" s="713" t="s">
        <v>834</v>
      </c>
      <c r="H47" s="713" t="s">
        <v>834</v>
      </c>
      <c r="I47" s="711"/>
      <c r="J47" s="711"/>
      <c r="K47" s="712"/>
      <c r="L47" s="711"/>
      <c r="M47" s="686"/>
    </row>
    <row r="48" spans="3:13" s="682" customFormat="1" ht="12" hidden="1" customHeight="1" x14ac:dyDescent="0.2">
      <c r="C48" s="687" t="s">
        <v>736</v>
      </c>
      <c r="D48" s="687" t="s">
        <v>737</v>
      </c>
      <c r="E48" s="687" t="s">
        <v>837</v>
      </c>
      <c r="F48" s="716" t="s">
        <v>838</v>
      </c>
      <c r="G48" s="714" t="s">
        <v>834</v>
      </c>
      <c r="H48" s="714"/>
      <c r="I48" s="711"/>
      <c r="J48" s="711"/>
      <c r="K48" s="712"/>
      <c r="L48" s="711"/>
      <c r="M48" s="686"/>
    </row>
    <row r="49" spans="3:13" s="682" customFormat="1" ht="12" hidden="1" customHeight="1" x14ac:dyDescent="0.2">
      <c r="C49" s="687" t="s">
        <v>743</v>
      </c>
      <c r="D49" s="687" t="s">
        <v>744</v>
      </c>
      <c r="E49" s="687" t="s">
        <v>837</v>
      </c>
      <c r="F49" s="716" t="s">
        <v>839</v>
      </c>
      <c r="G49" s="714" t="s">
        <v>834</v>
      </c>
      <c r="H49" s="714"/>
      <c r="I49" s="711"/>
      <c r="J49" s="711"/>
      <c r="K49" s="712"/>
      <c r="L49" s="711"/>
      <c r="M49" s="686"/>
    </row>
    <row r="50" spans="3:13" s="682" customFormat="1" ht="12" customHeight="1" x14ac:dyDescent="0.2">
      <c r="C50" s="687" t="s">
        <v>749</v>
      </c>
      <c r="D50" s="713" t="s">
        <v>750</v>
      </c>
      <c r="E50" s="713" t="s">
        <v>840</v>
      </c>
      <c r="F50" s="713" t="s">
        <v>841</v>
      </c>
      <c r="G50" s="713" t="s">
        <v>834</v>
      </c>
      <c r="H50" s="713" t="s">
        <v>834</v>
      </c>
      <c r="I50" s="711"/>
      <c r="J50" s="711"/>
      <c r="K50" s="712"/>
      <c r="L50" s="711"/>
      <c r="M50" s="686"/>
    </row>
    <row r="51" spans="3:13" s="682" customFormat="1" ht="12" hidden="1" customHeight="1" x14ac:dyDescent="0.2">
      <c r="C51" s="687" t="s">
        <v>756</v>
      </c>
      <c r="D51" s="687" t="s">
        <v>757</v>
      </c>
      <c r="E51" s="713" t="s">
        <v>835</v>
      </c>
      <c r="F51" s="714" t="s">
        <v>842</v>
      </c>
      <c r="G51" s="714" t="s">
        <v>834</v>
      </c>
      <c r="H51" s="714"/>
      <c r="I51" s="711"/>
      <c r="J51" s="711"/>
      <c r="K51" s="712"/>
      <c r="L51" s="711"/>
      <c r="M51" s="686"/>
    </row>
    <row r="52" spans="3:13" s="682" customFormat="1" ht="12" hidden="1" customHeight="1" x14ac:dyDescent="0.2">
      <c r="C52" s="687" t="s">
        <v>762</v>
      </c>
      <c r="D52" s="687" t="s">
        <v>763</v>
      </c>
      <c r="E52" s="687" t="s">
        <v>837</v>
      </c>
      <c r="F52" s="714" t="s">
        <v>843</v>
      </c>
      <c r="G52" s="714" t="s">
        <v>834</v>
      </c>
      <c r="H52" s="714"/>
      <c r="I52" s="711"/>
      <c r="J52" s="711"/>
      <c r="K52" s="712"/>
      <c r="L52" s="711"/>
      <c r="M52" s="686"/>
    </row>
    <row r="53" spans="3:13" s="682" customFormat="1" ht="12" customHeight="1" x14ac:dyDescent="0.2">
      <c r="C53" s="687" t="s">
        <v>769</v>
      </c>
      <c r="D53" s="713" t="s">
        <v>770</v>
      </c>
      <c r="E53" s="713" t="s">
        <v>844</v>
      </c>
      <c r="F53" s="713" t="s">
        <v>845</v>
      </c>
      <c r="G53" s="713" t="s">
        <v>834</v>
      </c>
      <c r="H53" s="713" t="s">
        <v>837</v>
      </c>
      <c r="I53" s="711"/>
      <c r="J53" s="711"/>
      <c r="K53" s="712"/>
      <c r="L53" s="711"/>
      <c r="M53" s="686"/>
    </row>
    <row r="54" spans="3:13" s="682" customFormat="1" ht="12" customHeight="1" x14ac:dyDescent="0.2">
      <c r="C54" s="687" t="s">
        <v>775</v>
      </c>
      <c r="D54" s="713" t="s">
        <v>776</v>
      </c>
      <c r="E54" s="713" t="s">
        <v>835</v>
      </c>
      <c r="F54" s="713" t="s">
        <v>846</v>
      </c>
      <c r="G54" s="713" t="s">
        <v>834</v>
      </c>
      <c r="H54" s="713" t="s">
        <v>834</v>
      </c>
      <c r="I54" s="711"/>
      <c r="J54" s="711"/>
      <c r="K54" s="712"/>
      <c r="L54" s="711"/>
      <c r="M54" s="686"/>
    </row>
    <row r="55" spans="3:13" s="682" customFormat="1" ht="12" hidden="1" customHeight="1" x14ac:dyDescent="0.2">
      <c r="C55" s="687" t="s">
        <v>781</v>
      </c>
      <c r="D55" s="687" t="s">
        <v>782</v>
      </c>
      <c r="E55" s="687" t="s">
        <v>837</v>
      </c>
      <c r="F55" s="714" t="s">
        <v>847</v>
      </c>
      <c r="G55" s="714" t="s">
        <v>834</v>
      </c>
      <c r="H55" s="714"/>
      <c r="I55" s="711"/>
      <c r="J55" s="711"/>
      <c r="K55" s="712"/>
      <c r="L55" s="711"/>
      <c r="M55" s="686"/>
    </row>
    <row r="56" spans="3:13" s="682" customFormat="1" ht="12" customHeight="1" x14ac:dyDescent="0.2">
      <c r="C56" s="687" t="s">
        <v>788</v>
      </c>
      <c r="D56" s="713" t="s">
        <v>789</v>
      </c>
      <c r="E56" s="713" t="s">
        <v>848</v>
      </c>
      <c r="F56" s="713" t="s">
        <v>849</v>
      </c>
      <c r="G56" s="713" t="s">
        <v>834</v>
      </c>
      <c r="H56" s="713" t="s">
        <v>837</v>
      </c>
      <c r="I56" s="711"/>
      <c r="J56" s="711"/>
      <c r="K56" s="712"/>
      <c r="L56" s="711"/>
      <c r="M56" s="686"/>
    </row>
    <row r="57" spans="3:13" s="682" customFormat="1" ht="12" customHeight="1" x14ac:dyDescent="0.2">
      <c r="C57" s="694" t="s">
        <v>793</v>
      </c>
      <c r="D57" s="717" t="s">
        <v>794</v>
      </c>
      <c r="E57" s="717" t="s">
        <v>850</v>
      </c>
      <c r="F57" s="717" t="s">
        <v>851</v>
      </c>
      <c r="G57" s="717" t="s">
        <v>834</v>
      </c>
      <c r="H57" s="717" t="s">
        <v>834</v>
      </c>
      <c r="I57" s="711"/>
      <c r="J57" s="711"/>
      <c r="K57" s="712"/>
      <c r="L57" s="711"/>
      <c r="M57" s="686"/>
    </row>
    <row r="58" spans="3:13" s="682" customFormat="1" ht="12" customHeight="1" x14ac:dyDescent="0.2">
      <c r="C58" s="697"/>
      <c r="D58" s="697"/>
      <c r="E58" s="697"/>
      <c r="F58" s="697"/>
      <c r="G58" s="697"/>
      <c r="H58" s="697"/>
      <c r="I58" s="697"/>
      <c r="J58" s="697"/>
      <c r="K58" s="698"/>
      <c r="L58" s="697"/>
      <c r="M58" s="686"/>
    </row>
    <row r="59" spans="3:13" s="38" customFormat="1" ht="12" customHeight="1" x14ac:dyDescent="0.3">
      <c r="C59" s="718" t="s">
        <v>852</v>
      </c>
      <c r="K59" s="679"/>
      <c r="M59" s="679"/>
    </row>
    <row r="60" spans="3:13" s="38" customFormat="1" ht="12" customHeight="1" x14ac:dyDescent="0.3">
      <c r="C60" s="718"/>
      <c r="K60" s="679"/>
      <c r="M60" s="679"/>
    </row>
    <row r="61" spans="3:13" s="38" customFormat="1" ht="12" customHeight="1" x14ac:dyDescent="0.3">
      <c r="C61" s="718"/>
      <c r="K61" s="679"/>
      <c r="M61" s="679"/>
    </row>
  </sheetData>
  <mergeCells count="1">
    <mergeCell ref="I43:L43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N157"/>
  <sheetViews>
    <sheetView zoomScale="70" zoomScaleNormal="70" workbookViewId="0">
      <selection activeCell="H38" sqref="H38"/>
    </sheetView>
  </sheetViews>
  <sheetFormatPr defaultColWidth="9" defaultRowHeight="16.5" x14ac:dyDescent="0.3"/>
  <cols>
    <col min="1" max="1" width="3.75" style="153" customWidth="1"/>
    <col min="2" max="2" width="9" style="153"/>
    <col min="3" max="3" width="23.375" style="153" customWidth="1"/>
    <col min="4" max="5" width="15.25" style="153" bestFit="1" customWidth="1"/>
    <col min="6" max="6" width="14" style="153" bestFit="1" customWidth="1"/>
    <col min="7" max="7" width="15.125" style="153" bestFit="1" customWidth="1"/>
    <col min="8" max="10" width="9" style="153"/>
    <col min="11" max="11" width="53.375" style="153" bestFit="1" customWidth="1"/>
    <col min="12" max="13" width="15.125" style="153" bestFit="1" customWidth="1"/>
    <col min="14" max="14" width="14" style="153" bestFit="1" customWidth="1"/>
    <col min="15" max="16384" width="9" style="153"/>
  </cols>
  <sheetData>
    <row r="1" spans="2:5" x14ac:dyDescent="0.3">
      <c r="C1" s="536" t="s">
        <v>853</v>
      </c>
    </row>
    <row r="2" spans="2:5" x14ac:dyDescent="0.3">
      <c r="B2" s="719" t="s">
        <v>854</v>
      </c>
      <c r="C2" s="720">
        <f>SUMIF($B$16:$B$54,B2,$D$16:D54)/10^6</f>
        <v>46888.300635</v>
      </c>
    </row>
    <row r="3" spans="2:5" x14ac:dyDescent="0.3">
      <c r="B3" s="721" t="s">
        <v>855</v>
      </c>
      <c r="C3" s="722">
        <f>SUMIF($B$16:$B$54,B3,$D$16:D55)/10^6</f>
        <v>73584.072455999994</v>
      </c>
    </row>
    <row r="4" spans="2:5" x14ac:dyDescent="0.3">
      <c r="B4" s="721" t="s">
        <v>856</v>
      </c>
      <c r="C4" s="722">
        <f>(E63+L63-G63)/10^6</f>
        <v>301250.878899</v>
      </c>
    </row>
    <row r="5" spans="2:5" x14ac:dyDescent="0.3">
      <c r="B5" s="721" t="s">
        <v>857</v>
      </c>
      <c r="C5" s="722">
        <f>(E67+L68-G67)/10^6</f>
        <v>29431.228627</v>
      </c>
    </row>
    <row r="6" spans="2:5" x14ac:dyDescent="0.3">
      <c r="B6" s="723" t="s">
        <v>858</v>
      </c>
      <c r="C6" s="722">
        <f>(D108+D113+L114+L115-E108-E113)/10^6</f>
        <v>7629.5729369999999</v>
      </c>
    </row>
    <row r="7" spans="2:5" x14ac:dyDescent="0.3">
      <c r="B7" s="721" t="s">
        <v>859</v>
      </c>
      <c r="C7" s="722">
        <f>C5+C6</f>
        <v>37060.801564000001</v>
      </c>
    </row>
    <row r="8" spans="2:5" x14ac:dyDescent="0.3">
      <c r="B8" s="721" t="s">
        <v>860</v>
      </c>
      <c r="C8" s="722">
        <f>SUMIF($B$16:$B$54,B8,$D$16:D60)/10^6</f>
        <v>121820.616943</v>
      </c>
    </row>
    <row r="9" spans="2:5" x14ac:dyDescent="0.3">
      <c r="B9" s="724" t="s">
        <v>861</v>
      </c>
      <c r="C9" s="725">
        <f>(E74+L75-G74)/10^6</f>
        <v>24456.761173999999</v>
      </c>
    </row>
    <row r="11" spans="2:5" x14ac:dyDescent="0.3">
      <c r="C11" s="726" t="s">
        <v>862</v>
      </c>
      <c r="D11" s="727"/>
      <c r="E11" s="727"/>
    </row>
    <row r="12" spans="2:5" x14ac:dyDescent="0.3">
      <c r="C12" s="728" t="s">
        <v>863</v>
      </c>
      <c r="D12" s="727"/>
      <c r="E12" s="727"/>
    </row>
    <row r="13" spans="2:5" x14ac:dyDescent="0.3">
      <c r="C13" s="728" t="s">
        <v>864</v>
      </c>
      <c r="D13" s="727"/>
      <c r="E13" s="727"/>
    </row>
    <row r="14" spans="2:5" x14ac:dyDescent="0.3">
      <c r="C14" s="729" t="s">
        <v>865</v>
      </c>
      <c r="D14" s="727"/>
      <c r="E14" s="727"/>
    </row>
    <row r="15" spans="2:5" x14ac:dyDescent="0.3">
      <c r="C15" s="730"/>
      <c r="D15" s="731" t="s">
        <v>866</v>
      </c>
      <c r="E15" s="732" t="s">
        <v>867</v>
      </c>
    </row>
    <row r="16" spans="2:5" x14ac:dyDescent="0.3">
      <c r="C16" s="733" t="s">
        <v>868</v>
      </c>
      <c r="D16" s="734"/>
      <c r="E16" s="735"/>
    </row>
    <row r="17" spans="2:5" x14ac:dyDescent="0.3">
      <c r="C17" s="733" t="s">
        <v>869</v>
      </c>
      <c r="D17" s="736">
        <v>149296250917</v>
      </c>
      <c r="E17" s="737">
        <v>123321030643</v>
      </c>
    </row>
    <row r="18" spans="2:5" x14ac:dyDescent="0.3">
      <c r="B18" s="153" t="s">
        <v>870</v>
      </c>
      <c r="C18" s="733" t="s">
        <v>871</v>
      </c>
      <c r="D18" s="736">
        <v>46888300635</v>
      </c>
      <c r="E18" s="737">
        <v>37893748577</v>
      </c>
    </row>
    <row r="19" spans="2:5" x14ac:dyDescent="0.3">
      <c r="C19" s="733" t="s">
        <v>872</v>
      </c>
      <c r="D19" s="736">
        <v>240375064</v>
      </c>
      <c r="E19" s="737">
        <v>3248496120</v>
      </c>
    </row>
    <row r="20" spans="2:5" x14ac:dyDescent="0.3">
      <c r="C20" s="733" t="s">
        <v>873</v>
      </c>
      <c r="D20" s="736">
        <v>66778645372</v>
      </c>
      <c r="E20" s="737">
        <v>54561674711</v>
      </c>
    </row>
    <row r="21" spans="2:5" x14ac:dyDescent="0.3">
      <c r="C21" s="733" t="s">
        <v>874</v>
      </c>
      <c r="D21" s="736">
        <v>3794689612</v>
      </c>
      <c r="E21" s="737">
        <v>738129670</v>
      </c>
    </row>
    <row r="22" spans="2:5" x14ac:dyDescent="0.3">
      <c r="C22" s="733" t="s">
        <v>875</v>
      </c>
      <c r="D22" s="734">
        <v>0</v>
      </c>
      <c r="E22" s="735">
        <v>0</v>
      </c>
    </row>
    <row r="23" spans="2:5" x14ac:dyDescent="0.3">
      <c r="C23" s="733" t="s">
        <v>876</v>
      </c>
      <c r="D23" s="736">
        <v>31594240234</v>
      </c>
      <c r="E23" s="737">
        <v>26878981565</v>
      </c>
    </row>
    <row r="24" spans="2:5" x14ac:dyDescent="0.3">
      <c r="C24" s="733" t="s">
        <v>877</v>
      </c>
      <c r="D24" s="736">
        <v>107535262404</v>
      </c>
      <c r="E24" s="737">
        <v>104836907014</v>
      </c>
    </row>
    <row r="25" spans="2:5" x14ac:dyDescent="0.3">
      <c r="C25" s="733" t="s">
        <v>878</v>
      </c>
      <c r="D25" s="736">
        <v>768464128</v>
      </c>
      <c r="E25" s="737">
        <v>14877858</v>
      </c>
    </row>
    <row r="26" spans="2:5" x14ac:dyDescent="0.3">
      <c r="C26" s="733" t="s">
        <v>879</v>
      </c>
      <c r="D26" s="736">
        <v>127333356</v>
      </c>
      <c r="E26" s="737">
        <v>128833359</v>
      </c>
    </row>
    <row r="27" spans="2:5" x14ac:dyDescent="0.3">
      <c r="C27" s="733" t="s">
        <v>880</v>
      </c>
      <c r="D27" s="734">
        <v>0</v>
      </c>
      <c r="E27" s="737">
        <v>907576156</v>
      </c>
    </row>
    <row r="28" spans="2:5" x14ac:dyDescent="0.3">
      <c r="C28" s="733" t="s">
        <v>881</v>
      </c>
      <c r="D28" s="736">
        <v>100459699952</v>
      </c>
      <c r="E28" s="737">
        <v>100075128621</v>
      </c>
    </row>
    <row r="29" spans="2:5" x14ac:dyDescent="0.3">
      <c r="C29" s="733" t="s">
        <v>882</v>
      </c>
      <c r="D29" s="736">
        <v>3763696905</v>
      </c>
      <c r="E29" s="737">
        <v>1673057213</v>
      </c>
    </row>
    <row r="30" spans="2:5" x14ac:dyDescent="0.3">
      <c r="C30" s="733" t="s">
        <v>883</v>
      </c>
      <c r="D30" s="736">
        <v>2416068063</v>
      </c>
      <c r="E30" s="737">
        <v>2037433807</v>
      </c>
    </row>
    <row r="31" spans="2:5" x14ac:dyDescent="0.3">
      <c r="C31" s="733" t="s">
        <v>884</v>
      </c>
      <c r="D31" s="736">
        <v>256831513321</v>
      </c>
      <c r="E31" s="737">
        <v>228157937657</v>
      </c>
    </row>
    <row r="32" spans="2:5" x14ac:dyDescent="0.3">
      <c r="C32" s="733" t="s">
        <v>885</v>
      </c>
      <c r="D32" s="734"/>
      <c r="E32" s="735"/>
    </row>
    <row r="33" spans="2:5" x14ac:dyDescent="0.3">
      <c r="C33" s="733" t="s">
        <v>886</v>
      </c>
      <c r="D33" s="736">
        <v>96348556318</v>
      </c>
      <c r="E33" s="737">
        <v>88413985958</v>
      </c>
    </row>
    <row r="34" spans="2:5" x14ac:dyDescent="0.3">
      <c r="C34" s="733" t="s">
        <v>887</v>
      </c>
      <c r="D34" s="736">
        <v>36498710877</v>
      </c>
      <c r="E34" s="737">
        <v>28269655204</v>
      </c>
    </row>
    <row r="35" spans="2:5" x14ac:dyDescent="0.3">
      <c r="B35" s="153" t="s">
        <v>855</v>
      </c>
      <c r="C35" s="733" t="s">
        <v>888</v>
      </c>
      <c r="D35" s="736">
        <v>47026301236</v>
      </c>
      <c r="E35" s="737">
        <v>53321164495</v>
      </c>
    </row>
    <row r="36" spans="2:5" x14ac:dyDescent="0.3">
      <c r="C36" s="733" t="s">
        <v>889</v>
      </c>
      <c r="D36" s="736">
        <v>174306467</v>
      </c>
      <c r="E36" s="737">
        <v>1793360765</v>
      </c>
    </row>
    <row r="37" spans="2:5" x14ac:dyDescent="0.3">
      <c r="C37" s="733" t="s">
        <v>890</v>
      </c>
      <c r="D37" s="736">
        <v>8750256494</v>
      </c>
      <c r="E37" s="737">
        <v>2648912122</v>
      </c>
    </row>
    <row r="38" spans="2:5" x14ac:dyDescent="0.3">
      <c r="C38" s="733" t="s">
        <v>891</v>
      </c>
      <c r="D38" s="736">
        <v>3898981244</v>
      </c>
      <c r="E38" s="737">
        <v>2380893372</v>
      </c>
    </row>
    <row r="39" spans="2:5" x14ac:dyDescent="0.3">
      <c r="C39" s="733" t="s">
        <v>892</v>
      </c>
      <c r="D39" s="736">
        <v>38662340060</v>
      </c>
      <c r="E39" s="737">
        <v>39243796890</v>
      </c>
    </row>
    <row r="40" spans="2:5" x14ac:dyDescent="0.3">
      <c r="C40" s="733" t="s">
        <v>893</v>
      </c>
      <c r="D40" s="734">
        <v>0</v>
      </c>
      <c r="E40" s="735">
        <v>0</v>
      </c>
    </row>
    <row r="41" spans="2:5" x14ac:dyDescent="0.3">
      <c r="B41" s="153" t="s">
        <v>855</v>
      </c>
      <c r="C41" s="733" t="s">
        <v>894</v>
      </c>
      <c r="D41" s="736">
        <v>26557771220</v>
      </c>
      <c r="E41" s="737">
        <v>28549545040</v>
      </c>
    </row>
    <row r="42" spans="2:5" x14ac:dyDescent="0.3">
      <c r="C42" s="733" t="s">
        <v>895</v>
      </c>
      <c r="D42" s="734">
        <v>0</v>
      </c>
      <c r="E42" s="735">
        <v>0</v>
      </c>
    </row>
    <row r="43" spans="2:5" x14ac:dyDescent="0.3">
      <c r="C43" s="733" t="s">
        <v>896</v>
      </c>
      <c r="D43" s="736">
        <v>8932736755</v>
      </c>
      <c r="E43" s="737">
        <v>9066362629</v>
      </c>
    </row>
    <row r="44" spans="2:5" x14ac:dyDescent="0.3">
      <c r="C44" s="733" t="s">
        <v>897</v>
      </c>
      <c r="D44" s="736">
        <v>3171832085</v>
      </c>
      <c r="E44" s="737">
        <v>1627889221</v>
      </c>
    </row>
    <row r="45" spans="2:5" x14ac:dyDescent="0.3">
      <c r="C45" s="733" t="s">
        <v>898</v>
      </c>
      <c r="D45" s="736">
        <v>135010896378</v>
      </c>
      <c r="E45" s="737">
        <v>127657782848</v>
      </c>
    </row>
    <row r="46" spans="2:5" x14ac:dyDescent="0.3">
      <c r="C46" s="733" t="s">
        <v>899</v>
      </c>
      <c r="D46" s="734"/>
      <c r="E46" s="735"/>
    </row>
    <row r="47" spans="2:5" x14ac:dyDescent="0.3">
      <c r="B47" s="153" t="s">
        <v>900</v>
      </c>
      <c r="C47" s="733" t="s">
        <v>901</v>
      </c>
      <c r="D47" s="736">
        <v>121820616943</v>
      </c>
      <c r="E47" s="737">
        <v>100500154809</v>
      </c>
    </row>
    <row r="48" spans="2:5" x14ac:dyDescent="0.3">
      <c r="C48" s="733" t="s">
        <v>902</v>
      </c>
      <c r="D48" s="736">
        <v>5520854000</v>
      </c>
      <c r="E48" s="737">
        <v>5520854000</v>
      </c>
    </row>
    <row r="49" spans="2:14" x14ac:dyDescent="0.3">
      <c r="C49" s="733" t="s">
        <v>903</v>
      </c>
      <c r="D49" s="736">
        <v>82666632819</v>
      </c>
      <c r="E49" s="737">
        <v>82666632819</v>
      </c>
    </row>
    <row r="50" spans="2:14" x14ac:dyDescent="0.3">
      <c r="C50" s="733" t="s">
        <v>904</v>
      </c>
      <c r="D50" s="736">
        <v>33118863561</v>
      </c>
      <c r="E50" s="737">
        <v>11899975479</v>
      </c>
    </row>
    <row r="51" spans="2:14" x14ac:dyDescent="0.3">
      <c r="C51" s="733" t="s">
        <v>905</v>
      </c>
      <c r="D51" s="736">
        <v>514266563</v>
      </c>
      <c r="E51" s="737">
        <v>412692511</v>
      </c>
    </row>
    <row r="52" spans="2:14" x14ac:dyDescent="0.3">
      <c r="C52" s="733" t="s">
        <v>906</v>
      </c>
      <c r="D52" s="734">
        <v>0</v>
      </c>
      <c r="E52" s="735">
        <v>0</v>
      </c>
    </row>
    <row r="53" spans="2:14" x14ac:dyDescent="0.3">
      <c r="C53" s="733" t="s">
        <v>907</v>
      </c>
      <c r="D53" s="736">
        <v>121820616943</v>
      </c>
      <c r="E53" s="737">
        <v>100500154809</v>
      </c>
    </row>
    <row r="54" spans="2:14" x14ac:dyDescent="0.3">
      <c r="C54" s="738" t="s">
        <v>908</v>
      </c>
      <c r="D54" s="739">
        <v>256831513321</v>
      </c>
      <c r="E54" s="740">
        <v>228157937657</v>
      </c>
    </row>
    <row r="57" spans="2:14" x14ac:dyDescent="0.3">
      <c r="C57" s="741" t="s">
        <v>909</v>
      </c>
      <c r="D57" s="727"/>
      <c r="E57" s="727"/>
      <c r="F57" s="727"/>
      <c r="G57" s="727"/>
      <c r="K57" s="741" t="s">
        <v>909</v>
      </c>
      <c r="L57" s="727"/>
      <c r="M57" s="727"/>
      <c r="N57" s="727"/>
    </row>
    <row r="58" spans="2:14" x14ac:dyDescent="0.3">
      <c r="C58" s="742" t="s">
        <v>910</v>
      </c>
      <c r="D58" s="727"/>
      <c r="E58" s="727"/>
      <c r="F58" s="727"/>
      <c r="G58" s="727"/>
      <c r="K58" s="742" t="s">
        <v>911</v>
      </c>
      <c r="L58" s="727"/>
      <c r="M58" s="727"/>
      <c r="N58" s="727"/>
    </row>
    <row r="59" spans="2:14" x14ac:dyDescent="0.3">
      <c r="C59" s="742" t="s">
        <v>912</v>
      </c>
      <c r="D59" s="727"/>
      <c r="E59" s="727"/>
      <c r="F59" s="727"/>
      <c r="G59" s="727"/>
      <c r="K59" s="742" t="s">
        <v>913</v>
      </c>
      <c r="L59" s="727"/>
      <c r="M59" s="727"/>
      <c r="N59" s="727"/>
    </row>
    <row r="60" spans="2:14" x14ac:dyDescent="0.3">
      <c r="C60" s="729" t="s">
        <v>865</v>
      </c>
      <c r="D60" s="727"/>
      <c r="E60" s="727"/>
      <c r="F60" s="727"/>
      <c r="G60" s="727"/>
      <c r="K60" s="742" t="s">
        <v>914</v>
      </c>
      <c r="L60" s="727"/>
      <c r="M60" s="727"/>
      <c r="N60" s="727"/>
    </row>
    <row r="61" spans="2:14" x14ac:dyDescent="0.3">
      <c r="C61" s="1952"/>
      <c r="D61" s="1954" t="s">
        <v>915</v>
      </c>
      <c r="E61" s="1955"/>
      <c r="F61" s="1954" t="s">
        <v>916</v>
      </c>
      <c r="G61" s="1956"/>
      <c r="K61" s="729" t="s">
        <v>865</v>
      </c>
      <c r="L61" s="727"/>
      <c r="M61" s="727"/>
      <c r="N61" s="727"/>
    </row>
    <row r="62" spans="2:14" x14ac:dyDescent="0.3">
      <c r="C62" s="1953"/>
      <c r="D62" s="743" t="s">
        <v>917</v>
      </c>
      <c r="E62" s="743" t="s">
        <v>918</v>
      </c>
      <c r="F62" s="743" t="s">
        <v>917</v>
      </c>
      <c r="G62" s="744" t="s">
        <v>918</v>
      </c>
      <c r="K62" s="730"/>
      <c r="L62" s="731" t="s">
        <v>919</v>
      </c>
      <c r="M62" s="731" t="s">
        <v>920</v>
      </c>
      <c r="N62" s="732" t="s">
        <v>921</v>
      </c>
    </row>
    <row r="63" spans="2:14" x14ac:dyDescent="0.3">
      <c r="B63" s="153" t="s">
        <v>922</v>
      </c>
      <c r="C63" s="733" t="s">
        <v>923</v>
      </c>
      <c r="D63" s="736">
        <v>79791707660</v>
      </c>
      <c r="E63" s="736">
        <v>242668401364</v>
      </c>
      <c r="F63" s="736">
        <v>51239413886</v>
      </c>
      <c r="G63" s="737">
        <v>170565202148</v>
      </c>
      <c r="K63" s="733" t="s">
        <v>923</v>
      </c>
      <c r="L63" s="736">
        <v>229147679683</v>
      </c>
      <c r="M63" s="736">
        <v>248499187197</v>
      </c>
      <c r="N63" s="737">
        <v>24755302535</v>
      </c>
    </row>
    <row r="64" spans="2:14" x14ac:dyDescent="0.3">
      <c r="C64" s="733" t="s">
        <v>924</v>
      </c>
      <c r="D64" s="736">
        <v>65891749126</v>
      </c>
      <c r="E64" s="736">
        <v>199068752820</v>
      </c>
      <c r="F64" s="736">
        <v>41680005057</v>
      </c>
      <c r="G64" s="737">
        <v>141789382161</v>
      </c>
      <c r="K64" s="733" t="s">
        <v>924</v>
      </c>
      <c r="L64" s="736">
        <v>188576522575</v>
      </c>
      <c r="M64" s="736">
        <v>216134355674</v>
      </c>
      <c r="N64" s="737">
        <v>21697075842</v>
      </c>
    </row>
    <row r="65" spans="2:14" x14ac:dyDescent="0.3">
      <c r="C65" s="733" t="s">
        <v>925</v>
      </c>
      <c r="D65" s="736">
        <v>13899958534</v>
      </c>
      <c r="E65" s="736">
        <v>43599648544</v>
      </c>
      <c r="F65" s="736">
        <v>9559408829</v>
      </c>
      <c r="G65" s="737">
        <v>28775819987</v>
      </c>
      <c r="K65" s="733" t="s">
        <v>925</v>
      </c>
      <c r="L65" s="736">
        <v>40571157108</v>
      </c>
      <c r="M65" s="736">
        <v>32364831523</v>
      </c>
      <c r="N65" s="737">
        <v>3058226693</v>
      </c>
    </row>
    <row r="66" spans="2:14" x14ac:dyDescent="0.3">
      <c r="C66" s="733" t="s">
        <v>926</v>
      </c>
      <c r="D66" s="736">
        <v>5895496641</v>
      </c>
      <c r="E66" s="736">
        <v>17369410934</v>
      </c>
      <c r="F66" s="736">
        <v>6631545398</v>
      </c>
      <c r="G66" s="737">
        <v>17965928479</v>
      </c>
      <c r="K66" s="733" t="s">
        <v>927</v>
      </c>
      <c r="L66" s="736">
        <v>5903474940</v>
      </c>
      <c r="M66" s="736">
        <v>7362020976</v>
      </c>
      <c r="N66" s="737">
        <v>613371141</v>
      </c>
    </row>
    <row r="67" spans="2:14" x14ac:dyDescent="0.3">
      <c r="B67" s="153" t="s">
        <v>928</v>
      </c>
      <c r="C67" s="733" t="s">
        <v>929</v>
      </c>
      <c r="D67" s="736">
        <v>8004461893</v>
      </c>
      <c r="E67" s="736">
        <v>26230237610</v>
      </c>
      <c r="F67" s="736">
        <v>2927863431</v>
      </c>
      <c r="G67" s="737">
        <v>10809891508</v>
      </c>
      <c r="K67" s="733" t="s">
        <v>930</v>
      </c>
      <c r="L67" s="736">
        <v>20656799643</v>
      </c>
      <c r="M67" s="736">
        <v>14923161074</v>
      </c>
      <c r="N67" s="737">
        <v>1151865979</v>
      </c>
    </row>
    <row r="68" spans="2:14" x14ac:dyDescent="0.3">
      <c r="C68" s="733" t="s">
        <v>931</v>
      </c>
      <c r="D68" s="736">
        <v>1136723779</v>
      </c>
      <c r="E68" s="736">
        <v>5327327756</v>
      </c>
      <c r="F68" s="736">
        <v>208310328</v>
      </c>
      <c r="G68" s="737">
        <v>3125589769</v>
      </c>
      <c r="K68" s="733" t="s">
        <v>932</v>
      </c>
      <c r="L68" s="736">
        <v>14010882525</v>
      </c>
      <c r="M68" s="736">
        <v>10079649473</v>
      </c>
      <c r="N68" s="737">
        <v>1292989573</v>
      </c>
    </row>
    <row r="69" spans="2:14" x14ac:dyDescent="0.3">
      <c r="C69" s="733" t="s">
        <v>933</v>
      </c>
      <c r="D69" s="736">
        <v>698896171</v>
      </c>
      <c r="E69" s="736">
        <v>4988474723</v>
      </c>
      <c r="F69" s="736">
        <v>1281793005</v>
      </c>
      <c r="G69" s="737">
        <v>2482110943</v>
      </c>
      <c r="K69" s="733" t="s">
        <v>934</v>
      </c>
      <c r="L69" s="736">
        <v>2017848979</v>
      </c>
      <c r="M69" s="736">
        <v>4845710528</v>
      </c>
      <c r="N69" s="737">
        <v>100616592</v>
      </c>
    </row>
    <row r="70" spans="2:14" x14ac:dyDescent="0.3">
      <c r="C70" s="733" t="s">
        <v>935</v>
      </c>
      <c r="D70" s="736">
        <v>449026875</v>
      </c>
      <c r="E70" s="736">
        <v>3467463835</v>
      </c>
      <c r="F70" s="736">
        <v>2293002321</v>
      </c>
      <c r="G70" s="737">
        <v>3785427239</v>
      </c>
      <c r="K70" s="733" t="s">
        <v>936</v>
      </c>
      <c r="L70" s="736">
        <v>5819313209</v>
      </c>
      <c r="M70" s="736">
        <v>2453879396</v>
      </c>
      <c r="N70" s="737">
        <v>324607067</v>
      </c>
    </row>
    <row r="71" spans="2:14" x14ac:dyDescent="0.3">
      <c r="C71" s="733" t="s">
        <v>937</v>
      </c>
      <c r="D71" s="736">
        <v>958394444</v>
      </c>
      <c r="E71" s="736">
        <v>2638142040</v>
      </c>
      <c r="F71" s="736">
        <v>42152923</v>
      </c>
      <c r="G71" s="737">
        <v>5455776544</v>
      </c>
      <c r="K71" s="733" t="s">
        <v>938</v>
      </c>
      <c r="L71" s="736">
        <v>4937295523</v>
      </c>
      <c r="M71" s="736">
        <v>1488544966</v>
      </c>
      <c r="N71" s="737">
        <v>618980552</v>
      </c>
    </row>
    <row r="72" spans="2:14" x14ac:dyDescent="0.3">
      <c r="C72" s="733" t="s">
        <v>939</v>
      </c>
      <c r="D72" s="736">
        <v>7932921932</v>
      </c>
      <c r="E72" s="736">
        <v>27398412438</v>
      </c>
      <c r="F72" s="736">
        <v>4105230152</v>
      </c>
      <c r="G72" s="737">
        <v>9783021029</v>
      </c>
      <c r="K72" s="733" t="s">
        <v>940</v>
      </c>
      <c r="L72" s="736">
        <v>3254924118</v>
      </c>
      <c r="M72" s="736">
        <v>10429777414</v>
      </c>
      <c r="N72" s="737">
        <v>338118199</v>
      </c>
    </row>
    <row r="73" spans="2:14" x14ac:dyDescent="0.3">
      <c r="C73" s="733" t="s">
        <v>941</v>
      </c>
      <c r="D73" s="736">
        <v>1408955406</v>
      </c>
      <c r="E73" s="736">
        <v>4855222236</v>
      </c>
      <c r="F73" s="736">
        <v>865719726</v>
      </c>
      <c r="G73" s="737">
        <v>2093245861</v>
      </c>
      <c r="K73" s="733" t="s">
        <v>942</v>
      </c>
      <c r="L73" s="736">
        <v>11891789700</v>
      </c>
      <c r="M73" s="736">
        <v>3530248157</v>
      </c>
      <c r="N73" s="737">
        <v>1349861451</v>
      </c>
    </row>
    <row r="74" spans="2:14" x14ac:dyDescent="0.3">
      <c r="B74" s="153" t="s">
        <v>861</v>
      </c>
      <c r="C74" s="733" t="s">
        <v>943</v>
      </c>
      <c r="D74" s="736">
        <v>6523966526</v>
      </c>
      <c r="E74" s="736">
        <v>22543190202</v>
      </c>
      <c r="F74" s="736">
        <v>3239510426</v>
      </c>
      <c r="G74" s="737">
        <v>7689775168</v>
      </c>
      <c r="K74" s="733" t="s">
        <v>944</v>
      </c>
      <c r="L74" s="736">
        <v>2288443560</v>
      </c>
      <c r="M74" s="736">
        <v>2074147942</v>
      </c>
      <c r="N74" s="737">
        <v>395615826</v>
      </c>
    </row>
    <row r="75" spans="2:14" x14ac:dyDescent="0.3">
      <c r="C75" s="733" t="s">
        <v>945</v>
      </c>
      <c r="D75" s="736">
        <v>245900140</v>
      </c>
      <c r="E75" s="736">
        <v>101574052</v>
      </c>
      <c r="F75" s="736">
        <v>-321988169</v>
      </c>
      <c r="G75" s="737">
        <v>-445017645</v>
      </c>
      <c r="K75" s="733" t="s">
        <v>946</v>
      </c>
      <c r="L75" s="736">
        <v>9603346140</v>
      </c>
      <c r="M75" s="736">
        <v>1456100215</v>
      </c>
      <c r="N75" s="737">
        <v>954245625</v>
      </c>
    </row>
    <row r="76" spans="2:14" x14ac:dyDescent="0.3">
      <c r="C76" s="733" t="s">
        <v>947</v>
      </c>
      <c r="D76" s="736">
        <v>245900140</v>
      </c>
      <c r="E76" s="736">
        <v>101574052</v>
      </c>
      <c r="F76" s="736">
        <v>-321988169</v>
      </c>
      <c r="G76" s="737">
        <v>-445017645</v>
      </c>
      <c r="K76" s="733" t="s">
        <v>948</v>
      </c>
      <c r="L76" s="736">
        <v>-570053282</v>
      </c>
      <c r="M76" s="736">
        <v>2213270500</v>
      </c>
      <c r="N76" s="737">
        <v>-209421085</v>
      </c>
    </row>
    <row r="77" spans="2:14" x14ac:dyDescent="0.3">
      <c r="C77" s="733" t="s">
        <v>949</v>
      </c>
      <c r="D77" s="736">
        <v>245900140</v>
      </c>
      <c r="E77" s="736">
        <v>101574052</v>
      </c>
      <c r="F77" s="736">
        <v>-321988169</v>
      </c>
      <c r="G77" s="737">
        <v>-445017645</v>
      </c>
      <c r="K77" s="733" t="s">
        <v>950</v>
      </c>
      <c r="L77" s="736">
        <v>-574443133</v>
      </c>
      <c r="M77" s="736">
        <v>1762120377</v>
      </c>
      <c r="N77" s="737">
        <v>-159060155</v>
      </c>
    </row>
    <row r="78" spans="2:14" x14ac:dyDescent="0.3">
      <c r="C78" s="733" t="s">
        <v>951</v>
      </c>
      <c r="D78" s="736">
        <v>6769866666</v>
      </c>
      <c r="E78" s="736">
        <v>22644764254</v>
      </c>
      <c r="F78" s="736">
        <v>2917522257</v>
      </c>
      <c r="G78" s="737">
        <v>7244757523</v>
      </c>
      <c r="K78" s="733" t="s">
        <v>952</v>
      </c>
      <c r="L78" s="736">
        <v>-736465555</v>
      </c>
      <c r="M78" s="736">
        <v>2265047304</v>
      </c>
      <c r="N78" s="737">
        <v>-209841893</v>
      </c>
    </row>
    <row r="79" spans="2:14" x14ac:dyDescent="0.3">
      <c r="C79" s="733" t="s">
        <v>953</v>
      </c>
      <c r="D79" s="734"/>
      <c r="E79" s="734"/>
      <c r="F79" s="734"/>
      <c r="G79" s="735"/>
      <c r="K79" s="733" t="s">
        <v>954</v>
      </c>
      <c r="L79" s="736">
        <v>162022422</v>
      </c>
      <c r="M79" s="736">
        <v>-502926927</v>
      </c>
      <c r="N79" s="737">
        <v>50781738</v>
      </c>
    </row>
    <row r="80" spans="2:14" x14ac:dyDescent="0.3">
      <c r="C80" s="733" t="s">
        <v>955</v>
      </c>
      <c r="D80" s="736">
        <v>6523966526</v>
      </c>
      <c r="E80" s="736">
        <v>22543190202</v>
      </c>
      <c r="F80" s="736">
        <v>3239510426</v>
      </c>
      <c r="G80" s="737">
        <v>7689775168</v>
      </c>
      <c r="K80" s="733" t="s">
        <v>956</v>
      </c>
      <c r="L80" s="736">
        <v>4389851</v>
      </c>
      <c r="M80" s="736">
        <v>451150123</v>
      </c>
      <c r="N80" s="737">
        <v>-50360930</v>
      </c>
    </row>
    <row r="81" spans="3:14" x14ac:dyDescent="0.3">
      <c r="C81" s="733" t="s">
        <v>957</v>
      </c>
      <c r="D81" s="734">
        <v>0</v>
      </c>
      <c r="E81" s="734">
        <v>0</v>
      </c>
      <c r="F81" s="734">
        <v>0</v>
      </c>
      <c r="G81" s="735">
        <v>0</v>
      </c>
      <c r="K81" s="733" t="s">
        <v>958</v>
      </c>
      <c r="L81" s="736">
        <v>4389851</v>
      </c>
      <c r="M81" s="736">
        <v>451150123</v>
      </c>
      <c r="N81" s="737">
        <v>-50360930</v>
      </c>
    </row>
    <row r="82" spans="3:14" x14ac:dyDescent="0.3">
      <c r="C82" s="733" t="s">
        <v>959</v>
      </c>
      <c r="D82" s="734"/>
      <c r="E82" s="734"/>
      <c r="F82" s="734"/>
      <c r="G82" s="735"/>
      <c r="K82" s="733" t="s">
        <v>960</v>
      </c>
      <c r="L82" s="736">
        <v>9033292858</v>
      </c>
      <c r="M82" s="736">
        <v>3669370715</v>
      </c>
      <c r="N82" s="737">
        <v>744824540</v>
      </c>
    </row>
    <row r="83" spans="3:14" x14ac:dyDescent="0.3">
      <c r="C83" s="733" t="s">
        <v>961</v>
      </c>
      <c r="D83" s="736">
        <v>6769866666</v>
      </c>
      <c r="E83" s="736">
        <v>22644764254</v>
      </c>
      <c r="F83" s="736">
        <v>2917522257</v>
      </c>
      <c r="G83" s="737">
        <v>7244757523</v>
      </c>
      <c r="K83" s="733" t="s">
        <v>962</v>
      </c>
      <c r="L83" s="734"/>
      <c r="M83" s="734"/>
      <c r="N83" s="735"/>
    </row>
    <row r="84" spans="3:14" x14ac:dyDescent="0.3">
      <c r="C84" s="733" t="s">
        <v>963</v>
      </c>
      <c r="D84" s="734">
        <v>0</v>
      </c>
      <c r="E84" s="734">
        <v>0</v>
      </c>
      <c r="F84" s="734">
        <v>0</v>
      </c>
      <c r="G84" s="735">
        <v>0</v>
      </c>
      <c r="K84" s="733" t="s">
        <v>955</v>
      </c>
      <c r="L84" s="736">
        <v>9603346140</v>
      </c>
      <c r="M84" s="736">
        <v>1682562677</v>
      </c>
      <c r="N84" s="737">
        <v>1014528001</v>
      </c>
    </row>
    <row r="85" spans="3:14" x14ac:dyDescent="0.3">
      <c r="C85" s="733" t="s">
        <v>964</v>
      </c>
      <c r="D85" s="734"/>
      <c r="E85" s="734"/>
      <c r="F85" s="734"/>
      <c r="G85" s="735"/>
      <c r="K85" s="733" t="s">
        <v>957</v>
      </c>
      <c r="L85" s="734">
        <v>0</v>
      </c>
      <c r="M85" s="736">
        <v>-226462462</v>
      </c>
      <c r="N85" s="737">
        <v>-60282376</v>
      </c>
    </row>
    <row r="86" spans="3:14" x14ac:dyDescent="0.3">
      <c r="C86" s="733" t="s">
        <v>965</v>
      </c>
      <c r="D86" s="734">
        <v>591</v>
      </c>
      <c r="E86" s="736">
        <v>2043</v>
      </c>
      <c r="F86" s="734">
        <v>294</v>
      </c>
      <c r="G86" s="735">
        <v>697</v>
      </c>
      <c r="K86" s="733" t="s">
        <v>966</v>
      </c>
      <c r="L86" s="734"/>
      <c r="M86" s="734"/>
      <c r="N86" s="735"/>
    </row>
    <row r="87" spans="3:14" x14ac:dyDescent="0.3">
      <c r="C87" s="738" t="s">
        <v>967</v>
      </c>
      <c r="D87" s="745">
        <v>591</v>
      </c>
      <c r="E87" s="739">
        <v>2043</v>
      </c>
      <c r="F87" s="745">
        <v>294</v>
      </c>
      <c r="G87" s="746">
        <v>697</v>
      </c>
      <c r="K87" s="733" t="s">
        <v>968</v>
      </c>
      <c r="L87" s="736">
        <v>9033292858</v>
      </c>
      <c r="M87" s="736">
        <v>3836996911</v>
      </c>
      <c r="N87" s="737">
        <v>812620383</v>
      </c>
    </row>
    <row r="88" spans="3:14" x14ac:dyDescent="0.3">
      <c r="K88" s="733" t="s">
        <v>969</v>
      </c>
      <c r="L88" s="734">
        <v>0</v>
      </c>
      <c r="M88" s="736">
        <v>-167626196</v>
      </c>
      <c r="N88" s="737">
        <v>-67795843</v>
      </c>
    </row>
    <row r="89" spans="3:14" x14ac:dyDescent="0.3">
      <c r="K89" s="733" t="s">
        <v>970</v>
      </c>
      <c r="L89" s="734"/>
      <c r="M89" s="734"/>
      <c r="N89" s="735"/>
    </row>
    <row r="90" spans="3:14" x14ac:dyDescent="0.3">
      <c r="K90" s="733" t="s">
        <v>965</v>
      </c>
      <c r="L90" s="734">
        <v>870</v>
      </c>
      <c r="M90" s="734">
        <v>152</v>
      </c>
      <c r="N90" s="735">
        <v>92</v>
      </c>
    </row>
    <row r="91" spans="3:14" x14ac:dyDescent="0.3">
      <c r="K91" s="738" t="s">
        <v>967</v>
      </c>
      <c r="L91" s="745">
        <v>870</v>
      </c>
      <c r="M91" s="745">
        <v>152</v>
      </c>
      <c r="N91" s="746">
        <v>92</v>
      </c>
    </row>
    <row r="97" spans="3:14" x14ac:dyDescent="0.3">
      <c r="C97" s="741" t="s">
        <v>971</v>
      </c>
      <c r="D97" s="727"/>
      <c r="E97" s="727"/>
      <c r="K97" s="741" t="s">
        <v>971</v>
      </c>
      <c r="L97" s="727"/>
      <c r="M97" s="727"/>
      <c r="N97" s="727"/>
    </row>
    <row r="98" spans="3:14" x14ac:dyDescent="0.3">
      <c r="C98" s="742" t="s">
        <v>910</v>
      </c>
      <c r="D98" s="727"/>
      <c r="E98" s="727"/>
      <c r="K98" s="742" t="s">
        <v>911</v>
      </c>
      <c r="L98" s="727"/>
      <c r="M98" s="727"/>
      <c r="N98" s="727"/>
    </row>
    <row r="99" spans="3:14" x14ac:dyDescent="0.3">
      <c r="C99" s="742" t="s">
        <v>912</v>
      </c>
      <c r="D99" s="727"/>
      <c r="E99" s="727"/>
      <c r="K99" s="742" t="s">
        <v>913</v>
      </c>
      <c r="L99" s="727"/>
      <c r="M99" s="727"/>
      <c r="N99" s="727"/>
    </row>
    <row r="100" spans="3:14" x14ac:dyDescent="0.3">
      <c r="C100" s="729" t="s">
        <v>865</v>
      </c>
      <c r="D100" s="727"/>
      <c r="E100" s="727"/>
      <c r="K100" s="742" t="s">
        <v>914</v>
      </c>
      <c r="L100" s="727"/>
      <c r="M100" s="727"/>
      <c r="N100" s="727"/>
    </row>
    <row r="101" spans="3:14" x14ac:dyDescent="0.3">
      <c r="C101" s="730"/>
      <c r="D101" s="731" t="s">
        <v>915</v>
      </c>
      <c r="E101" s="732" t="s">
        <v>916</v>
      </c>
      <c r="K101" s="729" t="s">
        <v>865</v>
      </c>
      <c r="L101" s="727"/>
      <c r="M101" s="727"/>
      <c r="N101" s="727"/>
    </row>
    <row r="102" spans="3:14" x14ac:dyDescent="0.3">
      <c r="C102" s="733" t="s">
        <v>972</v>
      </c>
      <c r="D102" s="736">
        <v>22729876759</v>
      </c>
      <c r="E102" s="737">
        <v>33781863829</v>
      </c>
      <c r="K102" s="730"/>
      <c r="L102" s="731" t="s">
        <v>919</v>
      </c>
      <c r="M102" s="731" t="s">
        <v>920</v>
      </c>
      <c r="N102" s="732" t="s">
        <v>921</v>
      </c>
    </row>
    <row r="103" spans="3:14" x14ac:dyDescent="0.3">
      <c r="C103" s="733" t="s">
        <v>973</v>
      </c>
      <c r="D103" s="736">
        <v>22543190202</v>
      </c>
      <c r="E103" s="737">
        <v>7689775168</v>
      </c>
      <c r="K103" s="733" t="s">
        <v>972</v>
      </c>
      <c r="L103" s="736">
        <v>32421811603</v>
      </c>
      <c r="M103" s="736">
        <v>29484848556</v>
      </c>
      <c r="N103" s="737">
        <v>635234174</v>
      </c>
    </row>
    <row r="104" spans="3:14" x14ac:dyDescent="0.3">
      <c r="C104" s="733" t="s">
        <v>974</v>
      </c>
      <c r="D104" s="736">
        <v>13850875019</v>
      </c>
      <c r="E104" s="737">
        <v>15284215074</v>
      </c>
      <c r="K104" s="733" t="s">
        <v>973</v>
      </c>
      <c r="L104" s="736">
        <v>9603346140</v>
      </c>
      <c r="M104" s="736">
        <v>1456100215</v>
      </c>
      <c r="N104" s="737">
        <v>954245625</v>
      </c>
    </row>
    <row r="105" spans="3:14" x14ac:dyDescent="0.3">
      <c r="C105" s="733" t="s">
        <v>975</v>
      </c>
      <c r="D105" s="736">
        <v>4855222235</v>
      </c>
      <c r="E105" s="737">
        <v>2093245861</v>
      </c>
      <c r="K105" s="733" t="s">
        <v>974</v>
      </c>
      <c r="L105" s="736">
        <v>24147825272</v>
      </c>
      <c r="M105" s="736">
        <v>33536518557</v>
      </c>
      <c r="N105" s="737">
        <v>-108794041</v>
      </c>
    </row>
    <row r="106" spans="3:14" x14ac:dyDescent="0.3">
      <c r="C106" s="733" t="s">
        <v>976</v>
      </c>
      <c r="D106" s="736">
        <v>-279890177</v>
      </c>
      <c r="E106" s="737">
        <v>-512428005</v>
      </c>
      <c r="K106" s="733" t="s">
        <v>975</v>
      </c>
      <c r="L106" s="736">
        <v>2288443560</v>
      </c>
      <c r="M106" s="736">
        <v>2074147942</v>
      </c>
      <c r="N106" s="737">
        <v>395615826</v>
      </c>
    </row>
    <row r="107" spans="3:14" x14ac:dyDescent="0.3">
      <c r="C107" s="733" t="s">
        <v>977</v>
      </c>
      <c r="D107" s="736">
        <v>1716970596</v>
      </c>
      <c r="E107" s="737">
        <v>2103643018</v>
      </c>
      <c r="K107" s="733" t="s">
        <v>976</v>
      </c>
      <c r="L107" s="736">
        <v>-346346255</v>
      </c>
      <c r="M107" s="736">
        <v>-419681901</v>
      </c>
      <c r="N107" s="737">
        <v>-2895548</v>
      </c>
    </row>
    <row r="108" spans="3:14" x14ac:dyDescent="0.3">
      <c r="C108" s="733" t="s">
        <v>978</v>
      </c>
      <c r="D108" s="736">
        <v>-45012009</v>
      </c>
      <c r="E108" s="737">
        <v>74042328</v>
      </c>
      <c r="K108" s="733" t="s">
        <v>977</v>
      </c>
      <c r="L108" s="736">
        <v>2128544614</v>
      </c>
      <c r="M108" s="736">
        <v>3057125883</v>
      </c>
      <c r="N108" s="737">
        <v>285080055</v>
      </c>
    </row>
    <row r="109" spans="3:14" x14ac:dyDescent="0.3">
      <c r="C109" s="733" t="s">
        <v>979</v>
      </c>
      <c r="D109" s="736">
        <v>1578563766</v>
      </c>
      <c r="E109" s="737">
        <v>1486371231</v>
      </c>
      <c r="K109" s="733" t="s">
        <v>978</v>
      </c>
      <c r="L109" s="736">
        <v>430362709</v>
      </c>
      <c r="M109" s="736">
        <v>147500827</v>
      </c>
      <c r="N109" s="735">
        <v>-15</v>
      </c>
    </row>
    <row r="110" spans="3:14" x14ac:dyDescent="0.3">
      <c r="C110" s="733" t="s">
        <v>980</v>
      </c>
      <c r="D110" s="736">
        <v>622265002</v>
      </c>
      <c r="E110" s="737">
        <v>4860001066</v>
      </c>
      <c r="K110" s="733" t="s">
        <v>979</v>
      </c>
      <c r="L110" s="736">
        <v>1983354134</v>
      </c>
      <c r="M110" s="736">
        <v>1804345652</v>
      </c>
      <c r="N110" s="737">
        <v>222132532</v>
      </c>
    </row>
    <row r="111" spans="3:14" x14ac:dyDescent="0.3">
      <c r="C111" s="733" t="s">
        <v>981</v>
      </c>
      <c r="D111" s="736">
        <v>952875173</v>
      </c>
      <c r="E111" s="737">
        <v>1031734696</v>
      </c>
      <c r="K111" s="733" t="s">
        <v>982</v>
      </c>
      <c r="L111" s="736">
        <v>7998343296</v>
      </c>
      <c r="M111" s="736">
        <v>1292823906</v>
      </c>
      <c r="N111" s="737">
        <v>48030324</v>
      </c>
    </row>
    <row r="112" spans="3:14" x14ac:dyDescent="0.3">
      <c r="C112" s="733" t="s">
        <v>983</v>
      </c>
      <c r="D112" s="736">
        <v>-1747126473</v>
      </c>
      <c r="E112" s="737">
        <v>-989666871</v>
      </c>
      <c r="K112" s="733" t="s">
        <v>981</v>
      </c>
      <c r="L112" s="736">
        <v>1175223162</v>
      </c>
      <c r="M112" s="736">
        <v>2409911429</v>
      </c>
      <c r="N112" s="737">
        <v>322369370</v>
      </c>
    </row>
    <row r="113" spans="3:14" x14ac:dyDescent="0.3">
      <c r="C113" s="733" t="s">
        <v>984</v>
      </c>
      <c r="D113" s="736">
        <v>5829910190</v>
      </c>
      <c r="E113" s="737">
        <v>5136351534</v>
      </c>
      <c r="K113" s="733" t="s">
        <v>983</v>
      </c>
      <c r="L113" s="736">
        <v>-893317965</v>
      </c>
      <c r="M113" s="736">
        <v>-509721689</v>
      </c>
      <c r="N113" s="737">
        <v>-101271718</v>
      </c>
    </row>
    <row r="114" spans="3:14" x14ac:dyDescent="0.3">
      <c r="C114" s="733" t="s">
        <v>985</v>
      </c>
      <c r="D114" s="736">
        <v>291046479</v>
      </c>
      <c r="E114" s="737">
        <v>168619715</v>
      </c>
      <c r="K114" s="733" t="s">
        <v>984</v>
      </c>
      <c r="L114" s="736">
        <v>6933533485</v>
      </c>
      <c r="M114" s="736">
        <v>6941300677</v>
      </c>
      <c r="N114" s="737">
        <v>572292712</v>
      </c>
    </row>
    <row r="115" spans="3:14" x14ac:dyDescent="0.3">
      <c r="C115" s="733" t="s">
        <v>986</v>
      </c>
      <c r="D115" s="736">
        <v>80081562</v>
      </c>
      <c r="E115" s="737">
        <v>6722309</v>
      </c>
      <c r="K115" s="733" t="s">
        <v>985</v>
      </c>
      <c r="L115" s="736">
        <v>121535133</v>
      </c>
      <c r="M115" s="736">
        <v>158996080</v>
      </c>
      <c r="N115" s="737">
        <v>15348364</v>
      </c>
    </row>
    <row r="116" spans="3:14" x14ac:dyDescent="0.3">
      <c r="C116" s="733" t="s">
        <v>987</v>
      </c>
      <c r="D116" s="734">
        <v>0</v>
      </c>
      <c r="E116" s="737">
        <v>26900</v>
      </c>
      <c r="K116" s="733" t="s">
        <v>986</v>
      </c>
      <c r="L116" s="736">
        <v>10796430</v>
      </c>
      <c r="M116" s="736">
        <v>234829214</v>
      </c>
      <c r="N116" s="737">
        <v>4389897</v>
      </c>
    </row>
    <row r="117" spans="3:14" x14ac:dyDescent="0.3">
      <c r="C117" s="733" t="s">
        <v>988</v>
      </c>
      <c r="D117" s="736">
        <v>-15678189</v>
      </c>
      <c r="E117" s="737">
        <v>-15500000</v>
      </c>
      <c r="K117" s="733" t="s">
        <v>987</v>
      </c>
      <c r="L117" s="736">
        <v>26900</v>
      </c>
      <c r="M117" s="736">
        <v>430300</v>
      </c>
      <c r="N117" s="735">
        <v>0</v>
      </c>
    </row>
    <row r="118" spans="3:14" x14ac:dyDescent="0.3">
      <c r="C118" s="733" t="s">
        <v>989</v>
      </c>
      <c r="D118" s="736">
        <v>160313479</v>
      </c>
      <c r="E118" s="737">
        <v>1100122000</v>
      </c>
      <c r="K118" s="733" t="s">
        <v>990</v>
      </c>
      <c r="L118" s="736">
        <v>644186094</v>
      </c>
      <c r="M118" s="736">
        <v>3593421288</v>
      </c>
      <c r="N118" s="735">
        <v>0</v>
      </c>
    </row>
    <row r="119" spans="3:14" x14ac:dyDescent="0.3">
      <c r="C119" s="733" t="s">
        <v>991</v>
      </c>
      <c r="D119" s="736">
        <v>-148666615</v>
      </c>
      <c r="E119" s="737">
        <v>-1259070708</v>
      </c>
      <c r="K119" s="733" t="s">
        <v>992</v>
      </c>
      <c r="L119" s="736">
        <v>-31517094</v>
      </c>
      <c r="M119" s="736">
        <v>-173567190</v>
      </c>
      <c r="N119" s="735">
        <v>0</v>
      </c>
    </row>
    <row r="120" spans="3:14" x14ac:dyDescent="0.3">
      <c r="C120" s="733" t="s">
        <v>993</v>
      </c>
      <c r="D120" s="736">
        <v>-8996814591</v>
      </c>
      <c r="E120" s="737">
        <v>11735724883</v>
      </c>
      <c r="K120" s="733" t="s">
        <v>994</v>
      </c>
      <c r="L120" s="734">
        <v>0</v>
      </c>
      <c r="M120" s="734">
        <v>0</v>
      </c>
      <c r="N120" s="737">
        <v>-535880308</v>
      </c>
    </row>
    <row r="121" spans="3:14" x14ac:dyDescent="0.3">
      <c r="C121" s="733" t="s">
        <v>995</v>
      </c>
      <c r="D121" s="736">
        <v>-14030277868</v>
      </c>
      <c r="E121" s="737">
        <v>8058872933</v>
      </c>
      <c r="K121" s="733" t="s">
        <v>996</v>
      </c>
      <c r="L121" s="736">
        <v>-246179790</v>
      </c>
      <c r="M121" s="736">
        <v>18284945819</v>
      </c>
      <c r="N121" s="737">
        <v>-4010990852</v>
      </c>
    </row>
    <row r="122" spans="3:14" x14ac:dyDescent="0.3">
      <c r="C122" s="733" t="s">
        <v>997</v>
      </c>
      <c r="D122" s="736">
        <v>2490864445</v>
      </c>
      <c r="E122" s="737">
        <v>1758947695</v>
      </c>
      <c r="K122" s="733" t="s">
        <v>998</v>
      </c>
      <c r="L122" s="736">
        <v>480795746</v>
      </c>
      <c r="M122" s="736">
        <v>7170690683</v>
      </c>
      <c r="N122" s="737">
        <v>-1057362955</v>
      </c>
    </row>
    <row r="123" spans="3:14" x14ac:dyDescent="0.3">
      <c r="C123" s="733" t="s">
        <v>999</v>
      </c>
      <c r="D123" s="736">
        <v>-3886213934</v>
      </c>
      <c r="E123" s="737">
        <v>-4870626741</v>
      </c>
      <c r="K123" s="733" t="s">
        <v>1000</v>
      </c>
      <c r="L123" s="736">
        <v>-5102089861</v>
      </c>
      <c r="M123" s="736">
        <v>-172242180</v>
      </c>
      <c r="N123" s="737">
        <v>622627911</v>
      </c>
    </row>
    <row r="124" spans="3:14" x14ac:dyDescent="0.3">
      <c r="C124" s="733" t="s">
        <v>1001</v>
      </c>
      <c r="D124" s="736">
        <v>-4757186949</v>
      </c>
      <c r="E124" s="737">
        <v>3148060640</v>
      </c>
      <c r="K124" s="733" t="s">
        <v>1002</v>
      </c>
      <c r="L124" s="736">
        <v>-877044383</v>
      </c>
      <c r="M124" s="736">
        <v>6136821901</v>
      </c>
      <c r="N124" s="737">
        <v>-1217591114</v>
      </c>
    </row>
    <row r="125" spans="3:14" x14ac:dyDescent="0.3">
      <c r="C125" s="733" t="s">
        <v>1003</v>
      </c>
      <c r="D125" s="736">
        <v>35658517</v>
      </c>
      <c r="E125" s="737">
        <v>759549737</v>
      </c>
      <c r="K125" s="733" t="s">
        <v>1004</v>
      </c>
      <c r="L125" s="736">
        <v>800959997</v>
      </c>
      <c r="M125" s="736">
        <v>3239307108</v>
      </c>
      <c r="N125" s="737">
        <v>312060928</v>
      </c>
    </row>
    <row r="126" spans="3:14" x14ac:dyDescent="0.3">
      <c r="C126" s="733" t="s">
        <v>1005</v>
      </c>
      <c r="D126" s="736">
        <v>8798341402</v>
      </c>
      <c r="E126" s="737">
        <v>6892338510</v>
      </c>
      <c r="K126" s="733" t="s">
        <v>1006</v>
      </c>
      <c r="L126" s="736">
        <v>9827348472</v>
      </c>
      <c r="M126" s="736">
        <v>-9881147537</v>
      </c>
      <c r="N126" s="737">
        <v>4284969190</v>
      </c>
    </row>
    <row r="127" spans="3:14" x14ac:dyDescent="0.3">
      <c r="C127" s="733" t="s">
        <v>1007</v>
      </c>
      <c r="D127" s="736">
        <v>-1097976173</v>
      </c>
      <c r="E127" s="737">
        <v>-1099937856</v>
      </c>
      <c r="K127" s="733" t="s">
        <v>1008</v>
      </c>
      <c r="L127" s="736">
        <v>3957990249</v>
      </c>
      <c r="M127" s="736">
        <v>-2579245727</v>
      </c>
      <c r="N127" s="737">
        <v>573686044</v>
      </c>
    </row>
    <row r="128" spans="3:14" x14ac:dyDescent="0.3">
      <c r="C128" s="733" t="s">
        <v>1009</v>
      </c>
      <c r="D128" s="736">
        <v>6033848512</v>
      </c>
      <c r="E128" s="737">
        <v>328145037</v>
      </c>
      <c r="K128" s="733" t="s">
        <v>1010</v>
      </c>
      <c r="L128" s="736">
        <v>1668113492</v>
      </c>
      <c r="M128" s="736">
        <v>-5015993209</v>
      </c>
      <c r="N128" s="737">
        <v>-726009545</v>
      </c>
    </row>
    <row r="129" spans="3:14" x14ac:dyDescent="0.3">
      <c r="C129" s="733" t="s">
        <v>1011</v>
      </c>
      <c r="D129" s="736">
        <v>-1793360765</v>
      </c>
      <c r="E129" s="737">
        <v>-2460326038</v>
      </c>
      <c r="K129" s="733" t="s">
        <v>1012</v>
      </c>
      <c r="L129" s="736">
        <v>-2978325133</v>
      </c>
      <c r="M129" s="736">
        <v>-663981350</v>
      </c>
      <c r="N129" s="737">
        <v>-63642913</v>
      </c>
    </row>
    <row r="130" spans="3:14" x14ac:dyDescent="0.3">
      <c r="C130" s="733" t="s">
        <v>1013</v>
      </c>
      <c r="D130" s="736">
        <v>-285289937</v>
      </c>
      <c r="E130" s="737">
        <v>45204571</v>
      </c>
      <c r="K130" s="733" t="s">
        <v>1014</v>
      </c>
      <c r="L130" s="736">
        <v>-3362914377</v>
      </c>
      <c r="M130" s="736">
        <v>-464598854</v>
      </c>
      <c r="N130" s="735">
        <v>0</v>
      </c>
    </row>
    <row r="131" spans="3:14" x14ac:dyDescent="0.3">
      <c r="C131" s="733" t="s">
        <v>1015</v>
      </c>
      <c r="D131" s="736">
        <v>-755890876</v>
      </c>
      <c r="E131" s="737">
        <v>-824503605</v>
      </c>
      <c r="K131" s="733" t="s">
        <v>1016</v>
      </c>
      <c r="L131" s="736">
        <v>36002657</v>
      </c>
      <c r="M131" s="736">
        <v>-129900515</v>
      </c>
      <c r="N131" s="737">
        <v>-51752226</v>
      </c>
    </row>
    <row r="132" spans="3:14" x14ac:dyDescent="0.3">
      <c r="C132" s="733" t="s">
        <v>1017</v>
      </c>
      <c r="D132" s="736">
        <v>250669035</v>
      </c>
      <c r="E132" s="735">
        <v>0</v>
      </c>
      <c r="K132" s="733" t="s">
        <v>1018</v>
      </c>
      <c r="L132" s="736">
        <v>-2500000000</v>
      </c>
      <c r="M132" s="736">
        <v>-3000000000</v>
      </c>
      <c r="N132" s="735">
        <v>0</v>
      </c>
    </row>
    <row r="133" spans="3:14" x14ac:dyDescent="0.3">
      <c r="C133" s="733" t="s">
        <v>1019</v>
      </c>
      <c r="D133" s="736">
        <v>-1727306810</v>
      </c>
      <c r="E133" s="737">
        <v>-2177736957</v>
      </c>
      <c r="K133" s="733" t="s">
        <v>1020</v>
      </c>
      <c r="L133" s="736">
        <v>-2201045457</v>
      </c>
      <c r="M133" s="736">
        <v>-3078634994</v>
      </c>
      <c r="N133" s="737">
        <v>-209315502</v>
      </c>
    </row>
    <row r="134" spans="3:14" x14ac:dyDescent="0.3">
      <c r="C134" s="733" t="s">
        <v>1021</v>
      </c>
      <c r="D134" s="736">
        <v>279890177</v>
      </c>
      <c r="E134" s="737">
        <v>477924987</v>
      </c>
      <c r="K134" s="733" t="s">
        <v>1022</v>
      </c>
      <c r="L134" s="736">
        <v>297162580</v>
      </c>
      <c r="M134" s="736">
        <v>419681901</v>
      </c>
      <c r="N134" s="737">
        <v>2895548</v>
      </c>
    </row>
    <row r="135" spans="3:14" x14ac:dyDescent="0.3">
      <c r="C135" s="733" t="s">
        <v>1023</v>
      </c>
      <c r="D135" s="736">
        <v>-3219957238</v>
      </c>
      <c r="E135" s="737">
        <v>771960674</v>
      </c>
      <c r="K135" s="733" t="s">
        <v>1024</v>
      </c>
      <c r="L135" s="736">
        <v>574523068</v>
      </c>
      <c r="M135" s="736">
        <v>-2848817123</v>
      </c>
      <c r="N135" s="737">
        <v>-3797456</v>
      </c>
    </row>
    <row r="136" spans="3:14" x14ac:dyDescent="0.3">
      <c r="C136" s="733" t="s">
        <v>1025</v>
      </c>
      <c r="D136" s="736">
        <v>-5273435060</v>
      </c>
      <c r="E136" s="737">
        <v>-7369178168</v>
      </c>
      <c r="K136" s="733" t="s">
        <v>1025</v>
      </c>
      <c r="L136" s="736">
        <v>-11875528543</v>
      </c>
      <c r="M136" s="736">
        <v>-11878839736</v>
      </c>
      <c r="N136" s="737">
        <v>-574524457</v>
      </c>
    </row>
    <row r="137" spans="3:14" x14ac:dyDescent="0.3">
      <c r="C137" s="733" t="s">
        <v>1026</v>
      </c>
      <c r="D137" s="736">
        <v>-2000000000</v>
      </c>
      <c r="E137" s="735">
        <v>0</v>
      </c>
      <c r="K137" s="733" t="s">
        <v>1027</v>
      </c>
      <c r="L137" s="736">
        <v>-11500449110</v>
      </c>
      <c r="M137" s="736">
        <v>-12321513952</v>
      </c>
      <c r="N137" s="737">
        <v>-564276257</v>
      </c>
    </row>
    <row r="138" spans="3:14" x14ac:dyDescent="0.3">
      <c r="C138" s="733" t="s">
        <v>1028</v>
      </c>
      <c r="D138" s="736">
        <v>5150000000</v>
      </c>
      <c r="E138" s="735">
        <v>0</v>
      </c>
      <c r="K138" s="733" t="s">
        <v>1029</v>
      </c>
      <c r="L138" s="736">
        <v>163637437</v>
      </c>
      <c r="M138" s="736">
        <v>1233405799</v>
      </c>
      <c r="N138" s="735">
        <v>0</v>
      </c>
    </row>
    <row r="139" spans="3:14" x14ac:dyDescent="0.3">
      <c r="C139" s="733" t="s">
        <v>1030</v>
      </c>
      <c r="D139" s="736">
        <v>-8370383655</v>
      </c>
      <c r="E139" s="737">
        <v>-7184185827</v>
      </c>
      <c r="K139" s="733" t="s">
        <v>1031</v>
      </c>
      <c r="L139" s="736">
        <v>-539442870</v>
      </c>
      <c r="M139" s="736">
        <v>-141102833</v>
      </c>
      <c r="N139" s="737">
        <v>-10248200</v>
      </c>
    </row>
    <row r="140" spans="3:14" x14ac:dyDescent="0.3">
      <c r="C140" s="733" t="s">
        <v>1032</v>
      </c>
      <c r="D140" s="736">
        <v>255691823</v>
      </c>
      <c r="E140" s="737">
        <v>9710238</v>
      </c>
      <c r="K140" s="733" t="s">
        <v>1033</v>
      </c>
      <c r="L140" s="736">
        <v>726000</v>
      </c>
      <c r="M140" s="734">
        <v>0</v>
      </c>
      <c r="N140" s="735">
        <v>0</v>
      </c>
    </row>
    <row r="141" spans="3:14" x14ac:dyDescent="0.3">
      <c r="C141" s="733" t="s">
        <v>1034</v>
      </c>
      <c r="D141" s="736">
        <v>-308743228</v>
      </c>
      <c r="E141" s="737">
        <v>726000</v>
      </c>
      <c r="K141" s="733" t="s">
        <v>1035</v>
      </c>
      <c r="L141" s="734">
        <v>0</v>
      </c>
      <c r="M141" s="736">
        <v>-649628750</v>
      </c>
      <c r="N141" s="735">
        <v>0</v>
      </c>
    </row>
    <row r="142" spans="3:14" x14ac:dyDescent="0.3">
      <c r="C142" s="733" t="s">
        <v>1036</v>
      </c>
      <c r="D142" s="734">
        <v>0</v>
      </c>
      <c r="E142" s="737">
        <v>-191901390</v>
      </c>
      <c r="K142" s="733" t="s">
        <v>1037</v>
      </c>
      <c r="L142" s="734">
        <v>0</v>
      </c>
      <c r="M142" s="734">
        <v>0</v>
      </c>
      <c r="N142" s="735">
        <v>0</v>
      </c>
    </row>
    <row r="143" spans="3:14" x14ac:dyDescent="0.3">
      <c r="C143" s="733" t="s">
        <v>1038</v>
      </c>
      <c r="D143" s="734">
        <v>0</v>
      </c>
      <c r="E143" s="735">
        <v>0</v>
      </c>
      <c r="K143" s="733" t="s">
        <v>1039</v>
      </c>
      <c r="L143" s="736">
        <v>-22498948221</v>
      </c>
      <c r="M143" s="736">
        <v>12288682888</v>
      </c>
      <c r="N143" s="737">
        <v>-3037622661</v>
      </c>
    </row>
    <row r="144" spans="3:14" x14ac:dyDescent="0.3">
      <c r="C144" s="733" t="s">
        <v>1040</v>
      </c>
      <c r="D144" s="734">
        <v>0</v>
      </c>
      <c r="E144" s="737">
        <v>-3527189</v>
      </c>
      <c r="K144" s="733" t="s">
        <v>1041</v>
      </c>
      <c r="L144" s="736">
        <v>19493020000</v>
      </c>
      <c r="M144" s="736">
        <v>50475272038</v>
      </c>
      <c r="N144" s="735">
        <v>0</v>
      </c>
    </row>
    <row r="145" spans="3:14" x14ac:dyDescent="0.3">
      <c r="C145" s="733" t="s">
        <v>1039</v>
      </c>
      <c r="D145" s="736">
        <v>-8460997376</v>
      </c>
      <c r="E145" s="737">
        <v>-18662339315</v>
      </c>
      <c r="K145" s="733" t="s">
        <v>1042</v>
      </c>
      <c r="L145" s="736">
        <v>-44671549321</v>
      </c>
      <c r="M145" s="736">
        <v>-19488000000</v>
      </c>
      <c r="N145" s="737">
        <v>-2016749037</v>
      </c>
    </row>
    <row r="146" spans="3:14" x14ac:dyDescent="0.3">
      <c r="C146" s="733" t="s">
        <v>1041</v>
      </c>
      <c r="D146" s="734">
        <v>0</v>
      </c>
      <c r="E146" s="737">
        <v>20528774643</v>
      </c>
      <c r="K146" s="733" t="s">
        <v>1043</v>
      </c>
      <c r="L146" s="736">
        <v>13783166200</v>
      </c>
      <c r="M146" s="736">
        <v>13196381634</v>
      </c>
      <c r="N146" s="735">
        <v>0</v>
      </c>
    </row>
    <row r="147" spans="3:14" x14ac:dyDescent="0.3">
      <c r="C147" s="733" t="s">
        <v>1042</v>
      </c>
      <c r="D147" s="736">
        <v>-6042500000</v>
      </c>
      <c r="E147" s="737">
        <v>-41078506215</v>
      </c>
      <c r="K147" s="733" t="s">
        <v>1044</v>
      </c>
      <c r="L147" s="734">
        <v>0</v>
      </c>
      <c r="M147" s="736">
        <v>-950000000</v>
      </c>
      <c r="N147" s="735">
        <v>0</v>
      </c>
    </row>
    <row r="148" spans="3:14" x14ac:dyDescent="0.3">
      <c r="C148" s="733" t="s">
        <v>1043</v>
      </c>
      <c r="D148" s="736">
        <v>2300113600</v>
      </c>
      <c r="E148" s="737">
        <v>13448152000</v>
      </c>
      <c r="K148" s="733" t="s">
        <v>1045</v>
      </c>
      <c r="L148" s="736">
        <v>-10000000000</v>
      </c>
      <c r="M148" s="736">
        <v>-30223165714</v>
      </c>
      <c r="N148" s="737">
        <v>-950000000</v>
      </c>
    </row>
    <row r="149" spans="3:14" x14ac:dyDescent="0.3">
      <c r="C149" s="733" t="s">
        <v>1044</v>
      </c>
      <c r="D149" s="734">
        <v>0</v>
      </c>
      <c r="E149" s="737">
        <v>-457174643</v>
      </c>
      <c r="K149" s="733" t="s">
        <v>1046</v>
      </c>
      <c r="L149" s="734">
        <v>0</v>
      </c>
      <c r="M149" s="734">
        <v>0</v>
      </c>
      <c r="N149" s="737">
        <v>-70873624</v>
      </c>
    </row>
    <row r="150" spans="3:14" x14ac:dyDescent="0.3">
      <c r="C150" s="733" t="s">
        <v>1047</v>
      </c>
      <c r="D150" s="736">
        <v>-3394308856</v>
      </c>
      <c r="E150" s="737">
        <v>-10000000000</v>
      </c>
      <c r="K150" s="733" t="s">
        <v>1048</v>
      </c>
      <c r="L150" s="734">
        <v>0</v>
      </c>
      <c r="M150" s="736">
        <v>-721805070</v>
      </c>
      <c r="N150" s="735">
        <v>0</v>
      </c>
    </row>
    <row r="151" spans="3:14" x14ac:dyDescent="0.3">
      <c r="C151" s="733" t="s">
        <v>1046</v>
      </c>
      <c r="D151" s="734">
        <v>0</v>
      </c>
      <c r="E151" s="735">
        <v>0</v>
      </c>
      <c r="K151" s="733" t="s">
        <v>1049</v>
      </c>
      <c r="L151" s="736">
        <v>-1103585100</v>
      </c>
      <c r="M151" s="734">
        <v>0</v>
      </c>
      <c r="N151" s="735">
        <v>0</v>
      </c>
    </row>
    <row r="152" spans="3:14" x14ac:dyDescent="0.3">
      <c r="C152" s="733" t="s">
        <v>1050</v>
      </c>
      <c r="D152" s="734">
        <v>0</v>
      </c>
      <c r="E152" s="735">
        <v>0</v>
      </c>
      <c r="K152" s="733" t="s">
        <v>1051</v>
      </c>
      <c r="L152" s="736">
        <v>-2143456335</v>
      </c>
      <c r="M152" s="736">
        <v>29288856781</v>
      </c>
      <c r="N152" s="737">
        <v>-3052711161</v>
      </c>
    </row>
    <row r="153" spans="3:14" x14ac:dyDescent="0.3">
      <c r="C153" s="733" t="s">
        <v>1049</v>
      </c>
      <c r="D153" s="736">
        <v>-1324302120</v>
      </c>
      <c r="E153" s="737">
        <v>-1103585100</v>
      </c>
      <c r="K153" s="733" t="s">
        <v>1052</v>
      </c>
      <c r="L153" s="736">
        <v>40037204912</v>
      </c>
      <c r="M153" s="736">
        <v>10748348131</v>
      </c>
      <c r="N153" s="737">
        <v>13801059292</v>
      </c>
    </row>
    <row r="154" spans="3:14" x14ac:dyDescent="0.3">
      <c r="C154" s="733" t="s">
        <v>1053</v>
      </c>
      <c r="D154" s="736">
        <v>8995444323</v>
      </c>
      <c r="E154" s="737">
        <v>7750346346</v>
      </c>
      <c r="K154" s="733" t="s">
        <v>1054</v>
      </c>
      <c r="L154" s="736">
        <v>-190791174</v>
      </c>
      <c r="M154" s="736">
        <v>-605834927</v>
      </c>
      <c r="N154" s="737">
        <v>-75798217</v>
      </c>
    </row>
    <row r="155" spans="3:14" x14ac:dyDescent="0.3">
      <c r="C155" s="733" t="s">
        <v>1055</v>
      </c>
      <c r="D155" s="736">
        <v>-892264</v>
      </c>
      <c r="E155" s="737">
        <v>-826194486</v>
      </c>
      <c r="K155" s="738" t="s">
        <v>1056</v>
      </c>
      <c r="L155" s="739">
        <v>37893748577</v>
      </c>
      <c r="M155" s="739">
        <v>40037204912</v>
      </c>
      <c r="N155" s="740">
        <v>10748348131</v>
      </c>
    </row>
    <row r="156" spans="3:14" x14ac:dyDescent="0.3">
      <c r="C156" s="733" t="s">
        <v>1057</v>
      </c>
      <c r="D156" s="736">
        <v>37893748576</v>
      </c>
      <c r="E156" s="737">
        <v>40037204912</v>
      </c>
    </row>
    <row r="157" spans="3:14" x14ac:dyDescent="0.3">
      <c r="C157" s="738" t="s">
        <v>1056</v>
      </c>
      <c r="D157" s="739">
        <v>46888300635</v>
      </c>
      <c r="E157" s="740">
        <v>46961356772</v>
      </c>
    </row>
  </sheetData>
  <mergeCells count="3">
    <mergeCell ref="C61:C62"/>
    <mergeCell ref="D61:E61"/>
    <mergeCell ref="F61:G61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T184"/>
  <sheetViews>
    <sheetView zoomScale="85" zoomScaleNormal="85" workbookViewId="0">
      <selection activeCell="D8" sqref="D8"/>
    </sheetView>
  </sheetViews>
  <sheetFormatPr defaultColWidth="9" defaultRowHeight="16.5" x14ac:dyDescent="0.3"/>
  <cols>
    <col min="1" max="1" width="1.75" style="153" customWidth="1"/>
    <col min="2" max="2" width="9" style="153"/>
    <col min="3" max="3" width="25.125" style="153" customWidth="1"/>
    <col min="4" max="5" width="15.25" style="153" bestFit="1" customWidth="1"/>
    <col min="6" max="7" width="14" style="153" bestFit="1" customWidth="1"/>
    <col min="8" max="11" width="9" style="153"/>
    <col min="12" max="12" width="41.625" style="153" bestFit="1" customWidth="1"/>
    <col min="13" max="13" width="15" style="153" bestFit="1" customWidth="1"/>
    <col min="14" max="14" width="14.25" style="153" bestFit="1" customWidth="1"/>
    <col min="15" max="15" width="15" style="153" bestFit="1" customWidth="1"/>
    <col min="16" max="16" width="11.5" style="153" bestFit="1" customWidth="1"/>
    <col min="17" max="18" width="12.5" style="153" bestFit="1" customWidth="1"/>
    <col min="19" max="20" width="13.5" style="153" bestFit="1" customWidth="1"/>
    <col min="21" max="16384" width="9" style="153"/>
  </cols>
  <sheetData>
    <row r="1" spans="2:5" x14ac:dyDescent="0.3">
      <c r="C1" s="536" t="s">
        <v>1058</v>
      </c>
    </row>
    <row r="2" spans="2:5" x14ac:dyDescent="0.3">
      <c r="B2" s="719" t="s">
        <v>870</v>
      </c>
      <c r="C2" s="720">
        <f>SUMIF($B$16:$B$51,B2,$D$16:D51)/10^6</f>
        <v>6635.6920440000004</v>
      </c>
    </row>
    <row r="3" spans="2:5" x14ac:dyDescent="0.3">
      <c r="B3" s="721" t="s">
        <v>855</v>
      </c>
      <c r="C3" s="720">
        <f>SUMIF($B$16:$B$51,B3,$D$16:D52)/10^6</f>
        <v>8234.0778480000008</v>
      </c>
    </row>
    <row r="4" spans="2:5" x14ac:dyDescent="0.3">
      <c r="B4" s="721" t="s">
        <v>922</v>
      </c>
      <c r="C4" s="722">
        <f>(E61+M61-G61)/10^6</f>
        <v>65340.808257999997</v>
      </c>
    </row>
    <row r="5" spans="2:5" x14ac:dyDescent="0.3">
      <c r="B5" s="721" t="s">
        <v>928</v>
      </c>
      <c r="C5" s="722">
        <f>(E65+M65-G65)/10^6</f>
        <v>1759.882957</v>
      </c>
    </row>
    <row r="6" spans="2:5" x14ac:dyDescent="0.3">
      <c r="B6" s="723" t="s">
        <v>1059</v>
      </c>
      <c r="C6" s="722">
        <f>(D182+S176-E182)/10^6</f>
        <v>4142.4883900000004</v>
      </c>
    </row>
    <row r="7" spans="2:5" x14ac:dyDescent="0.3">
      <c r="B7" s="721" t="s">
        <v>1060</v>
      </c>
      <c r="C7" s="722">
        <f>C5+C6</f>
        <v>5902.3713470000002</v>
      </c>
    </row>
    <row r="8" spans="2:5" x14ac:dyDescent="0.3">
      <c r="B8" s="721" t="s">
        <v>900</v>
      </c>
      <c r="C8" s="720">
        <f>SUMIF($B$16:$B$51,B8,$D$16:D57)/10^6</f>
        <v>101447.57442</v>
      </c>
    </row>
    <row r="9" spans="2:5" x14ac:dyDescent="0.3">
      <c r="B9" s="724" t="s">
        <v>861</v>
      </c>
      <c r="C9" s="725">
        <f>(E72+M72-G72)/10^6</f>
        <v>3293.7638059999999</v>
      </c>
    </row>
    <row r="11" spans="2:5" x14ac:dyDescent="0.3">
      <c r="C11" s="741" t="s">
        <v>862</v>
      </c>
      <c r="D11" s="727"/>
      <c r="E11" s="727"/>
    </row>
    <row r="12" spans="2:5" x14ac:dyDescent="0.3">
      <c r="C12" s="742" t="s">
        <v>1061</v>
      </c>
      <c r="D12" s="727"/>
      <c r="E12" s="727"/>
    </row>
    <row r="13" spans="2:5" x14ac:dyDescent="0.3">
      <c r="C13" s="742" t="s">
        <v>1062</v>
      </c>
      <c r="D13" s="727"/>
      <c r="E13" s="727"/>
    </row>
    <row r="14" spans="2:5" x14ac:dyDescent="0.3">
      <c r="C14" s="729" t="s">
        <v>865</v>
      </c>
      <c r="D14" s="727"/>
      <c r="E14" s="727"/>
    </row>
    <row r="15" spans="2:5" x14ac:dyDescent="0.3">
      <c r="C15" s="730"/>
      <c r="D15" s="731" t="s">
        <v>1063</v>
      </c>
      <c r="E15" s="732" t="s">
        <v>1064</v>
      </c>
    </row>
    <row r="16" spans="2:5" x14ac:dyDescent="0.3">
      <c r="C16" s="733" t="s">
        <v>868</v>
      </c>
      <c r="D16" s="734"/>
      <c r="E16" s="735"/>
    </row>
    <row r="17" spans="2:5" x14ac:dyDescent="0.3">
      <c r="C17" s="733" t="s">
        <v>1065</v>
      </c>
      <c r="D17" s="736">
        <v>34497928396</v>
      </c>
      <c r="E17" s="737">
        <v>22036090111</v>
      </c>
    </row>
    <row r="18" spans="2:5" x14ac:dyDescent="0.3">
      <c r="B18" s="153" t="s">
        <v>870</v>
      </c>
      <c r="C18" s="733" t="s">
        <v>1066</v>
      </c>
      <c r="D18" s="736">
        <v>3617836768</v>
      </c>
      <c r="E18" s="737">
        <v>2771947652</v>
      </c>
    </row>
    <row r="19" spans="2:5" x14ac:dyDescent="0.3">
      <c r="B19" s="153" t="s">
        <v>870</v>
      </c>
      <c r="C19" s="733" t="s">
        <v>1067</v>
      </c>
      <c r="D19" s="736">
        <v>14255276</v>
      </c>
      <c r="E19" s="737">
        <v>1335883848</v>
      </c>
    </row>
    <row r="20" spans="2:5" x14ac:dyDescent="0.3">
      <c r="C20" s="733" t="s">
        <v>1068</v>
      </c>
      <c r="D20" s="736">
        <v>9803390947</v>
      </c>
      <c r="E20" s="737">
        <v>1804439050</v>
      </c>
    </row>
    <row r="21" spans="2:5" x14ac:dyDescent="0.3">
      <c r="C21" s="733" t="s">
        <v>1069</v>
      </c>
      <c r="D21" s="736">
        <v>6657927163</v>
      </c>
      <c r="E21" s="737">
        <v>4673346004</v>
      </c>
    </row>
    <row r="22" spans="2:5" x14ac:dyDescent="0.3">
      <c r="C22" s="733" t="s">
        <v>1070</v>
      </c>
      <c r="D22" s="736">
        <v>12598969374</v>
      </c>
      <c r="E22" s="737">
        <v>10052912439</v>
      </c>
    </row>
    <row r="23" spans="2:5" x14ac:dyDescent="0.3">
      <c r="C23" s="733" t="s">
        <v>1071</v>
      </c>
      <c r="D23" s="736">
        <v>1805548868</v>
      </c>
      <c r="E23" s="737">
        <v>1397561118</v>
      </c>
    </row>
    <row r="24" spans="2:5" x14ac:dyDescent="0.3">
      <c r="C24" s="733" t="s">
        <v>1072</v>
      </c>
      <c r="D24" s="736">
        <v>88130815783</v>
      </c>
      <c r="E24" s="737">
        <v>98330885113</v>
      </c>
    </row>
    <row r="25" spans="2:5" x14ac:dyDescent="0.3">
      <c r="B25" s="153" t="s">
        <v>870</v>
      </c>
      <c r="C25" s="733" t="s">
        <v>1073</v>
      </c>
      <c r="D25" s="736">
        <v>3003600000</v>
      </c>
      <c r="E25" s="737">
        <v>3003600000</v>
      </c>
    </row>
    <row r="26" spans="2:5" x14ac:dyDescent="0.3">
      <c r="C26" s="733" t="s">
        <v>1074</v>
      </c>
      <c r="D26" s="736">
        <v>51751634037</v>
      </c>
      <c r="E26" s="737">
        <v>60367415999</v>
      </c>
    </row>
    <row r="27" spans="2:5" x14ac:dyDescent="0.3">
      <c r="C27" s="733" t="s">
        <v>1075</v>
      </c>
      <c r="D27" s="736">
        <v>678241495</v>
      </c>
      <c r="E27" s="737">
        <v>719020387</v>
      </c>
    </row>
    <row r="28" spans="2:5" x14ac:dyDescent="0.3">
      <c r="C28" s="733" t="s">
        <v>1076</v>
      </c>
      <c r="D28" s="736">
        <v>27629698920</v>
      </c>
      <c r="E28" s="737">
        <v>29109969957</v>
      </c>
    </row>
    <row r="29" spans="2:5" x14ac:dyDescent="0.3">
      <c r="C29" s="733" t="s">
        <v>1077</v>
      </c>
      <c r="D29" s="736">
        <v>5067641331</v>
      </c>
      <c r="E29" s="737">
        <v>5130878770</v>
      </c>
    </row>
    <row r="30" spans="2:5" x14ac:dyDescent="0.3">
      <c r="C30" s="733" t="s">
        <v>884</v>
      </c>
      <c r="D30" s="736">
        <v>122628744179</v>
      </c>
      <c r="E30" s="737">
        <v>120366975224</v>
      </c>
    </row>
    <row r="31" spans="2:5" x14ac:dyDescent="0.3">
      <c r="C31" s="733" t="s">
        <v>885</v>
      </c>
      <c r="D31" s="734"/>
      <c r="E31" s="735"/>
    </row>
    <row r="32" spans="2:5" x14ac:dyDescent="0.3">
      <c r="C32" s="733" t="s">
        <v>1078</v>
      </c>
      <c r="D32" s="736">
        <v>12185226780</v>
      </c>
      <c r="E32" s="737">
        <v>9373386168</v>
      </c>
    </row>
    <row r="33" spans="2:5" x14ac:dyDescent="0.3">
      <c r="C33" s="733" t="s">
        <v>1079</v>
      </c>
      <c r="D33" s="736">
        <v>8679536575</v>
      </c>
      <c r="E33" s="737">
        <v>6660803467</v>
      </c>
    </row>
    <row r="34" spans="2:5" x14ac:dyDescent="0.3">
      <c r="B34" s="153" t="s">
        <v>855</v>
      </c>
      <c r="C34" s="733" t="s">
        <v>1080</v>
      </c>
      <c r="D34" s="736">
        <v>2156849500</v>
      </c>
      <c r="E34" s="737">
        <v>2248622500</v>
      </c>
    </row>
    <row r="35" spans="2:5" x14ac:dyDescent="0.3">
      <c r="C35" s="733" t="s">
        <v>1081</v>
      </c>
      <c r="D35" s="736">
        <v>699488131</v>
      </c>
      <c r="E35" s="737">
        <v>137482426</v>
      </c>
    </row>
    <row r="36" spans="2:5" x14ac:dyDescent="0.3">
      <c r="C36" s="733" t="s">
        <v>1082</v>
      </c>
      <c r="D36" s="736">
        <v>236083377</v>
      </c>
      <c r="E36" s="737">
        <v>236083377</v>
      </c>
    </row>
    <row r="37" spans="2:5" x14ac:dyDescent="0.3">
      <c r="C37" s="733" t="s">
        <v>1083</v>
      </c>
      <c r="D37" s="736">
        <v>413269197</v>
      </c>
      <c r="E37" s="737">
        <v>90394398</v>
      </c>
    </row>
    <row r="38" spans="2:5" x14ac:dyDescent="0.3">
      <c r="C38" s="733" t="s">
        <v>1084</v>
      </c>
      <c r="D38" s="736">
        <v>8475478250</v>
      </c>
      <c r="E38" s="737">
        <v>9374769718</v>
      </c>
    </row>
    <row r="39" spans="2:5" x14ac:dyDescent="0.3">
      <c r="B39" s="153" t="s">
        <v>855</v>
      </c>
      <c r="C39" s="733" t="s">
        <v>1080</v>
      </c>
      <c r="D39" s="736">
        <v>6077228348</v>
      </c>
      <c r="E39" s="737">
        <v>6736683144</v>
      </c>
    </row>
    <row r="40" spans="2:5" x14ac:dyDescent="0.3">
      <c r="C40" s="733" t="s">
        <v>1085</v>
      </c>
      <c r="D40" s="736">
        <v>687821474</v>
      </c>
      <c r="E40" s="737">
        <v>441859271</v>
      </c>
    </row>
    <row r="41" spans="2:5" x14ac:dyDescent="0.3">
      <c r="C41" s="733" t="s">
        <v>1086</v>
      </c>
      <c r="D41" s="736">
        <v>1710428428</v>
      </c>
      <c r="E41" s="737">
        <v>2196227303</v>
      </c>
    </row>
    <row r="42" spans="2:5" x14ac:dyDescent="0.3">
      <c r="C42" s="733" t="s">
        <v>898</v>
      </c>
      <c r="D42" s="736">
        <v>20660705030</v>
      </c>
      <c r="E42" s="737">
        <v>18748155886</v>
      </c>
    </row>
    <row r="43" spans="2:5" x14ac:dyDescent="0.3">
      <c r="C43" s="733" t="s">
        <v>899</v>
      </c>
      <c r="D43" s="734"/>
      <c r="E43" s="735"/>
    </row>
    <row r="44" spans="2:5" x14ac:dyDescent="0.3">
      <c r="B44" s="153" t="s">
        <v>900</v>
      </c>
      <c r="C44" s="733" t="s">
        <v>1087</v>
      </c>
      <c r="D44" s="736">
        <v>101447574420</v>
      </c>
      <c r="E44" s="737">
        <v>101060539883</v>
      </c>
    </row>
    <row r="45" spans="2:5" x14ac:dyDescent="0.3">
      <c r="C45" s="733" t="s">
        <v>1088</v>
      </c>
      <c r="D45" s="736">
        <v>3500000000</v>
      </c>
      <c r="E45" s="737">
        <v>3500000000</v>
      </c>
    </row>
    <row r="46" spans="2:5" x14ac:dyDescent="0.3">
      <c r="C46" s="733" t="s">
        <v>1089</v>
      </c>
      <c r="D46" s="736">
        <v>15324960000</v>
      </c>
      <c r="E46" s="737">
        <v>15324960000</v>
      </c>
    </row>
    <row r="47" spans="2:5" x14ac:dyDescent="0.3">
      <c r="C47" s="733" t="s">
        <v>1090</v>
      </c>
      <c r="D47" s="736">
        <v>2031703444</v>
      </c>
      <c r="E47" s="737">
        <v>4187193949</v>
      </c>
    </row>
    <row r="48" spans="2:5" x14ac:dyDescent="0.3">
      <c r="C48" s="733" t="s">
        <v>1091</v>
      </c>
      <c r="D48" s="736">
        <v>80590910976</v>
      </c>
      <c r="E48" s="737">
        <v>78048385934</v>
      </c>
    </row>
    <row r="49" spans="2:15" x14ac:dyDescent="0.3">
      <c r="C49" s="733" t="s">
        <v>1092</v>
      </c>
      <c r="D49" s="736">
        <v>520464729</v>
      </c>
      <c r="E49" s="737">
        <v>558279455</v>
      </c>
    </row>
    <row r="50" spans="2:15" x14ac:dyDescent="0.3">
      <c r="C50" s="733" t="s">
        <v>907</v>
      </c>
      <c r="D50" s="736">
        <v>101968039149</v>
      </c>
      <c r="E50" s="737">
        <v>101618819338</v>
      </c>
    </row>
    <row r="51" spans="2:15" x14ac:dyDescent="0.3">
      <c r="C51" s="738" t="s">
        <v>908</v>
      </c>
      <c r="D51" s="739">
        <v>122628744179</v>
      </c>
      <c r="E51" s="740">
        <v>120366975224</v>
      </c>
    </row>
    <row r="55" spans="2:15" x14ac:dyDescent="0.3">
      <c r="C55" s="741" t="s">
        <v>909</v>
      </c>
      <c r="D55" s="727"/>
      <c r="E55" s="727"/>
      <c r="F55" s="727"/>
      <c r="G55" s="727"/>
      <c r="L55" s="741" t="s">
        <v>909</v>
      </c>
      <c r="M55" s="727"/>
      <c r="N55" s="727"/>
      <c r="O55" s="727"/>
    </row>
    <row r="56" spans="2:15" x14ac:dyDescent="0.3">
      <c r="C56" s="742" t="s">
        <v>1093</v>
      </c>
      <c r="D56" s="727"/>
      <c r="E56" s="727"/>
      <c r="F56" s="727"/>
      <c r="G56" s="727"/>
      <c r="L56" s="742" t="s">
        <v>1094</v>
      </c>
      <c r="M56" s="727"/>
      <c r="N56" s="727"/>
      <c r="O56" s="727"/>
    </row>
    <row r="57" spans="2:15" x14ac:dyDescent="0.3">
      <c r="C57" s="742" t="s">
        <v>1095</v>
      </c>
      <c r="D57" s="727"/>
      <c r="E57" s="727"/>
      <c r="F57" s="727"/>
      <c r="G57" s="727"/>
      <c r="L57" s="742" t="s">
        <v>1096</v>
      </c>
      <c r="M57" s="727"/>
      <c r="N57" s="727"/>
      <c r="O57" s="727"/>
    </row>
    <row r="58" spans="2:15" x14ac:dyDescent="0.3">
      <c r="C58" s="729" t="s">
        <v>865</v>
      </c>
      <c r="D58" s="727"/>
      <c r="E58" s="727"/>
      <c r="F58" s="727"/>
      <c r="G58" s="727"/>
      <c r="L58" s="742" t="s">
        <v>1097</v>
      </c>
      <c r="M58" s="727"/>
      <c r="N58" s="727"/>
      <c r="O58" s="727"/>
    </row>
    <row r="59" spans="2:15" x14ac:dyDescent="0.3">
      <c r="C59" s="1952"/>
      <c r="D59" s="1954" t="s">
        <v>1098</v>
      </c>
      <c r="E59" s="1955"/>
      <c r="F59" s="1954" t="s">
        <v>1099</v>
      </c>
      <c r="G59" s="1956"/>
      <c r="L59" s="729" t="s">
        <v>865</v>
      </c>
      <c r="M59" s="727"/>
      <c r="N59" s="727"/>
      <c r="O59" s="727"/>
    </row>
    <row r="60" spans="2:15" x14ac:dyDescent="0.3">
      <c r="C60" s="1953"/>
      <c r="D60" s="743" t="s">
        <v>917</v>
      </c>
      <c r="E60" s="743" t="s">
        <v>918</v>
      </c>
      <c r="F60" s="743" t="s">
        <v>917</v>
      </c>
      <c r="G60" s="744" t="s">
        <v>918</v>
      </c>
      <c r="L60" s="730"/>
      <c r="M60" s="731" t="s">
        <v>1100</v>
      </c>
      <c r="N60" s="731" t="s">
        <v>1101</v>
      </c>
      <c r="O60" s="732" t="s">
        <v>1102</v>
      </c>
    </row>
    <row r="61" spans="2:15" x14ac:dyDescent="0.3">
      <c r="B61" s="153" t="s">
        <v>922</v>
      </c>
      <c r="C61" s="733" t="s">
        <v>1103</v>
      </c>
      <c r="D61" s="736">
        <v>17729823453</v>
      </c>
      <c r="E61" s="736">
        <v>51722326890</v>
      </c>
      <c r="F61" s="736">
        <v>13492851177</v>
      </c>
      <c r="G61" s="737">
        <v>45402362883</v>
      </c>
      <c r="L61" s="733" t="s">
        <v>1103</v>
      </c>
      <c r="M61" s="736">
        <v>59020844251</v>
      </c>
      <c r="N61" s="736">
        <v>75674178111</v>
      </c>
      <c r="O61" s="737">
        <v>73255073806</v>
      </c>
    </row>
    <row r="62" spans="2:15" x14ac:dyDescent="0.3">
      <c r="C62" s="733" t="s">
        <v>1104</v>
      </c>
      <c r="D62" s="736">
        <v>15939787917</v>
      </c>
      <c r="E62" s="736">
        <v>46827109514</v>
      </c>
      <c r="F62" s="736">
        <v>12725435688</v>
      </c>
      <c r="G62" s="737">
        <v>40884636107</v>
      </c>
      <c r="L62" s="733" t="s">
        <v>1104</v>
      </c>
      <c r="M62" s="736">
        <v>53687075749</v>
      </c>
      <c r="N62" s="736">
        <v>65051516424</v>
      </c>
      <c r="O62" s="737">
        <v>68291245047</v>
      </c>
    </row>
    <row r="63" spans="2:15" x14ac:dyDescent="0.3">
      <c r="C63" s="733" t="s">
        <v>1105</v>
      </c>
      <c r="D63" s="736">
        <v>1790035536</v>
      </c>
      <c r="E63" s="736">
        <v>4895217376</v>
      </c>
      <c r="F63" s="736">
        <v>767415489</v>
      </c>
      <c r="G63" s="737">
        <v>4517726776</v>
      </c>
      <c r="L63" s="733" t="s">
        <v>1105</v>
      </c>
      <c r="M63" s="736">
        <v>5333768502</v>
      </c>
      <c r="N63" s="736">
        <v>10622661687</v>
      </c>
      <c r="O63" s="737">
        <v>4963828759</v>
      </c>
    </row>
    <row r="64" spans="2:15" x14ac:dyDescent="0.3">
      <c r="C64" s="733" t="s">
        <v>1106</v>
      </c>
      <c r="D64" s="736">
        <v>1056869026</v>
      </c>
      <c r="E64" s="736">
        <v>2987218114</v>
      </c>
      <c r="F64" s="736">
        <v>916015467</v>
      </c>
      <c r="G64" s="737">
        <v>2801182069</v>
      </c>
      <c r="L64" s="733" t="s">
        <v>1106</v>
      </c>
      <c r="M64" s="736">
        <v>3765340100</v>
      </c>
      <c r="N64" s="736">
        <v>4024015379</v>
      </c>
      <c r="O64" s="737">
        <v>4063898779</v>
      </c>
    </row>
    <row r="65" spans="2:15" x14ac:dyDescent="0.3">
      <c r="B65" s="153" t="s">
        <v>1107</v>
      </c>
      <c r="C65" s="733" t="s">
        <v>1108</v>
      </c>
      <c r="D65" s="736">
        <v>733166510</v>
      </c>
      <c r="E65" s="736">
        <v>1907999262</v>
      </c>
      <c r="F65" s="736">
        <v>-148599978</v>
      </c>
      <c r="G65" s="737">
        <v>1716544707</v>
      </c>
      <c r="L65" s="733" t="s">
        <v>1108</v>
      </c>
      <c r="M65" s="736">
        <v>1568428402</v>
      </c>
      <c r="N65" s="736">
        <v>6598646308</v>
      </c>
      <c r="O65" s="737">
        <v>899929980</v>
      </c>
    </row>
    <row r="66" spans="2:15" x14ac:dyDescent="0.3">
      <c r="C66" s="733" t="s">
        <v>1109</v>
      </c>
      <c r="D66" s="736">
        <v>277397551</v>
      </c>
      <c r="E66" s="736">
        <v>909370805</v>
      </c>
      <c r="F66" s="736">
        <v>395836705</v>
      </c>
      <c r="G66" s="737">
        <v>982672817</v>
      </c>
      <c r="L66" s="733" t="s">
        <v>1110</v>
      </c>
      <c r="M66" s="736">
        <v>3244758449</v>
      </c>
      <c r="N66" s="736">
        <v>5068982206</v>
      </c>
      <c r="O66" s="737">
        <v>8855382722</v>
      </c>
    </row>
    <row r="67" spans="2:15" x14ac:dyDescent="0.3">
      <c r="C67" s="733" t="s">
        <v>1111</v>
      </c>
      <c r="D67" s="736">
        <v>158162982</v>
      </c>
      <c r="E67" s="736">
        <v>456464074</v>
      </c>
      <c r="F67" s="736">
        <v>216353582</v>
      </c>
      <c r="G67" s="737">
        <v>269155987</v>
      </c>
      <c r="L67" s="733" t="s">
        <v>1112</v>
      </c>
      <c r="M67" s="736">
        <v>1177565029</v>
      </c>
      <c r="N67" s="736">
        <v>858726590</v>
      </c>
      <c r="O67" s="737">
        <v>1022074186</v>
      </c>
    </row>
    <row r="68" spans="2:15" x14ac:dyDescent="0.3">
      <c r="C68" s="733" t="s">
        <v>1110</v>
      </c>
      <c r="D68" s="736">
        <v>749570574</v>
      </c>
      <c r="E68" s="736">
        <v>2284831934</v>
      </c>
      <c r="F68" s="736">
        <v>711806062</v>
      </c>
      <c r="G68" s="737">
        <v>2724365389</v>
      </c>
      <c r="L68" s="733" t="s">
        <v>1113</v>
      </c>
      <c r="M68" s="736">
        <v>947257585</v>
      </c>
      <c r="N68" s="736">
        <v>2068140086</v>
      </c>
      <c r="O68" s="737">
        <v>1665057043</v>
      </c>
    </row>
    <row r="69" spans="2:15" x14ac:dyDescent="0.3">
      <c r="C69" s="733" t="s">
        <v>1114</v>
      </c>
      <c r="D69" s="736">
        <v>136764411</v>
      </c>
      <c r="E69" s="736">
        <v>597795691</v>
      </c>
      <c r="F69" s="736">
        <v>244206713</v>
      </c>
      <c r="G69" s="737">
        <v>861349540</v>
      </c>
      <c r="L69" s="733" t="s">
        <v>1115</v>
      </c>
      <c r="M69" s="736">
        <v>529477281</v>
      </c>
      <c r="N69" s="736">
        <v>512006076</v>
      </c>
      <c r="O69" s="737">
        <v>95816961</v>
      </c>
    </row>
    <row r="70" spans="2:15" x14ac:dyDescent="0.3">
      <c r="C70" s="733" t="s">
        <v>1116</v>
      </c>
      <c r="D70" s="736">
        <v>1465207242</v>
      </c>
      <c r="E70" s="736">
        <v>4047942236</v>
      </c>
      <c r="F70" s="736">
        <v>498482494</v>
      </c>
      <c r="G70" s="737">
        <v>4293077386</v>
      </c>
      <c r="L70" s="733" t="s">
        <v>1116</v>
      </c>
      <c r="M70" s="736">
        <v>4514017014</v>
      </c>
      <c r="N70" s="736">
        <v>9946208942</v>
      </c>
      <c r="O70" s="737">
        <v>9016512884</v>
      </c>
    </row>
    <row r="71" spans="2:15" x14ac:dyDescent="0.3">
      <c r="C71" s="733" t="s">
        <v>1117</v>
      </c>
      <c r="D71" s="736">
        <v>355734914</v>
      </c>
      <c r="E71" s="736">
        <v>889030244</v>
      </c>
      <c r="F71" s="736">
        <v>50613036</v>
      </c>
      <c r="G71" s="737">
        <v>743407404</v>
      </c>
      <c r="L71" s="733" t="s">
        <v>1117</v>
      </c>
      <c r="M71" s="736">
        <v>829495218</v>
      </c>
      <c r="N71" s="736">
        <v>1938756772</v>
      </c>
      <c r="O71" s="737">
        <v>1546084431</v>
      </c>
    </row>
    <row r="72" spans="2:15" x14ac:dyDescent="0.3">
      <c r="B72" s="153" t="s">
        <v>1118</v>
      </c>
      <c r="C72" s="733" t="s">
        <v>1119</v>
      </c>
      <c r="D72" s="736">
        <v>1109472328</v>
      </c>
      <c r="E72" s="736">
        <v>3158911992</v>
      </c>
      <c r="F72" s="736">
        <v>447869458</v>
      </c>
      <c r="G72" s="737">
        <v>3549669982</v>
      </c>
      <c r="L72" s="733" t="s">
        <v>1119</v>
      </c>
      <c r="M72" s="736">
        <v>3684521796</v>
      </c>
      <c r="N72" s="736">
        <v>8007452170</v>
      </c>
      <c r="O72" s="737">
        <v>7470428453</v>
      </c>
    </row>
    <row r="73" spans="2:15" x14ac:dyDescent="0.3">
      <c r="C73" s="733" t="s">
        <v>1120</v>
      </c>
      <c r="D73" s="736">
        <v>-1082782735</v>
      </c>
      <c r="E73" s="736">
        <v>-1663657181</v>
      </c>
      <c r="F73" s="736">
        <v>594384600</v>
      </c>
      <c r="G73" s="737">
        <v>2553424645</v>
      </c>
      <c r="L73" s="733" t="s">
        <v>1121</v>
      </c>
      <c r="M73" s="736">
        <v>3603308117</v>
      </c>
      <c r="N73" s="736">
        <v>7867343905</v>
      </c>
      <c r="O73" s="737">
        <v>7491416061</v>
      </c>
    </row>
    <row r="74" spans="2:15" x14ac:dyDescent="0.3">
      <c r="C74" s="733" t="s">
        <v>1122</v>
      </c>
      <c r="D74" s="736">
        <v>-1747865</v>
      </c>
      <c r="E74" s="736">
        <v>-5291676</v>
      </c>
      <c r="F74" s="736">
        <v>1449497</v>
      </c>
      <c r="G74" s="737">
        <v>-2795311</v>
      </c>
      <c r="L74" s="733" t="s">
        <v>1123</v>
      </c>
      <c r="M74" s="736">
        <v>81213679</v>
      </c>
      <c r="N74" s="736">
        <v>140108265</v>
      </c>
      <c r="O74" s="737">
        <v>-20987608</v>
      </c>
    </row>
    <row r="75" spans="2:15" x14ac:dyDescent="0.3">
      <c r="C75" s="733" t="s">
        <v>1124</v>
      </c>
      <c r="D75" s="736">
        <v>-2240853</v>
      </c>
      <c r="E75" s="736">
        <v>-6784200</v>
      </c>
      <c r="F75" s="736">
        <v>1858329</v>
      </c>
      <c r="G75" s="737">
        <v>-3583733</v>
      </c>
      <c r="L75" s="733" t="s">
        <v>1120</v>
      </c>
      <c r="M75" s="736">
        <v>2715665630</v>
      </c>
      <c r="N75" s="736">
        <v>-1056517100</v>
      </c>
      <c r="O75" s="737">
        <v>333428445</v>
      </c>
    </row>
    <row r="76" spans="2:15" x14ac:dyDescent="0.3">
      <c r="C76" s="733" t="s">
        <v>1125</v>
      </c>
      <c r="D76" s="736">
        <v>492988</v>
      </c>
      <c r="E76" s="736">
        <v>1492524</v>
      </c>
      <c r="F76" s="736">
        <v>-408832</v>
      </c>
      <c r="G76" s="737">
        <v>788422</v>
      </c>
      <c r="L76" s="733" t="s">
        <v>1126</v>
      </c>
      <c r="M76" s="734"/>
      <c r="N76" s="734"/>
      <c r="O76" s="735"/>
    </row>
    <row r="77" spans="2:15" x14ac:dyDescent="0.3">
      <c r="C77" s="733" t="s">
        <v>1127</v>
      </c>
      <c r="D77" s="736">
        <v>-1081034870</v>
      </c>
      <c r="E77" s="736">
        <v>-1658365505</v>
      </c>
      <c r="F77" s="736">
        <v>592935103</v>
      </c>
      <c r="G77" s="737">
        <v>2556219956</v>
      </c>
      <c r="L77" s="733" t="s">
        <v>1128</v>
      </c>
      <c r="M77" s="736">
        <v>11168786</v>
      </c>
      <c r="N77" s="736">
        <v>-28252319</v>
      </c>
      <c r="O77" s="737">
        <v>-35267684</v>
      </c>
    </row>
    <row r="78" spans="2:15" x14ac:dyDescent="0.3">
      <c r="C78" s="733" t="s">
        <v>1129</v>
      </c>
      <c r="D78" s="736">
        <v>-1330171263</v>
      </c>
      <c r="E78" s="736">
        <v>-1907868936</v>
      </c>
      <c r="F78" s="736">
        <v>841804978</v>
      </c>
      <c r="G78" s="737">
        <v>3118617566</v>
      </c>
      <c r="L78" s="733" t="s">
        <v>1125</v>
      </c>
      <c r="M78" s="736">
        <v>-2457133</v>
      </c>
      <c r="N78" s="736">
        <v>6215510</v>
      </c>
      <c r="O78" s="735"/>
    </row>
    <row r="79" spans="2:15" x14ac:dyDescent="0.3">
      <c r="C79" s="733" t="s">
        <v>1125</v>
      </c>
      <c r="D79" s="736">
        <v>292637678</v>
      </c>
      <c r="E79" s="736">
        <v>419731166</v>
      </c>
      <c r="F79" s="736">
        <v>-185197095</v>
      </c>
      <c r="G79" s="737">
        <v>-686095863</v>
      </c>
      <c r="L79" s="733" t="s">
        <v>1130</v>
      </c>
      <c r="M79" s="734"/>
      <c r="N79" s="734"/>
      <c r="O79" s="735"/>
    </row>
    <row r="80" spans="2:15" x14ac:dyDescent="0.3">
      <c r="C80" s="733" t="s">
        <v>1131</v>
      </c>
      <c r="D80" s="736">
        <v>-43501285</v>
      </c>
      <c r="E80" s="736">
        <v>-170227735</v>
      </c>
      <c r="F80" s="736">
        <v>-63672780</v>
      </c>
      <c r="G80" s="737">
        <v>123698253</v>
      </c>
      <c r="L80" s="733" t="s">
        <v>1132</v>
      </c>
      <c r="M80" s="736">
        <v>2840936265</v>
      </c>
      <c r="N80" s="736">
        <v>-1050150737</v>
      </c>
      <c r="O80" s="737">
        <v>401195369</v>
      </c>
    </row>
    <row r="81" spans="3:15" x14ac:dyDescent="0.3">
      <c r="C81" s="733" t="s">
        <v>1133</v>
      </c>
      <c r="D81" s="736">
        <v>26689593</v>
      </c>
      <c r="E81" s="736">
        <v>1495254811</v>
      </c>
      <c r="F81" s="736">
        <v>1042254058</v>
      </c>
      <c r="G81" s="737">
        <v>6103094627</v>
      </c>
      <c r="L81" s="733" t="s">
        <v>1125</v>
      </c>
      <c r="M81" s="736">
        <v>-625005978</v>
      </c>
      <c r="N81" s="736">
        <v>231033162</v>
      </c>
      <c r="O81" s="735"/>
    </row>
    <row r="82" spans="3:15" x14ac:dyDescent="0.3">
      <c r="C82" s="733" t="s">
        <v>1134</v>
      </c>
      <c r="D82" s="734"/>
      <c r="E82" s="734"/>
      <c r="F82" s="734"/>
      <c r="G82" s="735"/>
      <c r="L82" s="733" t="s">
        <v>1135</v>
      </c>
      <c r="M82" s="736">
        <v>491023690</v>
      </c>
      <c r="N82" s="736">
        <v>-215362716</v>
      </c>
      <c r="O82" s="737">
        <v>-32499240</v>
      </c>
    </row>
    <row r="83" spans="3:15" x14ac:dyDescent="0.3">
      <c r="C83" s="733" t="s">
        <v>1136</v>
      </c>
      <c r="D83" s="736">
        <v>1105799448</v>
      </c>
      <c r="E83" s="736">
        <v>3108900525</v>
      </c>
      <c r="F83" s="736">
        <v>443422259</v>
      </c>
      <c r="G83" s="737">
        <v>3480178059</v>
      </c>
      <c r="L83" s="733" t="s">
        <v>1133</v>
      </c>
      <c r="M83" s="736">
        <v>6400187426</v>
      </c>
      <c r="N83" s="736">
        <v>6950935070</v>
      </c>
      <c r="O83" s="737">
        <v>7803856898</v>
      </c>
    </row>
    <row r="84" spans="3:15" x14ac:dyDescent="0.3">
      <c r="C84" s="733" t="s">
        <v>1137</v>
      </c>
      <c r="D84" s="736">
        <v>3672880</v>
      </c>
      <c r="E84" s="736">
        <v>50011467</v>
      </c>
      <c r="F84" s="736">
        <v>4447199</v>
      </c>
      <c r="G84" s="737">
        <v>69491923</v>
      </c>
      <c r="L84" s="733" t="s">
        <v>1138</v>
      </c>
      <c r="M84" s="734"/>
      <c r="N84" s="734"/>
      <c r="O84" s="735"/>
    </row>
    <row r="85" spans="3:15" x14ac:dyDescent="0.3">
      <c r="C85" s="733" t="s">
        <v>1139</v>
      </c>
      <c r="D85" s="734"/>
      <c r="E85" s="734"/>
      <c r="F85" s="734"/>
      <c r="G85" s="735"/>
      <c r="L85" s="733" t="s">
        <v>1121</v>
      </c>
      <c r="M85" s="736">
        <v>6314063510</v>
      </c>
      <c r="N85" s="736">
        <v>6812980432</v>
      </c>
      <c r="O85" s="737">
        <v>7824519514</v>
      </c>
    </row>
    <row r="86" spans="3:15" x14ac:dyDescent="0.3">
      <c r="C86" s="733" t="s">
        <v>1140</v>
      </c>
      <c r="D86" s="736">
        <v>23451725</v>
      </c>
      <c r="E86" s="736">
        <v>1446945621</v>
      </c>
      <c r="F86" s="736">
        <v>1038443586</v>
      </c>
      <c r="G86" s="737">
        <v>6032365722</v>
      </c>
      <c r="L86" s="733" t="s">
        <v>1141</v>
      </c>
      <c r="M86" s="736">
        <v>86123916</v>
      </c>
      <c r="N86" s="736">
        <v>137954638</v>
      </c>
      <c r="O86" s="737">
        <v>-20662616</v>
      </c>
    </row>
    <row r="87" spans="3:15" x14ac:dyDescent="0.3">
      <c r="C87" s="733" t="s">
        <v>1142</v>
      </c>
      <c r="D87" s="736">
        <v>3237868</v>
      </c>
      <c r="E87" s="736">
        <v>48309190</v>
      </c>
      <c r="F87" s="736">
        <v>3810472</v>
      </c>
      <c r="G87" s="737">
        <v>70728905</v>
      </c>
      <c r="L87" s="733" t="s">
        <v>1143</v>
      </c>
      <c r="M87" s="734"/>
      <c r="N87" s="734"/>
      <c r="O87" s="735"/>
    </row>
    <row r="88" spans="3:15" x14ac:dyDescent="0.3">
      <c r="C88" s="733" t="s">
        <v>1143</v>
      </c>
      <c r="D88" s="734"/>
      <c r="E88" s="734"/>
      <c r="F88" s="734"/>
      <c r="G88" s="735"/>
      <c r="L88" s="738" t="s">
        <v>1144</v>
      </c>
      <c r="M88" s="745">
        <v>549</v>
      </c>
      <c r="N88" s="739">
        <v>1150</v>
      </c>
      <c r="O88" s="740">
        <v>1080</v>
      </c>
    </row>
    <row r="89" spans="3:15" x14ac:dyDescent="0.3">
      <c r="C89" s="733" t="s">
        <v>1144</v>
      </c>
      <c r="D89" s="734">
        <v>171</v>
      </c>
      <c r="E89" s="734">
        <v>482</v>
      </c>
      <c r="F89" s="734">
        <v>72</v>
      </c>
      <c r="G89" s="735">
        <v>529</v>
      </c>
    </row>
    <row r="90" spans="3:15" x14ac:dyDescent="0.3">
      <c r="C90" s="738" t="s">
        <v>1145</v>
      </c>
      <c r="D90" s="745">
        <v>171</v>
      </c>
      <c r="E90" s="745">
        <v>482</v>
      </c>
      <c r="F90" s="745">
        <v>72</v>
      </c>
      <c r="G90" s="746">
        <v>529</v>
      </c>
    </row>
    <row r="94" spans="3:15" x14ac:dyDescent="0.3">
      <c r="C94" s="741" t="s">
        <v>971</v>
      </c>
      <c r="D94" s="727"/>
      <c r="E94" s="727"/>
      <c r="L94" s="741" t="s">
        <v>971</v>
      </c>
      <c r="M94" s="727"/>
      <c r="N94" s="727"/>
      <c r="O94" s="727"/>
    </row>
    <row r="95" spans="3:15" x14ac:dyDescent="0.3">
      <c r="C95" s="742" t="s">
        <v>1093</v>
      </c>
      <c r="D95" s="727"/>
      <c r="E95" s="727"/>
      <c r="L95" s="742" t="s">
        <v>1094</v>
      </c>
      <c r="M95" s="727"/>
      <c r="N95" s="727"/>
      <c r="O95" s="727"/>
    </row>
    <row r="96" spans="3:15" x14ac:dyDescent="0.3">
      <c r="C96" s="742" t="s">
        <v>1095</v>
      </c>
      <c r="D96" s="727"/>
      <c r="E96" s="727"/>
      <c r="L96" s="742" t="s">
        <v>1096</v>
      </c>
      <c r="M96" s="727"/>
      <c r="N96" s="727"/>
      <c r="O96" s="727"/>
    </row>
    <row r="97" spans="3:15" x14ac:dyDescent="0.3">
      <c r="C97" s="729" t="s">
        <v>865</v>
      </c>
      <c r="D97" s="727"/>
      <c r="E97" s="727"/>
      <c r="L97" s="742" t="s">
        <v>1097</v>
      </c>
      <c r="M97" s="727"/>
      <c r="N97" s="727"/>
      <c r="O97" s="727"/>
    </row>
    <row r="98" spans="3:15" x14ac:dyDescent="0.3">
      <c r="C98" s="730"/>
      <c r="D98" s="731" t="s">
        <v>1098</v>
      </c>
      <c r="E98" s="732" t="s">
        <v>1099</v>
      </c>
      <c r="L98" s="729" t="s">
        <v>865</v>
      </c>
      <c r="M98" s="727"/>
      <c r="N98" s="727"/>
      <c r="O98" s="727"/>
    </row>
    <row r="99" spans="3:15" x14ac:dyDescent="0.3">
      <c r="C99" s="733" t="s">
        <v>1146</v>
      </c>
      <c r="D99" s="736">
        <v>2954577064</v>
      </c>
      <c r="E99" s="737">
        <v>4440683256</v>
      </c>
      <c r="L99" s="730"/>
      <c r="M99" s="731" t="s">
        <v>1100</v>
      </c>
      <c r="N99" s="731" t="s">
        <v>1101</v>
      </c>
      <c r="O99" s="732" t="s">
        <v>1102</v>
      </c>
    </row>
    <row r="100" spans="3:15" x14ac:dyDescent="0.3">
      <c r="C100" s="733" t="s">
        <v>1147</v>
      </c>
      <c r="D100" s="736">
        <v>3158911992</v>
      </c>
      <c r="E100" s="737">
        <v>3549669982</v>
      </c>
      <c r="L100" s="733" t="s">
        <v>1146</v>
      </c>
      <c r="M100" s="736">
        <v>4955976925</v>
      </c>
      <c r="N100" s="736">
        <v>7420451715</v>
      </c>
      <c r="O100" s="737">
        <v>6736414113</v>
      </c>
    </row>
    <row r="101" spans="3:15" x14ac:dyDescent="0.3">
      <c r="C101" s="733" t="s">
        <v>1148</v>
      </c>
      <c r="D101" s="736">
        <v>1061942269</v>
      </c>
      <c r="E101" s="737">
        <v>1210664960</v>
      </c>
      <c r="L101" s="733" t="s">
        <v>1149</v>
      </c>
      <c r="M101" s="736">
        <v>3684521796</v>
      </c>
      <c r="N101" s="736">
        <v>8007452170</v>
      </c>
      <c r="O101" s="737">
        <v>7470428453</v>
      </c>
    </row>
    <row r="102" spans="3:15" x14ac:dyDescent="0.3">
      <c r="C102" s="733" t="s">
        <v>1150</v>
      </c>
      <c r="D102" s="736">
        <v>-2604341799</v>
      </c>
      <c r="E102" s="737">
        <v>-1323214942</v>
      </c>
      <c r="L102" s="733" t="s">
        <v>1151</v>
      </c>
      <c r="M102" s="736">
        <v>1821609407</v>
      </c>
      <c r="N102" s="736">
        <v>1022377567</v>
      </c>
      <c r="O102" s="737">
        <v>-2069411812</v>
      </c>
    </row>
    <row r="103" spans="3:15" x14ac:dyDescent="0.3">
      <c r="C103" s="733" t="s">
        <v>1152</v>
      </c>
      <c r="D103" s="736">
        <v>1318130493</v>
      </c>
      <c r="E103" s="737">
        <v>2551130486</v>
      </c>
      <c r="L103" s="733" t="s">
        <v>1153</v>
      </c>
      <c r="M103" s="736">
        <v>829495218</v>
      </c>
      <c r="N103" s="736">
        <v>1938756772</v>
      </c>
      <c r="O103" s="737">
        <v>1546084431</v>
      </c>
    </row>
    <row r="104" spans="3:15" x14ac:dyDescent="0.3">
      <c r="C104" s="733" t="s">
        <v>1154</v>
      </c>
      <c r="D104" s="736">
        <v>543196987</v>
      </c>
      <c r="E104" s="737">
        <v>64711800</v>
      </c>
      <c r="L104" s="733" t="s">
        <v>1155</v>
      </c>
      <c r="M104" s="736">
        <v>-1844703136</v>
      </c>
      <c r="N104" s="736">
        <v>-2420054704</v>
      </c>
      <c r="O104" s="737">
        <v>-2711943002</v>
      </c>
    </row>
    <row r="105" spans="3:15" x14ac:dyDescent="0.3">
      <c r="C105" s="733" t="s">
        <v>1156</v>
      </c>
      <c r="D105" s="736">
        <v>-157760057</v>
      </c>
      <c r="E105" s="737">
        <v>-135200723</v>
      </c>
      <c r="L105" s="733" t="s">
        <v>1157</v>
      </c>
      <c r="M105" s="736">
        <v>-416794310</v>
      </c>
      <c r="N105" s="736">
        <v>-127853000</v>
      </c>
      <c r="O105" s="737">
        <v>-125889750</v>
      </c>
    </row>
    <row r="106" spans="3:15" x14ac:dyDescent="0.3">
      <c r="C106" s="733" t="s">
        <v>1158</v>
      </c>
      <c r="D106" s="736">
        <v>-365502821</v>
      </c>
      <c r="E106" s="737">
        <v>-1477078307</v>
      </c>
      <c r="L106" s="733" t="s">
        <v>1159</v>
      </c>
      <c r="M106" s="736">
        <v>182487208</v>
      </c>
      <c r="N106" s="736">
        <v>215974158</v>
      </c>
      <c r="O106" s="737">
        <v>154339214</v>
      </c>
    </row>
    <row r="107" spans="3:15" x14ac:dyDescent="0.3">
      <c r="C107" s="733" t="s">
        <v>1160</v>
      </c>
      <c r="D107" s="736">
        <v>-308227680</v>
      </c>
      <c r="E107" s="737">
        <v>562859207</v>
      </c>
      <c r="L107" s="733" t="s">
        <v>1161</v>
      </c>
      <c r="M107" s="736">
        <v>423889120</v>
      </c>
      <c r="N107" s="736">
        <v>368564470</v>
      </c>
      <c r="O107" s="737">
        <v>399627269</v>
      </c>
    </row>
    <row r="108" spans="3:15" x14ac:dyDescent="0.3">
      <c r="C108" s="733" t="s">
        <v>1162</v>
      </c>
      <c r="D108" s="736">
        <v>1822024635</v>
      </c>
      <c r="E108" s="737">
        <v>16517323275</v>
      </c>
      <c r="L108" s="733" t="s">
        <v>1163</v>
      </c>
      <c r="M108" s="736">
        <v>2767912073</v>
      </c>
      <c r="N108" s="736">
        <v>1851116400</v>
      </c>
      <c r="O108" s="737">
        <v>1744216084</v>
      </c>
    </row>
    <row r="109" spans="3:15" x14ac:dyDescent="0.3">
      <c r="C109" s="733" t="s">
        <v>1164</v>
      </c>
      <c r="D109" s="736">
        <v>500000000</v>
      </c>
      <c r="E109" s="737">
        <v>4106016898</v>
      </c>
      <c r="L109" s="733" t="s">
        <v>1165</v>
      </c>
      <c r="M109" s="736">
        <v>78719537</v>
      </c>
      <c r="N109" s="736">
        <v>53667600</v>
      </c>
      <c r="O109" s="737">
        <v>56336591</v>
      </c>
    </row>
    <row r="110" spans="3:15" x14ac:dyDescent="0.3">
      <c r="C110" s="733" t="s">
        <v>1166</v>
      </c>
      <c r="D110" s="736">
        <v>2888491</v>
      </c>
      <c r="E110" s="737">
        <v>1469010</v>
      </c>
      <c r="L110" s="733" t="s">
        <v>1167</v>
      </c>
      <c r="M110" s="736">
        <v>-42844254</v>
      </c>
      <c r="N110" s="736">
        <v>-42909935</v>
      </c>
      <c r="O110" s="737">
        <v>-118043887</v>
      </c>
    </row>
    <row r="111" spans="3:15" x14ac:dyDescent="0.3">
      <c r="C111" s="733" t="s">
        <v>1168</v>
      </c>
      <c r="D111" s="734"/>
      <c r="E111" s="737">
        <v>50000000</v>
      </c>
      <c r="L111" s="733" t="s">
        <v>1169</v>
      </c>
      <c r="M111" s="736">
        <v>80988701</v>
      </c>
      <c r="N111" s="736">
        <v>123718635</v>
      </c>
      <c r="O111" s="737">
        <v>110916028</v>
      </c>
    </row>
    <row r="112" spans="3:15" x14ac:dyDescent="0.3">
      <c r="C112" s="733" t="s">
        <v>1170</v>
      </c>
      <c r="D112" s="736">
        <v>238773183</v>
      </c>
      <c r="E112" s="737">
        <v>76118182</v>
      </c>
      <c r="L112" s="733" t="s">
        <v>1171</v>
      </c>
      <c r="M112" s="736">
        <v>-171456538</v>
      </c>
      <c r="N112" s="736">
        <v>-1212626272</v>
      </c>
      <c r="O112" s="737">
        <v>-2123781125</v>
      </c>
    </row>
    <row r="113" spans="3:15" x14ac:dyDescent="0.3">
      <c r="C113" s="733" t="s">
        <v>1172</v>
      </c>
      <c r="D113" s="736">
        <v>63237439</v>
      </c>
      <c r="E113" s="737">
        <v>190909090</v>
      </c>
      <c r="L113" s="733" t="s">
        <v>1173</v>
      </c>
      <c r="M113" s="736">
        <v>34492266</v>
      </c>
      <c r="N113" s="736">
        <v>176954482</v>
      </c>
      <c r="O113" s="737">
        <v>462323214</v>
      </c>
    </row>
    <row r="114" spans="3:15" x14ac:dyDescent="0.3">
      <c r="C114" s="733" t="s">
        <v>1174</v>
      </c>
      <c r="D114" s="736">
        <v>38278892</v>
      </c>
      <c r="E114" s="735"/>
      <c r="L114" s="733" t="s">
        <v>1175</v>
      </c>
      <c r="M114" s="734"/>
      <c r="N114" s="736">
        <v>-399723974</v>
      </c>
      <c r="O114" s="737">
        <v>-1456047583</v>
      </c>
    </row>
    <row r="115" spans="3:15" x14ac:dyDescent="0.3">
      <c r="C115" s="733" t="s">
        <v>1176</v>
      </c>
      <c r="D115" s="736">
        <v>1325300000</v>
      </c>
      <c r="E115" s="737">
        <v>589474788</v>
      </c>
      <c r="L115" s="733" t="s">
        <v>1177</v>
      </c>
      <c r="M115" s="734"/>
      <c r="N115" s="736">
        <v>337917650</v>
      </c>
      <c r="O115" s="735"/>
    </row>
    <row r="116" spans="3:15" x14ac:dyDescent="0.3">
      <c r="C116" s="733" t="s">
        <v>1178</v>
      </c>
      <c r="D116" s="736">
        <v>-500396063</v>
      </c>
      <c r="E116" s="737">
        <v>-1554711260</v>
      </c>
      <c r="L116" s="733" t="s">
        <v>1179</v>
      </c>
      <c r="M116" s="734"/>
      <c r="N116" s="736">
        <v>-219000</v>
      </c>
      <c r="O116" s="735"/>
    </row>
    <row r="117" spans="3:15" x14ac:dyDescent="0.3">
      <c r="C117" s="733" t="s">
        <v>1180</v>
      </c>
      <c r="D117" s="734"/>
      <c r="E117" s="737">
        <v>-1500950000</v>
      </c>
      <c r="L117" s="733" t="s">
        <v>1181</v>
      </c>
      <c r="M117" s="736">
        <v>-96883007</v>
      </c>
      <c r="N117" s="734"/>
      <c r="O117" s="737">
        <v>1980704</v>
      </c>
    </row>
    <row r="118" spans="3:15" x14ac:dyDescent="0.3">
      <c r="C118" s="733" t="s">
        <v>1182</v>
      </c>
      <c r="D118" s="734"/>
      <c r="E118" s="737">
        <v>-3000000000</v>
      </c>
      <c r="L118" s="733" t="s">
        <v>1183</v>
      </c>
      <c r="M118" s="736">
        <v>-14410825</v>
      </c>
      <c r="N118" s="736">
        <v>-231026</v>
      </c>
      <c r="O118" s="735"/>
    </row>
    <row r="119" spans="3:15" x14ac:dyDescent="0.3">
      <c r="C119" s="733" t="s">
        <v>1184</v>
      </c>
      <c r="D119" s="736">
        <v>-3131488871</v>
      </c>
      <c r="E119" s="737">
        <v>-12869041053</v>
      </c>
      <c r="L119" s="733" t="s">
        <v>1185</v>
      </c>
      <c r="M119" s="734"/>
      <c r="N119" s="736">
        <v>97402700</v>
      </c>
      <c r="O119" s="735"/>
    </row>
    <row r="120" spans="3:15" x14ac:dyDescent="0.3">
      <c r="C120" s="733" t="s">
        <v>1186</v>
      </c>
      <c r="D120" s="736">
        <v>-666845386</v>
      </c>
      <c r="E120" s="737">
        <v>-2038078719</v>
      </c>
      <c r="L120" s="733" t="s">
        <v>1187</v>
      </c>
      <c r="M120" s="736">
        <v>10717354</v>
      </c>
      <c r="N120" s="734"/>
      <c r="O120" s="735"/>
    </row>
    <row r="121" spans="3:15" x14ac:dyDescent="0.3">
      <c r="C121" s="733" t="s">
        <v>1188</v>
      </c>
      <c r="D121" s="734"/>
      <c r="E121" s="737">
        <v>-5671004</v>
      </c>
      <c r="L121" s="733" t="s">
        <v>1189</v>
      </c>
      <c r="M121" s="734"/>
      <c r="N121" s="736">
        <v>61922611</v>
      </c>
      <c r="O121" s="735"/>
    </row>
    <row r="122" spans="3:15" x14ac:dyDescent="0.3">
      <c r="C122" s="733" t="s">
        <v>1190</v>
      </c>
      <c r="D122" s="736">
        <v>-1805489796</v>
      </c>
      <c r="E122" s="737">
        <v>-3824001045</v>
      </c>
      <c r="L122" s="733" t="s">
        <v>1191</v>
      </c>
      <c r="M122" s="734"/>
      <c r="N122" s="734"/>
      <c r="O122" s="737">
        <v>4700000</v>
      </c>
    </row>
    <row r="123" spans="3:15" x14ac:dyDescent="0.3">
      <c r="C123" s="733" t="s">
        <v>1192</v>
      </c>
      <c r="D123" s="734"/>
      <c r="E123" s="737">
        <v>-287650000</v>
      </c>
      <c r="L123" s="733" t="s">
        <v>1193</v>
      </c>
      <c r="M123" s="734"/>
      <c r="N123" s="734"/>
      <c r="O123" s="737">
        <v>-14230000</v>
      </c>
    </row>
    <row r="124" spans="3:15" x14ac:dyDescent="0.3">
      <c r="C124" s="733" t="s">
        <v>1194</v>
      </c>
      <c r="D124" s="736">
        <v>-659454796</v>
      </c>
      <c r="E124" s="737">
        <v>-448058385</v>
      </c>
      <c r="L124" s="733" t="s">
        <v>1195</v>
      </c>
      <c r="M124" s="736">
        <v>-1767403295</v>
      </c>
      <c r="N124" s="736">
        <v>-2325344849</v>
      </c>
      <c r="O124" s="737">
        <v>107267010</v>
      </c>
    </row>
    <row r="125" spans="3:15" x14ac:dyDescent="0.3">
      <c r="C125" s="733" t="s">
        <v>1196</v>
      </c>
      <c r="D125" s="736">
        <v>-497125000</v>
      </c>
      <c r="E125" s="737">
        <v>-2012683540</v>
      </c>
      <c r="L125" s="733" t="s">
        <v>1197</v>
      </c>
      <c r="M125" s="736">
        <v>846361146</v>
      </c>
      <c r="N125" s="736">
        <v>569529879</v>
      </c>
      <c r="O125" s="737">
        <v>73518379</v>
      </c>
    </row>
    <row r="126" spans="3:15" x14ac:dyDescent="0.3">
      <c r="C126" s="733" t="s">
        <v>1198</v>
      </c>
      <c r="D126" s="736">
        <v>-648910000</v>
      </c>
      <c r="E126" s="737">
        <v>-1075609120</v>
      </c>
      <c r="L126" s="733" t="s">
        <v>1199</v>
      </c>
      <c r="M126" s="736">
        <v>-300667723</v>
      </c>
      <c r="N126" s="736">
        <v>-469964822</v>
      </c>
      <c r="O126" s="737">
        <v>-841464198</v>
      </c>
    </row>
    <row r="127" spans="3:15" x14ac:dyDescent="0.3">
      <c r="C127" s="733" t="s">
        <v>1200</v>
      </c>
      <c r="D127" s="736">
        <v>5029528</v>
      </c>
      <c r="E127" s="737">
        <v>-6618206</v>
      </c>
      <c r="L127" s="733" t="s">
        <v>1201</v>
      </c>
      <c r="M127" s="736">
        <v>-2023437131</v>
      </c>
      <c r="N127" s="736">
        <v>-2049746646</v>
      </c>
      <c r="O127" s="737">
        <v>1504259669</v>
      </c>
    </row>
    <row r="128" spans="3:15" x14ac:dyDescent="0.3">
      <c r="C128" s="733" t="s">
        <v>1202</v>
      </c>
      <c r="D128" s="736">
        <v>845889116</v>
      </c>
      <c r="E128" s="737">
        <v>1172923212</v>
      </c>
      <c r="L128" s="733" t="s">
        <v>1203</v>
      </c>
      <c r="M128" s="734"/>
      <c r="N128" s="734"/>
      <c r="O128" s="737">
        <v>-45011348</v>
      </c>
    </row>
    <row r="129" spans="3:15" x14ac:dyDescent="0.3">
      <c r="C129" s="733" t="s">
        <v>1204</v>
      </c>
      <c r="D129" s="736">
        <v>2771947652</v>
      </c>
      <c r="E129" s="737">
        <v>4385745063</v>
      </c>
      <c r="L129" s="733" t="s">
        <v>1205</v>
      </c>
      <c r="M129" s="736">
        <v>-22811523</v>
      </c>
      <c r="N129" s="734"/>
      <c r="O129" s="735"/>
    </row>
    <row r="130" spans="3:15" x14ac:dyDescent="0.3">
      <c r="C130" s="738" t="s">
        <v>1206</v>
      </c>
      <c r="D130" s="739">
        <v>3617836768</v>
      </c>
      <c r="E130" s="740">
        <v>5558668275</v>
      </c>
      <c r="L130" s="733" t="s">
        <v>1207</v>
      </c>
      <c r="M130" s="736">
        <v>-226793140</v>
      </c>
      <c r="N130" s="736">
        <v>-375163260</v>
      </c>
      <c r="O130" s="737">
        <v>-584035492</v>
      </c>
    </row>
    <row r="131" spans="3:15" x14ac:dyDescent="0.3">
      <c r="L131" s="733" t="s">
        <v>1208</v>
      </c>
      <c r="M131" s="736">
        <v>-40054924</v>
      </c>
      <c r="N131" s="734"/>
      <c r="O131" s="735"/>
    </row>
    <row r="132" spans="3:15" x14ac:dyDescent="0.3">
      <c r="L132" s="733" t="s">
        <v>1209</v>
      </c>
      <c r="M132" s="736">
        <v>2691767950</v>
      </c>
      <c r="N132" s="736">
        <v>2495084771</v>
      </c>
      <c r="O132" s="737">
        <v>2467062710</v>
      </c>
    </row>
    <row r="133" spans="3:15" x14ac:dyDescent="0.3">
      <c r="L133" s="733" t="s">
        <v>1210</v>
      </c>
      <c r="M133" s="736">
        <v>416794310</v>
      </c>
      <c r="N133" s="736">
        <v>127853000</v>
      </c>
      <c r="O133" s="737">
        <v>125889750</v>
      </c>
    </row>
    <row r="134" spans="3:15" x14ac:dyDescent="0.3">
      <c r="L134" s="733" t="s">
        <v>1211</v>
      </c>
      <c r="M134" s="736">
        <v>-182579650</v>
      </c>
      <c r="N134" s="736">
        <v>-215234541</v>
      </c>
      <c r="O134" s="737">
        <v>-157736698</v>
      </c>
    </row>
    <row r="135" spans="3:15" x14ac:dyDescent="0.3">
      <c r="L135" s="733" t="s">
        <v>1212</v>
      </c>
      <c r="M135" s="736">
        <v>-1708733593</v>
      </c>
      <c r="N135" s="736">
        <v>-1691736403</v>
      </c>
      <c r="O135" s="737">
        <v>-1207085300</v>
      </c>
    </row>
    <row r="136" spans="3:15" x14ac:dyDescent="0.3">
      <c r="L136" s="733" t="s">
        <v>1160</v>
      </c>
      <c r="M136" s="736">
        <v>-4110540400</v>
      </c>
      <c r="N136" s="736">
        <v>-6639855966</v>
      </c>
      <c r="O136" s="737">
        <v>-9890792805</v>
      </c>
    </row>
    <row r="137" spans="3:15" x14ac:dyDescent="0.3">
      <c r="L137" s="733" t="s">
        <v>1213</v>
      </c>
      <c r="M137" s="736">
        <v>56752560697</v>
      </c>
      <c r="N137" s="736">
        <v>9472332344</v>
      </c>
      <c r="O137" s="737">
        <v>6566196600</v>
      </c>
    </row>
    <row r="138" spans="3:15" x14ac:dyDescent="0.3">
      <c r="L138" s="733" t="s">
        <v>1214</v>
      </c>
      <c r="M138" s="736">
        <v>7939613544</v>
      </c>
      <c r="N138" s="736">
        <v>4267346881</v>
      </c>
      <c r="O138" s="737">
        <v>10474694985</v>
      </c>
    </row>
    <row r="139" spans="3:15" x14ac:dyDescent="0.3">
      <c r="L139" s="733" t="s">
        <v>1215</v>
      </c>
      <c r="M139" s="736">
        <v>38087641</v>
      </c>
      <c r="N139" s="736">
        <v>47942139</v>
      </c>
      <c r="O139" s="737">
        <v>47434249</v>
      </c>
    </row>
    <row r="140" spans="3:15" x14ac:dyDescent="0.3">
      <c r="L140" s="733" t="s">
        <v>1216</v>
      </c>
      <c r="M140" s="734">
        <v>0</v>
      </c>
      <c r="N140" s="736">
        <v>300000000</v>
      </c>
      <c r="O140" s="735"/>
    </row>
    <row r="141" spans="3:15" x14ac:dyDescent="0.3">
      <c r="L141" s="733" t="s">
        <v>1174</v>
      </c>
      <c r="M141" s="736">
        <v>3000000</v>
      </c>
      <c r="N141" s="734"/>
      <c r="O141" s="735"/>
    </row>
    <row r="142" spans="3:15" x14ac:dyDescent="0.3">
      <c r="L142" s="733" t="s">
        <v>1172</v>
      </c>
      <c r="M142" s="736">
        <v>190909090</v>
      </c>
      <c r="N142" s="734"/>
      <c r="O142" s="735"/>
    </row>
    <row r="143" spans="3:15" x14ac:dyDescent="0.3">
      <c r="L143" s="733" t="s">
        <v>1170</v>
      </c>
      <c r="M143" s="736">
        <v>76118182</v>
      </c>
      <c r="N143" s="736">
        <v>152186158</v>
      </c>
      <c r="O143" s="735"/>
    </row>
    <row r="144" spans="3:15" x14ac:dyDescent="0.3">
      <c r="L144" s="733" t="s">
        <v>1217</v>
      </c>
      <c r="M144" s="736">
        <v>-43014881525</v>
      </c>
      <c r="N144" s="736">
        <v>-1507092353</v>
      </c>
      <c r="O144" s="737">
        <v>-20239618</v>
      </c>
    </row>
    <row r="145" spans="12:15" x14ac:dyDescent="0.3">
      <c r="L145" s="733" t="s">
        <v>1218</v>
      </c>
      <c r="M145" s="736">
        <v>-40712420</v>
      </c>
      <c r="N145" s="736">
        <v>-41298358</v>
      </c>
      <c r="O145" s="737">
        <v>-54700659</v>
      </c>
    </row>
    <row r="146" spans="12:15" x14ac:dyDescent="0.3">
      <c r="L146" s="733" t="s">
        <v>1219</v>
      </c>
      <c r="M146" s="736">
        <v>-6000000</v>
      </c>
      <c r="N146" s="734"/>
      <c r="O146" s="735"/>
    </row>
    <row r="147" spans="12:15" x14ac:dyDescent="0.3">
      <c r="L147" s="733" t="s">
        <v>1220</v>
      </c>
      <c r="M147" s="736">
        <v>-3000000000</v>
      </c>
      <c r="N147" s="736">
        <v>-3000000000</v>
      </c>
      <c r="O147" s="737">
        <v>-6550000000</v>
      </c>
    </row>
    <row r="148" spans="12:15" x14ac:dyDescent="0.3">
      <c r="L148" s="733" t="s">
        <v>1221</v>
      </c>
      <c r="M148" s="736">
        <v>-18333582911</v>
      </c>
      <c r="N148" s="736">
        <v>-7368275000</v>
      </c>
      <c r="O148" s="737">
        <v>-14254554209</v>
      </c>
    </row>
    <row r="149" spans="12:15" x14ac:dyDescent="0.3">
      <c r="L149" s="733" t="s">
        <v>1186</v>
      </c>
      <c r="M149" s="736">
        <v>-2417970682</v>
      </c>
      <c r="N149" s="736">
        <v>-8921819995</v>
      </c>
      <c r="O149" s="737">
        <v>-5856723185</v>
      </c>
    </row>
    <row r="150" spans="12:15" x14ac:dyDescent="0.3">
      <c r="L150" s="733" t="s">
        <v>1222</v>
      </c>
      <c r="M150" s="736">
        <v>-2275177691</v>
      </c>
      <c r="N150" s="734"/>
      <c r="O150" s="737">
        <v>-54100000</v>
      </c>
    </row>
    <row r="151" spans="12:15" x14ac:dyDescent="0.3">
      <c r="L151" s="733" t="s">
        <v>1188</v>
      </c>
      <c r="M151" s="736">
        <v>-22504325</v>
      </c>
      <c r="N151" s="736">
        <v>-41177782</v>
      </c>
      <c r="O151" s="737">
        <v>-188800968</v>
      </c>
    </row>
    <row r="152" spans="12:15" x14ac:dyDescent="0.3">
      <c r="L152" s="733" t="s">
        <v>1190</v>
      </c>
      <c r="M152" s="736">
        <v>-2462555925</v>
      </c>
      <c r="N152" s="736">
        <v>-2289872881</v>
      </c>
      <c r="O152" s="737">
        <v>2447664495</v>
      </c>
    </row>
    <row r="153" spans="12:15" x14ac:dyDescent="0.3">
      <c r="L153" s="733" t="s">
        <v>1223</v>
      </c>
      <c r="M153" s="736">
        <v>1213544935</v>
      </c>
      <c r="N153" s="736">
        <v>2455228209</v>
      </c>
      <c r="O153" s="737">
        <v>3862368345</v>
      </c>
    </row>
    <row r="154" spans="12:15" x14ac:dyDescent="0.3">
      <c r="L154" s="733" t="s">
        <v>1224</v>
      </c>
      <c r="M154" s="736">
        <v>147000000</v>
      </c>
      <c r="N154" s="734"/>
      <c r="O154" s="735"/>
    </row>
    <row r="155" spans="12:15" x14ac:dyDescent="0.3">
      <c r="L155" s="733" t="s">
        <v>1225</v>
      </c>
      <c r="M155" s="736">
        <v>6841800</v>
      </c>
      <c r="N155" s="734"/>
      <c r="O155" s="735"/>
    </row>
    <row r="156" spans="12:15" x14ac:dyDescent="0.3">
      <c r="L156" s="733" t="s">
        <v>1226</v>
      </c>
      <c r="M156" s="736">
        <v>-741650000</v>
      </c>
      <c r="N156" s="736">
        <v>-1820000000</v>
      </c>
      <c r="O156" s="737">
        <v>-319550000</v>
      </c>
    </row>
    <row r="157" spans="12:15" x14ac:dyDescent="0.3">
      <c r="L157" s="733" t="s">
        <v>1196</v>
      </c>
      <c r="M157" s="736">
        <v>-2012683540</v>
      </c>
      <c r="N157" s="736">
        <v>-1954331430</v>
      </c>
      <c r="O157" s="737">
        <v>-54196600</v>
      </c>
    </row>
    <row r="158" spans="12:15" x14ac:dyDescent="0.3">
      <c r="L158" s="733" t="s">
        <v>1198</v>
      </c>
      <c r="M158" s="736">
        <v>-1075609120</v>
      </c>
      <c r="N158" s="736">
        <v>-970769660</v>
      </c>
      <c r="O158" s="737">
        <v>-1040957250</v>
      </c>
    </row>
    <row r="159" spans="12:15" x14ac:dyDescent="0.3">
      <c r="L159" s="733" t="s">
        <v>1200</v>
      </c>
      <c r="M159" s="736">
        <v>3321989</v>
      </c>
      <c r="N159" s="736">
        <v>1063416</v>
      </c>
      <c r="O159" s="737">
        <v>65413</v>
      </c>
    </row>
    <row r="160" spans="12:15" x14ac:dyDescent="0.3">
      <c r="L160" s="733" t="s">
        <v>1202</v>
      </c>
      <c r="M160" s="736">
        <v>-1613797411</v>
      </c>
      <c r="N160" s="736">
        <v>-1508213716</v>
      </c>
      <c r="O160" s="737">
        <v>-706648784</v>
      </c>
    </row>
    <row r="161" spans="3:20" x14ac:dyDescent="0.3">
      <c r="L161" s="733" t="s">
        <v>1204</v>
      </c>
      <c r="M161" s="736">
        <v>4385745063</v>
      </c>
      <c r="N161" s="736">
        <v>5893958779</v>
      </c>
      <c r="O161" s="737">
        <v>6600607563</v>
      </c>
    </row>
    <row r="162" spans="3:20" x14ac:dyDescent="0.3">
      <c r="L162" s="738" t="s">
        <v>1206</v>
      </c>
      <c r="M162" s="739">
        <v>2771947652</v>
      </c>
      <c r="N162" s="739">
        <v>4385745063</v>
      </c>
      <c r="O162" s="740">
        <v>5893958779</v>
      </c>
    </row>
    <row r="167" spans="3:20" x14ac:dyDescent="0.3">
      <c r="C167" s="747" t="s">
        <v>1227</v>
      </c>
      <c r="D167" s="158"/>
      <c r="E167" s="158"/>
      <c r="L167" s="747" t="s">
        <v>1228</v>
      </c>
      <c r="M167" s="158"/>
      <c r="N167" s="158"/>
      <c r="O167" s="158"/>
      <c r="P167" s="158"/>
      <c r="Q167" s="158"/>
      <c r="R167" s="158"/>
      <c r="S167" s="158"/>
      <c r="T167" s="158"/>
    </row>
    <row r="168" spans="3:20" ht="54" x14ac:dyDescent="0.3">
      <c r="C168" s="748"/>
      <c r="D168" s="158"/>
      <c r="E168" s="158"/>
      <c r="L168" s="747" t="s">
        <v>1229</v>
      </c>
      <c r="M168" s="158"/>
      <c r="N168" s="158"/>
      <c r="O168" s="158"/>
      <c r="P168" s="158"/>
      <c r="Q168" s="158"/>
      <c r="R168" s="158"/>
      <c r="S168" s="158"/>
      <c r="T168" s="158"/>
    </row>
    <row r="169" spans="3:20" ht="27" x14ac:dyDescent="0.3">
      <c r="C169" s="747" t="s">
        <v>1230</v>
      </c>
      <c r="D169" s="158"/>
      <c r="E169" s="158"/>
      <c r="L169" s="1957" t="s">
        <v>865</v>
      </c>
      <c r="M169" s="1958"/>
      <c r="N169" s="1958"/>
      <c r="O169" s="1958"/>
      <c r="P169" s="1958"/>
      <c r="Q169" s="1958"/>
      <c r="R169" s="1958"/>
      <c r="S169" s="1958"/>
      <c r="T169" s="1959"/>
    </row>
    <row r="170" spans="3:20" x14ac:dyDescent="0.3">
      <c r="C170" s="749" t="s">
        <v>1231</v>
      </c>
      <c r="D170" s="158"/>
      <c r="E170" s="158"/>
      <c r="L170" s="1960" t="s">
        <v>1232</v>
      </c>
      <c r="M170" s="1962" t="s">
        <v>1233</v>
      </c>
      <c r="N170" s="1963"/>
      <c r="O170" s="1962" t="s">
        <v>1234</v>
      </c>
      <c r="P170" s="1963"/>
      <c r="Q170" s="1962" t="s">
        <v>1235</v>
      </c>
      <c r="R170" s="1963"/>
      <c r="S170" s="1962" t="s">
        <v>1236</v>
      </c>
      <c r="T170" s="1964"/>
    </row>
    <row r="171" spans="3:20" x14ac:dyDescent="0.3">
      <c r="C171" s="750" t="s">
        <v>1237</v>
      </c>
      <c r="D171" s="751" t="s">
        <v>1238</v>
      </c>
      <c r="E171" s="752" t="s">
        <v>1239</v>
      </c>
      <c r="L171" s="1961"/>
      <c r="M171" s="753" t="s">
        <v>1240</v>
      </c>
      <c r="N171" s="753" t="s">
        <v>1241</v>
      </c>
      <c r="O171" s="753" t="s">
        <v>1240</v>
      </c>
      <c r="P171" s="753" t="s">
        <v>1241</v>
      </c>
      <c r="Q171" s="753" t="s">
        <v>1240</v>
      </c>
      <c r="R171" s="753" t="s">
        <v>1241</v>
      </c>
      <c r="S171" s="753" t="s">
        <v>1240</v>
      </c>
      <c r="T171" s="754" t="s">
        <v>1241</v>
      </c>
    </row>
    <row r="172" spans="3:20" x14ac:dyDescent="0.3">
      <c r="C172" s="755" t="s">
        <v>1242</v>
      </c>
      <c r="D172" s="756">
        <v>20242022571</v>
      </c>
      <c r="E172" s="757">
        <v>20148725385</v>
      </c>
      <c r="L172" s="755" t="s">
        <v>1243</v>
      </c>
      <c r="M172" s="756">
        <v>59020844251</v>
      </c>
      <c r="N172" s="756">
        <v>75674178110</v>
      </c>
      <c r="O172" s="758" t="s">
        <v>1244</v>
      </c>
      <c r="P172" s="758" t="s">
        <v>1244</v>
      </c>
      <c r="Q172" s="758" t="s">
        <v>1244</v>
      </c>
      <c r="R172" s="758" t="s">
        <v>1244</v>
      </c>
      <c r="S172" s="756">
        <v>59020844251</v>
      </c>
      <c r="T172" s="757">
        <v>75674178110</v>
      </c>
    </row>
    <row r="173" spans="3:20" x14ac:dyDescent="0.3">
      <c r="C173" s="755" t="s">
        <v>1245</v>
      </c>
      <c r="D173" s="756">
        <v>607884068</v>
      </c>
      <c r="E173" s="757">
        <v>1890596104</v>
      </c>
      <c r="L173" s="755" t="s">
        <v>1246</v>
      </c>
      <c r="M173" s="758" t="s">
        <v>1244</v>
      </c>
      <c r="N173" s="758" t="s">
        <v>1244</v>
      </c>
      <c r="O173" s="756">
        <v>6321262410</v>
      </c>
      <c r="P173" s="756">
        <v>6751817789</v>
      </c>
      <c r="Q173" s="756">
        <v>6765574772</v>
      </c>
      <c r="R173" s="756">
        <v>5027666209</v>
      </c>
      <c r="S173" s="756">
        <v>13086837182</v>
      </c>
      <c r="T173" s="757">
        <v>11779483998</v>
      </c>
    </row>
    <row r="174" spans="3:20" x14ac:dyDescent="0.3">
      <c r="C174" s="755" t="s">
        <v>1247</v>
      </c>
      <c r="D174" s="756">
        <v>-18167900</v>
      </c>
      <c r="E174" s="757">
        <v>-64275899</v>
      </c>
      <c r="L174" s="755" t="s">
        <v>1248</v>
      </c>
      <c r="M174" s="756">
        <v>59020844251</v>
      </c>
      <c r="N174" s="756">
        <v>75674178110</v>
      </c>
      <c r="O174" s="756">
        <v>6321262410</v>
      </c>
      <c r="P174" s="756">
        <v>6751817789</v>
      </c>
      <c r="Q174" s="756">
        <v>6765574772</v>
      </c>
      <c r="R174" s="756">
        <v>5027666209</v>
      </c>
      <c r="S174" s="756">
        <v>72107681433</v>
      </c>
      <c r="T174" s="757">
        <v>87453662108</v>
      </c>
    </row>
    <row r="175" spans="3:20" x14ac:dyDescent="0.3">
      <c r="C175" s="755" t="s">
        <v>1249</v>
      </c>
      <c r="D175" s="758" t="s">
        <v>1250</v>
      </c>
      <c r="E175" s="759" t="s">
        <v>1250</v>
      </c>
      <c r="L175" s="755" t="s">
        <v>1251</v>
      </c>
      <c r="M175" s="756">
        <v>666407838</v>
      </c>
      <c r="N175" s="756">
        <v>5817872904</v>
      </c>
      <c r="O175" s="756">
        <v>502329463</v>
      </c>
      <c r="P175" s="756">
        <v>804190026</v>
      </c>
      <c r="Q175" s="756">
        <v>285196777</v>
      </c>
      <c r="R175" s="756">
        <v>-46992944</v>
      </c>
      <c r="S175" s="756">
        <v>1453934078</v>
      </c>
      <c r="T175" s="757">
        <v>6575069986</v>
      </c>
    </row>
    <row r="176" spans="3:20" x14ac:dyDescent="0.3">
      <c r="C176" s="755" t="s">
        <v>1252</v>
      </c>
      <c r="D176" s="756">
        <v>-1234514304</v>
      </c>
      <c r="E176" s="757">
        <v>-1304867977</v>
      </c>
      <c r="L176" s="760" t="s">
        <v>1253</v>
      </c>
      <c r="M176" s="1969">
        <v>1749691561</v>
      </c>
      <c r="N176" s="1969">
        <v>847276563</v>
      </c>
      <c r="O176" s="1969">
        <v>362255090</v>
      </c>
      <c r="P176" s="1969">
        <v>425446133</v>
      </c>
      <c r="Q176" s="1969">
        <v>679541744</v>
      </c>
      <c r="R176" s="1969">
        <v>585956235</v>
      </c>
      <c r="S176" s="1965">
        <v>2791488395</v>
      </c>
      <c r="T176" s="1967">
        <v>1858678931</v>
      </c>
    </row>
    <row r="177" spans="2:20" x14ac:dyDescent="0.3">
      <c r="C177" s="755" t="s">
        <v>1254</v>
      </c>
      <c r="D177" s="756">
        <v>28745055</v>
      </c>
      <c r="E177" s="759"/>
      <c r="L177" s="761" t="s">
        <v>1255</v>
      </c>
      <c r="M177" s="1970"/>
      <c r="N177" s="1970"/>
      <c r="O177" s="1970"/>
      <c r="P177" s="1970"/>
      <c r="Q177" s="1970"/>
      <c r="R177" s="1970"/>
      <c r="S177" s="1966"/>
      <c r="T177" s="1968"/>
    </row>
    <row r="178" spans="2:20" x14ac:dyDescent="0.3">
      <c r="C178" s="755" t="s">
        <v>1256</v>
      </c>
      <c r="D178" s="758" t="s">
        <v>1250</v>
      </c>
      <c r="E178" s="759"/>
      <c r="L178" s="755" t="s">
        <v>1110</v>
      </c>
      <c r="M178" s="756">
        <v>3185277276</v>
      </c>
      <c r="N178" s="756">
        <v>5057899183</v>
      </c>
      <c r="O178" s="756">
        <v>4198069</v>
      </c>
      <c r="P178" s="756">
        <v>10443713</v>
      </c>
      <c r="Q178" s="756">
        <v>55283104</v>
      </c>
      <c r="R178" s="756">
        <v>639310</v>
      </c>
      <c r="S178" s="756">
        <v>3244758449</v>
      </c>
      <c r="T178" s="757">
        <v>5068982206</v>
      </c>
    </row>
    <row r="179" spans="2:20" x14ac:dyDescent="0.3">
      <c r="C179" s="755" t="s">
        <v>1257</v>
      </c>
      <c r="D179" s="756">
        <v>19625969490</v>
      </c>
      <c r="E179" s="757">
        <v>20670177613</v>
      </c>
      <c r="L179" s="755" t="s">
        <v>1113</v>
      </c>
      <c r="M179" s="756">
        <v>798343000</v>
      </c>
      <c r="N179" s="756">
        <v>1442864996</v>
      </c>
      <c r="O179" s="756">
        <v>39644435</v>
      </c>
      <c r="P179" s="756">
        <v>95242812</v>
      </c>
      <c r="Q179" s="756">
        <v>109270150</v>
      </c>
      <c r="R179" s="756">
        <v>530032278</v>
      </c>
      <c r="S179" s="756">
        <v>947257585</v>
      </c>
      <c r="T179" s="757">
        <v>2068140086</v>
      </c>
    </row>
    <row r="180" spans="2:20" x14ac:dyDescent="0.3">
      <c r="C180" s="755"/>
      <c r="D180" s="758"/>
      <c r="E180" s="759"/>
      <c r="L180" s="755" t="s">
        <v>1258</v>
      </c>
      <c r="M180" s="756">
        <v>3145577762</v>
      </c>
      <c r="N180" s="756">
        <v>7853653731</v>
      </c>
      <c r="O180" s="756">
        <v>396991634</v>
      </c>
      <c r="P180" s="756">
        <v>729141257</v>
      </c>
      <c r="Q180" s="756">
        <v>181535243</v>
      </c>
      <c r="R180" s="756">
        <v>-600336010</v>
      </c>
      <c r="S180" s="756">
        <v>3724104639</v>
      </c>
      <c r="T180" s="757">
        <v>7982458978</v>
      </c>
    </row>
    <row r="181" spans="2:20" x14ac:dyDescent="0.3">
      <c r="C181" s="755" t="s">
        <v>1259</v>
      </c>
      <c r="D181" s="756">
        <v>36456829705</v>
      </c>
      <c r="E181" s="757">
        <v>36035318486</v>
      </c>
      <c r="L181" s="755" t="s">
        <v>1260</v>
      </c>
      <c r="M181" s="756">
        <v>114096233107</v>
      </c>
      <c r="N181" s="756">
        <v>114307334595</v>
      </c>
      <c r="O181" s="756">
        <v>4840211100</v>
      </c>
      <c r="P181" s="756">
        <v>5134336636</v>
      </c>
      <c r="Q181" s="756">
        <v>12679149558</v>
      </c>
      <c r="R181" s="756">
        <v>10175925311</v>
      </c>
      <c r="S181" s="756">
        <v>131615593765</v>
      </c>
      <c r="T181" s="757">
        <v>129617596542</v>
      </c>
    </row>
    <row r="182" spans="2:20" x14ac:dyDescent="0.3">
      <c r="B182" s="153" t="s">
        <v>1059</v>
      </c>
      <c r="C182" s="755" t="s">
        <v>1261</v>
      </c>
      <c r="D182" s="762">
        <v>16711625577</v>
      </c>
      <c r="E182" s="763">
        <v>15360625582</v>
      </c>
      <c r="L182" s="755" t="s">
        <v>1262</v>
      </c>
      <c r="M182" s="756">
        <v>9197579127</v>
      </c>
      <c r="N182" s="756">
        <v>9051277058</v>
      </c>
      <c r="O182" s="756">
        <v>243225019</v>
      </c>
      <c r="P182" s="756">
        <v>137225370</v>
      </c>
      <c r="Q182" s="756">
        <v>612108293</v>
      </c>
      <c r="R182" s="756">
        <v>563742288</v>
      </c>
      <c r="S182" s="756">
        <v>10052912439</v>
      </c>
      <c r="T182" s="757">
        <v>9752244716</v>
      </c>
    </row>
    <row r="183" spans="2:20" x14ac:dyDescent="0.3">
      <c r="C183" s="755" t="s">
        <v>1254</v>
      </c>
      <c r="D183" s="756">
        <v>-119234638</v>
      </c>
      <c r="E183" s="757">
        <v>-4515291</v>
      </c>
      <c r="L183" s="755" t="s">
        <v>1263</v>
      </c>
      <c r="M183" s="756">
        <v>20681134571</v>
      </c>
      <c r="N183" s="756">
        <v>20789463829</v>
      </c>
      <c r="O183" s="756">
        <v>3615672841</v>
      </c>
      <c r="P183" s="756">
        <v>3898379860</v>
      </c>
      <c r="Q183" s="756">
        <v>5323003512</v>
      </c>
      <c r="R183" s="756">
        <v>5599985159</v>
      </c>
      <c r="S183" s="756">
        <v>29619810924</v>
      </c>
      <c r="T183" s="757">
        <v>30287828848</v>
      </c>
    </row>
    <row r="184" spans="2:20" x14ac:dyDescent="0.3">
      <c r="C184" s="764" t="s">
        <v>1257</v>
      </c>
      <c r="D184" s="765">
        <v>19625969490</v>
      </c>
      <c r="E184" s="766">
        <v>20670177613</v>
      </c>
      <c r="L184" s="764" t="s">
        <v>1264</v>
      </c>
      <c r="M184" s="765">
        <v>11182614206</v>
      </c>
      <c r="N184" s="765">
        <v>13675642736</v>
      </c>
      <c r="O184" s="765">
        <v>2362791799</v>
      </c>
      <c r="P184" s="765">
        <v>3053908969</v>
      </c>
      <c r="Q184" s="765">
        <v>6477968097</v>
      </c>
      <c r="R184" s="765">
        <v>5304990383</v>
      </c>
      <c r="S184" s="765">
        <v>20023374102</v>
      </c>
      <c r="T184" s="766">
        <v>22034542088</v>
      </c>
    </row>
  </sheetData>
  <mergeCells count="17">
    <mergeCell ref="S176:S177"/>
    <mergeCell ref="T176:T177"/>
    <mergeCell ref="M176:M177"/>
    <mergeCell ref="N176:N177"/>
    <mergeCell ref="O176:O177"/>
    <mergeCell ref="P176:P177"/>
    <mergeCell ref="Q176:Q177"/>
    <mergeCell ref="R176:R177"/>
    <mergeCell ref="C59:C60"/>
    <mergeCell ref="D59:E59"/>
    <mergeCell ref="F59:G59"/>
    <mergeCell ref="L169:T169"/>
    <mergeCell ref="L170:L171"/>
    <mergeCell ref="M170:N170"/>
    <mergeCell ref="O170:P170"/>
    <mergeCell ref="Q170:R170"/>
    <mergeCell ref="S170:T170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M170"/>
  <sheetViews>
    <sheetView workbookViewId="0">
      <selection activeCell="H12" sqref="H12"/>
    </sheetView>
  </sheetViews>
  <sheetFormatPr defaultColWidth="9" defaultRowHeight="16.5" x14ac:dyDescent="0.3"/>
  <cols>
    <col min="1" max="1" width="2.5" style="153" customWidth="1"/>
    <col min="2" max="2" width="17.875" style="153" customWidth="1"/>
    <col min="3" max="4" width="15.25" style="153" bestFit="1" customWidth="1"/>
    <col min="5" max="5" width="14" style="153" bestFit="1" customWidth="1"/>
    <col min="6" max="6" width="15.125" style="153" bestFit="1" customWidth="1"/>
    <col min="7" max="9" width="9" style="153"/>
    <col min="10" max="10" width="45.875" style="153" bestFit="1" customWidth="1"/>
    <col min="11" max="13" width="15.125" style="153" bestFit="1" customWidth="1"/>
    <col min="14" max="16384" width="9" style="153"/>
  </cols>
  <sheetData>
    <row r="1" spans="2:4" x14ac:dyDescent="0.3">
      <c r="C1" s="536" t="s">
        <v>1058</v>
      </c>
    </row>
    <row r="2" spans="2:4" x14ac:dyDescent="0.3">
      <c r="B2" s="719" t="s">
        <v>870</v>
      </c>
      <c r="C2" s="720">
        <f>SUMIF($A$16:$A$60,B2,$C$16:C60)/10^6</f>
        <v>11048.138962000001</v>
      </c>
    </row>
    <row r="3" spans="2:4" x14ac:dyDescent="0.3">
      <c r="B3" s="721" t="s">
        <v>855</v>
      </c>
      <c r="C3" s="720">
        <f>SUMIF($A$16:$A$60,B3,$C$16:C61)/10^6</f>
        <v>36121.337498000001</v>
      </c>
    </row>
    <row r="4" spans="2:4" x14ac:dyDescent="0.3">
      <c r="B4" s="721" t="s">
        <v>922</v>
      </c>
      <c r="C4" s="722">
        <f>(D69+K70-F69)/10^6</f>
        <v>347016.12586999999</v>
      </c>
    </row>
    <row r="5" spans="2:4" x14ac:dyDescent="0.3">
      <c r="B5" s="721" t="s">
        <v>928</v>
      </c>
      <c r="C5" s="722">
        <f>(D73+K74-F73)/10^6</f>
        <v>27191.21199</v>
      </c>
    </row>
    <row r="6" spans="2:4" x14ac:dyDescent="0.3">
      <c r="B6" s="723" t="s">
        <v>1059</v>
      </c>
      <c r="C6" s="722">
        <f>(C103+C104+K105+K106-D103-D104)/10^6</f>
        <v>6228.4899519999999</v>
      </c>
    </row>
    <row r="7" spans="2:4" x14ac:dyDescent="0.3">
      <c r="B7" s="721" t="s">
        <v>1060</v>
      </c>
      <c r="C7" s="722">
        <f>C5+C6</f>
        <v>33419.701942</v>
      </c>
    </row>
    <row r="8" spans="2:4" x14ac:dyDescent="0.3">
      <c r="B8" s="721" t="s">
        <v>900</v>
      </c>
      <c r="C8" s="720">
        <f>SUMIF($A$16:$A$60,B8,$C$16:C66)/10^6</f>
        <v>184652.38456800001</v>
      </c>
    </row>
    <row r="9" spans="2:4" x14ac:dyDescent="0.3">
      <c r="B9" s="724" t="s">
        <v>861</v>
      </c>
      <c r="C9" s="725">
        <f>(D80+K81-F80)/10^6</f>
        <v>23463.698575999999</v>
      </c>
    </row>
    <row r="11" spans="2:4" x14ac:dyDescent="0.3">
      <c r="B11" s="741" t="s">
        <v>862</v>
      </c>
      <c r="C11" s="727"/>
      <c r="D11" s="727"/>
    </row>
    <row r="12" spans="2:4" x14ac:dyDescent="0.3">
      <c r="B12" s="742" t="s">
        <v>1265</v>
      </c>
      <c r="C12" s="727"/>
      <c r="D12" s="727"/>
    </row>
    <row r="13" spans="2:4" x14ac:dyDescent="0.3">
      <c r="B13" s="742" t="s">
        <v>1266</v>
      </c>
      <c r="C13" s="727"/>
      <c r="D13" s="727"/>
    </row>
    <row r="14" spans="2:4" x14ac:dyDescent="0.3">
      <c r="B14" s="729" t="s">
        <v>865</v>
      </c>
      <c r="C14" s="727"/>
      <c r="D14" s="727"/>
    </row>
    <row r="15" spans="2:4" x14ac:dyDescent="0.3">
      <c r="B15" s="730"/>
      <c r="C15" s="731" t="s">
        <v>1267</v>
      </c>
      <c r="D15" s="732" t="s">
        <v>1268</v>
      </c>
    </row>
    <row r="16" spans="2:4" x14ac:dyDescent="0.3">
      <c r="B16" s="733" t="s">
        <v>868</v>
      </c>
      <c r="C16" s="734"/>
      <c r="D16" s="735"/>
    </row>
    <row r="17" spans="1:4" x14ac:dyDescent="0.3">
      <c r="B17" s="733" t="s">
        <v>1065</v>
      </c>
      <c r="C17" s="736">
        <v>203717223838</v>
      </c>
      <c r="D17" s="737">
        <v>175437163833</v>
      </c>
    </row>
    <row r="18" spans="1:4" x14ac:dyDescent="0.3">
      <c r="A18" s="153" t="s">
        <v>870</v>
      </c>
      <c r="B18" s="733" t="s">
        <v>1066</v>
      </c>
      <c r="C18" s="736">
        <v>4084155506</v>
      </c>
      <c r="D18" s="737">
        <v>7220689445</v>
      </c>
    </row>
    <row r="19" spans="1:4" x14ac:dyDescent="0.3">
      <c r="A19" s="153" t="s">
        <v>870</v>
      </c>
      <c r="B19" s="733" t="s">
        <v>1067</v>
      </c>
      <c r="C19" s="736">
        <v>329184587</v>
      </c>
      <c r="D19" s="737">
        <v>674809735</v>
      </c>
    </row>
    <row r="20" spans="1:4" x14ac:dyDescent="0.3">
      <c r="B20" s="733" t="s">
        <v>1069</v>
      </c>
      <c r="C20" s="736">
        <v>68352003114</v>
      </c>
      <c r="D20" s="737">
        <v>57330867525</v>
      </c>
    </row>
    <row r="21" spans="1:4" x14ac:dyDescent="0.3">
      <c r="B21" s="733" t="s">
        <v>1269</v>
      </c>
      <c r="C21" s="736">
        <v>8095450</v>
      </c>
      <c r="D21" s="737">
        <v>2786191</v>
      </c>
    </row>
    <row r="22" spans="1:4" x14ac:dyDescent="0.3">
      <c r="B22" s="733" t="s">
        <v>1270</v>
      </c>
      <c r="C22" s="736">
        <v>50806042</v>
      </c>
      <c r="D22" s="735"/>
    </row>
    <row r="23" spans="1:4" x14ac:dyDescent="0.3">
      <c r="B23" s="733" t="s">
        <v>1068</v>
      </c>
      <c r="C23" s="734"/>
      <c r="D23" s="737">
        <v>197130000</v>
      </c>
    </row>
    <row r="24" spans="1:4" x14ac:dyDescent="0.3">
      <c r="B24" s="733" t="s">
        <v>1070</v>
      </c>
      <c r="C24" s="736">
        <v>127490122904</v>
      </c>
      <c r="D24" s="737">
        <v>108381472315</v>
      </c>
    </row>
    <row r="25" spans="1:4" x14ac:dyDescent="0.3">
      <c r="B25" s="733" t="s">
        <v>1071</v>
      </c>
      <c r="C25" s="736">
        <v>3402856235</v>
      </c>
      <c r="D25" s="737">
        <v>1629408622</v>
      </c>
    </row>
    <row r="26" spans="1:4" x14ac:dyDescent="0.3">
      <c r="B26" s="733" t="s">
        <v>1072</v>
      </c>
      <c r="C26" s="736">
        <v>83997097589</v>
      </c>
      <c r="D26" s="737">
        <v>86948308854</v>
      </c>
    </row>
    <row r="27" spans="1:4" x14ac:dyDescent="0.3">
      <c r="A27" s="153" t="s">
        <v>870</v>
      </c>
      <c r="B27" s="733" t="s">
        <v>1073</v>
      </c>
      <c r="C27" s="736">
        <v>3026801434</v>
      </c>
      <c r="D27" s="737">
        <v>2778478808</v>
      </c>
    </row>
    <row r="28" spans="1:4" x14ac:dyDescent="0.3">
      <c r="B28" s="733" t="s">
        <v>1271</v>
      </c>
      <c r="C28" s="736">
        <v>161176515</v>
      </c>
      <c r="D28" s="737">
        <v>161176515</v>
      </c>
    </row>
    <row r="29" spans="1:4" x14ac:dyDescent="0.3">
      <c r="B29" s="733" t="s">
        <v>1272</v>
      </c>
      <c r="C29" s="734"/>
      <c r="D29" s="737">
        <v>60875000</v>
      </c>
    </row>
    <row r="30" spans="1:4" x14ac:dyDescent="0.3">
      <c r="B30" s="733" t="s">
        <v>1076</v>
      </c>
      <c r="C30" s="736">
        <v>63820708182</v>
      </c>
      <c r="D30" s="737">
        <v>67925554512</v>
      </c>
    </row>
    <row r="31" spans="1:4" x14ac:dyDescent="0.3">
      <c r="B31" s="733" t="s">
        <v>1077</v>
      </c>
      <c r="C31" s="736">
        <v>4999494129</v>
      </c>
      <c r="D31" s="737">
        <v>5679805374</v>
      </c>
    </row>
    <row r="32" spans="1:4" x14ac:dyDescent="0.3">
      <c r="A32" s="153" t="s">
        <v>870</v>
      </c>
      <c r="B32" s="733" t="s">
        <v>1273</v>
      </c>
      <c r="C32" s="736">
        <v>3607997435</v>
      </c>
      <c r="D32" s="737">
        <v>3678398837</v>
      </c>
    </row>
    <row r="33" spans="1:4" x14ac:dyDescent="0.3">
      <c r="B33" s="733" t="s">
        <v>1274</v>
      </c>
      <c r="C33" s="736">
        <v>8380919894</v>
      </c>
      <c r="D33" s="737">
        <v>6664019808</v>
      </c>
    </row>
    <row r="34" spans="1:4" x14ac:dyDescent="0.3">
      <c r="B34" s="733" t="s">
        <v>884</v>
      </c>
      <c r="C34" s="736">
        <v>287714321427</v>
      </c>
      <c r="D34" s="737">
        <v>262385472687</v>
      </c>
    </row>
    <row r="35" spans="1:4" x14ac:dyDescent="0.3">
      <c r="B35" s="733" t="s">
        <v>885</v>
      </c>
      <c r="C35" s="734"/>
      <c r="D35" s="735"/>
    </row>
    <row r="36" spans="1:4" x14ac:dyDescent="0.3">
      <c r="B36" s="733" t="s">
        <v>1078</v>
      </c>
      <c r="C36" s="736">
        <v>94504248011</v>
      </c>
      <c r="D36" s="737">
        <v>86503331866</v>
      </c>
    </row>
    <row r="37" spans="1:4" x14ac:dyDescent="0.3">
      <c r="B37" s="733" t="s">
        <v>1079</v>
      </c>
      <c r="C37" s="736">
        <v>49531603917</v>
      </c>
      <c r="D37" s="737">
        <v>40488597371</v>
      </c>
    </row>
    <row r="38" spans="1:4" x14ac:dyDescent="0.3">
      <c r="A38" s="153" t="s">
        <v>855</v>
      </c>
      <c r="B38" s="733" t="s">
        <v>1275</v>
      </c>
      <c r="C38" s="736">
        <v>31338904156</v>
      </c>
      <c r="D38" s="737">
        <v>26806593795</v>
      </c>
    </row>
    <row r="39" spans="1:4" x14ac:dyDescent="0.3">
      <c r="A39" s="153" t="s">
        <v>855</v>
      </c>
      <c r="B39" s="733" t="s">
        <v>1276</v>
      </c>
      <c r="C39" s="736">
        <v>2289399992</v>
      </c>
      <c r="D39" s="737">
        <v>360799992</v>
      </c>
    </row>
    <row r="40" spans="1:4" x14ac:dyDescent="0.3">
      <c r="B40" s="733" t="s">
        <v>1277</v>
      </c>
      <c r="C40" s="736">
        <v>215202971</v>
      </c>
      <c r="D40" s="737">
        <v>581760250</v>
      </c>
    </row>
    <row r="41" spans="1:4" x14ac:dyDescent="0.3">
      <c r="B41" s="733" t="s">
        <v>1081</v>
      </c>
      <c r="C41" s="736">
        <v>3666646530</v>
      </c>
      <c r="D41" s="737">
        <v>4328964282</v>
      </c>
    </row>
    <row r="42" spans="1:4" x14ac:dyDescent="0.3">
      <c r="B42" s="733" t="s">
        <v>1082</v>
      </c>
      <c r="C42" s="736">
        <v>1914874812</v>
      </c>
      <c r="D42" s="737">
        <v>2243885916</v>
      </c>
    </row>
    <row r="43" spans="1:4" x14ac:dyDescent="0.3">
      <c r="B43" s="733" t="s">
        <v>1083</v>
      </c>
      <c r="C43" s="736">
        <v>5547615633</v>
      </c>
      <c r="D43" s="737">
        <v>11692730260</v>
      </c>
    </row>
    <row r="44" spans="1:4" x14ac:dyDescent="0.3">
      <c r="B44" s="733" t="s">
        <v>1084</v>
      </c>
      <c r="C44" s="736">
        <v>8557688848</v>
      </c>
      <c r="D44" s="737">
        <v>8585046835</v>
      </c>
    </row>
    <row r="45" spans="1:4" x14ac:dyDescent="0.3">
      <c r="A45" s="153" t="s">
        <v>855</v>
      </c>
      <c r="B45" s="733" t="s">
        <v>1278</v>
      </c>
      <c r="C45" s="736">
        <v>2493033350</v>
      </c>
      <c r="D45" s="737">
        <v>4656533344</v>
      </c>
    </row>
    <row r="46" spans="1:4" x14ac:dyDescent="0.3">
      <c r="B46" s="733" t="s">
        <v>1279</v>
      </c>
      <c r="C46" s="736">
        <v>202643440</v>
      </c>
      <c r="D46" s="737">
        <v>336109916</v>
      </c>
    </row>
    <row r="47" spans="1:4" x14ac:dyDescent="0.3">
      <c r="B47" s="733" t="s">
        <v>1280</v>
      </c>
      <c r="C47" s="736">
        <v>5072215921</v>
      </c>
      <c r="D47" s="737">
        <v>2783376536</v>
      </c>
    </row>
    <row r="48" spans="1:4" x14ac:dyDescent="0.3">
      <c r="B48" s="733" t="s">
        <v>1281</v>
      </c>
      <c r="C48" s="736">
        <v>253071947</v>
      </c>
      <c r="D48" s="737">
        <v>272302849</v>
      </c>
    </row>
    <row r="49" spans="1:13" x14ac:dyDescent="0.3">
      <c r="B49" s="733" t="s">
        <v>1282</v>
      </c>
      <c r="C49" s="736">
        <v>536724190</v>
      </c>
      <c r="D49" s="737">
        <v>536724190</v>
      </c>
    </row>
    <row r="50" spans="1:13" x14ac:dyDescent="0.3">
      <c r="B50" s="733" t="s">
        <v>898</v>
      </c>
      <c r="C50" s="736">
        <v>103061936859</v>
      </c>
      <c r="D50" s="737">
        <v>95088378701</v>
      </c>
    </row>
    <row r="51" spans="1:13" x14ac:dyDescent="0.3">
      <c r="B51" s="733" t="s">
        <v>899</v>
      </c>
      <c r="C51" s="734"/>
      <c r="D51" s="735"/>
    </row>
    <row r="52" spans="1:13" x14ac:dyDescent="0.3">
      <c r="A52" s="153" t="s">
        <v>900</v>
      </c>
      <c r="B52" s="733" t="s">
        <v>1087</v>
      </c>
      <c r="C52" s="736">
        <v>184652384568</v>
      </c>
      <c r="D52" s="737">
        <v>167297093986</v>
      </c>
    </row>
    <row r="53" spans="1:13" x14ac:dyDescent="0.3">
      <c r="B53" s="733" t="s">
        <v>1088</v>
      </c>
      <c r="C53" s="736">
        <v>8957972000</v>
      </c>
      <c r="D53" s="737">
        <v>8957972000</v>
      </c>
    </row>
    <row r="54" spans="1:13" x14ac:dyDescent="0.3">
      <c r="B54" s="733" t="s">
        <v>1089</v>
      </c>
      <c r="C54" s="736">
        <v>34809191272</v>
      </c>
      <c r="D54" s="737">
        <v>34809191272</v>
      </c>
    </row>
    <row r="55" spans="1:13" x14ac:dyDescent="0.3">
      <c r="B55" s="733" t="s">
        <v>1090</v>
      </c>
      <c r="C55" s="736">
        <v>-113847533</v>
      </c>
      <c r="D55" s="737">
        <v>-113847533</v>
      </c>
    </row>
    <row r="56" spans="1:13" x14ac:dyDescent="0.3">
      <c r="B56" s="733" t="s">
        <v>1283</v>
      </c>
      <c r="C56" s="736">
        <v>-5383837207</v>
      </c>
      <c r="D56" s="737">
        <v>-5368562693</v>
      </c>
    </row>
    <row r="57" spans="1:13" x14ac:dyDescent="0.3">
      <c r="B57" s="733" t="s">
        <v>1091</v>
      </c>
      <c r="C57" s="736">
        <v>146382906036</v>
      </c>
      <c r="D57" s="737">
        <v>129012340940</v>
      </c>
    </row>
    <row r="58" spans="1:13" x14ac:dyDescent="0.3">
      <c r="B58" s="733" t="s">
        <v>1092</v>
      </c>
      <c r="C58" s="734"/>
      <c r="D58" s="735"/>
    </row>
    <row r="59" spans="1:13" x14ac:dyDescent="0.3">
      <c r="B59" s="733" t="s">
        <v>907</v>
      </c>
      <c r="C59" s="736">
        <v>184652384568</v>
      </c>
      <c r="D59" s="737">
        <v>167297093986</v>
      </c>
    </row>
    <row r="60" spans="1:13" x14ac:dyDescent="0.3">
      <c r="B60" s="738" t="s">
        <v>908</v>
      </c>
      <c r="C60" s="739">
        <v>287714321427</v>
      </c>
      <c r="D60" s="740">
        <v>262385472687</v>
      </c>
    </row>
    <row r="63" spans="1:13" x14ac:dyDescent="0.3">
      <c r="B63" s="741" t="s">
        <v>909</v>
      </c>
      <c r="C63" s="727"/>
      <c r="D63" s="727"/>
      <c r="E63" s="727"/>
      <c r="F63" s="727"/>
    </row>
    <row r="64" spans="1:13" x14ac:dyDescent="0.3">
      <c r="B64" s="742" t="s">
        <v>1284</v>
      </c>
      <c r="C64" s="727"/>
      <c r="D64" s="727"/>
      <c r="E64" s="727"/>
      <c r="F64" s="727"/>
      <c r="J64" s="741" t="s">
        <v>909</v>
      </c>
      <c r="K64" s="727"/>
      <c r="L64" s="727"/>
      <c r="M64" s="727"/>
    </row>
    <row r="65" spans="1:13" x14ac:dyDescent="0.3">
      <c r="B65" s="742" t="s">
        <v>1285</v>
      </c>
      <c r="C65" s="727"/>
      <c r="D65" s="727"/>
      <c r="E65" s="727"/>
      <c r="F65" s="727"/>
      <c r="J65" s="742" t="s">
        <v>1286</v>
      </c>
      <c r="K65" s="727"/>
      <c r="L65" s="727"/>
      <c r="M65" s="727"/>
    </row>
    <row r="66" spans="1:13" x14ac:dyDescent="0.3">
      <c r="B66" s="729" t="s">
        <v>865</v>
      </c>
      <c r="C66" s="727"/>
      <c r="D66" s="727"/>
      <c r="E66" s="727"/>
      <c r="F66" s="727"/>
      <c r="J66" s="742" t="s">
        <v>1287</v>
      </c>
      <c r="K66" s="727"/>
      <c r="L66" s="727"/>
      <c r="M66" s="727"/>
    </row>
    <row r="67" spans="1:13" x14ac:dyDescent="0.3">
      <c r="B67" s="1952"/>
      <c r="C67" s="1954" t="s">
        <v>1288</v>
      </c>
      <c r="D67" s="1955"/>
      <c r="E67" s="1954" t="s">
        <v>1289</v>
      </c>
      <c r="F67" s="1956"/>
      <c r="J67" s="742" t="s">
        <v>1290</v>
      </c>
      <c r="K67" s="727"/>
      <c r="L67" s="727"/>
      <c r="M67" s="727"/>
    </row>
    <row r="68" spans="1:13" x14ac:dyDescent="0.3">
      <c r="B68" s="1953"/>
      <c r="C68" s="743" t="s">
        <v>917</v>
      </c>
      <c r="D68" s="743" t="s">
        <v>918</v>
      </c>
      <c r="E68" s="743" t="s">
        <v>917</v>
      </c>
      <c r="F68" s="744" t="s">
        <v>918</v>
      </c>
      <c r="J68" s="729" t="s">
        <v>865</v>
      </c>
      <c r="K68" s="727"/>
      <c r="L68" s="727"/>
      <c r="M68" s="727"/>
    </row>
    <row r="69" spans="1:13" x14ac:dyDescent="0.3">
      <c r="A69" s="153" t="s">
        <v>922</v>
      </c>
      <c r="B69" s="733" t="s">
        <v>1103</v>
      </c>
      <c r="C69" s="736">
        <v>74016163284</v>
      </c>
      <c r="D69" s="736">
        <v>270233705779</v>
      </c>
      <c r="E69" s="736">
        <v>85358893362</v>
      </c>
      <c r="F69" s="737">
        <v>260569147956</v>
      </c>
      <c r="J69" s="730"/>
      <c r="K69" s="731" t="s">
        <v>1291</v>
      </c>
      <c r="L69" s="731" t="s">
        <v>1292</v>
      </c>
      <c r="M69" s="732" t="s">
        <v>1293</v>
      </c>
    </row>
    <row r="70" spans="1:13" x14ac:dyDescent="0.3">
      <c r="B70" s="733" t="s">
        <v>1104</v>
      </c>
      <c r="C70" s="736">
        <v>60637977902</v>
      </c>
      <c r="D70" s="736">
        <v>217585363976</v>
      </c>
      <c r="E70" s="736">
        <v>68791683161</v>
      </c>
      <c r="F70" s="737">
        <v>211214878035</v>
      </c>
      <c r="J70" s="733" t="s">
        <v>1103</v>
      </c>
      <c r="K70" s="736">
        <v>337351568047</v>
      </c>
      <c r="L70" s="736">
        <v>327817238937</v>
      </c>
      <c r="M70" s="737">
        <v>316121025668</v>
      </c>
    </row>
    <row r="71" spans="1:13" x14ac:dyDescent="0.3">
      <c r="B71" s="733" t="s">
        <v>1105</v>
      </c>
      <c r="C71" s="736">
        <v>13378185382</v>
      </c>
      <c r="D71" s="736">
        <v>52648341803</v>
      </c>
      <c r="E71" s="736">
        <v>16567210201</v>
      </c>
      <c r="F71" s="737">
        <v>49354269921</v>
      </c>
      <c r="J71" s="733" t="s">
        <v>1104</v>
      </c>
      <c r="K71" s="736">
        <v>273542230076</v>
      </c>
      <c r="L71" s="736">
        <v>268882030045</v>
      </c>
      <c r="M71" s="737">
        <v>257043830448</v>
      </c>
    </row>
    <row r="72" spans="1:13" x14ac:dyDescent="0.3">
      <c r="B72" s="733" t="s">
        <v>1106</v>
      </c>
      <c r="C72" s="736">
        <v>9488600698</v>
      </c>
      <c r="D72" s="736">
        <v>30214431186</v>
      </c>
      <c r="E72" s="736">
        <v>9040856528</v>
      </c>
      <c r="F72" s="737">
        <v>28465328383</v>
      </c>
      <c r="J72" s="733" t="s">
        <v>1105</v>
      </c>
      <c r="K72" s="736">
        <v>63809337971</v>
      </c>
      <c r="L72" s="736">
        <v>58935208892</v>
      </c>
      <c r="M72" s="737">
        <v>59077195220</v>
      </c>
    </row>
    <row r="73" spans="1:13" x14ac:dyDescent="0.3">
      <c r="A73" s="153" t="s">
        <v>928</v>
      </c>
      <c r="B73" s="733" t="s">
        <v>1108</v>
      </c>
      <c r="C73" s="736">
        <v>3889584684</v>
      </c>
      <c r="D73" s="736">
        <v>22433910617</v>
      </c>
      <c r="E73" s="736">
        <v>7526353673</v>
      </c>
      <c r="F73" s="737">
        <v>20888941538</v>
      </c>
      <c r="J73" s="733" t="s">
        <v>1106</v>
      </c>
      <c r="K73" s="736">
        <v>38163095060</v>
      </c>
      <c r="L73" s="736">
        <v>41190372071</v>
      </c>
      <c r="M73" s="737">
        <v>38462115613</v>
      </c>
    </row>
    <row r="74" spans="1:13" x14ac:dyDescent="0.3">
      <c r="B74" s="733" t="s">
        <v>1110</v>
      </c>
      <c r="C74" s="736">
        <v>775788394</v>
      </c>
      <c r="D74" s="736">
        <v>3912580888</v>
      </c>
      <c r="E74" s="736">
        <v>1524087826</v>
      </c>
      <c r="F74" s="737">
        <v>4002670455</v>
      </c>
      <c r="J74" s="733" t="s">
        <v>1108</v>
      </c>
      <c r="K74" s="736">
        <v>25646242911</v>
      </c>
      <c r="L74" s="736">
        <v>17744836821</v>
      </c>
      <c r="M74" s="737">
        <v>20615079607</v>
      </c>
    </row>
    <row r="75" spans="1:13" x14ac:dyDescent="0.3">
      <c r="B75" s="733" t="s">
        <v>1114</v>
      </c>
      <c r="C75" s="736">
        <v>1260643771</v>
      </c>
      <c r="D75" s="736">
        <v>3842809306</v>
      </c>
      <c r="E75" s="736">
        <v>4626090842</v>
      </c>
      <c r="F75" s="737">
        <v>7449449389</v>
      </c>
      <c r="J75" s="733" t="s">
        <v>1110</v>
      </c>
      <c r="K75" s="736">
        <v>5288148171</v>
      </c>
      <c r="L75" s="736">
        <v>6754459661</v>
      </c>
      <c r="M75" s="737">
        <v>5100007407</v>
      </c>
    </row>
    <row r="76" spans="1:13" x14ac:dyDescent="0.3">
      <c r="B76" s="733" t="s">
        <v>1109</v>
      </c>
      <c r="C76" s="736">
        <v>102217831</v>
      </c>
      <c r="D76" s="736">
        <v>537519695</v>
      </c>
      <c r="E76" s="736">
        <v>197575934</v>
      </c>
      <c r="F76" s="737">
        <v>422433197</v>
      </c>
      <c r="J76" s="733" t="s">
        <v>1114</v>
      </c>
      <c r="K76" s="736">
        <v>10057932327</v>
      </c>
      <c r="L76" s="736">
        <v>6415349016</v>
      </c>
      <c r="M76" s="737">
        <v>9666015114</v>
      </c>
    </row>
    <row r="77" spans="1:13" x14ac:dyDescent="0.3">
      <c r="B77" s="733" t="s">
        <v>1111</v>
      </c>
      <c r="C77" s="736">
        <v>42438891</v>
      </c>
      <c r="D77" s="736">
        <v>541534067</v>
      </c>
      <c r="E77" s="736">
        <v>239850963</v>
      </c>
      <c r="F77" s="737">
        <v>486868621</v>
      </c>
      <c r="J77" s="733" t="s">
        <v>1109</v>
      </c>
      <c r="K77" s="736">
        <v>552978511</v>
      </c>
      <c r="L77" s="736">
        <v>267497101</v>
      </c>
      <c r="M77" s="737">
        <v>265329656</v>
      </c>
    </row>
    <row r="78" spans="1:13" x14ac:dyDescent="0.3">
      <c r="B78" s="733" t="s">
        <v>1116</v>
      </c>
      <c r="C78" s="736">
        <v>3464508247</v>
      </c>
      <c r="D78" s="736">
        <v>22499667827</v>
      </c>
      <c r="E78" s="736">
        <v>4382075628</v>
      </c>
      <c r="F78" s="737">
        <v>17377727180</v>
      </c>
      <c r="J78" s="733" t="s">
        <v>1111</v>
      </c>
      <c r="K78" s="736">
        <v>993402406</v>
      </c>
      <c r="L78" s="736">
        <v>139247522</v>
      </c>
      <c r="M78" s="737">
        <v>361894810</v>
      </c>
    </row>
    <row r="79" spans="1:13" x14ac:dyDescent="0.3">
      <c r="B79" s="733" t="s">
        <v>1117</v>
      </c>
      <c r="C79" s="736">
        <v>949174591</v>
      </c>
      <c r="D79" s="736">
        <v>3136939959</v>
      </c>
      <c r="E79" s="736">
        <v>1497567486</v>
      </c>
      <c r="F79" s="737">
        <v>3993489055</v>
      </c>
      <c r="J79" s="733" t="s">
        <v>1116</v>
      </c>
      <c r="K79" s="736">
        <v>20436034860</v>
      </c>
      <c r="L79" s="736">
        <v>18212197045</v>
      </c>
      <c r="M79" s="737">
        <v>15952506746</v>
      </c>
    </row>
    <row r="80" spans="1:13" x14ac:dyDescent="0.3">
      <c r="A80" s="153" t="s">
        <v>861</v>
      </c>
      <c r="B80" s="733" t="s">
        <v>1119</v>
      </c>
      <c r="C80" s="736">
        <v>2515333656</v>
      </c>
      <c r="D80" s="736">
        <v>19362727868</v>
      </c>
      <c r="E80" s="736">
        <v>2884508142</v>
      </c>
      <c r="F80" s="737">
        <v>13384238125</v>
      </c>
      <c r="J80" s="733" t="s">
        <v>1117</v>
      </c>
      <c r="K80" s="736">
        <v>2950826027</v>
      </c>
      <c r="L80" s="736">
        <v>6066591952</v>
      </c>
      <c r="M80" s="737">
        <v>2672892541</v>
      </c>
    </row>
    <row r="81" spans="2:13" x14ac:dyDescent="0.3">
      <c r="B81" s="733" t="s">
        <v>1120</v>
      </c>
      <c r="C81" s="736">
        <v>41611094</v>
      </c>
      <c r="D81" s="736">
        <v>-54761177</v>
      </c>
      <c r="E81" s="736">
        <v>-3853701559</v>
      </c>
      <c r="F81" s="737">
        <v>-4097683714</v>
      </c>
      <c r="J81" s="733" t="s">
        <v>1119</v>
      </c>
      <c r="K81" s="736">
        <v>17485208833</v>
      </c>
      <c r="L81" s="736">
        <v>12145605093</v>
      </c>
      <c r="M81" s="737">
        <v>13279614205</v>
      </c>
    </row>
    <row r="82" spans="2:13" x14ac:dyDescent="0.3">
      <c r="B82" s="733" t="s">
        <v>1122</v>
      </c>
      <c r="C82" s="736">
        <v>-3867990</v>
      </c>
      <c r="D82" s="736">
        <v>-29574452</v>
      </c>
      <c r="E82" s="734"/>
      <c r="F82" s="737">
        <v>24203814</v>
      </c>
      <c r="J82" s="733" t="s">
        <v>1120</v>
      </c>
      <c r="K82" s="736">
        <v>-256215611</v>
      </c>
      <c r="L82" s="736">
        <v>1100068791</v>
      </c>
      <c r="M82" s="737">
        <v>-5051573562</v>
      </c>
    </row>
    <row r="83" spans="2:13" x14ac:dyDescent="0.3">
      <c r="B83" s="733" t="s">
        <v>1124</v>
      </c>
      <c r="C83" s="736">
        <v>-3867990</v>
      </c>
      <c r="D83" s="736">
        <v>-29574452</v>
      </c>
      <c r="E83" s="734"/>
      <c r="F83" s="737">
        <v>24203814</v>
      </c>
      <c r="J83" s="733" t="s">
        <v>1294</v>
      </c>
      <c r="K83" s="734"/>
      <c r="L83" s="734"/>
      <c r="M83" s="735"/>
    </row>
    <row r="84" spans="2:13" x14ac:dyDescent="0.3">
      <c r="B84" s="733" t="s">
        <v>1127</v>
      </c>
      <c r="C84" s="736">
        <v>45479084</v>
      </c>
      <c r="D84" s="736">
        <v>-25186725</v>
      </c>
      <c r="E84" s="736">
        <v>-3853701559</v>
      </c>
      <c r="F84" s="737">
        <v>-4121887528</v>
      </c>
      <c r="J84" s="733" t="s">
        <v>1295</v>
      </c>
      <c r="K84" s="736">
        <v>1959165474</v>
      </c>
      <c r="L84" s="736">
        <v>314948078</v>
      </c>
      <c r="M84" s="737">
        <v>-1334905042</v>
      </c>
    </row>
    <row r="85" spans="2:13" x14ac:dyDescent="0.3">
      <c r="B85" s="733" t="s">
        <v>1131</v>
      </c>
      <c r="C85" s="736">
        <v>45479084</v>
      </c>
      <c r="D85" s="736">
        <v>-25186725</v>
      </c>
      <c r="E85" s="736">
        <v>-3853701559</v>
      </c>
      <c r="F85" s="737">
        <v>-4121887528</v>
      </c>
      <c r="J85" s="733" t="s">
        <v>1296</v>
      </c>
      <c r="K85" s="734"/>
      <c r="L85" s="734"/>
      <c r="M85" s="735"/>
    </row>
    <row r="86" spans="2:13" x14ac:dyDescent="0.3">
      <c r="B86" s="738" t="s">
        <v>1133</v>
      </c>
      <c r="C86" s="739">
        <v>2556944750</v>
      </c>
      <c r="D86" s="739">
        <v>19307966691</v>
      </c>
      <c r="E86" s="739">
        <v>-969193417</v>
      </c>
      <c r="F86" s="740">
        <v>9286554411</v>
      </c>
      <c r="J86" s="733" t="s">
        <v>1135</v>
      </c>
      <c r="K86" s="736">
        <v>-2215381085</v>
      </c>
      <c r="L86" s="736">
        <v>785120713</v>
      </c>
      <c r="M86" s="737">
        <v>-3716668520</v>
      </c>
    </row>
    <row r="87" spans="2:13" x14ac:dyDescent="0.3">
      <c r="J87" s="738" t="s">
        <v>1133</v>
      </c>
      <c r="K87" s="739">
        <v>17228993222</v>
      </c>
      <c r="L87" s="739">
        <v>13245673884</v>
      </c>
      <c r="M87" s="740">
        <v>8228040643</v>
      </c>
    </row>
    <row r="89" spans="2:13" x14ac:dyDescent="0.3">
      <c r="B89" s="741" t="s">
        <v>971</v>
      </c>
      <c r="C89" s="727"/>
      <c r="D89" s="727"/>
    </row>
    <row r="90" spans="2:13" x14ac:dyDescent="0.3">
      <c r="B90" s="742" t="s">
        <v>1284</v>
      </c>
      <c r="C90" s="727"/>
      <c r="D90" s="727"/>
      <c r="J90" s="741" t="s">
        <v>971</v>
      </c>
      <c r="K90" s="727"/>
      <c r="L90" s="727"/>
      <c r="M90" s="727"/>
    </row>
    <row r="91" spans="2:13" x14ac:dyDescent="0.3">
      <c r="B91" s="742" t="s">
        <v>1285</v>
      </c>
      <c r="C91" s="727"/>
      <c r="D91" s="727"/>
      <c r="J91" s="742" t="s">
        <v>1286</v>
      </c>
      <c r="K91" s="727"/>
      <c r="L91" s="727"/>
      <c r="M91" s="727"/>
    </row>
    <row r="92" spans="2:13" x14ac:dyDescent="0.3">
      <c r="B92" s="729" t="s">
        <v>865</v>
      </c>
      <c r="C92" s="727"/>
      <c r="D92" s="727"/>
      <c r="J92" s="742" t="s">
        <v>1287</v>
      </c>
      <c r="K92" s="727"/>
      <c r="L92" s="727"/>
      <c r="M92" s="727"/>
    </row>
    <row r="93" spans="2:13" x14ac:dyDescent="0.3">
      <c r="B93" s="730"/>
      <c r="C93" s="731" t="s">
        <v>1288</v>
      </c>
      <c r="D93" s="732" t="s">
        <v>1289</v>
      </c>
      <c r="J93" s="742" t="s">
        <v>1290</v>
      </c>
      <c r="K93" s="727"/>
      <c r="L93" s="727"/>
      <c r="M93" s="727"/>
    </row>
    <row r="94" spans="2:13" x14ac:dyDescent="0.3">
      <c r="B94" s="733" t="s">
        <v>1146</v>
      </c>
      <c r="C94" s="736">
        <v>-3749845731</v>
      </c>
      <c r="D94" s="737">
        <v>31893541006</v>
      </c>
      <c r="J94" s="729" t="s">
        <v>865</v>
      </c>
      <c r="K94" s="727"/>
      <c r="L94" s="727"/>
      <c r="M94" s="727"/>
    </row>
    <row r="95" spans="2:13" x14ac:dyDescent="0.3">
      <c r="B95" s="733" t="s">
        <v>1147</v>
      </c>
      <c r="C95" s="736">
        <v>19362727868</v>
      </c>
      <c r="D95" s="737">
        <v>13384238125</v>
      </c>
      <c r="J95" s="730"/>
      <c r="K95" s="731" t="s">
        <v>1291</v>
      </c>
      <c r="L95" s="731" t="s">
        <v>1292</v>
      </c>
      <c r="M95" s="732" t="s">
        <v>1293</v>
      </c>
    </row>
    <row r="96" spans="2:13" x14ac:dyDescent="0.3">
      <c r="B96" s="733" t="s">
        <v>1148</v>
      </c>
      <c r="C96" s="736">
        <v>10752763904</v>
      </c>
      <c r="D96" s="737">
        <v>16784585848</v>
      </c>
      <c r="J96" s="733" t="s">
        <v>1146</v>
      </c>
      <c r="K96" s="736">
        <v>47208215320</v>
      </c>
      <c r="L96" s="736">
        <v>40495368632</v>
      </c>
      <c r="M96" s="737">
        <v>-9265853116</v>
      </c>
    </row>
    <row r="97" spans="2:13" x14ac:dyDescent="0.3">
      <c r="B97" s="733" t="s">
        <v>1161</v>
      </c>
      <c r="C97" s="736">
        <v>2252929261</v>
      </c>
      <c r="D97" s="737">
        <v>2592017363</v>
      </c>
      <c r="J97" s="733" t="s">
        <v>1147</v>
      </c>
      <c r="K97" s="736">
        <v>17485208833</v>
      </c>
      <c r="L97" s="736">
        <v>12145605093</v>
      </c>
      <c r="M97" s="737">
        <v>13279614205</v>
      </c>
    </row>
    <row r="98" spans="2:13" x14ac:dyDescent="0.3">
      <c r="B98" s="733" t="s">
        <v>1297</v>
      </c>
      <c r="C98" s="736">
        <v>712941226</v>
      </c>
      <c r="D98" s="735"/>
      <c r="J98" s="733" t="s">
        <v>1298</v>
      </c>
      <c r="K98" s="736">
        <v>22065379512</v>
      </c>
      <c r="L98" s="736">
        <v>23568005742</v>
      </c>
      <c r="M98" s="737">
        <v>18310623604</v>
      </c>
    </row>
    <row r="99" spans="2:13" x14ac:dyDescent="0.3">
      <c r="B99" s="733" t="s">
        <v>1299</v>
      </c>
      <c r="C99" s="736">
        <v>52769098</v>
      </c>
      <c r="D99" s="735"/>
      <c r="J99" s="733" t="s">
        <v>1161</v>
      </c>
      <c r="K99" s="736">
        <v>3402443578</v>
      </c>
      <c r="L99" s="736">
        <v>3476936956</v>
      </c>
      <c r="M99" s="737">
        <v>2904882863</v>
      </c>
    </row>
    <row r="100" spans="2:13" x14ac:dyDescent="0.3">
      <c r="B100" s="733" t="s">
        <v>1300</v>
      </c>
      <c r="C100" s="736">
        <v>555021657</v>
      </c>
      <c r="D100" s="737">
        <v>304607861</v>
      </c>
      <c r="J100" s="733" t="s">
        <v>1297</v>
      </c>
      <c r="K100" s="736">
        <v>1425882450</v>
      </c>
      <c r="L100" s="736">
        <v>770000000</v>
      </c>
      <c r="M100" s="735"/>
    </row>
    <row r="101" spans="2:13" x14ac:dyDescent="0.3">
      <c r="B101" s="733" t="s">
        <v>1301</v>
      </c>
      <c r="C101" s="734"/>
      <c r="D101" s="737">
        <v>2083022</v>
      </c>
      <c r="J101" s="733" t="s">
        <v>1299</v>
      </c>
      <c r="K101" s="736">
        <v>272302849</v>
      </c>
      <c r="L101" s="734"/>
      <c r="M101" s="735"/>
    </row>
    <row r="102" spans="2:13" x14ac:dyDescent="0.3">
      <c r="B102" s="733" t="s">
        <v>1302</v>
      </c>
      <c r="C102" s="736">
        <v>-16221954</v>
      </c>
      <c r="D102" s="737">
        <v>-21100000</v>
      </c>
      <c r="J102" s="733" t="s">
        <v>1300</v>
      </c>
      <c r="K102" s="736">
        <v>767562557</v>
      </c>
      <c r="L102" s="736">
        <v>2571596226</v>
      </c>
      <c r="M102" s="737">
        <v>1043066908</v>
      </c>
    </row>
    <row r="103" spans="2:13" x14ac:dyDescent="0.3">
      <c r="B103" s="733" t="s">
        <v>1163</v>
      </c>
      <c r="C103" s="736">
        <v>4029722953</v>
      </c>
      <c r="D103" s="737">
        <v>4954459248</v>
      </c>
      <c r="J103" s="733" t="s">
        <v>1303</v>
      </c>
      <c r="K103" s="736">
        <v>2083022</v>
      </c>
      <c r="L103" s="736">
        <v>113206300</v>
      </c>
      <c r="M103" s="737">
        <v>47868766</v>
      </c>
    </row>
    <row r="104" spans="2:13" x14ac:dyDescent="0.3">
      <c r="B104" s="733" t="s">
        <v>1165</v>
      </c>
      <c r="C104" s="736">
        <v>607593272</v>
      </c>
      <c r="D104" s="737">
        <v>782145115</v>
      </c>
      <c r="J104" s="733" t="s">
        <v>1304</v>
      </c>
      <c r="K104" s="736">
        <v>-35756800</v>
      </c>
      <c r="L104" s="734"/>
      <c r="M104" s="735"/>
    </row>
    <row r="105" spans="2:13" x14ac:dyDescent="0.3">
      <c r="B105" s="733" t="s">
        <v>1305</v>
      </c>
      <c r="C105" s="736">
        <v>383930120</v>
      </c>
      <c r="D105" s="737">
        <v>818733097</v>
      </c>
      <c r="J105" s="733" t="s">
        <v>1163</v>
      </c>
      <c r="K105" s="736">
        <v>6306643200</v>
      </c>
      <c r="L105" s="736">
        <v>6312494757</v>
      </c>
      <c r="M105" s="737">
        <v>6017955994</v>
      </c>
    </row>
    <row r="106" spans="2:13" x14ac:dyDescent="0.3">
      <c r="B106" s="733" t="s">
        <v>1167</v>
      </c>
      <c r="C106" s="736">
        <v>-724372240</v>
      </c>
      <c r="D106" s="737">
        <v>-475841995</v>
      </c>
      <c r="J106" s="733" t="s">
        <v>1165</v>
      </c>
      <c r="K106" s="736">
        <v>1021134890</v>
      </c>
      <c r="L106" s="736">
        <v>992007585</v>
      </c>
      <c r="M106" s="737">
        <v>826052676</v>
      </c>
    </row>
    <row r="107" spans="2:13" x14ac:dyDescent="0.3">
      <c r="B107" s="733" t="s">
        <v>1169</v>
      </c>
      <c r="C107" s="736">
        <v>376322168</v>
      </c>
      <c r="D107" s="737">
        <v>2662899228</v>
      </c>
      <c r="J107" s="733" t="s">
        <v>1306</v>
      </c>
      <c r="K107" s="736">
        <v>348747369</v>
      </c>
      <c r="L107" s="736">
        <v>1080871713</v>
      </c>
      <c r="M107" s="737">
        <v>996790467</v>
      </c>
    </row>
    <row r="108" spans="2:13" x14ac:dyDescent="0.3">
      <c r="B108" s="733" t="s">
        <v>1307</v>
      </c>
      <c r="C108" s="736">
        <v>106432712</v>
      </c>
      <c r="D108" s="737">
        <v>944140601</v>
      </c>
      <c r="J108" s="733" t="s">
        <v>1167</v>
      </c>
      <c r="K108" s="736">
        <v>-1246322695</v>
      </c>
      <c r="L108" s="736">
        <v>-898426362</v>
      </c>
      <c r="M108" s="737">
        <v>-1899015170</v>
      </c>
    </row>
    <row r="109" spans="2:13" x14ac:dyDescent="0.3">
      <c r="B109" s="733" t="s">
        <v>1308</v>
      </c>
      <c r="C109" s="736">
        <v>5973289</v>
      </c>
      <c r="D109" s="735"/>
      <c r="J109" s="733" t="s">
        <v>1169</v>
      </c>
      <c r="K109" s="736">
        <v>3675473527</v>
      </c>
      <c r="L109" s="736">
        <v>1226885333</v>
      </c>
      <c r="M109" s="737">
        <v>2578576236</v>
      </c>
    </row>
    <row r="110" spans="2:13" x14ac:dyDescent="0.3">
      <c r="B110" s="733" t="s">
        <v>1155</v>
      </c>
      <c r="C110" s="736">
        <v>-1128317767</v>
      </c>
      <c r="D110" s="737">
        <v>-896104081</v>
      </c>
      <c r="J110" s="733" t="s">
        <v>1307</v>
      </c>
      <c r="K110" s="736">
        <v>1415171714</v>
      </c>
      <c r="L110" s="736">
        <v>1739183788</v>
      </c>
      <c r="M110" s="737">
        <v>747611437</v>
      </c>
    </row>
    <row r="111" spans="2:13" x14ac:dyDescent="0.3">
      <c r="B111" s="733" t="s">
        <v>1159</v>
      </c>
      <c r="C111" s="736">
        <v>739534420</v>
      </c>
      <c r="D111" s="737">
        <v>1255792322</v>
      </c>
      <c r="J111" s="733" t="s">
        <v>1309</v>
      </c>
      <c r="K111" s="736">
        <v>-1251643934</v>
      </c>
      <c r="L111" s="736">
        <v>-1470120938</v>
      </c>
      <c r="M111" s="737">
        <v>-1293166162</v>
      </c>
    </row>
    <row r="112" spans="2:13" x14ac:dyDescent="0.3">
      <c r="B112" s="733" t="s">
        <v>1310</v>
      </c>
      <c r="C112" s="736">
        <v>-8095450</v>
      </c>
      <c r="D112" s="737">
        <v>-544130132</v>
      </c>
      <c r="J112" s="733" t="s">
        <v>1311</v>
      </c>
      <c r="K112" s="736">
        <v>1547243691</v>
      </c>
      <c r="L112" s="736">
        <v>2779596843</v>
      </c>
      <c r="M112" s="737">
        <v>2634039520</v>
      </c>
    </row>
    <row r="113" spans="2:13" x14ac:dyDescent="0.3">
      <c r="B113" s="733" t="s">
        <v>1312</v>
      </c>
      <c r="C113" s="736">
        <v>209046623</v>
      </c>
      <c r="D113" s="737">
        <v>1560614</v>
      </c>
      <c r="J113" s="733" t="s">
        <v>1313</v>
      </c>
      <c r="K113" s="734"/>
      <c r="L113" s="736">
        <v>-1126797333</v>
      </c>
      <c r="M113" s="737">
        <v>1011407403</v>
      </c>
    </row>
    <row r="114" spans="2:13" x14ac:dyDescent="0.3">
      <c r="B114" s="733" t="s">
        <v>1314</v>
      </c>
      <c r="C114" s="736">
        <v>-922093850</v>
      </c>
      <c r="D114" s="735"/>
      <c r="J114" s="733" t="s">
        <v>1179</v>
      </c>
      <c r="K114" s="736">
        <v>-2786191</v>
      </c>
      <c r="L114" s="734"/>
      <c r="M114" s="735"/>
    </row>
    <row r="115" spans="2:13" x14ac:dyDescent="0.3">
      <c r="B115" s="733" t="s">
        <v>1183</v>
      </c>
      <c r="C115" s="736">
        <v>-44478837</v>
      </c>
      <c r="D115" s="737">
        <v>-58131696</v>
      </c>
      <c r="J115" s="733" t="s">
        <v>1315</v>
      </c>
      <c r="K115" s="736">
        <v>581760250</v>
      </c>
      <c r="L115" s="734"/>
      <c r="M115" s="735"/>
    </row>
    <row r="116" spans="2:13" x14ac:dyDescent="0.3">
      <c r="B116" s="733" t="s">
        <v>1316</v>
      </c>
      <c r="C116" s="736">
        <v>18800862</v>
      </c>
      <c r="D116" s="737">
        <v>6666497</v>
      </c>
      <c r="J116" s="733" t="s">
        <v>1183</v>
      </c>
      <c r="K116" s="736">
        <v>-86768312</v>
      </c>
      <c r="L116" s="736">
        <v>-107185928</v>
      </c>
      <c r="M116" s="737">
        <v>-17309966</v>
      </c>
    </row>
    <row r="117" spans="2:13" x14ac:dyDescent="0.3">
      <c r="B117" s="733" t="s">
        <v>1317</v>
      </c>
      <c r="C117" s="736">
        <v>417000000</v>
      </c>
      <c r="D117" s="737">
        <v>462430010</v>
      </c>
      <c r="J117" s="733" t="s">
        <v>1185</v>
      </c>
      <c r="K117" s="736">
        <v>178431021</v>
      </c>
      <c r="L117" s="736">
        <v>41164851</v>
      </c>
      <c r="M117" s="737">
        <v>7052051</v>
      </c>
    </row>
    <row r="118" spans="2:13" x14ac:dyDescent="0.3">
      <c r="B118" s="733" t="s">
        <v>1318</v>
      </c>
      <c r="C118" s="736">
        <v>-6813618</v>
      </c>
      <c r="D118" s="735"/>
      <c r="J118" s="733" t="s">
        <v>1317</v>
      </c>
      <c r="K118" s="736">
        <v>184470833</v>
      </c>
      <c r="L118" s="734"/>
      <c r="M118" s="735"/>
    </row>
    <row r="119" spans="2:13" x14ac:dyDescent="0.3">
      <c r="B119" s="733" t="s">
        <v>1157</v>
      </c>
      <c r="C119" s="736">
        <v>-1800000</v>
      </c>
      <c r="D119" s="737">
        <v>-1800000</v>
      </c>
      <c r="J119" s="733" t="s">
        <v>1319</v>
      </c>
      <c r="K119" s="736">
        <v>610280466</v>
      </c>
      <c r="L119" s="734"/>
      <c r="M119" s="735"/>
    </row>
    <row r="120" spans="2:13" x14ac:dyDescent="0.3">
      <c r="B120" s="733" t="s">
        <v>1153</v>
      </c>
      <c r="C120" s="736">
        <v>3136939959</v>
      </c>
      <c r="D120" s="737">
        <v>3994158774</v>
      </c>
      <c r="J120" s="733" t="s">
        <v>1157</v>
      </c>
      <c r="K120" s="736">
        <v>-1800000</v>
      </c>
      <c r="L120" s="734"/>
      <c r="M120" s="735"/>
    </row>
    <row r="121" spans="2:13" x14ac:dyDescent="0.3">
      <c r="B121" s="733" t="s">
        <v>1150</v>
      </c>
      <c r="C121" s="736">
        <v>-30926599156</v>
      </c>
      <c r="D121" s="737">
        <v>4653613817</v>
      </c>
      <c r="J121" s="733" t="s">
        <v>1153</v>
      </c>
      <c r="K121" s="736">
        <v>2950826027</v>
      </c>
      <c r="L121" s="736">
        <v>6066591951</v>
      </c>
      <c r="M121" s="737">
        <v>2672892541</v>
      </c>
    </row>
    <row r="122" spans="2:13" x14ac:dyDescent="0.3">
      <c r="B122" s="733" t="s">
        <v>1320</v>
      </c>
      <c r="C122" s="736">
        <v>-11187578349</v>
      </c>
      <c r="D122" s="737">
        <v>14214644877</v>
      </c>
      <c r="J122" s="733" t="s">
        <v>1321</v>
      </c>
      <c r="K122" s="734"/>
      <c r="L122" s="734"/>
      <c r="M122" s="737">
        <v>32132021</v>
      </c>
    </row>
    <row r="123" spans="2:13" x14ac:dyDescent="0.3">
      <c r="B123" s="733" t="s">
        <v>1199</v>
      </c>
      <c r="C123" s="736">
        <v>-17008054107</v>
      </c>
      <c r="D123" s="737">
        <v>-7576600546</v>
      </c>
      <c r="J123" s="733" t="s">
        <v>1322</v>
      </c>
      <c r="K123" s="734"/>
      <c r="L123" s="734"/>
      <c r="M123" s="737">
        <v>-213981</v>
      </c>
    </row>
    <row r="124" spans="2:13" x14ac:dyDescent="0.3">
      <c r="B124" s="733" t="s">
        <v>1323</v>
      </c>
      <c r="C124" s="736">
        <v>-1724915347</v>
      </c>
      <c r="D124" s="737">
        <v>2045327763</v>
      </c>
      <c r="J124" s="733" t="s">
        <v>1324</v>
      </c>
      <c r="K124" s="736">
        <v>12903910202</v>
      </c>
      <c r="L124" s="736">
        <v>10718731296</v>
      </c>
      <c r="M124" s="737">
        <v>-36257010646</v>
      </c>
    </row>
    <row r="125" spans="2:13" x14ac:dyDescent="0.3">
      <c r="B125" s="733" t="s">
        <v>1325</v>
      </c>
      <c r="C125" s="736">
        <v>-2198927198</v>
      </c>
      <c r="D125" s="737">
        <v>-1989180319</v>
      </c>
      <c r="J125" s="733" t="s">
        <v>1326</v>
      </c>
      <c r="K125" s="736">
        <v>11057277780</v>
      </c>
      <c r="L125" s="736">
        <v>19447834105</v>
      </c>
      <c r="M125" s="737">
        <v>-22124123682</v>
      </c>
    </row>
    <row r="126" spans="2:13" x14ac:dyDescent="0.3">
      <c r="B126" s="733" t="s">
        <v>1327</v>
      </c>
      <c r="C126" s="736">
        <v>-5960000</v>
      </c>
      <c r="D126" s="735"/>
      <c r="J126" s="733" t="s">
        <v>1070</v>
      </c>
      <c r="K126" s="736">
        <v>-3097600451</v>
      </c>
      <c r="L126" s="736">
        <v>2455261635</v>
      </c>
      <c r="M126" s="737">
        <v>-14722573923</v>
      </c>
    </row>
    <row r="127" spans="2:13" x14ac:dyDescent="0.3">
      <c r="B127" s="733" t="s">
        <v>1328</v>
      </c>
      <c r="C127" s="736">
        <v>9041805127</v>
      </c>
      <c r="D127" s="737">
        <v>-1595820609</v>
      </c>
      <c r="J127" s="733" t="s">
        <v>1071</v>
      </c>
      <c r="K127" s="736">
        <v>1456776106</v>
      </c>
      <c r="L127" s="736">
        <v>1361703089</v>
      </c>
      <c r="M127" s="737">
        <v>-146012501</v>
      </c>
    </row>
    <row r="128" spans="2:13" x14ac:dyDescent="0.3">
      <c r="B128" s="733" t="s">
        <v>1329</v>
      </c>
      <c r="C128" s="736">
        <v>-6310276093</v>
      </c>
      <c r="D128" s="737">
        <v>4216156318</v>
      </c>
      <c r="J128" s="733" t="s">
        <v>1068</v>
      </c>
      <c r="K128" s="736">
        <v>27185785</v>
      </c>
      <c r="L128" s="734"/>
      <c r="M128" s="735"/>
    </row>
    <row r="129" spans="2:13" x14ac:dyDescent="0.3">
      <c r="B129" s="733" t="s">
        <v>1330</v>
      </c>
      <c r="C129" s="736">
        <v>-72000000</v>
      </c>
      <c r="D129" s="735"/>
      <c r="J129" s="733" t="s">
        <v>1331</v>
      </c>
      <c r="K129" s="736">
        <v>-1018161809</v>
      </c>
      <c r="L129" s="736">
        <v>-319015234</v>
      </c>
      <c r="M129" s="737">
        <v>7007651300</v>
      </c>
    </row>
    <row r="130" spans="2:13" x14ac:dyDescent="0.3">
      <c r="B130" s="733" t="s">
        <v>1332</v>
      </c>
      <c r="C130" s="736">
        <v>-1425882450</v>
      </c>
      <c r="D130" s="737">
        <v>-1506305236</v>
      </c>
      <c r="J130" s="733" t="s">
        <v>1083</v>
      </c>
      <c r="K130" s="736">
        <v>10142261737</v>
      </c>
      <c r="L130" s="736">
        <v>-1787113374</v>
      </c>
      <c r="M130" s="737">
        <v>-419673736</v>
      </c>
    </row>
    <row r="131" spans="2:13" x14ac:dyDescent="0.3">
      <c r="B131" s="733" t="s">
        <v>1333</v>
      </c>
      <c r="C131" s="736">
        <v>450557642</v>
      </c>
      <c r="D131" s="737">
        <v>489277160</v>
      </c>
      <c r="J131" s="733" t="s">
        <v>1334</v>
      </c>
      <c r="K131" s="736">
        <v>536724190</v>
      </c>
      <c r="L131" s="736">
        <v>115389930</v>
      </c>
      <c r="M131" s="735"/>
    </row>
    <row r="132" spans="2:13" x14ac:dyDescent="0.3">
      <c r="B132" s="733" t="s">
        <v>1207</v>
      </c>
      <c r="C132" s="736">
        <v>-453786104</v>
      </c>
      <c r="D132" s="737">
        <v>-572267352</v>
      </c>
      <c r="J132" s="733" t="s">
        <v>1335</v>
      </c>
      <c r="K132" s="736">
        <v>426575284</v>
      </c>
      <c r="L132" s="736">
        <v>50000000</v>
      </c>
      <c r="M132" s="735"/>
    </row>
    <row r="133" spans="2:13" x14ac:dyDescent="0.3">
      <c r="B133" s="733" t="s">
        <v>1336</v>
      </c>
      <c r="C133" s="736">
        <v>-31582277</v>
      </c>
      <c r="D133" s="737">
        <v>-3071618239</v>
      </c>
      <c r="J133" s="733" t="s">
        <v>1337</v>
      </c>
      <c r="K133" s="736">
        <v>-1165752628</v>
      </c>
      <c r="L133" s="736">
        <v>-873098257</v>
      </c>
      <c r="M133" s="737">
        <v>-1680963770</v>
      </c>
    </row>
    <row r="134" spans="2:13" x14ac:dyDescent="0.3">
      <c r="B134" s="733" t="s">
        <v>1152</v>
      </c>
      <c r="C134" s="736">
        <v>1171345848</v>
      </c>
      <c r="D134" s="737">
        <v>889759611</v>
      </c>
      <c r="J134" s="733" t="s">
        <v>1338</v>
      </c>
      <c r="K134" s="736">
        <v>-5349000000</v>
      </c>
      <c r="L134" s="736">
        <v>-9751362619</v>
      </c>
      <c r="M134" s="737">
        <v>-41675574</v>
      </c>
    </row>
    <row r="135" spans="2:13" x14ac:dyDescent="0.3">
      <c r="B135" s="733" t="s">
        <v>1154</v>
      </c>
      <c r="C135" s="736">
        <v>1800000</v>
      </c>
      <c r="D135" s="737">
        <v>1800000</v>
      </c>
      <c r="J135" s="733" t="s">
        <v>1339</v>
      </c>
      <c r="K135" s="736">
        <v>-112375792</v>
      </c>
      <c r="L135" s="736">
        <v>-765988692</v>
      </c>
      <c r="M135" s="737">
        <v>-412970240</v>
      </c>
    </row>
    <row r="136" spans="2:13" x14ac:dyDescent="0.3">
      <c r="B136" s="733" t="s">
        <v>1156</v>
      </c>
      <c r="C136" s="736">
        <v>-718735319</v>
      </c>
      <c r="D136" s="737">
        <v>-1220708320</v>
      </c>
      <c r="J136" s="733" t="s">
        <v>1340</v>
      </c>
      <c r="K136" s="734"/>
      <c r="L136" s="736">
        <v>785120713</v>
      </c>
      <c r="M136" s="737">
        <v>-3716668520</v>
      </c>
    </row>
    <row r="137" spans="2:13" x14ac:dyDescent="0.3">
      <c r="B137" s="733" t="s">
        <v>1158</v>
      </c>
      <c r="C137" s="736">
        <v>-3393148876</v>
      </c>
      <c r="D137" s="737">
        <v>-2599748075</v>
      </c>
      <c r="J137" s="733" t="s">
        <v>1209</v>
      </c>
      <c r="K137" s="736">
        <v>1298046361</v>
      </c>
      <c r="L137" s="736">
        <v>1472025859</v>
      </c>
      <c r="M137" s="737">
        <v>1450633608</v>
      </c>
    </row>
    <row r="138" spans="2:13" x14ac:dyDescent="0.3">
      <c r="B138" s="733" t="s">
        <v>1160</v>
      </c>
      <c r="C138" s="736">
        <v>-1974473782</v>
      </c>
      <c r="D138" s="737">
        <v>-1873625315</v>
      </c>
      <c r="J138" s="733" t="s">
        <v>1210</v>
      </c>
      <c r="K138" s="736">
        <v>1800000</v>
      </c>
      <c r="L138" s="734"/>
      <c r="M138" s="735"/>
    </row>
    <row r="139" spans="2:13" x14ac:dyDescent="0.3">
      <c r="B139" s="733" t="s">
        <v>1162</v>
      </c>
      <c r="C139" s="736">
        <v>655302442</v>
      </c>
      <c r="D139" s="737">
        <v>2788899383</v>
      </c>
      <c r="J139" s="733" t="s">
        <v>1211</v>
      </c>
      <c r="K139" s="736">
        <v>-1671074203</v>
      </c>
      <c r="L139" s="736">
        <v>-2347892375</v>
      </c>
      <c r="M139" s="737">
        <v>-2232944665</v>
      </c>
    </row>
    <row r="140" spans="2:13" x14ac:dyDescent="0.3">
      <c r="B140" s="733" t="s">
        <v>1341</v>
      </c>
      <c r="C140" s="736">
        <v>197130000</v>
      </c>
      <c r="D140" s="737">
        <v>22385000</v>
      </c>
      <c r="J140" s="733" t="s">
        <v>1158</v>
      </c>
      <c r="K140" s="736">
        <v>-4875055385</v>
      </c>
      <c r="L140" s="736">
        <v>-5061106983</v>
      </c>
      <c r="M140" s="737">
        <v>-3816769222</v>
      </c>
    </row>
    <row r="141" spans="2:13" x14ac:dyDescent="0.3">
      <c r="B141" s="733" t="s">
        <v>1168</v>
      </c>
      <c r="C141" s="736">
        <v>270518259</v>
      </c>
      <c r="D141" s="737">
        <v>424859279</v>
      </c>
      <c r="J141" s="733" t="s">
        <v>1160</v>
      </c>
      <c r="K141" s="736">
        <v>-856037059</v>
      </c>
      <c r="L141" s="736">
        <v>-10652977391</v>
      </c>
      <c r="M141" s="737">
        <v>-8178732349</v>
      </c>
    </row>
    <row r="142" spans="2:13" x14ac:dyDescent="0.3">
      <c r="B142" s="733" t="s">
        <v>1342</v>
      </c>
      <c r="C142" s="736">
        <v>60875000</v>
      </c>
      <c r="D142" s="735"/>
      <c r="J142" s="733" t="s">
        <v>1343</v>
      </c>
      <c r="K142" s="736">
        <v>2514605293</v>
      </c>
      <c r="L142" s="736">
        <v>5425709153</v>
      </c>
      <c r="M142" s="737">
        <v>554050369</v>
      </c>
    </row>
    <row r="143" spans="2:13" x14ac:dyDescent="0.3">
      <c r="B143" s="733" t="s">
        <v>1170</v>
      </c>
      <c r="C143" s="736">
        <v>183732623</v>
      </c>
      <c r="D143" s="737">
        <v>43236392</v>
      </c>
      <c r="J143" s="733" t="s">
        <v>1344</v>
      </c>
      <c r="K143" s="736">
        <v>27610000</v>
      </c>
      <c r="L143" s="736">
        <v>123045000</v>
      </c>
      <c r="M143" s="737">
        <v>101410000</v>
      </c>
    </row>
    <row r="144" spans="2:13" x14ac:dyDescent="0.3">
      <c r="B144" s="733" t="s">
        <v>1172</v>
      </c>
      <c r="C144" s="736">
        <v>79859491</v>
      </c>
      <c r="D144" s="737">
        <v>87168000</v>
      </c>
      <c r="J144" s="733" t="s">
        <v>1345</v>
      </c>
      <c r="K144" s="736">
        <v>314868331</v>
      </c>
      <c r="L144" s="736">
        <v>281485406</v>
      </c>
      <c r="M144" s="737">
        <v>197393387</v>
      </c>
    </row>
    <row r="145" spans="2:13" x14ac:dyDescent="0.3">
      <c r="B145" s="733" t="s">
        <v>1178</v>
      </c>
      <c r="C145" s="736">
        <v>-266074185</v>
      </c>
      <c r="D145" s="737">
        <v>-2415428730</v>
      </c>
      <c r="J145" s="733" t="s">
        <v>1346</v>
      </c>
      <c r="K145" s="736">
        <v>1086046705</v>
      </c>
      <c r="L145" s="736">
        <v>123350445</v>
      </c>
      <c r="M145" s="737">
        <v>40806652</v>
      </c>
    </row>
    <row r="146" spans="2:13" x14ac:dyDescent="0.3">
      <c r="B146" s="733" t="s">
        <v>1182</v>
      </c>
      <c r="C146" s="736">
        <v>-544887891</v>
      </c>
      <c r="D146" s="737">
        <v>-394767105</v>
      </c>
      <c r="J146" s="733" t="s">
        <v>1347</v>
      </c>
      <c r="K146" s="736">
        <v>99966176</v>
      </c>
      <c r="L146" s="736">
        <v>50000000</v>
      </c>
      <c r="M146" s="735"/>
    </row>
    <row r="147" spans="2:13" x14ac:dyDescent="0.3">
      <c r="B147" s="733" t="s">
        <v>1186</v>
      </c>
      <c r="C147" s="736">
        <v>-2956340257</v>
      </c>
      <c r="D147" s="737">
        <v>-2380486852</v>
      </c>
      <c r="J147" s="733" t="s">
        <v>1348</v>
      </c>
      <c r="K147" s="736">
        <v>-543035050</v>
      </c>
      <c r="L147" s="736">
        <v>-3362549518</v>
      </c>
      <c r="M147" s="737">
        <v>-2911728883</v>
      </c>
    </row>
    <row r="148" spans="2:13" x14ac:dyDescent="0.3">
      <c r="B148" s="733" t="s">
        <v>1222</v>
      </c>
      <c r="C148" s="736">
        <v>-3865403</v>
      </c>
      <c r="D148" s="737">
        <v>-49490682</v>
      </c>
      <c r="J148" s="733" t="s">
        <v>1349</v>
      </c>
      <c r="K148" s="736">
        <v>-995928363</v>
      </c>
      <c r="L148" s="736">
        <v>-591701618</v>
      </c>
      <c r="M148" s="737">
        <v>-688690000</v>
      </c>
    </row>
    <row r="149" spans="2:13" x14ac:dyDescent="0.3">
      <c r="B149" s="733" t="s">
        <v>1350</v>
      </c>
      <c r="C149" s="736">
        <v>527625684</v>
      </c>
      <c r="D149" s="735"/>
      <c r="J149" s="733" t="s">
        <v>1351</v>
      </c>
      <c r="K149" s="736">
        <v>-3310612636</v>
      </c>
      <c r="L149" s="736">
        <v>-11927725375</v>
      </c>
      <c r="M149" s="737">
        <v>-5234018467</v>
      </c>
    </row>
    <row r="150" spans="2:13" x14ac:dyDescent="0.3">
      <c r="B150" s="733" t="s">
        <v>1352</v>
      </c>
      <c r="C150" s="736">
        <v>-178349545</v>
      </c>
      <c r="D150" s="735"/>
      <c r="J150" s="733" t="s">
        <v>1353</v>
      </c>
      <c r="K150" s="736">
        <v>-49557515</v>
      </c>
      <c r="L150" s="736">
        <v>-774590884</v>
      </c>
      <c r="M150" s="737">
        <v>-441293986</v>
      </c>
    </row>
    <row r="151" spans="2:13" x14ac:dyDescent="0.3">
      <c r="B151" s="733" t="s">
        <v>1190</v>
      </c>
      <c r="C151" s="736">
        <v>2782146040</v>
      </c>
      <c r="D151" s="737">
        <v>-29494452985</v>
      </c>
      <c r="J151" s="733" t="s">
        <v>1354</v>
      </c>
      <c r="K151" s="734"/>
      <c r="L151" s="734"/>
      <c r="M151" s="737">
        <v>-66673990</v>
      </c>
    </row>
    <row r="152" spans="2:13" x14ac:dyDescent="0.3">
      <c r="B152" s="733" t="s">
        <v>1355</v>
      </c>
      <c r="C152" s="736">
        <v>24013225393</v>
      </c>
      <c r="D152" s="737">
        <v>25744993208</v>
      </c>
      <c r="J152" s="733" t="s">
        <v>1356</v>
      </c>
      <c r="K152" s="734"/>
      <c r="L152" s="734"/>
      <c r="M152" s="737">
        <v>-11074110</v>
      </c>
    </row>
    <row r="153" spans="2:13" x14ac:dyDescent="0.3">
      <c r="B153" s="733" t="s">
        <v>1357</v>
      </c>
      <c r="C153" s="734"/>
      <c r="D153" s="737">
        <v>298800000</v>
      </c>
      <c r="J153" s="733" t="s">
        <v>1358</v>
      </c>
      <c r="K153" s="734"/>
      <c r="L153" s="734"/>
      <c r="M153" s="737">
        <v>281086679</v>
      </c>
    </row>
    <row r="154" spans="2:13" x14ac:dyDescent="0.3">
      <c r="B154" s="733" t="s">
        <v>1359</v>
      </c>
      <c r="C154" s="734"/>
      <c r="D154" s="737">
        <v>111250000</v>
      </c>
      <c r="J154" s="733" t="s">
        <v>1190</v>
      </c>
      <c r="K154" s="736">
        <v>-50688522441</v>
      </c>
      <c r="L154" s="736">
        <v>-30879249748</v>
      </c>
      <c r="M154" s="737">
        <v>20182761515</v>
      </c>
    </row>
    <row r="155" spans="2:13" x14ac:dyDescent="0.3">
      <c r="B155" s="733" t="s">
        <v>1194</v>
      </c>
      <c r="C155" s="736">
        <v>-19194999270</v>
      </c>
      <c r="D155" s="737">
        <v>-54677024193</v>
      </c>
      <c r="J155" s="733" t="s">
        <v>1355</v>
      </c>
      <c r="K155" s="736">
        <v>39889140728</v>
      </c>
      <c r="L155" s="736">
        <v>49445915111</v>
      </c>
      <c r="M155" s="737">
        <v>61774769287</v>
      </c>
    </row>
    <row r="156" spans="2:13" x14ac:dyDescent="0.3">
      <c r="B156" s="733" t="s">
        <v>1360</v>
      </c>
      <c r="C156" s="736">
        <v>-73491763</v>
      </c>
      <c r="D156" s="735"/>
      <c r="J156" s="733" t="s">
        <v>1357</v>
      </c>
      <c r="K156" s="736">
        <v>298800000</v>
      </c>
      <c r="L156" s="736">
        <v>6000000000</v>
      </c>
      <c r="M156" s="735"/>
    </row>
    <row r="157" spans="2:13" x14ac:dyDescent="0.3">
      <c r="B157" s="733" t="s">
        <v>1198</v>
      </c>
      <c r="C157" s="736">
        <v>-1962588320</v>
      </c>
      <c r="D157" s="737">
        <v>-972472000</v>
      </c>
      <c r="J157" s="733" t="s">
        <v>1361</v>
      </c>
      <c r="K157" s="736">
        <v>111250000</v>
      </c>
      <c r="L157" s="736">
        <v>458350000</v>
      </c>
      <c r="M157" s="737">
        <v>1810593750</v>
      </c>
    </row>
    <row r="158" spans="2:13" x14ac:dyDescent="0.3">
      <c r="B158" s="733" t="s">
        <v>1362</v>
      </c>
      <c r="C158" s="736">
        <v>-2942173473</v>
      </c>
      <c r="D158" s="737">
        <v>525462706</v>
      </c>
      <c r="J158" s="733" t="s">
        <v>1194</v>
      </c>
      <c r="K158" s="736">
        <v>-85490241169</v>
      </c>
      <c r="L158" s="736">
        <v>-83938706869</v>
      </c>
      <c r="M158" s="737">
        <v>-38636488328</v>
      </c>
    </row>
    <row r="159" spans="2:13" x14ac:dyDescent="0.3">
      <c r="B159" s="733" t="s">
        <v>1200</v>
      </c>
      <c r="C159" s="736">
        <v>-194360466</v>
      </c>
      <c r="D159" s="737">
        <v>330748013</v>
      </c>
      <c r="J159" s="733" t="s">
        <v>1363</v>
      </c>
      <c r="K159" s="736">
        <v>-525000000</v>
      </c>
      <c r="L159" s="734"/>
      <c r="M159" s="735"/>
    </row>
    <row r="160" spans="2:13" x14ac:dyDescent="0.3">
      <c r="B160" s="733" t="s">
        <v>1204</v>
      </c>
      <c r="C160" s="736">
        <v>7220689445</v>
      </c>
      <c r="D160" s="737">
        <v>11446658598</v>
      </c>
      <c r="J160" s="733" t="s">
        <v>1192</v>
      </c>
      <c r="K160" s="736">
        <v>-4000000000</v>
      </c>
      <c r="L160" s="734"/>
      <c r="M160" s="735"/>
    </row>
    <row r="161" spans="2:13" x14ac:dyDescent="0.3">
      <c r="B161" s="738" t="s">
        <v>1206</v>
      </c>
      <c r="C161" s="739">
        <v>4084155506</v>
      </c>
      <c r="D161" s="740">
        <v>12302869317</v>
      </c>
      <c r="J161" s="733" t="s">
        <v>1198</v>
      </c>
      <c r="K161" s="736">
        <v>-972472000</v>
      </c>
      <c r="L161" s="736">
        <v>-2657056800</v>
      </c>
      <c r="M161" s="737">
        <v>-3325919030</v>
      </c>
    </row>
    <row r="162" spans="2:13" x14ac:dyDescent="0.3">
      <c r="J162" s="733" t="s">
        <v>1364</v>
      </c>
      <c r="K162" s="734"/>
      <c r="L162" s="734"/>
      <c r="M162" s="737">
        <v>87685406</v>
      </c>
    </row>
    <row r="163" spans="2:13" x14ac:dyDescent="0.3">
      <c r="J163" s="733" t="s">
        <v>1365</v>
      </c>
      <c r="K163" s="734"/>
      <c r="L163" s="736">
        <v>-187751190</v>
      </c>
      <c r="M163" s="737">
        <v>-205000000</v>
      </c>
    </row>
    <row r="164" spans="2:13" x14ac:dyDescent="0.3">
      <c r="J164" s="733" t="s">
        <v>1196</v>
      </c>
      <c r="K164" s="734"/>
      <c r="L164" s="734"/>
      <c r="M164" s="737">
        <v>-1322879570</v>
      </c>
    </row>
    <row r="165" spans="2:13" x14ac:dyDescent="0.3">
      <c r="J165" s="733" t="s">
        <v>1366</v>
      </c>
      <c r="K165" s="736">
        <v>-4336344180</v>
      </c>
      <c r="L165" s="736">
        <v>-1036858507</v>
      </c>
      <c r="M165" s="737">
        <v>2738176050</v>
      </c>
    </row>
    <row r="166" spans="2:13" x14ac:dyDescent="0.3">
      <c r="J166" s="733" t="s">
        <v>1367</v>
      </c>
      <c r="K166" s="734"/>
      <c r="L166" s="734"/>
      <c r="M166" s="735"/>
    </row>
    <row r="167" spans="2:13" x14ac:dyDescent="0.3">
      <c r="J167" s="733" t="s">
        <v>1202</v>
      </c>
      <c r="K167" s="734"/>
      <c r="L167" s="734"/>
      <c r="M167" s="735"/>
    </row>
    <row r="168" spans="2:13" x14ac:dyDescent="0.3">
      <c r="J168" s="733" t="s">
        <v>1200</v>
      </c>
      <c r="K168" s="736">
        <v>110375027</v>
      </c>
      <c r="L168" s="736">
        <v>93348071</v>
      </c>
      <c r="M168" s="737">
        <v>117666382</v>
      </c>
    </row>
    <row r="169" spans="2:13" x14ac:dyDescent="0.3">
      <c r="J169" s="733" t="s">
        <v>1204</v>
      </c>
      <c r="K169" s="736">
        <v>11446658598</v>
      </c>
      <c r="L169" s="736">
        <v>12390169034</v>
      </c>
      <c r="M169" s="737">
        <v>9534326602</v>
      </c>
    </row>
    <row r="170" spans="2:13" x14ac:dyDescent="0.3">
      <c r="J170" s="738" t="s">
        <v>1206</v>
      </c>
      <c r="K170" s="739">
        <v>7220689445</v>
      </c>
      <c r="L170" s="739">
        <v>11446658598</v>
      </c>
      <c r="M170" s="740">
        <v>12390169034</v>
      </c>
    </row>
  </sheetData>
  <mergeCells count="3">
    <mergeCell ref="B67:B68"/>
    <mergeCell ref="C67:D67"/>
    <mergeCell ref="E67:F67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L211"/>
  <sheetViews>
    <sheetView workbookViewId="0">
      <selection activeCell="D10" sqref="D10"/>
    </sheetView>
  </sheetViews>
  <sheetFormatPr defaultColWidth="9" defaultRowHeight="16.5" x14ac:dyDescent="0.3"/>
  <cols>
    <col min="1" max="1" width="2.625" style="153" customWidth="1"/>
    <col min="2" max="2" width="21.5" style="153" customWidth="1"/>
    <col min="3" max="4" width="15.25" style="153" bestFit="1" customWidth="1"/>
    <col min="5" max="6" width="14" style="153" bestFit="1" customWidth="1"/>
    <col min="7" max="8" width="9" style="153"/>
    <col min="9" max="9" width="42.25" style="153" bestFit="1" customWidth="1"/>
    <col min="10" max="10" width="14.875" style="153" bestFit="1" customWidth="1"/>
    <col min="11" max="12" width="16" style="153" bestFit="1" customWidth="1"/>
    <col min="13" max="16384" width="9" style="153"/>
  </cols>
  <sheetData>
    <row r="2" spans="2:4" x14ac:dyDescent="0.3">
      <c r="C2" s="536" t="s">
        <v>1368</v>
      </c>
    </row>
    <row r="3" spans="2:4" x14ac:dyDescent="0.3">
      <c r="B3" s="719" t="s">
        <v>1369</v>
      </c>
      <c r="C3" s="720">
        <f>SUMIF($A$16:$A$52,B3,$C$16:C52)/10^6</f>
        <v>44615.79436</v>
      </c>
    </row>
    <row r="4" spans="2:4" x14ac:dyDescent="0.3">
      <c r="B4" s="721" t="s">
        <v>855</v>
      </c>
      <c r="C4" s="720">
        <f>SUMIF($A$16:$A$52,B4,$C$16:C53)/10^6</f>
        <v>0</v>
      </c>
    </row>
    <row r="5" spans="2:4" x14ac:dyDescent="0.3">
      <c r="B5" s="721" t="s">
        <v>922</v>
      </c>
      <c r="C5" s="722">
        <f>(D60+J60-F60)/10^6</f>
        <v>135161.432241</v>
      </c>
    </row>
    <row r="6" spans="2:4" x14ac:dyDescent="0.3">
      <c r="B6" s="721" t="s">
        <v>928</v>
      </c>
      <c r="C6" s="722">
        <f>(D64+J64-F64)/10^6</f>
        <v>-4199.3175359999996</v>
      </c>
    </row>
    <row r="7" spans="2:4" x14ac:dyDescent="0.3">
      <c r="B7" s="723" t="s">
        <v>1059</v>
      </c>
      <c r="C7" s="722">
        <f>(C99+C100+J102+J103-D99-D100)/10^6</f>
        <v>5588.6910820000003</v>
      </c>
    </row>
    <row r="8" spans="2:4" x14ac:dyDescent="0.3">
      <c r="B8" s="721" t="s">
        <v>1060</v>
      </c>
      <c r="C8" s="722">
        <f>C6+C7</f>
        <v>1389.3735460000007</v>
      </c>
    </row>
    <row r="9" spans="2:4" x14ac:dyDescent="0.3">
      <c r="B9" s="721" t="s">
        <v>900</v>
      </c>
      <c r="C9" s="720">
        <f>SUMIF($A$16:$A$52,B9,$C$16:C58)/10^6</f>
        <v>99992.431016000002</v>
      </c>
    </row>
    <row r="10" spans="2:4" x14ac:dyDescent="0.3">
      <c r="B10" s="724" t="s">
        <v>861</v>
      </c>
      <c r="C10" s="725">
        <f>(D72+J72-F72)/10^6</f>
        <v>-12963.914542</v>
      </c>
    </row>
    <row r="12" spans="2:4" x14ac:dyDescent="0.3">
      <c r="B12" s="741" t="s">
        <v>862</v>
      </c>
      <c r="C12" s="727"/>
      <c r="D12" s="727"/>
    </row>
    <row r="13" spans="2:4" x14ac:dyDescent="0.3">
      <c r="B13" s="742" t="s">
        <v>1370</v>
      </c>
      <c r="C13" s="727"/>
      <c r="D13" s="727"/>
    </row>
    <row r="14" spans="2:4" x14ac:dyDescent="0.3">
      <c r="B14" s="742" t="s">
        <v>1371</v>
      </c>
      <c r="C14" s="727"/>
      <c r="D14" s="727"/>
    </row>
    <row r="15" spans="2:4" x14ac:dyDescent="0.3">
      <c r="B15" s="729" t="s">
        <v>865</v>
      </c>
      <c r="C15" s="727"/>
      <c r="D15" s="727"/>
    </row>
    <row r="16" spans="2:4" x14ac:dyDescent="0.3">
      <c r="B16" s="730"/>
      <c r="C16" s="731" t="s">
        <v>1372</v>
      </c>
      <c r="D16" s="732" t="s">
        <v>1373</v>
      </c>
    </row>
    <row r="17" spans="1:4" x14ac:dyDescent="0.3">
      <c r="B17" s="733" t="s">
        <v>868</v>
      </c>
      <c r="C17" s="734"/>
      <c r="D17" s="735"/>
    </row>
    <row r="18" spans="1:4" x14ac:dyDescent="0.3">
      <c r="B18" s="733" t="s">
        <v>1065</v>
      </c>
      <c r="C18" s="736">
        <v>99008876014</v>
      </c>
      <c r="D18" s="737">
        <v>88602866545</v>
      </c>
    </row>
    <row r="19" spans="1:4" x14ac:dyDescent="0.3">
      <c r="A19" s="153" t="s">
        <v>870</v>
      </c>
      <c r="B19" s="733" t="s">
        <v>1066</v>
      </c>
      <c r="C19" s="736">
        <v>36381272194</v>
      </c>
      <c r="D19" s="737">
        <v>29041469212</v>
      </c>
    </row>
    <row r="20" spans="1:4" x14ac:dyDescent="0.3">
      <c r="B20" s="733" t="s">
        <v>1374</v>
      </c>
      <c r="C20" s="736">
        <v>3821265354</v>
      </c>
      <c r="D20" s="737">
        <v>2869554880</v>
      </c>
    </row>
    <row r="21" spans="1:4" x14ac:dyDescent="0.3">
      <c r="B21" s="733" t="s">
        <v>1375</v>
      </c>
      <c r="C21" s="736">
        <v>26622408366</v>
      </c>
      <c r="D21" s="737">
        <v>28560178164</v>
      </c>
    </row>
    <row r="22" spans="1:4" x14ac:dyDescent="0.3">
      <c r="B22" s="733" t="s">
        <v>1070</v>
      </c>
      <c r="C22" s="736">
        <v>29767215985</v>
      </c>
      <c r="D22" s="737">
        <v>26345845127</v>
      </c>
    </row>
    <row r="23" spans="1:4" x14ac:dyDescent="0.3">
      <c r="B23" s="733" t="s">
        <v>1270</v>
      </c>
      <c r="C23" s="736">
        <v>13060860</v>
      </c>
      <c r="D23" s="737">
        <v>3778280</v>
      </c>
    </row>
    <row r="24" spans="1:4" x14ac:dyDescent="0.3">
      <c r="B24" s="733" t="s">
        <v>1071</v>
      </c>
      <c r="C24" s="736">
        <v>2403653255</v>
      </c>
      <c r="D24" s="737">
        <v>1782040882</v>
      </c>
    </row>
    <row r="25" spans="1:4" x14ac:dyDescent="0.3">
      <c r="B25" s="733" t="s">
        <v>1072</v>
      </c>
      <c r="C25" s="736">
        <v>137318173205</v>
      </c>
      <c r="D25" s="737">
        <v>140155450018</v>
      </c>
    </row>
    <row r="26" spans="1:4" x14ac:dyDescent="0.3">
      <c r="B26" s="733" t="s">
        <v>1376</v>
      </c>
      <c r="C26" s="736">
        <v>984875028</v>
      </c>
      <c r="D26" s="737">
        <v>484875028</v>
      </c>
    </row>
    <row r="27" spans="1:4" x14ac:dyDescent="0.3">
      <c r="B27" s="733" t="s">
        <v>1377</v>
      </c>
      <c r="C27" s="736">
        <v>1400581970</v>
      </c>
      <c r="D27" s="737">
        <v>968947929</v>
      </c>
    </row>
    <row r="28" spans="1:4" x14ac:dyDescent="0.3">
      <c r="B28" s="733" t="s">
        <v>1378</v>
      </c>
      <c r="C28" s="736">
        <v>49797038324</v>
      </c>
      <c r="D28" s="737">
        <v>51090023181</v>
      </c>
    </row>
    <row r="29" spans="1:4" x14ac:dyDescent="0.3">
      <c r="B29" s="733" t="s">
        <v>1076</v>
      </c>
      <c r="C29" s="736">
        <v>64414047793</v>
      </c>
      <c r="D29" s="737">
        <v>67097278191</v>
      </c>
    </row>
    <row r="30" spans="1:4" x14ac:dyDescent="0.3">
      <c r="B30" s="733" t="s">
        <v>1077</v>
      </c>
      <c r="C30" s="736">
        <v>12487107924</v>
      </c>
      <c r="D30" s="737">
        <v>12255059943</v>
      </c>
    </row>
    <row r="31" spans="1:4" x14ac:dyDescent="0.3">
      <c r="A31" s="153" t="s">
        <v>870</v>
      </c>
      <c r="B31" s="733" t="s">
        <v>1273</v>
      </c>
      <c r="C31" s="736">
        <v>8234522166</v>
      </c>
      <c r="D31" s="737">
        <v>8259265746</v>
      </c>
    </row>
    <row r="32" spans="1:4" x14ac:dyDescent="0.3">
      <c r="B32" s="733" t="s">
        <v>884</v>
      </c>
      <c r="C32" s="736">
        <v>236327049219</v>
      </c>
      <c r="D32" s="737">
        <v>228758316563</v>
      </c>
    </row>
    <row r="33" spans="1:4" x14ac:dyDescent="0.3">
      <c r="B33" s="733" t="s">
        <v>885</v>
      </c>
      <c r="C33" s="734"/>
      <c r="D33" s="735"/>
    </row>
    <row r="34" spans="1:4" x14ac:dyDescent="0.3">
      <c r="B34" s="733" t="s">
        <v>1078</v>
      </c>
      <c r="C34" s="736">
        <v>89539718325</v>
      </c>
      <c r="D34" s="737">
        <v>106693339207</v>
      </c>
    </row>
    <row r="35" spans="1:4" x14ac:dyDescent="0.3">
      <c r="B35" s="733" t="s">
        <v>1079</v>
      </c>
      <c r="C35" s="736">
        <v>85757652005</v>
      </c>
      <c r="D35" s="737">
        <v>102303258549</v>
      </c>
    </row>
    <row r="36" spans="1:4" x14ac:dyDescent="0.3">
      <c r="B36" s="733" t="s">
        <v>1081</v>
      </c>
      <c r="C36" s="736">
        <v>183717015</v>
      </c>
      <c r="D36" s="737">
        <v>197789179</v>
      </c>
    </row>
    <row r="37" spans="1:4" x14ac:dyDescent="0.3">
      <c r="B37" s="733" t="s">
        <v>1083</v>
      </c>
      <c r="C37" s="736">
        <v>3598349305</v>
      </c>
      <c r="D37" s="737">
        <v>4192291479</v>
      </c>
    </row>
    <row r="38" spans="1:4" x14ac:dyDescent="0.3">
      <c r="B38" s="733" t="s">
        <v>1084</v>
      </c>
      <c r="C38" s="736">
        <v>28031637562</v>
      </c>
      <c r="D38" s="737">
        <v>10295336925</v>
      </c>
    </row>
    <row r="39" spans="1:4" x14ac:dyDescent="0.3">
      <c r="B39" s="733" t="s">
        <v>1379</v>
      </c>
      <c r="C39" s="736">
        <v>18902538316</v>
      </c>
      <c r="D39" s="737">
        <v>629929241</v>
      </c>
    </row>
    <row r="40" spans="1:4" x14ac:dyDescent="0.3">
      <c r="B40" s="733" t="s">
        <v>1380</v>
      </c>
      <c r="C40" s="736">
        <v>5899017926</v>
      </c>
      <c r="D40" s="737">
        <v>6026881539</v>
      </c>
    </row>
    <row r="41" spans="1:4" x14ac:dyDescent="0.3">
      <c r="B41" s="733" t="s">
        <v>1086</v>
      </c>
      <c r="C41" s="736">
        <v>3230081320</v>
      </c>
      <c r="D41" s="737">
        <v>3638526145</v>
      </c>
    </row>
    <row r="42" spans="1:4" x14ac:dyDescent="0.3">
      <c r="B42" s="733" t="s">
        <v>898</v>
      </c>
      <c r="C42" s="736">
        <v>117571355887</v>
      </c>
      <c r="D42" s="737">
        <v>116988676132</v>
      </c>
    </row>
    <row r="43" spans="1:4" x14ac:dyDescent="0.3">
      <c r="B43" s="733" t="s">
        <v>899</v>
      </c>
      <c r="C43" s="734"/>
      <c r="D43" s="735"/>
    </row>
    <row r="44" spans="1:4" x14ac:dyDescent="0.3">
      <c r="A44" s="153" t="s">
        <v>900</v>
      </c>
      <c r="B44" s="733" t="s">
        <v>1087</v>
      </c>
      <c r="C44" s="736">
        <v>99992431016</v>
      </c>
      <c r="D44" s="737">
        <v>98791351284</v>
      </c>
    </row>
    <row r="45" spans="1:4" x14ac:dyDescent="0.3">
      <c r="B45" s="733" t="s">
        <v>1088</v>
      </c>
      <c r="C45" s="736">
        <v>24249243000</v>
      </c>
      <c r="D45" s="737">
        <v>24249243000</v>
      </c>
    </row>
    <row r="46" spans="1:4" x14ac:dyDescent="0.3">
      <c r="B46" s="733" t="s">
        <v>1089</v>
      </c>
      <c r="C46" s="736">
        <v>49145395217</v>
      </c>
      <c r="D46" s="737">
        <v>41935030656</v>
      </c>
    </row>
    <row r="47" spans="1:4" x14ac:dyDescent="0.3">
      <c r="B47" s="733" t="s">
        <v>1090</v>
      </c>
      <c r="C47" s="736">
        <v>-72175807</v>
      </c>
      <c r="D47" s="737">
        <v>-72175807</v>
      </c>
    </row>
    <row r="48" spans="1:4" x14ac:dyDescent="0.3">
      <c r="B48" s="733" t="s">
        <v>1283</v>
      </c>
      <c r="C48" s="736">
        <v>799504171</v>
      </c>
      <c r="D48" s="737">
        <v>307130143</v>
      </c>
    </row>
    <row r="49" spans="2:12" x14ac:dyDescent="0.3">
      <c r="B49" s="733" t="s">
        <v>1091</v>
      </c>
      <c r="C49" s="736">
        <v>25870464435</v>
      </c>
      <c r="D49" s="737">
        <v>32372123292</v>
      </c>
    </row>
    <row r="50" spans="2:12" x14ac:dyDescent="0.3">
      <c r="B50" s="733" t="s">
        <v>1092</v>
      </c>
      <c r="C50" s="736">
        <v>18763262316</v>
      </c>
      <c r="D50" s="737">
        <v>12978289147</v>
      </c>
    </row>
    <row r="51" spans="2:12" x14ac:dyDescent="0.3">
      <c r="B51" s="733" t="s">
        <v>907</v>
      </c>
      <c r="C51" s="736">
        <v>118755693332</v>
      </c>
      <c r="D51" s="737">
        <v>111769640431</v>
      </c>
    </row>
    <row r="52" spans="2:12" x14ac:dyDescent="0.3">
      <c r="B52" s="738" t="s">
        <v>908</v>
      </c>
      <c r="C52" s="739">
        <v>236327049219</v>
      </c>
      <c r="D52" s="740">
        <v>228758316563</v>
      </c>
    </row>
    <row r="54" spans="2:12" x14ac:dyDescent="0.3">
      <c r="B54" s="741" t="s">
        <v>909</v>
      </c>
      <c r="C54" s="727"/>
      <c r="D54" s="727"/>
      <c r="E54" s="727"/>
      <c r="F54" s="727"/>
      <c r="I54" s="741" t="s">
        <v>909</v>
      </c>
      <c r="J54" s="727"/>
      <c r="K54" s="727"/>
      <c r="L54" s="727"/>
    </row>
    <row r="55" spans="2:12" x14ac:dyDescent="0.3">
      <c r="B55" s="742" t="s">
        <v>1381</v>
      </c>
      <c r="C55" s="727"/>
      <c r="D55" s="727"/>
      <c r="E55" s="727"/>
      <c r="F55" s="727"/>
      <c r="I55" s="742" t="s">
        <v>1382</v>
      </c>
      <c r="J55" s="727"/>
      <c r="K55" s="727"/>
      <c r="L55" s="727"/>
    </row>
    <row r="56" spans="2:12" x14ac:dyDescent="0.3">
      <c r="B56" s="742" t="s">
        <v>1383</v>
      </c>
      <c r="C56" s="727"/>
      <c r="D56" s="727"/>
      <c r="E56" s="727"/>
      <c r="F56" s="727"/>
      <c r="I56" s="742" t="s">
        <v>1384</v>
      </c>
      <c r="J56" s="727"/>
      <c r="K56" s="727"/>
      <c r="L56" s="727"/>
    </row>
    <row r="57" spans="2:12" x14ac:dyDescent="0.3">
      <c r="B57" s="729" t="s">
        <v>865</v>
      </c>
      <c r="C57" s="727"/>
      <c r="D57" s="727"/>
      <c r="E57" s="727"/>
      <c r="F57" s="727"/>
      <c r="I57" s="742" t="s">
        <v>1385</v>
      </c>
      <c r="J57" s="727"/>
      <c r="K57" s="727"/>
      <c r="L57" s="727"/>
    </row>
    <row r="58" spans="2:12" x14ac:dyDescent="0.3">
      <c r="B58" s="1952"/>
      <c r="C58" s="1954" t="s">
        <v>1386</v>
      </c>
      <c r="D58" s="1955"/>
      <c r="E58" s="1954" t="s">
        <v>1387</v>
      </c>
      <c r="F58" s="1956"/>
      <c r="I58" s="729" t="s">
        <v>865</v>
      </c>
      <c r="J58" s="727"/>
      <c r="K58" s="727"/>
      <c r="L58" s="727"/>
    </row>
    <row r="59" spans="2:12" x14ac:dyDescent="0.3">
      <c r="B59" s="1953"/>
      <c r="C59" s="743" t="s">
        <v>917</v>
      </c>
      <c r="D59" s="743" t="s">
        <v>918</v>
      </c>
      <c r="E59" s="743" t="s">
        <v>917</v>
      </c>
      <c r="F59" s="744" t="s">
        <v>918</v>
      </c>
      <c r="I59" s="730"/>
      <c r="J59" s="731" t="s">
        <v>1388</v>
      </c>
      <c r="K59" s="731" t="s">
        <v>1389</v>
      </c>
      <c r="L59" s="732" t="s">
        <v>1390</v>
      </c>
    </row>
    <row r="60" spans="2:12" x14ac:dyDescent="0.3">
      <c r="B60" s="733" t="s">
        <v>1103</v>
      </c>
      <c r="C60" s="736">
        <v>33247149173</v>
      </c>
      <c r="D60" s="736">
        <v>101710234776</v>
      </c>
      <c r="E60" s="736">
        <v>16011224619</v>
      </c>
      <c r="F60" s="737">
        <v>53851769403</v>
      </c>
      <c r="I60" s="733" t="s">
        <v>1391</v>
      </c>
      <c r="J60" s="736">
        <v>87302966868</v>
      </c>
      <c r="K60" s="736">
        <v>237222890199</v>
      </c>
      <c r="L60" s="737">
        <v>231446313648</v>
      </c>
    </row>
    <row r="61" spans="2:12" x14ac:dyDescent="0.3">
      <c r="B61" s="733" t="s">
        <v>1104</v>
      </c>
      <c r="C61" s="736">
        <v>32352849591</v>
      </c>
      <c r="D61" s="736">
        <v>95830110534</v>
      </c>
      <c r="E61" s="736">
        <v>13822091501</v>
      </c>
      <c r="F61" s="737">
        <v>46326665391</v>
      </c>
      <c r="I61" s="733" t="s">
        <v>1392</v>
      </c>
      <c r="J61" s="736">
        <v>75002298557</v>
      </c>
      <c r="K61" s="736">
        <v>178239093422</v>
      </c>
      <c r="L61" s="737">
        <v>175450886649</v>
      </c>
    </row>
    <row r="62" spans="2:12" x14ac:dyDescent="0.3">
      <c r="B62" s="733" t="s">
        <v>1105</v>
      </c>
      <c r="C62" s="736">
        <v>894299582</v>
      </c>
      <c r="D62" s="736">
        <v>5880124242</v>
      </c>
      <c r="E62" s="736">
        <v>2189133118</v>
      </c>
      <c r="F62" s="737">
        <v>7525104012</v>
      </c>
      <c r="I62" s="733" t="s">
        <v>1105</v>
      </c>
      <c r="J62" s="736">
        <v>12300668311</v>
      </c>
      <c r="K62" s="736">
        <v>58983796777</v>
      </c>
      <c r="L62" s="737">
        <v>55995426999</v>
      </c>
    </row>
    <row r="63" spans="2:12" x14ac:dyDescent="0.3">
      <c r="B63" s="733" t="s">
        <v>1106</v>
      </c>
      <c r="C63" s="736">
        <v>2690061975</v>
      </c>
      <c r="D63" s="736">
        <v>11611933446</v>
      </c>
      <c r="E63" s="736">
        <v>2933304112</v>
      </c>
      <c r="F63" s="737">
        <v>8885821301</v>
      </c>
      <c r="I63" s="733" t="s">
        <v>1393</v>
      </c>
      <c r="J63" s="736">
        <v>12128893932</v>
      </c>
      <c r="K63" s="736">
        <v>57657130411</v>
      </c>
      <c r="L63" s="737">
        <v>53809935822</v>
      </c>
    </row>
    <row r="64" spans="2:12" x14ac:dyDescent="0.3">
      <c r="B64" s="733" t="s">
        <v>1108</v>
      </c>
      <c r="C64" s="736">
        <v>-1795762393</v>
      </c>
      <c r="D64" s="736">
        <v>-5731809204</v>
      </c>
      <c r="E64" s="736">
        <v>-744170994</v>
      </c>
      <c r="F64" s="737">
        <v>-1360717289</v>
      </c>
      <c r="I64" s="733" t="s">
        <v>1394</v>
      </c>
      <c r="J64" s="736">
        <v>171774379</v>
      </c>
      <c r="K64" s="736">
        <v>1326666366</v>
      </c>
      <c r="L64" s="737">
        <v>2185491177</v>
      </c>
    </row>
    <row r="65" spans="2:12" x14ac:dyDescent="0.3">
      <c r="B65" s="733" t="s">
        <v>1109</v>
      </c>
      <c r="C65" s="736">
        <v>1936368658</v>
      </c>
      <c r="D65" s="736">
        <v>5008859454</v>
      </c>
      <c r="E65" s="736">
        <v>165101308</v>
      </c>
      <c r="F65" s="737">
        <v>3849142853</v>
      </c>
      <c r="I65" s="733" t="s">
        <v>1395</v>
      </c>
      <c r="J65" s="736">
        <v>4229713773</v>
      </c>
      <c r="K65" s="736">
        <v>16198822063</v>
      </c>
      <c r="L65" s="737">
        <v>793765141</v>
      </c>
    </row>
    <row r="66" spans="2:12" x14ac:dyDescent="0.3">
      <c r="B66" s="733" t="s">
        <v>1111</v>
      </c>
      <c r="C66" s="736">
        <v>2674943992</v>
      </c>
      <c r="D66" s="736">
        <v>8043237711</v>
      </c>
      <c r="E66" s="736">
        <v>815640601</v>
      </c>
      <c r="F66" s="737">
        <v>1462542238</v>
      </c>
      <c r="I66" s="733" t="s">
        <v>1396</v>
      </c>
      <c r="J66" s="736">
        <v>2163423870</v>
      </c>
      <c r="K66" s="736">
        <v>1942299892</v>
      </c>
      <c r="L66" s="737">
        <v>833431251</v>
      </c>
    </row>
    <row r="67" spans="2:12" x14ac:dyDescent="0.3">
      <c r="B67" s="733" t="s">
        <v>1110</v>
      </c>
      <c r="C67" s="736">
        <v>40513317</v>
      </c>
      <c r="D67" s="736">
        <v>211284941</v>
      </c>
      <c r="E67" s="736">
        <v>73874308</v>
      </c>
      <c r="F67" s="737">
        <v>218164484</v>
      </c>
      <c r="I67" s="733" t="s">
        <v>1397</v>
      </c>
      <c r="J67" s="736">
        <v>339862565</v>
      </c>
      <c r="K67" s="736">
        <v>3139259101</v>
      </c>
      <c r="L67" s="737">
        <v>2713369320</v>
      </c>
    </row>
    <row r="68" spans="2:12" x14ac:dyDescent="0.3">
      <c r="B68" s="733" t="s">
        <v>1114</v>
      </c>
      <c r="C68" s="736">
        <v>1208651325</v>
      </c>
      <c r="D68" s="736">
        <v>2582761202</v>
      </c>
      <c r="E68" s="736">
        <v>262026969</v>
      </c>
      <c r="F68" s="737">
        <v>1066112205</v>
      </c>
      <c r="I68" s="733" t="s">
        <v>1398</v>
      </c>
      <c r="J68" s="736">
        <v>1347049674</v>
      </c>
      <c r="K68" s="736">
        <v>5022135209</v>
      </c>
      <c r="L68" s="737">
        <v>4767290452</v>
      </c>
    </row>
    <row r="69" spans="2:12" x14ac:dyDescent="0.3">
      <c r="B69" s="733" t="s">
        <v>1399</v>
      </c>
      <c r="C69" s="736">
        <v>-677342368</v>
      </c>
      <c r="D69" s="736">
        <v>-1241389744</v>
      </c>
      <c r="E69" s="736">
        <v>-308935998</v>
      </c>
      <c r="F69" s="737">
        <v>-1060649367</v>
      </c>
      <c r="I69" s="733" t="s">
        <v>1400</v>
      </c>
      <c r="J69" s="736">
        <v>-2992144887</v>
      </c>
      <c r="K69" s="736">
        <v>-303066660</v>
      </c>
      <c r="L69" s="737">
        <v>-163877626</v>
      </c>
    </row>
    <row r="70" spans="2:12" x14ac:dyDescent="0.3">
      <c r="B70" s="733" t="s">
        <v>1116</v>
      </c>
      <c r="C70" s="736">
        <v>-4379818103</v>
      </c>
      <c r="D70" s="736">
        <v>-12379053466</v>
      </c>
      <c r="E70" s="736">
        <v>-1891798946</v>
      </c>
      <c r="F70" s="737">
        <v>-882713762</v>
      </c>
      <c r="I70" s="733" t="s">
        <v>1401</v>
      </c>
      <c r="J70" s="736">
        <v>-1761267714</v>
      </c>
      <c r="K70" s="736">
        <v>13397245769</v>
      </c>
      <c r="L70" s="737">
        <v>-71973691</v>
      </c>
    </row>
    <row r="71" spans="2:12" x14ac:dyDescent="0.3">
      <c r="B71" s="733" t="s">
        <v>1117</v>
      </c>
      <c r="C71" s="736">
        <v>39353193</v>
      </c>
      <c r="D71" s="736">
        <v>170484430</v>
      </c>
      <c r="E71" s="736">
        <v>235476646</v>
      </c>
      <c r="F71" s="737">
        <v>-258461371</v>
      </c>
      <c r="I71" s="733" t="s">
        <v>1402</v>
      </c>
      <c r="J71" s="736">
        <v>135252925</v>
      </c>
      <c r="K71" s="736">
        <v>4173648939</v>
      </c>
      <c r="L71" s="737">
        <v>165885969</v>
      </c>
    </row>
    <row r="72" spans="2:12" x14ac:dyDescent="0.3">
      <c r="B72" s="733" t="s">
        <v>1119</v>
      </c>
      <c r="C72" s="736">
        <v>-4340464910</v>
      </c>
      <c r="D72" s="736">
        <v>-12208569036</v>
      </c>
      <c r="E72" s="736">
        <v>-1656322300</v>
      </c>
      <c r="F72" s="737">
        <v>-1141175133</v>
      </c>
      <c r="I72" s="733" t="s">
        <v>1119</v>
      </c>
      <c r="J72" s="736">
        <v>-1896520639</v>
      </c>
      <c r="K72" s="736">
        <v>9223596830</v>
      </c>
      <c r="L72" s="737">
        <v>-237859660</v>
      </c>
    </row>
    <row r="73" spans="2:12" x14ac:dyDescent="0.3">
      <c r="B73" s="733" t="s">
        <v>1134</v>
      </c>
      <c r="C73" s="734"/>
      <c r="D73" s="734"/>
      <c r="E73" s="734"/>
      <c r="F73" s="735"/>
      <c r="I73" s="733" t="s">
        <v>1403</v>
      </c>
      <c r="J73" s="734"/>
      <c r="K73" s="734"/>
      <c r="L73" s="735"/>
    </row>
    <row r="74" spans="2:12" x14ac:dyDescent="0.3">
      <c r="B74" s="733" t="s">
        <v>1136</v>
      </c>
      <c r="C74" s="736">
        <v>-2204739210</v>
      </c>
      <c r="D74" s="736">
        <v>-6546097733</v>
      </c>
      <c r="E74" s="736">
        <v>-1656322300</v>
      </c>
      <c r="F74" s="737">
        <v>-1141175133</v>
      </c>
      <c r="I74" s="733" t="s">
        <v>1404</v>
      </c>
      <c r="J74" s="736">
        <v>-1896520639</v>
      </c>
      <c r="K74" s="736">
        <v>9636805054</v>
      </c>
      <c r="L74" s="737">
        <v>712821921</v>
      </c>
    </row>
    <row r="75" spans="2:12" x14ac:dyDescent="0.3">
      <c r="B75" s="733" t="s">
        <v>1137</v>
      </c>
      <c r="C75" s="736">
        <v>-2135725700</v>
      </c>
      <c r="D75" s="736">
        <v>-5662471303</v>
      </c>
      <c r="E75" s="734"/>
      <c r="F75" s="735"/>
      <c r="I75" s="733" t="s">
        <v>1405</v>
      </c>
      <c r="J75" s="734"/>
      <c r="K75" s="736">
        <v>-413208224</v>
      </c>
      <c r="L75" s="737">
        <v>-950681581</v>
      </c>
    </row>
    <row r="76" spans="2:12" x14ac:dyDescent="0.3">
      <c r="B76" s="733" t="s">
        <v>1120</v>
      </c>
      <c r="C76" s="736">
        <v>497583489</v>
      </c>
      <c r="D76" s="736">
        <v>1044525476</v>
      </c>
      <c r="E76" s="736">
        <v>25862299</v>
      </c>
      <c r="F76" s="737">
        <v>-26133634</v>
      </c>
      <c r="I76" s="733" t="s">
        <v>1120</v>
      </c>
      <c r="J76" s="736">
        <v>-163699864</v>
      </c>
      <c r="K76" s="736">
        <v>351544157</v>
      </c>
      <c r="L76" s="737">
        <v>553114424</v>
      </c>
    </row>
    <row r="77" spans="2:12" x14ac:dyDescent="0.3">
      <c r="B77" s="733" t="s">
        <v>1406</v>
      </c>
      <c r="C77" s="736">
        <v>34029653</v>
      </c>
      <c r="D77" s="736">
        <v>94080806</v>
      </c>
      <c r="E77" s="736">
        <v>-1776437</v>
      </c>
      <c r="F77" s="737">
        <v>-11083601</v>
      </c>
      <c r="I77" s="733" t="s">
        <v>1294</v>
      </c>
      <c r="J77" s="736">
        <v>34901836</v>
      </c>
      <c r="K77" s="736">
        <v>-12715291</v>
      </c>
      <c r="L77" s="737">
        <v>232383936</v>
      </c>
    </row>
    <row r="78" spans="2:12" x14ac:dyDescent="0.3">
      <c r="B78" s="733" t="s">
        <v>1407</v>
      </c>
      <c r="C78" s="736">
        <v>35055751</v>
      </c>
      <c r="D78" s="736">
        <v>97019939</v>
      </c>
      <c r="E78" s="736">
        <v>-793179</v>
      </c>
      <c r="F78" s="737">
        <v>-7383945</v>
      </c>
      <c r="I78" s="733" t="s">
        <v>1407</v>
      </c>
      <c r="J78" s="736">
        <v>26296425</v>
      </c>
      <c r="K78" s="736">
        <v>-12715291</v>
      </c>
      <c r="L78" s="737">
        <v>232383936</v>
      </c>
    </row>
    <row r="79" spans="2:12" x14ac:dyDescent="0.3">
      <c r="B79" s="733" t="s">
        <v>1408</v>
      </c>
      <c r="C79" s="736">
        <v>-1026098</v>
      </c>
      <c r="D79" s="736">
        <v>-2939133</v>
      </c>
      <c r="E79" s="736">
        <v>-983258</v>
      </c>
      <c r="F79" s="737">
        <v>-3699656</v>
      </c>
      <c r="I79" s="733" t="s">
        <v>1408</v>
      </c>
      <c r="J79" s="736">
        <v>8605411</v>
      </c>
      <c r="K79" s="734"/>
      <c r="L79" s="735"/>
    </row>
    <row r="80" spans="2:12" x14ac:dyDescent="0.3">
      <c r="B80" s="733" t="s">
        <v>1409</v>
      </c>
      <c r="C80" s="736">
        <v>463553836</v>
      </c>
      <c r="D80" s="736">
        <v>950444670</v>
      </c>
      <c r="E80" s="736">
        <v>27638736</v>
      </c>
      <c r="F80" s="737">
        <v>-15050033</v>
      </c>
      <c r="I80" s="733" t="s">
        <v>1296</v>
      </c>
      <c r="J80" s="736">
        <v>-198601700</v>
      </c>
      <c r="K80" s="736">
        <v>364259448</v>
      </c>
      <c r="L80" s="737">
        <v>320730488</v>
      </c>
    </row>
    <row r="81" spans="2:12" x14ac:dyDescent="0.3">
      <c r="B81" s="733" t="s">
        <v>1410</v>
      </c>
      <c r="C81" s="736">
        <v>265905243</v>
      </c>
      <c r="D81" s="736">
        <v>-37305055</v>
      </c>
      <c r="E81" s="736">
        <v>27638736</v>
      </c>
      <c r="F81" s="737">
        <v>-15050033</v>
      </c>
      <c r="I81" s="733" t="s">
        <v>1411</v>
      </c>
      <c r="J81" s="736">
        <v>-198601700</v>
      </c>
      <c r="K81" s="734"/>
      <c r="L81" s="735"/>
    </row>
    <row r="82" spans="2:12" x14ac:dyDescent="0.3">
      <c r="B82" s="733" t="s">
        <v>1412</v>
      </c>
      <c r="C82" s="736">
        <v>197648593</v>
      </c>
      <c r="D82" s="736">
        <v>987749725</v>
      </c>
      <c r="E82" s="734"/>
      <c r="F82" s="735"/>
      <c r="I82" s="733" t="s">
        <v>1413</v>
      </c>
      <c r="J82" s="734"/>
      <c r="K82" s="736">
        <v>98610795</v>
      </c>
      <c r="L82" s="737">
        <v>-14534412</v>
      </c>
    </row>
    <row r="83" spans="2:12" x14ac:dyDescent="0.3">
      <c r="B83" s="733" t="s">
        <v>1133</v>
      </c>
      <c r="C83" s="736">
        <v>-3842881421</v>
      </c>
      <c r="D83" s="736">
        <v>-11164043560</v>
      </c>
      <c r="E83" s="736">
        <v>-1630460001</v>
      </c>
      <c r="F83" s="737">
        <v>-1167308767</v>
      </c>
      <c r="I83" s="733" t="s">
        <v>1414</v>
      </c>
      <c r="J83" s="734"/>
      <c r="K83" s="736">
        <v>265648653</v>
      </c>
      <c r="L83" s="737">
        <v>335264900</v>
      </c>
    </row>
    <row r="84" spans="2:12" x14ac:dyDescent="0.3">
      <c r="B84" s="733" t="s">
        <v>1139</v>
      </c>
      <c r="C84" s="734"/>
      <c r="D84" s="734"/>
      <c r="E84" s="734"/>
      <c r="F84" s="735"/>
      <c r="I84" s="733" t="s">
        <v>1133</v>
      </c>
      <c r="J84" s="736">
        <v>-2060220503</v>
      </c>
      <c r="K84" s="736">
        <v>9575140987</v>
      </c>
      <c r="L84" s="737">
        <v>315254764</v>
      </c>
    </row>
    <row r="85" spans="2:12" x14ac:dyDescent="0.3">
      <c r="B85" s="733" t="s">
        <v>1140</v>
      </c>
      <c r="C85" s="736">
        <v>-2343880445</v>
      </c>
      <c r="D85" s="736">
        <v>-6009284829</v>
      </c>
      <c r="E85" s="736">
        <v>-1630460001</v>
      </c>
      <c r="F85" s="737">
        <v>-1167308767</v>
      </c>
      <c r="I85" s="733" t="s">
        <v>1415</v>
      </c>
      <c r="J85" s="734"/>
      <c r="K85" s="734"/>
      <c r="L85" s="735"/>
    </row>
    <row r="86" spans="2:12" x14ac:dyDescent="0.3">
      <c r="B86" s="733" t="s">
        <v>1142</v>
      </c>
      <c r="C86" s="736">
        <v>-1966184706</v>
      </c>
      <c r="D86" s="736">
        <v>-5154758731</v>
      </c>
      <c r="E86" s="734"/>
      <c r="F86" s="735"/>
      <c r="I86" s="733" t="s">
        <v>1416</v>
      </c>
      <c r="J86" s="736">
        <v>-2060220503</v>
      </c>
      <c r="K86" s="736">
        <v>10010887614</v>
      </c>
      <c r="L86" s="737">
        <v>1076291147</v>
      </c>
    </row>
    <row r="87" spans="2:12" x14ac:dyDescent="0.3">
      <c r="B87" s="733" t="s">
        <v>1143</v>
      </c>
      <c r="C87" s="734"/>
      <c r="D87" s="734"/>
      <c r="E87" s="734"/>
      <c r="F87" s="735"/>
      <c r="I87" s="733" t="s">
        <v>1417</v>
      </c>
      <c r="J87" s="734"/>
      <c r="K87" s="736">
        <v>-435746627</v>
      </c>
      <c r="L87" s="737">
        <v>-761036383</v>
      </c>
    </row>
    <row r="88" spans="2:12" x14ac:dyDescent="0.3">
      <c r="B88" s="738" t="s">
        <v>1144</v>
      </c>
      <c r="C88" s="745">
        <v>-46</v>
      </c>
      <c r="D88" s="745">
        <v>-135</v>
      </c>
      <c r="E88" s="745">
        <v>-34</v>
      </c>
      <c r="F88" s="746">
        <v>-26</v>
      </c>
      <c r="I88" s="733" t="s">
        <v>1143</v>
      </c>
      <c r="J88" s="734"/>
      <c r="K88" s="734"/>
      <c r="L88" s="735"/>
    </row>
    <row r="89" spans="2:12" x14ac:dyDescent="0.3">
      <c r="I89" s="738" t="s">
        <v>1418</v>
      </c>
      <c r="J89" s="745">
        <v>-42</v>
      </c>
      <c r="K89" s="745">
        <v>253</v>
      </c>
      <c r="L89" s="746">
        <v>19</v>
      </c>
    </row>
    <row r="90" spans="2:12" x14ac:dyDescent="0.3">
      <c r="B90" s="741" t="s">
        <v>971</v>
      </c>
      <c r="C90" s="727"/>
      <c r="D90" s="727"/>
      <c r="I90" s="741" t="s">
        <v>971</v>
      </c>
      <c r="J90" s="727"/>
      <c r="K90" s="727"/>
      <c r="L90" s="727"/>
    </row>
    <row r="91" spans="2:12" x14ac:dyDescent="0.3">
      <c r="B91" s="742" t="s">
        <v>1381</v>
      </c>
      <c r="C91" s="727"/>
      <c r="D91" s="727"/>
      <c r="I91" s="742" t="s">
        <v>1382</v>
      </c>
      <c r="J91" s="727"/>
      <c r="K91" s="727"/>
      <c r="L91" s="727"/>
    </row>
    <row r="92" spans="2:12" x14ac:dyDescent="0.3">
      <c r="B92" s="742" t="s">
        <v>1383</v>
      </c>
      <c r="C92" s="727"/>
      <c r="D92" s="727"/>
      <c r="I92" s="742" t="s">
        <v>1384</v>
      </c>
      <c r="J92" s="727"/>
      <c r="K92" s="727"/>
      <c r="L92" s="727"/>
    </row>
    <row r="93" spans="2:12" x14ac:dyDescent="0.3">
      <c r="B93" s="729" t="s">
        <v>865</v>
      </c>
      <c r="C93" s="727"/>
      <c r="D93" s="727"/>
      <c r="I93" s="742" t="s">
        <v>1385</v>
      </c>
      <c r="J93" s="727"/>
      <c r="K93" s="727"/>
      <c r="L93" s="727"/>
    </row>
    <row r="94" spans="2:12" x14ac:dyDescent="0.3">
      <c r="B94" s="730"/>
      <c r="C94" s="731" t="s">
        <v>1386</v>
      </c>
      <c r="D94" s="732" t="s">
        <v>1387</v>
      </c>
      <c r="I94" s="729" t="s">
        <v>865</v>
      </c>
      <c r="J94" s="727"/>
      <c r="K94" s="727"/>
      <c r="L94" s="727"/>
    </row>
    <row r="95" spans="2:12" x14ac:dyDescent="0.3">
      <c r="B95" s="733" t="s">
        <v>1146</v>
      </c>
      <c r="C95" s="736">
        <v>-10002128578</v>
      </c>
      <c r="D95" s="737">
        <v>-6955782712</v>
      </c>
      <c r="I95" s="730"/>
      <c r="J95" s="731" t="s">
        <v>1388</v>
      </c>
      <c r="K95" s="731" t="s">
        <v>1389</v>
      </c>
      <c r="L95" s="732" t="s">
        <v>1390</v>
      </c>
    </row>
    <row r="96" spans="2:12" x14ac:dyDescent="0.3">
      <c r="B96" s="733" t="s">
        <v>1147</v>
      </c>
      <c r="C96" s="736">
        <v>-12208569036</v>
      </c>
      <c r="D96" s="737">
        <v>-1141175133</v>
      </c>
      <c r="I96" s="733" t="s">
        <v>1146</v>
      </c>
      <c r="J96" s="736">
        <v>3288372275</v>
      </c>
      <c r="K96" s="736">
        <v>-2663711513</v>
      </c>
      <c r="L96" s="737">
        <v>-6344995828</v>
      </c>
    </row>
    <row r="97" spans="2:12" x14ac:dyDescent="0.3">
      <c r="B97" s="733" t="s">
        <v>1148</v>
      </c>
      <c r="C97" s="736">
        <v>11791410630</v>
      </c>
      <c r="D97" s="737">
        <v>1590687592</v>
      </c>
      <c r="I97" s="733" t="s">
        <v>1419</v>
      </c>
      <c r="J97" s="736">
        <v>5608728521</v>
      </c>
      <c r="K97" s="736">
        <v>390663032</v>
      </c>
      <c r="L97" s="737">
        <v>-3602167597</v>
      </c>
    </row>
    <row r="98" spans="2:12" x14ac:dyDescent="0.3">
      <c r="B98" s="733" t="s">
        <v>1300</v>
      </c>
      <c r="C98" s="736">
        <v>-2905285524</v>
      </c>
      <c r="D98" s="735"/>
      <c r="I98" s="733" t="s">
        <v>1420</v>
      </c>
      <c r="J98" s="736">
        <v>-1896520639</v>
      </c>
      <c r="K98" s="736">
        <v>9223596830</v>
      </c>
      <c r="L98" s="737">
        <v>-237859660</v>
      </c>
    </row>
    <row r="99" spans="2:12" x14ac:dyDescent="0.3">
      <c r="B99" s="733" t="s">
        <v>1163</v>
      </c>
      <c r="C99" s="736">
        <v>4942111778</v>
      </c>
      <c r="D99" s="737">
        <v>502702885</v>
      </c>
      <c r="I99" s="733" t="s">
        <v>1421</v>
      </c>
      <c r="J99" s="736">
        <v>4863784620</v>
      </c>
      <c r="K99" s="736">
        <v>-354757655</v>
      </c>
      <c r="L99" s="737">
        <v>7486628415</v>
      </c>
    </row>
    <row r="100" spans="2:12" x14ac:dyDescent="0.3">
      <c r="B100" s="733" t="s">
        <v>1165</v>
      </c>
      <c r="C100" s="736">
        <v>443602719</v>
      </c>
      <c r="D100" s="737">
        <v>104926254</v>
      </c>
      <c r="I100" s="733" t="s">
        <v>1422</v>
      </c>
      <c r="J100" s="734"/>
      <c r="K100" s="736">
        <v>1314235561</v>
      </c>
      <c r="L100" s="737">
        <v>236905406</v>
      </c>
    </row>
    <row r="101" spans="2:12" x14ac:dyDescent="0.3">
      <c r="B101" s="733" t="s">
        <v>1423</v>
      </c>
      <c r="C101" s="736">
        <v>1351813422</v>
      </c>
      <c r="D101" s="737">
        <v>1126633260</v>
      </c>
      <c r="I101" s="733" t="s">
        <v>1424</v>
      </c>
      <c r="J101" s="736">
        <v>20000000</v>
      </c>
      <c r="K101" s="736">
        <v>80509</v>
      </c>
      <c r="L101" s="735"/>
    </row>
    <row r="102" spans="2:12" x14ac:dyDescent="0.3">
      <c r="B102" s="733" t="s">
        <v>1185</v>
      </c>
      <c r="C102" s="736">
        <v>54418694</v>
      </c>
      <c r="D102" s="737">
        <v>2105300</v>
      </c>
      <c r="I102" s="733" t="s">
        <v>1425</v>
      </c>
      <c r="J102" s="736">
        <v>670849626</v>
      </c>
      <c r="K102" s="736">
        <v>3047601504</v>
      </c>
      <c r="L102" s="737">
        <v>2877323293</v>
      </c>
    </row>
    <row r="103" spans="2:12" x14ac:dyDescent="0.3">
      <c r="B103" s="733" t="s">
        <v>1426</v>
      </c>
      <c r="C103" s="736">
        <v>292662</v>
      </c>
      <c r="D103" s="737">
        <v>191705632</v>
      </c>
      <c r="I103" s="733" t="s">
        <v>1427</v>
      </c>
      <c r="J103" s="736">
        <v>139756098</v>
      </c>
      <c r="K103" s="736">
        <v>690088337</v>
      </c>
      <c r="L103" s="737">
        <v>787196192</v>
      </c>
    </row>
    <row r="104" spans="2:12" x14ac:dyDescent="0.3">
      <c r="B104" s="733" t="s">
        <v>1161</v>
      </c>
      <c r="C104" s="736">
        <v>1207435460</v>
      </c>
      <c r="D104" s="737">
        <v>709521012</v>
      </c>
      <c r="I104" s="733" t="s">
        <v>1428</v>
      </c>
      <c r="J104" s="736">
        <v>946028016</v>
      </c>
      <c r="K104" s="736">
        <v>1918551598</v>
      </c>
      <c r="L104" s="737">
        <v>1954244777</v>
      </c>
    </row>
    <row r="105" spans="2:12" x14ac:dyDescent="0.3">
      <c r="B105" s="733" t="s">
        <v>1153</v>
      </c>
      <c r="C105" s="736">
        <v>-170484430</v>
      </c>
      <c r="D105" s="737">
        <v>258461371</v>
      </c>
      <c r="I105" s="733" t="s">
        <v>1429</v>
      </c>
      <c r="J105" s="736">
        <v>3121094666</v>
      </c>
      <c r="K105" s="736">
        <v>303066660</v>
      </c>
      <c r="L105" s="737">
        <v>187607840</v>
      </c>
    </row>
    <row r="106" spans="2:12" x14ac:dyDescent="0.3">
      <c r="B106" s="733" t="s">
        <v>1430</v>
      </c>
      <c r="C106" s="736">
        <v>-110423678</v>
      </c>
      <c r="D106" s="737">
        <v>-65983893</v>
      </c>
      <c r="I106" s="733" t="s">
        <v>1431</v>
      </c>
      <c r="J106" s="736">
        <v>243821105</v>
      </c>
      <c r="K106" s="736">
        <v>112282744</v>
      </c>
      <c r="L106" s="735"/>
    </row>
    <row r="107" spans="2:12" x14ac:dyDescent="0.3">
      <c r="B107" s="733" t="s">
        <v>1183</v>
      </c>
      <c r="C107" s="736">
        <v>-64744357</v>
      </c>
      <c r="D107" s="737">
        <v>-7296000</v>
      </c>
      <c r="I107" s="733" t="s">
        <v>1432</v>
      </c>
      <c r="J107" s="736">
        <v>4252967</v>
      </c>
      <c r="K107" s="736">
        <v>43798315</v>
      </c>
      <c r="L107" s="737">
        <v>38808295</v>
      </c>
    </row>
    <row r="108" spans="2:12" x14ac:dyDescent="0.3">
      <c r="B108" s="733" t="s">
        <v>1433</v>
      </c>
      <c r="C108" s="734"/>
      <c r="D108" s="737">
        <v>-55371427</v>
      </c>
      <c r="I108" s="733" t="s">
        <v>1434</v>
      </c>
      <c r="J108" s="734"/>
      <c r="K108" s="736">
        <v>1000</v>
      </c>
      <c r="L108" s="737">
        <v>19378821</v>
      </c>
    </row>
    <row r="109" spans="2:12" x14ac:dyDescent="0.3">
      <c r="B109" s="733" t="s">
        <v>1171</v>
      </c>
      <c r="C109" s="734"/>
      <c r="D109" s="737">
        <v>-1031879752</v>
      </c>
      <c r="I109" s="733" t="s">
        <v>1435</v>
      </c>
      <c r="J109" s="736">
        <v>191784447</v>
      </c>
      <c r="K109" s="736">
        <v>2588927</v>
      </c>
      <c r="L109" s="737">
        <v>2120223</v>
      </c>
    </row>
    <row r="110" spans="2:12" x14ac:dyDescent="0.3">
      <c r="B110" s="733" t="s">
        <v>1169</v>
      </c>
      <c r="C110" s="736">
        <v>3100545997</v>
      </c>
      <c r="D110" s="737">
        <v>47569984</v>
      </c>
      <c r="I110" s="733" t="s">
        <v>1436</v>
      </c>
      <c r="J110" s="736">
        <v>35607550</v>
      </c>
      <c r="K110" s="736">
        <v>732494147</v>
      </c>
      <c r="L110" s="737">
        <v>195749128</v>
      </c>
    </row>
    <row r="111" spans="2:12" x14ac:dyDescent="0.3">
      <c r="B111" s="733" t="s">
        <v>1167</v>
      </c>
      <c r="C111" s="736">
        <v>-1105094597</v>
      </c>
      <c r="D111" s="737">
        <v>-29321582</v>
      </c>
      <c r="I111" s="733" t="s">
        <v>1437</v>
      </c>
      <c r="J111" s="736">
        <v>1107586246</v>
      </c>
      <c r="K111" s="736">
        <v>3060106790</v>
      </c>
      <c r="L111" s="737">
        <v>3136507615</v>
      </c>
    </row>
    <row r="112" spans="2:12" x14ac:dyDescent="0.3">
      <c r="B112" s="733" t="s">
        <v>1307</v>
      </c>
      <c r="C112" s="736">
        <v>1031599703</v>
      </c>
      <c r="D112" s="737">
        <v>502287090</v>
      </c>
      <c r="I112" s="733" t="s">
        <v>1438</v>
      </c>
      <c r="J112" s="736">
        <v>922811755</v>
      </c>
      <c r="K112" s="736">
        <v>315282460</v>
      </c>
      <c r="L112" s="737">
        <v>11997168</v>
      </c>
    </row>
    <row r="113" spans="2:12" x14ac:dyDescent="0.3">
      <c r="B113" s="733" t="s">
        <v>1439</v>
      </c>
      <c r="C113" s="736">
        <v>-752851357</v>
      </c>
      <c r="D113" s="737">
        <v>-83475233</v>
      </c>
      <c r="I113" s="733" t="s">
        <v>1440</v>
      </c>
      <c r="J113" s="736">
        <v>29309957</v>
      </c>
      <c r="K113" s="734"/>
      <c r="L113" s="735"/>
    </row>
    <row r="114" spans="2:12" x14ac:dyDescent="0.3">
      <c r="B114" s="733" t="s">
        <v>1177</v>
      </c>
      <c r="C114" s="736">
        <v>1636946097</v>
      </c>
      <c r="D114" s="735"/>
      <c r="I114" s="733" t="s">
        <v>1441</v>
      </c>
      <c r="J114" s="736">
        <v>135252925</v>
      </c>
      <c r="K114" s="736">
        <v>4173648939</v>
      </c>
      <c r="L114" s="737">
        <v>165885969</v>
      </c>
    </row>
    <row r="115" spans="2:12" x14ac:dyDescent="0.3">
      <c r="B115" s="733" t="s">
        <v>1442</v>
      </c>
      <c r="C115" s="736">
        <v>154533759</v>
      </c>
      <c r="D115" s="737">
        <v>243821105</v>
      </c>
      <c r="I115" s="733" t="s">
        <v>1443</v>
      </c>
      <c r="J115" s="736">
        <v>-128949779</v>
      </c>
      <c r="K115" s="734"/>
      <c r="L115" s="737">
        <v>-23730214</v>
      </c>
    </row>
    <row r="116" spans="2:12" x14ac:dyDescent="0.3">
      <c r="B116" s="733" t="s">
        <v>1444</v>
      </c>
      <c r="C116" s="736">
        <v>-114619686</v>
      </c>
      <c r="D116" s="737">
        <v>-2193970438</v>
      </c>
      <c r="I116" s="733" t="s">
        <v>1445</v>
      </c>
      <c r="J116" s="736">
        <v>-2193970438</v>
      </c>
      <c r="K116" s="736">
        <v>-1902573561</v>
      </c>
      <c r="L116" s="735"/>
    </row>
    <row r="117" spans="2:12" x14ac:dyDescent="0.3">
      <c r="B117" s="733" t="s">
        <v>1446</v>
      </c>
      <c r="C117" s="736">
        <v>614342963</v>
      </c>
      <c r="D117" s="737">
        <v>900362871</v>
      </c>
      <c r="I117" s="733" t="s">
        <v>1447</v>
      </c>
      <c r="J117" s="736">
        <v>1483555621</v>
      </c>
      <c r="K117" s="736">
        <v>823402975</v>
      </c>
      <c r="L117" s="735"/>
    </row>
    <row r="118" spans="2:12" x14ac:dyDescent="0.3">
      <c r="B118" s="733" t="s">
        <v>1448</v>
      </c>
      <c r="C118" s="736">
        <v>-1038791</v>
      </c>
      <c r="D118" s="735"/>
      <c r="I118" s="733" t="s">
        <v>1449</v>
      </c>
      <c r="J118" s="734"/>
      <c r="K118" s="736">
        <v>-624568569</v>
      </c>
      <c r="L118" s="735"/>
    </row>
    <row r="119" spans="2:12" x14ac:dyDescent="0.3">
      <c r="B119" s="733" t="s">
        <v>1301</v>
      </c>
      <c r="C119" s="736">
        <v>141629797</v>
      </c>
      <c r="D119" s="735"/>
      <c r="I119" s="733" t="s">
        <v>1450</v>
      </c>
      <c r="J119" s="736">
        <v>-7650000</v>
      </c>
      <c r="K119" s="736">
        <v>-4853091</v>
      </c>
      <c r="L119" s="737">
        <v>-12993997</v>
      </c>
    </row>
    <row r="120" spans="2:12" x14ac:dyDescent="0.3">
      <c r="B120" s="733" t="s">
        <v>1451</v>
      </c>
      <c r="C120" s="736">
        <v>37919495</v>
      </c>
      <c r="D120" s="735"/>
      <c r="I120" s="733" t="s">
        <v>1452</v>
      </c>
      <c r="J120" s="736">
        <v>-55371427</v>
      </c>
      <c r="K120" s="734"/>
      <c r="L120" s="735"/>
    </row>
    <row r="121" spans="2:12" x14ac:dyDescent="0.3">
      <c r="B121" s="733" t="s">
        <v>1155</v>
      </c>
      <c r="C121" s="736">
        <v>-311628824</v>
      </c>
      <c r="D121" s="737">
        <v>-357270087</v>
      </c>
      <c r="I121" s="733" t="s">
        <v>1453</v>
      </c>
      <c r="J121" s="736">
        <v>-1031879752</v>
      </c>
      <c r="K121" s="734"/>
      <c r="L121" s="735"/>
    </row>
    <row r="122" spans="2:12" x14ac:dyDescent="0.3">
      <c r="B122" s="733" t="s">
        <v>1159</v>
      </c>
      <c r="C122" s="736">
        <v>2505999048</v>
      </c>
      <c r="D122" s="737">
        <v>826307740</v>
      </c>
      <c r="I122" s="733" t="s">
        <v>1454</v>
      </c>
      <c r="J122" s="736">
        <v>-557484492</v>
      </c>
      <c r="K122" s="736">
        <v>-682718628</v>
      </c>
      <c r="L122" s="737">
        <v>-784195161</v>
      </c>
    </row>
    <row r="123" spans="2:12" x14ac:dyDescent="0.3">
      <c r="B123" s="733" t="s">
        <v>1157</v>
      </c>
      <c r="C123" s="734"/>
      <c r="D123" s="737">
        <v>-1148500</v>
      </c>
      <c r="I123" s="733" t="s">
        <v>1455</v>
      </c>
      <c r="J123" s="736">
        <v>-1148500</v>
      </c>
      <c r="K123" s="734"/>
      <c r="L123" s="735"/>
    </row>
    <row r="124" spans="2:12" x14ac:dyDescent="0.3">
      <c r="B124" s="733" t="s">
        <v>1456</v>
      </c>
      <c r="C124" s="736">
        <v>-2576712</v>
      </c>
      <c r="D124" s="735"/>
      <c r="I124" s="733" t="s">
        <v>1457</v>
      </c>
      <c r="J124" s="736">
        <v>-81423351</v>
      </c>
      <c r="K124" s="736">
        <v>-936098154</v>
      </c>
      <c r="L124" s="737">
        <v>-1107901283</v>
      </c>
    </row>
    <row r="125" spans="2:12" x14ac:dyDescent="0.3">
      <c r="B125" s="733" t="s">
        <v>1322</v>
      </c>
      <c r="C125" s="736">
        <v>-28805202</v>
      </c>
      <c r="D125" s="735"/>
      <c r="I125" s="733" t="s">
        <v>1458</v>
      </c>
      <c r="J125" s="736">
        <v>-130048620</v>
      </c>
      <c r="K125" s="736">
        <v>-58551559</v>
      </c>
      <c r="L125" s="737">
        <v>-198275657</v>
      </c>
    </row>
    <row r="126" spans="2:12" x14ac:dyDescent="0.3">
      <c r="B126" s="733" t="s">
        <v>1191</v>
      </c>
      <c r="C126" s="736">
        <v>135772194</v>
      </c>
      <c r="D126" s="735"/>
      <c r="I126" s="733" t="s">
        <v>1459</v>
      </c>
      <c r="J126" s="734"/>
      <c r="K126" s="736">
        <v>-12873224559</v>
      </c>
      <c r="L126" s="735"/>
    </row>
    <row r="127" spans="2:12" x14ac:dyDescent="0.3">
      <c r="B127" s="733" t="s">
        <v>1150</v>
      </c>
      <c r="C127" s="736">
        <v>-8040287012</v>
      </c>
      <c r="D127" s="737">
        <v>-5445010933</v>
      </c>
      <c r="I127" s="733" t="s">
        <v>1460</v>
      </c>
      <c r="J127" s="734"/>
      <c r="K127" s="736">
        <v>190600000</v>
      </c>
      <c r="L127" s="735"/>
    </row>
    <row r="128" spans="2:12" x14ac:dyDescent="0.3">
      <c r="B128" s="733" t="s">
        <v>1461</v>
      </c>
      <c r="C128" s="736">
        <v>-7474700047</v>
      </c>
      <c r="D128" s="737">
        <v>3479931063</v>
      </c>
      <c r="I128" s="733" t="s">
        <v>1462</v>
      </c>
      <c r="J128" s="736">
        <v>2641464540</v>
      </c>
      <c r="K128" s="736">
        <v>-8478176143</v>
      </c>
      <c r="L128" s="737">
        <v>-10850936352</v>
      </c>
    </row>
    <row r="129" spans="2:12" x14ac:dyDescent="0.3">
      <c r="B129" s="733" t="s">
        <v>1463</v>
      </c>
      <c r="C129" s="736">
        <v>-17504188</v>
      </c>
      <c r="D129" s="737">
        <v>-47688220</v>
      </c>
      <c r="I129" s="733" t="s">
        <v>1464</v>
      </c>
      <c r="J129" s="736">
        <v>4035125421</v>
      </c>
      <c r="K129" s="736">
        <v>735716582</v>
      </c>
      <c r="L129" s="737">
        <v>-4215665092</v>
      </c>
    </row>
    <row r="130" spans="2:12" x14ac:dyDescent="0.3">
      <c r="B130" s="733" t="s">
        <v>1465</v>
      </c>
      <c r="C130" s="736">
        <v>-4181474964</v>
      </c>
      <c r="D130" s="737">
        <v>-983253182</v>
      </c>
      <c r="I130" s="733" t="s">
        <v>1466</v>
      </c>
      <c r="J130" s="736">
        <v>-92211663</v>
      </c>
      <c r="K130" s="736">
        <v>13819058</v>
      </c>
      <c r="L130" s="737">
        <v>71312801</v>
      </c>
    </row>
    <row r="131" spans="2:12" x14ac:dyDescent="0.3">
      <c r="B131" s="733" t="s">
        <v>1467</v>
      </c>
      <c r="C131" s="736">
        <v>-56171770</v>
      </c>
      <c r="D131" s="737">
        <v>-129851766</v>
      </c>
      <c r="I131" s="733" t="s">
        <v>1468</v>
      </c>
      <c r="J131" s="736">
        <v>-397870182</v>
      </c>
      <c r="K131" s="736">
        <v>2890871586</v>
      </c>
      <c r="L131" s="737">
        <v>173675447</v>
      </c>
    </row>
    <row r="132" spans="2:12" x14ac:dyDescent="0.3">
      <c r="B132" s="733" t="s">
        <v>1469</v>
      </c>
      <c r="C132" s="736">
        <v>-256040525</v>
      </c>
      <c r="D132" s="735"/>
      <c r="I132" s="733" t="s">
        <v>1470</v>
      </c>
      <c r="J132" s="736">
        <v>-66457064</v>
      </c>
      <c r="K132" s="736">
        <v>233887977</v>
      </c>
      <c r="L132" s="737">
        <v>-176625972</v>
      </c>
    </row>
    <row r="133" spans="2:12" x14ac:dyDescent="0.3">
      <c r="B133" s="733" t="s">
        <v>1471</v>
      </c>
      <c r="C133" s="736">
        <v>-64332628</v>
      </c>
      <c r="D133" s="737">
        <v>-106140847</v>
      </c>
      <c r="I133" s="733" t="s">
        <v>1472</v>
      </c>
      <c r="J133" s="734"/>
      <c r="K133" s="736">
        <v>-149282081</v>
      </c>
      <c r="L133" s="737">
        <v>-132237482</v>
      </c>
    </row>
    <row r="134" spans="2:12" x14ac:dyDescent="0.3">
      <c r="B134" s="733" t="s">
        <v>1473</v>
      </c>
      <c r="C134" s="736">
        <v>99400</v>
      </c>
      <c r="D134" s="735"/>
      <c r="I134" s="733" t="s">
        <v>1474</v>
      </c>
      <c r="J134" s="736">
        <v>-99400</v>
      </c>
      <c r="K134" s="734"/>
      <c r="L134" s="735"/>
    </row>
    <row r="135" spans="2:12" x14ac:dyDescent="0.3">
      <c r="B135" s="733" t="s">
        <v>1199</v>
      </c>
      <c r="C135" s="736">
        <v>-3724970254</v>
      </c>
      <c r="D135" s="737">
        <v>-3413256110</v>
      </c>
      <c r="I135" s="733" t="s">
        <v>1475</v>
      </c>
      <c r="J135" s="734"/>
      <c r="K135" s="734"/>
      <c r="L135" s="737">
        <v>5000000</v>
      </c>
    </row>
    <row r="136" spans="2:12" x14ac:dyDescent="0.3">
      <c r="B136" s="733" t="s">
        <v>1476</v>
      </c>
      <c r="C136" s="736">
        <v>13945637146</v>
      </c>
      <c r="D136" s="737">
        <v>-3719263292</v>
      </c>
      <c r="I136" s="733" t="s">
        <v>1477</v>
      </c>
      <c r="J136" s="736">
        <v>-686100704</v>
      </c>
      <c r="K136" s="736">
        <v>5797839741</v>
      </c>
      <c r="L136" s="737">
        <v>-2586532506</v>
      </c>
    </row>
    <row r="137" spans="2:12" x14ac:dyDescent="0.3">
      <c r="B137" s="733" t="s">
        <v>1478</v>
      </c>
      <c r="C137" s="736">
        <v>50367278</v>
      </c>
      <c r="D137" s="737">
        <v>-200294817</v>
      </c>
      <c r="I137" s="733" t="s">
        <v>1479</v>
      </c>
      <c r="J137" s="736">
        <v>536921704</v>
      </c>
      <c r="K137" s="736">
        <v>-16416144630</v>
      </c>
      <c r="L137" s="737">
        <v>-5483244370</v>
      </c>
    </row>
    <row r="138" spans="2:12" x14ac:dyDescent="0.3">
      <c r="B138" s="733" t="s">
        <v>1480</v>
      </c>
      <c r="C138" s="736">
        <v>-5348363319</v>
      </c>
      <c r="D138" s="735"/>
      <c r="I138" s="733" t="s">
        <v>1481</v>
      </c>
      <c r="J138" s="736">
        <v>-33489801</v>
      </c>
      <c r="K138" s="736">
        <v>-1579465970</v>
      </c>
      <c r="L138" s="737">
        <v>1796345613</v>
      </c>
    </row>
    <row r="139" spans="2:12" x14ac:dyDescent="0.3">
      <c r="B139" s="733" t="s">
        <v>1482</v>
      </c>
      <c r="C139" s="736">
        <v>697952436</v>
      </c>
      <c r="D139" s="737">
        <v>199278348</v>
      </c>
      <c r="I139" s="733" t="s">
        <v>1483</v>
      </c>
      <c r="J139" s="736">
        <v>201173636</v>
      </c>
      <c r="K139" s="736">
        <v>694795090</v>
      </c>
      <c r="L139" s="737">
        <v>-192775063</v>
      </c>
    </row>
    <row r="140" spans="2:12" x14ac:dyDescent="0.3">
      <c r="B140" s="733" t="s">
        <v>1484</v>
      </c>
      <c r="C140" s="736">
        <v>-12572475</v>
      </c>
      <c r="D140" s="737">
        <v>623818959</v>
      </c>
      <c r="I140" s="733" t="s">
        <v>1485</v>
      </c>
      <c r="J140" s="736">
        <v>-36397088</v>
      </c>
      <c r="K140" s="736">
        <v>316321182</v>
      </c>
      <c r="L140" s="737">
        <v>-107023393</v>
      </c>
    </row>
    <row r="141" spans="2:12" x14ac:dyDescent="0.3">
      <c r="B141" s="733" t="s">
        <v>1486</v>
      </c>
      <c r="C141" s="736">
        <v>27785221</v>
      </c>
      <c r="D141" s="737">
        <v>-160120</v>
      </c>
      <c r="I141" s="733" t="s">
        <v>1487</v>
      </c>
      <c r="J141" s="736">
        <v>2439400</v>
      </c>
      <c r="K141" s="736">
        <v>-272477400</v>
      </c>
      <c r="L141" s="737">
        <v>-72152721</v>
      </c>
    </row>
    <row r="142" spans="2:12" x14ac:dyDescent="0.3">
      <c r="B142" s="733" t="s">
        <v>1488</v>
      </c>
      <c r="C142" s="736">
        <v>350000000</v>
      </c>
      <c r="D142" s="735"/>
      <c r="I142" s="733" t="s">
        <v>1489</v>
      </c>
      <c r="J142" s="736">
        <v>-451519256</v>
      </c>
      <c r="K142" s="736">
        <v>260118893</v>
      </c>
      <c r="L142" s="737">
        <v>250072055</v>
      </c>
    </row>
    <row r="143" spans="2:12" x14ac:dyDescent="0.3">
      <c r="B143" s="733" t="s">
        <v>1490</v>
      </c>
      <c r="C143" s="736">
        <v>-316759767</v>
      </c>
      <c r="D143" s="737">
        <v>-807406629</v>
      </c>
      <c r="I143" s="733" t="s">
        <v>1491</v>
      </c>
      <c r="J143" s="736">
        <v>-45938933</v>
      </c>
      <c r="K143" s="736">
        <v>5510702</v>
      </c>
      <c r="L143" s="737">
        <v>-23188283</v>
      </c>
    </row>
    <row r="144" spans="2:12" x14ac:dyDescent="0.3">
      <c r="B144" s="733" t="s">
        <v>1492</v>
      </c>
      <c r="C144" s="736">
        <v>-23308102</v>
      </c>
      <c r="D144" s="737">
        <v>-104406790</v>
      </c>
      <c r="I144" s="733" t="s">
        <v>1493</v>
      </c>
      <c r="J144" s="734"/>
      <c r="K144" s="734"/>
      <c r="L144" s="737">
        <v>249137306</v>
      </c>
    </row>
    <row r="145" spans="2:12" x14ac:dyDescent="0.3">
      <c r="B145" s="733" t="s">
        <v>1494</v>
      </c>
      <c r="C145" s="736">
        <v>-425158580</v>
      </c>
      <c r="D145" s="735"/>
      <c r="I145" s="733" t="s">
        <v>1495</v>
      </c>
      <c r="J145" s="736">
        <v>3000000</v>
      </c>
      <c r="K145" s="736">
        <v>133048396</v>
      </c>
      <c r="L145" s="737">
        <v>63248396</v>
      </c>
    </row>
    <row r="146" spans="2:12" x14ac:dyDescent="0.3">
      <c r="B146" s="733" t="s">
        <v>1496</v>
      </c>
      <c r="C146" s="736">
        <v>47000000</v>
      </c>
      <c r="D146" s="737">
        <v>3000000</v>
      </c>
      <c r="I146" s="733" t="s">
        <v>1497</v>
      </c>
      <c r="J146" s="736">
        <v>-327111530</v>
      </c>
      <c r="K146" s="736">
        <v>-1521342310</v>
      </c>
      <c r="L146" s="737">
        <v>-631744410</v>
      </c>
    </row>
    <row r="147" spans="2:12" x14ac:dyDescent="0.3">
      <c r="B147" s="733" t="s">
        <v>1207</v>
      </c>
      <c r="C147" s="736">
        <v>-1260131874</v>
      </c>
      <c r="D147" s="737">
        <v>-239317530</v>
      </c>
      <c r="I147" s="733" t="s">
        <v>1498</v>
      </c>
      <c r="J147" s="734"/>
      <c r="K147" s="736">
        <v>3482100</v>
      </c>
      <c r="L147" s="735"/>
    </row>
    <row r="148" spans="2:12" x14ac:dyDescent="0.3">
      <c r="B148" s="733" t="s">
        <v>1499</v>
      </c>
      <c r="C148" s="736">
        <v>2360000</v>
      </c>
      <c r="D148" s="735"/>
      <c r="I148" s="733" t="s">
        <v>1500</v>
      </c>
      <c r="J148" s="734"/>
      <c r="K148" s="736">
        <v>375124941</v>
      </c>
      <c r="L148" s="737">
        <v>161461322</v>
      </c>
    </row>
    <row r="149" spans="2:12" x14ac:dyDescent="0.3">
      <c r="B149" s="733" t="s">
        <v>1209</v>
      </c>
      <c r="C149" s="736">
        <v>328449834</v>
      </c>
      <c r="D149" s="737">
        <v>381242907</v>
      </c>
      <c r="I149" s="733" t="s">
        <v>1501</v>
      </c>
      <c r="J149" s="736">
        <v>448448884</v>
      </c>
      <c r="K149" s="736">
        <v>860101835</v>
      </c>
      <c r="L149" s="737">
        <v>356245436</v>
      </c>
    </row>
    <row r="150" spans="2:12" x14ac:dyDescent="0.3">
      <c r="B150" s="733" t="s">
        <v>1211</v>
      </c>
      <c r="C150" s="736">
        <v>-1625996133</v>
      </c>
      <c r="D150" s="737">
        <v>-838259108</v>
      </c>
      <c r="I150" s="733" t="s">
        <v>1502</v>
      </c>
      <c r="J150" s="736">
        <v>-1102577034</v>
      </c>
      <c r="K150" s="736">
        <v>-3040924648</v>
      </c>
      <c r="L150" s="737">
        <v>-3104991709</v>
      </c>
    </row>
    <row r="151" spans="2:12" x14ac:dyDescent="0.3">
      <c r="B151" s="733" t="s">
        <v>1210</v>
      </c>
      <c r="C151" s="734"/>
      <c r="D151" s="737">
        <v>1148500</v>
      </c>
      <c r="I151" s="733" t="s">
        <v>1210</v>
      </c>
      <c r="J151" s="736">
        <v>1148500</v>
      </c>
      <c r="K151" s="734"/>
      <c r="L151" s="735"/>
    </row>
    <row r="152" spans="2:12" x14ac:dyDescent="0.3">
      <c r="B152" s="733" t="s">
        <v>1503</v>
      </c>
      <c r="C152" s="736">
        <v>-247136861</v>
      </c>
      <c r="D152" s="737">
        <v>-1504416537</v>
      </c>
      <c r="I152" s="733" t="s">
        <v>1504</v>
      </c>
      <c r="J152" s="736">
        <v>-1667376596</v>
      </c>
      <c r="K152" s="736">
        <v>-873551732</v>
      </c>
      <c r="L152" s="737">
        <v>5918042</v>
      </c>
    </row>
    <row r="153" spans="2:12" x14ac:dyDescent="0.3">
      <c r="B153" s="733" t="s">
        <v>1160</v>
      </c>
      <c r="C153" s="736">
        <v>-5686121446</v>
      </c>
      <c r="D153" s="737">
        <v>-55436780</v>
      </c>
      <c r="I153" s="733" t="s">
        <v>1160</v>
      </c>
      <c r="J153" s="736">
        <v>-11978430454</v>
      </c>
      <c r="K153" s="736">
        <v>-86902094523</v>
      </c>
      <c r="L153" s="737">
        <v>-13004183164</v>
      </c>
    </row>
    <row r="154" spans="2:12" x14ac:dyDescent="0.3">
      <c r="B154" s="733" t="s">
        <v>1505</v>
      </c>
      <c r="C154" s="736">
        <v>242090815</v>
      </c>
      <c r="D154" s="737">
        <v>900000000</v>
      </c>
      <c r="I154" s="733" t="s">
        <v>1506</v>
      </c>
      <c r="J154" s="736">
        <v>54012228662</v>
      </c>
      <c r="K154" s="736">
        <v>20964664497</v>
      </c>
      <c r="L154" s="737">
        <v>35558285400</v>
      </c>
    </row>
    <row r="155" spans="2:12" x14ac:dyDescent="0.3">
      <c r="B155" s="733" t="s">
        <v>1215</v>
      </c>
      <c r="C155" s="736">
        <v>1000000000</v>
      </c>
      <c r="D155" s="737">
        <v>3325500000</v>
      </c>
      <c r="I155" s="733" t="s">
        <v>1507</v>
      </c>
      <c r="J155" s="736">
        <v>900000000</v>
      </c>
      <c r="K155" s="736">
        <v>4526718089</v>
      </c>
      <c r="L155" s="737">
        <v>18738000000</v>
      </c>
    </row>
    <row r="156" spans="2:12" x14ac:dyDescent="0.3">
      <c r="B156" s="733" t="s">
        <v>1508</v>
      </c>
      <c r="C156" s="736">
        <v>1685005957</v>
      </c>
      <c r="D156" s="737">
        <v>8510594572</v>
      </c>
      <c r="I156" s="733" t="s">
        <v>1509</v>
      </c>
      <c r="J156" s="736">
        <v>3900000000</v>
      </c>
      <c r="K156" s="736">
        <v>5815404999</v>
      </c>
      <c r="L156" s="737">
        <v>2238050000</v>
      </c>
    </row>
    <row r="157" spans="2:12" x14ac:dyDescent="0.3">
      <c r="B157" s="733" t="s">
        <v>1510</v>
      </c>
      <c r="C157" s="736">
        <v>4738500</v>
      </c>
      <c r="D157" s="737">
        <v>1350000</v>
      </c>
      <c r="I157" s="733" t="s">
        <v>1511</v>
      </c>
      <c r="J157" s="736">
        <v>8510594572</v>
      </c>
      <c r="K157" s="736">
        <v>9086099768</v>
      </c>
      <c r="L157" s="735"/>
    </row>
    <row r="158" spans="2:12" x14ac:dyDescent="0.3">
      <c r="B158" s="733" t="s">
        <v>1214</v>
      </c>
      <c r="C158" s="734"/>
      <c r="D158" s="737">
        <v>2146879752</v>
      </c>
      <c r="I158" s="733" t="s">
        <v>1512</v>
      </c>
      <c r="J158" s="736">
        <v>1350000</v>
      </c>
      <c r="K158" s="736">
        <v>572889990</v>
      </c>
      <c r="L158" s="737">
        <v>406722600</v>
      </c>
    </row>
    <row r="159" spans="2:12" x14ac:dyDescent="0.3">
      <c r="B159" s="733" t="s">
        <v>1513</v>
      </c>
      <c r="C159" s="736">
        <v>6412338</v>
      </c>
      <c r="D159" s="737">
        <v>323405466</v>
      </c>
      <c r="I159" s="733" t="s">
        <v>1514</v>
      </c>
      <c r="J159" s="736">
        <v>2146879752</v>
      </c>
      <c r="K159" s="734"/>
      <c r="L159" s="735"/>
    </row>
    <row r="160" spans="2:12" x14ac:dyDescent="0.3">
      <c r="B160" s="733" t="s">
        <v>1515</v>
      </c>
      <c r="C160" s="736">
        <v>61304400</v>
      </c>
      <c r="D160" s="737">
        <v>95674330</v>
      </c>
      <c r="I160" s="733" t="s">
        <v>1516</v>
      </c>
      <c r="J160" s="736">
        <v>327801651</v>
      </c>
      <c r="K160" s="736">
        <v>19975773</v>
      </c>
      <c r="L160" s="737">
        <v>63704777</v>
      </c>
    </row>
    <row r="161" spans="2:12" x14ac:dyDescent="0.3">
      <c r="B161" s="733" t="s">
        <v>1174</v>
      </c>
      <c r="C161" s="736">
        <v>2770651840</v>
      </c>
      <c r="D161" s="737">
        <v>355206161</v>
      </c>
      <c r="I161" s="733" t="s">
        <v>1517</v>
      </c>
      <c r="J161" s="736">
        <v>169487300</v>
      </c>
      <c r="K161" s="736">
        <v>105391650</v>
      </c>
      <c r="L161" s="735"/>
    </row>
    <row r="162" spans="2:12" x14ac:dyDescent="0.3">
      <c r="B162" s="733" t="s">
        <v>1518</v>
      </c>
      <c r="C162" s="736">
        <v>260679610</v>
      </c>
      <c r="D162" s="735"/>
      <c r="I162" s="733" t="s">
        <v>1519</v>
      </c>
      <c r="J162" s="736">
        <v>26274621801</v>
      </c>
      <c r="K162" s="736">
        <v>700291600</v>
      </c>
      <c r="L162" s="737">
        <v>2508647977</v>
      </c>
    </row>
    <row r="163" spans="2:12" x14ac:dyDescent="0.3">
      <c r="B163" s="733" t="s">
        <v>1520</v>
      </c>
      <c r="C163" s="736">
        <v>5000000</v>
      </c>
      <c r="D163" s="737">
        <v>7300000</v>
      </c>
      <c r="I163" s="733" t="s">
        <v>1521</v>
      </c>
      <c r="J163" s="736">
        <v>7660000</v>
      </c>
      <c r="K163" s="736">
        <v>21804545</v>
      </c>
      <c r="L163" s="737">
        <v>5000000</v>
      </c>
    </row>
    <row r="164" spans="2:12" x14ac:dyDescent="0.3">
      <c r="B164" s="733" t="s">
        <v>1522</v>
      </c>
      <c r="C164" s="736">
        <v>51546362</v>
      </c>
      <c r="D164" s="735"/>
      <c r="I164" s="733" t="s">
        <v>1523</v>
      </c>
      <c r="J164" s="734"/>
      <c r="K164" s="736">
        <v>108712027</v>
      </c>
      <c r="L164" s="737">
        <v>82681815</v>
      </c>
    </row>
    <row r="165" spans="2:12" x14ac:dyDescent="0.3">
      <c r="B165" s="733" t="s">
        <v>1524</v>
      </c>
      <c r="C165" s="736">
        <v>2600000</v>
      </c>
      <c r="D165" s="737">
        <v>145455</v>
      </c>
      <c r="I165" s="733" t="s">
        <v>1525</v>
      </c>
      <c r="J165" s="736">
        <v>994000</v>
      </c>
      <c r="K165" s="734"/>
      <c r="L165" s="735"/>
    </row>
    <row r="166" spans="2:12" x14ac:dyDescent="0.3">
      <c r="B166" s="733" t="s">
        <v>1526</v>
      </c>
      <c r="C166" s="736">
        <v>21818181</v>
      </c>
      <c r="D166" s="735"/>
      <c r="I166" s="733" t="s">
        <v>1527</v>
      </c>
      <c r="J166" s="736">
        <v>145455</v>
      </c>
      <c r="K166" s="734"/>
      <c r="L166" s="735"/>
    </row>
    <row r="167" spans="2:12" x14ac:dyDescent="0.3">
      <c r="B167" s="733" t="s">
        <v>1170</v>
      </c>
      <c r="C167" s="736">
        <v>48994551</v>
      </c>
      <c r="D167" s="735"/>
      <c r="I167" s="733" t="s">
        <v>1528</v>
      </c>
      <c r="J167" s="734"/>
      <c r="K167" s="736">
        <v>3425256</v>
      </c>
      <c r="L167" s="735"/>
    </row>
    <row r="168" spans="2:12" x14ac:dyDescent="0.3">
      <c r="B168" s="733" t="s">
        <v>1218</v>
      </c>
      <c r="C168" s="736">
        <v>-1000000000</v>
      </c>
      <c r="D168" s="737">
        <v>-3800000000</v>
      </c>
      <c r="I168" s="733" t="s">
        <v>1529</v>
      </c>
      <c r="J168" s="734"/>
      <c r="K168" s="736">
        <v>3950800</v>
      </c>
      <c r="L168" s="735"/>
    </row>
    <row r="169" spans="2:12" x14ac:dyDescent="0.3">
      <c r="B169" s="733" t="s">
        <v>1530</v>
      </c>
      <c r="C169" s="736">
        <v>-1340738212</v>
      </c>
      <c r="D169" s="737">
        <v>-7276836640</v>
      </c>
      <c r="I169" s="733" t="s">
        <v>1531</v>
      </c>
      <c r="J169" s="736">
        <v>11772694131</v>
      </c>
      <c r="K169" s="734"/>
      <c r="L169" s="737">
        <v>11515478231</v>
      </c>
    </row>
    <row r="170" spans="2:12" x14ac:dyDescent="0.3">
      <c r="B170" s="733" t="s">
        <v>1532</v>
      </c>
      <c r="C170" s="736">
        <v>-88482417</v>
      </c>
      <c r="D170" s="737">
        <v>-33940180</v>
      </c>
      <c r="I170" s="733" t="s">
        <v>1533</v>
      </c>
      <c r="J170" s="736">
        <v>-65990659116</v>
      </c>
      <c r="K170" s="736">
        <v>-107866759020</v>
      </c>
      <c r="L170" s="737">
        <v>-48562468564</v>
      </c>
    </row>
    <row r="171" spans="2:12" x14ac:dyDescent="0.3">
      <c r="B171" s="733" t="s">
        <v>1534</v>
      </c>
      <c r="C171" s="736">
        <v>-506705000</v>
      </c>
      <c r="D171" s="737">
        <v>-25550000</v>
      </c>
      <c r="I171" s="733" t="s">
        <v>1535</v>
      </c>
      <c r="J171" s="734"/>
      <c r="K171" s="736">
        <v>23610057222</v>
      </c>
      <c r="L171" s="737">
        <v>9935000000</v>
      </c>
    </row>
    <row r="172" spans="2:12" x14ac:dyDescent="0.3">
      <c r="B172" s="733" t="s">
        <v>1536</v>
      </c>
      <c r="C172" s="736">
        <v>-185000000</v>
      </c>
      <c r="D172" s="737">
        <v>-24000000</v>
      </c>
      <c r="I172" s="733" t="s">
        <v>1537</v>
      </c>
      <c r="J172" s="736">
        <v>3800000000</v>
      </c>
      <c r="K172" s="736">
        <v>2833000000</v>
      </c>
      <c r="L172" s="737">
        <v>2615000000</v>
      </c>
    </row>
    <row r="173" spans="2:12" x14ac:dyDescent="0.3">
      <c r="B173" s="733" t="s">
        <v>1188</v>
      </c>
      <c r="C173" s="736">
        <v>-3277015310</v>
      </c>
      <c r="D173" s="737">
        <v>-2738018161</v>
      </c>
      <c r="I173" s="733" t="s">
        <v>1538</v>
      </c>
      <c r="J173" s="736">
        <v>8116274995</v>
      </c>
      <c r="K173" s="736">
        <v>10466835928</v>
      </c>
      <c r="L173" s="735"/>
    </row>
    <row r="174" spans="2:12" x14ac:dyDescent="0.3">
      <c r="B174" s="733" t="s">
        <v>1539</v>
      </c>
      <c r="C174" s="736">
        <v>-2428700646</v>
      </c>
      <c r="D174" s="735"/>
      <c r="I174" s="733" t="s">
        <v>1540</v>
      </c>
      <c r="J174" s="734"/>
      <c r="K174" s="736">
        <v>1894500000</v>
      </c>
      <c r="L174" s="735"/>
    </row>
    <row r="175" spans="2:12" x14ac:dyDescent="0.3">
      <c r="B175" s="733" t="s">
        <v>1541</v>
      </c>
      <c r="C175" s="734"/>
      <c r="D175" s="737">
        <v>-352800000</v>
      </c>
      <c r="I175" s="733" t="s">
        <v>1542</v>
      </c>
      <c r="J175" s="736">
        <v>15534110</v>
      </c>
      <c r="K175" s="736">
        <v>40854620</v>
      </c>
      <c r="L175" s="737">
        <v>436628860</v>
      </c>
    </row>
    <row r="176" spans="2:12" x14ac:dyDescent="0.3">
      <c r="B176" s="733" t="s">
        <v>1543</v>
      </c>
      <c r="C176" s="734"/>
      <c r="D176" s="737">
        <v>-1386320250</v>
      </c>
      <c r="I176" s="733" t="s">
        <v>1544</v>
      </c>
      <c r="J176" s="734"/>
      <c r="K176" s="736">
        <v>3242090815</v>
      </c>
      <c r="L176" s="737">
        <v>853960158</v>
      </c>
    </row>
    <row r="177" spans="2:12" x14ac:dyDescent="0.3">
      <c r="B177" s="733" t="s">
        <v>1545</v>
      </c>
      <c r="C177" s="736">
        <v>-733500000</v>
      </c>
      <c r="D177" s="737">
        <v>-4000000</v>
      </c>
      <c r="I177" s="733" t="s">
        <v>1546</v>
      </c>
      <c r="J177" s="736">
        <v>30025000</v>
      </c>
      <c r="K177" s="736">
        <v>20785000</v>
      </c>
      <c r="L177" s="737">
        <v>65825000</v>
      </c>
    </row>
    <row r="178" spans="2:12" x14ac:dyDescent="0.3">
      <c r="B178" s="733" t="s">
        <v>1547</v>
      </c>
      <c r="C178" s="736">
        <v>-83271770</v>
      </c>
      <c r="D178" s="735"/>
      <c r="I178" s="733" t="s">
        <v>1548</v>
      </c>
      <c r="J178" s="736">
        <v>25852555840</v>
      </c>
      <c r="K178" s="734"/>
      <c r="L178" s="737">
        <v>29800000000</v>
      </c>
    </row>
    <row r="179" spans="2:12" x14ac:dyDescent="0.3">
      <c r="B179" s="733" t="s">
        <v>1549</v>
      </c>
      <c r="C179" s="736">
        <v>-34684100</v>
      </c>
      <c r="D179" s="737">
        <v>-7452985</v>
      </c>
      <c r="I179" s="733" t="s">
        <v>1550</v>
      </c>
      <c r="J179" s="736">
        <v>44000000</v>
      </c>
      <c r="K179" s="736">
        <v>544975870</v>
      </c>
      <c r="L179" s="735"/>
    </row>
    <row r="180" spans="2:12" x14ac:dyDescent="0.3">
      <c r="B180" s="733" t="s">
        <v>1551</v>
      </c>
      <c r="C180" s="736">
        <v>-199619727</v>
      </c>
      <c r="D180" s="737">
        <v>-63537400</v>
      </c>
      <c r="I180" s="733" t="s">
        <v>1552</v>
      </c>
      <c r="J180" s="734"/>
      <c r="K180" s="736">
        <v>80000000</v>
      </c>
      <c r="L180" s="735"/>
    </row>
    <row r="181" spans="2:12" x14ac:dyDescent="0.3">
      <c r="B181" s="733" t="s">
        <v>1186</v>
      </c>
      <c r="C181" s="736">
        <v>-1818596118</v>
      </c>
      <c r="D181" s="735"/>
      <c r="I181" s="733" t="s">
        <v>1553</v>
      </c>
      <c r="J181" s="736">
        <v>26238654001</v>
      </c>
      <c r="K181" s="736">
        <v>758000200</v>
      </c>
      <c r="L181" s="737">
        <v>1696744980</v>
      </c>
    </row>
    <row r="182" spans="2:12" x14ac:dyDescent="0.3">
      <c r="B182" s="733" t="s">
        <v>1222</v>
      </c>
      <c r="C182" s="736">
        <v>-150650700</v>
      </c>
      <c r="D182" s="737">
        <v>-9036900</v>
      </c>
      <c r="I182" s="733" t="s">
        <v>1554</v>
      </c>
      <c r="J182" s="736">
        <v>352800000</v>
      </c>
      <c r="K182" s="734"/>
      <c r="L182" s="735"/>
    </row>
    <row r="183" spans="2:12" x14ac:dyDescent="0.3">
      <c r="B183" s="733" t="s">
        <v>1190</v>
      </c>
      <c r="C183" s="736">
        <v>23138502063</v>
      </c>
      <c r="D183" s="737">
        <v>13856194005</v>
      </c>
      <c r="I183" s="733" t="s">
        <v>1555</v>
      </c>
      <c r="J183" s="736">
        <v>1386320250</v>
      </c>
      <c r="K183" s="734"/>
      <c r="L183" s="735"/>
    </row>
    <row r="184" spans="2:12" x14ac:dyDescent="0.3">
      <c r="B184" s="733" t="s">
        <v>1355</v>
      </c>
      <c r="C184" s="736">
        <v>39993533795</v>
      </c>
      <c r="D184" s="737">
        <v>21003196360</v>
      </c>
      <c r="I184" s="733" t="s">
        <v>1556</v>
      </c>
      <c r="J184" s="734"/>
      <c r="K184" s="736">
        <v>243000000</v>
      </c>
      <c r="L184" s="735"/>
    </row>
    <row r="185" spans="2:12" x14ac:dyDescent="0.3">
      <c r="B185" s="733" t="s">
        <v>1357</v>
      </c>
      <c r="C185" s="736">
        <v>500000000</v>
      </c>
      <c r="D185" s="735"/>
      <c r="I185" s="733" t="s">
        <v>1557</v>
      </c>
      <c r="J185" s="736">
        <v>15000000</v>
      </c>
      <c r="K185" s="736">
        <v>927710790</v>
      </c>
      <c r="L185" s="737">
        <v>468993575</v>
      </c>
    </row>
    <row r="186" spans="2:12" x14ac:dyDescent="0.3">
      <c r="B186" s="733" t="s">
        <v>1558</v>
      </c>
      <c r="C186" s="736">
        <v>19997794760</v>
      </c>
      <c r="D186" s="735"/>
      <c r="I186" s="733" t="s">
        <v>1559</v>
      </c>
      <c r="J186" s="734"/>
      <c r="K186" s="736">
        <v>316292602</v>
      </c>
      <c r="L186" s="737">
        <v>87843755</v>
      </c>
    </row>
    <row r="187" spans="2:12" x14ac:dyDescent="0.3">
      <c r="B187" s="733" t="s">
        <v>1560</v>
      </c>
      <c r="C187" s="736">
        <v>14989850680</v>
      </c>
      <c r="D187" s="737">
        <v>19981350000</v>
      </c>
      <c r="I187" s="733" t="s">
        <v>1561</v>
      </c>
      <c r="J187" s="736">
        <v>51452985</v>
      </c>
      <c r="K187" s="736">
        <v>46711000</v>
      </c>
      <c r="L187" s="737">
        <v>25160000</v>
      </c>
    </row>
    <row r="188" spans="2:12" x14ac:dyDescent="0.3">
      <c r="B188" s="733" t="s">
        <v>1194</v>
      </c>
      <c r="C188" s="736">
        <v>-51186864218</v>
      </c>
      <c r="D188" s="737">
        <v>-26019437401</v>
      </c>
      <c r="I188" s="733" t="s">
        <v>1562</v>
      </c>
      <c r="J188" s="736">
        <v>79005035</v>
      </c>
      <c r="K188" s="736">
        <v>1147572650</v>
      </c>
      <c r="L188" s="737">
        <v>1716014946</v>
      </c>
    </row>
    <row r="189" spans="2:12" x14ac:dyDescent="0.3">
      <c r="B189" s="733" t="s">
        <v>1226</v>
      </c>
      <c r="C189" s="736">
        <v>-1155812954</v>
      </c>
      <c r="D189" s="737">
        <v>-1079828954</v>
      </c>
      <c r="I189" s="733" t="s">
        <v>1563</v>
      </c>
      <c r="J189" s="734"/>
      <c r="K189" s="736">
        <v>71556800</v>
      </c>
      <c r="L189" s="735"/>
    </row>
    <row r="190" spans="2:12" x14ac:dyDescent="0.3">
      <c r="B190" s="733" t="s">
        <v>1564</v>
      </c>
      <c r="C190" s="734"/>
      <c r="D190" s="737">
        <v>-29086000</v>
      </c>
      <c r="I190" s="733" t="s">
        <v>1565</v>
      </c>
      <c r="J190" s="736">
        <v>9036900</v>
      </c>
      <c r="K190" s="736">
        <v>302548598</v>
      </c>
      <c r="L190" s="737">
        <v>771075290</v>
      </c>
    </row>
    <row r="191" spans="2:12" x14ac:dyDescent="0.3">
      <c r="B191" s="733" t="s">
        <v>1362</v>
      </c>
      <c r="C191" s="736">
        <v>7450252039</v>
      </c>
      <c r="D191" s="737">
        <v>6844974513</v>
      </c>
      <c r="I191" s="733" t="s">
        <v>1566</v>
      </c>
      <c r="J191" s="734"/>
      <c r="K191" s="736">
        <v>653159600</v>
      </c>
      <c r="L191" s="735"/>
    </row>
    <row r="192" spans="2:12" x14ac:dyDescent="0.3">
      <c r="B192" s="733" t="s">
        <v>1200</v>
      </c>
      <c r="C192" s="736">
        <v>-110449057</v>
      </c>
      <c r="D192" s="737">
        <v>-33490811</v>
      </c>
      <c r="I192" s="733" t="s">
        <v>1567</v>
      </c>
      <c r="J192" s="734"/>
      <c r="K192" s="734"/>
      <c r="L192" s="737">
        <v>87400000</v>
      </c>
    </row>
    <row r="193" spans="2:12" x14ac:dyDescent="0.3">
      <c r="B193" s="733" t="s">
        <v>1202</v>
      </c>
      <c r="C193" s="736">
        <v>7339802982</v>
      </c>
      <c r="D193" s="737">
        <v>6811483702</v>
      </c>
      <c r="I193" s="733" t="s">
        <v>1568</v>
      </c>
      <c r="J193" s="734"/>
      <c r="K193" s="736">
        <v>1128800</v>
      </c>
      <c r="L193" s="737">
        <v>2822000</v>
      </c>
    </row>
    <row r="194" spans="2:12" x14ac:dyDescent="0.3">
      <c r="B194" s="733" t="s">
        <v>1204</v>
      </c>
      <c r="C194" s="736">
        <v>29041469212</v>
      </c>
      <c r="D194" s="737">
        <v>18085910399</v>
      </c>
      <c r="I194" s="733" t="s">
        <v>1569</v>
      </c>
      <c r="J194" s="734"/>
      <c r="K194" s="736">
        <v>1200000000</v>
      </c>
      <c r="L194" s="735"/>
    </row>
    <row r="195" spans="2:12" x14ac:dyDescent="0.3">
      <c r="B195" s="738" t="s">
        <v>1206</v>
      </c>
      <c r="C195" s="739">
        <v>36381272194</v>
      </c>
      <c r="D195" s="740">
        <v>24897394101</v>
      </c>
      <c r="I195" s="733" t="s">
        <v>1570</v>
      </c>
      <c r="J195" s="734"/>
      <c r="K195" s="736">
        <v>59465978525</v>
      </c>
      <c r="L195" s="735"/>
    </row>
    <row r="196" spans="2:12" x14ac:dyDescent="0.3">
      <c r="I196" s="733" t="s">
        <v>1190</v>
      </c>
      <c r="J196" s="736">
        <v>19604477116</v>
      </c>
      <c r="K196" s="736">
        <v>87337649352</v>
      </c>
      <c r="L196" s="737">
        <v>20104756471</v>
      </c>
    </row>
    <row r="197" spans="2:12" x14ac:dyDescent="0.3">
      <c r="I197" s="733" t="s">
        <v>1571</v>
      </c>
      <c r="J197" s="736">
        <v>57273850482</v>
      </c>
      <c r="K197" s="736">
        <v>243460133643</v>
      </c>
      <c r="L197" s="737">
        <v>151137835576</v>
      </c>
    </row>
    <row r="198" spans="2:12" x14ac:dyDescent="0.3">
      <c r="I198" s="733" t="s">
        <v>1572</v>
      </c>
      <c r="J198" s="734"/>
      <c r="K198" s="736">
        <v>10060404857</v>
      </c>
      <c r="L198" s="735"/>
    </row>
    <row r="199" spans="2:12" x14ac:dyDescent="0.3">
      <c r="I199" s="733" t="s">
        <v>1573</v>
      </c>
      <c r="J199" s="736">
        <v>37292500482</v>
      </c>
      <c r="K199" s="736">
        <v>130628428786</v>
      </c>
      <c r="L199" s="737">
        <v>141137835576</v>
      </c>
    </row>
    <row r="200" spans="2:12" x14ac:dyDescent="0.3">
      <c r="I200" s="733" t="s">
        <v>1574</v>
      </c>
      <c r="J200" s="734"/>
      <c r="K200" s="736">
        <v>56300000</v>
      </c>
      <c r="L200" s="737">
        <v>7000000000</v>
      </c>
    </row>
    <row r="201" spans="2:12" x14ac:dyDescent="0.3">
      <c r="I201" s="733" t="s">
        <v>1575</v>
      </c>
      <c r="J201" s="736">
        <v>19981350000</v>
      </c>
      <c r="K201" s="736">
        <v>102715000000</v>
      </c>
      <c r="L201" s="737">
        <v>3000000000</v>
      </c>
    </row>
    <row r="202" spans="2:12" x14ac:dyDescent="0.3">
      <c r="I202" s="733" t="s">
        <v>1576</v>
      </c>
      <c r="J202" s="736">
        <v>-37669373366</v>
      </c>
      <c r="K202" s="736">
        <v>-156122484291</v>
      </c>
      <c r="L202" s="737">
        <v>-131033079105</v>
      </c>
    </row>
    <row r="203" spans="2:12" x14ac:dyDescent="0.3">
      <c r="I203" s="733" t="s">
        <v>1548</v>
      </c>
      <c r="J203" s="734"/>
      <c r="K203" s="736">
        <v>13183550000</v>
      </c>
      <c r="L203" s="735"/>
    </row>
    <row r="204" spans="2:12" x14ac:dyDescent="0.3">
      <c r="I204" s="733" t="s">
        <v>1577</v>
      </c>
      <c r="J204" s="736">
        <v>36168853205</v>
      </c>
      <c r="K204" s="736">
        <v>138447787880</v>
      </c>
      <c r="L204" s="737">
        <v>122775302371</v>
      </c>
    </row>
    <row r="205" spans="2:12" x14ac:dyDescent="0.3">
      <c r="I205" s="733" t="s">
        <v>1578</v>
      </c>
      <c r="J205" s="736">
        <v>1471434161</v>
      </c>
      <c r="K205" s="736">
        <v>462581381</v>
      </c>
      <c r="L205" s="737">
        <v>301359924</v>
      </c>
    </row>
    <row r="206" spans="2:12" x14ac:dyDescent="0.3">
      <c r="I206" s="733" t="s">
        <v>1579</v>
      </c>
      <c r="J206" s="734"/>
      <c r="K206" s="736">
        <v>2000000000</v>
      </c>
      <c r="L206" s="737">
        <v>7956416810</v>
      </c>
    </row>
    <row r="207" spans="2:12" x14ac:dyDescent="0.3">
      <c r="I207" s="733" t="s">
        <v>1580</v>
      </c>
      <c r="J207" s="736">
        <v>29086000</v>
      </c>
      <c r="K207" s="736">
        <v>2028565030</v>
      </c>
      <c r="L207" s="735"/>
    </row>
    <row r="208" spans="2:12" x14ac:dyDescent="0.3">
      <c r="I208" s="733" t="s">
        <v>1581</v>
      </c>
      <c r="J208" s="736">
        <v>10914418937</v>
      </c>
      <c r="K208" s="736">
        <v>-2228156684</v>
      </c>
      <c r="L208" s="737">
        <v>755577479</v>
      </c>
    </row>
    <row r="209" spans="9:12" x14ac:dyDescent="0.3">
      <c r="I209" s="733" t="s">
        <v>1582</v>
      </c>
      <c r="J209" s="736">
        <v>18085910399</v>
      </c>
      <c r="K209" s="736">
        <v>20288177722</v>
      </c>
      <c r="L209" s="737">
        <v>19535985029</v>
      </c>
    </row>
    <row r="210" spans="9:12" x14ac:dyDescent="0.3">
      <c r="I210" s="733" t="s">
        <v>1583</v>
      </c>
      <c r="J210" s="736">
        <v>41139876</v>
      </c>
      <c r="K210" s="736">
        <v>25889361</v>
      </c>
      <c r="L210" s="737">
        <v>-3384786</v>
      </c>
    </row>
    <row r="211" spans="9:12" x14ac:dyDescent="0.3">
      <c r="I211" s="738" t="s">
        <v>1206</v>
      </c>
      <c r="J211" s="739">
        <v>29041469212</v>
      </c>
      <c r="K211" s="739">
        <v>18085910399</v>
      </c>
      <c r="L211" s="740">
        <v>20288177722</v>
      </c>
    </row>
  </sheetData>
  <mergeCells count="3">
    <mergeCell ref="B58:B59"/>
    <mergeCell ref="C58:D58"/>
    <mergeCell ref="E58:F58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N185"/>
  <sheetViews>
    <sheetView workbookViewId="0">
      <selection activeCell="B4" sqref="B4"/>
    </sheetView>
  </sheetViews>
  <sheetFormatPr defaultColWidth="9" defaultRowHeight="16.5" x14ac:dyDescent="0.3"/>
  <cols>
    <col min="1" max="1" width="2.875" style="153" customWidth="1"/>
    <col min="2" max="2" width="23.125" style="153" customWidth="1"/>
    <col min="3" max="3" width="16" style="153" customWidth="1"/>
    <col min="4" max="4" width="15.25" style="153" bestFit="1" customWidth="1"/>
    <col min="5" max="6" width="14" style="153" bestFit="1" customWidth="1"/>
    <col min="7" max="11" width="9" style="153"/>
    <col min="12" max="12" width="14.875" style="153" bestFit="1" customWidth="1"/>
    <col min="13" max="14" width="15.25" style="153" bestFit="1" customWidth="1"/>
    <col min="15" max="16384" width="9" style="153"/>
  </cols>
  <sheetData>
    <row r="1" spans="2:4" x14ac:dyDescent="0.3">
      <c r="C1" s="536" t="s">
        <v>1058</v>
      </c>
    </row>
    <row r="2" spans="2:4" x14ac:dyDescent="0.3">
      <c r="B2" s="719" t="s">
        <v>870</v>
      </c>
      <c r="C2" s="720">
        <f>SUMIF($A$16:$A$59,B2,$C$16:C59)/10^6</f>
        <v>18606.128201</v>
      </c>
    </row>
    <row r="3" spans="2:4" x14ac:dyDescent="0.3">
      <c r="B3" s="721" t="s">
        <v>855</v>
      </c>
      <c r="C3" s="720">
        <f>SUMIF($A$16:$A$59,B3,$C$16:C60)/10^6</f>
        <v>2574.034236</v>
      </c>
    </row>
    <row r="4" spans="2:4" x14ac:dyDescent="0.3">
      <c r="B4" s="721" t="s">
        <v>922</v>
      </c>
      <c r="C4" s="722">
        <f>(D68+L68-F68)/10^6</f>
        <v>97843.104074999996</v>
      </c>
    </row>
    <row r="5" spans="2:4" x14ac:dyDescent="0.3">
      <c r="B5" s="721" t="s">
        <v>928</v>
      </c>
      <c r="C5" s="722">
        <f>(D72+L72-F72)/10^6</f>
        <v>3700.3472999999999</v>
      </c>
    </row>
    <row r="6" spans="2:4" x14ac:dyDescent="0.3">
      <c r="B6" s="723" t="s">
        <v>1059</v>
      </c>
      <c r="C6" s="722">
        <f>(C106+C108+L108+L110-D106-D108)/10^6</f>
        <v>2705.0298979999998</v>
      </c>
    </row>
    <row r="7" spans="2:4" x14ac:dyDescent="0.3">
      <c r="B7" s="721" t="s">
        <v>1060</v>
      </c>
      <c r="C7" s="722">
        <f>C5+C6</f>
        <v>6405.3771980000001</v>
      </c>
    </row>
    <row r="8" spans="2:4" x14ac:dyDescent="0.3">
      <c r="B8" s="721" t="s">
        <v>900</v>
      </c>
      <c r="C8" s="720">
        <f>SUMIF($A$16:$A$59,B8,$C$16:C65)/10^6</f>
        <v>94853.272729999997</v>
      </c>
    </row>
    <row r="9" spans="2:4" x14ac:dyDescent="0.3">
      <c r="B9" s="724" t="s">
        <v>861</v>
      </c>
      <c r="C9" s="725">
        <f>(D79+L79-F79)/10^6</f>
        <v>3233.8320589999998</v>
      </c>
    </row>
    <row r="11" spans="2:4" x14ac:dyDescent="0.3">
      <c r="B11" s="741" t="s">
        <v>862</v>
      </c>
      <c r="C11" s="727"/>
      <c r="D11" s="727"/>
    </row>
    <row r="12" spans="2:4" x14ac:dyDescent="0.3">
      <c r="B12" s="742" t="s">
        <v>1061</v>
      </c>
      <c r="C12" s="727"/>
      <c r="D12" s="727"/>
    </row>
    <row r="13" spans="2:4" x14ac:dyDescent="0.3">
      <c r="B13" s="742" t="s">
        <v>1062</v>
      </c>
      <c r="C13" s="727"/>
      <c r="D13" s="727"/>
    </row>
    <row r="14" spans="2:4" x14ac:dyDescent="0.3">
      <c r="B14" s="729" t="s">
        <v>865</v>
      </c>
      <c r="C14" s="727"/>
      <c r="D14" s="727"/>
    </row>
    <row r="15" spans="2:4" x14ac:dyDescent="0.3">
      <c r="B15" s="730"/>
      <c r="C15" s="731" t="s">
        <v>1063</v>
      </c>
      <c r="D15" s="732" t="s">
        <v>1064</v>
      </c>
    </row>
    <row r="16" spans="2:4" x14ac:dyDescent="0.3">
      <c r="B16" s="733" t="s">
        <v>868</v>
      </c>
      <c r="C16" s="734"/>
      <c r="D16" s="735"/>
    </row>
    <row r="17" spans="1:4" x14ac:dyDescent="0.3">
      <c r="B17" s="733" t="s">
        <v>1065</v>
      </c>
      <c r="C17" s="736">
        <v>66358048924</v>
      </c>
      <c r="D17" s="737">
        <v>60150138687</v>
      </c>
    </row>
    <row r="18" spans="1:4" x14ac:dyDescent="0.3">
      <c r="A18" s="153" t="s">
        <v>870</v>
      </c>
      <c r="B18" s="733" t="s">
        <v>1066</v>
      </c>
      <c r="C18" s="736">
        <v>6481855002</v>
      </c>
      <c r="D18" s="737">
        <v>7621804876</v>
      </c>
    </row>
    <row r="19" spans="1:4" x14ac:dyDescent="0.3">
      <c r="A19" s="153" t="s">
        <v>870</v>
      </c>
      <c r="B19" s="733" t="s">
        <v>1584</v>
      </c>
      <c r="C19" s="736">
        <v>4014000000</v>
      </c>
      <c r="D19" s="737">
        <v>2003300000</v>
      </c>
    </row>
    <row r="20" spans="1:4" x14ac:dyDescent="0.3">
      <c r="A20" s="153" t="s">
        <v>870</v>
      </c>
      <c r="B20" s="733" t="s">
        <v>1067</v>
      </c>
      <c r="C20" s="736">
        <v>2596372000</v>
      </c>
      <c r="D20" s="737">
        <v>1925960000</v>
      </c>
    </row>
    <row r="21" spans="1:4" x14ac:dyDescent="0.3">
      <c r="B21" s="733" t="s">
        <v>1069</v>
      </c>
      <c r="C21" s="736">
        <v>23159135002</v>
      </c>
      <c r="D21" s="737">
        <v>16582305036</v>
      </c>
    </row>
    <row r="22" spans="1:4" x14ac:dyDescent="0.3">
      <c r="B22" s="733" t="s">
        <v>1070</v>
      </c>
      <c r="C22" s="736">
        <v>29160356654</v>
      </c>
      <c r="D22" s="737">
        <v>29928480210</v>
      </c>
    </row>
    <row r="23" spans="1:4" x14ac:dyDescent="0.3">
      <c r="B23" s="733" t="s">
        <v>1071</v>
      </c>
      <c r="C23" s="736">
        <v>853857569</v>
      </c>
      <c r="D23" s="737">
        <v>1602011888</v>
      </c>
    </row>
    <row r="24" spans="1:4" x14ac:dyDescent="0.3">
      <c r="B24" s="733" t="s">
        <v>1585</v>
      </c>
      <c r="C24" s="736">
        <v>92472697</v>
      </c>
      <c r="D24" s="737">
        <v>486276677</v>
      </c>
    </row>
    <row r="25" spans="1:4" x14ac:dyDescent="0.3">
      <c r="B25" s="733" t="s">
        <v>1072</v>
      </c>
      <c r="C25" s="736">
        <v>48243311309</v>
      </c>
      <c r="D25" s="737">
        <v>48459377702</v>
      </c>
    </row>
    <row r="26" spans="1:4" x14ac:dyDescent="0.3">
      <c r="B26" s="733" t="s">
        <v>1271</v>
      </c>
      <c r="C26" s="736">
        <v>1465000</v>
      </c>
      <c r="D26" s="737">
        <v>1465000</v>
      </c>
    </row>
    <row r="27" spans="1:4" x14ac:dyDescent="0.3">
      <c r="B27" s="733" t="s">
        <v>1586</v>
      </c>
      <c r="C27" s="736">
        <v>290039686</v>
      </c>
      <c r="D27" s="735">
        <v>0</v>
      </c>
    </row>
    <row r="28" spans="1:4" x14ac:dyDescent="0.3">
      <c r="B28" s="733" t="s">
        <v>1076</v>
      </c>
      <c r="C28" s="736">
        <v>36507510709</v>
      </c>
      <c r="D28" s="737">
        <v>37831678436</v>
      </c>
    </row>
    <row r="29" spans="1:4" x14ac:dyDescent="0.3">
      <c r="A29" s="153" t="s">
        <v>870</v>
      </c>
      <c r="B29" s="733" t="s">
        <v>1273</v>
      </c>
      <c r="C29" s="736">
        <v>5513901199</v>
      </c>
      <c r="D29" s="737">
        <v>5540184927</v>
      </c>
    </row>
    <row r="30" spans="1:4" x14ac:dyDescent="0.3">
      <c r="B30" s="733" t="s">
        <v>1077</v>
      </c>
      <c r="C30" s="736">
        <v>4737751512</v>
      </c>
      <c r="D30" s="737">
        <v>4237348304</v>
      </c>
    </row>
    <row r="31" spans="1:4" x14ac:dyDescent="0.3">
      <c r="B31" s="733" t="s">
        <v>1074</v>
      </c>
      <c r="C31" s="736">
        <v>49522122</v>
      </c>
      <c r="D31" s="737">
        <v>77753423</v>
      </c>
    </row>
    <row r="32" spans="1:4" x14ac:dyDescent="0.3">
      <c r="B32" s="733" t="s">
        <v>1587</v>
      </c>
      <c r="C32" s="736">
        <v>61559365</v>
      </c>
      <c r="D32" s="737">
        <v>62985106</v>
      </c>
    </row>
    <row r="33" spans="1:4" x14ac:dyDescent="0.3">
      <c r="B33" s="733" t="s">
        <v>1274</v>
      </c>
      <c r="C33" s="736">
        <v>1081561716</v>
      </c>
      <c r="D33" s="737">
        <v>707962506</v>
      </c>
    </row>
    <row r="34" spans="1:4" x14ac:dyDescent="0.3">
      <c r="B34" s="733" t="s">
        <v>884</v>
      </c>
      <c r="C34" s="736">
        <v>114601360233</v>
      </c>
      <c r="D34" s="737">
        <v>108609516389</v>
      </c>
    </row>
    <row r="35" spans="1:4" x14ac:dyDescent="0.3">
      <c r="B35" s="733" t="s">
        <v>885</v>
      </c>
      <c r="C35" s="734"/>
      <c r="D35" s="735"/>
    </row>
    <row r="36" spans="1:4" x14ac:dyDescent="0.3">
      <c r="B36" s="733" t="s">
        <v>1078</v>
      </c>
      <c r="C36" s="736">
        <v>17861748520</v>
      </c>
      <c r="D36" s="737">
        <v>16205026078</v>
      </c>
    </row>
    <row r="37" spans="1:4" x14ac:dyDescent="0.3">
      <c r="B37" s="733" t="s">
        <v>1079</v>
      </c>
      <c r="C37" s="736">
        <v>12278656534</v>
      </c>
      <c r="D37" s="737">
        <v>9968974277</v>
      </c>
    </row>
    <row r="38" spans="1:4" x14ac:dyDescent="0.3">
      <c r="A38" s="153" t="s">
        <v>855</v>
      </c>
      <c r="B38" s="733" t="s">
        <v>1275</v>
      </c>
      <c r="C38" s="736">
        <v>2359980706</v>
      </c>
      <c r="D38" s="737">
        <v>3848602699</v>
      </c>
    </row>
    <row r="39" spans="1:4" x14ac:dyDescent="0.3">
      <c r="B39" s="733" t="s">
        <v>1588</v>
      </c>
      <c r="C39" s="736">
        <v>1013501122</v>
      </c>
      <c r="D39" s="737">
        <v>222003623</v>
      </c>
    </row>
    <row r="40" spans="1:4" x14ac:dyDescent="0.3">
      <c r="B40" s="733" t="s">
        <v>1589</v>
      </c>
      <c r="C40" s="736">
        <v>1150279278</v>
      </c>
      <c r="D40" s="737">
        <v>1132760004</v>
      </c>
    </row>
    <row r="41" spans="1:4" x14ac:dyDescent="0.3">
      <c r="B41" s="733" t="s">
        <v>1083</v>
      </c>
      <c r="C41" s="736">
        <v>938975724</v>
      </c>
      <c r="D41" s="737">
        <v>557933994</v>
      </c>
    </row>
    <row r="42" spans="1:4" x14ac:dyDescent="0.3">
      <c r="B42" s="733" t="s">
        <v>1590</v>
      </c>
      <c r="C42" s="736">
        <v>120355156</v>
      </c>
      <c r="D42" s="737">
        <v>474751481</v>
      </c>
    </row>
    <row r="43" spans="1:4" x14ac:dyDescent="0.3">
      <c r="B43" s="733" t="s">
        <v>1084</v>
      </c>
      <c r="C43" s="736">
        <v>1886338983</v>
      </c>
      <c r="D43" s="737">
        <v>1131439322</v>
      </c>
    </row>
    <row r="44" spans="1:4" x14ac:dyDescent="0.3">
      <c r="A44" s="153" t="s">
        <v>855</v>
      </c>
      <c r="B44" s="733" t="s">
        <v>1278</v>
      </c>
      <c r="C44" s="736">
        <v>214053530</v>
      </c>
      <c r="D44" s="737">
        <v>215183722</v>
      </c>
    </row>
    <row r="45" spans="1:4" x14ac:dyDescent="0.3">
      <c r="B45" s="733" t="s">
        <v>1380</v>
      </c>
      <c r="C45" s="736">
        <v>1193021870</v>
      </c>
      <c r="D45" s="737">
        <v>649624955</v>
      </c>
    </row>
    <row r="46" spans="1:4" x14ac:dyDescent="0.3">
      <c r="B46" s="733" t="s">
        <v>1591</v>
      </c>
      <c r="C46" s="736">
        <v>264993092</v>
      </c>
      <c r="D46" s="737">
        <v>266630645</v>
      </c>
    </row>
    <row r="47" spans="1:4" x14ac:dyDescent="0.3">
      <c r="B47" s="733" t="s">
        <v>1592</v>
      </c>
      <c r="C47" s="736">
        <v>214270491</v>
      </c>
      <c r="D47" s="735">
        <v>0</v>
      </c>
    </row>
    <row r="48" spans="1:4" x14ac:dyDescent="0.3">
      <c r="B48" s="733" t="s">
        <v>898</v>
      </c>
      <c r="C48" s="736">
        <v>19748087503</v>
      </c>
      <c r="D48" s="737">
        <v>17336465400</v>
      </c>
    </row>
    <row r="49" spans="1:14" x14ac:dyDescent="0.3">
      <c r="B49" s="733" t="s">
        <v>899</v>
      </c>
      <c r="C49" s="734"/>
      <c r="D49" s="735"/>
    </row>
    <row r="50" spans="1:14" x14ac:dyDescent="0.3">
      <c r="A50" s="153" t="s">
        <v>900</v>
      </c>
      <c r="B50" s="733" t="s">
        <v>1087</v>
      </c>
      <c r="C50" s="736">
        <v>94853272730</v>
      </c>
      <c r="D50" s="737">
        <v>91273050989</v>
      </c>
    </row>
    <row r="51" spans="1:14" x14ac:dyDescent="0.3">
      <c r="B51" s="733" t="s">
        <v>1088</v>
      </c>
      <c r="C51" s="736">
        <v>26993091500</v>
      </c>
      <c r="D51" s="737">
        <v>26993091500</v>
      </c>
    </row>
    <row r="52" spans="1:14" x14ac:dyDescent="0.3">
      <c r="B52" s="733" t="s">
        <v>1593</v>
      </c>
      <c r="C52" s="736">
        <v>26992581500</v>
      </c>
      <c r="D52" s="737">
        <v>26992581500</v>
      </c>
    </row>
    <row r="53" spans="1:14" x14ac:dyDescent="0.3">
      <c r="B53" s="733" t="s">
        <v>1594</v>
      </c>
      <c r="C53" s="736">
        <v>510000</v>
      </c>
      <c r="D53" s="737">
        <v>510000</v>
      </c>
    </row>
    <row r="54" spans="1:14" x14ac:dyDescent="0.3">
      <c r="B54" s="733" t="s">
        <v>1089</v>
      </c>
      <c r="C54" s="736">
        <v>509856179</v>
      </c>
      <c r="D54" s="737">
        <v>509856179</v>
      </c>
    </row>
    <row r="55" spans="1:14" x14ac:dyDescent="0.3">
      <c r="B55" s="733" t="s">
        <v>1090</v>
      </c>
      <c r="C55" s="736">
        <v>237068928</v>
      </c>
      <c r="D55" s="737">
        <v>374627649</v>
      </c>
    </row>
    <row r="56" spans="1:14" x14ac:dyDescent="0.3">
      <c r="B56" s="733" t="s">
        <v>1091</v>
      </c>
      <c r="C56" s="736">
        <v>67113256123</v>
      </c>
      <c r="D56" s="737">
        <v>63395475661</v>
      </c>
    </row>
    <row r="57" spans="1:14" x14ac:dyDescent="0.3">
      <c r="B57" s="733" t="s">
        <v>1092</v>
      </c>
      <c r="C57" s="734">
        <v>0</v>
      </c>
      <c r="D57" s="735">
        <v>0</v>
      </c>
    </row>
    <row r="58" spans="1:14" x14ac:dyDescent="0.3">
      <c r="B58" s="733" t="s">
        <v>907</v>
      </c>
      <c r="C58" s="736">
        <v>94853272730</v>
      </c>
      <c r="D58" s="737">
        <v>91273050989</v>
      </c>
    </row>
    <row r="59" spans="1:14" x14ac:dyDescent="0.3">
      <c r="B59" s="738" t="s">
        <v>908</v>
      </c>
      <c r="C59" s="739">
        <v>114601360233</v>
      </c>
      <c r="D59" s="740">
        <v>108609516389</v>
      </c>
    </row>
    <row r="62" spans="1:14" x14ac:dyDescent="0.3">
      <c r="B62" s="741" t="s">
        <v>909</v>
      </c>
      <c r="C62" s="727"/>
      <c r="D62" s="727"/>
      <c r="E62" s="727"/>
      <c r="F62" s="727"/>
      <c r="K62" s="741" t="s">
        <v>909</v>
      </c>
      <c r="L62" s="727"/>
      <c r="M62" s="727"/>
      <c r="N62" s="727"/>
    </row>
    <row r="63" spans="1:14" x14ac:dyDescent="0.3">
      <c r="B63" s="742" t="s">
        <v>1093</v>
      </c>
      <c r="C63" s="727"/>
      <c r="D63" s="727"/>
      <c r="E63" s="727"/>
      <c r="F63" s="727"/>
      <c r="K63" s="742" t="s">
        <v>1094</v>
      </c>
      <c r="L63" s="727"/>
      <c r="M63" s="727"/>
      <c r="N63" s="727"/>
    </row>
    <row r="64" spans="1:14" x14ac:dyDescent="0.3">
      <c r="B64" s="742" t="s">
        <v>1095</v>
      </c>
      <c r="C64" s="727"/>
      <c r="D64" s="727"/>
      <c r="E64" s="727"/>
      <c r="F64" s="727"/>
      <c r="K64" s="742" t="s">
        <v>1096</v>
      </c>
      <c r="L64" s="727"/>
      <c r="M64" s="727"/>
      <c r="N64" s="727"/>
    </row>
    <row r="65" spans="1:14" x14ac:dyDescent="0.3">
      <c r="B65" s="729" t="s">
        <v>865</v>
      </c>
      <c r="C65" s="727"/>
      <c r="D65" s="727"/>
      <c r="E65" s="727"/>
      <c r="F65" s="727"/>
      <c r="K65" s="742" t="s">
        <v>1097</v>
      </c>
      <c r="L65" s="727"/>
      <c r="M65" s="727"/>
      <c r="N65" s="727"/>
    </row>
    <row r="66" spans="1:14" x14ac:dyDescent="0.3">
      <c r="B66" s="1952"/>
      <c r="C66" s="1954" t="s">
        <v>1098</v>
      </c>
      <c r="D66" s="1955"/>
      <c r="E66" s="1954" t="s">
        <v>1099</v>
      </c>
      <c r="F66" s="1956"/>
      <c r="K66" s="729" t="s">
        <v>865</v>
      </c>
      <c r="L66" s="727"/>
      <c r="M66" s="727"/>
      <c r="N66" s="727"/>
    </row>
    <row r="67" spans="1:14" x14ac:dyDescent="0.3">
      <c r="B67" s="1953"/>
      <c r="C67" s="743" t="s">
        <v>917</v>
      </c>
      <c r="D67" s="743" t="s">
        <v>918</v>
      </c>
      <c r="E67" s="743" t="s">
        <v>917</v>
      </c>
      <c r="F67" s="744" t="s">
        <v>918</v>
      </c>
      <c r="K67" s="730"/>
      <c r="L67" s="731" t="s">
        <v>1100</v>
      </c>
      <c r="M67" s="731" t="s">
        <v>1101</v>
      </c>
      <c r="N67" s="732" t="s">
        <v>1102</v>
      </c>
    </row>
    <row r="68" spans="1:14" x14ac:dyDescent="0.3">
      <c r="A68" s="153" t="s">
        <v>922</v>
      </c>
      <c r="B68" s="733" t="s">
        <v>1103</v>
      </c>
      <c r="C68" s="736">
        <v>25438662194</v>
      </c>
      <c r="D68" s="736">
        <v>78442945358</v>
      </c>
      <c r="E68" s="736">
        <v>21724001189</v>
      </c>
      <c r="F68" s="737">
        <v>69429753406</v>
      </c>
      <c r="K68" s="733" t="s">
        <v>1595</v>
      </c>
      <c r="L68" s="736">
        <v>88829912123</v>
      </c>
      <c r="M68" s="736">
        <v>101841055998</v>
      </c>
      <c r="N68" s="737">
        <v>114968648299</v>
      </c>
    </row>
    <row r="69" spans="1:14" x14ac:dyDescent="0.3">
      <c r="B69" s="733" t="s">
        <v>1104</v>
      </c>
      <c r="C69" s="736">
        <v>17927501248</v>
      </c>
      <c r="D69" s="736">
        <v>55746353432</v>
      </c>
      <c r="E69" s="736">
        <v>15499475765</v>
      </c>
      <c r="F69" s="737">
        <v>48469759349</v>
      </c>
      <c r="K69" s="733" t="s">
        <v>1104</v>
      </c>
      <c r="L69" s="736">
        <v>62974571602</v>
      </c>
      <c r="M69" s="736">
        <v>74939042525</v>
      </c>
      <c r="N69" s="737">
        <v>85210367492</v>
      </c>
    </row>
    <row r="70" spans="1:14" x14ac:dyDescent="0.3">
      <c r="B70" s="733" t="s">
        <v>1105</v>
      </c>
      <c r="C70" s="736">
        <v>7511160946</v>
      </c>
      <c r="D70" s="736">
        <v>22696591926</v>
      </c>
      <c r="E70" s="736">
        <v>6224525424</v>
      </c>
      <c r="F70" s="737">
        <v>20959994057</v>
      </c>
      <c r="K70" s="733" t="s">
        <v>1105</v>
      </c>
      <c r="L70" s="736">
        <v>25855340521</v>
      </c>
      <c r="M70" s="736">
        <v>26902013473</v>
      </c>
      <c r="N70" s="737">
        <v>29758280807</v>
      </c>
    </row>
    <row r="71" spans="1:14" x14ac:dyDescent="0.3">
      <c r="B71" s="733" t="s">
        <v>1106</v>
      </c>
      <c r="C71" s="736">
        <v>6401367409</v>
      </c>
      <c r="D71" s="736">
        <v>18783969347</v>
      </c>
      <c r="E71" s="736">
        <v>5703481581</v>
      </c>
      <c r="F71" s="737">
        <v>16837907804</v>
      </c>
      <c r="K71" s="733" t="s">
        <v>1106</v>
      </c>
      <c r="L71" s="736">
        <v>21945529547</v>
      </c>
      <c r="M71" s="736">
        <v>22367417041</v>
      </c>
      <c r="N71" s="737">
        <v>22261666786</v>
      </c>
    </row>
    <row r="72" spans="1:14" x14ac:dyDescent="0.3">
      <c r="A72" s="153" t="s">
        <v>928</v>
      </c>
      <c r="B72" s="733" t="s">
        <v>1108</v>
      </c>
      <c r="C72" s="736">
        <v>1109793537</v>
      </c>
      <c r="D72" s="736">
        <v>3912622579</v>
      </c>
      <c r="E72" s="736">
        <v>521043843</v>
      </c>
      <c r="F72" s="737">
        <v>4122086253</v>
      </c>
      <c r="K72" s="733" t="s">
        <v>1108</v>
      </c>
      <c r="L72" s="736">
        <v>3909810974</v>
      </c>
      <c r="M72" s="736">
        <v>4534596432</v>
      </c>
      <c r="N72" s="737">
        <v>7496614021</v>
      </c>
    </row>
    <row r="73" spans="1:14" x14ac:dyDescent="0.3">
      <c r="B73" s="733" t="s">
        <v>1109</v>
      </c>
      <c r="C73" s="736">
        <v>304845554</v>
      </c>
      <c r="D73" s="736">
        <v>736060269</v>
      </c>
      <c r="E73" s="736">
        <v>66400891</v>
      </c>
      <c r="F73" s="737">
        <v>825520092</v>
      </c>
      <c r="K73" s="733" t="s">
        <v>1109</v>
      </c>
      <c r="L73" s="736">
        <v>1804236110</v>
      </c>
      <c r="M73" s="736">
        <v>2604731002</v>
      </c>
      <c r="N73" s="737">
        <v>3848302975</v>
      </c>
    </row>
    <row r="74" spans="1:14" x14ac:dyDescent="0.3">
      <c r="B74" s="733" t="s">
        <v>1111</v>
      </c>
      <c r="C74" s="736">
        <v>19837338</v>
      </c>
      <c r="D74" s="736">
        <v>916533887</v>
      </c>
      <c r="E74" s="736">
        <v>867807125</v>
      </c>
      <c r="F74" s="737">
        <v>1671329538</v>
      </c>
      <c r="K74" s="733" t="s">
        <v>1111</v>
      </c>
      <c r="L74" s="736">
        <v>1981827706</v>
      </c>
      <c r="M74" s="736">
        <v>3812599715</v>
      </c>
      <c r="N74" s="737">
        <v>2627438708</v>
      </c>
    </row>
    <row r="75" spans="1:14" x14ac:dyDescent="0.3">
      <c r="B75" s="733" t="s">
        <v>1110</v>
      </c>
      <c r="C75" s="736">
        <v>341593178</v>
      </c>
      <c r="D75" s="736">
        <v>1753061453</v>
      </c>
      <c r="E75" s="736">
        <v>778326220</v>
      </c>
      <c r="F75" s="737">
        <v>2218403879</v>
      </c>
      <c r="K75" s="733" t="s">
        <v>1110</v>
      </c>
      <c r="L75" s="736">
        <v>1078740327</v>
      </c>
      <c r="M75" s="736">
        <v>930646256</v>
      </c>
      <c r="N75" s="737">
        <v>416973475</v>
      </c>
    </row>
    <row r="76" spans="1:14" x14ac:dyDescent="0.3">
      <c r="B76" s="733" t="s">
        <v>1114</v>
      </c>
      <c r="C76" s="736">
        <v>316579699</v>
      </c>
      <c r="D76" s="736">
        <v>688221379</v>
      </c>
      <c r="E76" s="736">
        <v>-191430435</v>
      </c>
      <c r="F76" s="737">
        <v>350915397</v>
      </c>
      <c r="K76" s="733" t="s">
        <v>1114</v>
      </c>
      <c r="L76" s="736">
        <v>730438444</v>
      </c>
      <c r="M76" s="736">
        <v>1362260996</v>
      </c>
      <c r="N76" s="737">
        <v>2303473046</v>
      </c>
    </row>
    <row r="77" spans="1:14" x14ac:dyDescent="0.3">
      <c r="B77" s="733" t="s">
        <v>1116</v>
      </c>
      <c r="C77" s="736">
        <v>1419815232</v>
      </c>
      <c r="D77" s="736">
        <v>4796989035</v>
      </c>
      <c r="E77" s="736">
        <v>689394264</v>
      </c>
      <c r="F77" s="737">
        <v>5143765289</v>
      </c>
      <c r="K77" s="733" t="s">
        <v>1116</v>
      </c>
      <c r="L77" s="736">
        <v>4080521261</v>
      </c>
      <c r="M77" s="736">
        <v>2895112979</v>
      </c>
      <c r="N77" s="737">
        <v>6830978717</v>
      </c>
    </row>
    <row r="78" spans="1:14" x14ac:dyDescent="0.3">
      <c r="B78" s="733" t="s">
        <v>1117</v>
      </c>
      <c r="C78" s="736">
        <v>264399292</v>
      </c>
      <c r="D78" s="736">
        <v>516342711</v>
      </c>
      <c r="E78" s="736">
        <v>191231550</v>
      </c>
      <c r="F78" s="737">
        <v>1194299404</v>
      </c>
      <c r="K78" s="733" t="s">
        <v>1117</v>
      </c>
      <c r="L78" s="736">
        <v>1177869641</v>
      </c>
      <c r="M78" s="736">
        <v>1606951371</v>
      </c>
      <c r="N78" s="737">
        <v>860523941</v>
      </c>
    </row>
    <row r="79" spans="1:14" x14ac:dyDescent="0.3">
      <c r="A79" s="153" t="s">
        <v>861</v>
      </c>
      <c r="B79" s="733" t="s">
        <v>1119</v>
      </c>
      <c r="C79" s="736">
        <v>1155415940</v>
      </c>
      <c r="D79" s="736">
        <v>4280646324</v>
      </c>
      <c r="E79" s="736">
        <v>498162714</v>
      </c>
      <c r="F79" s="737">
        <v>3949465885</v>
      </c>
      <c r="K79" s="733" t="s">
        <v>1119</v>
      </c>
      <c r="L79" s="736">
        <v>2902651620</v>
      </c>
      <c r="M79" s="736">
        <v>1288161608</v>
      </c>
      <c r="N79" s="737">
        <v>5970454776</v>
      </c>
    </row>
    <row r="80" spans="1:14" x14ac:dyDescent="0.3">
      <c r="B80" s="733" t="s">
        <v>1120</v>
      </c>
      <c r="C80" s="736">
        <v>423132599</v>
      </c>
      <c r="D80" s="736">
        <v>-185974013</v>
      </c>
      <c r="E80" s="736">
        <v>-1475114906</v>
      </c>
      <c r="F80" s="737">
        <v>-2034972236</v>
      </c>
      <c r="K80" s="733" t="s">
        <v>1120</v>
      </c>
      <c r="L80" s="736">
        <v>-770890651</v>
      </c>
      <c r="M80" s="736">
        <v>409894238</v>
      </c>
      <c r="N80" s="737">
        <v>442543143</v>
      </c>
    </row>
    <row r="81" spans="2:14" x14ac:dyDescent="0.3">
      <c r="B81" s="733" t="s">
        <v>1122</v>
      </c>
      <c r="C81" s="736">
        <v>-14039910</v>
      </c>
      <c r="D81" s="736">
        <v>-48415292</v>
      </c>
      <c r="E81" s="736">
        <v>-425734465</v>
      </c>
      <c r="F81" s="737">
        <v>-439379568</v>
      </c>
      <c r="K81" s="733" t="s">
        <v>1294</v>
      </c>
      <c r="L81" s="736">
        <v>-111583958</v>
      </c>
      <c r="M81" s="736">
        <v>5262491</v>
      </c>
      <c r="N81" s="737">
        <v>-8458885</v>
      </c>
    </row>
    <row r="82" spans="2:14" x14ac:dyDescent="0.3">
      <c r="B82" s="733" t="s">
        <v>1124</v>
      </c>
      <c r="C82" s="736">
        <v>-14039910</v>
      </c>
      <c r="D82" s="736">
        <v>-48415292</v>
      </c>
      <c r="E82" s="736">
        <v>-425734465</v>
      </c>
      <c r="F82" s="737">
        <v>-439379568</v>
      </c>
      <c r="K82" s="733" t="s">
        <v>1596</v>
      </c>
      <c r="L82" s="736">
        <v>-111583958</v>
      </c>
      <c r="M82" s="736">
        <v>5262491</v>
      </c>
      <c r="N82" s="737">
        <v>-8458885</v>
      </c>
    </row>
    <row r="83" spans="2:14" x14ac:dyDescent="0.3">
      <c r="B83" s="733" t="s">
        <v>1127</v>
      </c>
      <c r="C83" s="736">
        <v>437172509</v>
      </c>
      <c r="D83" s="736">
        <v>-137558721</v>
      </c>
      <c r="E83" s="736">
        <v>-1049380441</v>
      </c>
      <c r="F83" s="737">
        <v>-1595592668</v>
      </c>
      <c r="K83" s="733" t="s">
        <v>1296</v>
      </c>
      <c r="L83" s="736">
        <v>-659306693</v>
      </c>
      <c r="M83" s="736">
        <v>404631747</v>
      </c>
      <c r="N83" s="737">
        <v>451002028</v>
      </c>
    </row>
    <row r="84" spans="2:14" x14ac:dyDescent="0.3">
      <c r="B84" s="733" t="s">
        <v>1131</v>
      </c>
      <c r="C84" s="736">
        <v>437172509</v>
      </c>
      <c r="D84" s="736">
        <v>-137558721</v>
      </c>
      <c r="E84" s="736">
        <v>-1049380441</v>
      </c>
      <c r="F84" s="737">
        <v>-1595592668</v>
      </c>
      <c r="K84" s="733" t="s">
        <v>1135</v>
      </c>
      <c r="L84" s="736">
        <v>-659306693</v>
      </c>
      <c r="M84" s="736">
        <v>404631747</v>
      </c>
      <c r="N84" s="737">
        <v>451002028</v>
      </c>
    </row>
    <row r="85" spans="2:14" x14ac:dyDescent="0.3">
      <c r="B85" s="733" t="s">
        <v>1133</v>
      </c>
      <c r="C85" s="736">
        <v>1578548539</v>
      </c>
      <c r="D85" s="736">
        <v>4094672311</v>
      </c>
      <c r="E85" s="736">
        <v>-976952192</v>
      </c>
      <c r="F85" s="737">
        <v>1914493649</v>
      </c>
      <c r="K85" s="733" t="s">
        <v>1133</v>
      </c>
      <c r="L85" s="736">
        <v>2131760969</v>
      </c>
      <c r="M85" s="736">
        <v>1698055846</v>
      </c>
      <c r="N85" s="737">
        <v>6412997919</v>
      </c>
    </row>
    <row r="86" spans="2:14" x14ac:dyDescent="0.3">
      <c r="B86" s="733" t="s">
        <v>1134</v>
      </c>
      <c r="C86" s="734"/>
      <c r="D86" s="734"/>
      <c r="E86" s="734"/>
      <c r="F86" s="735"/>
      <c r="K86" s="733" t="s">
        <v>1134</v>
      </c>
      <c r="L86" s="734"/>
      <c r="M86" s="734"/>
      <c r="N86" s="735"/>
    </row>
    <row r="87" spans="2:14" x14ac:dyDescent="0.3">
      <c r="B87" s="733" t="s">
        <v>1136</v>
      </c>
      <c r="C87" s="736">
        <v>1155415940</v>
      </c>
      <c r="D87" s="736">
        <v>4280646324</v>
      </c>
      <c r="E87" s="736">
        <v>446720364</v>
      </c>
      <c r="F87" s="737">
        <v>3710751282</v>
      </c>
      <c r="K87" s="733" t="s">
        <v>1136</v>
      </c>
      <c r="L87" s="736">
        <v>2663937017</v>
      </c>
      <c r="M87" s="736">
        <v>1078912224</v>
      </c>
      <c r="N87" s="737">
        <v>5683422008</v>
      </c>
    </row>
    <row r="88" spans="2:14" x14ac:dyDescent="0.3">
      <c r="B88" s="733" t="s">
        <v>1137</v>
      </c>
      <c r="C88" s="734"/>
      <c r="D88" s="734"/>
      <c r="E88" s="736">
        <v>51442350</v>
      </c>
      <c r="F88" s="737">
        <v>238714603</v>
      </c>
      <c r="K88" s="733" t="s">
        <v>1137</v>
      </c>
      <c r="L88" s="736">
        <v>238714603</v>
      </c>
      <c r="M88" s="736">
        <v>209249384</v>
      </c>
      <c r="N88" s="737">
        <v>287032768</v>
      </c>
    </row>
    <row r="89" spans="2:14" x14ac:dyDescent="0.3">
      <c r="B89" s="733" t="s">
        <v>1139</v>
      </c>
      <c r="C89" s="734"/>
      <c r="D89" s="734"/>
      <c r="E89" s="734"/>
      <c r="F89" s="735"/>
      <c r="K89" s="733" t="s">
        <v>1415</v>
      </c>
      <c r="L89" s="734"/>
      <c r="M89" s="734"/>
      <c r="N89" s="735"/>
    </row>
    <row r="90" spans="2:14" x14ac:dyDescent="0.3">
      <c r="B90" s="733" t="s">
        <v>1140</v>
      </c>
      <c r="C90" s="736">
        <v>1578548539</v>
      </c>
      <c r="D90" s="736">
        <v>4094672311</v>
      </c>
      <c r="E90" s="736">
        <v>-1027945402</v>
      </c>
      <c r="F90" s="737">
        <v>1676216906</v>
      </c>
      <c r="K90" s="733" t="s">
        <v>1597</v>
      </c>
      <c r="L90" s="736">
        <v>1893481632</v>
      </c>
      <c r="M90" s="736">
        <v>1485776179</v>
      </c>
      <c r="N90" s="737">
        <v>6100222446</v>
      </c>
    </row>
    <row r="91" spans="2:14" x14ac:dyDescent="0.3">
      <c r="B91" s="733" t="s">
        <v>1142</v>
      </c>
      <c r="C91" s="734"/>
      <c r="D91" s="734"/>
      <c r="E91" s="736">
        <v>50993210</v>
      </c>
      <c r="F91" s="737">
        <v>238276743</v>
      </c>
      <c r="K91" s="733" t="s">
        <v>1598</v>
      </c>
      <c r="L91" s="736">
        <v>238279337</v>
      </c>
      <c r="M91" s="736">
        <v>212279667</v>
      </c>
      <c r="N91" s="737">
        <v>312775473</v>
      </c>
    </row>
    <row r="92" spans="2:14" x14ac:dyDescent="0.3">
      <c r="B92" s="733" t="s">
        <v>1143</v>
      </c>
      <c r="C92" s="734"/>
      <c r="D92" s="734"/>
      <c r="E92" s="734"/>
      <c r="F92" s="735"/>
      <c r="K92" s="733" t="s">
        <v>1143</v>
      </c>
      <c r="L92" s="734"/>
      <c r="M92" s="734"/>
      <c r="N92" s="735"/>
    </row>
    <row r="93" spans="2:14" x14ac:dyDescent="0.3">
      <c r="B93" s="733" t="s">
        <v>1144</v>
      </c>
      <c r="C93" s="734">
        <v>22</v>
      </c>
      <c r="D93" s="734">
        <v>83</v>
      </c>
      <c r="E93" s="734">
        <v>9</v>
      </c>
      <c r="F93" s="735">
        <v>73</v>
      </c>
      <c r="K93" s="733" t="s">
        <v>1144</v>
      </c>
      <c r="L93" s="734">
        <v>52</v>
      </c>
      <c r="M93" s="734">
        <v>21</v>
      </c>
      <c r="N93" s="735">
        <v>113</v>
      </c>
    </row>
    <row r="94" spans="2:14" x14ac:dyDescent="0.3">
      <c r="B94" s="738" t="s">
        <v>1145</v>
      </c>
      <c r="C94" s="745">
        <v>22</v>
      </c>
      <c r="D94" s="745">
        <v>83</v>
      </c>
      <c r="E94" s="745">
        <v>9</v>
      </c>
      <c r="F94" s="746">
        <v>73</v>
      </c>
      <c r="K94" s="738" t="s">
        <v>1145</v>
      </c>
      <c r="L94" s="745">
        <v>52</v>
      </c>
      <c r="M94" s="745">
        <v>21</v>
      </c>
      <c r="N94" s="746">
        <v>113</v>
      </c>
    </row>
    <row r="98" spans="2:14" x14ac:dyDescent="0.3">
      <c r="B98" s="767" t="s">
        <v>971</v>
      </c>
      <c r="C98" s="768"/>
      <c r="D98" s="768"/>
      <c r="K98" s="741" t="s">
        <v>971</v>
      </c>
      <c r="L98" s="727"/>
      <c r="M98" s="727"/>
      <c r="N98" s="727"/>
    </row>
    <row r="99" spans="2:14" x14ac:dyDescent="0.3">
      <c r="B99" s="769" t="s">
        <v>1093</v>
      </c>
      <c r="C99" s="768"/>
      <c r="D99" s="768"/>
      <c r="K99" s="742" t="s">
        <v>1094</v>
      </c>
      <c r="L99" s="727"/>
      <c r="M99" s="727"/>
      <c r="N99" s="727"/>
    </row>
    <row r="100" spans="2:14" x14ac:dyDescent="0.3">
      <c r="B100" s="769" t="s">
        <v>1095</v>
      </c>
      <c r="C100" s="768"/>
      <c r="D100" s="768"/>
      <c r="K100" s="742" t="s">
        <v>1096</v>
      </c>
      <c r="L100" s="727"/>
      <c r="M100" s="727"/>
      <c r="N100" s="727"/>
    </row>
    <row r="101" spans="2:14" x14ac:dyDescent="0.3">
      <c r="B101" s="770" t="s">
        <v>865</v>
      </c>
      <c r="C101" s="768"/>
      <c r="D101" s="768"/>
      <c r="K101" s="742" t="s">
        <v>1097</v>
      </c>
      <c r="L101" s="727"/>
      <c r="M101" s="727"/>
      <c r="N101" s="727"/>
    </row>
    <row r="102" spans="2:14" x14ac:dyDescent="0.3">
      <c r="B102" s="771"/>
      <c r="C102" s="772" t="s">
        <v>1098</v>
      </c>
      <c r="D102" s="773" t="s">
        <v>1099</v>
      </c>
      <c r="K102" s="729" t="s">
        <v>865</v>
      </c>
      <c r="L102" s="727"/>
      <c r="M102" s="727"/>
      <c r="N102" s="727"/>
    </row>
    <row r="103" spans="2:14" x14ac:dyDescent="0.3">
      <c r="B103" s="774" t="s">
        <v>1146</v>
      </c>
      <c r="C103" s="775">
        <v>4842843841</v>
      </c>
      <c r="D103" s="776">
        <v>13037695251</v>
      </c>
      <c r="K103" s="730"/>
      <c r="L103" s="731" t="s">
        <v>1100</v>
      </c>
      <c r="M103" s="731" t="s">
        <v>1101</v>
      </c>
      <c r="N103" s="732" t="s">
        <v>1102</v>
      </c>
    </row>
    <row r="104" spans="2:14" x14ac:dyDescent="0.3">
      <c r="B104" s="774" t="s">
        <v>1147</v>
      </c>
      <c r="C104" s="775">
        <v>4270810988</v>
      </c>
      <c r="D104" s="776">
        <v>3942412685</v>
      </c>
      <c r="K104" s="733" t="s">
        <v>1146</v>
      </c>
      <c r="L104" s="736">
        <v>14817154409</v>
      </c>
      <c r="M104" s="736">
        <v>16362911654</v>
      </c>
      <c r="N104" s="737">
        <v>4877883205</v>
      </c>
    </row>
    <row r="105" spans="2:14" x14ac:dyDescent="0.3">
      <c r="B105" s="774" t="s">
        <v>1148</v>
      </c>
      <c r="C105" s="775">
        <v>3439691324</v>
      </c>
      <c r="D105" s="776">
        <v>4230222265</v>
      </c>
      <c r="K105" s="733" t="s">
        <v>1147</v>
      </c>
      <c r="L105" s="736">
        <v>2902651620</v>
      </c>
      <c r="M105" s="736">
        <v>1288161608</v>
      </c>
      <c r="N105" s="737">
        <v>5970454776</v>
      </c>
    </row>
    <row r="106" spans="2:14" x14ac:dyDescent="0.3">
      <c r="B106" s="774" t="s">
        <v>1163</v>
      </c>
      <c r="C106" s="775">
        <v>1605240569</v>
      </c>
      <c r="D106" s="776">
        <v>1745480767</v>
      </c>
      <c r="K106" s="733" t="s">
        <v>1148</v>
      </c>
      <c r="L106" s="736">
        <v>12976887593</v>
      </c>
      <c r="M106" s="736">
        <v>16155055986</v>
      </c>
      <c r="N106" s="737">
        <v>-124631147</v>
      </c>
    </row>
    <row r="107" spans="2:14" x14ac:dyDescent="0.3">
      <c r="B107" s="774" t="s">
        <v>1599</v>
      </c>
      <c r="C107" s="775">
        <v>23830593</v>
      </c>
      <c r="D107" s="776">
        <v>25066643</v>
      </c>
      <c r="K107" s="733" t="s">
        <v>1161</v>
      </c>
      <c r="L107" s="736">
        <v>1183240849</v>
      </c>
      <c r="M107" s="736">
        <v>1153426666</v>
      </c>
      <c r="N107" s="737">
        <v>1151711550</v>
      </c>
    </row>
    <row r="108" spans="2:14" x14ac:dyDescent="0.3">
      <c r="B108" s="774" t="s">
        <v>1165</v>
      </c>
      <c r="C108" s="775">
        <v>510347220</v>
      </c>
      <c r="D108" s="776">
        <v>389031597</v>
      </c>
      <c r="K108" s="733" t="s">
        <v>1163</v>
      </c>
      <c r="L108" s="736">
        <v>2211251022</v>
      </c>
      <c r="M108" s="736">
        <v>2506534226</v>
      </c>
      <c r="N108" s="737">
        <v>2289780428</v>
      </c>
    </row>
    <row r="109" spans="2:14" x14ac:dyDescent="0.3">
      <c r="B109" s="774" t="s">
        <v>1600</v>
      </c>
      <c r="C109" s="775">
        <v>-51513950</v>
      </c>
      <c r="D109" s="776">
        <v>-493015197</v>
      </c>
      <c r="K109" s="733" t="s">
        <v>1601</v>
      </c>
      <c r="L109" s="736">
        <v>33075131</v>
      </c>
      <c r="M109" s="736">
        <v>34148554</v>
      </c>
      <c r="N109" s="735">
        <v>0</v>
      </c>
    </row>
    <row r="110" spans="2:14" x14ac:dyDescent="0.3">
      <c r="B110" s="774" t="s">
        <v>1602</v>
      </c>
      <c r="C110" s="775">
        <v>-270256807</v>
      </c>
      <c r="D110" s="776">
        <v>433831357</v>
      </c>
      <c r="K110" s="733" t="s">
        <v>1165</v>
      </c>
      <c r="L110" s="736">
        <v>512703451</v>
      </c>
      <c r="M110" s="736">
        <v>462737399</v>
      </c>
      <c r="N110" s="737">
        <v>245236804</v>
      </c>
    </row>
    <row r="111" spans="2:14" x14ac:dyDescent="0.3">
      <c r="B111" s="774" t="s">
        <v>1603</v>
      </c>
      <c r="C111" s="777"/>
      <c r="D111" s="776">
        <v>-827060</v>
      </c>
      <c r="K111" s="733" t="s">
        <v>1600</v>
      </c>
      <c r="L111" s="736">
        <v>-485936709</v>
      </c>
      <c r="M111" s="736">
        <v>147792061</v>
      </c>
      <c r="N111" s="737">
        <v>-447513511</v>
      </c>
    </row>
    <row r="112" spans="2:14" x14ac:dyDescent="0.3">
      <c r="B112" s="774" t="s">
        <v>1185</v>
      </c>
      <c r="C112" s="775">
        <v>26978590</v>
      </c>
      <c r="D112" s="776">
        <v>1597075</v>
      </c>
      <c r="K112" s="733" t="s">
        <v>1604</v>
      </c>
      <c r="L112" s="736">
        <v>-2174874</v>
      </c>
      <c r="M112" s="736">
        <v>234794255</v>
      </c>
      <c r="N112" s="737">
        <v>-612001956</v>
      </c>
    </row>
    <row r="113" spans="2:14" x14ac:dyDescent="0.3">
      <c r="B113" s="774" t="s">
        <v>1187</v>
      </c>
      <c r="C113" s="777"/>
      <c r="D113" s="776">
        <v>13554665</v>
      </c>
      <c r="K113" s="733" t="s">
        <v>1602</v>
      </c>
      <c r="L113" s="736">
        <v>521119531</v>
      </c>
      <c r="M113" s="736">
        <v>-1141712966</v>
      </c>
      <c r="N113" s="737">
        <v>618278161</v>
      </c>
    </row>
    <row r="114" spans="2:14" x14ac:dyDescent="0.3">
      <c r="B114" s="774" t="s">
        <v>1161</v>
      </c>
      <c r="C114" s="775">
        <v>876009139</v>
      </c>
      <c r="D114" s="776">
        <v>862176102</v>
      </c>
      <c r="K114" s="733" t="s">
        <v>1155</v>
      </c>
      <c r="L114" s="736">
        <v>-128337456</v>
      </c>
      <c r="M114" s="736">
        <v>-192053098</v>
      </c>
      <c r="N114" s="737">
        <v>-111651491</v>
      </c>
    </row>
    <row r="115" spans="2:14" x14ac:dyDescent="0.3">
      <c r="B115" s="774" t="s">
        <v>1605</v>
      </c>
      <c r="C115" s="775">
        <v>523139571</v>
      </c>
      <c r="D115" s="776">
        <v>958226686</v>
      </c>
      <c r="K115" s="733" t="s">
        <v>1606</v>
      </c>
      <c r="L115" s="736">
        <v>-15450684</v>
      </c>
      <c r="M115" s="734">
        <v>0</v>
      </c>
      <c r="N115" s="735">
        <v>0</v>
      </c>
    </row>
    <row r="116" spans="2:14" x14ac:dyDescent="0.3">
      <c r="B116" s="774" t="s">
        <v>1169</v>
      </c>
      <c r="C116" s="775">
        <v>77415277</v>
      </c>
      <c r="D116" s="776">
        <v>730155399</v>
      </c>
      <c r="K116" s="733" t="s">
        <v>1167</v>
      </c>
      <c r="L116" s="736">
        <v>-537895980</v>
      </c>
      <c r="M116" s="736">
        <v>-372747807</v>
      </c>
      <c r="N116" s="737">
        <v>-948299704</v>
      </c>
    </row>
    <row r="117" spans="2:14" x14ac:dyDescent="0.3">
      <c r="B117" s="774" t="s">
        <v>1312</v>
      </c>
      <c r="C117" s="775">
        <v>334625647</v>
      </c>
      <c r="D117" s="776">
        <v>114912324</v>
      </c>
      <c r="K117" s="733" t="s">
        <v>1157</v>
      </c>
      <c r="L117" s="736">
        <v>-736250</v>
      </c>
      <c r="M117" s="736">
        <v>-736250</v>
      </c>
      <c r="N117" s="737">
        <v>-736250</v>
      </c>
    </row>
    <row r="118" spans="2:14" x14ac:dyDescent="0.3">
      <c r="B118" s="774" t="s">
        <v>1153</v>
      </c>
      <c r="C118" s="775">
        <v>516342711</v>
      </c>
      <c r="D118" s="776">
        <v>1194299404</v>
      </c>
      <c r="K118" s="733" t="s">
        <v>1179</v>
      </c>
      <c r="L118" s="736">
        <v>-486276677</v>
      </c>
      <c r="M118" s="736">
        <v>-5892111</v>
      </c>
      <c r="N118" s="737">
        <v>-13492050</v>
      </c>
    </row>
    <row r="119" spans="2:14" x14ac:dyDescent="0.3">
      <c r="B119" s="774" t="s">
        <v>1159</v>
      </c>
      <c r="C119" s="775">
        <v>51234912</v>
      </c>
      <c r="D119" s="776">
        <v>154610962</v>
      </c>
      <c r="K119" s="733" t="s">
        <v>1607</v>
      </c>
      <c r="L119" s="734">
        <v>0</v>
      </c>
      <c r="M119" s="734">
        <v>0</v>
      </c>
      <c r="N119" s="737">
        <v>108587182</v>
      </c>
    </row>
    <row r="120" spans="2:14" x14ac:dyDescent="0.3">
      <c r="B120" s="774" t="s">
        <v>1191</v>
      </c>
      <c r="C120" s="777"/>
      <c r="D120" s="776">
        <v>7053200</v>
      </c>
      <c r="K120" s="733" t="s">
        <v>1183</v>
      </c>
      <c r="L120" s="736">
        <v>-95706097</v>
      </c>
      <c r="M120" s="736">
        <v>-66224026</v>
      </c>
      <c r="N120" s="737">
        <v>-129040260</v>
      </c>
    </row>
    <row r="121" spans="2:14" x14ac:dyDescent="0.3">
      <c r="B121" s="774" t="s">
        <v>1317</v>
      </c>
      <c r="C121" s="775">
        <v>466115</v>
      </c>
      <c r="D121" s="778"/>
      <c r="K121" s="733" t="s">
        <v>1608</v>
      </c>
      <c r="L121" s="734">
        <v>0</v>
      </c>
      <c r="M121" s="736">
        <v>-148376650</v>
      </c>
      <c r="N121" s="737">
        <v>-516195171</v>
      </c>
    </row>
    <row r="122" spans="2:14" x14ac:dyDescent="0.3">
      <c r="B122" s="774" t="s">
        <v>1183</v>
      </c>
      <c r="C122" s="775">
        <v>-7919391</v>
      </c>
      <c r="D122" s="776">
        <v>-9329664</v>
      </c>
      <c r="K122" s="733" t="s">
        <v>1605</v>
      </c>
      <c r="L122" s="736">
        <v>830946638</v>
      </c>
      <c r="M122" s="736">
        <v>1318031588</v>
      </c>
      <c r="N122" s="737">
        <v>-718113691</v>
      </c>
    </row>
    <row r="123" spans="2:14" x14ac:dyDescent="0.3">
      <c r="B123" s="774" t="s">
        <v>1167</v>
      </c>
      <c r="C123" s="775">
        <v>-262976791</v>
      </c>
      <c r="D123" s="776">
        <v>-46087376</v>
      </c>
      <c r="K123" s="733" t="s">
        <v>1159</v>
      </c>
      <c r="L123" s="736">
        <v>174294852</v>
      </c>
      <c r="M123" s="736">
        <v>561093436</v>
      </c>
      <c r="N123" s="737">
        <v>603510595</v>
      </c>
    </row>
    <row r="124" spans="2:14" x14ac:dyDescent="0.3">
      <c r="B124" s="774" t="s">
        <v>1310</v>
      </c>
      <c r="C124" s="775">
        <v>-366372385</v>
      </c>
      <c r="D124" s="776">
        <v>-1777320791</v>
      </c>
      <c r="K124" s="733" t="s">
        <v>1169</v>
      </c>
      <c r="L124" s="736">
        <v>314974380</v>
      </c>
      <c r="M124" s="736">
        <v>729319791</v>
      </c>
      <c r="N124" s="737">
        <v>896322690</v>
      </c>
    </row>
    <row r="125" spans="2:14" x14ac:dyDescent="0.3">
      <c r="B125" s="774" t="s">
        <v>1606</v>
      </c>
      <c r="C125" s="775">
        <v>-44626026</v>
      </c>
      <c r="D125" s="778"/>
      <c r="K125" s="733" t="s">
        <v>1185</v>
      </c>
      <c r="L125" s="736">
        <v>2810520</v>
      </c>
      <c r="M125" s="736">
        <v>26646088</v>
      </c>
      <c r="N125" s="737">
        <v>272747130</v>
      </c>
    </row>
    <row r="126" spans="2:14" x14ac:dyDescent="0.3">
      <c r="B126" s="774" t="s">
        <v>1155</v>
      </c>
      <c r="C126" s="775">
        <v>-101537420</v>
      </c>
      <c r="D126" s="776">
        <v>-72457578</v>
      </c>
      <c r="K126" s="733" t="s">
        <v>1187</v>
      </c>
      <c r="L126" s="736">
        <v>134489246</v>
      </c>
      <c r="M126" s="736">
        <v>6125000</v>
      </c>
      <c r="N126" s="735">
        <v>0</v>
      </c>
    </row>
    <row r="127" spans="2:14" x14ac:dyDescent="0.3">
      <c r="B127" s="774" t="s">
        <v>1157</v>
      </c>
      <c r="C127" s="775">
        <v>-736250</v>
      </c>
      <c r="D127" s="776">
        <v>-736250</v>
      </c>
      <c r="K127" s="733" t="s">
        <v>1609</v>
      </c>
      <c r="L127" s="736">
        <v>444188181</v>
      </c>
      <c r="M127" s="736">
        <v>979687254</v>
      </c>
      <c r="N127" s="735">
        <v>0</v>
      </c>
    </row>
    <row r="128" spans="2:14" x14ac:dyDescent="0.3">
      <c r="B128" s="774" t="s">
        <v>1150</v>
      </c>
      <c r="C128" s="775">
        <v>-2830251133</v>
      </c>
      <c r="D128" s="776">
        <v>5847234029</v>
      </c>
      <c r="K128" s="733" t="s">
        <v>1315</v>
      </c>
      <c r="L128" s="736">
        <v>474751481</v>
      </c>
      <c r="M128" s="736">
        <v>86775510</v>
      </c>
      <c r="N128" s="737">
        <v>732701047</v>
      </c>
    </row>
    <row r="129" spans="2:14" x14ac:dyDescent="0.3">
      <c r="B129" s="774" t="s">
        <v>1461</v>
      </c>
      <c r="C129" s="775">
        <v>-6273529837</v>
      </c>
      <c r="D129" s="776">
        <v>4751777086</v>
      </c>
      <c r="K129" s="733" t="s">
        <v>1610</v>
      </c>
      <c r="L129" s="736">
        <v>199848</v>
      </c>
      <c r="M129" s="734">
        <v>0</v>
      </c>
      <c r="N129" s="735">
        <v>0</v>
      </c>
    </row>
    <row r="130" spans="2:14" x14ac:dyDescent="0.3">
      <c r="B130" s="774" t="s">
        <v>1611</v>
      </c>
      <c r="C130" s="775">
        <v>-83640290</v>
      </c>
      <c r="D130" s="776">
        <v>588099664</v>
      </c>
      <c r="K130" s="733" t="s">
        <v>1153</v>
      </c>
      <c r="L130" s="736">
        <v>1177869641</v>
      </c>
      <c r="M130" s="736">
        <v>1606951371</v>
      </c>
      <c r="N130" s="737">
        <v>860523941</v>
      </c>
    </row>
    <row r="131" spans="2:14" x14ac:dyDescent="0.3">
      <c r="B131" s="774" t="s">
        <v>1199</v>
      </c>
      <c r="C131" s="775">
        <v>953827266</v>
      </c>
      <c r="D131" s="776">
        <v>1595245358</v>
      </c>
      <c r="K131" s="733" t="s">
        <v>1461</v>
      </c>
      <c r="L131" s="736">
        <v>10360608068</v>
      </c>
      <c r="M131" s="736">
        <v>-200982867</v>
      </c>
      <c r="N131" s="737">
        <v>1368338331</v>
      </c>
    </row>
    <row r="132" spans="2:14" x14ac:dyDescent="0.3">
      <c r="B132" s="774" t="s">
        <v>1323</v>
      </c>
      <c r="C132" s="775">
        <v>748577888</v>
      </c>
      <c r="D132" s="776">
        <v>-503513421</v>
      </c>
      <c r="K132" s="733" t="s">
        <v>1611</v>
      </c>
      <c r="L132" s="736">
        <v>329595207</v>
      </c>
      <c r="M132" s="736">
        <v>-11833656</v>
      </c>
      <c r="N132" s="737">
        <v>-178574801</v>
      </c>
    </row>
    <row r="133" spans="2:14" x14ac:dyDescent="0.3">
      <c r="B133" s="774" t="s">
        <v>1612</v>
      </c>
      <c r="C133" s="775">
        <v>470136679</v>
      </c>
      <c r="D133" s="776">
        <v>5892111</v>
      </c>
      <c r="K133" s="733" t="s">
        <v>1199</v>
      </c>
      <c r="L133" s="736">
        <v>-1377267484</v>
      </c>
      <c r="M133" s="736">
        <v>12816887081</v>
      </c>
      <c r="N133" s="737">
        <v>858453226</v>
      </c>
    </row>
    <row r="134" spans="2:14" x14ac:dyDescent="0.3">
      <c r="B134" s="774" t="s">
        <v>1476</v>
      </c>
      <c r="C134" s="775">
        <v>1912434789</v>
      </c>
      <c r="D134" s="776">
        <v>1390985290</v>
      </c>
      <c r="K134" s="733" t="s">
        <v>1612</v>
      </c>
      <c r="L134" s="736">
        <v>5892111</v>
      </c>
      <c r="M134" s="736">
        <v>13492050</v>
      </c>
      <c r="N134" s="737">
        <v>211759535</v>
      </c>
    </row>
    <row r="135" spans="2:14" x14ac:dyDescent="0.3">
      <c r="B135" s="774" t="s">
        <v>1613</v>
      </c>
      <c r="C135" s="775">
        <v>438830828</v>
      </c>
      <c r="D135" s="776">
        <v>122231613</v>
      </c>
      <c r="K135" s="733" t="s">
        <v>1323</v>
      </c>
      <c r="L135" s="736">
        <v>-334669487</v>
      </c>
      <c r="M135" s="736">
        <v>386419785</v>
      </c>
      <c r="N135" s="737">
        <v>254941834</v>
      </c>
    </row>
    <row r="136" spans="2:14" x14ac:dyDescent="0.3">
      <c r="B136" s="774" t="s">
        <v>1329</v>
      </c>
      <c r="C136" s="775">
        <v>379675754</v>
      </c>
      <c r="D136" s="776">
        <v>280052436</v>
      </c>
      <c r="K136" s="733" t="s">
        <v>1476</v>
      </c>
      <c r="L136" s="736">
        <v>1114425844</v>
      </c>
      <c r="M136" s="736">
        <v>-836130987</v>
      </c>
      <c r="N136" s="737">
        <v>-3319683889</v>
      </c>
    </row>
    <row r="137" spans="2:14" x14ac:dyDescent="0.3">
      <c r="B137" s="774" t="s">
        <v>1614</v>
      </c>
      <c r="C137" s="775">
        <v>-1509322</v>
      </c>
      <c r="D137" s="776">
        <v>52595058</v>
      </c>
      <c r="K137" s="733" t="s">
        <v>1613</v>
      </c>
      <c r="L137" s="736">
        <v>435575547</v>
      </c>
      <c r="M137" s="736">
        <v>-435146131</v>
      </c>
      <c r="N137" s="737">
        <v>-809746041</v>
      </c>
    </row>
    <row r="138" spans="2:14" x14ac:dyDescent="0.3">
      <c r="B138" s="774" t="s">
        <v>1488</v>
      </c>
      <c r="C138" s="775">
        <v>-474751481</v>
      </c>
      <c r="D138" s="776">
        <v>-86775510</v>
      </c>
      <c r="K138" s="733" t="s">
        <v>1329</v>
      </c>
      <c r="L138" s="736">
        <v>5159295</v>
      </c>
      <c r="M138" s="736">
        <v>-486088325</v>
      </c>
      <c r="N138" s="737">
        <v>269250139</v>
      </c>
    </row>
    <row r="139" spans="2:14" x14ac:dyDescent="0.3">
      <c r="B139" s="774" t="s">
        <v>1615</v>
      </c>
      <c r="C139" s="775">
        <v>-505620297</v>
      </c>
      <c r="D139" s="776">
        <v>-1086050716</v>
      </c>
      <c r="K139" s="733" t="s">
        <v>1488</v>
      </c>
      <c r="L139" s="736">
        <v>-86775510</v>
      </c>
      <c r="M139" s="736">
        <v>-732701047</v>
      </c>
      <c r="N139" s="737">
        <v>-229934</v>
      </c>
    </row>
    <row r="140" spans="2:14" x14ac:dyDescent="0.3">
      <c r="B140" s="774" t="s">
        <v>1207</v>
      </c>
      <c r="C140" s="775">
        <v>-250835680</v>
      </c>
      <c r="D140" s="776">
        <v>-126298780</v>
      </c>
      <c r="K140" s="733" t="s">
        <v>1615</v>
      </c>
      <c r="L140" s="736">
        <v>-1314982576</v>
      </c>
      <c r="M140" s="736">
        <v>-1534265833</v>
      </c>
      <c r="N140" s="737">
        <v>-1982316216</v>
      </c>
    </row>
    <row r="141" spans="2:14" x14ac:dyDescent="0.3">
      <c r="B141" s="774" t="s">
        <v>1208</v>
      </c>
      <c r="C141" s="775">
        <v>-143847430</v>
      </c>
      <c r="D141" s="776">
        <v>-1137006160</v>
      </c>
      <c r="K141" s="733" t="s">
        <v>1614</v>
      </c>
      <c r="L141" s="736">
        <v>46578494</v>
      </c>
      <c r="M141" s="736">
        <v>54145968</v>
      </c>
      <c r="N141" s="737">
        <v>-7885000</v>
      </c>
    </row>
    <row r="142" spans="2:14" x14ac:dyDescent="0.3">
      <c r="B142" s="774" t="s">
        <v>1152</v>
      </c>
      <c r="C142" s="775">
        <v>105993066</v>
      </c>
      <c r="D142" s="776">
        <v>74359510</v>
      </c>
      <c r="K142" s="733" t="s">
        <v>1616</v>
      </c>
      <c r="L142" s="736">
        <v>-2005652750</v>
      </c>
      <c r="M142" s="736">
        <v>-360182234</v>
      </c>
      <c r="N142" s="737">
        <v>-596907238</v>
      </c>
    </row>
    <row r="143" spans="2:14" x14ac:dyDescent="0.3">
      <c r="B143" s="774" t="s">
        <v>1156</v>
      </c>
      <c r="C143" s="775">
        <v>-57557169</v>
      </c>
      <c r="D143" s="776">
        <v>-164344616</v>
      </c>
      <c r="K143" s="733" t="s">
        <v>1207</v>
      </c>
      <c r="L143" s="736">
        <v>-464999210</v>
      </c>
      <c r="M143" s="736">
        <v>-444878109</v>
      </c>
      <c r="N143" s="737">
        <v>-474386537</v>
      </c>
    </row>
    <row r="144" spans="2:14" x14ac:dyDescent="0.3">
      <c r="B144" s="774" t="s">
        <v>1158</v>
      </c>
      <c r="C144" s="775">
        <v>-86579485</v>
      </c>
      <c r="D144" s="776">
        <v>-892924872</v>
      </c>
      <c r="K144" s="733" t="s">
        <v>1209</v>
      </c>
      <c r="L144" s="736">
        <v>118827040</v>
      </c>
      <c r="M144" s="736">
        <v>189704918</v>
      </c>
      <c r="N144" s="737">
        <v>111651491</v>
      </c>
    </row>
    <row r="145" spans="2:14" x14ac:dyDescent="0.3">
      <c r="B145" s="774" t="s">
        <v>1154</v>
      </c>
      <c r="C145" s="775">
        <v>736250</v>
      </c>
      <c r="D145" s="776">
        <v>736250</v>
      </c>
      <c r="K145" s="733" t="s">
        <v>1211</v>
      </c>
      <c r="L145" s="736">
        <v>-180874445</v>
      </c>
      <c r="M145" s="736">
        <v>-589169217</v>
      </c>
      <c r="N145" s="737">
        <v>-624658645</v>
      </c>
    </row>
    <row r="146" spans="2:14" x14ac:dyDescent="0.3">
      <c r="B146" s="774" t="s">
        <v>1160</v>
      </c>
      <c r="C146" s="775">
        <v>-3971392191</v>
      </c>
      <c r="D146" s="776">
        <v>-3187966493</v>
      </c>
      <c r="K146" s="733" t="s">
        <v>1158</v>
      </c>
      <c r="L146" s="736">
        <v>-1001073649</v>
      </c>
      <c r="M146" s="736">
        <v>-681577891</v>
      </c>
      <c r="N146" s="737">
        <v>-1368672925</v>
      </c>
    </row>
    <row r="147" spans="2:14" x14ac:dyDescent="0.3">
      <c r="B147" s="774" t="s">
        <v>1520</v>
      </c>
      <c r="C147" s="775">
        <v>16097260</v>
      </c>
      <c r="D147" s="778"/>
      <c r="K147" s="733" t="s">
        <v>1210</v>
      </c>
      <c r="L147" s="736">
        <v>736250</v>
      </c>
      <c r="M147" s="736">
        <v>736250</v>
      </c>
      <c r="N147" s="737">
        <v>913739655</v>
      </c>
    </row>
    <row r="148" spans="2:14" x14ac:dyDescent="0.3">
      <c r="B148" s="774" t="s">
        <v>1522</v>
      </c>
      <c r="C148" s="775">
        <v>9402267</v>
      </c>
      <c r="D148" s="776">
        <v>7477319</v>
      </c>
      <c r="K148" s="733" t="s">
        <v>1160</v>
      </c>
      <c r="L148" s="736">
        <v>-5837767717</v>
      </c>
      <c r="M148" s="736">
        <v>-2247426281</v>
      </c>
      <c r="N148" s="737">
        <v>1014841142</v>
      </c>
    </row>
    <row r="149" spans="2:14" x14ac:dyDescent="0.3">
      <c r="B149" s="774" t="s">
        <v>1526</v>
      </c>
      <c r="C149" s="777"/>
      <c r="D149" s="776">
        <v>2394967</v>
      </c>
      <c r="K149" s="733" t="s">
        <v>1617</v>
      </c>
      <c r="L149" s="736">
        <v>1477921409</v>
      </c>
      <c r="M149" s="736">
        <v>2009323033</v>
      </c>
      <c r="N149" s="737">
        <v>394982816</v>
      </c>
    </row>
    <row r="150" spans="2:14" x14ac:dyDescent="0.3">
      <c r="B150" s="774" t="s">
        <v>1176</v>
      </c>
      <c r="C150" s="777"/>
      <c r="D150" s="776">
        <v>295000</v>
      </c>
      <c r="K150" s="733" t="s">
        <v>1176</v>
      </c>
      <c r="L150" s="736">
        <v>295000</v>
      </c>
      <c r="M150" s="734">
        <v>0</v>
      </c>
      <c r="N150" s="737">
        <v>1125000</v>
      </c>
    </row>
    <row r="151" spans="2:14" x14ac:dyDescent="0.3">
      <c r="B151" s="774" t="s">
        <v>1618</v>
      </c>
      <c r="C151" s="775">
        <v>8033926026</v>
      </c>
      <c r="D151" s="776">
        <v>1000000000</v>
      </c>
      <c r="K151" s="733" t="s">
        <v>1618</v>
      </c>
      <c r="L151" s="736">
        <v>3012150684</v>
      </c>
      <c r="M151" s="734">
        <v>0</v>
      </c>
      <c r="N151" s="735">
        <v>0</v>
      </c>
    </row>
    <row r="152" spans="2:14" x14ac:dyDescent="0.3">
      <c r="B152" s="774" t="s">
        <v>1505</v>
      </c>
      <c r="C152" s="775">
        <v>5863900000</v>
      </c>
      <c r="D152" s="778"/>
      <c r="K152" s="733" t="s">
        <v>1619</v>
      </c>
      <c r="L152" s="734">
        <v>0</v>
      </c>
      <c r="M152" s="734">
        <v>0</v>
      </c>
      <c r="N152" s="737">
        <v>989000000</v>
      </c>
    </row>
    <row r="153" spans="2:14" x14ac:dyDescent="0.3">
      <c r="B153" s="774" t="s">
        <v>1620</v>
      </c>
      <c r="C153" s="777"/>
      <c r="D153" s="776">
        <v>31818182</v>
      </c>
      <c r="K153" s="733" t="s">
        <v>1621</v>
      </c>
      <c r="L153" s="736">
        <v>107990535</v>
      </c>
      <c r="M153" s="736">
        <v>1573790</v>
      </c>
      <c r="N153" s="737">
        <v>256000000</v>
      </c>
    </row>
    <row r="154" spans="2:14" x14ac:dyDescent="0.3">
      <c r="B154" s="774" t="s">
        <v>1174</v>
      </c>
      <c r="C154" s="775">
        <v>27547253</v>
      </c>
      <c r="D154" s="776">
        <v>19661777</v>
      </c>
      <c r="K154" s="733" t="s">
        <v>1622</v>
      </c>
      <c r="L154" s="734">
        <v>0</v>
      </c>
      <c r="M154" s="736">
        <v>78827</v>
      </c>
      <c r="N154" s="737">
        <v>1280319</v>
      </c>
    </row>
    <row r="155" spans="2:14" x14ac:dyDescent="0.3">
      <c r="B155" s="774" t="s">
        <v>1543</v>
      </c>
      <c r="C155" s="775">
        <v>-31500000</v>
      </c>
      <c r="D155" s="776">
        <v>-23942000</v>
      </c>
      <c r="K155" s="733" t="s">
        <v>1520</v>
      </c>
      <c r="L155" s="736">
        <v>500000</v>
      </c>
      <c r="M155" s="736">
        <v>153115116</v>
      </c>
      <c r="N155" s="737">
        <v>62031527</v>
      </c>
    </row>
    <row r="156" spans="2:14" x14ac:dyDescent="0.3">
      <c r="B156" s="774" t="s">
        <v>1623</v>
      </c>
      <c r="C156" s="775">
        <v>-4500000</v>
      </c>
      <c r="D156" s="776">
        <v>-4200000</v>
      </c>
      <c r="K156" s="733" t="s">
        <v>1522</v>
      </c>
      <c r="L156" s="736">
        <v>7443098</v>
      </c>
      <c r="M156" s="736">
        <v>8090909</v>
      </c>
      <c r="N156" s="737">
        <v>14954687</v>
      </c>
    </row>
    <row r="157" spans="2:14" x14ac:dyDescent="0.3">
      <c r="B157" s="774" t="s">
        <v>1545</v>
      </c>
      <c r="C157" s="775">
        <v>-250541868</v>
      </c>
      <c r="D157" s="776">
        <v>-78371838</v>
      </c>
      <c r="K157" s="733" t="s">
        <v>1526</v>
      </c>
      <c r="L157" s="736">
        <v>2370180</v>
      </c>
      <c r="M157" s="736">
        <v>500947</v>
      </c>
      <c r="N157" s="737">
        <v>13008654</v>
      </c>
    </row>
    <row r="158" spans="2:14" x14ac:dyDescent="0.3">
      <c r="B158" s="774" t="s">
        <v>1547</v>
      </c>
      <c r="C158" s="775">
        <v>-6734250</v>
      </c>
      <c r="D158" s="778"/>
      <c r="K158" s="733" t="s">
        <v>1624</v>
      </c>
      <c r="L158" s="734">
        <v>0</v>
      </c>
      <c r="M158" s="736">
        <v>933200000</v>
      </c>
      <c r="N158" s="737">
        <v>3000000000</v>
      </c>
    </row>
    <row r="159" spans="2:14" x14ac:dyDescent="0.3">
      <c r="B159" s="774" t="s">
        <v>1625</v>
      </c>
      <c r="C159" s="775">
        <v>-813300000</v>
      </c>
      <c r="D159" s="776">
        <v>-325680000</v>
      </c>
      <c r="K159" s="733" t="s">
        <v>1505</v>
      </c>
      <c r="L159" s="736">
        <v>5057600000</v>
      </c>
      <c r="M159" s="734">
        <v>0</v>
      </c>
      <c r="N159" s="735">
        <v>0</v>
      </c>
    </row>
    <row r="160" spans="2:14" x14ac:dyDescent="0.3">
      <c r="B160" s="774" t="s">
        <v>1626</v>
      </c>
      <c r="C160" s="775">
        <v>-123297264</v>
      </c>
      <c r="D160" s="776">
        <v>-288776595</v>
      </c>
      <c r="K160" s="733" t="s">
        <v>1627</v>
      </c>
      <c r="L160" s="736">
        <v>7632624</v>
      </c>
      <c r="M160" s="736">
        <v>241821475</v>
      </c>
      <c r="N160" s="737">
        <v>95530790</v>
      </c>
    </row>
    <row r="161" spans="2:14" x14ac:dyDescent="0.3">
      <c r="B161" s="774" t="s">
        <v>1628</v>
      </c>
      <c r="C161" s="775">
        <v>-216910000</v>
      </c>
      <c r="D161" s="776">
        <v>-78276241</v>
      </c>
      <c r="K161" s="733" t="s">
        <v>1620</v>
      </c>
      <c r="L161" s="736">
        <v>220454544</v>
      </c>
      <c r="M161" s="734">
        <v>0</v>
      </c>
      <c r="N161" s="735">
        <v>0</v>
      </c>
    </row>
    <row r="162" spans="2:14" x14ac:dyDescent="0.3">
      <c r="B162" s="774" t="s">
        <v>1629</v>
      </c>
      <c r="C162" s="775">
        <v>-1236925587</v>
      </c>
      <c r="D162" s="776">
        <v>-262901464</v>
      </c>
      <c r="K162" s="733" t="s">
        <v>1541</v>
      </c>
      <c r="L162" s="736">
        <v>-1244430</v>
      </c>
      <c r="M162" s="736">
        <v>-1091100000</v>
      </c>
      <c r="N162" s="735">
        <v>0</v>
      </c>
    </row>
    <row r="163" spans="2:14" x14ac:dyDescent="0.3">
      <c r="B163" s="774" t="s">
        <v>1617</v>
      </c>
      <c r="C163" s="775">
        <v>1295503972</v>
      </c>
      <c r="D163" s="778"/>
      <c r="K163" s="733" t="s">
        <v>1543</v>
      </c>
      <c r="L163" s="736">
        <v>-214334620</v>
      </c>
      <c r="M163" s="736">
        <v>-987866623</v>
      </c>
      <c r="N163" s="737">
        <v>-38200000</v>
      </c>
    </row>
    <row r="164" spans="2:14" x14ac:dyDescent="0.3">
      <c r="B164" s="774" t="s">
        <v>1630</v>
      </c>
      <c r="C164" s="775">
        <v>-10000000000</v>
      </c>
      <c r="D164" s="776">
        <v>-3000000000</v>
      </c>
      <c r="K164" s="733" t="s">
        <v>1623</v>
      </c>
      <c r="L164" s="736">
        <v>-15350000</v>
      </c>
      <c r="M164" s="736">
        <v>-13318936</v>
      </c>
      <c r="N164" s="737">
        <v>-63180000</v>
      </c>
    </row>
    <row r="165" spans="2:14" x14ac:dyDescent="0.3">
      <c r="B165" s="774" t="s">
        <v>1631</v>
      </c>
      <c r="C165" s="775">
        <v>-6534060000</v>
      </c>
      <c r="D165" s="776">
        <v>-187465600</v>
      </c>
      <c r="K165" s="733" t="s">
        <v>1545</v>
      </c>
      <c r="L165" s="736">
        <v>-128347094</v>
      </c>
      <c r="M165" s="736">
        <v>-344451326</v>
      </c>
      <c r="N165" s="737">
        <v>-358825480</v>
      </c>
    </row>
    <row r="166" spans="2:14" x14ac:dyDescent="0.3">
      <c r="B166" s="774" t="s">
        <v>1190</v>
      </c>
      <c r="C166" s="775">
        <v>-1923498565</v>
      </c>
      <c r="D166" s="776">
        <v>-10748193094</v>
      </c>
      <c r="K166" s="733" t="s">
        <v>1547</v>
      </c>
      <c r="L166" s="734">
        <v>0</v>
      </c>
      <c r="M166" s="736">
        <v>-61954487</v>
      </c>
      <c r="N166" s="737">
        <v>-189689140</v>
      </c>
    </row>
    <row r="167" spans="2:14" x14ac:dyDescent="0.3">
      <c r="B167" s="774" t="s">
        <v>1355</v>
      </c>
      <c r="C167" s="775">
        <v>13523155162</v>
      </c>
      <c r="D167" s="776">
        <v>12702360192</v>
      </c>
      <c r="K167" s="733" t="s">
        <v>1626</v>
      </c>
      <c r="L167" s="736">
        <v>-321064783</v>
      </c>
      <c r="M167" s="736">
        <v>-176458294</v>
      </c>
      <c r="N167" s="737">
        <v>-313898965</v>
      </c>
    </row>
    <row r="168" spans="2:14" x14ac:dyDescent="0.3">
      <c r="B168" s="774" t="s">
        <v>1194</v>
      </c>
      <c r="C168" s="775">
        <v>-14932203157</v>
      </c>
      <c r="D168" s="776">
        <v>-23450549395</v>
      </c>
      <c r="K168" s="733" t="s">
        <v>1625</v>
      </c>
      <c r="L168" s="736">
        <v>-1132220000</v>
      </c>
      <c r="M168" s="736">
        <v>-141130941</v>
      </c>
      <c r="N168" s="737">
        <v>-282449592</v>
      </c>
    </row>
    <row r="169" spans="2:14" x14ac:dyDescent="0.3">
      <c r="B169" s="774" t="s">
        <v>1196</v>
      </c>
      <c r="C169" s="777"/>
      <c r="D169" s="776">
        <v>-3891</v>
      </c>
      <c r="K169" s="733" t="s">
        <v>1632</v>
      </c>
      <c r="L169" s="736">
        <v>-132776241</v>
      </c>
      <c r="M169" s="736">
        <v>-321960891</v>
      </c>
      <c r="N169" s="737">
        <v>-98100000</v>
      </c>
    </row>
    <row r="170" spans="2:14" x14ac:dyDescent="0.3">
      <c r="B170" s="774" t="s">
        <v>1198</v>
      </c>
      <c r="C170" s="775">
        <v>-514450570</v>
      </c>
      <c r="D170" s="778"/>
      <c r="K170" s="733" t="s">
        <v>1633</v>
      </c>
      <c r="L170" s="734">
        <v>0</v>
      </c>
      <c r="M170" s="734">
        <v>0</v>
      </c>
      <c r="N170" s="737">
        <v>-173452400</v>
      </c>
    </row>
    <row r="171" spans="2:14" x14ac:dyDescent="0.3">
      <c r="B171" s="774" t="s">
        <v>1200</v>
      </c>
      <c r="C171" s="775">
        <v>-87902959</v>
      </c>
      <c r="D171" s="776">
        <v>-635448210</v>
      </c>
      <c r="K171" s="733" t="s">
        <v>1629</v>
      </c>
      <c r="L171" s="736">
        <v>-1797723023</v>
      </c>
      <c r="M171" s="736">
        <v>-2456888880</v>
      </c>
      <c r="N171" s="737">
        <v>-2295277074</v>
      </c>
    </row>
    <row r="172" spans="2:14" x14ac:dyDescent="0.3">
      <c r="B172" s="774" t="s">
        <v>1202</v>
      </c>
      <c r="C172" s="775">
        <v>-1139949874</v>
      </c>
      <c r="D172" s="776">
        <v>-1533912546</v>
      </c>
      <c r="K172" s="733" t="s">
        <v>1631</v>
      </c>
      <c r="L172" s="736">
        <v>-6989065600</v>
      </c>
      <c r="M172" s="734">
        <v>0</v>
      </c>
      <c r="N172" s="735">
        <v>0</v>
      </c>
    </row>
    <row r="173" spans="2:14" x14ac:dyDescent="0.3">
      <c r="B173" s="774" t="s">
        <v>1204</v>
      </c>
      <c r="C173" s="775">
        <v>7621804876</v>
      </c>
      <c r="D173" s="776">
        <v>10917450065</v>
      </c>
      <c r="K173" s="733" t="s">
        <v>1630</v>
      </c>
      <c r="L173" s="736">
        <v>-5000000000</v>
      </c>
      <c r="M173" s="734">
        <v>0</v>
      </c>
      <c r="N173" s="735">
        <v>0</v>
      </c>
    </row>
    <row r="174" spans="2:14" x14ac:dyDescent="0.3">
      <c r="B174" s="779" t="s">
        <v>1206</v>
      </c>
      <c r="C174" s="780">
        <v>6481855002</v>
      </c>
      <c r="D174" s="781">
        <v>9383537519</v>
      </c>
      <c r="K174" s="733" t="s">
        <v>1190</v>
      </c>
      <c r="L174" s="736">
        <v>-12043939591</v>
      </c>
      <c r="M174" s="736">
        <v>-13664463983</v>
      </c>
      <c r="N174" s="737">
        <v>-3947986010</v>
      </c>
    </row>
    <row r="175" spans="2:14" x14ac:dyDescent="0.3">
      <c r="K175" s="733" t="s">
        <v>1634</v>
      </c>
      <c r="L175" s="736">
        <v>19970563190</v>
      </c>
      <c r="M175" s="736">
        <v>62093272071</v>
      </c>
      <c r="N175" s="737">
        <v>93117241323</v>
      </c>
    </row>
    <row r="176" spans="2:14" x14ac:dyDescent="0.3">
      <c r="K176" s="733" t="s">
        <v>1194</v>
      </c>
      <c r="L176" s="736">
        <v>-32014498890</v>
      </c>
      <c r="M176" s="736">
        <v>-73791937704</v>
      </c>
      <c r="N176" s="737">
        <v>-94476953024</v>
      </c>
    </row>
    <row r="177" spans="11:14" x14ac:dyDescent="0.3">
      <c r="K177" s="733" t="s">
        <v>1363</v>
      </c>
      <c r="L177" s="734">
        <v>0</v>
      </c>
      <c r="M177" s="736">
        <v>-1209120000</v>
      </c>
      <c r="N177" s="737">
        <v>-1160830000</v>
      </c>
    </row>
    <row r="178" spans="11:14" x14ac:dyDescent="0.3">
      <c r="K178" s="733" t="s">
        <v>1635</v>
      </c>
      <c r="L178" s="734">
        <v>0</v>
      </c>
      <c r="M178" s="734">
        <v>0</v>
      </c>
      <c r="N178" s="737">
        <v>-83287260</v>
      </c>
    </row>
    <row r="179" spans="11:14" x14ac:dyDescent="0.3">
      <c r="K179" s="733" t="s">
        <v>1198</v>
      </c>
      <c r="L179" s="734">
        <v>0</v>
      </c>
      <c r="M179" s="736">
        <v>-756678350</v>
      </c>
      <c r="N179" s="735">
        <v>0</v>
      </c>
    </row>
    <row r="180" spans="11:14" x14ac:dyDescent="0.3">
      <c r="K180" s="733" t="s">
        <v>1196</v>
      </c>
      <c r="L180" s="736">
        <v>-3891</v>
      </c>
      <c r="M180" s="734">
        <v>0</v>
      </c>
      <c r="N180" s="735">
        <v>0</v>
      </c>
    </row>
    <row r="181" spans="11:14" x14ac:dyDescent="0.3">
      <c r="K181" s="733" t="s">
        <v>1636</v>
      </c>
      <c r="L181" s="734">
        <v>0</v>
      </c>
      <c r="M181" s="734">
        <v>0</v>
      </c>
      <c r="N181" s="737">
        <v>-1344157049</v>
      </c>
    </row>
    <row r="182" spans="11:14" x14ac:dyDescent="0.3">
      <c r="K182" s="733" t="s">
        <v>1202</v>
      </c>
      <c r="L182" s="736">
        <v>-3064552899</v>
      </c>
      <c r="M182" s="736">
        <v>451021390</v>
      </c>
      <c r="N182" s="737">
        <v>1944738337</v>
      </c>
    </row>
    <row r="183" spans="11:14" x14ac:dyDescent="0.3">
      <c r="K183" s="733" t="s">
        <v>1204</v>
      </c>
      <c r="L183" s="736">
        <v>10917450065</v>
      </c>
      <c r="M183" s="736">
        <v>10284848132</v>
      </c>
      <c r="N183" s="737">
        <v>8047445052</v>
      </c>
    </row>
    <row r="184" spans="11:14" x14ac:dyDescent="0.3">
      <c r="K184" s="733" t="s">
        <v>1637</v>
      </c>
      <c r="L184" s="736">
        <v>-231092290</v>
      </c>
      <c r="M184" s="736">
        <v>181580543</v>
      </c>
      <c r="N184" s="737">
        <v>292664743</v>
      </c>
    </row>
    <row r="185" spans="11:14" x14ac:dyDescent="0.3">
      <c r="K185" s="738" t="s">
        <v>1206</v>
      </c>
      <c r="L185" s="739">
        <v>7621804876</v>
      </c>
      <c r="M185" s="739">
        <v>10917450065</v>
      </c>
      <c r="N185" s="740">
        <v>10284848132</v>
      </c>
    </row>
  </sheetData>
  <mergeCells count="3">
    <mergeCell ref="B66:B67"/>
    <mergeCell ref="C66:D66"/>
    <mergeCell ref="E66:F66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K180"/>
  <sheetViews>
    <sheetView workbookViewId="0">
      <selection activeCell="C10" sqref="C10"/>
    </sheetView>
  </sheetViews>
  <sheetFormatPr defaultColWidth="9" defaultRowHeight="16.5" x14ac:dyDescent="0.3"/>
  <cols>
    <col min="1" max="1" width="2.125" style="153" customWidth="1"/>
    <col min="2" max="2" width="28.875" style="153" customWidth="1"/>
    <col min="3" max="3" width="15.375" style="153" bestFit="1" customWidth="1"/>
    <col min="4" max="4" width="16" style="153" bestFit="1" customWidth="1"/>
    <col min="5" max="6" width="15.125" style="153" bestFit="1" customWidth="1"/>
    <col min="7" max="7" width="9" style="153"/>
    <col min="8" max="8" width="26.25" style="153" customWidth="1"/>
    <col min="9" max="10" width="16" style="153" bestFit="1" customWidth="1"/>
    <col min="11" max="11" width="15.25" style="153" bestFit="1" customWidth="1"/>
    <col min="12" max="16384" width="9" style="153"/>
  </cols>
  <sheetData>
    <row r="1" spans="2:4" x14ac:dyDescent="0.3">
      <c r="C1" s="536" t="s">
        <v>1058</v>
      </c>
    </row>
    <row r="2" spans="2:4" x14ac:dyDescent="0.3">
      <c r="B2" s="719" t="s">
        <v>870</v>
      </c>
      <c r="C2" s="720">
        <f>SUMIF($A$16:$A$58,B2,$C$16:C58)/10^6</f>
        <v>123834.595136</v>
      </c>
    </row>
    <row r="3" spans="2:4" x14ac:dyDescent="0.3">
      <c r="B3" s="721" t="s">
        <v>855</v>
      </c>
      <c r="C3" s="720">
        <f>SUMIF($A$16:$A$58,B3,$C$16:C59)/10^6</f>
        <v>178979.53836000001</v>
      </c>
    </row>
    <row r="4" spans="2:4" x14ac:dyDescent="0.3">
      <c r="B4" s="721" t="s">
        <v>922</v>
      </c>
      <c r="C4" s="722">
        <f>(D67+I67-F67)/10^6</f>
        <v>808459.17995999998</v>
      </c>
    </row>
    <row r="5" spans="2:4" x14ac:dyDescent="0.3">
      <c r="B5" s="721" t="s">
        <v>928</v>
      </c>
      <c r="C5" s="722">
        <f>(D71+I72-F71)/10^6</f>
        <v>42278.830626000003</v>
      </c>
    </row>
    <row r="6" spans="2:4" x14ac:dyDescent="0.3">
      <c r="B6" s="723" t="s">
        <v>1059</v>
      </c>
      <c r="C6" s="722">
        <f>(C121+C124+I127+I133-D121-D124)/10^6</f>
        <v>22307.966383999999</v>
      </c>
    </row>
    <row r="7" spans="2:4" x14ac:dyDescent="0.3">
      <c r="B7" s="721" t="s">
        <v>1060</v>
      </c>
      <c r="C7" s="722">
        <f>C5+C6</f>
        <v>64586.797010000002</v>
      </c>
    </row>
    <row r="8" spans="2:4" x14ac:dyDescent="0.3">
      <c r="B8" s="721" t="s">
        <v>900</v>
      </c>
      <c r="C8" s="720">
        <f>SUMIF($A$16:$A$58,B8,$C$16:C64)/10^6</f>
        <v>347470.19760700001</v>
      </c>
    </row>
    <row r="9" spans="2:4" x14ac:dyDescent="0.3">
      <c r="B9" s="724" t="s">
        <v>861</v>
      </c>
      <c r="C9" s="725">
        <f>(D79+I81-F79)/10^6</f>
        <v>37782.095357999999</v>
      </c>
    </row>
    <row r="12" spans="2:4" x14ac:dyDescent="0.3">
      <c r="B12" s="741" t="s">
        <v>862</v>
      </c>
      <c r="C12" s="727"/>
      <c r="D12" s="727"/>
    </row>
    <row r="13" spans="2:4" x14ac:dyDescent="0.3">
      <c r="B13" s="742" t="s">
        <v>1638</v>
      </c>
      <c r="C13" s="727"/>
      <c r="D13" s="727"/>
    </row>
    <row r="14" spans="2:4" x14ac:dyDescent="0.3">
      <c r="B14" s="742" t="s">
        <v>1639</v>
      </c>
      <c r="C14" s="727"/>
      <c r="D14" s="727"/>
    </row>
    <row r="15" spans="2:4" x14ac:dyDescent="0.3">
      <c r="B15" s="729" t="s">
        <v>865</v>
      </c>
      <c r="C15" s="727"/>
      <c r="D15" s="727"/>
    </row>
    <row r="16" spans="2:4" x14ac:dyDescent="0.3">
      <c r="B16" s="730"/>
      <c r="C16" s="731" t="s">
        <v>1640</v>
      </c>
      <c r="D16" s="732" t="s">
        <v>1641</v>
      </c>
    </row>
    <row r="17" spans="1:4" x14ac:dyDescent="0.3">
      <c r="B17" s="733" t="s">
        <v>868</v>
      </c>
      <c r="C17" s="734"/>
      <c r="D17" s="735"/>
    </row>
    <row r="18" spans="1:4" x14ac:dyDescent="0.3">
      <c r="B18" s="733" t="s">
        <v>869</v>
      </c>
      <c r="C18" s="736">
        <v>426214648710</v>
      </c>
      <c r="D18" s="737">
        <v>406588197681</v>
      </c>
    </row>
    <row r="19" spans="1:4" x14ac:dyDescent="0.3">
      <c r="A19" s="153" t="s">
        <v>870</v>
      </c>
      <c r="B19" s="733" t="s">
        <v>871</v>
      </c>
      <c r="C19" s="736">
        <v>123834595136</v>
      </c>
      <c r="D19" s="737">
        <v>123787517922</v>
      </c>
    </row>
    <row r="20" spans="1:4" x14ac:dyDescent="0.3">
      <c r="B20" s="733" t="s">
        <v>1642</v>
      </c>
      <c r="C20" s="736">
        <v>163275498826</v>
      </c>
      <c r="D20" s="737">
        <v>173047756887</v>
      </c>
    </row>
    <row r="21" spans="1:4" x14ac:dyDescent="0.3">
      <c r="B21" s="733" t="s">
        <v>1643</v>
      </c>
      <c r="C21" s="736">
        <v>984728753</v>
      </c>
      <c r="D21" s="737">
        <v>512445506</v>
      </c>
    </row>
    <row r="22" spans="1:4" x14ac:dyDescent="0.3">
      <c r="B22" s="733" t="s">
        <v>1644</v>
      </c>
      <c r="C22" s="736">
        <v>103465547872</v>
      </c>
      <c r="D22" s="737">
        <v>93354947243</v>
      </c>
    </row>
    <row r="23" spans="1:4" x14ac:dyDescent="0.3">
      <c r="B23" s="733" t="s">
        <v>1645</v>
      </c>
      <c r="C23" s="736">
        <v>21605999823</v>
      </c>
      <c r="D23" s="737">
        <v>12180644872</v>
      </c>
    </row>
    <row r="24" spans="1:4" x14ac:dyDescent="0.3">
      <c r="B24" s="733" t="s">
        <v>1646</v>
      </c>
      <c r="C24" s="736">
        <v>13048278300</v>
      </c>
      <c r="D24" s="737">
        <v>3704885251</v>
      </c>
    </row>
    <row r="25" spans="1:4" x14ac:dyDescent="0.3">
      <c r="B25" s="733" t="s">
        <v>877</v>
      </c>
      <c r="C25" s="736">
        <v>331827641727</v>
      </c>
      <c r="D25" s="737">
        <v>315812402093</v>
      </c>
    </row>
    <row r="26" spans="1:4" x14ac:dyDescent="0.3">
      <c r="B26" s="733" t="s">
        <v>1647</v>
      </c>
      <c r="C26" s="736">
        <v>623275341</v>
      </c>
      <c r="D26" s="737">
        <v>602248245</v>
      </c>
    </row>
    <row r="27" spans="1:4" x14ac:dyDescent="0.3">
      <c r="B27" s="733" t="s">
        <v>1648</v>
      </c>
      <c r="C27" s="736">
        <v>304453327663</v>
      </c>
      <c r="D27" s="737">
        <v>300115723541</v>
      </c>
    </row>
    <row r="28" spans="1:4" x14ac:dyDescent="0.3">
      <c r="B28" s="733" t="s">
        <v>1649</v>
      </c>
      <c r="C28" s="736">
        <v>11673407587</v>
      </c>
      <c r="D28" s="737">
        <v>10256091719</v>
      </c>
    </row>
    <row r="29" spans="1:4" x14ac:dyDescent="0.3">
      <c r="B29" s="733" t="s">
        <v>1650</v>
      </c>
      <c r="C29" s="736">
        <v>2620150740</v>
      </c>
      <c r="D29" s="737">
        <v>542470358</v>
      </c>
    </row>
    <row r="30" spans="1:4" x14ac:dyDescent="0.3">
      <c r="B30" s="733" t="s">
        <v>1651</v>
      </c>
      <c r="C30" s="736">
        <v>12373260438</v>
      </c>
      <c r="D30" s="737">
        <v>2525151433</v>
      </c>
    </row>
    <row r="31" spans="1:4" x14ac:dyDescent="0.3">
      <c r="B31" s="733" t="s">
        <v>1652</v>
      </c>
      <c r="C31" s="736">
        <v>84219958</v>
      </c>
      <c r="D31" s="737">
        <v>1770716797</v>
      </c>
    </row>
    <row r="32" spans="1:4" x14ac:dyDescent="0.3">
      <c r="B32" s="733" t="s">
        <v>884</v>
      </c>
      <c r="C32" s="736">
        <v>758042290437</v>
      </c>
      <c r="D32" s="737">
        <v>722400599774</v>
      </c>
    </row>
    <row r="33" spans="1:4" x14ac:dyDescent="0.3">
      <c r="B33" s="733" t="s">
        <v>885</v>
      </c>
      <c r="C33" s="734"/>
      <c r="D33" s="735"/>
    </row>
    <row r="34" spans="1:4" x14ac:dyDescent="0.3">
      <c r="B34" s="733" t="s">
        <v>886</v>
      </c>
      <c r="C34" s="736">
        <v>222463016315</v>
      </c>
      <c r="D34" s="737">
        <v>203921824800</v>
      </c>
    </row>
    <row r="35" spans="1:4" x14ac:dyDescent="0.3">
      <c r="B35" s="733" t="s">
        <v>887</v>
      </c>
      <c r="C35" s="736">
        <v>88045807417</v>
      </c>
      <c r="D35" s="737">
        <v>87215273134</v>
      </c>
    </row>
    <row r="36" spans="1:4" x14ac:dyDescent="0.3">
      <c r="A36" s="153" t="s">
        <v>855</v>
      </c>
      <c r="B36" s="733" t="s">
        <v>888</v>
      </c>
      <c r="C36" s="736">
        <v>107238291770</v>
      </c>
      <c r="D36" s="737">
        <v>90379627792</v>
      </c>
    </row>
    <row r="37" spans="1:4" x14ac:dyDescent="0.3">
      <c r="B37" s="733" t="s">
        <v>1653</v>
      </c>
      <c r="C37" s="736">
        <v>4957914770</v>
      </c>
      <c r="D37" s="737">
        <v>6149475091</v>
      </c>
    </row>
    <row r="38" spans="1:4" x14ac:dyDescent="0.3">
      <c r="B38" s="733" t="s">
        <v>1654</v>
      </c>
      <c r="C38" s="736">
        <v>515922373</v>
      </c>
      <c r="D38" s="737">
        <v>4267317649</v>
      </c>
    </row>
    <row r="39" spans="1:4" x14ac:dyDescent="0.3">
      <c r="B39" s="733" t="s">
        <v>1655</v>
      </c>
      <c r="C39" s="736">
        <v>21705079985</v>
      </c>
      <c r="D39" s="737">
        <v>15910131134</v>
      </c>
    </row>
    <row r="40" spans="1:4" x14ac:dyDescent="0.3">
      <c r="B40" s="733" t="s">
        <v>892</v>
      </c>
      <c r="C40" s="736">
        <v>100768896805</v>
      </c>
      <c r="D40" s="737">
        <v>114392282107</v>
      </c>
    </row>
    <row r="41" spans="1:4" x14ac:dyDescent="0.3">
      <c r="B41" s="733" t="s">
        <v>893</v>
      </c>
      <c r="C41" s="736">
        <v>130192514</v>
      </c>
      <c r="D41" s="737">
        <v>5498148</v>
      </c>
    </row>
    <row r="42" spans="1:4" x14ac:dyDescent="0.3">
      <c r="A42" s="153" t="s">
        <v>855</v>
      </c>
      <c r="B42" s="733" t="s">
        <v>894</v>
      </c>
      <c r="C42" s="736">
        <v>71741246590</v>
      </c>
      <c r="D42" s="737">
        <v>96665127459</v>
      </c>
    </row>
    <row r="43" spans="1:4" x14ac:dyDescent="0.3">
      <c r="B43" s="733" t="s">
        <v>895</v>
      </c>
      <c r="C43" s="734">
        <v>0</v>
      </c>
      <c r="D43" s="737">
        <v>629312212</v>
      </c>
    </row>
    <row r="44" spans="1:4" x14ac:dyDescent="0.3">
      <c r="B44" s="733" t="s">
        <v>896</v>
      </c>
      <c r="C44" s="736">
        <v>10663469116</v>
      </c>
      <c r="D44" s="737">
        <v>10868767000</v>
      </c>
    </row>
    <row r="45" spans="1:4" x14ac:dyDescent="0.3">
      <c r="B45" s="733" t="s">
        <v>897</v>
      </c>
      <c r="C45" s="736">
        <v>11518604941</v>
      </c>
      <c r="D45" s="737">
        <v>6223577288</v>
      </c>
    </row>
    <row r="46" spans="1:4" x14ac:dyDescent="0.3">
      <c r="B46" s="733" t="s">
        <v>1656</v>
      </c>
      <c r="C46" s="736">
        <v>6715383644</v>
      </c>
      <c r="D46" s="735">
        <v>0</v>
      </c>
    </row>
    <row r="47" spans="1:4" x14ac:dyDescent="0.3">
      <c r="B47" s="733" t="s">
        <v>898</v>
      </c>
      <c r="C47" s="736">
        <v>323231913120</v>
      </c>
      <c r="D47" s="737">
        <v>318314106907</v>
      </c>
    </row>
    <row r="48" spans="1:4" x14ac:dyDescent="0.3">
      <c r="B48" s="733" t="s">
        <v>899</v>
      </c>
      <c r="C48" s="734"/>
      <c r="D48" s="735"/>
    </row>
    <row r="49" spans="1:11" x14ac:dyDescent="0.3">
      <c r="A49" s="153" t="s">
        <v>900</v>
      </c>
      <c r="B49" s="733" t="s">
        <v>901</v>
      </c>
      <c r="C49" s="736">
        <v>347470197607</v>
      </c>
      <c r="D49" s="737">
        <v>330804356226</v>
      </c>
    </row>
    <row r="50" spans="1:11" x14ac:dyDescent="0.3">
      <c r="B50" s="733" t="s">
        <v>902</v>
      </c>
      <c r="C50" s="736">
        <v>13159816500</v>
      </c>
      <c r="D50" s="737">
        <v>13159816500</v>
      </c>
    </row>
    <row r="51" spans="1:11" x14ac:dyDescent="0.3">
      <c r="B51" s="733" t="s">
        <v>1657</v>
      </c>
      <c r="C51" s="736">
        <v>247127355924</v>
      </c>
      <c r="D51" s="737">
        <v>230678575094</v>
      </c>
    </row>
    <row r="52" spans="1:11" x14ac:dyDescent="0.3">
      <c r="B52" s="733" t="s">
        <v>1658</v>
      </c>
      <c r="C52" s="736">
        <v>95793273386</v>
      </c>
      <c r="D52" s="737">
        <v>95793273386</v>
      </c>
    </row>
    <row r="53" spans="1:11" x14ac:dyDescent="0.3">
      <c r="B53" s="733" t="s">
        <v>905</v>
      </c>
      <c r="C53" s="736">
        <v>-9171586569</v>
      </c>
      <c r="D53" s="737">
        <v>-9171586569</v>
      </c>
    </row>
    <row r="54" spans="1:11" x14ac:dyDescent="0.3">
      <c r="B54" s="733" t="s">
        <v>1659</v>
      </c>
      <c r="C54" s="736">
        <v>-9171586569</v>
      </c>
      <c r="D54" s="737">
        <v>-9171586569</v>
      </c>
    </row>
    <row r="55" spans="1:11" x14ac:dyDescent="0.3">
      <c r="B55" s="733" t="s">
        <v>1660</v>
      </c>
      <c r="C55" s="736">
        <v>561338366</v>
      </c>
      <c r="D55" s="737">
        <v>344277815</v>
      </c>
    </row>
    <row r="56" spans="1:11" x14ac:dyDescent="0.3">
      <c r="B56" s="733" t="s">
        <v>906</v>
      </c>
      <c r="C56" s="736">
        <v>87340179710</v>
      </c>
      <c r="D56" s="737">
        <v>73282136641</v>
      </c>
    </row>
    <row r="57" spans="1:11" x14ac:dyDescent="0.3">
      <c r="B57" s="733" t="s">
        <v>907</v>
      </c>
      <c r="C57" s="736">
        <v>434810377317</v>
      </c>
      <c r="D57" s="737">
        <v>404086492867</v>
      </c>
    </row>
    <row r="58" spans="1:11" x14ac:dyDescent="0.3">
      <c r="B58" s="738" t="s">
        <v>908</v>
      </c>
      <c r="C58" s="739">
        <v>758042290437</v>
      </c>
      <c r="D58" s="740">
        <v>722400599774</v>
      </c>
    </row>
    <row r="61" spans="1:11" x14ac:dyDescent="0.3">
      <c r="B61" s="741" t="s">
        <v>909</v>
      </c>
      <c r="C61" s="727"/>
      <c r="D61" s="727"/>
      <c r="E61" s="727"/>
      <c r="F61" s="727"/>
      <c r="H61" s="741" t="s">
        <v>909</v>
      </c>
      <c r="I61" s="727"/>
      <c r="J61" s="727"/>
      <c r="K61" s="727"/>
    </row>
    <row r="62" spans="1:11" x14ac:dyDescent="0.3">
      <c r="B62" s="742" t="s">
        <v>1661</v>
      </c>
      <c r="C62" s="727"/>
      <c r="D62" s="727"/>
      <c r="E62" s="727"/>
      <c r="F62" s="727"/>
      <c r="H62" s="742" t="s">
        <v>1662</v>
      </c>
      <c r="I62" s="727"/>
      <c r="J62" s="727"/>
      <c r="K62" s="727"/>
    </row>
    <row r="63" spans="1:11" x14ac:dyDescent="0.3">
      <c r="B63" s="742" t="s">
        <v>1663</v>
      </c>
      <c r="C63" s="727"/>
      <c r="D63" s="727"/>
      <c r="E63" s="727"/>
      <c r="F63" s="727"/>
      <c r="H63" s="742" t="s">
        <v>1664</v>
      </c>
      <c r="I63" s="727"/>
      <c r="J63" s="727"/>
      <c r="K63" s="727"/>
    </row>
    <row r="64" spans="1:11" x14ac:dyDescent="0.3">
      <c r="B64" s="729" t="s">
        <v>865</v>
      </c>
      <c r="C64" s="727"/>
      <c r="D64" s="727"/>
      <c r="E64" s="727"/>
      <c r="F64" s="727"/>
      <c r="H64" s="742" t="s">
        <v>1665</v>
      </c>
      <c r="I64" s="727"/>
      <c r="J64" s="727"/>
      <c r="K64" s="727"/>
    </row>
    <row r="65" spans="2:11" x14ac:dyDescent="0.3">
      <c r="B65" s="1952"/>
      <c r="C65" s="1954" t="s">
        <v>1666</v>
      </c>
      <c r="D65" s="1955"/>
      <c r="E65" s="1954" t="s">
        <v>1386</v>
      </c>
      <c r="F65" s="1956"/>
      <c r="H65" s="729" t="s">
        <v>865</v>
      </c>
      <c r="I65" s="727"/>
      <c r="J65" s="727"/>
      <c r="K65" s="727"/>
    </row>
    <row r="66" spans="2:11" x14ac:dyDescent="0.3">
      <c r="B66" s="1953"/>
      <c r="C66" s="743" t="s">
        <v>917</v>
      </c>
      <c r="D66" s="743" t="s">
        <v>918</v>
      </c>
      <c r="E66" s="743" t="s">
        <v>917</v>
      </c>
      <c r="F66" s="744" t="s">
        <v>918</v>
      </c>
      <c r="H66" s="730"/>
      <c r="I66" s="731" t="s">
        <v>1667</v>
      </c>
      <c r="J66" s="731" t="s">
        <v>1388</v>
      </c>
      <c r="K66" s="732" t="s">
        <v>1389</v>
      </c>
    </row>
    <row r="67" spans="2:11" x14ac:dyDescent="0.3">
      <c r="B67" s="733" t="s">
        <v>923</v>
      </c>
      <c r="C67" s="736">
        <v>199378213466</v>
      </c>
      <c r="D67" s="736">
        <v>615925315948</v>
      </c>
      <c r="E67" s="736">
        <v>165601112137</v>
      </c>
      <c r="F67" s="737">
        <v>530838345369</v>
      </c>
      <c r="H67" s="733" t="s">
        <v>923</v>
      </c>
      <c r="I67" s="736">
        <v>723372209381</v>
      </c>
      <c r="J67" s="736">
        <v>642406589126</v>
      </c>
      <c r="K67" s="737">
        <v>603455813604</v>
      </c>
    </row>
    <row r="68" spans="2:11" x14ac:dyDescent="0.3">
      <c r="B68" s="733" t="s">
        <v>924</v>
      </c>
      <c r="C68" s="736">
        <v>169956505539</v>
      </c>
      <c r="D68" s="736">
        <v>525774384974</v>
      </c>
      <c r="E68" s="736">
        <v>142283570116</v>
      </c>
      <c r="F68" s="737">
        <v>447540163924</v>
      </c>
      <c r="H68" s="733" t="s">
        <v>924</v>
      </c>
      <c r="I68" s="736">
        <v>611635904993</v>
      </c>
      <c r="J68" s="736">
        <v>562798778033</v>
      </c>
      <c r="K68" s="737">
        <v>544087356676</v>
      </c>
    </row>
    <row r="69" spans="2:11" x14ac:dyDescent="0.3">
      <c r="B69" s="733" t="s">
        <v>925</v>
      </c>
      <c r="C69" s="736">
        <v>29421707927</v>
      </c>
      <c r="D69" s="736">
        <v>90150930974</v>
      </c>
      <c r="E69" s="736">
        <v>23317542021</v>
      </c>
      <c r="F69" s="737">
        <v>83298181445</v>
      </c>
      <c r="H69" s="733" t="s">
        <v>925</v>
      </c>
      <c r="I69" s="736">
        <v>111736304388</v>
      </c>
      <c r="J69" s="736">
        <v>79607811093</v>
      </c>
      <c r="K69" s="737">
        <v>59368456928</v>
      </c>
    </row>
    <row r="70" spans="2:11" x14ac:dyDescent="0.3">
      <c r="B70" s="733" t="s">
        <v>926</v>
      </c>
      <c r="C70" s="736">
        <v>17720488730</v>
      </c>
      <c r="D70" s="736">
        <v>54708884855</v>
      </c>
      <c r="E70" s="736">
        <v>18944118071</v>
      </c>
      <c r="F70" s="737">
        <v>53789733169</v>
      </c>
      <c r="H70" s="733" t="s">
        <v>927</v>
      </c>
      <c r="I70" s="736">
        <v>15911558939</v>
      </c>
      <c r="J70" s="736">
        <v>11770190372</v>
      </c>
      <c r="K70" s="737">
        <v>8520366820</v>
      </c>
    </row>
    <row r="71" spans="2:11" x14ac:dyDescent="0.3">
      <c r="B71" s="733" t="s">
        <v>929</v>
      </c>
      <c r="C71" s="736">
        <v>11701219197</v>
      </c>
      <c r="D71" s="736">
        <v>35442046119</v>
      </c>
      <c r="E71" s="736">
        <v>4373423950</v>
      </c>
      <c r="F71" s="737">
        <v>29508448276</v>
      </c>
      <c r="H71" s="733" t="s">
        <v>930</v>
      </c>
      <c r="I71" s="736">
        <v>59479512666</v>
      </c>
      <c r="J71" s="736">
        <v>42640210113</v>
      </c>
      <c r="K71" s="737">
        <v>32377746944</v>
      </c>
    </row>
    <row r="72" spans="2:11" x14ac:dyDescent="0.3">
      <c r="B72" s="733" t="s">
        <v>931</v>
      </c>
      <c r="C72" s="736">
        <v>2530578238</v>
      </c>
      <c r="D72" s="736">
        <v>10528440337</v>
      </c>
      <c r="E72" s="736">
        <v>1546079274</v>
      </c>
      <c r="F72" s="737">
        <v>6176696841</v>
      </c>
      <c r="H72" s="733" t="s">
        <v>932</v>
      </c>
      <c r="I72" s="736">
        <v>36345232783</v>
      </c>
      <c r="J72" s="736">
        <v>25197410608</v>
      </c>
      <c r="K72" s="737">
        <v>18470343164</v>
      </c>
    </row>
    <row r="73" spans="2:11" x14ac:dyDescent="0.3">
      <c r="B73" s="733" t="s">
        <v>933</v>
      </c>
      <c r="C73" s="736">
        <v>2511552991</v>
      </c>
      <c r="D73" s="736">
        <v>11188801592</v>
      </c>
      <c r="E73" s="736">
        <v>6346753284</v>
      </c>
      <c r="F73" s="737">
        <v>10533656168</v>
      </c>
      <c r="H73" s="733" t="s">
        <v>934</v>
      </c>
      <c r="I73" s="736">
        <v>11557260463</v>
      </c>
      <c r="J73" s="736">
        <v>9670458318</v>
      </c>
      <c r="K73" s="737">
        <v>4710387241</v>
      </c>
    </row>
    <row r="74" spans="2:11" x14ac:dyDescent="0.3">
      <c r="B74" s="733" t="s">
        <v>935</v>
      </c>
      <c r="C74" s="736">
        <v>2594266722</v>
      </c>
      <c r="D74" s="736">
        <v>12346948741</v>
      </c>
      <c r="E74" s="736">
        <v>7950873645</v>
      </c>
      <c r="F74" s="737">
        <v>11104523641</v>
      </c>
      <c r="H74" s="733" t="s">
        <v>936</v>
      </c>
      <c r="I74" s="736">
        <v>11699471966</v>
      </c>
      <c r="J74" s="736">
        <v>4186646617</v>
      </c>
      <c r="K74" s="737">
        <v>2394752435</v>
      </c>
    </row>
    <row r="75" spans="2:11" x14ac:dyDescent="0.3">
      <c r="B75" s="733" t="s">
        <v>937</v>
      </c>
      <c r="C75" s="736">
        <v>3977375507</v>
      </c>
      <c r="D75" s="736">
        <v>7150749204</v>
      </c>
      <c r="E75" s="736">
        <v>3079248675</v>
      </c>
      <c r="F75" s="737">
        <v>11883209099</v>
      </c>
      <c r="H75" s="733" t="s">
        <v>938</v>
      </c>
      <c r="I75" s="736">
        <v>6686896969</v>
      </c>
      <c r="J75" s="736">
        <v>4467254616</v>
      </c>
      <c r="K75" s="737">
        <v>5084475529</v>
      </c>
    </row>
    <row r="76" spans="2:11" x14ac:dyDescent="0.3">
      <c r="B76" s="733" t="s">
        <v>939</v>
      </c>
      <c r="C76" s="736">
        <v>10337135659</v>
      </c>
      <c r="D76" s="736">
        <v>39977884401</v>
      </c>
      <c r="E76" s="736">
        <v>4444374910</v>
      </c>
      <c r="F76" s="737">
        <v>24372803491</v>
      </c>
      <c r="H76" s="733" t="s">
        <v>940</v>
      </c>
      <c r="I76" s="736">
        <v>16830882257</v>
      </c>
      <c r="J76" s="736">
        <v>14442276957</v>
      </c>
      <c r="K76" s="737">
        <v>9292462423</v>
      </c>
    </row>
    <row r="77" spans="2:11" x14ac:dyDescent="0.3">
      <c r="B77" s="733" t="s">
        <v>941</v>
      </c>
      <c r="C77" s="736">
        <v>1442268531</v>
      </c>
      <c r="D77" s="736">
        <v>4902607673</v>
      </c>
      <c r="E77" s="736">
        <v>1194095306</v>
      </c>
      <c r="F77" s="737">
        <v>5129386779</v>
      </c>
      <c r="H77" s="733" t="s">
        <v>942</v>
      </c>
      <c r="I77" s="736">
        <v>26059035992</v>
      </c>
      <c r="J77" s="736">
        <v>20706199968</v>
      </c>
      <c r="K77" s="737">
        <v>16577991076</v>
      </c>
    </row>
    <row r="78" spans="2:11" x14ac:dyDescent="0.3">
      <c r="B78" s="733" t="s">
        <v>1668</v>
      </c>
      <c r="C78" s="736">
        <v>8894867128</v>
      </c>
      <c r="D78" s="736">
        <v>35075276728</v>
      </c>
      <c r="E78" s="736">
        <v>3250279604</v>
      </c>
      <c r="F78" s="737">
        <v>19243416712</v>
      </c>
      <c r="H78" s="733" t="s">
        <v>944</v>
      </c>
      <c r="I78" s="736">
        <v>4108800650</v>
      </c>
      <c r="J78" s="736">
        <v>4461320069</v>
      </c>
      <c r="K78" s="737">
        <v>-652742083</v>
      </c>
    </row>
    <row r="79" spans="2:11" x14ac:dyDescent="0.3">
      <c r="B79" s="733" t="s">
        <v>946</v>
      </c>
      <c r="C79" s="736">
        <v>8894867128</v>
      </c>
      <c r="D79" s="736">
        <v>35075276728</v>
      </c>
      <c r="E79" s="736">
        <v>3250279604</v>
      </c>
      <c r="F79" s="737">
        <v>19243416712</v>
      </c>
      <c r="H79" s="733" t="s">
        <v>1669</v>
      </c>
      <c r="I79" s="736">
        <v>21950235342</v>
      </c>
      <c r="J79" s="736">
        <v>16244879899</v>
      </c>
      <c r="K79" s="737">
        <v>17230733159</v>
      </c>
    </row>
    <row r="80" spans="2:11" x14ac:dyDescent="0.3">
      <c r="B80" s="733" t="s">
        <v>948</v>
      </c>
      <c r="C80" s="736">
        <v>3727690120</v>
      </c>
      <c r="D80" s="736">
        <v>26858462</v>
      </c>
      <c r="E80" s="736">
        <v>-7592333448</v>
      </c>
      <c r="F80" s="737">
        <v>-11940821376</v>
      </c>
      <c r="H80" s="733" t="s">
        <v>1670</v>
      </c>
      <c r="I80" s="734">
        <v>0</v>
      </c>
      <c r="J80" s="734">
        <v>0</v>
      </c>
      <c r="K80" s="737">
        <v>34775619444</v>
      </c>
    </row>
    <row r="81" spans="2:11" x14ac:dyDescent="0.3">
      <c r="B81" s="733" t="s">
        <v>947</v>
      </c>
      <c r="C81" s="736">
        <v>3727690120</v>
      </c>
      <c r="D81" s="736">
        <v>26858462</v>
      </c>
      <c r="E81" s="736">
        <v>-7592333448</v>
      </c>
      <c r="F81" s="737">
        <v>-11940821376</v>
      </c>
      <c r="H81" s="733" t="s">
        <v>1671</v>
      </c>
      <c r="I81" s="736">
        <v>21950235342</v>
      </c>
      <c r="J81" s="736">
        <v>16244879899</v>
      </c>
      <c r="K81" s="737">
        <v>52006352603</v>
      </c>
    </row>
    <row r="82" spans="2:11" x14ac:dyDescent="0.3">
      <c r="B82" s="733" t="s">
        <v>949</v>
      </c>
      <c r="C82" s="736">
        <v>3727690120</v>
      </c>
      <c r="D82" s="736">
        <v>26858462</v>
      </c>
      <c r="E82" s="736">
        <v>-7592333448</v>
      </c>
      <c r="F82" s="737">
        <v>-11940821376</v>
      </c>
      <c r="H82" s="733" t="s">
        <v>1672</v>
      </c>
      <c r="I82" s="736">
        <v>14877515435</v>
      </c>
      <c r="J82" s="736">
        <v>17790275081</v>
      </c>
      <c r="K82" s="737">
        <v>52012573257</v>
      </c>
    </row>
    <row r="83" spans="2:11" x14ac:dyDescent="0.3">
      <c r="B83" s="733" t="s">
        <v>960</v>
      </c>
      <c r="C83" s="736">
        <v>12622557248</v>
      </c>
      <c r="D83" s="736">
        <v>35102135190</v>
      </c>
      <c r="E83" s="736">
        <v>-4342053844</v>
      </c>
      <c r="F83" s="737">
        <v>7302595336</v>
      </c>
      <c r="H83" s="733" t="s">
        <v>1673</v>
      </c>
      <c r="I83" s="736">
        <v>7072719907</v>
      </c>
      <c r="J83" s="736">
        <v>-1545395182</v>
      </c>
      <c r="K83" s="737">
        <v>-6220654</v>
      </c>
    </row>
    <row r="84" spans="2:11" x14ac:dyDescent="0.3">
      <c r="B84" s="733" t="s">
        <v>962</v>
      </c>
      <c r="C84" s="734"/>
      <c r="D84" s="734"/>
      <c r="E84" s="734"/>
      <c r="F84" s="735"/>
      <c r="H84" s="733" t="s">
        <v>1674</v>
      </c>
      <c r="I84" s="736">
        <v>-6236409020</v>
      </c>
      <c r="J84" s="736">
        <v>2521333829</v>
      </c>
      <c r="K84" s="737">
        <v>-158670452</v>
      </c>
    </row>
    <row r="85" spans="2:11" x14ac:dyDescent="0.3">
      <c r="B85" s="733" t="s">
        <v>955</v>
      </c>
      <c r="C85" s="736">
        <v>4174070289</v>
      </c>
      <c r="D85" s="736">
        <v>20002187330</v>
      </c>
      <c r="E85" s="736">
        <v>3785893772</v>
      </c>
      <c r="F85" s="737">
        <v>16678062582</v>
      </c>
      <c r="H85" s="733" t="s">
        <v>950</v>
      </c>
      <c r="I85" s="736">
        <v>-1337117315</v>
      </c>
      <c r="J85" s="736">
        <v>549195970</v>
      </c>
      <c r="K85" s="737">
        <v>-15489346</v>
      </c>
    </row>
    <row r="86" spans="2:11" x14ac:dyDescent="0.3">
      <c r="B86" s="733" t="s">
        <v>957</v>
      </c>
      <c r="C86" s="736">
        <v>4720796839</v>
      </c>
      <c r="D86" s="736">
        <v>15073089398</v>
      </c>
      <c r="E86" s="736">
        <v>-535614168</v>
      </c>
      <c r="F86" s="737">
        <v>2565354130</v>
      </c>
      <c r="H86" s="733" t="s">
        <v>952</v>
      </c>
      <c r="I86" s="736">
        <v>-1628091414</v>
      </c>
      <c r="J86" s="736">
        <v>1023159203</v>
      </c>
      <c r="K86" s="737">
        <v>-26778689</v>
      </c>
    </row>
    <row r="87" spans="2:11" x14ac:dyDescent="0.3">
      <c r="B87" s="733" t="s">
        <v>1675</v>
      </c>
      <c r="C87" s="734"/>
      <c r="D87" s="734"/>
      <c r="E87" s="734"/>
      <c r="F87" s="735"/>
      <c r="H87" s="733" t="s">
        <v>1676</v>
      </c>
      <c r="I87" s="736">
        <v>290974099</v>
      </c>
      <c r="J87" s="736">
        <v>-473963233</v>
      </c>
      <c r="K87" s="737">
        <v>11289343</v>
      </c>
    </row>
    <row r="88" spans="2:11" x14ac:dyDescent="0.3">
      <c r="B88" s="733" t="s">
        <v>961</v>
      </c>
      <c r="C88" s="736">
        <v>7750360928</v>
      </c>
      <c r="D88" s="736">
        <v>19962509268</v>
      </c>
      <c r="E88" s="736">
        <v>-3806439676</v>
      </c>
      <c r="F88" s="737">
        <v>4737241206</v>
      </c>
      <c r="H88" s="733" t="s">
        <v>956</v>
      </c>
      <c r="I88" s="736">
        <v>-4899291705</v>
      </c>
      <c r="J88" s="736">
        <v>1972137859</v>
      </c>
      <c r="K88" s="737">
        <v>-143181106</v>
      </c>
    </row>
    <row r="89" spans="2:11" x14ac:dyDescent="0.3">
      <c r="B89" s="733" t="s">
        <v>963</v>
      </c>
      <c r="C89" s="736">
        <v>4872196320</v>
      </c>
      <c r="D89" s="736">
        <v>15139625922</v>
      </c>
      <c r="E89" s="736">
        <v>-535614168</v>
      </c>
      <c r="F89" s="737">
        <v>2565354130</v>
      </c>
      <c r="H89" s="733" t="s">
        <v>1677</v>
      </c>
      <c r="I89" s="734">
        <v>0</v>
      </c>
      <c r="J89" s="736">
        <v>-5132178</v>
      </c>
      <c r="K89" s="737">
        <v>-74244949</v>
      </c>
    </row>
    <row r="90" spans="2:11" x14ac:dyDescent="0.3">
      <c r="B90" s="733" t="s">
        <v>970</v>
      </c>
      <c r="C90" s="734"/>
      <c r="D90" s="734"/>
      <c r="E90" s="734"/>
      <c r="F90" s="735"/>
      <c r="H90" s="733" t="s">
        <v>1678</v>
      </c>
      <c r="I90" s="736">
        <v>-4899291705</v>
      </c>
      <c r="J90" s="736">
        <v>1977270037</v>
      </c>
      <c r="K90" s="737">
        <v>-86903435</v>
      </c>
    </row>
    <row r="91" spans="2:11" x14ac:dyDescent="0.3">
      <c r="B91" s="733" t="s">
        <v>965</v>
      </c>
      <c r="C91" s="734">
        <v>164</v>
      </c>
      <c r="D91" s="734">
        <v>788</v>
      </c>
      <c r="E91" s="734">
        <v>149</v>
      </c>
      <c r="F91" s="735">
        <v>657</v>
      </c>
      <c r="H91" s="733" t="s">
        <v>1679</v>
      </c>
      <c r="I91" s="734">
        <v>0</v>
      </c>
      <c r="J91" s="734">
        <v>0</v>
      </c>
      <c r="K91" s="737">
        <v>17967278</v>
      </c>
    </row>
    <row r="92" spans="2:11" x14ac:dyDescent="0.3">
      <c r="B92" s="733" t="s">
        <v>1680</v>
      </c>
      <c r="C92" s="734">
        <v>164</v>
      </c>
      <c r="D92" s="734">
        <v>788</v>
      </c>
      <c r="E92" s="734">
        <v>149</v>
      </c>
      <c r="F92" s="735">
        <v>657</v>
      </c>
      <c r="H92" s="733" t="s">
        <v>1681</v>
      </c>
      <c r="I92" s="736">
        <v>15713826322</v>
      </c>
      <c r="J92" s="736">
        <v>18766213728</v>
      </c>
      <c r="K92" s="737">
        <v>51847682151</v>
      </c>
    </row>
    <row r="93" spans="2:11" x14ac:dyDescent="0.3">
      <c r="B93" s="733" t="s">
        <v>967</v>
      </c>
      <c r="C93" s="734">
        <v>164</v>
      </c>
      <c r="D93" s="734">
        <v>788</v>
      </c>
      <c r="E93" s="734">
        <v>149</v>
      </c>
      <c r="F93" s="735">
        <v>657</v>
      </c>
      <c r="H93" s="733" t="s">
        <v>1682</v>
      </c>
      <c r="I93" s="734"/>
      <c r="J93" s="734"/>
      <c r="K93" s="735"/>
    </row>
    <row r="94" spans="2:11" x14ac:dyDescent="0.3">
      <c r="B94" s="738" t="s">
        <v>1683</v>
      </c>
      <c r="C94" s="745">
        <v>164</v>
      </c>
      <c r="D94" s="745">
        <v>788</v>
      </c>
      <c r="E94" s="745">
        <v>149</v>
      </c>
      <c r="F94" s="746">
        <v>657</v>
      </c>
      <c r="H94" s="733" t="s">
        <v>955</v>
      </c>
      <c r="I94" s="736">
        <v>14877515435</v>
      </c>
      <c r="J94" s="736">
        <v>17790275081</v>
      </c>
      <c r="K94" s="737">
        <v>52012573257</v>
      </c>
    </row>
    <row r="95" spans="2:11" x14ac:dyDescent="0.3">
      <c r="H95" s="733" t="s">
        <v>957</v>
      </c>
      <c r="I95" s="736">
        <v>7072719907</v>
      </c>
      <c r="J95" s="736">
        <v>-1545395182</v>
      </c>
      <c r="K95" s="737">
        <v>-6220654</v>
      </c>
    </row>
    <row r="96" spans="2:11" x14ac:dyDescent="0.3">
      <c r="H96" s="733" t="s">
        <v>1684</v>
      </c>
      <c r="I96" s="734"/>
      <c r="J96" s="734"/>
      <c r="K96" s="735"/>
    </row>
    <row r="97" spans="2:11" x14ac:dyDescent="0.3">
      <c r="H97" s="733" t="s">
        <v>968</v>
      </c>
      <c r="I97" s="736">
        <v>9006359510</v>
      </c>
      <c r="J97" s="736">
        <v>19203329754</v>
      </c>
      <c r="K97" s="737">
        <v>51853902805</v>
      </c>
    </row>
    <row r="98" spans="2:11" x14ac:dyDescent="0.3">
      <c r="H98" s="733" t="s">
        <v>969</v>
      </c>
      <c r="I98" s="736">
        <v>6707466812</v>
      </c>
      <c r="J98" s="736">
        <v>-437116026</v>
      </c>
      <c r="K98" s="737">
        <v>-6220654</v>
      </c>
    </row>
    <row r="99" spans="2:11" x14ac:dyDescent="0.3">
      <c r="H99" s="733" t="s">
        <v>1685</v>
      </c>
      <c r="I99" s="734"/>
      <c r="J99" s="734"/>
      <c r="K99" s="735"/>
    </row>
    <row r="100" spans="2:11" x14ac:dyDescent="0.3">
      <c r="H100" s="733" t="s">
        <v>965</v>
      </c>
      <c r="I100" s="734">
        <v>586</v>
      </c>
      <c r="J100" s="734">
        <v>851</v>
      </c>
      <c r="K100" s="737">
        <v>1724</v>
      </c>
    </row>
    <row r="101" spans="2:11" x14ac:dyDescent="0.3">
      <c r="H101" s="733" t="s">
        <v>1680</v>
      </c>
      <c r="I101" s="734">
        <v>586</v>
      </c>
      <c r="J101" s="734">
        <v>851</v>
      </c>
      <c r="K101" s="735">
        <v>571</v>
      </c>
    </row>
    <row r="102" spans="2:11" x14ac:dyDescent="0.3">
      <c r="H102" s="733" t="s">
        <v>1686</v>
      </c>
      <c r="I102" s="734">
        <v>0</v>
      </c>
      <c r="J102" s="734">
        <v>0</v>
      </c>
      <c r="K102" s="737">
        <v>1153</v>
      </c>
    </row>
    <row r="103" spans="2:11" x14ac:dyDescent="0.3">
      <c r="H103" s="733" t="s">
        <v>967</v>
      </c>
      <c r="I103" s="734">
        <v>586</v>
      </c>
      <c r="J103" s="734">
        <v>851</v>
      </c>
      <c r="K103" s="737">
        <v>1724</v>
      </c>
    </row>
    <row r="104" spans="2:11" x14ac:dyDescent="0.3">
      <c r="H104" s="733" t="s">
        <v>1683</v>
      </c>
      <c r="I104" s="734">
        <v>586</v>
      </c>
      <c r="J104" s="734">
        <v>851</v>
      </c>
      <c r="K104" s="735">
        <v>571</v>
      </c>
    </row>
    <row r="105" spans="2:11" x14ac:dyDescent="0.3">
      <c r="H105" s="738" t="s">
        <v>1687</v>
      </c>
      <c r="I105" s="745">
        <v>0</v>
      </c>
      <c r="J105" s="745">
        <v>0</v>
      </c>
      <c r="K105" s="740">
        <v>1153</v>
      </c>
    </row>
    <row r="107" spans="2:11" x14ac:dyDescent="0.3">
      <c r="B107" s="741" t="s">
        <v>971</v>
      </c>
      <c r="C107" s="727"/>
      <c r="D107" s="727"/>
      <c r="H107" s="741" t="s">
        <v>971</v>
      </c>
      <c r="I107" s="727"/>
      <c r="J107" s="727"/>
      <c r="K107" s="727"/>
    </row>
    <row r="108" spans="2:11" x14ac:dyDescent="0.3">
      <c r="B108" s="742" t="s">
        <v>1661</v>
      </c>
      <c r="C108" s="727"/>
      <c r="D108" s="727"/>
      <c r="H108" s="742" t="s">
        <v>1662</v>
      </c>
      <c r="I108" s="727"/>
      <c r="J108" s="727"/>
      <c r="K108" s="727"/>
    </row>
    <row r="109" spans="2:11" x14ac:dyDescent="0.3">
      <c r="B109" s="742" t="s">
        <v>1663</v>
      </c>
      <c r="C109" s="727"/>
      <c r="D109" s="727"/>
      <c r="H109" s="742" t="s">
        <v>1664</v>
      </c>
      <c r="I109" s="727"/>
      <c r="J109" s="727"/>
      <c r="K109" s="727"/>
    </row>
    <row r="110" spans="2:11" x14ac:dyDescent="0.3">
      <c r="B110" s="729" t="s">
        <v>865</v>
      </c>
      <c r="C110" s="727"/>
      <c r="D110" s="727"/>
      <c r="H110" s="742" t="s">
        <v>1665</v>
      </c>
      <c r="I110" s="727"/>
      <c r="J110" s="727"/>
      <c r="K110" s="727"/>
    </row>
    <row r="111" spans="2:11" x14ac:dyDescent="0.3">
      <c r="B111" s="730"/>
      <c r="C111" s="731" t="s">
        <v>1666</v>
      </c>
      <c r="D111" s="732" t="s">
        <v>1386</v>
      </c>
      <c r="H111" s="729" t="s">
        <v>865</v>
      </c>
      <c r="I111" s="727"/>
      <c r="J111" s="727"/>
      <c r="K111" s="727"/>
    </row>
    <row r="112" spans="2:11" x14ac:dyDescent="0.3">
      <c r="B112" s="733" t="s">
        <v>972</v>
      </c>
      <c r="C112" s="736">
        <v>45866421707</v>
      </c>
      <c r="D112" s="737">
        <v>60748053961</v>
      </c>
      <c r="H112" s="730"/>
      <c r="I112" s="731" t="s">
        <v>1667</v>
      </c>
      <c r="J112" s="731" t="s">
        <v>1388</v>
      </c>
      <c r="K112" s="732" t="s">
        <v>1389</v>
      </c>
    </row>
    <row r="113" spans="2:11" x14ac:dyDescent="0.3">
      <c r="B113" s="733" t="s">
        <v>973</v>
      </c>
      <c r="C113" s="736">
        <v>35075276728</v>
      </c>
      <c r="D113" s="737">
        <v>19243416712</v>
      </c>
      <c r="H113" s="733" t="s">
        <v>972</v>
      </c>
      <c r="I113" s="736">
        <v>62125083562</v>
      </c>
      <c r="J113" s="736">
        <v>44870774309</v>
      </c>
      <c r="K113" s="737">
        <v>41406045884</v>
      </c>
    </row>
    <row r="114" spans="2:11" x14ac:dyDescent="0.3">
      <c r="B114" s="733" t="s">
        <v>974</v>
      </c>
      <c r="C114" s="736">
        <v>32138634654</v>
      </c>
      <c r="D114" s="737">
        <v>41664119020</v>
      </c>
      <c r="H114" s="733" t="s">
        <v>973</v>
      </c>
      <c r="I114" s="736">
        <v>21950235342</v>
      </c>
      <c r="J114" s="736">
        <v>16244879899</v>
      </c>
      <c r="K114" s="737">
        <v>52006352603</v>
      </c>
    </row>
    <row r="115" spans="2:11" x14ac:dyDescent="0.3">
      <c r="B115" s="733" t="s">
        <v>975</v>
      </c>
      <c r="C115" s="736">
        <v>4902607673</v>
      </c>
      <c r="D115" s="737">
        <v>5129386779</v>
      </c>
      <c r="H115" s="733" t="s">
        <v>974</v>
      </c>
      <c r="I115" s="736">
        <v>46335783120</v>
      </c>
      <c r="J115" s="736">
        <v>32732081557</v>
      </c>
      <c r="K115" s="737">
        <v>-1089884517</v>
      </c>
    </row>
    <row r="116" spans="2:11" x14ac:dyDescent="0.3">
      <c r="B116" s="733" t="s">
        <v>976</v>
      </c>
      <c r="C116" s="736">
        <v>-1851898021</v>
      </c>
      <c r="D116" s="737">
        <v>-1711175524</v>
      </c>
      <c r="H116" s="733" t="s">
        <v>1688</v>
      </c>
      <c r="I116" s="734">
        <v>0</v>
      </c>
      <c r="J116" s="734">
        <v>0</v>
      </c>
      <c r="K116" s="737">
        <v>-23827820051</v>
      </c>
    </row>
    <row r="117" spans="2:11" x14ac:dyDescent="0.3">
      <c r="B117" s="733" t="s">
        <v>977</v>
      </c>
      <c r="C117" s="736">
        <v>4961182630</v>
      </c>
      <c r="D117" s="737">
        <v>5035075628</v>
      </c>
      <c r="H117" s="733" t="s">
        <v>1689</v>
      </c>
      <c r="I117" s="736">
        <v>4108800650</v>
      </c>
      <c r="J117" s="736">
        <v>4461320069</v>
      </c>
      <c r="K117" s="737">
        <v>-652742083</v>
      </c>
    </row>
    <row r="118" spans="2:11" x14ac:dyDescent="0.3">
      <c r="B118" s="733" t="s">
        <v>978</v>
      </c>
      <c r="C118" s="736">
        <v>219369616</v>
      </c>
      <c r="D118" s="737">
        <v>818220178</v>
      </c>
      <c r="H118" s="733" t="s">
        <v>1690</v>
      </c>
      <c r="I118" s="736">
        <v>-2052929365</v>
      </c>
      <c r="J118" s="736">
        <v>-2260337846</v>
      </c>
      <c r="K118" s="737">
        <v>-2532040984</v>
      </c>
    </row>
    <row r="119" spans="2:11" x14ac:dyDescent="0.3">
      <c r="B119" s="733" t="s">
        <v>1691</v>
      </c>
      <c r="C119" s="736">
        <v>2458371203</v>
      </c>
      <c r="D119" s="737">
        <v>5718338742</v>
      </c>
      <c r="H119" s="733" t="s">
        <v>1692</v>
      </c>
      <c r="I119" s="736">
        <v>6201650644</v>
      </c>
      <c r="J119" s="736">
        <v>4130969177</v>
      </c>
      <c r="K119" s="737">
        <v>5361333445</v>
      </c>
    </row>
    <row r="120" spans="2:11" x14ac:dyDescent="0.3">
      <c r="B120" s="733" t="s">
        <v>1693</v>
      </c>
      <c r="C120" s="736">
        <v>5311056061</v>
      </c>
      <c r="D120" s="737">
        <v>5065131593</v>
      </c>
      <c r="H120" s="733" t="s">
        <v>1694</v>
      </c>
      <c r="I120" s="736">
        <v>1684887833</v>
      </c>
      <c r="J120" s="736">
        <v>844553410</v>
      </c>
      <c r="K120" s="737">
        <v>-72120596</v>
      </c>
    </row>
    <row r="121" spans="2:11" x14ac:dyDescent="0.3">
      <c r="B121" s="733" t="s">
        <v>1695</v>
      </c>
      <c r="C121" s="736">
        <v>17527942856</v>
      </c>
      <c r="D121" s="737">
        <v>18205554295</v>
      </c>
      <c r="H121" s="733" t="s">
        <v>1693</v>
      </c>
      <c r="I121" s="736">
        <v>6773976455</v>
      </c>
      <c r="J121" s="736">
        <v>4110702328</v>
      </c>
      <c r="K121" s="737">
        <v>6256071155</v>
      </c>
    </row>
    <row r="122" spans="2:11" x14ac:dyDescent="0.3">
      <c r="B122" s="733" t="s">
        <v>1696</v>
      </c>
      <c r="C122" s="736">
        <v>2280661623</v>
      </c>
      <c r="D122" s="737">
        <v>6818618721</v>
      </c>
      <c r="H122" s="733" t="s">
        <v>1697</v>
      </c>
      <c r="I122" s="736">
        <v>9389367390</v>
      </c>
      <c r="J122" s="736">
        <v>1761390936</v>
      </c>
      <c r="K122" s="737">
        <v>1200262996</v>
      </c>
    </row>
    <row r="123" spans="2:11" x14ac:dyDescent="0.3">
      <c r="B123" s="733" t="s">
        <v>1698</v>
      </c>
      <c r="C123" s="736">
        <v>-6192764600</v>
      </c>
      <c r="D123" s="737">
        <v>-3204054371</v>
      </c>
      <c r="H123" s="733" t="s">
        <v>1699</v>
      </c>
      <c r="I123" s="736">
        <v>60000000</v>
      </c>
      <c r="J123" s="734">
        <v>0</v>
      </c>
      <c r="K123" s="737">
        <v>1000000000</v>
      </c>
    </row>
    <row r="124" spans="2:11" x14ac:dyDescent="0.3">
      <c r="B124" s="733" t="s">
        <v>985</v>
      </c>
      <c r="C124" s="736">
        <v>1324346905</v>
      </c>
      <c r="D124" s="737">
        <v>1376587889</v>
      </c>
      <c r="H124" s="733" t="s">
        <v>1700</v>
      </c>
      <c r="I124" s="734">
        <v>0</v>
      </c>
      <c r="J124" s="736">
        <v>-125700000</v>
      </c>
      <c r="K124" s="735">
        <v>0</v>
      </c>
    </row>
    <row r="125" spans="2:11" x14ac:dyDescent="0.3">
      <c r="B125" s="733" t="s">
        <v>986</v>
      </c>
      <c r="C125" s="736">
        <v>1990329064</v>
      </c>
      <c r="D125" s="737">
        <v>2150159981</v>
      </c>
      <c r="H125" s="733" t="s">
        <v>1701</v>
      </c>
      <c r="I125" s="736">
        <v>6238603186</v>
      </c>
      <c r="J125" s="736">
        <v>3010442760</v>
      </c>
      <c r="K125" s="737">
        <v>631728318</v>
      </c>
    </row>
    <row r="126" spans="2:11" x14ac:dyDescent="0.3">
      <c r="B126" s="733" t="s">
        <v>1702</v>
      </c>
      <c r="C126" s="736">
        <v>-66096109</v>
      </c>
      <c r="D126" s="737">
        <v>-285478117</v>
      </c>
      <c r="H126" s="733" t="s">
        <v>1703</v>
      </c>
      <c r="I126" s="736">
        <v>-4173992729</v>
      </c>
      <c r="J126" s="736">
        <v>-1105485180</v>
      </c>
      <c r="K126" s="737">
        <v>-258829551</v>
      </c>
    </row>
    <row r="127" spans="2:11" x14ac:dyDescent="0.3">
      <c r="B127" s="733" t="s">
        <v>1704</v>
      </c>
      <c r="C127" s="736">
        <v>305400</v>
      </c>
      <c r="D127" s="737">
        <v>26900</v>
      </c>
      <c r="H127" s="733" t="s">
        <v>1705</v>
      </c>
      <c r="I127" s="736">
        <v>23037791907</v>
      </c>
      <c r="J127" s="736">
        <v>18244377863</v>
      </c>
      <c r="K127" s="737">
        <v>19373930775</v>
      </c>
    </row>
    <row r="128" spans="2:11" x14ac:dyDescent="0.3">
      <c r="B128" s="733" t="s">
        <v>989</v>
      </c>
      <c r="C128" s="736">
        <v>329473923</v>
      </c>
      <c r="D128" s="737">
        <v>1100122000</v>
      </c>
      <c r="H128" s="733" t="s">
        <v>1706</v>
      </c>
      <c r="I128" s="736">
        <v>1808684411</v>
      </c>
      <c r="J128" s="736">
        <v>1076825071</v>
      </c>
      <c r="K128" s="737">
        <v>1130320707</v>
      </c>
    </row>
    <row r="129" spans="2:11" x14ac:dyDescent="0.3">
      <c r="B129" s="733" t="s">
        <v>1707</v>
      </c>
      <c r="C129" s="736">
        <v>-1056253570</v>
      </c>
      <c r="D129" s="737">
        <v>-4552395674</v>
      </c>
      <c r="H129" s="733" t="s">
        <v>1708</v>
      </c>
      <c r="I129" s="736">
        <v>2628844882</v>
      </c>
      <c r="J129" s="736">
        <v>1143441711</v>
      </c>
      <c r="K129" s="737">
        <v>278442466</v>
      </c>
    </row>
    <row r="130" spans="2:11" x14ac:dyDescent="0.3">
      <c r="B130" s="733" t="s">
        <v>993</v>
      </c>
      <c r="C130" s="736">
        <v>-9859576049</v>
      </c>
      <c r="D130" s="737">
        <v>5135868441</v>
      </c>
      <c r="H130" s="733" t="s">
        <v>1709</v>
      </c>
      <c r="I130" s="734">
        <v>0</v>
      </c>
      <c r="J130" s="734">
        <v>0</v>
      </c>
      <c r="K130" s="735">
        <v>0</v>
      </c>
    </row>
    <row r="131" spans="2:11" x14ac:dyDescent="0.3">
      <c r="B131" s="733" t="s">
        <v>995</v>
      </c>
      <c r="C131" s="736">
        <v>4607464026</v>
      </c>
      <c r="D131" s="737">
        <v>19200316163</v>
      </c>
      <c r="H131" s="733" t="s">
        <v>1710</v>
      </c>
      <c r="I131" s="734">
        <v>0</v>
      </c>
      <c r="J131" s="736">
        <v>-5157921</v>
      </c>
      <c r="K131" s="735">
        <v>0</v>
      </c>
    </row>
    <row r="132" spans="2:11" x14ac:dyDescent="0.3">
      <c r="B132" s="733" t="s">
        <v>997</v>
      </c>
      <c r="C132" s="736">
        <v>5484483008</v>
      </c>
      <c r="D132" s="737">
        <v>1111353000</v>
      </c>
      <c r="H132" s="733" t="s">
        <v>1711</v>
      </c>
      <c r="I132" s="736">
        <v>-334195782</v>
      </c>
      <c r="J132" s="736">
        <v>-1930028499</v>
      </c>
      <c r="K132" s="737">
        <v>-287290495</v>
      </c>
    </row>
    <row r="133" spans="2:11" x14ac:dyDescent="0.3">
      <c r="B133" s="733" t="s">
        <v>999</v>
      </c>
      <c r="C133" s="736">
        <v>-8881507830</v>
      </c>
      <c r="D133" s="737">
        <v>-9041770332</v>
      </c>
      <c r="H133" s="733" t="s">
        <v>1712</v>
      </c>
      <c r="I133" s="736">
        <v>26900</v>
      </c>
      <c r="J133" s="736">
        <v>289500</v>
      </c>
      <c r="K133" s="737">
        <v>719951</v>
      </c>
    </row>
    <row r="134" spans="2:11" x14ac:dyDescent="0.3">
      <c r="B134" s="733" t="s">
        <v>1001</v>
      </c>
      <c r="C134" s="736">
        <v>-10881329863</v>
      </c>
      <c r="D134" s="737">
        <v>-2762540476</v>
      </c>
      <c r="H134" s="733" t="s">
        <v>1713</v>
      </c>
      <c r="I134" s="736">
        <v>2558173091</v>
      </c>
      <c r="J134" s="736">
        <v>1212254089</v>
      </c>
      <c r="K134" s="737">
        <v>2990908561</v>
      </c>
    </row>
    <row r="135" spans="2:11" x14ac:dyDescent="0.3">
      <c r="B135" s="733" t="s">
        <v>1003</v>
      </c>
      <c r="C135" s="736">
        <v>43771402</v>
      </c>
      <c r="D135" s="737">
        <v>803918214</v>
      </c>
      <c r="H135" s="733" t="s">
        <v>1714</v>
      </c>
      <c r="I135" s="736">
        <v>-8112885</v>
      </c>
      <c r="J135" s="736">
        <v>-94533216</v>
      </c>
      <c r="K135" s="737">
        <v>-100368469</v>
      </c>
    </row>
    <row r="136" spans="2:11" x14ac:dyDescent="0.3">
      <c r="B136" s="733" t="s">
        <v>1005</v>
      </c>
      <c r="C136" s="736">
        <v>4572546727</v>
      </c>
      <c r="D136" s="737">
        <v>2012531862</v>
      </c>
      <c r="H136" s="733" t="s">
        <v>1715</v>
      </c>
      <c r="I136" s="734">
        <v>0</v>
      </c>
      <c r="J136" s="736">
        <v>1314000000</v>
      </c>
      <c r="K136" s="737">
        <v>1048500000</v>
      </c>
    </row>
    <row r="137" spans="2:11" x14ac:dyDescent="0.3">
      <c r="B137" s="733" t="s">
        <v>1007</v>
      </c>
      <c r="C137" s="736">
        <v>-3845255478</v>
      </c>
      <c r="D137" s="737">
        <v>-4066332902</v>
      </c>
      <c r="H137" s="733" t="s">
        <v>1716</v>
      </c>
      <c r="I137" s="736">
        <v>-4052100503</v>
      </c>
      <c r="J137" s="736">
        <v>18726211461</v>
      </c>
      <c r="K137" s="737">
        <v>-27671665721</v>
      </c>
    </row>
    <row r="138" spans="2:11" x14ac:dyDescent="0.3">
      <c r="B138" s="733" t="s">
        <v>1009</v>
      </c>
      <c r="C138" s="736">
        <v>5742202500</v>
      </c>
      <c r="D138" s="737">
        <v>5326455257</v>
      </c>
      <c r="H138" s="733" t="s">
        <v>1717</v>
      </c>
      <c r="I138" s="736">
        <v>2633825217</v>
      </c>
      <c r="J138" s="736">
        <v>27268255814</v>
      </c>
      <c r="K138" s="737">
        <v>-22449511249</v>
      </c>
    </row>
    <row r="139" spans="2:11" x14ac:dyDescent="0.3">
      <c r="B139" s="733" t="s">
        <v>1011</v>
      </c>
      <c r="C139" s="736">
        <v>-3996757386</v>
      </c>
      <c r="D139" s="737">
        <v>-5587782689</v>
      </c>
      <c r="H139" s="733" t="s">
        <v>1718</v>
      </c>
      <c r="I139" s="736">
        <v>-7689962938</v>
      </c>
      <c r="J139" s="736">
        <v>-523363398</v>
      </c>
      <c r="K139" s="737">
        <v>833449794</v>
      </c>
    </row>
    <row r="140" spans="2:11" x14ac:dyDescent="0.3">
      <c r="B140" s="733" t="s">
        <v>1719</v>
      </c>
      <c r="C140" s="736">
        <v>-2582860667</v>
      </c>
      <c r="D140" s="737">
        <v>-1982180666</v>
      </c>
      <c r="H140" s="733" t="s">
        <v>1720</v>
      </c>
      <c r="I140" s="736">
        <v>-9392278834</v>
      </c>
      <c r="J140" s="736">
        <v>-2992267015</v>
      </c>
      <c r="K140" s="737">
        <v>2273408206</v>
      </c>
    </row>
    <row r="141" spans="2:11" x14ac:dyDescent="0.3">
      <c r="B141" s="733" t="s">
        <v>1015</v>
      </c>
      <c r="C141" s="736">
        <v>-80808420</v>
      </c>
      <c r="D141" s="735">
        <v>0</v>
      </c>
      <c r="H141" s="733" t="s">
        <v>1721</v>
      </c>
      <c r="I141" s="736">
        <v>845328474</v>
      </c>
      <c r="J141" s="736">
        <v>654784079</v>
      </c>
      <c r="K141" s="737">
        <v>6445785802</v>
      </c>
    </row>
    <row r="142" spans="2:11" x14ac:dyDescent="0.3">
      <c r="B142" s="733" t="s">
        <v>1722</v>
      </c>
      <c r="C142" s="736">
        <v>-1361299889</v>
      </c>
      <c r="D142" s="737">
        <v>-3439852001</v>
      </c>
      <c r="H142" s="733" t="s">
        <v>1723</v>
      </c>
      <c r="I142" s="736">
        <v>14466095684</v>
      </c>
      <c r="J142" s="736">
        <v>-21171247587</v>
      </c>
      <c r="K142" s="737">
        <v>27279766044</v>
      </c>
    </row>
    <row r="143" spans="2:11" x14ac:dyDescent="0.3">
      <c r="B143" s="733" t="s">
        <v>1724</v>
      </c>
      <c r="C143" s="736">
        <v>1319775821</v>
      </c>
      <c r="D143" s="737">
        <v>3561753011</v>
      </c>
      <c r="H143" s="733" t="s">
        <v>1725</v>
      </c>
      <c r="I143" s="736">
        <v>1225547741</v>
      </c>
      <c r="J143" s="736">
        <v>8063363850</v>
      </c>
      <c r="K143" s="737">
        <v>-9124280026</v>
      </c>
    </row>
    <row r="144" spans="2:11" x14ac:dyDescent="0.3">
      <c r="B144" s="733" t="s">
        <v>1019</v>
      </c>
      <c r="C144" s="736">
        <v>-4854531965</v>
      </c>
      <c r="D144" s="737">
        <v>-4985608802</v>
      </c>
      <c r="H144" s="733" t="s">
        <v>1726</v>
      </c>
      <c r="I144" s="736">
        <v>8956533746</v>
      </c>
      <c r="J144" s="736">
        <v>-16070045211</v>
      </c>
      <c r="K144" s="737">
        <v>9905968735</v>
      </c>
    </row>
    <row r="145" spans="2:11" x14ac:dyDescent="0.3">
      <c r="B145" s="733" t="s">
        <v>1021</v>
      </c>
      <c r="C145" s="736">
        <v>1837750608</v>
      </c>
      <c r="D145" s="737">
        <v>1659701055</v>
      </c>
      <c r="H145" s="733" t="s">
        <v>1727</v>
      </c>
      <c r="I145" s="736">
        <v>-6661949933</v>
      </c>
      <c r="J145" s="736">
        <v>-1681789060</v>
      </c>
      <c r="K145" s="737">
        <v>2031968353</v>
      </c>
    </row>
    <row r="146" spans="2:11" x14ac:dyDescent="0.3">
      <c r="B146" s="733" t="s">
        <v>1023</v>
      </c>
      <c r="C146" s="736">
        <v>-8471132269</v>
      </c>
      <c r="D146" s="737">
        <v>-1969442465</v>
      </c>
      <c r="H146" s="733" t="s">
        <v>1728</v>
      </c>
      <c r="I146" s="736">
        <v>-2082527431</v>
      </c>
      <c r="J146" s="734">
        <v>0</v>
      </c>
      <c r="K146" s="735">
        <v>0</v>
      </c>
    </row>
    <row r="147" spans="2:11" x14ac:dyDescent="0.3">
      <c r="B147" s="733" t="s">
        <v>1025</v>
      </c>
      <c r="C147" s="736">
        <v>-34963349973</v>
      </c>
      <c r="D147" s="737">
        <v>-30571813832</v>
      </c>
      <c r="H147" s="733" t="s">
        <v>1729</v>
      </c>
      <c r="I147" s="736">
        <v>-3029371036</v>
      </c>
      <c r="J147" s="736">
        <v>-1254679735</v>
      </c>
      <c r="K147" s="737">
        <v>-2037348000</v>
      </c>
    </row>
    <row r="148" spans="2:11" x14ac:dyDescent="0.3">
      <c r="B148" s="733" t="s">
        <v>1730</v>
      </c>
      <c r="C148" s="736">
        <v>-15545394300</v>
      </c>
      <c r="D148" s="737">
        <v>-2380044184</v>
      </c>
      <c r="H148" s="733" t="s">
        <v>1731</v>
      </c>
      <c r="I148" s="736">
        <v>-4085881212</v>
      </c>
      <c r="J148" s="736">
        <v>-2889131058</v>
      </c>
      <c r="K148" s="737">
        <v>-1343939629</v>
      </c>
    </row>
    <row r="149" spans="2:11" x14ac:dyDescent="0.3">
      <c r="B149" s="733" t="s">
        <v>1732</v>
      </c>
      <c r="C149" s="736">
        <v>6709340000</v>
      </c>
      <c r="D149" s="735">
        <v>0</v>
      </c>
      <c r="H149" s="733" t="s">
        <v>1733</v>
      </c>
      <c r="I149" s="736">
        <v>-2719052443</v>
      </c>
      <c r="J149" s="736">
        <v>-11187334835</v>
      </c>
      <c r="K149" s="737">
        <v>1225507029</v>
      </c>
    </row>
    <row r="150" spans="2:11" x14ac:dyDescent="0.3">
      <c r="B150" s="733" t="s">
        <v>1734</v>
      </c>
      <c r="C150" s="736">
        <v>-400003655</v>
      </c>
      <c r="D150" s="735">
        <v>0</v>
      </c>
      <c r="H150" s="733" t="s">
        <v>1020</v>
      </c>
      <c r="I150" s="736">
        <v>-6150488130</v>
      </c>
      <c r="J150" s="736">
        <v>-3875774715</v>
      </c>
      <c r="K150" s="737">
        <v>-5902369390</v>
      </c>
    </row>
    <row r="151" spans="2:11" x14ac:dyDescent="0.3">
      <c r="B151" s="733" t="s">
        <v>1735</v>
      </c>
      <c r="C151" s="736">
        <v>64800000</v>
      </c>
      <c r="D151" s="737">
        <v>65400000</v>
      </c>
      <c r="H151" s="733" t="s">
        <v>1022</v>
      </c>
      <c r="I151" s="736">
        <v>1973474450</v>
      </c>
      <c r="J151" s="736">
        <v>2235829956</v>
      </c>
      <c r="K151" s="737">
        <v>2567739024</v>
      </c>
    </row>
    <row r="152" spans="2:11" x14ac:dyDescent="0.3">
      <c r="B152" s="733" t="s">
        <v>1736</v>
      </c>
      <c r="C152" s="736">
        <v>-28641843686</v>
      </c>
      <c r="D152" s="737">
        <v>-30148480500</v>
      </c>
      <c r="H152" s="733" t="s">
        <v>1024</v>
      </c>
      <c r="I152" s="736">
        <v>-1983921220</v>
      </c>
      <c r="J152" s="736">
        <v>-2466242388</v>
      </c>
      <c r="K152" s="737">
        <v>-6175791836</v>
      </c>
    </row>
    <row r="153" spans="2:11" x14ac:dyDescent="0.3">
      <c r="B153" s="733" t="s">
        <v>1737</v>
      </c>
      <c r="C153" s="736">
        <v>3525237088</v>
      </c>
      <c r="D153" s="737">
        <v>3804888273</v>
      </c>
      <c r="H153" s="733" t="s">
        <v>1025</v>
      </c>
      <c r="I153" s="736">
        <v>-36984051911</v>
      </c>
      <c r="J153" s="736">
        <v>-38160218768</v>
      </c>
      <c r="K153" s="737">
        <v>-23485431817</v>
      </c>
    </row>
    <row r="154" spans="2:11" x14ac:dyDescent="0.3">
      <c r="B154" s="733" t="s">
        <v>1738</v>
      </c>
      <c r="C154" s="736">
        <v>-794302347</v>
      </c>
      <c r="D154" s="737">
        <v>-2041438442</v>
      </c>
      <c r="H154" s="733" t="s">
        <v>1730</v>
      </c>
      <c r="I154" s="736">
        <v>434509760</v>
      </c>
      <c r="J154" s="736">
        <v>-9258454224</v>
      </c>
      <c r="K154" s="737">
        <v>9067717282</v>
      </c>
    </row>
    <row r="155" spans="2:11" x14ac:dyDescent="0.3">
      <c r="B155" s="733" t="s">
        <v>1739</v>
      </c>
      <c r="C155" s="734">
        <v>0</v>
      </c>
      <c r="D155" s="737">
        <v>135750851</v>
      </c>
      <c r="H155" s="733" t="s">
        <v>1740</v>
      </c>
      <c r="I155" s="736">
        <v>-437500000</v>
      </c>
      <c r="J155" s="736">
        <v>-90000000</v>
      </c>
      <c r="K155" s="737">
        <v>-64260000</v>
      </c>
    </row>
    <row r="156" spans="2:11" x14ac:dyDescent="0.3">
      <c r="B156" s="733" t="s">
        <v>1741</v>
      </c>
      <c r="C156" s="736">
        <v>-20580220</v>
      </c>
      <c r="D156" s="737">
        <v>-68658689</v>
      </c>
      <c r="H156" s="733" t="s">
        <v>1742</v>
      </c>
      <c r="I156" s="736">
        <v>218800000</v>
      </c>
      <c r="J156" s="736">
        <v>3436434168</v>
      </c>
      <c r="K156" s="737">
        <v>920400000</v>
      </c>
    </row>
    <row r="157" spans="2:11" x14ac:dyDescent="0.3">
      <c r="B157" s="733" t="s">
        <v>1743</v>
      </c>
      <c r="C157" s="736">
        <v>139397147</v>
      </c>
      <c r="D157" s="737">
        <v>60768859</v>
      </c>
      <c r="H157" s="733" t="s">
        <v>1744</v>
      </c>
      <c r="I157" s="736">
        <v>-44320911581</v>
      </c>
      <c r="J157" s="736">
        <v>-45116753201</v>
      </c>
      <c r="K157" s="737">
        <v>-35649502259</v>
      </c>
    </row>
    <row r="158" spans="2:11" x14ac:dyDescent="0.3">
      <c r="B158" s="733" t="s">
        <v>1039</v>
      </c>
      <c r="C158" s="736">
        <v>-10280806082</v>
      </c>
      <c r="D158" s="737">
        <v>-11126447952</v>
      </c>
      <c r="H158" s="733" t="s">
        <v>1745</v>
      </c>
      <c r="I158" s="736">
        <v>9944837581</v>
      </c>
      <c r="J158" s="736">
        <v>11034159582</v>
      </c>
      <c r="K158" s="737">
        <v>2702774837</v>
      </c>
    </row>
    <row r="159" spans="2:11" x14ac:dyDescent="0.3">
      <c r="B159" s="733" t="s">
        <v>1041</v>
      </c>
      <c r="C159" s="736">
        <v>34110380155</v>
      </c>
      <c r="D159" s="737">
        <v>114328408234</v>
      </c>
      <c r="H159" s="733" t="s">
        <v>1746</v>
      </c>
      <c r="I159" s="736">
        <v>-2796323782</v>
      </c>
      <c r="J159" s="736">
        <v>-595779408</v>
      </c>
      <c r="K159" s="737">
        <v>-596294721</v>
      </c>
    </row>
    <row r="160" spans="2:11" x14ac:dyDescent="0.3">
      <c r="B160" s="733" t="s">
        <v>1042</v>
      </c>
      <c r="C160" s="736">
        <v>-40671667761</v>
      </c>
      <c r="D160" s="737">
        <v>-113307591469</v>
      </c>
      <c r="H160" s="733" t="s">
        <v>1747</v>
      </c>
      <c r="I160" s="736">
        <v>145251101</v>
      </c>
      <c r="J160" s="736">
        <v>404000</v>
      </c>
      <c r="K160" s="735">
        <v>0</v>
      </c>
    </row>
    <row r="161" spans="2:11" x14ac:dyDescent="0.3">
      <c r="B161" s="733" t="s">
        <v>1043</v>
      </c>
      <c r="C161" s="736">
        <v>8914967185</v>
      </c>
      <c r="D161" s="737">
        <v>21908153008</v>
      </c>
      <c r="H161" s="733" t="s">
        <v>1748</v>
      </c>
      <c r="I161" s="736">
        <v>-261140000</v>
      </c>
      <c r="J161" s="736">
        <v>-38010522370</v>
      </c>
      <c r="K161" s="737">
        <v>-65798300</v>
      </c>
    </row>
    <row r="162" spans="2:11" x14ac:dyDescent="0.3">
      <c r="B162" s="733" t="s">
        <v>1044</v>
      </c>
      <c r="C162" s="736">
        <v>-677000000</v>
      </c>
      <c r="D162" s="737">
        <v>-457174643</v>
      </c>
      <c r="H162" s="733" t="s">
        <v>1749</v>
      </c>
      <c r="I162" s="736">
        <v>88425010</v>
      </c>
      <c r="J162" s="736">
        <v>86790625</v>
      </c>
      <c r="K162" s="737">
        <v>199531344</v>
      </c>
    </row>
    <row r="163" spans="2:11" x14ac:dyDescent="0.3">
      <c r="B163" s="733" t="s">
        <v>1047</v>
      </c>
      <c r="C163" s="736">
        <v>-7579234921</v>
      </c>
      <c r="D163" s="737">
        <v>-29736339992</v>
      </c>
      <c r="H163" s="733" t="s">
        <v>1750</v>
      </c>
      <c r="I163" s="734">
        <v>0</v>
      </c>
      <c r="J163" s="736">
        <v>3239700000</v>
      </c>
      <c r="K163" s="735">
        <v>0</v>
      </c>
    </row>
    <row r="164" spans="2:11" x14ac:dyDescent="0.3">
      <c r="B164" s="733" t="s">
        <v>1751</v>
      </c>
      <c r="C164" s="736">
        <v>-4378250740</v>
      </c>
      <c r="D164" s="737">
        <v>-3486845750</v>
      </c>
      <c r="H164" s="733" t="s">
        <v>1752</v>
      </c>
      <c r="I164" s="734">
        <v>0</v>
      </c>
      <c r="J164" s="736">
        <v>37113802060</v>
      </c>
      <c r="K164" s="735">
        <v>0</v>
      </c>
    </row>
    <row r="165" spans="2:11" x14ac:dyDescent="0.3">
      <c r="B165" s="733" t="s">
        <v>1050</v>
      </c>
      <c r="C165" s="734">
        <v>0</v>
      </c>
      <c r="D165" s="737">
        <v>-375057340</v>
      </c>
      <c r="H165" s="733" t="s">
        <v>1039</v>
      </c>
      <c r="I165" s="736">
        <v>-10234314222</v>
      </c>
      <c r="J165" s="736">
        <v>10763377506</v>
      </c>
      <c r="K165" s="737">
        <v>1346288182</v>
      </c>
    </row>
    <row r="166" spans="2:11" x14ac:dyDescent="0.3">
      <c r="B166" s="733" t="s">
        <v>1053</v>
      </c>
      <c r="C166" s="736">
        <v>622265652</v>
      </c>
      <c r="D166" s="737">
        <v>19049792177</v>
      </c>
      <c r="H166" s="733" t="s">
        <v>1041</v>
      </c>
      <c r="I166" s="736">
        <v>130579273116</v>
      </c>
      <c r="J166" s="736">
        <v>136584609378</v>
      </c>
      <c r="K166" s="737">
        <v>97219275287</v>
      </c>
    </row>
    <row r="167" spans="2:11" x14ac:dyDescent="0.3">
      <c r="B167" s="733" t="s">
        <v>1055</v>
      </c>
      <c r="C167" s="736">
        <v>-575188438</v>
      </c>
      <c r="D167" s="737">
        <v>-2709736053</v>
      </c>
      <c r="H167" s="733" t="s">
        <v>1042</v>
      </c>
      <c r="I167" s="736">
        <v>-145220782282</v>
      </c>
      <c r="J167" s="736">
        <v>-130276882754</v>
      </c>
      <c r="K167" s="737">
        <v>-76429393782</v>
      </c>
    </row>
    <row r="168" spans="2:11" x14ac:dyDescent="0.3">
      <c r="B168" s="733" t="s">
        <v>1057</v>
      </c>
      <c r="C168" s="736">
        <v>123787517922</v>
      </c>
      <c r="D168" s="737">
        <v>108818907136</v>
      </c>
      <c r="H168" s="733" t="s">
        <v>1043</v>
      </c>
      <c r="I168" s="736">
        <v>43514824690</v>
      </c>
      <c r="J168" s="736">
        <v>53585998128</v>
      </c>
      <c r="K168" s="737">
        <v>41103912168</v>
      </c>
    </row>
    <row r="169" spans="2:11" x14ac:dyDescent="0.3">
      <c r="B169" s="738" t="s">
        <v>1056</v>
      </c>
      <c r="C169" s="739">
        <v>123834595136</v>
      </c>
      <c r="D169" s="740">
        <v>125158963260</v>
      </c>
      <c r="H169" s="733" t="s">
        <v>1044</v>
      </c>
      <c r="I169" s="736">
        <v>-2086300000</v>
      </c>
      <c r="J169" s="736">
        <v>-4206727748</v>
      </c>
      <c r="K169" s="737">
        <v>-42211570000</v>
      </c>
    </row>
    <row r="170" spans="2:11" x14ac:dyDescent="0.3">
      <c r="H170" s="733" t="s">
        <v>1047</v>
      </c>
      <c r="I170" s="736">
        <v>-33159426656</v>
      </c>
      <c r="J170" s="736">
        <v>-40109808038</v>
      </c>
      <c r="K170" s="735">
        <v>0</v>
      </c>
    </row>
    <row r="171" spans="2:11" x14ac:dyDescent="0.3">
      <c r="H171" s="733" t="s">
        <v>1751</v>
      </c>
      <c r="I171" s="736">
        <v>-3486845750</v>
      </c>
      <c r="J171" s="736">
        <v>-4527651660</v>
      </c>
      <c r="K171" s="737">
        <v>-4534876200</v>
      </c>
    </row>
    <row r="172" spans="2:11" x14ac:dyDescent="0.3">
      <c r="H172" s="733" t="s">
        <v>1048</v>
      </c>
      <c r="I172" s="734">
        <v>0</v>
      </c>
      <c r="J172" s="736">
        <v>200000000</v>
      </c>
      <c r="K172" s="735">
        <v>0</v>
      </c>
    </row>
    <row r="173" spans="2:11" x14ac:dyDescent="0.3">
      <c r="H173" s="733" t="s">
        <v>1753</v>
      </c>
      <c r="I173" s="734">
        <v>0</v>
      </c>
      <c r="J173" s="736">
        <v>-78099240</v>
      </c>
      <c r="K173" s="735">
        <v>0</v>
      </c>
    </row>
    <row r="174" spans="2:11" x14ac:dyDescent="0.3">
      <c r="H174" s="733" t="s">
        <v>1754</v>
      </c>
      <c r="I174" s="736">
        <v>-375057340</v>
      </c>
      <c r="J174" s="736">
        <v>-408060560</v>
      </c>
      <c r="K174" s="735">
        <v>0</v>
      </c>
    </row>
    <row r="175" spans="2:11" x14ac:dyDescent="0.3">
      <c r="H175" s="733" t="s">
        <v>1755</v>
      </c>
      <c r="I175" s="734">
        <v>0</v>
      </c>
      <c r="J175" s="734">
        <v>0</v>
      </c>
      <c r="K175" s="737">
        <v>-13801059291</v>
      </c>
    </row>
    <row r="176" spans="2:11" x14ac:dyDescent="0.3">
      <c r="H176" s="733" t="s">
        <v>1053</v>
      </c>
      <c r="I176" s="736">
        <v>14906717429</v>
      </c>
      <c r="J176" s="736">
        <v>17473933047</v>
      </c>
      <c r="K176" s="737">
        <v>19266902249</v>
      </c>
    </row>
    <row r="177" spans="8:11" x14ac:dyDescent="0.3">
      <c r="H177" s="733" t="s">
        <v>1052</v>
      </c>
      <c r="I177" s="736">
        <v>108818907137</v>
      </c>
      <c r="J177" s="736">
        <v>93086391831</v>
      </c>
      <c r="K177" s="737">
        <v>73288221660</v>
      </c>
    </row>
    <row r="178" spans="8:11" x14ac:dyDescent="0.3">
      <c r="H178" s="733" t="s">
        <v>1756</v>
      </c>
      <c r="I178" s="734">
        <v>0</v>
      </c>
      <c r="J178" s="736">
        <v>-2632641250</v>
      </c>
      <c r="K178" s="735">
        <v>0</v>
      </c>
    </row>
    <row r="179" spans="8:11" x14ac:dyDescent="0.3">
      <c r="H179" s="733" t="s">
        <v>1757</v>
      </c>
      <c r="I179" s="736">
        <v>61893356</v>
      </c>
      <c r="J179" s="736">
        <v>891223509</v>
      </c>
      <c r="K179" s="737">
        <v>531267922</v>
      </c>
    </row>
    <row r="180" spans="8:11" x14ac:dyDescent="0.3">
      <c r="H180" s="738" t="s">
        <v>1758</v>
      </c>
      <c r="I180" s="739">
        <v>123787517922</v>
      </c>
      <c r="J180" s="739">
        <v>108818907137</v>
      </c>
      <c r="K180" s="740">
        <v>93086391831</v>
      </c>
    </row>
  </sheetData>
  <mergeCells count="3">
    <mergeCell ref="B65:B66"/>
    <mergeCell ref="C65:D65"/>
    <mergeCell ref="E65:F65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344"/>
  <sheetViews>
    <sheetView workbookViewId="0">
      <selection activeCell="I28" sqref="I28"/>
    </sheetView>
  </sheetViews>
  <sheetFormatPr defaultColWidth="9" defaultRowHeight="16.5" x14ac:dyDescent="0.3"/>
  <cols>
    <col min="1" max="1" width="2.75" style="153" customWidth="1"/>
    <col min="2" max="2" width="24.75" style="153" customWidth="1"/>
    <col min="3" max="4" width="15.25" style="153" bestFit="1" customWidth="1"/>
    <col min="5" max="5" width="14" style="153" bestFit="1" customWidth="1"/>
    <col min="6" max="6" width="15.125" style="153" bestFit="1" customWidth="1"/>
    <col min="7" max="8" width="9" style="153"/>
    <col min="9" max="9" width="52.875" style="153" bestFit="1" customWidth="1"/>
    <col min="10" max="12" width="15.375" style="153" bestFit="1" customWidth="1"/>
    <col min="13" max="13" width="10.375" style="153" bestFit="1" customWidth="1"/>
    <col min="14" max="14" width="11.25" style="153" bestFit="1" customWidth="1"/>
    <col min="15" max="15" width="12.5" style="153" bestFit="1" customWidth="1"/>
    <col min="16" max="16384" width="9" style="153"/>
  </cols>
  <sheetData>
    <row r="1" spans="2:4" x14ac:dyDescent="0.3">
      <c r="C1" s="536" t="s">
        <v>1058</v>
      </c>
    </row>
    <row r="2" spans="2:4" x14ac:dyDescent="0.3">
      <c r="B2" s="719" t="s">
        <v>870</v>
      </c>
      <c r="C2" s="720">
        <f>SUMIF($A$16:$A$139,B2,$C$16:C139)/10^6</f>
        <v>2694.5211720000002</v>
      </c>
    </row>
    <row r="3" spans="2:4" x14ac:dyDescent="0.3">
      <c r="B3" s="721" t="s">
        <v>1759</v>
      </c>
      <c r="C3" s="720">
        <f>SUMIF($A$16:$A$139,B3,$C$16:C140)/10^6</f>
        <v>106451.057889</v>
      </c>
    </row>
    <row r="4" spans="2:4" x14ac:dyDescent="0.3">
      <c r="B4" s="721" t="s">
        <v>856</v>
      </c>
      <c r="C4" s="722">
        <f>(D148+J148-F148)/10^6</f>
        <v>228989.91554799999</v>
      </c>
    </row>
    <row r="5" spans="2:4" x14ac:dyDescent="0.3">
      <c r="B5" s="721" t="s">
        <v>857</v>
      </c>
      <c r="C5" s="722">
        <f>(D192+J152-F192)/10^6</f>
        <v>3302.0036479999999</v>
      </c>
    </row>
    <row r="6" spans="2:4" x14ac:dyDescent="0.3">
      <c r="B6" s="723" t="s">
        <v>858</v>
      </c>
      <c r="C6" s="722">
        <f>(C266+C268+O328-D266-D268)/10^6</f>
        <v>43360.872745000001</v>
      </c>
    </row>
    <row r="7" spans="2:4" x14ac:dyDescent="0.3">
      <c r="B7" s="721" t="s">
        <v>859</v>
      </c>
      <c r="C7" s="722">
        <f>C5+C6</f>
        <v>46662.876392999999</v>
      </c>
    </row>
    <row r="8" spans="2:4" x14ac:dyDescent="0.3">
      <c r="B8" s="721" t="s">
        <v>860</v>
      </c>
      <c r="C8" s="720">
        <f>SUMIF($A$16:$A$139,B8,$C$16:C145)/10^6</f>
        <v>98214.945630000002</v>
      </c>
    </row>
    <row r="9" spans="2:4" x14ac:dyDescent="0.3">
      <c r="B9" s="724" t="s">
        <v>1760</v>
      </c>
      <c r="C9" s="725">
        <f>(D228+J162-F228)/10^6</f>
        <v>-2984.0420509999999</v>
      </c>
    </row>
    <row r="11" spans="2:4" x14ac:dyDescent="0.3">
      <c r="B11" s="741" t="s">
        <v>862</v>
      </c>
      <c r="C11" s="727"/>
      <c r="D11" s="727"/>
    </row>
    <row r="12" spans="2:4" x14ac:dyDescent="0.3">
      <c r="B12" s="742" t="s">
        <v>1761</v>
      </c>
      <c r="C12" s="727"/>
      <c r="D12" s="727"/>
    </row>
    <row r="13" spans="2:4" x14ac:dyDescent="0.3">
      <c r="B13" s="742" t="s">
        <v>1762</v>
      </c>
      <c r="C13" s="727"/>
      <c r="D13" s="727"/>
    </row>
    <row r="14" spans="2:4" x14ac:dyDescent="0.3">
      <c r="B14" s="729" t="s">
        <v>865</v>
      </c>
      <c r="C14" s="727"/>
      <c r="D14" s="727"/>
    </row>
    <row r="15" spans="2:4" x14ac:dyDescent="0.3">
      <c r="B15" s="730"/>
      <c r="C15" s="731" t="s">
        <v>1763</v>
      </c>
      <c r="D15" s="732" t="s">
        <v>1764</v>
      </c>
    </row>
    <row r="16" spans="2:4" x14ac:dyDescent="0.3">
      <c r="B16" s="733" t="s">
        <v>868</v>
      </c>
      <c r="C16" s="734"/>
      <c r="D16" s="735"/>
    </row>
    <row r="17" spans="1:4" x14ac:dyDescent="0.3">
      <c r="B17" s="733" t="s">
        <v>1065</v>
      </c>
      <c r="C17" s="736">
        <v>127888506993</v>
      </c>
      <c r="D17" s="737">
        <v>125328118378</v>
      </c>
    </row>
    <row r="18" spans="1:4" x14ac:dyDescent="0.3">
      <c r="A18" s="153" t="s">
        <v>1369</v>
      </c>
      <c r="B18" s="733" t="s">
        <v>1066</v>
      </c>
      <c r="C18" s="736">
        <v>683923086</v>
      </c>
      <c r="D18" s="737">
        <v>3387242026</v>
      </c>
    </row>
    <row r="19" spans="1:4" x14ac:dyDescent="0.3">
      <c r="A19" s="153" t="s">
        <v>1369</v>
      </c>
      <c r="B19" s="733" t="s">
        <v>1765</v>
      </c>
      <c r="C19" s="736">
        <v>683923086</v>
      </c>
      <c r="D19" s="737">
        <v>3387242026</v>
      </c>
    </row>
    <row r="20" spans="1:4" x14ac:dyDescent="0.3">
      <c r="A20" s="153" t="s">
        <v>1369</v>
      </c>
      <c r="B20" s="733" t="s">
        <v>1067</v>
      </c>
      <c r="C20" s="734">
        <v>0</v>
      </c>
      <c r="D20" s="737">
        <v>8502308975</v>
      </c>
    </row>
    <row r="21" spans="1:4" x14ac:dyDescent="0.3">
      <c r="B21" s="733" t="s">
        <v>1069</v>
      </c>
      <c r="C21" s="736">
        <v>33173820602</v>
      </c>
      <c r="D21" s="737">
        <v>32132320296</v>
      </c>
    </row>
    <row r="22" spans="1:4" x14ac:dyDescent="0.3">
      <c r="B22" s="733" t="s">
        <v>1766</v>
      </c>
      <c r="C22" s="736">
        <v>31116030604</v>
      </c>
      <c r="D22" s="737">
        <v>28656991623</v>
      </c>
    </row>
    <row r="23" spans="1:4" x14ac:dyDescent="0.3">
      <c r="B23" s="733" t="s">
        <v>1767</v>
      </c>
      <c r="C23" s="736">
        <v>-1243556801</v>
      </c>
      <c r="D23" s="737">
        <v>-1022251494</v>
      </c>
    </row>
    <row r="24" spans="1:4" x14ac:dyDescent="0.3">
      <c r="B24" s="733" t="s">
        <v>1768</v>
      </c>
      <c r="C24" s="736">
        <v>2136790221</v>
      </c>
      <c r="D24" s="737">
        <v>3352672882</v>
      </c>
    </row>
    <row r="25" spans="1:4" x14ac:dyDescent="0.3">
      <c r="B25" s="733" t="s">
        <v>1767</v>
      </c>
      <c r="C25" s="736">
        <v>-419088801</v>
      </c>
      <c r="D25" s="737">
        <v>-419088801</v>
      </c>
    </row>
    <row r="26" spans="1:4" x14ac:dyDescent="0.3">
      <c r="B26" s="733" t="s">
        <v>1769</v>
      </c>
      <c r="C26" s="736">
        <v>285670930</v>
      </c>
      <c r="D26" s="737">
        <v>240303612</v>
      </c>
    </row>
    <row r="27" spans="1:4" x14ac:dyDescent="0.3">
      <c r="B27" s="733" t="s">
        <v>1767</v>
      </c>
      <c r="C27" s="736">
        <v>-64386610</v>
      </c>
      <c r="D27" s="737">
        <v>-64386610</v>
      </c>
    </row>
    <row r="28" spans="1:4" x14ac:dyDescent="0.3">
      <c r="B28" s="733" t="s">
        <v>1770</v>
      </c>
      <c r="C28" s="736">
        <v>540621778</v>
      </c>
      <c r="D28" s="737">
        <v>447115503</v>
      </c>
    </row>
    <row r="29" spans="1:4" x14ac:dyDescent="0.3">
      <c r="B29" s="733" t="s">
        <v>1771</v>
      </c>
      <c r="C29" s="736">
        <v>741656287</v>
      </c>
      <c r="D29" s="737">
        <v>843880587</v>
      </c>
    </row>
    <row r="30" spans="1:4" x14ac:dyDescent="0.3">
      <c r="B30" s="733" t="s">
        <v>1772</v>
      </c>
      <c r="C30" s="736">
        <v>80082994</v>
      </c>
      <c r="D30" s="737">
        <v>97082994</v>
      </c>
    </row>
    <row r="31" spans="1:4" x14ac:dyDescent="0.3">
      <c r="B31" s="733" t="s">
        <v>1270</v>
      </c>
      <c r="C31" s="736">
        <v>24037501</v>
      </c>
      <c r="D31" s="737">
        <v>167354801</v>
      </c>
    </row>
    <row r="32" spans="1:4" x14ac:dyDescent="0.3">
      <c r="B32" s="733" t="s">
        <v>1070</v>
      </c>
      <c r="C32" s="736">
        <v>93181475804</v>
      </c>
      <c r="D32" s="737">
        <v>78900029280</v>
      </c>
    </row>
    <row r="33" spans="1:4" x14ac:dyDescent="0.3">
      <c r="B33" s="733" t="s">
        <v>1773</v>
      </c>
      <c r="C33" s="736">
        <v>68496184410</v>
      </c>
      <c r="D33" s="737">
        <v>43008721340</v>
      </c>
    </row>
    <row r="34" spans="1:4" x14ac:dyDescent="0.3">
      <c r="B34" s="733" t="s">
        <v>1774</v>
      </c>
      <c r="C34" s="736">
        <v>-1385459386</v>
      </c>
      <c r="D34" s="737">
        <v>-1841839200</v>
      </c>
    </row>
    <row r="35" spans="1:4" x14ac:dyDescent="0.3">
      <c r="B35" s="733" t="s">
        <v>1775</v>
      </c>
      <c r="C35" s="736">
        <v>16966353178</v>
      </c>
      <c r="D35" s="737">
        <v>15169882686</v>
      </c>
    </row>
    <row r="36" spans="1:4" x14ac:dyDescent="0.3">
      <c r="B36" s="733" t="s">
        <v>1774</v>
      </c>
      <c r="C36" s="736">
        <v>-2166990490</v>
      </c>
      <c r="D36" s="737">
        <v>-1561294725</v>
      </c>
    </row>
    <row r="37" spans="1:4" x14ac:dyDescent="0.3">
      <c r="B37" s="733" t="s">
        <v>1776</v>
      </c>
      <c r="C37" s="734">
        <v>0</v>
      </c>
      <c r="D37" s="737">
        <v>2687981171</v>
      </c>
    </row>
    <row r="38" spans="1:4" x14ac:dyDescent="0.3">
      <c r="B38" s="733" t="s">
        <v>1774</v>
      </c>
      <c r="C38" s="734">
        <v>0</v>
      </c>
      <c r="D38" s="737">
        <v>-2048263053</v>
      </c>
    </row>
    <row r="39" spans="1:4" x14ac:dyDescent="0.3">
      <c r="B39" s="733" t="s">
        <v>1777</v>
      </c>
      <c r="C39" s="736">
        <v>239844263</v>
      </c>
      <c r="D39" s="737">
        <v>231437938</v>
      </c>
    </row>
    <row r="40" spans="1:4" x14ac:dyDescent="0.3">
      <c r="B40" s="733" t="s">
        <v>1774</v>
      </c>
      <c r="C40" s="736">
        <v>-22765444</v>
      </c>
      <c r="D40" s="737">
        <v>-22765444</v>
      </c>
    </row>
    <row r="41" spans="1:4" x14ac:dyDescent="0.3">
      <c r="B41" s="733" t="s">
        <v>1778</v>
      </c>
      <c r="C41" s="736">
        <v>11054309273</v>
      </c>
      <c r="D41" s="737">
        <v>23273700992</v>
      </c>
    </row>
    <row r="42" spans="1:4" x14ac:dyDescent="0.3">
      <c r="B42" s="733" t="s">
        <v>1779</v>
      </c>
      <c r="C42" s="734">
        <v>0</v>
      </c>
      <c r="D42" s="737">
        <v>2467575</v>
      </c>
    </row>
    <row r="43" spans="1:4" x14ac:dyDescent="0.3">
      <c r="B43" s="733" t="s">
        <v>1068</v>
      </c>
      <c r="C43" s="736">
        <v>825250000</v>
      </c>
      <c r="D43" s="737">
        <v>2238863000</v>
      </c>
    </row>
    <row r="44" spans="1:4" x14ac:dyDescent="0.3">
      <c r="B44" s="733" t="s">
        <v>1780</v>
      </c>
      <c r="C44" s="736">
        <v>825250000</v>
      </c>
      <c r="D44" s="737">
        <v>2238863000</v>
      </c>
    </row>
    <row r="45" spans="1:4" x14ac:dyDescent="0.3">
      <c r="B45" s="733" t="s">
        <v>1072</v>
      </c>
      <c r="C45" s="736">
        <v>112855177012</v>
      </c>
      <c r="D45" s="737">
        <v>109224339610</v>
      </c>
    </row>
    <row r="46" spans="1:4" x14ac:dyDescent="0.3">
      <c r="A46" s="153" t="s">
        <v>870</v>
      </c>
      <c r="B46" s="733" t="s">
        <v>1073</v>
      </c>
      <c r="C46" s="736">
        <v>1008375000</v>
      </c>
      <c r="D46" s="737">
        <v>747437500</v>
      </c>
    </row>
    <row r="47" spans="1:4" x14ac:dyDescent="0.3">
      <c r="B47" s="733" t="s">
        <v>1075</v>
      </c>
      <c r="C47" s="736">
        <v>6582951799</v>
      </c>
      <c r="D47" s="737">
        <v>6639881917</v>
      </c>
    </row>
    <row r="48" spans="1:4" x14ac:dyDescent="0.3">
      <c r="B48" s="733" t="s">
        <v>1781</v>
      </c>
      <c r="C48" s="736">
        <v>34708058</v>
      </c>
      <c r="D48" s="737">
        <v>42708058</v>
      </c>
    </row>
    <row r="49" spans="2:4" x14ac:dyDescent="0.3">
      <c r="B49" s="733" t="s">
        <v>1767</v>
      </c>
      <c r="C49" s="736">
        <v>-34708058</v>
      </c>
      <c r="D49" s="737">
        <v>-42708058</v>
      </c>
    </row>
    <row r="50" spans="2:4" x14ac:dyDescent="0.3">
      <c r="B50" s="733" t="s">
        <v>1782</v>
      </c>
      <c r="C50" s="736">
        <v>68700000</v>
      </c>
      <c r="D50" s="737">
        <v>108700000</v>
      </c>
    </row>
    <row r="51" spans="2:4" x14ac:dyDescent="0.3">
      <c r="B51" s="733" t="s">
        <v>1783</v>
      </c>
      <c r="C51" s="736">
        <v>454227906</v>
      </c>
      <c r="D51" s="737">
        <v>379665728</v>
      </c>
    </row>
    <row r="52" spans="2:4" x14ac:dyDescent="0.3">
      <c r="B52" s="733" t="s">
        <v>1784</v>
      </c>
      <c r="C52" s="736">
        <v>3135071442</v>
      </c>
      <c r="D52" s="737">
        <v>3168431278</v>
      </c>
    </row>
    <row r="53" spans="2:4" x14ac:dyDescent="0.3">
      <c r="B53" s="733" t="s">
        <v>1785</v>
      </c>
      <c r="C53" s="736">
        <v>2924952451</v>
      </c>
      <c r="D53" s="737">
        <v>2983084911</v>
      </c>
    </row>
    <row r="54" spans="2:4" x14ac:dyDescent="0.3">
      <c r="B54" s="733" t="s">
        <v>1076</v>
      </c>
      <c r="C54" s="736">
        <v>103824774754</v>
      </c>
      <c r="D54" s="737">
        <v>100619647827</v>
      </c>
    </row>
    <row r="55" spans="2:4" x14ac:dyDescent="0.3">
      <c r="B55" s="733" t="s">
        <v>1786</v>
      </c>
      <c r="C55" s="736">
        <v>59360344878</v>
      </c>
      <c r="D55" s="737">
        <v>59360344878</v>
      </c>
    </row>
    <row r="56" spans="2:4" x14ac:dyDescent="0.3">
      <c r="B56" s="733" t="s">
        <v>1787</v>
      </c>
      <c r="C56" s="736">
        <v>30590884399</v>
      </c>
      <c r="D56" s="737">
        <v>30710037862</v>
      </c>
    </row>
    <row r="57" spans="2:4" x14ac:dyDescent="0.3">
      <c r="B57" s="733" t="s">
        <v>1788</v>
      </c>
      <c r="C57" s="736">
        <v>-10800104953</v>
      </c>
      <c r="D57" s="737">
        <v>-10301997110</v>
      </c>
    </row>
    <row r="58" spans="2:4" x14ac:dyDescent="0.3">
      <c r="B58" s="733" t="s">
        <v>1789</v>
      </c>
      <c r="C58" s="736">
        <v>5903344204</v>
      </c>
      <c r="D58" s="737">
        <v>5903344204</v>
      </c>
    </row>
    <row r="59" spans="2:4" x14ac:dyDescent="0.3">
      <c r="B59" s="733" t="s">
        <v>1788</v>
      </c>
      <c r="C59" s="736">
        <v>-4038755570</v>
      </c>
      <c r="D59" s="737">
        <v>-3821383252</v>
      </c>
    </row>
    <row r="60" spans="2:4" x14ac:dyDescent="0.3">
      <c r="B60" s="733" t="s">
        <v>1790</v>
      </c>
      <c r="C60" s="736">
        <v>-573014482</v>
      </c>
      <c r="D60" s="737">
        <v>-573014482</v>
      </c>
    </row>
    <row r="61" spans="2:4" x14ac:dyDescent="0.3">
      <c r="B61" s="733" t="s">
        <v>1791</v>
      </c>
      <c r="C61" s="736">
        <v>13649834237</v>
      </c>
      <c r="D61" s="737">
        <v>13621819351</v>
      </c>
    </row>
    <row r="62" spans="2:4" x14ac:dyDescent="0.3">
      <c r="B62" s="733" t="s">
        <v>1788</v>
      </c>
      <c r="C62" s="736">
        <v>-9084586819</v>
      </c>
      <c r="D62" s="737">
        <v>-8463942012</v>
      </c>
    </row>
    <row r="63" spans="2:4" x14ac:dyDescent="0.3">
      <c r="B63" s="733" t="s">
        <v>1792</v>
      </c>
      <c r="C63" s="736">
        <v>1252216369</v>
      </c>
      <c r="D63" s="737">
        <v>1411435312</v>
      </c>
    </row>
    <row r="64" spans="2:4" x14ac:dyDescent="0.3">
      <c r="B64" s="733" t="s">
        <v>1788</v>
      </c>
      <c r="C64" s="736">
        <v>-1115902733</v>
      </c>
      <c r="D64" s="737">
        <v>-1411248469</v>
      </c>
    </row>
    <row r="65" spans="1:4" x14ac:dyDescent="0.3">
      <c r="B65" s="733" t="s">
        <v>1793</v>
      </c>
      <c r="C65" s="736">
        <v>62026218</v>
      </c>
      <c r="D65" s="737">
        <v>81732473</v>
      </c>
    </row>
    <row r="66" spans="1:4" x14ac:dyDescent="0.3">
      <c r="B66" s="733" t="s">
        <v>1788</v>
      </c>
      <c r="C66" s="736">
        <v>-52490767</v>
      </c>
      <c r="D66" s="737">
        <v>-59937150</v>
      </c>
    </row>
    <row r="67" spans="1:4" x14ac:dyDescent="0.3">
      <c r="B67" s="733" t="s">
        <v>1794</v>
      </c>
      <c r="C67" s="736">
        <v>2129950411</v>
      </c>
      <c r="D67" s="737">
        <v>1840471556</v>
      </c>
    </row>
    <row r="68" spans="1:4" x14ac:dyDescent="0.3">
      <c r="B68" s="733" t="s">
        <v>1788</v>
      </c>
      <c r="C68" s="736">
        <v>-1829454382</v>
      </c>
      <c r="D68" s="737">
        <v>-1755645999</v>
      </c>
    </row>
    <row r="69" spans="1:4" x14ac:dyDescent="0.3">
      <c r="B69" s="733" t="s">
        <v>1795</v>
      </c>
      <c r="C69" s="736">
        <v>600491861</v>
      </c>
      <c r="D69" s="737">
        <v>600491861</v>
      </c>
    </row>
    <row r="70" spans="1:4" x14ac:dyDescent="0.3">
      <c r="B70" s="733" t="s">
        <v>1790</v>
      </c>
      <c r="C70" s="736">
        <v>-600491861</v>
      </c>
      <c r="D70" s="737">
        <v>-600491861</v>
      </c>
    </row>
    <row r="71" spans="1:4" x14ac:dyDescent="0.3">
      <c r="B71" s="733" t="s">
        <v>1796</v>
      </c>
      <c r="C71" s="736">
        <v>25664301737</v>
      </c>
      <c r="D71" s="737">
        <v>23490716473</v>
      </c>
    </row>
    <row r="72" spans="1:4" x14ac:dyDescent="0.3">
      <c r="B72" s="733" t="s">
        <v>1788</v>
      </c>
      <c r="C72" s="736">
        <v>-9209831461</v>
      </c>
      <c r="D72" s="737">
        <v>-11754659712</v>
      </c>
    </row>
    <row r="73" spans="1:4" x14ac:dyDescent="0.3">
      <c r="B73" s="733" t="s">
        <v>1797</v>
      </c>
      <c r="C73" s="736">
        <v>5979434228</v>
      </c>
      <c r="D73" s="737">
        <v>8533066996</v>
      </c>
    </row>
    <row r="74" spans="1:4" x14ac:dyDescent="0.3">
      <c r="B74" s="733" t="s">
        <v>1788</v>
      </c>
      <c r="C74" s="736">
        <v>-4063420760</v>
      </c>
      <c r="D74" s="737">
        <v>-6191493092</v>
      </c>
    </row>
    <row r="75" spans="1:4" x14ac:dyDescent="0.3">
      <c r="B75" s="733" t="s">
        <v>1798</v>
      </c>
      <c r="C75" s="736">
        <v>1043565242</v>
      </c>
      <c r="D75" s="737">
        <v>571910360</v>
      </c>
    </row>
    <row r="76" spans="1:4" x14ac:dyDescent="0.3">
      <c r="B76" s="733" t="s">
        <v>1799</v>
      </c>
      <c r="C76" s="736">
        <v>725223349</v>
      </c>
      <c r="D76" s="737">
        <v>253562386</v>
      </c>
    </row>
    <row r="77" spans="1:4" x14ac:dyDescent="0.3">
      <c r="A77" s="153" t="s">
        <v>870</v>
      </c>
      <c r="B77" s="733" t="s">
        <v>1800</v>
      </c>
      <c r="C77" s="736">
        <v>318300000</v>
      </c>
      <c r="D77" s="737">
        <v>318300000</v>
      </c>
    </row>
    <row r="78" spans="1:4" x14ac:dyDescent="0.3">
      <c r="B78" s="733" t="s">
        <v>1801</v>
      </c>
      <c r="C78" s="736">
        <v>41893</v>
      </c>
      <c r="D78" s="737">
        <v>47974</v>
      </c>
    </row>
    <row r="79" spans="1:4" x14ac:dyDescent="0.3">
      <c r="B79" s="733" t="s">
        <v>1074</v>
      </c>
      <c r="C79" s="736">
        <v>375443836</v>
      </c>
      <c r="D79" s="737">
        <v>370696836</v>
      </c>
    </row>
    <row r="80" spans="1:4" x14ac:dyDescent="0.3">
      <c r="B80" s="733" t="s">
        <v>1802</v>
      </c>
      <c r="C80" s="736">
        <v>375443836</v>
      </c>
      <c r="D80" s="737">
        <v>370696836</v>
      </c>
    </row>
    <row r="81" spans="1:4" x14ac:dyDescent="0.3">
      <c r="B81" s="733" t="s">
        <v>1274</v>
      </c>
      <c r="C81" s="736">
        <v>20066381</v>
      </c>
      <c r="D81" s="737">
        <v>274765170</v>
      </c>
    </row>
    <row r="82" spans="1:4" x14ac:dyDescent="0.3">
      <c r="B82" s="733" t="s">
        <v>884</v>
      </c>
      <c r="C82" s="736">
        <v>240743684005</v>
      </c>
      <c r="D82" s="737">
        <v>234552457988</v>
      </c>
    </row>
    <row r="83" spans="1:4" x14ac:dyDescent="0.3">
      <c r="B83" s="733" t="s">
        <v>885</v>
      </c>
      <c r="C83" s="734"/>
      <c r="D83" s="735"/>
    </row>
    <row r="84" spans="1:4" x14ac:dyDescent="0.3">
      <c r="B84" s="733" t="s">
        <v>1078</v>
      </c>
      <c r="C84" s="736">
        <v>140012456743</v>
      </c>
      <c r="D84" s="737">
        <v>128956164031</v>
      </c>
    </row>
    <row r="85" spans="1:4" x14ac:dyDescent="0.3">
      <c r="B85" s="733" t="s">
        <v>1079</v>
      </c>
      <c r="C85" s="736">
        <v>134743648428</v>
      </c>
      <c r="D85" s="737">
        <v>124130332378</v>
      </c>
    </row>
    <row r="86" spans="1:4" x14ac:dyDescent="0.3">
      <c r="B86" s="733" t="s">
        <v>1803</v>
      </c>
      <c r="C86" s="736">
        <v>13844835777</v>
      </c>
      <c r="D86" s="737">
        <v>20246628463</v>
      </c>
    </row>
    <row r="87" spans="1:4" x14ac:dyDescent="0.3">
      <c r="B87" s="733" t="s">
        <v>1804</v>
      </c>
      <c r="C87" s="736">
        <v>1548364201</v>
      </c>
      <c r="D87" s="737">
        <v>2171962148</v>
      </c>
    </row>
    <row r="88" spans="1:4" x14ac:dyDescent="0.3">
      <c r="B88" s="733" t="s">
        <v>1805</v>
      </c>
      <c r="C88" s="736">
        <v>23026150</v>
      </c>
      <c r="D88" s="737">
        <v>22984310</v>
      </c>
    </row>
    <row r="89" spans="1:4" x14ac:dyDescent="0.3">
      <c r="B89" s="733" t="s">
        <v>1806</v>
      </c>
      <c r="C89" s="736">
        <v>1467874877</v>
      </c>
      <c r="D89" s="737">
        <v>655821666</v>
      </c>
    </row>
    <row r="90" spans="1:4" x14ac:dyDescent="0.3">
      <c r="B90" s="733" t="s">
        <v>1807</v>
      </c>
      <c r="C90" s="736">
        <v>598797732</v>
      </c>
      <c r="D90" s="737">
        <v>160000000</v>
      </c>
    </row>
    <row r="91" spans="1:4" x14ac:dyDescent="0.3">
      <c r="B91" s="733" t="s">
        <v>1808</v>
      </c>
      <c r="C91" s="736">
        <v>351029252</v>
      </c>
      <c r="D91" s="737">
        <v>594075327</v>
      </c>
    </row>
    <row r="92" spans="1:4" x14ac:dyDescent="0.3">
      <c r="B92" s="733" t="s">
        <v>1809</v>
      </c>
      <c r="C92" s="736">
        <v>2862789</v>
      </c>
      <c r="D92" s="735">
        <v>0</v>
      </c>
    </row>
    <row r="93" spans="1:4" x14ac:dyDescent="0.3">
      <c r="B93" s="733" t="s">
        <v>1810</v>
      </c>
      <c r="C93" s="736">
        <v>14198626108</v>
      </c>
      <c r="D93" s="737">
        <v>13092067753</v>
      </c>
    </row>
    <row r="94" spans="1:4" x14ac:dyDescent="0.3">
      <c r="B94" s="733" t="s">
        <v>1811</v>
      </c>
      <c r="C94" s="736">
        <v>31133827</v>
      </c>
      <c r="D94" s="737">
        <v>31133827</v>
      </c>
    </row>
    <row r="95" spans="1:4" x14ac:dyDescent="0.3">
      <c r="B95" s="733" t="s">
        <v>1812</v>
      </c>
      <c r="C95" s="736">
        <v>11202269</v>
      </c>
      <c r="D95" s="737">
        <v>31068785</v>
      </c>
    </row>
    <row r="96" spans="1:4" x14ac:dyDescent="0.3">
      <c r="A96" s="153" t="s">
        <v>855</v>
      </c>
      <c r="B96" s="733" t="s">
        <v>1813</v>
      </c>
      <c r="C96" s="736">
        <v>93573147540</v>
      </c>
      <c r="D96" s="737">
        <v>79861320390</v>
      </c>
    </row>
    <row r="97" spans="1:4" x14ac:dyDescent="0.3">
      <c r="A97" s="153" t="s">
        <v>855</v>
      </c>
      <c r="B97" s="733" t="s">
        <v>1814</v>
      </c>
      <c r="C97" s="736">
        <v>4580554639</v>
      </c>
      <c r="D97" s="737">
        <v>2245537341</v>
      </c>
    </row>
    <row r="98" spans="1:4" x14ac:dyDescent="0.3">
      <c r="A98" s="153" t="s">
        <v>855</v>
      </c>
      <c r="B98" s="733" t="s">
        <v>1815</v>
      </c>
      <c r="C98" s="736">
        <v>4500000000</v>
      </c>
      <c r="D98" s="737">
        <v>5000000000</v>
      </c>
    </row>
    <row r="99" spans="1:4" x14ac:dyDescent="0.3">
      <c r="B99" s="733" t="s">
        <v>1816</v>
      </c>
      <c r="C99" s="736">
        <v>12193267</v>
      </c>
      <c r="D99" s="737">
        <v>17732368</v>
      </c>
    </row>
    <row r="100" spans="1:4" x14ac:dyDescent="0.3">
      <c r="B100" s="733" t="s">
        <v>1588</v>
      </c>
      <c r="C100" s="736">
        <v>727783944</v>
      </c>
      <c r="D100" s="737">
        <v>666244406</v>
      </c>
    </row>
    <row r="101" spans="1:4" x14ac:dyDescent="0.3">
      <c r="B101" s="733" t="s">
        <v>1817</v>
      </c>
      <c r="C101" s="736">
        <v>613028</v>
      </c>
      <c r="D101" s="737">
        <v>1028106</v>
      </c>
    </row>
    <row r="102" spans="1:4" x14ac:dyDescent="0.3">
      <c r="B102" s="733" t="s">
        <v>1818</v>
      </c>
      <c r="C102" s="736">
        <v>613028</v>
      </c>
      <c r="D102" s="737">
        <v>1028106</v>
      </c>
    </row>
    <row r="103" spans="1:4" x14ac:dyDescent="0.3">
      <c r="B103" s="733" t="s">
        <v>1082</v>
      </c>
      <c r="C103" s="736">
        <v>4540411343</v>
      </c>
      <c r="D103" s="737">
        <v>4158559141</v>
      </c>
    </row>
    <row r="104" spans="1:4" x14ac:dyDescent="0.3">
      <c r="B104" s="733" t="s">
        <v>1819</v>
      </c>
      <c r="C104" s="736">
        <v>4540411343</v>
      </c>
      <c r="D104" s="737">
        <v>4158559141</v>
      </c>
    </row>
    <row r="105" spans="1:4" x14ac:dyDescent="0.3">
      <c r="B105" s="733" t="s">
        <v>1084</v>
      </c>
      <c r="C105" s="736">
        <v>10054196800</v>
      </c>
      <c r="D105" s="737">
        <v>14288677514</v>
      </c>
    </row>
    <row r="106" spans="1:4" x14ac:dyDescent="0.3">
      <c r="B106" s="733" t="s">
        <v>1379</v>
      </c>
      <c r="C106" s="736">
        <v>3800106910</v>
      </c>
      <c r="D106" s="737">
        <v>7510057971</v>
      </c>
    </row>
    <row r="107" spans="1:4" x14ac:dyDescent="0.3">
      <c r="B107" s="733" t="s">
        <v>1820</v>
      </c>
      <c r="C107" s="736">
        <v>2751200</v>
      </c>
      <c r="D107" s="737">
        <v>421682416</v>
      </c>
    </row>
    <row r="108" spans="1:4" x14ac:dyDescent="0.3">
      <c r="A108" s="153" t="s">
        <v>855</v>
      </c>
      <c r="B108" s="733" t="s">
        <v>1821</v>
      </c>
      <c r="C108" s="736">
        <v>3797355710</v>
      </c>
      <c r="D108" s="737">
        <v>7080991015</v>
      </c>
    </row>
    <row r="109" spans="1:4" x14ac:dyDescent="0.3">
      <c r="B109" s="733" t="s">
        <v>1822</v>
      </c>
      <c r="C109" s="734">
        <v>0</v>
      </c>
      <c r="D109" s="737">
        <v>7384540</v>
      </c>
    </row>
    <row r="110" spans="1:4" x14ac:dyDescent="0.3">
      <c r="B110" s="733" t="s">
        <v>1591</v>
      </c>
      <c r="C110" s="736">
        <v>283840</v>
      </c>
      <c r="D110" s="737">
        <v>1244995</v>
      </c>
    </row>
    <row r="111" spans="1:4" x14ac:dyDescent="0.3">
      <c r="B111" s="733" t="s">
        <v>1823</v>
      </c>
      <c r="C111" s="736">
        <v>283840</v>
      </c>
      <c r="D111" s="737">
        <v>1244995</v>
      </c>
    </row>
    <row r="112" spans="1:4" x14ac:dyDescent="0.3">
      <c r="B112" s="733" t="s">
        <v>1085</v>
      </c>
      <c r="C112" s="736">
        <v>621105747</v>
      </c>
      <c r="D112" s="737">
        <v>579595780</v>
      </c>
    </row>
    <row r="113" spans="1:4" x14ac:dyDescent="0.3">
      <c r="B113" s="733" t="s">
        <v>1824</v>
      </c>
      <c r="C113" s="736">
        <v>320229908</v>
      </c>
      <c r="D113" s="737">
        <v>290229634</v>
      </c>
    </row>
    <row r="114" spans="1:4" x14ac:dyDescent="0.3">
      <c r="B114" s="733" t="s">
        <v>1825</v>
      </c>
      <c r="C114" s="736">
        <v>300875839</v>
      </c>
      <c r="D114" s="737">
        <v>289366146</v>
      </c>
    </row>
    <row r="115" spans="1:4" x14ac:dyDescent="0.3">
      <c r="B115" s="733" t="s">
        <v>1380</v>
      </c>
      <c r="C115" s="736">
        <v>140950819</v>
      </c>
      <c r="D115" s="737">
        <v>134622499</v>
      </c>
    </row>
    <row r="116" spans="1:4" x14ac:dyDescent="0.3">
      <c r="B116" s="733" t="s">
        <v>1826</v>
      </c>
      <c r="C116" s="736">
        <v>140950819</v>
      </c>
      <c r="D116" s="737">
        <v>134622499</v>
      </c>
    </row>
    <row r="117" spans="1:4" x14ac:dyDescent="0.3">
      <c r="B117" s="733" t="s">
        <v>1086</v>
      </c>
      <c r="C117" s="736">
        <v>5491749484</v>
      </c>
      <c r="D117" s="737">
        <v>6063156269</v>
      </c>
    </row>
    <row r="118" spans="1:4" x14ac:dyDescent="0.3">
      <c r="B118" s="733" t="s">
        <v>898</v>
      </c>
      <c r="C118" s="736">
        <v>150066653543</v>
      </c>
      <c r="D118" s="737">
        <v>143244841545</v>
      </c>
    </row>
    <row r="119" spans="1:4" x14ac:dyDescent="0.3">
      <c r="B119" s="733" t="s">
        <v>899</v>
      </c>
      <c r="C119" s="734"/>
      <c r="D119" s="735"/>
    </row>
    <row r="120" spans="1:4" x14ac:dyDescent="0.3">
      <c r="A120" s="153" t="s">
        <v>1827</v>
      </c>
      <c r="B120" s="733" t="s">
        <v>1087</v>
      </c>
      <c r="C120" s="736">
        <v>98214945630</v>
      </c>
      <c r="D120" s="737">
        <v>100695974897</v>
      </c>
    </row>
    <row r="121" spans="1:4" x14ac:dyDescent="0.3">
      <c r="B121" s="733" t="s">
        <v>1088</v>
      </c>
      <c r="C121" s="736">
        <v>6356373500</v>
      </c>
      <c r="D121" s="737">
        <v>6356373500</v>
      </c>
    </row>
    <row r="122" spans="1:4" x14ac:dyDescent="0.3">
      <c r="B122" s="733" t="s">
        <v>1593</v>
      </c>
      <c r="C122" s="736">
        <v>6356373500</v>
      </c>
      <c r="D122" s="737">
        <v>6356373500</v>
      </c>
    </row>
    <row r="123" spans="1:4" x14ac:dyDescent="0.3">
      <c r="B123" s="733" t="s">
        <v>1089</v>
      </c>
      <c r="C123" s="736">
        <v>4050696876</v>
      </c>
      <c r="D123" s="737">
        <v>4050696876</v>
      </c>
    </row>
    <row r="124" spans="1:4" x14ac:dyDescent="0.3">
      <c r="B124" s="733" t="s">
        <v>1828</v>
      </c>
      <c r="C124" s="736">
        <v>4050696876</v>
      </c>
      <c r="D124" s="737">
        <v>4050696876</v>
      </c>
    </row>
    <row r="125" spans="1:4" x14ac:dyDescent="0.3">
      <c r="B125" s="733" t="s">
        <v>1090</v>
      </c>
      <c r="C125" s="736">
        <v>-7281895826</v>
      </c>
      <c r="D125" s="737">
        <v>-5506406499</v>
      </c>
    </row>
    <row r="126" spans="1:4" x14ac:dyDescent="0.3">
      <c r="B126" s="733" t="s">
        <v>1829</v>
      </c>
      <c r="C126" s="736">
        <v>-6675488001</v>
      </c>
      <c r="D126" s="737">
        <v>-6675488001</v>
      </c>
    </row>
    <row r="127" spans="1:4" x14ac:dyDescent="0.3">
      <c r="B127" s="733" t="s">
        <v>1830</v>
      </c>
      <c r="C127" s="736">
        <v>-606407825</v>
      </c>
      <c r="D127" s="737">
        <v>1169081502</v>
      </c>
    </row>
    <row r="128" spans="1:4" x14ac:dyDescent="0.3">
      <c r="B128" s="733" t="s">
        <v>1283</v>
      </c>
      <c r="C128" s="736">
        <v>-45073908</v>
      </c>
      <c r="D128" s="737">
        <v>-57508474</v>
      </c>
    </row>
    <row r="129" spans="2:12" x14ac:dyDescent="0.3">
      <c r="B129" s="733" t="s">
        <v>1831</v>
      </c>
      <c r="C129" s="736">
        <v>-45073908</v>
      </c>
      <c r="D129" s="737">
        <v>-48386568</v>
      </c>
    </row>
    <row r="130" spans="2:12" x14ac:dyDescent="0.3">
      <c r="B130" s="733" t="s">
        <v>1832</v>
      </c>
      <c r="C130" s="734">
        <v>0</v>
      </c>
      <c r="D130" s="737">
        <v>-9121906</v>
      </c>
    </row>
    <row r="131" spans="2:12" x14ac:dyDescent="0.3">
      <c r="B131" s="733" t="s">
        <v>1091</v>
      </c>
      <c r="C131" s="736">
        <v>95134844988</v>
      </c>
      <c r="D131" s="737">
        <v>95852819494</v>
      </c>
    </row>
    <row r="132" spans="2:12" x14ac:dyDescent="0.3">
      <c r="B132" s="733" t="s">
        <v>1833</v>
      </c>
      <c r="C132" s="736">
        <v>2531203032</v>
      </c>
      <c r="D132" s="737">
        <v>2486167772</v>
      </c>
    </row>
    <row r="133" spans="2:12" x14ac:dyDescent="0.3">
      <c r="B133" s="733" t="s">
        <v>1834</v>
      </c>
      <c r="C133" s="736">
        <v>451913000</v>
      </c>
      <c r="D133" s="737">
        <v>451913000</v>
      </c>
    </row>
    <row r="134" spans="2:12" x14ac:dyDescent="0.3">
      <c r="B134" s="733" t="s">
        <v>1835</v>
      </c>
      <c r="C134" s="736">
        <v>26590820980</v>
      </c>
      <c r="D134" s="737">
        <v>26590820980</v>
      </c>
    </row>
    <row r="135" spans="2:12" x14ac:dyDescent="0.3">
      <c r="B135" s="733" t="s">
        <v>1836</v>
      </c>
      <c r="C135" s="736">
        <v>5964324</v>
      </c>
      <c r="D135" s="735">
        <v>0</v>
      </c>
    </row>
    <row r="136" spans="2:12" x14ac:dyDescent="0.3">
      <c r="B136" s="733" t="s">
        <v>1837</v>
      </c>
      <c r="C136" s="736">
        <v>65554943652</v>
      </c>
      <c r="D136" s="737">
        <v>66323917742</v>
      </c>
    </row>
    <row r="137" spans="2:12" x14ac:dyDescent="0.3">
      <c r="B137" s="733" t="s">
        <v>1092</v>
      </c>
      <c r="C137" s="736">
        <v>-7537915168</v>
      </c>
      <c r="D137" s="737">
        <v>-9388358454</v>
      </c>
    </row>
    <row r="138" spans="2:12" x14ac:dyDescent="0.3">
      <c r="B138" s="733" t="s">
        <v>907</v>
      </c>
      <c r="C138" s="736">
        <v>90677030462</v>
      </c>
      <c r="D138" s="737">
        <v>91307616443</v>
      </c>
    </row>
    <row r="139" spans="2:12" x14ac:dyDescent="0.3">
      <c r="B139" s="738" t="s">
        <v>908</v>
      </c>
      <c r="C139" s="739">
        <v>240743684005</v>
      </c>
      <c r="D139" s="740">
        <v>234552457988</v>
      </c>
    </row>
    <row r="142" spans="2:12" x14ac:dyDescent="0.3">
      <c r="B142" s="741" t="s">
        <v>909</v>
      </c>
      <c r="C142" s="727"/>
      <c r="D142" s="727"/>
      <c r="E142" s="727"/>
      <c r="F142" s="727"/>
      <c r="I142" s="741" t="s">
        <v>909</v>
      </c>
      <c r="J142" s="727"/>
      <c r="K142" s="727"/>
      <c r="L142" s="727"/>
    </row>
    <row r="143" spans="2:12" x14ac:dyDescent="0.3">
      <c r="B143" s="742" t="s">
        <v>1838</v>
      </c>
      <c r="C143" s="727"/>
      <c r="D143" s="727"/>
      <c r="E143" s="727"/>
      <c r="F143" s="727"/>
      <c r="I143" s="742" t="s">
        <v>1839</v>
      </c>
      <c r="J143" s="727"/>
      <c r="K143" s="727"/>
      <c r="L143" s="727"/>
    </row>
    <row r="144" spans="2:12" x14ac:dyDescent="0.3">
      <c r="B144" s="742" t="s">
        <v>1840</v>
      </c>
      <c r="C144" s="727"/>
      <c r="D144" s="727"/>
      <c r="E144" s="727"/>
      <c r="F144" s="727"/>
      <c r="I144" s="742" t="s">
        <v>1841</v>
      </c>
      <c r="J144" s="727"/>
      <c r="K144" s="727"/>
      <c r="L144" s="727"/>
    </row>
    <row r="145" spans="1:12" x14ac:dyDescent="0.3">
      <c r="B145" s="729" t="s">
        <v>865</v>
      </c>
      <c r="C145" s="727"/>
      <c r="D145" s="727"/>
      <c r="E145" s="727"/>
      <c r="F145" s="727"/>
      <c r="I145" s="742" t="s">
        <v>1842</v>
      </c>
      <c r="J145" s="727"/>
      <c r="K145" s="727"/>
      <c r="L145" s="727"/>
    </row>
    <row r="146" spans="1:12" x14ac:dyDescent="0.3">
      <c r="B146" s="1952"/>
      <c r="C146" s="1954" t="s">
        <v>1843</v>
      </c>
      <c r="D146" s="1955"/>
      <c r="E146" s="1954" t="s">
        <v>1844</v>
      </c>
      <c r="F146" s="1956"/>
      <c r="I146" s="729" t="s">
        <v>865</v>
      </c>
      <c r="J146" s="727"/>
      <c r="K146" s="727"/>
      <c r="L146" s="727"/>
    </row>
    <row r="147" spans="1:12" x14ac:dyDescent="0.3">
      <c r="B147" s="1953"/>
      <c r="C147" s="743" t="s">
        <v>917</v>
      </c>
      <c r="D147" s="743" t="s">
        <v>918</v>
      </c>
      <c r="E147" s="743" t="s">
        <v>917</v>
      </c>
      <c r="F147" s="744" t="s">
        <v>918</v>
      </c>
      <c r="I147" s="730"/>
      <c r="J147" s="731" t="s">
        <v>1845</v>
      </c>
      <c r="K147" s="731" t="s">
        <v>1846</v>
      </c>
      <c r="L147" s="732" t="s">
        <v>1847</v>
      </c>
    </row>
    <row r="148" spans="1:12" x14ac:dyDescent="0.3">
      <c r="A148" s="153" t="s">
        <v>1848</v>
      </c>
      <c r="B148" s="733" t="s">
        <v>1103</v>
      </c>
      <c r="C148" s="736">
        <v>52040798412</v>
      </c>
      <c r="D148" s="736">
        <v>165056921673</v>
      </c>
      <c r="E148" s="736">
        <v>49724626057</v>
      </c>
      <c r="F148" s="737">
        <v>147061520779</v>
      </c>
      <c r="I148" s="733" t="s">
        <v>1849</v>
      </c>
      <c r="J148" s="736">
        <v>210994514654</v>
      </c>
      <c r="K148" s="736">
        <v>204256069421</v>
      </c>
      <c r="L148" s="737">
        <v>259887584583</v>
      </c>
    </row>
    <row r="149" spans="1:12" x14ac:dyDescent="0.3">
      <c r="B149" s="733" t="s">
        <v>1850</v>
      </c>
      <c r="C149" s="736">
        <v>45944769683</v>
      </c>
      <c r="D149" s="736">
        <v>147797460444</v>
      </c>
      <c r="E149" s="736">
        <v>42865953047</v>
      </c>
      <c r="F149" s="737">
        <v>125458329893</v>
      </c>
      <c r="I149" s="733" t="s">
        <v>1104</v>
      </c>
      <c r="J149" s="736">
        <v>178253456498</v>
      </c>
      <c r="K149" s="736">
        <v>170151022204</v>
      </c>
      <c r="L149" s="737">
        <v>216400918464</v>
      </c>
    </row>
    <row r="150" spans="1:12" x14ac:dyDescent="0.3">
      <c r="B150" s="733" t="s">
        <v>1851</v>
      </c>
      <c r="C150" s="736">
        <v>4180471032</v>
      </c>
      <c r="D150" s="736">
        <v>20121298695</v>
      </c>
      <c r="E150" s="736">
        <v>8521301270</v>
      </c>
      <c r="F150" s="737">
        <v>21412629362</v>
      </c>
      <c r="I150" s="733" t="s">
        <v>1105</v>
      </c>
      <c r="J150" s="736">
        <v>32741058156</v>
      </c>
      <c r="K150" s="736">
        <v>34105047217</v>
      </c>
      <c r="L150" s="737">
        <v>43486666119</v>
      </c>
    </row>
    <row r="151" spans="1:12" x14ac:dyDescent="0.3">
      <c r="B151" s="733" t="s">
        <v>1852</v>
      </c>
      <c r="C151" s="736">
        <v>41764298651</v>
      </c>
      <c r="D151" s="736">
        <v>127676161749</v>
      </c>
      <c r="E151" s="736">
        <v>34344651777</v>
      </c>
      <c r="F151" s="737">
        <v>104045700531</v>
      </c>
      <c r="I151" s="733" t="s">
        <v>1106</v>
      </c>
      <c r="J151" s="736">
        <v>27568122858</v>
      </c>
      <c r="K151" s="736">
        <v>29406278309</v>
      </c>
      <c r="L151" s="737">
        <v>35758567054</v>
      </c>
    </row>
    <row r="152" spans="1:12" x14ac:dyDescent="0.3">
      <c r="B152" s="733" t="s">
        <v>1853</v>
      </c>
      <c r="C152" s="736">
        <v>5843395213</v>
      </c>
      <c r="D152" s="736">
        <v>16419953886</v>
      </c>
      <c r="E152" s="736">
        <v>6570017266</v>
      </c>
      <c r="F152" s="737">
        <v>20683661578</v>
      </c>
      <c r="I152" s="733" t="s">
        <v>1108</v>
      </c>
      <c r="J152" s="736">
        <v>5172935298</v>
      </c>
      <c r="K152" s="736">
        <v>4698768908</v>
      </c>
      <c r="L152" s="737">
        <v>7728099065</v>
      </c>
    </row>
    <row r="153" spans="1:12" x14ac:dyDescent="0.3">
      <c r="B153" s="733" t="s">
        <v>1854</v>
      </c>
      <c r="C153" s="736">
        <v>2187410611</v>
      </c>
      <c r="D153" s="736">
        <v>6121419479</v>
      </c>
      <c r="E153" s="736">
        <v>2547396351</v>
      </c>
      <c r="F153" s="737">
        <v>7663094524</v>
      </c>
      <c r="I153" s="733" t="s">
        <v>1112</v>
      </c>
      <c r="J153" s="736">
        <v>545196913</v>
      </c>
      <c r="K153" s="736">
        <v>1074335910</v>
      </c>
      <c r="L153" s="737">
        <v>1757209213</v>
      </c>
    </row>
    <row r="154" spans="1:12" x14ac:dyDescent="0.3">
      <c r="B154" s="733" t="s">
        <v>1855</v>
      </c>
      <c r="C154" s="736">
        <v>3198968744</v>
      </c>
      <c r="D154" s="736">
        <v>8175292714</v>
      </c>
      <c r="E154" s="736">
        <v>2967763455</v>
      </c>
      <c r="F154" s="737">
        <v>10454579666</v>
      </c>
      <c r="I154" s="733" t="s">
        <v>1115</v>
      </c>
      <c r="J154" s="736">
        <v>1986832240</v>
      </c>
      <c r="K154" s="736">
        <v>1479561025</v>
      </c>
      <c r="L154" s="737">
        <v>1128089921</v>
      </c>
    </row>
    <row r="155" spans="1:12" x14ac:dyDescent="0.3">
      <c r="B155" s="733" t="s">
        <v>1856</v>
      </c>
      <c r="C155" s="736">
        <v>457015858</v>
      </c>
      <c r="D155" s="736">
        <v>2123241693</v>
      </c>
      <c r="E155" s="736">
        <v>1054857460</v>
      </c>
      <c r="F155" s="737">
        <v>2565987388</v>
      </c>
      <c r="I155" s="733" t="s">
        <v>1110</v>
      </c>
      <c r="J155" s="736">
        <v>6629251106</v>
      </c>
      <c r="K155" s="736">
        <v>3410125720</v>
      </c>
      <c r="L155" s="737">
        <v>3457070292</v>
      </c>
    </row>
    <row r="156" spans="1:12" x14ac:dyDescent="0.3">
      <c r="B156" s="733" t="s">
        <v>1857</v>
      </c>
      <c r="C156" s="736">
        <v>252633516</v>
      </c>
      <c r="D156" s="736">
        <v>839507343</v>
      </c>
      <c r="E156" s="736">
        <v>288655744</v>
      </c>
      <c r="F156" s="737">
        <v>919529308</v>
      </c>
      <c r="I156" s="733" t="s">
        <v>1113</v>
      </c>
      <c r="J156" s="736">
        <v>8493282154</v>
      </c>
      <c r="K156" s="736">
        <v>8373083482</v>
      </c>
      <c r="L156" s="737">
        <v>9162846350</v>
      </c>
    </row>
    <row r="157" spans="1:12" x14ac:dyDescent="0.3">
      <c r="B157" s="733" t="s">
        <v>1104</v>
      </c>
      <c r="C157" s="736">
        <v>43118359859</v>
      </c>
      <c r="D157" s="736">
        <v>139298493502</v>
      </c>
      <c r="E157" s="736">
        <v>41302953883</v>
      </c>
      <c r="F157" s="737">
        <v>122741437877</v>
      </c>
      <c r="I157" s="733" t="s">
        <v>1858</v>
      </c>
      <c r="J157" s="734">
        <v>0</v>
      </c>
      <c r="K157" s="736">
        <v>-106709894</v>
      </c>
      <c r="L157" s="737">
        <v>-15710997</v>
      </c>
    </row>
    <row r="158" spans="1:12" x14ac:dyDescent="0.3">
      <c r="B158" s="733" t="s">
        <v>1859</v>
      </c>
      <c r="C158" s="736">
        <v>36861016639</v>
      </c>
      <c r="D158" s="736">
        <v>122897466121</v>
      </c>
      <c r="E158" s="736">
        <v>35580796549</v>
      </c>
      <c r="F158" s="737">
        <v>103853072653</v>
      </c>
      <c r="I158" s="733" t="s">
        <v>1116</v>
      </c>
      <c r="J158" s="736">
        <v>1867268923</v>
      </c>
      <c r="K158" s="736">
        <v>-776123863</v>
      </c>
      <c r="L158" s="737">
        <v>2635731302</v>
      </c>
    </row>
    <row r="159" spans="1:12" x14ac:dyDescent="0.3">
      <c r="B159" s="733" t="s">
        <v>1860</v>
      </c>
      <c r="C159" s="736">
        <v>4400810820</v>
      </c>
      <c r="D159" s="736">
        <v>20433320769</v>
      </c>
      <c r="E159" s="736">
        <v>8250349310</v>
      </c>
      <c r="F159" s="737">
        <v>19644483236</v>
      </c>
      <c r="I159" s="733" t="s">
        <v>1117</v>
      </c>
      <c r="J159" s="736">
        <v>1569672160</v>
      </c>
      <c r="K159" s="736">
        <v>597327746</v>
      </c>
      <c r="L159" s="737">
        <v>1540605395</v>
      </c>
    </row>
    <row r="160" spans="1:12" x14ac:dyDescent="0.3">
      <c r="B160" s="733" t="s">
        <v>1861</v>
      </c>
      <c r="C160" s="736">
        <v>32460205819</v>
      </c>
      <c r="D160" s="736">
        <v>102464145352</v>
      </c>
      <c r="E160" s="736">
        <v>27330447239</v>
      </c>
      <c r="F160" s="737">
        <v>84208589417</v>
      </c>
      <c r="I160" s="733" t="s">
        <v>1862</v>
      </c>
      <c r="J160" s="736">
        <v>297596763</v>
      </c>
      <c r="K160" s="736">
        <v>-1373451609</v>
      </c>
      <c r="L160" s="737">
        <v>1095125907</v>
      </c>
    </row>
    <row r="161" spans="2:12" x14ac:dyDescent="0.3">
      <c r="B161" s="733" t="s">
        <v>1863</v>
      </c>
      <c r="C161" s="736">
        <v>6133360305</v>
      </c>
      <c r="D161" s="736">
        <v>16036546761</v>
      </c>
      <c r="E161" s="736">
        <v>5560977755</v>
      </c>
      <c r="F161" s="737">
        <v>18385876475</v>
      </c>
      <c r="I161" s="733" t="s">
        <v>1864</v>
      </c>
      <c r="J161" s="736">
        <v>3558586</v>
      </c>
      <c r="K161" s="736">
        <v>-3120629554</v>
      </c>
      <c r="L161" s="735">
        <v>0</v>
      </c>
    </row>
    <row r="162" spans="2:12" x14ac:dyDescent="0.3">
      <c r="B162" s="733" t="s">
        <v>1865</v>
      </c>
      <c r="C162" s="736">
        <v>2252591951</v>
      </c>
      <c r="D162" s="736">
        <v>6734981039</v>
      </c>
      <c r="E162" s="736">
        <v>2816921405</v>
      </c>
      <c r="F162" s="737">
        <v>7665727808</v>
      </c>
      <c r="I162" s="733" t="s">
        <v>1119</v>
      </c>
      <c r="J162" s="736">
        <v>301155349</v>
      </c>
      <c r="K162" s="736">
        <v>-4494081163</v>
      </c>
      <c r="L162" s="737">
        <v>1095125907</v>
      </c>
    </row>
    <row r="163" spans="2:12" x14ac:dyDescent="0.3">
      <c r="B163" s="733" t="s">
        <v>1866</v>
      </c>
      <c r="C163" s="736">
        <v>3880768354</v>
      </c>
      <c r="D163" s="736">
        <v>9301565722</v>
      </c>
      <c r="E163" s="736">
        <v>2744056350</v>
      </c>
      <c r="F163" s="737">
        <v>10720148667</v>
      </c>
      <c r="I163" s="733" t="s">
        <v>1134</v>
      </c>
      <c r="J163" s="734"/>
      <c r="K163" s="734"/>
      <c r="L163" s="735"/>
    </row>
    <row r="164" spans="2:12" x14ac:dyDescent="0.3">
      <c r="B164" s="733" t="s">
        <v>1867</v>
      </c>
      <c r="C164" s="736">
        <v>123982915</v>
      </c>
      <c r="D164" s="736">
        <v>364480620</v>
      </c>
      <c r="E164" s="736">
        <v>161179579</v>
      </c>
      <c r="F164" s="737">
        <v>502488749</v>
      </c>
      <c r="I164" s="733" t="s">
        <v>1136</v>
      </c>
      <c r="J164" s="736">
        <v>942799501</v>
      </c>
      <c r="K164" s="736">
        <v>-3299471006</v>
      </c>
      <c r="L164" s="737">
        <v>1442167199</v>
      </c>
    </row>
    <row r="165" spans="2:12" x14ac:dyDescent="0.3">
      <c r="B165" s="733" t="s">
        <v>1105</v>
      </c>
      <c r="C165" s="736">
        <v>8922438553</v>
      </c>
      <c r="D165" s="736">
        <v>25758428171</v>
      </c>
      <c r="E165" s="736">
        <v>8421672174</v>
      </c>
      <c r="F165" s="737">
        <v>24320082902</v>
      </c>
      <c r="I165" s="733" t="s">
        <v>1137</v>
      </c>
      <c r="J165" s="736">
        <v>-641644152</v>
      </c>
      <c r="K165" s="736">
        <v>-1194610157</v>
      </c>
      <c r="L165" s="737">
        <v>-347041292</v>
      </c>
    </row>
    <row r="166" spans="2:12" x14ac:dyDescent="0.3">
      <c r="B166" s="733" t="s">
        <v>1106</v>
      </c>
      <c r="C166" s="736">
        <v>7772537055</v>
      </c>
      <c r="D166" s="736">
        <v>23131802568</v>
      </c>
      <c r="E166" s="736">
        <v>6991569867</v>
      </c>
      <c r="F166" s="737">
        <v>19822525649</v>
      </c>
      <c r="I166" s="733" t="s">
        <v>1120</v>
      </c>
      <c r="J166" s="736">
        <v>26403377</v>
      </c>
      <c r="K166" s="736">
        <v>-18678439</v>
      </c>
      <c r="L166" s="737">
        <v>-56164129</v>
      </c>
    </row>
    <row r="167" spans="2:12" x14ac:dyDescent="0.3">
      <c r="B167" s="733" t="s">
        <v>1868</v>
      </c>
      <c r="C167" s="736">
        <v>2633954088</v>
      </c>
      <c r="D167" s="736">
        <v>8358218947</v>
      </c>
      <c r="E167" s="736">
        <v>2440296645</v>
      </c>
      <c r="F167" s="737">
        <v>7638494713</v>
      </c>
      <c r="I167" s="733" t="s">
        <v>1869</v>
      </c>
      <c r="J167" s="736">
        <v>7928815</v>
      </c>
      <c r="K167" s="736">
        <v>-29940762</v>
      </c>
      <c r="L167" s="737">
        <v>-43282845</v>
      </c>
    </row>
    <row r="168" spans="2:12" x14ac:dyDescent="0.3">
      <c r="B168" s="733" t="s">
        <v>1870</v>
      </c>
      <c r="C168" s="736">
        <v>290064753</v>
      </c>
      <c r="D168" s="736">
        <v>934934484</v>
      </c>
      <c r="E168" s="736">
        <v>264772226</v>
      </c>
      <c r="F168" s="737">
        <v>844694279</v>
      </c>
      <c r="I168" s="733" t="s">
        <v>1871</v>
      </c>
      <c r="J168" s="736">
        <v>7928815</v>
      </c>
      <c r="K168" s="736">
        <v>-29940762</v>
      </c>
      <c r="L168" s="737">
        <v>-43282845</v>
      </c>
    </row>
    <row r="169" spans="2:12" x14ac:dyDescent="0.3">
      <c r="B169" s="733" t="s">
        <v>1872</v>
      </c>
      <c r="C169" s="736">
        <v>381332328</v>
      </c>
      <c r="D169" s="736">
        <v>1355808749</v>
      </c>
      <c r="E169" s="736">
        <v>339442201</v>
      </c>
      <c r="F169" s="737">
        <v>1319950719</v>
      </c>
      <c r="I169" s="733" t="s">
        <v>1873</v>
      </c>
      <c r="J169" s="736">
        <v>18474562</v>
      </c>
      <c r="K169" s="736">
        <v>11262323</v>
      </c>
      <c r="L169" s="737">
        <v>-12881284</v>
      </c>
    </row>
    <row r="170" spans="2:12" x14ac:dyDescent="0.3">
      <c r="B170" s="733" t="s">
        <v>1874</v>
      </c>
      <c r="C170" s="736">
        <v>512359522</v>
      </c>
      <c r="D170" s="736">
        <v>1035980250</v>
      </c>
      <c r="E170" s="736">
        <v>249839240</v>
      </c>
      <c r="F170" s="737">
        <v>749661713</v>
      </c>
      <c r="I170" s="733" t="s">
        <v>1875</v>
      </c>
      <c r="J170" s="736">
        <v>908310</v>
      </c>
      <c r="K170" s="736">
        <v>-5903103</v>
      </c>
      <c r="L170" s="737">
        <v>1249233</v>
      </c>
    </row>
    <row r="171" spans="2:12" x14ac:dyDescent="0.3">
      <c r="B171" s="733" t="s">
        <v>1876</v>
      </c>
      <c r="C171" s="736">
        <v>150354135</v>
      </c>
      <c r="D171" s="736">
        <v>687464445</v>
      </c>
      <c r="E171" s="736">
        <v>309312412</v>
      </c>
      <c r="F171" s="737">
        <v>780271053</v>
      </c>
      <c r="I171" s="733" t="s">
        <v>1877</v>
      </c>
      <c r="J171" s="734">
        <v>0</v>
      </c>
      <c r="K171" s="736">
        <v>7898057</v>
      </c>
      <c r="L171" s="737">
        <v>6030472</v>
      </c>
    </row>
    <row r="172" spans="2:12" x14ac:dyDescent="0.3">
      <c r="B172" s="733" t="s">
        <v>1878</v>
      </c>
      <c r="C172" s="736">
        <v>97536989</v>
      </c>
      <c r="D172" s="736">
        <v>175483467</v>
      </c>
      <c r="E172" s="736">
        <v>20100322</v>
      </c>
      <c r="F172" s="737">
        <v>44613467</v>
      </c>
      <c r="I172" s="733" t="s">
        <v>1879</v>
      </c>
      <c r="J172" s="736">
        <v>17566252</v>
      </c>
      <c r="K172" s="736">
        <v>9267369</v>
      </c>
      <c r="L172" s="737">
        <v>-20160989</v>
      </c>
    </row>
    <row r="173" spans="2:12" x14ac:dyDescent="0.3">
      <c r="B173" s="733" t="s">
        <v>1880</v>
      </c>
      <c r="C173" s="736">
        <v>-129335</v>
      </c>
      <c r="D173" s="736">
        <v>213305307</v>
      </c>
      <c r="E173" s="736">
        <v>876365309</v>
      </c>
      <c r="F173" s="737">
        <v>906710041</v>
      </c>
      <c r="I173" s="733" t="s">
        <v>1133</v>
      </c>
      <c r="J173" s="736">
        <v>327558726</v>
      </c>
      <c r="K173" s="736">
        <v>-4512759602</v>
      </c>
      <c r="L173" s="737">
        <v>1038961778</v>
      </c>
    </row>
    <row r="174" spans="2:12" x14ac:dyDescent="0.3">
      <c r="B174" s="733" t="s">
        <v>1881</v>
      </c>
      <c r="C174" s="736">
        <v>668528014</v>
      </c>
      <c r="D174" s="736">
        <v>2292083091</v>
      </c>
      <c r="E174" s="736">
        <v>542946976</v>
      </c>
      <c r="F174" s="737">
        <v>1718436434</v>
      </c>
      <c r="I174" s="733" t="s">
        <v>1415</v>
      </c>
      <c r="J174" s="734"/>
      <c r="K174" s="734"/>
      <c r="L174" s="735"/>
    </row>
    <row r="175" spans="2:12" x14ac:dyDescent="0.3">
      <c r="B175" s="733" t="s">
        <v>1882</v>
      </c>
      <c r="C175" s="736">
        <v>69694346</v>
      </c>
      <c r="D175" s="736">
        <v>180831734</v>
      </c>
      <c r="E175" s="736">
        <v>54844838</v>
      </c>
      <c r="F175" s="737">
        <v>145710516</v>
      </c>
      <c r="I175" s="733" t="s">
        <v>1597</v>
      </c>
      <c r="J175" s="736">
        <v>966885880</v>
      </c>
      <c r="K175" s="736">
        <v>-3311653141</v>
      </c>
      <c r="L175" s="737">
        <v>1403912818</v>
      </c>
    </row>
    <row r="176" spans="2:12" x14ac:dyDescent="0.3">
      <c r="B176" s="733" t="s">
        <v>1883</v>
      </c>
      <c r="C176" s="736">
        <v>256358754</v>
      </c>
      <c r="D176" s="736">
        <v>702601728</v>
      </c>
      <c r="E176" s="736">
        <v>94703961</v>
      </c>
      <c r="F176" s="737">
        <v>315910408</v>
      </c>
      <c r="I176" s="733" t="s">
        <v>1598</v>
      </c>
      <c r="J176" s="736">
        <v>-639327154</v>
      </c>
      <c r="K176" s="736">
        <v>-1201106461</v>
      </c>
      <c r="L176" s="737">
        <v>-364951040</v>
      </c>
    </row>
    <row r="177" spans="1:12" x14ac:dyDescent="0.3">
      <c r="B177" s="733" t="s">
        <v>1884</v>
      </c>
      <c r="C177" s="736">
        <v>53612244</v>
      </c>
      <c r="D177" s="736">
        <v>155616918</v>
      </c>
      <c r="E177" s="736">
        <v>49839205</v>
      </c>
      <c r="F177" s="737">
        <v>147699551</v>
      </c>
      <c r="I177" s="733" t="s">
        <v>1143</v>
      </c>
      <c r="J177" s="734"/>
      <c r="K177" s="734"/>
      <c r="L177" s="735"/>
    </row>
    <row r="178" spans="1:12" x14ac:dyDescent="0.3">
      <c r="B178" s="733" t="s">
        <v>1885</v>
      </c>
      <c r="C178" s="736">
        <v>71839666</v>
      </c>
      <c r="D178" s="736">
        <v>123745367</v>
      </c>
      <c r="E178" s="736">
        <v>43718035</v>
      </c>
      <c r="F178" s="737">
        <v>167152265</v>
      </c>
      <c r="I178" s="733" t="s">
        <v>1144</v>
      </c>
      <c r="J178" s="734">
        <v>84</v>
      </c>
      <c r="K178" s="734">
        <v>-293</v>
      </c>
      <c r="L178" s="735">
        <v>128</v>
      </c>
    </row>
    <row r="179" spans="1:12" x14ac:dyDescent="0.3">
      <c r="B179" s="733" t="s">
        <v>1886</v>
      </c>
      <c r="C179" s="736">
        <v>108977978</v>
      </c>
      <c r="D179" s="736">
        <v>312983095</v>
      </c>
      <c r="E179" s="736">
        <v>93532959</v>
      </c>
      <c r="F179" s="737">
        <v>279211957</v>
      </c>
      <c r="I179" s="733" t="s">
        <v>1887</v>
      </c>
      <c r="J179" s="734">
        <v>83</v>
      </c>
      <c r="K179" s="734">
        <v>-16</v>
      </c>
      <c r="L179" s="735">
        <v>128</v>
      </c>
    </row>
    <row r="180" spans="1:12" x14ac:dyDescent="0.3">
      <c r="B180" s="733" t="s">
        <v>1888</v>
      </c>
      <c r="C180" s="736">
        <v>243322737</v>
      </c>
      <c r="D180" s="736">
        <v>573828633</v>
      </c>
      <c r="E180" s="736">
        <v>227224214</v>
      </c>
      <c r="F180" s="737">
        <v>599050455</v>
      </c>
      <c r="I180" s="733" t="s">
        <v>1889</v>
      </c>
      <c r="J180" s="734">
        <v>1</v>
      </c>
      <c r="K180" s="734">
        <v>-277</v>
      </c>
      <c r="L180" s="735">
        <v>0</v>
      </c>
    </row>
    <row r="181" spans="1:12" x14ac:dyDescent="0.3">
      <c r="B181" s="733" t="s">
        <v>1890</v>
      </c>
      <c r="C181" s="736">
        <v>319983983</v>
      </c>
      <c r="D181" s="736">
        <v>563797675</v>
      </c>
      <c r="E181" s="736">
        <v>137122684</v>
      </c>
      <c r="F181" s="737">
        <v>580629194</v>
      </c>
      <c r="I181" s="733" t="s">
        <v>1145</v>
      </c>
      <c r="J181" s="734">
        <v>84</v>
      </c>
      <c r="K181" s="734">
        <v>-293</v>
      </c>
      <c r="L181" s="735">
        <v>128</v>
      </c>
    </row>
    <row r="182" spans="1:12" x14ac:dyDescent="0.3">
      <c r="B182" s="733" t="s">
        <v>1891</v>
      </c>
      <c r="C182" s="736">
        <v>453210223</v>
      </c>
      <c r="D182" s="736">
        <v>1199486171</v>
      </c>
      <c r="E182" s="736">
        <v>304183055</v>
      </c>
      <c r="F182" s="737">
        <v>1042120619</v>
      </c>
      <c r="I182" s="733" t="s">
        <v>1892</v>
      </c>
      <c r="J182" s="734">
        <v>83</v>
      </c>
      <c r="K182" s="734">
        <v>-16</v>
      </c>
      <c r="L182" s="735">
        <v>128</v>
      </c>
    </row>
    <row r="183" spans="1:12" x14ac:dyDescent="0.3">
      <c r="B183" s="733" t="s">
        <v>1893</v>
      </c>
      <c r="C183" s="736">
        <v>152010540</v>
      </c>
      <c r="D183" s="736">
        <v>675290514</v>
      </c>
      <c r="E183" s="736">
        <v>144890078</v>
      </c>
      <c r="F183" s="737">
        <v>652260310</v>
      </c>
      <c r="I183" s="738" t="s">
        <v>1894</v>
      </c>
      <c r="J183" s="745">
        <v>1</v>
      </c>
      <c r="K183" s="745">
        <v>-277</v>
      </c>
      <c r="L183" s="746">
        <v>0</v>
      </c>
    </row>
    <row r="184" spans="1:12" x14ac:dyDescent="0.3">
      <c r="B184" s="733" t="s">
        <v>1895</v>
      </c>
      <c r="C184" s="736">
        <v>662141450</v>
      </c>
      <c r="D184" s="736">
        <v>1154799122</v>
      </c>
      <c r="E184" s="736">
        <v>296967147</v>
      </c>
      <c r="F184" s="737">
        <v>819164446</v>
      </c>
    </row>
    <row r="185" spans="1:12" x14ac:dyDescent="0.3">
      <c r="B185" s="733" t="s">
        <v>1896</v>
      </c>
      <c r="C185" s="736">
        <v>55558069</v>
      </c>
      <c r="D185" s="736">
        <v>161762485</v>
      </c>
      <c r="E185" s="736">
        <v>53265910</v>
      </c>
      <c r="F185" s="737">
        <v>168590100</v>
      </c>
    </row>
    <row r="186" spans="1:12" x14ac:dyDescent="0.3">
      <c r="B186" s="733" t="s">
        <v>1897</v>
      </c>
      <c r="C186" s="736">
        <v>44298555</v>
      </c>
      <c r="D186" s="736">
        <v>132881515</v>
      </c>
      <c r="E186" s="736">
        <v>41113898</v>
      </c>
      <c r="F186" s="737">
        <v>266010125</v>
      </c>
    </row>
    <row r="187" spans="1:12" x14ac:dyDescent="0.3">
      <c r="B187" s="733" t="s">
        <v>1898</v>
      </c>
      <c r="C187" s="736">
        <v>280765027</v>
      </c>
      <c r="D187" s="736">
        <v>699398019</v>
      </c>
      <c r="E187" s="736">
        <v>191374150</v>
      </c>
      <c r="F187" s="737">
        <v>586141550</v>
      </c>
    </row>
    <row r="188" spans="1:12" x14ac:dyDescent="0.3">
      <c r="B188" s="733" t="s">
        <v>1899</v>
      </c>
      <c r="C188" s="736">
        <v>94045373</v>
      </c>
      <c r="D188" s="736">
        <v>280127876</v>
      </c>
      <c r="E188" s="736">
        <v>86892638</v>
      </c>
      <c r="F188" s="737">
        <v>399786879</v>
      </c>
    </row>
    <row r="189" spans="1:12" x14ac:dyDescent="0.3">
      <c r="B189" s="733" t="s">
        <v>1900</v>
      </c>
      <c r="C189" s="736">
        <v>62261753</v>
      </c>
      <c r="D189" s="736">
        <v>155483547</v>
      </c>
      <c r="E189" s="736">
        <v>40125526</v>
      </c>
      <c r="F189" s="737">
        <v>138438888</v>
      </c>
    </row>
    <row r="190" spans="1:12" x14ac:dyDescent="0.3">
      <c r="B190" s="733" t="s">
        <v>1901</v>
      </c>
      <c r="C190" s="736">
        <v>110455863</v>
      </c>
      <c r="D190" s="736">
        <v>993407611</v>
      </c>
      <c r="E190" s="736">
        <v>88696238</v>
      </c>
      <c r="F190" s="737">
        <v>-488185033</v>
      </c>
    </row>
    <row r="191" spans="1:12" x14ac:dyDescent="0.3">
      <c r="B191" s="733" t="s">
        <v>1902</v>
      </c>
      <c r="C191" s="734">
        <v>0</v>
      </c>
      <c r="D191" s="736">
        <v>12481818</v>
      </c>
      <c r="E191" s="734">
        <v>0</v>
      </c>
      <c r="F191" s="737">
        <v>1000</v>
      </c>
    </row>
    <row r="192" spans="1:12" x14ac:dyDescent="0.3">
      <c r="A192" s="153" t="s">
        <v>928</v>
      </c>
      <c r="B192" s="733" t="s">
        <v>1108</v>
      </c>
      <c r="C192" s="736">
        <v>1149901498</v>
      </c>
      <c r="D192" s="736">
        <v>2626625603</v>
      </c>
      <c r="E192" s="736">
        <v>1430102307</v>
      </c>
      <c r="F192" s="737">
        <v>4497557253</v>
      </c>
    </row>
    <row r="193" spans="2:6" x14ac:dyDescent="0.3">
      <c r="B193" s="733" t="s">
        <v>1109</v>
      </c>
      <c r="C193" s="736">
        <v>132472945</v>
      </c>
      <c r="D193" s="736">
        <v>294589357</v>
      </c>
      <c r="E193" s="736">
        <v>305505639</v>
      </c>
      <c r="F193" s="737">
        <v>827619250</v>
      </c>
    </row>
    <row r="194" spans="2:6" x14ac:dyDescent="0.3">
      <c r="B194" s="733" t="s">
        <v>1903</v>
      </c>
      <c r="C194" s="736">
        <v>68021712</v>
      </c>
      <c r="D194" s="736">
        <v>80553741</v>
      </c>
      <c r="E194" s="736">
        <v>29616347</v>
      </c>
      <c r="F194" s="737">
        <v>74476831</v>
      </c>
    </row>
    <row r="195" spans="2:6" x14ac:dyDescent="0.3">
      <c r="B195" s="733" t="s">
        <v>1904</v>
      </c>
      <c r="C195" s="734">
        <v>0</v>
      </c>
      <c r="D195" s="734">
        <v>0</v>
      </c>
      <c r="E195" s="734">
        <v>0</v>
      </c>
      <c r="F195" s="737">
        <v>313377860</v>
      </c>
    </row>
    <row r="196" spans="2:6" x14ac:dyDescent="0.3">
      <c r="B196" s="733" t="s">
        <v>1905</v>
      </c>
      <c r="C196" s="734">
        <v>0</v>
      </c>
      <c r="D196" s="734">
        <v>0</v>
      </c>
      <c r="E196" s="736">
        <v>300000</v>
      </c>
      <c r="F196" s="737">
        <v>808800</v>
      </c>
    </row>
    <row r="197" spans="2:6" x14ac:dyDescent="0.3">
      <c r="B197" s="733" t="s">
        <v>1906</v>
      </c>
      <c r="C197" s="736">
        <v>64451233</v>
      </c>
      <c r="D197" s="736">
        <v>214035616</v>
      </c>
      <c r="E197" s="736">
        <v>275589292</v>
      </c>
      <c r="F197" s="737">
        <v>438955759</v>
      </c>
    </row>
    <row r="198" spans="2:6" x14ac:dyDescent="0.3">
      <c r="B198" s="733" t="s">
        <v>1111</v>
      </c>
      <c r="C198" s="736">
        <v>137667869</v>
      </c>
      <c r="D198" s="736">
        <v>588560103</v>
      </c>
      <c r="E198" s="736">
        <v>715641300</v>
      </c>
      <c r="F198" s="737">
        <v>1541025334</v>
      </c>
    </row>
    <row r="199" spans="2:6" x14ac:dyDescent="0.3">
      <c r="B199" s="733" t="s">
        <v>1907</v>
      </c>
      <c r="C199" s="734">
        <v>0</v>
      </c>
      <c r="D199" s="736">
        <v>61678159</v>
      </c>
      <c r="E199" s="736">
        <v>16025000</v>
      </c>
      <c r="F199" s="737">
        <v>289071744</v>
      </c>
    </row>
    <row r="200" spans="2:6" x14ac:dyDescent="0.3">
      <c r="B200" s="733" t="s">
        <v>1908</v>
      </c>
      <c r="C200" s="734">
        <v>0</v>
      </c>
      <c r="D200" s="734">
        <v>0</v>
      </c>
      <c r="E200" s="734">
        <v>0</v>
      </c>
      <c r="F200" s="737">
        <v>1149583</v>
      </c>
    </row>
    <row r="201" spans="2:6" x14ac:dyDescent="0.3">
      <c r="B201" s="733" t="s">
        <v>1909</v>
      </c>
      <c r="C201" s="734">
        <v>0</v>
      </c>
      <c r="D201" s="734">
        <v>0</v>
      </c>
      <c r="E201" s="736">
        <v>16333333</v>
      </c>
      <c r="F201" s="737">
        <v>123249600</v>
      </c>
    </row>
    <row r="202" spans="2:6" x14ac:dyDescent="0.3">
      <c r="B202" s="733" t="s">
        <v>1910</v>
      </c>
      <c r="C202" s="736">
        <v>32853903</v>
      </c>
      <c r="D202" s="736">
        <v>32853903</v>
      </c>
      <c r="E202" s="734">
        <v>0</v>
      </c>
      <c r="F202" s="737">
        <v>35693076</v>
      </c>
    </row>
    <row r="203" spans="2:6" x14ac:dyDescent="0.3">
      <c r="B203" s="733" t="s">
        <v>1911</v>
      </c>
      <c r="C203" s="734">
        <v>0</v>
      </c>
      <c r="D203" s="734">
        <v>0</v>
      </c>
      <c r="E203" s="734">
        <v>0</v>
      </c>
      <c r="F203" s="737">
        <v>163232</v>
      </c>
    </row>
    <row r="204" spans="2:6" x14ac:dyDescent="0.3">
      <c r="B204" s="733" t="s">
        <v>1912</v>
      </c>
      <c r="C204" s="734">
        <v>0</v>
      </c>
      <c r="D204" s="734">
        <v>0</v>
      </c>
      <c r="E204" s="736">
        <v>163725490</v>
      </c>
      <c r="F204" s="737">
        <v>163725490</v>
      </c>
    </row>
    <row r="205" spans="2:6" x14ac:dyDescent="0.3">
      <c r="B205" s="733" t="s">
        <v>1913</v>
      </c>
      <c r="C205" s="734">
        <v>0</v>
      </c>
      <c r="D205" s="734">
        <v>0</v>
      </c>
      <c r="E205" s="736">
        <v>46157</v>
      </c>
      <c r="F205" s="737">
        <v>1266419</v>
      </c>
    </row>
    <row r="206" spans="2:6" x14ac:dyDescent="0.3">
      <c r="B206" s="733" t="s">
        <v>1914</v>
      </c>
      <c r="C206" s="734">
        <v>0</v>
      </c>
      <c r="D206" s="734">
        <v>0</v>
      </c>
      <c r="E206" s="736">
        <v>240364032</v>
      </c>
      <c r="F206" s="737">
        <v>240364032</v>
      </c>
    </row>
    <row r="207" spans="2:6" x14ac:dyDescent="0.3">
      <c r="B207" s="733" t="s">
        <v>1915</v>
      </c>
      <c r="C207" s="736">
        <v>70820049</v>
      </c>
      <c r="D207" s="736">
        <v>375805039</v>
      </c>
      <c r="E207" s="736">
        <v>158380811</v>
      </c>
      <c r="F207" s="737">
        <v>473119809</v>
      </c>
    </row>
    <row r="208" spans="2:6" x14ac:dyDescent="0.3">
      <c r="B208" s="733" t="s">
        <v>1916</v>
      </c>
      <c r="C208" s="736">
        <v>3500000</v>
      </c>
      <c r="D208" s="736">
        <v>3500000</v>
      </c>
      <c r="E208" s="736">
        <v>1500000</v>
      </c>
      <c r="F208" s="737">
        <v>1500000</v>
      </c>
    </row>
    <row r="209" spans="2:6" x14ac:dyDescent="0.3">
      <c r="B209" s="733" t="s">
        <v>1917</v>
      </c>
      <c r="C209" s="736">
        <v>30493917</v>
      </c>
      <c r="D209" s="736">
        <v>114723002</v>
      </c>
      <c r="E209" s="736">
        <v>119266477</v>
      </c>
      <c r="F209" s="737">
        <v>211722349</v>
      </c>
    </row>
    <row r="210" spans="2:6" x14ac:dyDescent="0.3">
      <c r="B210" s="733" t="s">
        <v>1110</v>
      </c>
      <c r="C210" s="736">
        <v>834887103</v>
      </c>
      <c r="D210" s="736">
        <v>4964385710</v>
      </c>
      <c r="E210" s="736">
        <v>2474093237</v>
      </c>
      <c r="F210" s="737">
        <v>5698765953</v>
      </c>
    </row>
    <row r="211" spans="2:6" x14ac:dyDescent="0.3">
      <c r="B211" s="733" t="s">
        <v>1918</v>
      </c>
      <c r="C211" s="736">
        <v>127667987</v>
      </c>
      <c r="D211" s="736">
        <v>229629473</v>
      </c>
      <c r="E211" s="736">
        <v>176899284</v>
      </c>
      <c r="F211" s="737">
        <v>520184019</v>
      </c>
    </row>
    <row r="212" spans="2:6" x14ac:dyDescent="0.3">
      <c r="B212" s="733" t="s">
        <v>1919</v>
      </c>
      <c r="C212" s="736">
        <v>296439</v>
      </c>
      <c r="D212" s="736">
        <v>1376233</v>
      </c>
      <c r="E212" s="736">
        <v>-239499826</v>
      </c>
      <c r="F212" s="735">
        <v>0</v>
      </c>
    </row>
    <row r="213" spans="2:6" x14ac:dyDescent="0.3">
      <c r="B213" s="733" t="s">
        <v>1920</v>
      </c>
      <c r="C213" s="734">
        <v>0</v>
      </c>
      <c r="D213" s="736">
        <v>7150</v>
      </c>
      <c r="E213" s="734">
        <v>0</v>
      </c>
      <c r="F213" s="737">
        <v>7150</v>
      </c>
    </row>
    <row r="214" spans="2:6" x14ac:dyDescent="0.3">
      <c r="B214" s="733" t="s">
        <v>1921</v>
      </c>
      <c r="C214" s="736">
        <v>-198403426</v>
      </c>
      <c r="D214" s="736">
        <v>346339194</v>
      </c>
      <c r="E214" s="736">
        <v>1001582726</v>
      </c>
      <c r="F214" s="737">
        <v>1891256080</v>
      </c>
    </row>
    <row r="215" spans="2:6" x14ac:dyDescent="0.3">
      <c r="B215" s="733" t="s">
        <v>1922</v>
      </c>
      <c r="C215" s="736">
        <v>453325549</v>
      </c>
      <c r="D215" s="736">
        <v>3493355423</v>
      </c>
      <c r="E215" s="736">
        <v>1489633583</v>
      </c>
      <c r="F215" s="737">
        <v>2667107129</v>
      </c>
    </row>
    <row r="216" spans="2:6" x14ac:dyDescent="0.3">
      <c r="B216" s="733" t="s">
        <v>1923</v>
      </c>
      <c r="C216" s="736">
        <v>141770554</v>
      </c>
      <c r="D216" s="736">
        <v>278828237</v>
      </c>
      <c r="E216" s="736">
        <v>63065470</v>
      </c>
      <c r="F216" s="737">
        <v>580291575</v>
      </c>
    </row>
    <row r="217" spans="2:6" x14ac:dyDescent="0.3">
      <c r="B217" s="733" t="s">
        <v>1924</v>
      </c>
      <c r="C217" s="736">
        <v>310230000</v>
      </c>
      <c r="D217" s="736">
        <v>614850000</v>
      </c>
      <c r="E217" s="736">
        <v>-17588000</v>
      </c>
      <c r="F217" s="737">
        <v>39920000</v>
      </c>
    </row>
    <row r="218" spans="2:6" x14ac:dyDescent="0.3">
      <c r="B218" s="733" t="s">
        <v>1114</v>
      </c>
      <c r="C218" s="736">
        <v>1864767623</v>
      </c>
      <c r="D218" s="736">
        <v>6902033944</v>
      </c>
      <c r="E218" s="736">
        <v>719595881</v>
      </c>
      <c r="F218" s="737">
        <v>4453391618</v>
      </c>
    </row>
    <row r="219" spans="2:6" x14ac:dyDescent="0.3">
      <c r="B219" s="733" t="s">
        <v>1925</v>
      </c>
      <c r="C219" s="736">
        <v>1191806705</v>
      </c>
      <c r="D219" s="736">
        <v>3278069725</v>
      </c>
      <c r="E219" s="736">
        <v>156655733</v>
      </c>
      <c r="F219" s="737">
        <v>1974995050</v>
      </c>
    </row>
    <row r="220" spans="2:6" x14ac:dyDescent="0.3">
      <c r="B220" s="733" t="s">
        <v>1926</v>
      </c>
      <c r="C220" s="736">
        <v>304492675</v>
      </c>
      <c r="D220" s="736">
        <v>777301517</v>
      </c>
      <c r="E220" s="736">
        <v>-53360563</v>
      </c>
      <c r="F220" s="737">
        <v>5402229</v>
      </c>
    </row>
    <row r="221" spans="2:6" x14ac:dyDescent="0.3">
      <c r="B221" s="733" t="s">
        <v>1927</v>
      </c>
      <c r="C221" s="736">
        <v>298662207</v>
      </c>
      <c r="D221" s="736">
        <v>1050438454</v>
      </c>
      <c r="E221" s="736">
        <v>319715108</v>
      </c>
      <c r="F221" s="737">
        <v>1869918449</v>
      </c>
    </row>
    <row r="222" spans="2:6" x14ac:dyDescent="0.3">
      <c r="B222" s="733" t="s">
        <v>1928</v>
      </c>
      <c r="C222" s="736">
        <v>98206036</v>
      </c>
      <c r="D222" s="736">
        <v>1549024248</v>
      </c>
      <c r="E222" s="736">
        <v>203124603</v>
      </c>
      <c r="F222" s="737">
        <v>508814890</v>
      </c>
    </row>
    <row r="223" spans="2:6" x14ac:dyDescent="0.3">
      <c r="B223" s="733" t="s">
        <v>1929</v>
      </c>
      <c r="C223" s="736">
        <v>-28400000</v>
      </c>
      <c r="D223" s="736">
        <v>247200000</v>
      </c>
      <c r="E223" s="736">
        <v>93461000</v>
      </c>
      <c r="F223" s="737">
        <v>94261000</v>
      </c>
    </row>
    <row r="224" spans="2:6" x14ac:dyDescent="0.3">
      <c r="B224" s="733" t="s">
        <v>1116</v>
      </c>
      <c r="C224" s="736">
        <v>114826054</v>
      </c>
      <c r="D224" s="736">
        <v>395006623</v>
      </c>
      <c r="E224" s="736">
        <v>2774464002</v>
      </c>
      <c r="F224" s="737">
        <v>5029525504</v>
      </c>
    </row>
    <row r="225" spans="1:6" x14ac:dyDescent="0.3">
      <c r="B225" s="733" t="s">
        <v>1117</v>
      </c>
      <c r="C225" s="736">
        <v>129009845</v>
      </c>
      <c r="D225" s="736">
        <v>795214188</v>
      </c>
      <c r="E225" s="736">
        <v>759184309</v>
      </c>
      <c r="F225" s="737">
        <v>1815443278</v>
      </c>
    </row>
    <row r="226" spans="1:6" x14ac:dyDescent="0.3">
      <c r="B226" s="733" t="s">
        <v>1862</v>
      </c>
      <c r="C226" s="736">
        <v>-14183791</v>
      </c>
      <c r="D226" s="736">
        <v>-400207565</v>
      </c>
      <c r="E226" s="736">
        <v>2015279693</v>
      </c>
      <c r="F226" s="737">
        <v>3214082226</v>
      </c>
    </row>
    <row r="227" spans="1:6" x14ac:dyDescent="0.3">
      <c r="B227" s="733" t="s">
        <v>1864</v>
      </c>
      <c r="C227" s="736">
        <v>-129960</v>
      </c>
      <c r="D227" s="736">
        <v>49610803</v>
      </c>
      <c r="E227" s="736">
        <v>-340751143</v>
      </c>
      <c r="F227" s="737">
        <v>-279481588</v>
      </c>
    </row>
    <row r="228" spans="1:6" x14ac:dyDescent="0.3">
      <c r="A228" s="153" t="s">
        <v>861</v>
      </c>
      <c r="B228" s="733" t="s">
        <v>1119</v>
      </c>
      <c r="C228" s="736">
        <v>-14313751</v>
      </c>
      <c r="D228" s="736">
        <v>-350596762</v>
      </c>
      <c r="E228" s="736">
        <v>1674528550</v>
      </c>
      <c r="F228" s="737">
        <v>2934600638</v>
      </c>
    </row>
    <row r="229" spans="1:6" x14ac:dyDescent="0.3">
      <c r="B229" s="733" t="s">
        <v>1120</v>
      </c>
      <c r="C229" s="736">
        <v>-1175460</v>
      </c>
      <c r="D229" s="736">
        <v>20363381</v>
      </c>
      <c r="E229" s="736">
        <v>30376877</v>
      </c>
      <c r="F229" s="737">
        <v>19004752</v>
      </c>
    </row>
    <row r="230" spans="1:6" x14ac:dyDescent="0.3">
      <c r="B230" s="733" t="s">
        <v>1122</v>
      </c>
      <c r="C230" s="734">
        <v>0</v>
      </c>
      <c r="D230" s="736">
        <v>7928815</v>
      </c>
      <c r="E230" s="734">
        <v>0</v>
      </c>
      <c r="F230" s="735">
        <v>0</v>
      </c>
    </row>
    <row r="231" spans="1:6" x14ac:dyDescent="0.3">
      <c r="B231" s="733" t="s">
        <v>1124</v>
      </c>
      <c r="C231" s="734">
        <v>0</v>
      </c>
      <c r="D231" s="736">
        <v>7928815</v>
      </c>
      <c r="E231" s="734">
        <v>0</v>
      </c>
      <c r="F231" s="735">
        <v>0</v>
      </c>
    </row>
    <row r="232" spans="1:6" x14ac:dyDescent="0.3">
      <c r="B232" s="733" t="s">
        <v>1127</v>
      </c>
      <c r="C232" s="736">
        <v>-1175460</v>
      </c>
      <c r="D232" s="736">
        <v>12434566</v>
      </c>
      <c r="E232" s="736">
        <v>30376877</v>
      </c>
      <c r="F232" s="737">
        <v>19004752</v>
      </c>
    </row>
    <row r="233" spans="1:6" x14ac:dyDescent="0.3">
      <c r="B233" s="733" t="s">
        <v>1131</v>
      </c>
      <c r="C233" s="734">
        <v>0</v>
      </c>
      <c r="D233" s="734">
        <v>0</v>
      </c>
      <c r="E233" s="736">
        <v>28938377</v>
      </c>
      <c r="F233" s="737">
        <v>17566252</v>
      </c>
    </row>
    <row r="234" spans="1:6" x14ac:dyDescent="0.3">
      <c r="B234" s="733" t="s">
        <v>1129</v>
      </c>
      <c r="C234" s="736">
        <v>-1175460</v>
      </c>
      <c r="D234" s="736">
        <v>3312660</v>
      </c>
      <c r="E234" s="736">
        <v>1438500</v>
      </c>
      <c r="F234" s="737">
        <v>1438500</v>
      </c>
    </row>
    <row r="235" spans="1:6" x14ac:dyDescent="0.3">
      <c r="B235" s="733" t="s">
        <v>1930</v>
      </c>
      <c r="C235" s="734">
        <v>0</v>
      </c>
      <c r="D235" s="736">
        <v>9121906</v>
      </c>
      <c r="E235" s="734">
        <v>0</v>
      </c>
      <c r="F235" s="735">
        <v>0</v>
      </c>
    </row>
    <row r="236" spans="1:6" x14ac:dyDescent="0.3">
      <c r="B236" s="733" t="s">
        <v>1133</v>
      </c>
      <c r="C236" s="736">
        <v>-15489211</v>
      </c>
      <c r="D236" s="736">
        <v>-330233381</v>
      </c>
      <c r="E236" s="736">
        <v>1704905427</v>
      </c>
      <c r="F236" s="737">
        <v>2953605390</v>
      </c>
    </row>
    <row r="237" spans="1:6" x14ac:dyDescent="0.3">
      <c r="B237" s="733" t="s">
        <v>1134</v>
      </c>
      <c r="C237" s="734"/>
      <c r="D237" s="734"/>
      <c r="E237" s="734"/>
      <c r="F237" s="735"/>
    </row>
    <row r="238" spans="1:6" x14ac:dyDescent="0.3">
      <c r="B238" s="733" t="s">
        <v>1136</v>
      </c>
      <c r="C238" s="736">
        <v>79007367</v>
      </c>
      <c r="D238" s="736">
        <v>-273586230</v>
      </c>
      <c r="E238" s="736">
        <v>1613361794</v>
      </c>
      <c r="F238" s="737">
        <v>2879875415</v>
      </c>
    </row>
    <row r="239" spans="1:6" x14ac:dyDescent="0.3">
      <c r="B239" s="733" t="s">
        <v>1137</v>
      </c>
      <c r="C239" s="736">
        <v>-93321118</v>
      </c>
      <c r="D239" s="736">
        <v>-77010532</v>
      </c>
      <c r="E239" s="736">
        <v>61166756</v>
      </c>
      <c r="F239" s="737">
        <v>54725223</v>
      </c>
    </row>
    <row r="240" spans="1:6" x14ac:dyDescent="0.3">
      <c r="B240" s="733" t="s">
        <v>1139</v>
      </c>
      <c r="C240" s="734"/>
      <c r="D240" s="734"/>
      <c r="E240" s="734"/>
      <c r="F240" s="735"/>
    </row>
    <row r="241" spans="2:12" x14ac:dyDescent="0.3">
      <c r="B241" s="733" t="s">
        <v>1140</v>
      </c>
      <c r="C241" s="736">
        <v>77831907</v>
      </c>
      <c r="D241" s="736">
        <v>-255187340</v>
      </c>
      <c r="E241" s="736">
        <v>1643738671</v>
      </c>
      <c r="F241" s="737">
        <v>2898880167</v>
      </c>
    </row>
    <row r="242" spans="2:12" x14ac:dyDescent="0.3">
      <c r="B242" s="733" t="s">
        <v>1142</v>
      </c>
      <c r="C242" s="736">
        <v>-93321118</v>
      </c>
      <c r="D242" s="736">
        <v>-75046041</v>
      </c>
      <c r="E242" s="736">
        <v>61166756</v>
      </c>
      <c r="F242" s="737">
        <v>54725223</v>
      </c>
    </row>
    <row r="243" spans="2:12" x14ac:dyDescent="0.3">
      <c r="B243" s="733" t="s">
        <v>1143</v>
      </c>
      <c r="C243" s="734"/>
      <c r="D243" s="734"/>
      <c r="E243" s="734"/>
      <c r="F243" s="735"/>
    </row>
    <row r="244" spans="2:12" x14ac:dyDescent="0.3">
      <c r="B244" s="733" t="s">
        <v>1144</v>
      </c>
      <c r="C244" s="734">
        <v>7</v>
      </c>
      <c r="D244" s="734">
        <v>-24</v>
      </c>
      <c r="E244" s="734">
        <v>143</v>
      </c>
      <c r="F244" s="735">
        <v>255</v>
      </c>
    </row>
    <row r="245" spans="2:12" x14ac:dyDescent="0.3">
      <c r="B245" s="733" t="s">
        <v>1887</v>
      </c>
      <c r="C245" s="734">
        <v>7</v>
      </c>
      <c r="D245" s="734">
        <v>5</v>
      </c>
      <c r="E245" s="734">
        <v>177</v>
      </c>
      <c r="F245" s="735">
        <v>285</v>
      </c>
    </row>
    <row r="246" spans="2:12" x14ac:dyDescent="0.3">
      <c r="B246" s="733" t="s">
        <v>1889</v>
      </c>
      <c r="C246" s="734">
        <v>0</v>
      </c>
      <c r="D246" s="734">
        <v>-29</v>
      </c>
      <c r="E246" s="734">
        <v>-34</v>
      </c>
      <c r="F246" s="735">
        <v>-30</v>
      </c>
    </row>
    <row r="247" spans="2:12" x14ac:dyDescent="0.3">
      <c r="B247" s="733" t="s">
        <v>1145</v>
      </c>
      <c r="C247" s="734">
        <v>7</v>
      </c>
      <c r="D247" s="734">
        <v>-24</v>
      </c>
      <c r="E247" s="734">
        <v>143</v>
      </c>
      <c r="F247" s="735">
        <v>255</v>
      </c>
    </row>
    <row r="248" spans="2:12" x14ac:dyDescent="0.3">
      <c r="B248" s="733" t="s">
        <v>1892</v>
      </c>
      <c r="C248" s="734">
        <v>7</v>
      </c>
      <c r="D248" s="734">
        <v>5</v>
      </c>
      <c r="E248" s="734">
        <v>177</v>
      </c>
      <c r="F248" s="735">
        <v>285</v>
      </c>
    </row>
    <row r="249" spans="2:12" x14ac:dyDescent="0.3">
      <c r="B249" s="738" t="s">
        <v>1894</v>
      </c>
      <c r="C249" s="745">
        <v>0</v>
      </c>
      <c r="D249" s="745">
        <v>-29</v>
      </c>
      <c r="E249" s="745">
        <v>-34</v>
      </c>
      <c r="F249" s="746">
        <v>-30</v>
      </c>
    </row>
    <row r="253" spans="2:12" x14ac:dyDescent="0.3">
      <c r="B253" s="741" t="s">
        <v>971</v>
      </c>
      <c r="C253" s="727"/>
      <c r="D253" s="727"/>
      <c r="I253" s="782" t="s">
        <v>971</v>
      </c>
      <c r="J253" s="158"/>
      <c r="K253" s="158"/>
      <c r="L253" s="158"/>
    </row>
    <row r="254" spans="2:12" x14ac:dyDescent="0.3">
      <c r="B254" s="742" t="s">
        <v>1838</v>
      </c>
      <c r="C254" s="727"/>
      <c r="D254" s="727"/>
      <c r="I254" s="783" t="s">
        <v>1839</v>
      </c>
      <c r="J254" s="158"/>
      <c r="K254" s="158"/>
      <c r="L254" s="158"/>
    </row>
    <row r="255" spans="2:12" x14ac:dyDescent="0.3">
      <c r="B255" s="742" t="s">
        <v>1840</v>
      </c>
      <c r="C255" s="727"/>
      <c r="D255" s="727"/>
      <c r="I255" s="783" t="s">
        <v>1841</v>
      </c>
      <c r="J255" s="158"/>
      <c r="K255" s="158"/>
      <c r="L255" s="158"/>
    </row>
    <row r="256" spans="2:12" x14ac:dyDescent="0.3">
      <c r="B256" s="729" t="s">
        <v>865</v>
      </c>
      <c r="C256" s="727"/>
      <c r="D256" s="727"/>
      <c r="I256" s="783" t="s">
        <v>1842</v>
      </c>
      <c r="J256" s="158"/>
      <c r="K256" s="158"/>
      <c r="L256" s="158"/>
    </row>
    <row r="257" spans="2:12" x14ac:dyDescent="0.3">
      <c r="B257" s="730"/>
      <c r="C257" s="731" t="s">
        <v>1843</v>
      </c>
      <c r="D257" s="732" t="s">
        <v>1844</v>
      </c>
      <c r="I257" s="784" t="s">
        <v>865</v>
      </c>
      <c r="J257" s="158"/>
      <c r="K257" s="158"/>
      <c r="L257" s="158"/>
    </row>
    <row r="258" spans="2:12" x14ac:dyDescent="0.3">
      <c r="B258" s="733" t="s">
        <v>1146</v>
      </c>
      <c r="C258" s="736">
        <v>-22454233414</v>
      </c>
      <c r="D258" s="737">
        <v>-797905595</v>
      </c>
      <c r="I258" s="750"/>
      <c r="J258" s="751" t="s">
        <v>1845</v>
      </c>
      <c r="K258" s="751" t="s">
        <v>1846</v>
      </c>
      <c r="L258" s="752" t="s">
        <v>1847</v>
      </c>
    </row>
    <row r="259" spans="2:12" x14ac:dyDescent="0.3">
      <c r="B259" s="733" t="s">
        <v>1147</v>
      </c>
      <c r="C259" s="736">
        <v>-350596762</v>
      </c>
      <c r="D259" s="737">
        <v>2934600638</v>
      </c>
      <c r="I259" s="755" t="s">
        <v>1146</v>
      </c>
      <c r="J259" s="756">
        <v>2182501347</v>
      </c>
      <c r="K259" s="756">
        <v>30590306775</v>
      </c>
      <c r="L259" s="757">
        <v>-24405550582</v>
      </c>
    </row>
    <row r="260" spans="2:12" x14ac:dyDescent="0.3">
      <c r="B260" s="733" t="s">
        <v>1148</v>
      </c>
      <c r="C260" s="736">
        <v>7539197801</v>
      </c>
      <c r="D260" s="737">
        <v>5044339369</v>
      </c>
      <c r="I260" s="755" t="s">
        <v>1931</v>
      </c>
      <c r="J260" s="756">
        <v>5525909981</v>
      </c>
      <c r="K260" s="756">
        <v>37599981051</v>
      </c>
      <c r="L260" s="757">
        <v>-19380271943</v>
      </c>
    </row>
    <row r="261" spans="2:12" x14ac:dyDescent="0.3">
      <c r="B261" s="733" t="s">
        <v>1153</v>
      </c>
      <c r="C261" s="736">
        <v>795214188</v>
      </c>
      <c r="D261" s="737">
        <v>1155970201</v>
      </c>
      <c r="I261" s="755" t="s">
        <v>1209</v>
      </c>
      <c r="J261" s="756">
        <v>118632752</v>
      </c>
      <c r="K261" s="756">
        <v>281223232</v>
      </c>
      <c r="L261" s="757">
        <v>441656303</v>
      </c>
    </row>
    <row r="262" spans="2:12" x14ac:dyDescent="0.3">
      <c r="B262" s="733" t="s">
        <v>1932</v>
      </c>
      <c r="C262" s="736">
        <v>30000274</v>
      </c>
      <c r="D262" s="735">
        <v>0</v>
      </c>
      <c r="I262" s="755" t="s">
        <v>1211</v>
      </c>
      <c r="J262" s="756">
        <v>-3805776739</v>
      </c>
      <c r="K262" s="756">
        <v>-4158497004</v>
      </c>
      <c r="L262" s="757">
        <v>-4274563693</v>
      </c>
    </row>
    <row r="263" spans="2:12" x14ac:dyDescent="0.3">
      <c r="B263" s="733" t="s">
        <v>1161</v>
      </c>
      <c r="C263" s="736">
        <v>47754600</v>
      </c>
      <c r="D263" s="737">
        <v>61750766</v>
      </c>
      <c r="I263" s="755" t="s">
        <v>1210</v>
      </c>
      <c r="J263" s="756">
        <v>7150</v>
      </c>
      <c r="K263" s="756">
        <v>607150</v>
      </c>
      <c r="L263" s="757">
        <v>7150</v>
      </c>
    </row>
    <row r="264" spans="2:12" x14ac:dyDescent="0.3">
      <c r="B264" s="733" t="s">
        <v>1300</v>
      </c>
      <c r="C264" s="736">
        <v>213305307</v>
      </c>
      <c r="D264" s="737">
        <v>906710041</v>
      </c>
      <c r="I264" s="755" t="s">
        <v>1503</v>
      </c>
      <c r="J264" s="756">
        <v>343728203</v>
      </c>
      <c r="K264" s="756">
        <v>-3133007654</v>
      </c>
      <c r="L264" s="757">
        <v>-1192378399</v>
      </c>
    </row>
    <row r="265" spans="2:12" x14ac:dyDescent="0.3">
      <c r="B265" s="733" t="s">
        <v>1301</v>
      </c>
      <c r="C265" s="734">
        <v>0</v>
      </c>
      <c r="D265" s="737">
        <v>240364032</v>
      </c>
      <c r="I265" s="755" t="s">
        <v>1160</v>
      </c>
      <c r="J265" s="756">
        <v>-9461686886</v>
      </c>
      <c r="K265" s="756">
        <v>-533476678</v>
      </c>
      <c r="L265" s="757">
        <v>-2359363352</v>
      </c>
    </row>
    <row r="266" spans="2:12" x14ac:dyDescent="0.3">
      <c r="B266" s="733" t="s">
        <v>1163</v>
      </c>
      <c r="C266" s="736">
        <v>3262364147</v>
      </c>
      <c r="D266" s="737">
        <v>3779505392</v>
      </c>
      <c r="I266" s="755" t="s">
        <v>1933</v>
      </c>
      <c r="J266" s="758">
        <v>0</v>
      </c>
      <c r="K266" s="756">
        <v>203592492</v>
      </c>
      <c r="L266" s="757">
        <v>1100875000</v>
      </c>
    </row>
    <row r="267" spans="2:12" x14ac:dyDescent="0.3">
      <c r="B267" s="733" t="s">
        <v>1934</v>
      </c>
      <c r="C267" s="736">
        <v>11509693</v>
      </c>
      <c r="D267" s="737">
        <v>11278881</v>
      </c>
      <c r="I267" s="755" t="s">
        <v>1505</v>
      </c>
      <c r="J267" s="758">
        <v>0</v>
      </c>
      <c r="K267" s="756">
        <v>528360732</v>
      </c>
      <c r="L267" s="757">
        <v>900009880</v>
      </c>
    </row>
    <row r="268" spans="2:12" x14ac:dyDescent="0.3">
      <c r="B268" s="733" t="s">
        <v>1165</v>
      </c>
      <c r="C268" s="736">
        <v>175483467</v>
      </c>
      <c r="D268" s="737">
        <v>57773477</v>
      </c>
      <c r="I268" s="755" t="s">
        <v>1935</v>
      </c>
      <c r="J268" s="756">
        <v>623513242</v>
      </c>
      <c r="K268" s="758">
        <v>0</v>
      </c>
      <c r="L268" s="759">
        <v>0</v>
      </c>
    </row>
    <row r="269" spans="2:12" x14ac:dyDescent="0.3">
      <c r="B269" s="733" t="s">
        <v>1169</v>
      </c>
      <c r="C269" s="736">
        <v>777301517</v>
      </c>
      <c r="D269" s="737">
        <v>5022372</v>
      </c>
      <c r="I269" s="755" t="s">
        <v>1936</v>
      </c>
      <c r="J269" s="756">
        <v>68397000</v>
      </c>
      <c r="K269" s="756">
        <v>284313990</v>
      </c>
      <c r="L269" s="759">
        <v>0</v>
      </c>
    </row>
    <row r="270" spans="2:12" x14ac:dyDescent="0.3">
      <c r="B270" s="733" t="s">
        <v>1307</v>
      </c>
      <c r="C270" s="734">
        <v>0</v>
      </c>
      <c r="D270" s="737">
        <v>688228885</v>
      </c>
      <c r="I270" s="755" t="s">
        <v>1937</v>
      </c>
      <c r="J270" s="758">
        <v>0</v>
      </c>
      <c r="K270" s="756">
        <v>34906490</v>
      </c>
      <c r="L270" s="757">
        <v>86582070</v>
      </c>
    </row>
    <row r="271" spans="2:12" x14ac:dyDescent="0.3">
      <c r="B271" s="733" t="s">
        <v>1185</v>
      </c>
      <c r="C271" s="736">
        <v>94532062</v>
      </c>
      <c r="D271" s="737">
        <v>477395541</v>
      </c>
      <c r="I271" s="755" t="s">
        <v>1938</v>
      </c>
      <c r="J271" s="758">
        <v>0</v>
      </c>
      <c r="K271" s="758">
        <v>0</v>
      </c>
      <c r="L271" s="759">
        <v>0</v>
      </c>
    </row>
    <row r="272" spans="2:12" x14ac:dyDescent="0.3">
      <c r="B272" s="733" t="s">
        <v>1316</v>
      </c>
      <c r="C272" s="734">
        <v>0</v>
      </c>
      <c r="D272" s="737">
        <v>1149583</v>
      </c>
      <c r="I272" s="755" t="s">
        <v>1174</v>
      </c>
      <c r="J272" s="756">
        <v>2995041400</v>
      </c>
      <c r="K272" s="756">
        <v>499147500</v>
      </c>
      <c r="L272" s="757">
        <v>609682511</v>
      </c>
    </row>
    <row r="273" spans="2:12" x14ac:dyDescent="0.3">
      <c r="B273" s="733" t="s">
        <v>1319</v>
      </c>
      <c r="C273" s="734">
        <v>0</v>
      </c>
      <c r="D273" s="737">
        <v>123249600</v>
      </c>
      <c r="I273" s="755" t="s">
        <v>1214</v>
      </c>
      <c r="J273" s="758">
        <v>0</v>
      </c>
      <c r="K273" s="756">
        <v>185373336</v>
      </c>
      <c r="L273" s="757">
        <v>4524786</v>
      </c>
    </row>
    <row r="274" spans="2:12" x14ac:dyDescent="0.3">
      <c r="B274" s="733" t="s">
        <v>1939</v>
      </c>
      <c r="C274" s="736">
        <v>1548417959</v>
      </c>
      <c r="D274" s="737">
        <v>508814890</v>
      </c>
      <c r="I274" s="755" t="s">
        <v>1940</v>
      </c>
      <c r="J274" s="756">
        <v>6457248</v>
      </c>
      <c r="K274" s="758">
        <v>0</v>
      </c>
      <c r="L274" s="759">
        <v>0</v>
      </c>
    </row>
    <row r="275" spans="2:12" x14ac:dyDescent="0.3">
      <c r="B275" s="733" t="s">
        <v>1941</v>
      </c>
      <c r="C275" s="736">
        <v>247200000</v>
      </c>
      <c r="D275" s="737">
        <v>94261000</v>
      </c>
      <c r="I275" s="755" t="s">
        <v>1170</v>
      </c>
      <c r="J275" s="756">
        <v>2033322773</v>
      </c>
      <c r="K275" s="756">
        <v>2638693642</v>
      </c>
      <c r="L275" s="757">
        <v>154693750</v>
      </c>
    </row>
    <row r="276" spans="2:12" x14ac:dyDescent="0.3">
      <c r="B276" s="733" t="s">
        <v>1942</v>
      </c>
      <c r="C276" s="734">
        <v>0</v>
      </c>
      <c r="D276" s="737">
        <v>-587584255</v>
      </c>
      <c r="I276" s="755" t="s">
        <v>1943</v>
      </c>
      <c r="J276" s="756">
        <v>-353250000</v>
      </c>
      <c r="K276" s="756">
        <v>-556842492</v>
      </c>
      <c r="L276" s="757">
        <v>-686048460</v>
      </c>
    </row>
    <row r="277" spans="2:12" x14ac:dyDescent="0.3">
      <c r="B277" s="733" t="s">
        <v>1944</v>
      </c>
      <c r="C277" s="734">
        <v>0</v>
      </c>
      <c r="D277" s="737">
        <v>35684253</v>
      </c>
      <c r="I277" s="755" t="s">
        <v>1188</v>
      </c>
      <c r="J277" s="756">
        <v>-946800000</v>
      </c>
      <c r="K277" s="756">
        <v>-1156020000</v>
      </c>
      <c r="L277" s="757">
        <v>-1573946307</v>
      </c>
    </row>
    <row r="278" spans="2:12" x14ac:dyDescent="0.3">
      <c r="B278" s="733" t="s">
        <v>1189</v>
      </c>
      <c r="C278" s="736">
        <v>381852202</v>
      </c>
      <c r="D278" s="735">
        <v>0</v>
      </c>
      <c r="I278" s="755" t="s">
        <v>1631</v>
      </c>
      <c r="J278" s="756">
        <v>-8502308975</v>
      </c>
      <c r="K278" s="758">
        <v>0</v>
      </c>
      <c r="L278" s="757">
        <v>-470000000</v>
      </c>
    </row>
    <row r="279" spans="2:12" x14ac:dyDescent="0.3">
      <c r="B279" s="733" t="s">
        <v>1159</v>
      </c>
      <c r="C279" s="736">
        <v>3278069725</v>
      </c>
      <c r="D279" s="737">
        <v>735775585</v>
      </c>
      <c r="I279" s="755" t="s">
        <v>1219</v>
      </c>
      <c r="J279" s="758">
        <v>0</v>
      </c>
      <c r="K279" s="756">
        <v>-200000000</v>
      </c>
      <c r="L279" s="759">
        <v>0</v>
      </c>
    </row>
    <row r="280" spans="2:12" x14ac:dyDescent="0.3">
      <c r="B280" s="733" t="s">
        <v>1191</v>
      </c>
      <c r="C280" s="734">
        <v>0</v>
      </c>
      <c r="D280" s="737">
        <v>9640076</v>
      </c>
      <c r="I280" s="755" t="s">
        <v>1218</v>
      </c>
      <c r="J280" s="756">
        <v>-400000000</v>
      </c>
      <c r="K280" s="756">
        <v>-19284990</v>
      </c>
      <c r="L280" s="757">
        <v>-286401360</v>
      </c>
    </row>
    <row r="281" spans="2:12" x14ac:dyDescent="0.3">
      <c r="B281" s="733" t="s">
        <v>1945</v>
      </c>
      <c r="C281" s="736">
        <v>-278828237</v>
      </c>
      <c r="D281" s="737">
        <v>-580291575</v>
      </c>
      <c r="I281" s="755" t="s">
        <v>1221</v>
      </c>
      <c r="J281" s="758">
        <v>0</v>
      </c>
      <c r="K281" s="758">
        <v>0</v>
      </c>
      <c r="L281" s="757">
        <v>-10979084</v>
      </c>
    </row>
    <row r="282" spans="2:12" x14ac:dyDescent="0.3">
      <c r="B282" s="733" t="s">
        <v>1193</v>
      </c>
      <c r="C282" s="736">
        <v>-614850000</v>
      </c>
      <c r="D282" s="737">
        <v>-39920000</v>
      </c>
      <c r="I282" s="755" t="s">
        <v>1946</v>
      </c>
      <c r="J282" s="758">
        <v>0</v>
      </c>
      <c r="K282" s="758">
        <v>0</v>
      </c>
      <c r="L282" s="759">
        <v>0</v>
      </c>
    </row>
    <row r="283" spans="2:12" x14ac:dyDescent="0.3">
      <c r="B283" s="733" t="s">
        <v>1947</v>
      </c>
      <c r="C283" s="736">
        <v>-1376233</v>
      </c>
      <c r="D283" s="735">
        <v>0</v>
      </c>
      <c r="I283" s="755" t="s">
        <v>1186</v>
      </c>
      <c r="J283" s="756">
        <v>-4776659574</v>
      </c>
      <c r="K283" s="756">
        <v>-2945717378</v>
      </c>
      <c r="L283" s="757">
        <v>-2058083411</v>
      </c>
    </row>
    <row r="284" spans="2:12" x14ac:dyDescent="0.3">
      <c r="B284" s="733" t="s">
        <v>1167</v>
      </c>
      <c r="C284" s="736">
        <v>-346339194</v>
      </c>
      <c r="D284" s="737">
        <v>-1910179330</v>
      </c>
      <c r="I284" s="755" t="s">
        <v>1222</v>
      </c>
      <c r="J284" s="756">
        <v>-209400000</v>
      </c>
      <c r="K284" s="756">
        <v>-30000000</v>
      </c>
      <c r="L284" s="757">
        <v>-130272727</v>
      </c>
    </row>
    <row r="285" spans="2:12" x14ac:dyDescent="0.3">
      <c r="B285" s="733" t="s">
        <v>1439</v>
      </c>
      <c r="C285" s="736">
        <v>-1848173691</v>
      </c>
      <c r="D285" s="735">
        <v>0</v>
      </c>
      <c r="I285" s="755" t="s">
        <v>1190</v>
      </c>
      <c r="J285" s="756">
        <v>1468574662</v>
      </c>
      <c r="K285" s="756">
        <v>-23556383216</v>
      </c>
      <c r="L285" s="757">
        <v>24518280114</v>
      </c>
    </row>
    <row r="286" spans="2:12" x14ac:dyDescent="0.3">
      <c r="B286" s="733" t="s">
        <v>1183</v>
      </c>
      <c r="C286" s="736">
        <v>-80553741</v>
      </c>
      <c r="D286" s="737">
        <v>-71476831</v>
      </c>
      <c r="I286" s="755" t="s">
        <v>1948</v>
      </c>
      <c r="J286" s="756">
        <v>54759774</v>
      </c>
      <c r="K286" s="758">
        <v>0</v>
      </c>
      <c r="L286" s="757">
        <v>76720000</v>
      </c>
    </row>
    <row r="287" spans="2:12" x14ac:dyDescent="0.3">
      <c r="B287" s="733" t="s">
        <v>1155</v>
      </c>
      <c r="C287" s="736">
        <v>-153686244</v>
      </c>
      <c r="D287" s="737">
        <v>-339963625</v>
      </c>
      <c r="I287" s="755" t="s">
        <v>1355</v>
      </c>
      <c r="J287" s="756">
        <v>48201223860</v>
      </c>
      <c r="K287" s="756">
        <v>42016610781</v>
      </c>
      <c r="L287" s="757">
        <v>50119307992</v>
      </c>
    </row>
    <row r="288" spans="2:12" x14ac:dyDescent="0.3">
      <c r="B288" s="733" t="s">
        <v>1322</v>
      </c>
      <c r="C288" s="734">
        <v>0</v>
      </c>
      <c r="D288" s="737">
        <v>-5441730</v>
      </c>
      <c r="I288" s="755" t="s">
        <v>1357</v>
      </c>
      <c r="J288" s="756">
        <v>4685395356</v>
      </c>
      <c r="K288" s="758">
        <v>0</v>
      </c>
      <c r="L288" s="757">
        <v>4389200000</v>
      </c>
    </row>
    <row r="289" spans="2:12" x14ac:dyDescent="0.3">
      <c r="B289" s="733" t="s">
        <v>1949</v>
      </c>
      <c r="C289" s="734">
        <v>0</v>
      </c>
      <c r="D289" s="737">
        <v>-313377860</v>
      </c>
      <c r="I289" s="755" t="s">
        <v>1950</v>
      </c>
      <c r="J289" s="758">
        <v>0</v>
      </c>
      <c r="K289" s="758">
        <v>0</v>
      </c>
      <c r="L289" s="757">
        <v>49996287</v>
      </c>
    </row>
    <row r="290" spans="2:12" x14ac:dyDescent="0.3">
      <c r="B290" s="733" t="s">
        <v>1150</v>
      </c>
      <c r="C290" s="736">
        <v>-25638717749</v>
      </c>
      <c r="D290" s="737">
        <v>-5842862915</v>
      </c>
      <c r="I290" s="755" t="s">
        <v>1194</v>
      </c>
      <c r="J290" s="756">
        <v>-46323872924</v>
      </c>
      <c r="K290" s="756">
        <v>-63080745182</v>
      </c>
      <c r="L290" s="757">
        <v>-24862608337</v>
      </c>
    </row>
    <row r="291" spans="2:12" x14ac:dyDescent="0.3">
      <c r="B291" s="733" t="s">
        <v>1320</v>
      </c>
      <c r="C291" s="736">
        <v>-991270226</v>
      </c>
      <c r="D291" s="737">
        <v>6466510729</v>
      </c>
      <c r="I291" s="755" t="s">
        <v>1192</v>
      </c>
      <c r="J291" s="758">
        <v>0</v>
      </c>
      <c r="K291" s="758">
        <v>0</v>
      </c>
      <c r="L291" s="759">
        <v>0</v>
      </c>
    </row>
    <row r="292" spans="2:12" x14ac:dyDescent="0.3">
      <c r="B292" s="733" t="s">
        <v>1951</v>
      </c>
      <c r="C292" s="734">
        <v>0</v>
      </c>
      <c r="D292" s="737">
        <v>48708058</v>
      </c>
      <c r="I292" s="755" t="s">
        <v>1952</v>
      </c>
      <c r="J292" s="756">
        <v>-4788000000</v>
      </c>
      <c r="K292" s="756">
        <v>-420931915</v>
      </c>
      <c r="L292" s="757">
        <v>-13576043</v>
      </c>
    </row>
    <row r="293" spans="2:12" x14ac:dyDescent="0.3">
      <c r="B293" s="733" t="s">
        <v>1463</v>
      </c>
      <c r="C293" s="736">
        <v>1225729212</v>
      </c>
      <c r="D293" s="737">
        <v>-1049228964</v>
      </c>
      <c r="I293" s="755" t="s">
        <v>1953</v>
      </c>
      <c r="J293" s="758">
        <v>0</v>
      </c>
      <c r="K293" s="758">
        <v>0</v>
      </c>
      <c r="L293" s="759">
        <v>0</v>
      </c>
    </row>
    <row r="294" spans="2:12" x14ac:dyDescent="0.3">
      <c r="B294" s="733" t="s">
        <v>1954</v>
      </c>
      <c r="C294" s="734">
        <v>0</v>
      </c>
      <c r="D294" s="737">
        <v>659732763</v>
      </c>
      <c r="I294" s="755" t="s">
        <v>1955</v>
      </c>
      <c r="J294" s="758">
        <v>0</v>
      </c>
      <c r="K294" s="756">
        <v>-964530000</v>
      </c>
      <c r="L294" s="757">
        <v>-4146427493</v>
      </c>
    </row>
    <row r="295" spans="2:12" x14ac:dyDescent="0.3">
      <c r="B295" s="733" t="s">
        <v>1956</v>
      </c>
      <c r="C295" s="736">
        <v>-80000000</v>
      </c>
      <c r="D295" s="735">
        <v>0</v>
      </c>
      <c r="I295" s="755" t="s">
        <v>1957</v>
      </c>
      <c r="J295" s="756">
        <v>-23166954</v>
      </c>
      <c r="K295" s="756">
        <v>-195531450</v>
      </c>
      <c r="L295" s="757">
        <v>-290926292</v>
      </c>
    </row>
    <row r="296" spans="2:12" x14ac:dyDescent="0.3">
      <c r="B296" s="733" t="s">
        <v>1465</v>
      </c>
      <c r="C296" s="736">
        <v>-93506275</v>
      </c>
      <c r="D296" s="737">
        <v>-12399683</v>
      </c>
      <c r="I296" s="755" t="s">
        <v>1958</v>
      </c>
      <c r="J296" s="758">
        <v>0</v>
      </c>
      <c r="K296" s="756">
        <v>-15150000</v>
      </c>
      <c r="L296" s="757">
        <v>-241200000</v>
      </c>
    </row>
    <row r="297" spans="2:12" x14ac:dyDescent="0.3">
      <c r="B297" s="733" t="s">
        <v>1959</v>
      </c>
      <c r="C297" s="734">
        <v>0</v>
      </c>
      <c r="D297" s="737">
        <v>294131478</v>
      </c>
      <c r="I297" s="755" t="s">
        <v>1960</v>
      </c>
      <c r="J297" s="758">
        <v>0</v>
      </c>
      <c r="K297" s="756">
        <v>-333217000</v>
      </c>
      <c r="L297" s="759">
        <v>0</v>
      </c>
    </row>
    <row r="298" spans="2:12" x14ac:dyDescent="0.3">
      <c r="B298" s="733" t="s">
        <v>1467</v>
      </c>
      <c r="C298" s="736">
        <v>110176111</v>
      </c>
      <c r="D298" s="737">
        <v>84130902</v>
      </c>
      <c r="I298" s="755" t="s">
        <v>1198</v>
      </c>
      <c r="J298" s="756">
        <v>-337764450</v>
      </c>
      <c r="K298" s="756">
        <v>-562888450</v>
      </c>
      <c r="L298" s="757">
        <v>-562206000</v>
      </c>
    </row>
    <row r="299" spans="2:12" x14ac:dyDescent="0.3">
      <c r="B299" s="733" t="s">
        <v>1961</v>
      </c>
      <c r="C299" s="734">
        <v>0</v>
      </c>
      <c r="D299" s="737">
        <v>7168043</v>
      </c>
      <c r="I299" s="755" t="s">
        <v>1962</v>
      </c>
      <c r="J299" s="756">
        <v>-5810610877</v>
      </c>
      <c r="K299" s="756">
        <v>6500446881</v>
      </c>
      <c r="L299" s="757">
        <v>-2246633820</v>
      </c>
    </row>
    <row r="300" spans="2:12" x14ac:dyDescent="0.3">
      <c r="B300" s="733" t="s">
        <v>1199</v>
      </c>
      <c r="C300" s="736">
        <v>-18654367107</v>
      </c>
      <c r="D300" s="737">
        <v>579057407</v>
      </c>
      <c r="I300" s="755" t="s">
        <v>1204</v>
      </c>
      <c r="J300" s="756">
        <v>9195943239</v>
      </c>
      <c r="K300" s="756">
        <v>2658815699</v>
      </c>
      <c r="L300" s="757">
        <v>4875310334</v>
      </c>
    </row>
    <row r="301" spans="2:12" x14ac:dyDescent="0.3">
      <c r="B301" s="733" t="s">
        <v>1963</v>
      </c>
      <c r="C301" s="736">
        <v>-6563926502</v>
      </c>
      <c r="D301" s="737">
        <v>-9416699511</v>
      </c>
      <c r="I301" s="755" t="s">
        <v>1200</v>
      </c>
      <c r="J301" s="756">
        <v>1909664</v>
      </c>
      <c r="K301" s="756">
        <v>36680659</v>
      </c>
      <c r="L301" s="757">
        <v>30139185</v>
      </c>
    </row>
    <row r="302" spans="2:12" x14ac:dyDescent="0.3">
      <c r="B302" s="733" t="s">
        <v>1964</v>
      </c>
      <c r="C302" s="736">
        <v>41840</v>
      </c>
      <c r="D302" s="737">
        <v>31380</v>
      </c>
      <c r="I302" s="764" t="s">
        <v>1206</v>
      </c>
      <c r="J302" s="765">
        <v>3387242026</v>
      </c>
      <c r="K302" s="765">
        <v>9195943239</v>
      </c>
      <c r="L302" s="766">
        <v>2658815699</v>
      </c>
    </row>
    <row r="303" spans="2:12" x14ac:dyDescent="0.3">
      <c r="B303" s="733" t="s">
        <v>1490</v>
      </c>
      <c r="C303" s="736">
        <v>2862789</v>
      </c>
      <c r="D303" s="735">
        <v>0</v>
      </c>
    </row>
    <row r="304" spans="2:12" x14ac:dyDescent="0.3">
      <c r="B304" s="733" t="s">
        <v>1478</v>
      </c>
      <c r="C304" s="736">
        <v>-50349584</v>
      </c>
      <c r="D304" s="737">
        <v>-285438585</v>
      </c>
    </row>
    <row r="305" spans="2:15" x14ac:dyDescent="0.3">
      <c r="B305" s="733" t="s">
        <v>1484</v>
      </c>
      <c r="C305" s="736">
        <v>150918516</v>
      </c>
      <c r="D305" s="737">
        <v>-1655222161</v>
      </c>
      <c r="I305" s="785" t="s">
        <v>1965</v>
      </c>
      <c r="J305" s="749" t="s">
        <v>1966</v>
      </c>
      <c r="K305" s="158"/>
      <c r="L305" s="158"/>
      <c r="M305" s="158"/>
      <c r="N305" s="158"/>
      <c r="O305" s="158"/>
    </row>
    <row r="306" spans="2:15" x14ac:dyDescent="0.3">
      <c r="B306" s="733" t="s">
        <v>1486</v>
      </c>
      <c r="C306" s="736">
        <v>-243046075</v>
      </c>
      <c r="D306" s="737">
        <v>107345796</v>
      </c>
      <c r="I306" s="1971" t="s">
        <v>1967</v>
      </c>
      <c r="J306" s="1973" t="s">
        <v>1968</v>
      </c>
      <c r="K306" s="1973" t="s">
        <v>1969</v>
      </c>
      <c r="L306" s="1973" t="s">
        <v>1970</v>
      </c>
      <c r="M306" s="1973" t="s">
        <v>1971</v>
      </c>
      <c r="N306" s="786" t="s">
        <v>1972</v>
      </c>
      <c r="O306" s="1975" t="s">
        <v>1973</v>
      </c>
    </row>
    <row r="307" spans="2:15" x14ac:dyDescent="0.3">
      <c r="B307" s="733" t="s">
        <v>1482</v>
      </c>
      <c r="C307" s="736">
        <v>-419163532</v>
      </c>
      <c r="D307" s="737">
        <v>-1649258008</v>
      </c>
      <c r="I307" s="1972"/>
      <c r="J307" s="1974"/>
      <c r="K307" s="1974"/>
      <c r="L307" s="1974"/>
      <c r="M307" s="1974"/>
      <c r="N307" s="787" t="s">
        <v>868</v>
      </c>
      <c r="O307" s="1976"/>
    </row>
    <row r="308" spans="2:15" x14ac:dyDescent="0.3">
      <c r="B308" s="733" t="s">
        <v>1974</v>
      </c>
      <c r="C308" s="736">
        <v>-32816916</v>
      </c>
      <c r="D308" s="737">
        <v>-21432559</v>
      </c>
      <c r="I308" s="788" t="s">
        <v>1975</v>
      </c>
      <c r="J308" s="789">
        <v>59935125</v>
      </c>
      <c r="K308" s="789">
        <v>18697124</v>
      </c>
      <c r="L308" s="789">
        <v>1817760</v>
      </c>
      <c r="M308" s="789">
        <v>2763966</v>
      </c>
      <c r="N308" s="789">
        <v>7821565</v>
      </c>
      <c r="O308" s="790">
        <v>4831767</v>
      </c>
    </row>
    <row r="309" spans="2:15" x14ac:dyDescent="0.3">
      <c r="B309" s="733" t="s">
        <v>1154</v>
      </c>
      <c r="C309" s="736">
        <v>7150</v>
      </c>
      <c r="D309" s="735">
        <v>0</v>
      </c>
      <c r="I309" s="788" t="s">
        <v>1245</v>
      </c>
      <c r="J309" s="791" t="s">
        <v>1244</v>
      </c>
      <c r="K309" s="789">
        <v>34130</v>
      </c>
      <c r="L309" s="791" t="s">
        <v>1244</v>
      </c>
      <c r="M309" s="789">
        <v>47149</v>
      </c>
      <c r="N309" s="789">
        <v>825584</v>
      </c>
      <c r="O309" s="792" t="s">
        <v>1244</v>
      </c>
    </row>
    <row r="310" spans="2:15" x14ac:dyDescent="0.3">
      <c r="B310" s="733" t="s">
        <v>1156</v>
      </c>
      <c r="C310" s="736">
        <v>-3248490486</v>
      </c>
      <c r="D310" s="737">
        <v>-2510756340</v>
      </c>
      <c r="I310" s="788" t="s">
        <v>1976</v>
      </c>
      <c r="J310" s="789">
        <v>-574780</v>
      </c>
      <c r="K310" s="789">
        <v>-28651</v>
      </c>
      <c r="L310" s="791" t="s">
        <v>1244</v>
      </c>
      <c r="M310" s="789">
        <v>-145309</v>
      </c>
      <c r="N310" s="789">
        <v>-18026</v>
      </c>
      <c r="O310" s="790">
        <v>-1619433</v>
      </c>
    </row>
    <row r="311" spans="2:15" x14ac:dyDescent="0.3">
      <c r="B311" s="733" t="s">
        <v>1152</v>
      </c>
      <c r="C311" s="736">
        <v>142182569</v>
      </c>
      <c r="D311" s="737">
        <v>733089282</v>
      </c>
      <c r="I311" s="788" t="s">
        <v>1252</v>
      </c>
      <c r="J311" s="791" t="s">
        <v>1244</v>
      </c>
      <c r="K311" s="789">
        <v>-726794</v>
      </c>
      <c r="L311" s="789">
        <v>-308813</v>
      </c>
      <c r="M311" s="789">
        <v>-888383</v>
      </c>
      <c r="N311" s="789">
        <v>-1859558</v>
      </c>
      <c r="O311" s="790">
        <v>-870760</v>
      </c>
    </row>
    <row r="312" spans="2:15" x14ac:dyDescent="0.3">
      <c r="B312" s="733" t="s">
        <v>1158</v>
      </c>
      <c r="C312" s="736">
        <v>-897815937</v>
      </c>
      <c r="D312" s="737">
        <v>-1156315629</v>
      </c>
      <c r="I312" s="788" t="s">
        <v>1977</v>
      </c>
      <c r="J312" s="791" t="s">
        <v>1244</v>
      </c>
      <c r="K312" s="789">
        <v>2432232</v>
      </c>
      <c r="L312" s="791" t="s">
        <v>1244</v>
      </c>
      <c r="M312" s="789">
        <v>3380454</v>
      </c>
      <c r="N312" s="789">
        <v>4966491</v>
      </c>
      <c r="O312" s="792" t="s">
        <v>1244</v>
      </c>
    </row>
    <row r="313" spans="2:15" x14ac:dyDescent="0.3">
      <c r="B313" s="733" t="s">
        <v>1978</v>
      </c>
      <c r="C313" s="734">
        <v>0</v>
      </c>
      <c r="D313" s="735">
        <v>0</v>
      </c>
      <c r="I313" s="788" t="s">
        <v>1979</v>
      </c>
      <c r="J313" s="789">
        <v>59360345</v>
      </c>
      <c r="K313" s="789">
        <v>20408041</v>
      </c>
      <c r="L313" s="789">
        <v>1508947</v>
      </c>
      <c r="M313" s="789">
        <v>5157877</v>
      </c>
      <c r="N313" s="789">
        <v>11736056</v>
      </c>
      <c r="O313" s="790">
        <v>2341574</v>
      </c>
    </row>
    <row r="314" spans="2:15" x14ac:dyDescent="0.3">
      <c r="B314" s="733" t="s">
        <v>1160</v>
      </c>
      <c r="C314" s="736">
        <v>8077095616</v>
      </c>
      <c r="D314" s="737">
        <v>3719539185</v>
      </c>
      <c r="I314" s="788" t="s">
        <v>1259</v>
      </c>
      <c r="J314" s="789">
        <v>59360345</v>
      </c>
      <c r="K314" s="789">
        <v>30710037</v>
      </c>
      <c r="L314" s="789">
        <v>5903343</v>
      </c>
      <c r="M314" s="789">
        <v>13621819</v>
      </c>
      <c r="N314" s="789">
        <v>23490716</v>
      </c>
      <c r="O314" s="790">
        <v>8533067</v>
      </c>
    </row>
    <row r="315" spans="2:15" x14ac:dyDescent="0.3">
      <c r="B315" s="733" t="s">
        <v>1980</v>
      </c>
      <c r="C315" s="736">
        <v>349100000</v>
      </c>
      <c r="D315" s="737">
        <v>2946948900</v>
      </c>
      <c r="I315" s="788" t="s">
        <v>1261</v>
      </c>
      <c r="J315" s="791" t="s">
        <v>1244</v>
      </c>
      <c r="K315" s="789">
        <v>-10301996</v>
      </c>
      <c r="L315" s="789">
        <v>-3821382</v>
      </c>
      <c r="M315" s="789">
        <v>-8463942</v>
      </c>
      <c r="N315" s="789">
        <v>-11754660</v>
      </c>
      <c r="O315" s="790">
        <v>-6191493</v>
      </c>
    </row>
    <row r="316" spans="2:15" x14ac:dyDescent="0.3">
      <c r="B316" s="733" t="s">
        <v>1981</v>
      </c>
      <c r="C316" s="736">
        <v>-224100000</v>
      </c>
      <c r="D316" s="737">
        <v>-906800000</v>
      </c>
      <c r="I316" s="793" t="s">
        <v>1982</v>
      </c>
      <c r="J316" s="794" t="s">
        <v>1244</v>
      </c>
      <c r="K316" s="794" t="s">
        <v>1244</v>
      </c>
      <c r="L316" s="795">
        <v>-573014</v>
      </c>
      <c r="M316" s="794" t="s">
        <v>1244</v>
      </c>
      <c r="N316" s="794" t="s">
        <v>1244</v>
      </c>
      <c r="O316" s="796" t="s">
        <v>1244</v>
      </c>
    </row>
    <row r="317" spans="2:15" x14ac:dyDescent="0.3">
      <c r="B317" s="733" t="s">
        <v>1983</v>
      </c>
      <c r="C317" s="736">
        <v>511673278</v>
      </c>
      <c r="D317" s="737">
        <v>588541575</v>
      </c>
    </row>
    <row r="318" spans="2:15" x14ac:dyDescent="0.3">
      <c r="B318" s="733" t="s">
        <v>1984</v>
      </c>
      <c r="C318" s="734">
        <v>0</v>
      </c>
      <c r="D318" s="737">
        <v>-508814890</v>
      </c>
      <c r="I318" s="785" t="s">
        <v>1985</v>
      </c>
      <c r="J318" s="749" t="s">
        <v>1966</v>
      </c>
      <c r="K318" s="158"/>
      <c r="L318" s="158"/>
      <c r="M318" s="158"/>
      <c r="N318" s="158"/>
      <c r="O318" s="158"/>
    </row>
    <row r="319" spans="2:15" x14ac:dyDescent="0.3">
      <c r="B319" s="733" t="s">
        <v>1170</v>
      </c>
      <c r="C319" s="736">
        <v>251831542</v>
      </c>
      <c r="D319" s="737">
        <v>2035923560</v>
      </c>
      <c r="I319" s="1971" t="s">
        <v>1967</v>
      </c>
      <c r="J319" s="1973" t="s">
        <v>1986</v>
      </c>
      <c r="K319" s="1973" t="s">
        <v>1987</v>
      </c>
      <c r="L319" s="786" t="s">
        <v>1988</v>
      </c>
      <c r="M319" s="786" t="s">
        <v>1989</v>
      </c>
      <c r="N319" s="786" t="s">
        <v>1990</v>
      </c>
      <c r="O319" s="1975" t="s">
        <v>1991</v>
      </c>
    </row>
    <row r="320" spans="2:15" x14ac:dyDescent="0.3">
      <c r="B320" s="733" t="s">
        <v>1166</v>
      </c>
      <c r="C320" s="736">
        <v>86539000</v>
      </c>
      <c r="D320" s="737">
        <v>6761793906</v>
      </c>
      <c r="I320" s="1972"/>
      <c r="J320" s="1974"/>
      <c r="K320" s="1974"/>
      <c r="L320" s="787" t="s">
        <v>1992</v>
      </c>
      <c r="M320" s="787" t="s">
        <v>868</v>
      </c>
      <c r="N320" s="787" t="s">
        <v>868</v>
      </c>
      <c r="O320" s="1976"/>
    </row>
    <row r="321" spans="2:15" x14ac:dyDescent="0.3">
      <c r="B321" s="733" t="s">
        <v>1933</v>
      </c>
      <c r="C321" s="736">
        <v>3000000</v>
      </c>
      <c r="D321" s="735">
        <v>0</v>
      </c>
      <c r="I321" s="788" t="s">
        <v>1975</v>
      </c>
      <c r="J321" s="789">
        <v>72816</v>
      </c>
      <c r="K321" s="789">
        <v>311072</v>
      </c>
      <c r="L321" s="789">
        <v>75977</v>
      </c>
      <c r="M321" s="789">
        <v>90670</v>
      </c>
      <c r="N321" s="789">
        <v>1715349</v>
      </c>
      <c r="O321" s="790">
        <v>98133191</v>
      </c>
    </row>
    <row r="322" spans="2:15" x14ac:dyDescent="0.3">
      <c r="B322" s="733" t="s">
        <v>1214</v>
      </c>
      <c r="C322" s="734">
        <v>0</v>
      </c>
      <c r="D322" s="737">
        <v>6457248</v>
      </c>
      <c r="I322" s="788" t="s">
        <v>1245</v>
      </c>
      <c r="J322" s="789">
        <v>9606</v>
      </c>
      <c r="K322" s="789">
        <v>2100</v>
      </c>
      <c r="L322" s="791" t="s">
        <v>1244</v>
      </c>
      <c r="M322" s="791" t="s">
        <v>1244</v>
      </c>
      <c r="N322" s="789">
        <v>3890855</v>
      </c>
      <c r="O322" s="790">
        <v>4809424</v>
      </c>
    </row>
    <row r="323" spans="2:15" x14ac:dyDescent="0.3">
      <c r="B323" s="733" t="s">
        <v>1993</v>
      </c>
      <c r="C323" s="736">
        <v>8502308975</v>
      </c>
      <c r="D323" s="735">
        <v>0</v>
      </c>
      <c r="I323" s="788" t="s">
        <v>1976</v>
      </c>
      <c r="J323" s="789">
        <v>-41767</v>
      </c>
      <c r="K323" s="789">
        <v>-27987</v>
      </c>
      <c r="L323" s="789">
        <v>-63934</v>
      </c>
      <c r="M323" s="789">
        <v>-35144</v>
      </c>
      <c r="N323" s="791" t="s">
        <v>1244</v>
      </c>
      <c r="O323" s="790">
        <v>-2555031</v>
      </c>
    </row>
    <row r="324" spans="2:15" x14ac:dyDescent="0.3">
      <c r="B324" s="733" t="s">
        <v>1186</v>
      </c>
      <c r="C324" s="736">
        <v>-491681330</v>
      </c>
      <c r="D324" s="737">
        <v>-6259173614</v>
      </c>
      <c r="I324" s="788" t="s">
        <v>1252</v>
      </c>
      <c r="J324" s="789">
        <v>-40468</v>
      </c>
      <c r="K324" s="789">
        <v>-200639</v>
      </c>
      <c r="L324" s="789">
        <v>-11763</v>
      </c>
      <c r="M324" s="789">
        <v>-33731</v>
      </c>
      <c r="N324" s="791" t="s">
        <v>1244</v>
      </c>
      <c r="O324" s="790">
        <v>-4940909</v>
      </c>
    </row>
    <row r="325" spans="2:15" x14ac:dyDescent="0.3">
      <c r="B325" s="733" t="s">
        <v>1222</v>
      </c>
      <c r="C325" s="736">
        <v>-647138349</v>
      </c>
      <c r="D325" s="737">
        <v>-170400000</v>
      </c>
      <c r="I325" s="788" t="s">
        <v>1977</v>
      </c>
      <c r="J325" s="791" t="s">
        <v>1244</v>
      </c>
      <c r="K325" s="791" t="s">
        <v>1244</v>
      </c>
      <c r="L325" s="791" t="s">
        <v>1244</v>
      </c>
      <c r="M325" s="791" t="s">
        <v>1244</v>
      </c>
      <c r="N325" s="789">
        <v>-5606204</v>
      </c>
      <c r="O325" s="790">
        <v>5172973</v>
      </c>
    </row>
    <row r="326" spans="2:15" x14ac:dyDescent="0.3">
      <c r="B326" s="733" t="s">
        <v>1994</v>
      </c>
      <c r="C326" s="734">
        <v>0</v>
      </c>
      <c r="D326" s="737">
        <v>-510000000</v>
      </c>
      <c r="I326" s="788" t="s">
        <v>1979</v>
      </c>
      <c r="J326" s="791">
        <v>187</v>
      </c>
      <c r="K326" s="789">
        <v>84546</v>
      </c>
      <c r="L326" s="791">
        <v>280</v>
      </c>
      <c r="M326" s="789">
        <v>21795</v>
      </c>
      <c r="N326" s="791" t="s">
        <v>1244</v>
      </c>
      <c r="O326" s="790">
        <v>100619648</v>
      </c>
    </row>
    <row r="327" spans="2:15" x14ac:dyDescent="0.3">
      <c r="B327" s="733" t="s">
        <v>1943</v>
      </c>
      <c r="C327" s="736">
        <v>-263937500</v>
      </c>
      <c r="D327" s="737">
        <v>-264937500</v>
      </c>
      <c r="I327" s="788" t="s">
        <v>1259</v>
      </c>
      <c r="J327" s="789">
        <v>1411435</v>
      </c>
      <c r="K327" s="789">
        <v>1544810</v>
      </c>
      <c r="L327" s="789">
        <v>295662</v>
      </c>
      <c r="M327" s="789">
        <v>81732</v>
      </c>
      <c r="N327" s="789">
        <v>600492</v>
      </c>
      <c r="O327" s="790">
        <v>145553458</v>
      </c>
    </row>
    <row r="328" spans="2:15" x14ac:dyDescent="0.3">
      <c r="B328" s="733" t="s">
        <v>1221</v>
      </c>
      <c r="C328" s="736">
        <v>-500000</v>
      </c>
      <c r="D328" s="735">
        <v>0</v>
      </c>
      <c r="I328" s="788" t="s">
        <v>1261</v>
      </c>
      <c r="J328" s="789">
        <v>-1411248</v>
      </c>
      <c r="K328" s="789">
        <v>-1460264</v>
      </c>
      <c r="L328" s="789">
        <v>-295382</v>
      </c>
      <c r="M328" s="789">
        <v>-59937</v>
      </c>
      <c r="N328" s="791" t="s">
        <v>1244</v>
      </c>
      <c r="O328" s="797">
        <v>43760304000</v>
      </c>
    </row>
    <row r="329" spans="2:15" x14ac:dyDescent="0.3">
      <c r="B329" s="733" t="s">
        <v>1190</v>
      </c>
      <c r="C329" s="736">
        <v>11628913965</v>
      </c>
      <c r="D329" s="737">
        <v>-7402771092</v>
      </c>
      <c r="I329" s="793" t="s">
        <v>1982</v>
      </c>
      <c r="J329" s="794" t="s">
        <v>1244</v>
      </c>
      <c r="K329" s="794" t="s">
        <v>1244</v>
      </c>
      <c r="L329" s="794" t="s">
        <v>1244</v>
      </c>
      <c r="M329" s="794" t="s">
        <v>1244</v>
      </c>
      <c r="N329" s="795">
        <v>-600492</v>
      </c>
      <c r="O329" s="798">
        <v>-1173506</v>
      </c>
    </row>
    <row r="330" spans="2:15" x14ac:dyDescent="0.3">
      <c r="B330" s="733" t="s">
        <v>1355</v>
      </c>
      <c r="C330" s="736">
        <v>50404827906</v>
      </c>
      <c r="D330" s="737">
        <v>28817478366</v>
      </c>
    </row>
    <row r="331" spans="2:15" x14ac:dyDescent="0.3">
      <c r="B331" s="733" t="s">
        <v>1194</v>
      </c>
      <c r="C331" s="736">
        <v>-38188437837</v>
      </c>
      <c r="D331" s="737">
        <v>-11206818620</v>
      </c>
    </row>
    <row r="332" spans="2:15" x14ac:dyDescent="0.3">
      <c r="B332" s="733" t="s">
        <v>1952</v>
      </c>
      <c r="C332" s="736">
        <v>-273913026</v>
      </c>
      <c r="D332" s="737">
        <v>-26800000000</v>
      </c>
    </row>
    <row r="333" spans="2:15" x14ac:dyDescent="0.3">
      <c r="B333" s="733" t="s">
        <v>1357</v>
      </c>
      <c r="C333" s="734">
        <v>0</v>
      </c>
      <c r="D333" s="737">
        <v>4755448426</v>
      </c>
    </row>
    <row r="334" spans="2:15" x14ac:dyDescent="0.3">
      <c r="B334" s="733" t="s">
        <v>1192</v>
      </c>
      <c r="C334" s="734">
        <v>0</v>
      </c>
      <c r="D334" s="737">
        <v>-50000000</v>
      </c>
    </row>
    <row r="335" spans="2:15" x14ac:dyDescent="0.3">
      <c r="B335" s="733" t="s">
        <v>1953</v>
      </c>
      <c r="C335" s="734">
        <v>0</v>
      </c>
      <c r="D335" s="737">
        <v>-3000000000</v>
      </c>
    </row>
    <row r="336" spans="2:15" x14ac:dyDescent="0.3">
      <c r="B336" s="733" t="s">
        <v>1957</v>
      </c>
      <c r="C336" s="736">
        <v>-13210478</v>
      </c>
      <c r="D336" s="737">
        <v>-18879264</v>
      </c>
    </row>
    <row r="337" spans="2:4" x14ac:dyDescent="0.3">
      <c r="B337" s="733" t="s">
        <v>1360</v>
      </c>
      <c r="C337" s="734">
        <v>0</v>
      </c>
      <c r="D337" s="737">
        <v>100000000</v>
      </c>
    </row>
    <row r="338" spans="2:4" x14ac:dyDescent="0.3">
      <c r="B338" s="733" t="s">
        <v>1198</v>
      </c>
      <c r="C338" s="736">
        <v>-450352600</v>
      </c>
      <c r="D338" s="735">
        <v>0</v>
      </c>
    </row>
    <row r="339" spans="2:4" x14ac:dyDescent="0.3">
      <c r="B339" s="733" t="s">
        <v>1995</v>
      </c>
      <c r="C339" s="736">
        <v>150000000</v>
      </c>
      <c r="D339" s="735">
        <v>0</v>
      </c>
    </row>
    <row r="340" spans="2:4" x14ac:dyDescent="0.3">
      <c r="B340" s="733" t="s">
        <v>1362</v>
      </c>
      <c r="C340" s="736">
        <v>-2748223833</v>
      </c>
      <c r="D340" s="737">
        <v>-4481137502</v>
      </c>
    </row>
    <row r="341" spans="2:4" x14ac:dyDescent="0.3">
      <c r="B341" s="733" t="s">
        <v>1200</v>
      </c>
      <c r="C341" s="736">
        <v>2196835</v>
      </c>
      <c r="D341" s="737">
        <v>-4196110</v>
      </c>
    </row>
    <row r="342" spans="2:4" x14ac:dyDescent="0.3">
      <c r="B342" s="733" t="s">
        <v>1202</v>
      </c>
      <c r="C342" s="736">
        <v>-2746026998</v>
      </c>
      <c r="D342" s="737">
        <v>-4485333612</v>
      </c>
    </row>
    <row r="343" spans="2:4" x14ac:dyDescent="0.3">
      <c r="B343" s="733" t="s">
        <v>1204</v>
      </c>
      <c r="C343" s="736">
        <v>3387242026</v>
      </c>
      <c r="D343" s="737">
        <v>9195943239</v>
      </c>
    </row>
    <row r="344" spans="2:4" x14ac:dyDescent="0.3">
      <c r="B344" s="738" t="s">
        <v>1206</v>
      </c>
      <c r="C344" s="739">
        <v>683923086</v>
      </c>
      <c r="D344" s="740">
        <v>4710609627</v>
      </c>
    </row>
  </sheetData>
  <mergeCells count="13">
    <mergeCell ref="L306:L307"/>
    <mergeCell ref="M306:M307"/>
    <mergeCell ref="O306:O307"/>
    <mergeCell ref="I319:I320"/>
    <mergeCell ref="J319:J320"/>
    <mergeCell ref="K319:K320"/>
    <mergeCell ref="O319:O320"/>
    <mergeCell ref="K306:K307"/>
    <mergeCell ref="B146:B147"/>
    <mergeCell ref="C146:D146"/>
    <mergeCell ref="E146:F146"/>
    <mergeCell ref="I306:I307"/>
    <mergeCell ref="J306:J30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1"/>
  </sheetPr>
  <dimension ref="A1"/>
  <sheetViews>
    <sheetView showGridLines="0" zoomScale="85" zoomScaleNormal="85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rgb="FF000000"/>
  </sheetPr>
  <dimension ref="A1"/>
  <sheetViews>
    <sheetView showGridLines="0" zoomScale="85" zoomScaleNormal="85" workbookViewId="0"/>
  </sheetViews>
  <sheetFormatPr defaultColWidth="9" defaultRowHeight="16.5" x14ac:dyDescent="0.3"/>
  <cols>
    <col min="1" max="1" width="1.625" style="40" customWidth="1"/>
    <col min="2" max="16384" width="9" style="40"/>
  </cols>
  <sheetData/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0" tint="-0.499984740745262"/>
  </sheetPr>
  <dimension ref="A1:L51"/>
  <sheetViews>
    <sheetView showGridLines="0" zoomScale="85" zoomScaleNormal="85" workbookViewId="0">
      <selection activeCell="B6" sqref="B6:B9"/>
    </sheetView>
  </sheetViews>
  <sheetFormatPr defaultColWidth="9" defaultRowHeight="13.5" x14ac:dyDescent="0.3"/>
  <cols>
    <col min="1" max="1" width="1.625" style="41" customWidth="1"/>
    <col min="2" max="2" width="20.625" style="41" customWidth="1"/>
    <col min="3" max="4" width="9.625" style="48" customWidth="1"/>
    <col min="5" max="10" width="9.625" style="41" customWidth="1"/>
    <col min="11" max="11" width="9.625" style="158" customWidth="1"/>
    <col min="12" max="12" width="9.625" style="41" customWidth="1"/>
    <col min="13" max="16384" width="9" style="41"/>
  </cols>
  <sheetData>
    <row r="1" spans="1:12" ht="30" customHeight="1" x14ac:dyDescent="0.3">
      <c r="A1" s="44"/>
      <c r="B1" s="31" t="str">
        <f>"Project"&amp;" "&amp;Title!L6</f>
        <v>Project SVG1</v>
      </c>
      <c r="C1" s="32"/>
      <c r="D1" s="32"/>
      <c r="E1" s="32"/>
      <c r="F1" s="32"/>
      <c r="G1" s="32"/>
      <c r="H1" s="32"/>
      <c r="I1" s="32"/>
      <c r="J1" s="33"/>
      <c r="K1" s="33"/>
      <c r="L1" s="33" t="str">
        <f>Des!C12</f>
        <v>DRAFT - For Discussion Purposes Only</v>
      </c>
    </row>
    <row r="2" spans="1:12" ht="20.100000000000001" customHeight="1" x14ac:dyDescent="0.3">
      <c r="A2" s="45"/>
      <c r="B2" s="178" t="s">
        <v>66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</row>
    <row r="3" spans="1:12" ht="15" customHeight="1" x14ac:dyDescent="0.3">
      <c r="A3" s="45"/>
      <c r="B3" s="46"/>
      <c r="L3" s="49"/>
    </row>
    <row r="4" spans="1:12" x14ac:dyDescent="0.3">
      <c r="B4" s="479" t="s">
        <v>67</v>
      </c>
      <c r="C4" s="480"/>
      <c r="D4" s="481">
        <f>'Pro forma'!D5</f>
        <v>2014</v>
      </c>
      <c r="E4" s="481">
        <f>'Pro forma'!E5</f>
        <v>2015</v>
      </c>
      <c r="F4" s="481">
        <f>'Pro forma'!F5</f>
        <v>2016</v>
      </c>
      <c r="G4" s="482">
        <f>'Pro forma'!G5</f>
        <v>2017</v>
      </c>
      <c r="H4" s="483">
        <f>'Pro forma'!H5</f>
        <v>2018</v>
      </c>
      <c r="I4" s="483">
        <f>'Pro forma'!I5</f>
        <v>2019</v>
      </c>
      <c r="J4" s="483">
        <f>'Pro forma'!J5</f>
        <v>2020</v>
      </c>
      <c r="K4" s="483">
        <f>'Pro forma'!K5</f>
        <v>2021</v>
      </c>
      <c r="L4" s="484" t="s">
        <v>647</v>
      </c>
    </row>
    <row r="5" spans="1:12" x14ac:dyDescent="0.3">
      <c r="B5" s="486" t="s">
        <v>68</v>
      </c>
      <c r="C5" s="487"/>
      <c r="D5" s="487"/>
      <c r="E5" s="487"/>
      <c r="F5" s="487"/>
      <c r="G5" s="487"/>
      <c r="H5" s="487"/>
      <c r="I5" s="487"/>
      <c r="J5" s="487"/>
      <c r="K5" s="487"/>
      <c r="L5" s="642"/>
    </row>
    <row r="6" spans="1:12" x14ac:dyDescent="0.15">
      <c r="B6" s="620" t="s">
        <v>607</v>
      </c>
      <c r="C6" s="621"/>
      <c r="D6" s="632">
        <v>3.3410000000000002</v>
      </c>
      <c r="E6" s="632">
        <v>2.79</v>
      </c>
      <c r="F6" s="632">
        <v>2.8279999999999998</v>
      </c>
      <c r="G6" s="633">
        <v>3</v>
      </c>
      <c r="H6" s="634">
        <v>2.2999999999999998</v>
      </c>
      <c r="I6" s="634">
        <v>2.5</v>
      </c>
      <c r="J6" s="634">
        <v>2.2000000000000002</v>
      </c>
      <c r="K6" s="634">
        <v>2.8</v>
      </c>
      <c r="L6" s="643">
        <v>3.1</v>
      </c>
    </row>
    <row r="7" spans="1:12" s="158" customFormat="1" x14ac:dyDescent="0.15">
      <c r="B7" s="620" t="s">
        <v>615</v>
      </c>
      <c r="C7" s="621"/>
      <c r="D7" s="632">
        <v>1.2749999999999999</v>
      </c>
      <c r="E7" s="632">
        <v>0.70799999999999996</v>
      </c>
      <c r="F7" s="632">
        <v>0.97199999999999998</v>
      </c>
      <c r="G7" s="635">
        <v>2</v>
      </c>
      <c r="H7" s="634">
        <v>1.6</v>
      </c>
      <c r="I7" s="634">
        <v>1.4</v>
      </c>
      <c r="J7" s="636">
        <v>1.4</v>
      </c>
      <c r="K7" s="634">
        <v>1.7</v>
      </c>
      <c r="L7" s="644">
        <v>1.9</v>
      </c>
    </row>
    <row r="8" spans="1:12" s="158" customFormat="1" x14ac:dyDescent="0.15">
      <c r="B8" s="620" t="s">
        <v>616</v>
      </c>
      <c r="C8" s="621"/>
      <c r="D8" s="637">
        <v>2.5539999999999998</v>
      </c>
      <c r="E8" s="637">
        <v>3.4140000000000001</v>
      </c>
      <c r="F8" s="637">
        <v>3.8069999999999999</v>
      </c>
      <c r="G8" s="638">
        <v>4.2</v>
      </c>
      <c r="H8" s="639">
        <v>3.6</v>
      </c>
      <c r="I8" s="639">
        <v>3.4</v>
      </c>
      <c r="J8" s="640">
        <v>3.6</v>
      </c>
      <c r="K8" s="640">
        <v>3.9</v>
      </c>
      <c r="L8" s="644">
        <v>4.2</v>
      </c>
    </row>
    <row r="9" spans="1:12" s="158" customFormat="1" x14ac:dyDescent="0.15">
      <c r="B9" s="620" t="s">
        <v>646</v>
      </c>
      <c r="C9" s="621"/>
      <c r="D9" s="637">
        <v>1.2629999999999999</v>
      </c>
      <c r="E9" s="637">
        <v>2.6869999999999998</v>
      </c>
      <c r="F9" s="637">
        <v>2.8079999999999998</v>
      </c>
      <c r="G9" s="641">
        <v>2.2000000000000002</v>
      </c>
      <c r="H9" s="640">
        <v>1.9</v>
      </c>
      <c r="I9" s="640">
        <v>1.9</v>
      </c>
      <c r="J9" s="640">
        <v>2.2000000000000002</v>
      </c>
      <c r="K9" s="640">
        <v>2.2000000000000002</v>
      </c>
      <c r="L9" s="644">
        <v>2.2000000000000002</v>
      </c>
    </row>
    <row r="10" spans="1:12" s="158" customFormat="1" x14ac:dyDescent="0.15">
      <c r="B10" s="628" t="s">
        <v>616</v>
      </c>
      <c r="C10" s="622"/>
      <c r="D10" s="623">
        <v>2.5539999999999998</v>
      </c>
      <c r="E10" s="623">
        <v>3.4140000000000001</v>
      </c>
      <c r="F10" s="623">
        <v>3.8069999999999999</v>
      </c>
      <c r="G10" s="626">
        <v>4.2</v>
      </c>
      <c r="H10" s="627">
        <v>3.6</v>
      </c>
      <c r="I10" s="627">
        <v>3.4</v>
      </c>
      <c r="J10" s="625">
        <v>3.6</v>
      </c>
      <c r="K10" s="625">
        <v>3.9</v>
      </c>
      <c r="L10" s="645">
        <v>4.2</v>
      </c>
    </row>
    <row r="11" spans="1:12" s="158" customFormat="1" x14ac:dyDescent="0.15">
      <c r="B11" s="628" t="s">
        <v>617</v>
      </c>
      <c r="C11" s="622"/>
      <c r="D11" s="623">
        <v>1.2629999999999999</v>
      </c>
      <c r="E11" s="623">
        <v>2.6869999999999998</v>
      </c>
      <c r="F11" s="623">
        <v>2.8079999999999998</v>
      </c>
      <c r="G11" s="624">
        <v>2.2000000000000002</v>
      </c>
      <c r="H11" s="625">
        <v>1.9</v>
      </c>
      <c r="I11" s="625">
        <v>1.9</v>
      </c>
      <c r="J11" s="625">
        <v>2.2000000000000002</v>
      </c>
      <c r="K11" s="625">
        <v>2.2000000000000002</v>
      </c>
      <c r="L11" s="645">
        <v>2.2000000000000002</v>
      </c>
    </row>
    <row r="12" spans="1:12" x14ac:dyDescent="0.15">
      <c r="B12" s="606" t="s">
        <v>608</v>
      </c>
      <c r="C12" s="174"/>
      <c r="D12" s="607">
        <v>1.7470000000000001</v>
      </c>
      <c r="E12" s="607">
        <v>2.2040000000000002</v>
      </c>
      <c r="F12" s="607">
        <v>2.4750000000000001</v>
      </c>
      <c r="G12" s="608">
        <v>2.5</v>
      </c>
      <c r="H12" s="608">
        <v>2.1</v>
      </c>
      <c r="I12" s="608">
        <v>2.2000000000000002</v>
      </c>
      <c r="J12" s="609">
        <v>2.1</v>
      </c>
      <c r="K12" s="609"/>
      <c r="L12" s="646">
        <v>2.2000000000000002</v>
      </c>
    </row>
    <row r="13" spans="1:12" x14ac:dyDescent="0.15">
      <c r="B13" s="606" t="s">
        <v>609</v>
      </c>
      <c r="C13" s="63"/>
      <c r="D13" s="607">
        <v>3.3650000000000002</v>
      </c>
      <c r="E13" s="607">
        <v>5.0529999999999999</v>
      </c>
      <c r="F13" s="607">
        <v>5.22</v>
      </c>
      <c r="G13" s="608">
        <v>7</v>
      </c>
      <c r="H13" s="608">
        <v>1.5</v>
      </c>
      <c r="I13" s="609">
        <v>2.5</v>
      </c>
      <c r="J13" s="609">
        <v>1.8</v>
      </c>
      <c r="K13" s="609"/>
      <c r="L13" s="646">
        <v>3.6</v>
      </c>
    </row>
    <row r="14" spans="1:12" x14ac:dyDescent="0.15">
      <c r="B14" s="606" t="s">
        <v>610</v>
      </c>
      <c r="C14" s="63"/>
      <c r="D14" s="607">
        <v>1706.7</v>
      </c>
      <c r="E14" s="607">
        <v>1756</v>
      </c>
      <c r="F14" s="607">
        <v>1832.1</v>
      </c>
      <c r="G14" s="609">
        <v>1919</v>
      </c>
      <c r="H14" s="609">
        <v>2007</v>
      </c>
      <c r="I14" s="609">
        <v>2082</v>
      </c>
      <c r="J14" s="609">
        <v>2139</v>
      </c>
      <c r="K14" s="609"/>
      <c r="L14" s="647">
        <v>2234</v>
      </c>
    </row>
    <row r="15" spans="1:12" x14ac:dyDescent="0.15">
      <c r="B15" s="606" t="s">
        <v>611</v>
      </c>
      <c r="C15" s="63"/>
      <c r="D15" s="607">
        <v>1411.5</v>
      </c>
      <c r="E15" s="607">
        <v>1383</v>
      </c>
      <c r="F15" s="607">
        <v>1410.6</v>
      </c>
      <c r="G15" s="608">
        <v>1537</v>
      </c>
      <c r="H15" s="609">
        <v>1589</v>
      </c>
      <c r="I15" s="609">
        <v>1648</v>
      </c>
      <c r="J15" s="609">
        <v>1694</v>
      </c>
      <c r="K15" s="609"/>
      <c r="L15" s="647">
        <v>1815</v>
      </c>
    </row>
    <row r="16" spans="1:12" x14ac:dyDescent="0.15">
      <c r="B16" s="606" t="s">
        <v>612</v>
      </c>
      <c r="C16" s="63"/>
      <c r="D16" s="607">
        <v>1052.8399999999999</v>
      </c>
      <c r="E16" s="607">
        <v>1130.9525000000001</v>
      </c>
      <c r="F16" s="607">
        <v>1160.7674999999999</v>
      </c>
      <c r="G16" s="609">
        <v>1136.3</v>
      </c>
      <c r="H16" s="609">
        <v>1154.4000000000001</v>
      </c>
      <c r="I16" s="609">
        <v>1162.5</v>
      </c>
      <c r="J16" s="609">
        <v>1175</v>
      </c>
      <c r="K16" s="609"/>
      <c r="L16" s="647">
        <v>1150</v>
      </c>
    </row>
    <row r="17" spans="2:12" s="49" customFormat="1" x14ac:dyDescent="0.15">
      <c r="B17" s="606" t="s">
        <v>613</v>
      </c>
      <c r="C17" s="63"/>
      <c r="D17" s="607">
        <v>0.57199999999999995</v>
      </c>
      <c r="E17" s="607">
        <v>-1.0999999999999999E-2</v>
      </c>
      <c r="F17" s="607">
        <v>1.0329999999999999</v>
      </c>
      <c r="G17" s="608">
        <v>0.9</v>
      </c>
      <c r="H17" s="608">
        <v>-0.6</v>
      </c>
      <c r="I17" s="609">
        <v>-0.4</v>
      </c>
      <c r="J17" s="608">
        <v>-0.6</v>
      </c>
      <c r="K17" s="608"/>
      <c r="L17" s="647">
        <v>-0.2</v>
      </c>
    </row>
    <row r="18" spans="2:12" s="158" customFormat="1" x14ac:dyDescent="0.15">
      <c r="B18" s="606" t="s">
        <v>614</v>
      </c>
      <c r="C18" s="63"/>
      <c r="D18" s="607">
        <v>2.335</v>
      </c>
      <c r="E18" s="607">
        <v>1.645</v>
      </c>
      <c r="F18" s="607">
        <v>1.343</v>
      </c>
      <c r="G18" s="608">
        <v>1.2</v>
      </c>
      <c r="H18" s="609">
        <v>1.2</v>
      </c>
      <c r="I18" s="608">
        <v>1.3</v>
      </c>
      <c r="J18" s="609">
        <v>1.3</v>
      </c>
      <c r="K18" s="609"/>
      <c r="L18" s="647">
        <v>1.5</v>
      </c>
    </row>
    <row r="19" spans="2:12" s="158" customFormat="1" x14ac:dyDescent="0.15">
      <c r="B19" s="606" t="s">
        <v>617</v>
      </c>
      <c r="C19" s="63"/>
      <c r="D19" s="607">
        <v>1.2629999999999999</v>
      </c>
      <c r="E19" s="607">
        <v>2.6869999999999998</v>
      </c>
      <c r="F19" s="607">
        <v>2.8079999999999998</v>
      </c>
      <c r="G19" s="608">
        <v>2.2000000000000002</v>
      </c>
      <c r="H19" s="608">
        <v>1.9</v>
      </c>
      <c r="I19" s="608">
        <v>1.9</v>
      </c>
      <c r="J19" s="608">
        <v>2.2000000000000002</v>
      </c>
      <c r="K19" s="608"/>
      <c r="L19" s="646">
        <v>2.2000000000000002</v>
      </c>
    </row>
    <row r="20" spans="2:12" s="158" customFormat="1" x14ac:dyDescent="0.15">
      <c r="B20" s="606" t="s">
        <v>618</v>
      </c>
      <c r="C20" s="63"/>
      <c r="D20" s="607">
        <v>50.386000000000003</v>
      </c>
      <c r="E20" s="607">
        <v>50.594000000000001</v>
      </c>
      <c r="F20" s="612">
        <v>50.79</v>
      </c>
      <c r="G20" s="608">
        <v>50.98</v>
      </c>
      <c r="H20" s="608">
        <v>51.16</v>
      </c>
      <c r="I20" s="608">
        <v>51.34</v>
      </c>
      <c r="J20" s="608">
        <v>51.51</v>
      </c>
      <c r="K20" s="608"/>
      <c r="L20" s="646">
        <v>51.67</v>
      </c>
    </row>
    <row r="21" spans="2:12" s="158" customFormat="1" x14ac:dyDescent="0.15">
      <c r="B21" s="606" t="s">
        <v>619</v>
      </c>
      <c r="C21" s="63"/>
      <c r="D21" s="607">
        <v>0.43099999999999999</v>
      </c>
      <c r="E21" s="607">
        <v>0.41299999999999998</v>
      </c>
      <c r="F21" s="612">
        <v>0.4</v>
      </c>
      <c r="G21" s="608">
        <v>0.4</v>
      </c>
      <c r="H21" s="608">
        <v>0.4</v>
      </c>
      <c r="I21" s="608">
        <v>0.3</v>
      </c>
      <c r="J21" s="608">
        <v>0.3</v>
      </c>
      <c r="K21" s="608"/>
      <c r="L21" s="611">
        <v>0.3</v>
      </c>
    </row>
    <row r="22" spans="2:12" s="158" customFormat="1" x14ac:dyDescent="0.15">
      <c r="B22" s="606" t="s">
        <v>620</v>
      </c>
      <c r="C22" s="63"/>
      <c r="D22" s="607">
        <v>3.5419999999999998</v>
      </c>
      <c r="E22" s="607">
        <v>3.6419999999999999</v>
      </c>
      <c r="F22" s="607">
        <v>3.7080000000000002</v>
      </c>
      <c r="G22" s="608">
        <v>3.6</v>
      </c>
      <c r="H22" s="608">
        <v>3.7</v>
      </c>
      <c r="I22" s="608">
        <v>3.8</v>
      </c>
      <c r="J22" s="608">
        <v>3.7</v>
      </c>
      <c r="K22" s="608"/>
      <c r="L22" s="611">
        <v>3.7</v>
      </c>
    </row>
    <row r="23" spans="2:12" s="158" customFormat="1" x14ac:dyDescent="0.15">
      <c r="B23" s="606" t="s">
        <v>621</v>
      </c>
      <c r="C23" s="63"/>
      <c r="D23" s="607">
        <v>28013.9</v>
      </c>
      <c r="E23" s="607">
        <v>27335.7</v>
      </c>
      <c r="F23" s="607">
        <v>27772.799999999999</v>
      </c>
      <c r="G23" s="609">
        <v>30141.9</v>
      </c>
      <c r="H23" s="609">
        <v>31050.7</v>
      </c>
      <c r="I23" s="609">
        <v>32103.1</v>
      </c>
      <c r="J23" s="609">
        <v>32895.599999999999</v>
      </c>
      <c r="K23" s="609"/>
      <c r="L23" s="610">
        <v>35125.300000000003</v>
      </c>
    </row>
    <row r="24" spans="2:12" s="158" customFormat="1" x14ac:dyDescent="0.15">
      <c r="B24" s="606" t="s">
        <v>622</v>
      </c>
      <c r="C24" s="63"/>
      <c r="D24" s="607">
        <v>33872.6</v>
      </c>
      <c r="E24" s="607">
        <v>34708.199999999997</v>
      </c>
      <c r="F24" s="607">
        <v>36070.199999999997</v>
      </c>
      <c r="G24" s="609">
        <v>37650</v>
      </c>
      <c r="H24" s="609">
        <v>39230</v>
      </c>
      <c r="I24" s="609">
        <v>40550</v>
      </c>
      <c r="J24" s="609">
        <v>41530</v>
      </c>
      <c r="K24" s="609"/>
      <c r="L24" s="610">
        <v>43230</v>
      </c>
    </row>
    <row r="25" spans="2:12" s="158" customFormat="1" x14ac:dyDescent="0.15">
      <c r="B25" s="606" t="s">
        <v>623</v>
      </c>
      <c r="C25" s="63"/>
      <c r="D25" s="607">
        <v>2.8980000000000001</v>
      </c>
      <c r="E25" s="607">
        <v>2.367</v>
      </c>
      <c r="F25" s="607">
        <v>2.4260000000000002</v>
      </c>
      <c r="G25" s="608">
        <v>2.5</v>
      </c>
      <c r="H25" s="608">
        <v>2</v>
      </c>
      <c r="I25" s="609">
        <v>2.1</v>
      </c>
      <c r="J25" s="609">
        <v>1.8</v>
      </c>
      <c r="K25" s="609"/>
      <c r="L25" s="610">
        <v>2.5</v>
      </c>
    </row>
    <row r="26" spans="2:12" s="158" customFormat="1" x14ac:dyDescent="0.15">
      <c r="B26" s="606" t="s">
        <v>624</v>
      </c>
      <c r="C26" s="63"/>
      <c r="D26" s="607">
        <v>755790</v>
      </c>
      <c r="E26" s="607">
        <v>744380</v>
      </c>
      <c r="F26" s="607">
        <v>754250</v>
      </c>
      <c r="G26" s="609">
        <v>798700</v>
      </c>
      <c r="H26" s="609">
        <v>814800</v>
      </c>
      <c r="I26" s="609">
        <v>840600</v>
      </c>
      <c r="J26" s="609">
        <v>865900</v>
      </c>
      <c r="K26" s="609"/>
      <c r="L26" s="610">
        <v>921200</v>
      </c>
    </row>
    <row r="27" spans="2:12" s="158" customFormat="1" x14ac:dyDescent="0.15">
      <c r="B27" s="606" t="s">
        <v>625</v>
      </c>
      <c r="C27" s="63"/>
      <c r="D27" s="607">
        <v>5.9779999999999998</v>
      </c>
      <c r="E27" s="607">
        <v>7.66</v>
      </c>
      <c r="F27" s="607">
        <v>6.9950000000000001</v>
      </c>
      <c r="G27" s="609">
        <v>5.7</v>
      </c>
      <c r="H27" s="609">
        <v>5.2</v>
      </c>
      <c r="I27" s="609">
        <v>5.6</v>
      </c>
      <c r="J27" s="609">
        <v>5.4</v>
      </c>
      <c r="K27" s="609"/>
      <c r="L27" s="610">
        <v>5.5</v>
      </c>
    </row>
    <row r="28" spans="2:12" s="158" customFormat="1" x14ac:dyDescent="0.15">
      <c r="B28" s="606" t="s">
        <v>626</v>
      </c>
      <c r="C28" s="63"/>
      <c r="D28" s="607">
        <v>572.34979999999996</v>
      </c>
      <c r="E28" s="607">
        <v>526.91290000000004</v>
      </c>
      <c r="F28" s="607">
        <v>494.9785</v>
      </c>
      <c r="G28" s="609">
        <v>534.29</v>
      </c>
      <c r="H28" s="609">
        <v>527.69299999999998</v>
      </c>
      <c r="I28" s="609">
        <v>547.39800000000002</v>
      </c>
      <c r="J28" s="609">
        <v>550.80899999999997</v>
      </c>
      <c r="K28" s="609"/>
      <c r="L28" s="610">
        <v>593.34</v>
      </c>
    </row>
    <row r="29" spans="2:12" s="158" customFormat="1" x14ac:dyDescent="0.15">
      <c r="B29" s="606" t="s">
        <v>627</v>
      </c>
      <c r="C29" s="63"/>
      <c r="D29" s="607">
        <v>525.23098000000005</v>
      </c>
      <c r="E29" s="607">
        <v>436.27096999999998</v>
      </c>
      <c r="F29" s="607">
        <v>405.84451000000001</v>
      </c>
      <c r="G29" s="609">
        <v>465.53640000000001</v>
      </c>
      <c r="H29" s="609">
        <v>455.01089999999999</v>
      </c>
      <c r="I29" s="609">
        <v>463.90109999999999</v>
      </c>
      <c r="J29" s="609">
        <v>472.90589999999997</v>
      </c>
      <c r="K29" s="609"/>
      <c r="L29" s="610">
        <v>510.41370000000001</v>
      </c>
    </row>
    <row r="30" spans="2:12" s="158" customFormat="1" x14ac:dyDescent="0.15">
      <c r="B30" s="606" t="s">
        <v>628</v>
      </c>
      <c r="C30" s="63"/>
      <c r="D30" s="607">
        <v>1.089</v>
      </c>
      <c r="E30" s="607">
        <v>0.48799999999999999</v>
      </c>
      <c r="F30" s="607">
        <v>0.83199999999999996</v>
      </c>
      <c r="G30" s="608">
        <v>3.2</v>
      </c>
      <c r="H30" s="609">
        <v>0.9</v>
      </c>
      <c r="I30" s="609">
        <v>1.8</v>
      </c>
      <c r="J30" s="609">
        <v>0.7</v>
      </c>
      <c r="K30" s="609"/>
      <c r="L30" s="610">
        <v>2.2999999999999998</v>
      </c>
    </row>
    <row r="31" spans="2:12" s="158" customFormat="1" x14ac:dyDescent="0.15">
      <c r="B31" s="606" t="s">
        <v>629</v>
      </c>
      <c r="C31" s="63"/>
      <c r="D31" s="607">
        <v>0.52700000000000002</v>
      </c>
      <c r="E31" s="607">
        <v>1.992</v>
      </c>
      <c r="F31" s="607">
        <v>1.0820000000000001</v>
      </c>
      <c r="G31" s="609">
        <v>8.5</v>
      </c>
      <c r="H31" s="609">
        <v>0.6</v>
      </c>
      <c r="I31" s="609">
        <v>2.2999999999999998</v>
      </c>
      <c r="J31" s="609">
        <v>1</v>
      </c>
      <c r="K31" s="609"/>
      <c r="L31" s="610">
        <v>3.5</v>
      </c>
    </row>
    <row r="32" spans="2:12" s="158" customFormat="1" x14ac:dyDescent="0.15">
      <c r="B32" s="606" t="s">
        <v>630</v>
      </c>
      <c r="C32" s="63"/>
      <c r="D32" s="607">
        <v>14.313000000000001</v>
      </c>
      <c r="E32" s="607">
        <v>13.993</v>
      </c>
      <c r="F32" s="607">
        <v>13.753</v>
      </c>
      <c r="G32" s="608">
        <v>13.6</v>
      </c>
      <c r="H32" s="608">
        <v>13.5</v>
      </c>
      <c r="I32" s="608">
        <v>13.5</v>
      </c>
      <c r="J32" s="608">
        <v>13.4</v>
      </c>
      <c r="K32" s="608"/>
      <c r="L32" s="611">
        <v>13.4</v>
      </c>
    </row>
    <row r="33" spans="2:12" s="158" customFormat="1" x14ac:dyDescent="0.15">
      <c r="B33" s="606" t="s">
        <v>631</v>
      </c>
      <c r="C33" s="63"/>
      <c r="D33" s="607">
        <v>73.010999999999996</v>
      </c>
      <c r="E33" s="607">
        <v>72.88</v>
      </c>
      <c r="F33" s="607">
        <v>72.680999999999997</v>
      </c>
      <c r="G33" s="608">
        <v>72.400000000000006</v>
      </c>
      <c r="H33" s="608">
        <v>72</v>
      </c>
      <c r="I33" s="608">
        <v>71.400000000000006</v>
      </c>
      <c r="J33" s="608">
        <v>70.8</v>
      </c>
      <c r="K33" s="608"/>
      <c r="L33" s="611">
        <v>70.2</v>
      </c>
    </row>
    <row r="34" spans="2:12" s="158" customFormat="1" x14ac:dyDescent="0.15">
      <c r="B34" s="606" t="s">
        <v>632</v>
      </c>
      <c r="C34" s="63"/>
      <c r="D34" s="607">
        <v>12.676</v>
      </c>
      <c r="E34" s="607">
        <v>13.127000000000001</v>
      </c>
      <c r="F34" s="612">
        <v>13.6</v>
      </c>
      <c r="G34" s="608">
        <v>14</v>
      </c>
      <c r="H34" s="608">
        <v>14.5</v>
      </c>
      <c r="I34" s="608">
        <v>15.1</v>
      </c>
      <c r="J34" s="608">
        <v>15.8</v>
      </c>
      <c r="K34" s="608"/>
      <c r="L34" s="611">
        <v>16.399999999999999</v>
      </c>
    </row>
    <row r="35" spans="2:12" s="158" customFormat="1" x14ac:dyDescent="0.15">
      <c r="B35" s="606" t="s">
        <v>633</v>
      </c>
      <c r="C35" s="63"/>
      <c r="D35" s="607">
        <v>15000.2</v>
      </c>
      <c r="E35" s="612">
        <v>14710</v>
      </c>
      <c r="F35" s="612">
        <v>14850</v>
      </c>
      <c r="G35" s="608">
        <v>15670</v>
      </c>
      <c r="H35" s="608">
        <v>15390</v>
      </c>
      <c r="I35" s="608">
        <v>15830</v>
      </c>
      <c r="J35" s="608">
        <v>16960</v>
      </c>
      <c r="K35" s="608"/>
      <c r="L35" s="611">
        <v>18000</v>
      </c>
    </row>
    <row r="36" spans="2:12" s="158" customFormat="1" x14ac:dyDescent="0.15">
      <c r="B36" s="606" t="s">
        <v>634</v>
      </c>
      <c r="C36" s="63"/>
      <c r="D36" s="612">
        <v>314</v>
      </c>
      <c r="E36" s="613">
        <v>335</v>
      </c>
      <c r="F36" s="613">
        <v>352</v>
      </c>
      <c r="G36" s="609">
        <v>370</v>
      </c>
      <c r="H36" s="609">
        <v>389</v>
      </c>
      <c r="I36" s="609">
        <v>407</v>
      </c>
      <c r="J36" s="609">
        <v>426</v>
      </c>
      <c r="K36" s="609"/>
      <c r="L36" s="610">
        <v>445</v>
      </c>
    </row>
    <row r="37" spans="2:12" s="158" customFormat="1" x14ac:dyDescent="0.15">
      <c r="B37" s="606" t="s">
        <v>635</v>
      </c>
      <c r="C37" s="63"/>
      <c r="D37" s="614">
        <v>1473.3</v>
      </c>
      <c r="E37" s="614">
        <v>1652</v>
      </c>
      <c r="F37" s="614">
        <v>1636.9</v>
      </c>
      <c r="G37" s="609">
        <v>1706</v>
      </c>
      <c r="H37" s="609">
        <v>1747</v>
      </c>
      <c r="I37" s="609">
        <v>1802</v>
      </c>
      <c r="J37" s="609">
        <v>1876</v>
      </c>
      <c r="K37" s="609"/>
      <c r="L37" s="610">
        <v>1933</v>
      </c>
    </row>
    <row r="38" spans="2:12" s="158" customFormat="1" x14ac:dyDescent="0.15">
      <c r="B38" s="606" t="s">
        <v>636</v>
      </c>
      <c r="C38" s="63"/>
      <c r="D38" s="607">
        <v>4124.1000000000004</v>
      </c>
      <c r="E38" s="607">
        <v>4135.1000000000004</v>
      </c>
      <c r="F38" s="607">
        <v>3860</v>
      </c>
      <c r="G38" s="607" t="s">
        <v>645</v>
      </c>
      <c r="H38" s="607" t="s">
        <v>645</v>
      </c>
      <c r="I38" s="607" t="s">
        <v>645</v>
      </c>
      <c r="J38" s="607" t="s">
        <v>645</v>
      </c>
      <c r="K38" s="607"/>
      <c r="L38" s="615" t="s">
        <v>645</v>
      </c>
    </row>
    <row r="39" spans="2:12" s="158" customFormat="1" x14ac:dyDescent="0.15">
      <c r="B39" s="606" t="s">
        <v>637</v>
      </c>
      <c r="C39" s="63"/>
      <c r="D39" s="607" t="s">
        <v>645</v>
      </c>
      <c r="E39" s="607" t="s">
        <v>645</v>
      </c>
      <c r="F39" s="607" t="s">
        <v>645</v>
      </c>
      <c r="G39" s="607" t="s">
        <v>645</v>
      </c>
      <c r="H39" s="607" t="s">
        <v>645</v>
      </c>
      <c r="I39" s="607" t="s">
        <v>645</v>
      </c>
      <c r="J39" s="607" t="s">
        <v>645</v>
      </c>
      <c r="K39" s="607"/>
      <c r="L39" s="615" t="s">
        <v>645</v>
      </c>
    </row>
    <row r="40" spans="2:12" s="158" customFormat="1" x14ac:dyDescent="0.15">
      <c r="B40" s="606" t="s">
        <v>638</v>
      </c>
      <c r="C40" s="63"/>
      <c r="D40" s="607">
        <v>287.95</v>
      </c>
      <c r="E40" s="607">
        <v>308.87</v>
      </c>
      <c r="F40" s="607">
        <v>272.39</v>
      </c>
      <c r="G40" s="607" t="s">
        <v>645</v>
      </c>
      <c r="H40" s="607" t="s">
        <v>645</v>
      </c>
      <c r="I40" s="607" t="s">
        <v>645</v>
      </c>
      <c r="J40" s="607" t="s">
        <v>645</v>
      </c>
      <c r="K40" s="607"/>
      <c r="L40" s="615" t="s">
        <v>645</v>
      </c>
    </row>
    <row r="41" spans="2:12" s="158" customFormat="1" x14ac:dyDescent="0.15">
      <c r="B41" s="606" t="s">
        <v>639</v>
      </c>
      <c r="C41" s="63"/>
      <c r="D41" s="607" t="s">
        <v>645</v>
      </c>
      <c r="E41" s="607" t="s">
        <v>645</v>
      </c>
      <c r="F41" s="607" t="s">
        <v>645</v>
      </c>
      <c r="G41" s="607" t="s">
        <v>645</v>
      </c>
      <c r="H41" s="607" t="s">
        <v>645</v>
      </c>
      <c r="I41" s="607" t="s">
        <v>645</v>
      </c>
      <c r="J41" s="607" t="s">
        <v>645</v>
      </c>
      <c r="K41" s="607"/>
      <c r="L41" s="615" t="s">
        <v>645</v>
      </c>
    </row>
    <row r="42" spans="2:12" s="158" customFormat="1" x14ac:dyDescent="0.15">
      <c r="B42" s="606" t="s">
        <v>640</v>
      </c>
      <c r="C42" s="63"/>
      <c r="D42" s="607">
        <v>112.86</v>
      </c>
      <c r="E42" s="607">
        <v>111.98</v>
      </c>
      <c r="F42" s="607">
        <v>96.129000000000005</v>
      </c>
      <c r="G42" s="607" t="s">
        <v>645</v>
      </c>
      <c r="H42" s="607" t="s">
        <v>645</v>
      </c>
      <c r="I42" s="607" t="s">
        <v>645</v>
      </c>
      <c r="J42" s="607" t="s">
        <v>645</v>
      </c>
      <c r="K42" s="607"/>
      <c r="L42" s="615" t="s">
        <v>645</v>
      </c>
    </row>
    <row r="43" spans="2:12" s="158" customFormat="1" x14ac:dyDescent="0.15">
      <c r="B43" s="606" t="s">
        <v>641</v>
      </c>
      <c r="C43" s="63"/>
      <c r="D43" s="614">
        <v>257.04000000000002</v>
      </c>
      <c r="E43" s="614">
        <v>269.20999999999998</v>
      </c>
      <c r="F43" s="614">
        <v>267.64</v>
      </c>
      <c r="G43" s="609">
        <v>277.89999999999998</v>
      </c>
      <c r="H43" s="609">
        <v>275.89999999999998</v>
      </c>
      <c r="I43" s="609">
        <v>270.10000000000002</v>
      </c>
      <c r="J43" s="609">
        <v>277.3</v>
      </c>
      <c r="K43" s="609"/>
      <c r="L43" s="610">
        <v>284.7</v>
      </c>
    </row>
    <row r="44" spans="2:12" s="158" customFormat="1" x14ac:dyDescent="0.15">
      <c r="B44" s="606" t="s">
        <v>642</v>
      </c>
      <c r="C44" s="63"/>
      <c r="D44" s="607">
        <v>400.82</v>
      </c>
      <c r="E44" s="607">
        <v>420.85</v>
      </c>
      <c r="F44" s="607">
        <v>368.52</v>
      </c>
      <c r="G44" s="607" t="s">
        <v>645</v>
      </c>
      <c r="H44" s="607" t="s">
        <v>645</v>
      </c>
      <c r="I44" s="607" t="s">
        <v>645</v>
      </c>
      <c r="J44" s="607" t="s">
        <v>645</v>
      </c>
      <c r="K44" s="607"/>
      <c r="L44" s="615" t="s">
        <v>645</v>
      </c>
    </row>
    <row r="45" spans="2:12" s="158" customFormat="1" x14ac:dyDescent="0.15">
      <c r="B45" s="606" t="s">
        <v>643</v>
      </c>
      <c r="C45" s="63"/>
      <c r="D45" s="607">
        <v>8600.7999999999993</v>
      </c>
      <c r="E45" s="607">
        <v>9028.7000000000007</v>
      </c>
      <c r="F45" s="613">
        <v>9129</v>
      </c>
      <c r="G45" s="609">
        <v>9136</v>
      </c>
      <c r="H45" s="609">
        <v>9156</v>
      </c>
      <c r="I45" s="609">
        <v>9155</v>
      </c>
      <c r="J45" s="609">
        <v>9211</v>
      </c>
      <c r="K45" s="609"/>
      <c r="L45" s="610">
        <v>9251</v>
      </c>
    </row>
    <row r="46" spans="2:12" s="158" customFormat="1" x14ac:dyDescent="0.15">
      <c r="B46" s="616" t="s">
        <v>644</v>
      </c>
      <c r="C46" s="485"/>
      <c r="D46" s="617">
        <v>2.1190000000000002</v>
      </c>
      <c r="E46" s="617">
        <v>1.3140000000000001</v>
      </c>
      <c r="F46" s="617">
        <v>1.1739999999999999</v>
      </c>
      <c r="G46" s="618">
        <v>1</v>
      </c>
      <c r="H46" s="618">
        <v>0.8</v>
      </c>
      <c r="I46" s="618">
        <v>1</v>
      </c>
      <c r="J46" s="618">
        <v>1.1000000000000001</v>
      </c>
      <c r="K46" s="618"/>
      <c r="L46" s="619">
        <v>0.2</v>
      </c>
    </row>
    <row r="47" spans="2:12" ht="16.5" x14ac:dyDescent="0.3">
      <c r="B47" s="629" t="s">
        <v>606</v>
      </c>
      <c r="C47" s="630"/>
      <c r="D47" s="630"/>
      <c r="E47" s="630"/>
      <c r="F47" s="630"/>
      <c r="G47" s="630"/>
      <c r="H47" s="630"/>
      <c r="I47" s="630"/>
      <c r="J47" s="630"/>
      <c r="K47" s="630"/>
      <c r="L47" s="631"/>
    </row>
    <row r="48" spans="2:12" x14ac:dyDescent="0.3">
      <c r="B48" s="49"/>
      <c r="C48" s="49"/>
      <c r="D48" s="49"/>
      <c r="E48" s="49"/>
      <c r="F48" s="49"/>
      <c r="G48" s="49"/>
      <c r="H48" s="49"/>
      <c r="I48" s="49"/>
      <c r="J48" s="49"/>
    </row>
    <row r="49" spans="2:10" x14ac:dyDescent="0.3">
      <c r="B49" s="49"/>
      <c r="C49" s="49"/>
      <c r="D49" s="49"/>
      <c r="E49" s="49"/>
      <c r="F49" s="49"/>
      <c r="G49" s="49"/>
      <c r="H49" s="49"/>
      <c r="I49" s="49"/>
      <c r="J49" s="49"/>
    </row>
    <row r="50" spans="2:10" x14ac:dyDescent="0.3">
      <c r="B50" s="49"/>
      <c r="C50" s="49"/>
      <c r="D50" s="49"/>
      <c r="E50" s="49"/>
      <c r="F50" s="49"/>
      <c r="G50" s="49"/>
      <c r="H50" s="49"/>
      <c r="I50" s="49"/>
      <c r="J50" s="49"/>
    </row>
    <row r="51" spans="2:10" x14ac:dyDescent="0.3">
      <c r="B51" s="49"/>
      <c r="C51" s="49"/>
      <c r="D51" s="49"/>
      <c r="E51" s="49"/>
      <c r="F51" s="49"/>
      <c r="G51" s="49"/>
      <c r="H51" s="49"/>
      <c r="I51" s="49"/>
      <c r="J51" s="49"/>
    </row>
  </sheetData>
  <phoneticPr fontId="1" type="noConversion"/>
  <pageMargins left="0.59055118110236227" right="0.59055118110236227" top="0.59055118110236227" bottom="0.59055118110236227" header="0.31496062992125984" footer="0.31496062992125984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B2B2B2"/>
  </sheetPr>
  <dimension ref="A1:E2"/>
  <sheetViews>
    <sheetView workbookViewId="0"/>
  </sheetViews>
  <sheetFormatPr defaultRowHeight="16.5" x14ac:dyDescent="0.3"/>
  <sheetData>
    <row r="1" spans="1:5" x14ac:dyDescent="0.3">
      <c r="A1" s="51" t="s">
        <v>49</v>
      </c>
      <c r="B1" s="51" t="s">
        <v>50</v>
      </c>
      <c r="C1" s="51" t="s">
        <v>51</v>
      </c>
      <c r="D1" s="51" t="s">
        <v>52</v>
      </c>
      <c r="E1" s="51" t="s">
        <v>53</v>
      </c>
    </row>
    <row r="2" spans="1:5" x14ac:dyDescent="0.3">
      <c r="A2">
        <v>2</v>
      </c>
      <c r="B2">
        <v>4</v>
      </c>
      <c r="C2">
        <v>7</v>
      </c>
      <c r="D2">
        <v>26</v>
      </c>
      <c r="E2" s="40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B8F4AC52B259641BE62E3A32AC663D5" ma:contentTypeVersion="0" ma:contentTypeDescription="새 문서를 만듭니다." ma:contentTypeScope="" ma:versionID="2b20d8835c4c23da34b40c39c69aa2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d8f6c9257034a6ffde9c3b3e5e5b89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BFB214-D3F1-4072-8174-F624E68B2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61C7A6-F16E-43AA-A5BD-DD27289A29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26325-F53A-4C87-A6DD-DF87DEF2ED1C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60</vt:i4>
      </vt:variant>
      <vt:variant>
        <vt:lpstr>이름이 지정된 범위</vt:lpstr>
      </vt:variant>
      <vt:variant>
        <vt:i4>4</vt:i4>
      </vt:variant>
    </vt:vector>
  </HeadingPairs>
  <TitlesOfParts>
    <vt:vector size="64" baseType="lpstr">
      <vt:lpstr>Title</vt:lpstr>
      <vt:lpstr>Des</vt:lpstr>
      <vt:lpstr>WGL</vt:lpstr>
      <vt:lpstr>DCF(KPMG)&gt;&gt;</vt:lpstr>
      <vt:lpstr>Result</vt:lpstr>
      <vt:lpstr>DCF</vt:lpstr>
      <vt:lpstr>WACC</vt:lpstr>
      <vt:lpstr>Pro forma</vt:lpstr>
      <vt:lpstr>매출액(보고서)</vt:lpstr>
      <vt:lpstr>매출액</vt:lpstr>
      <vt:lpstr>Sheet4</vt:lpstr>
      <vt:lpstr>Sheet5</vt:lpstr>
      <vt:lpstr>Sheet3</vt:lpstr>
      <vt:lpstr>Sheet2</vt:lpstr>
      <vt:lpstr>SG&amp;A</vt:lpstr>
      <vt:lpstr>사업계획(원재료)</vt:lpstr>
      <vt:lpstr>사업계획(매출 확정본)</vt:lpstr>
      <vt:lpstr>매출원가</vt:lpstr>
      <vt:lpstr>CapEx&amp;Dep</vt:lpstr>
      <vt:lpstr>WC</vt:lpstr>
      <vt:lpstr>NOA&amp;IBD</vt:lpstr>
      <vt:lpstr>IS</vt:lpstr>
      <vt:lpstr>MC</vt:lpstr>
      <vt:lpstr>모델별 Mapping</vt:lpstr>
      <vt:lpstr>인건비 분석</vt:lpstr>
      <vt:lpstr>계정별원장</vt:lpstr>
      <vt:lpstr>매출액 분석</vt:lpstr>
      <vt:lpstr>제품별 원재료비 </vt:lpstr>
      <vt:lpstr>2016년 원장 (피벗)</vt:lpstr>
      <vt:lpstr>2015년 원장 (피벗) </vt:lpstr>
      <vt:lpstr>2018 1월 판매(피벗)</vt:lpstr>
      <vt:lpstr>2018 1월 판매(Raw)</vt:lpstr>
      <vt:lpstr>2018년 해외 수주</vt:lpstr>
      <vt:lpstr>BS</vt:lpstr>
      <vt:lpstr>2017년 가결산 BS</vt:lpstr>
      <vt:lpstr>2017 가결산 MC</vt:lpstr>
      <vt:lpstr>2017 가결산IS</vt:lpstr>
      <vt:lpstr>기존(정액)</vt:lpstr>
      <vt:lpstr>원재료비 피벗 결과</vt:lpstr>
      <vt:lpstr>과거 CapEx(주석사항)</vt:lpstr>
      <vt:lpstr>유무형자산명세서(2017.12)</vt:lpstr>
      <vt:lpstr>신규투자계획</vt:lpstr>
      <vt:lpstr>제품별 원가 구분</vt:lpstr>
      <vt:lpstr>PBC&gt;&gt;</vt:lpstr>
      <vt:lpstr>DCF(BP)</vt:lpstr>
      <vt:lpstr>Pro forma(BP)</vt:lpstr>
      <vt:lpstr>FS&gt;&gt;</vt:lpstr>
      <vt:lpstr>CF</vt:lpstr>
      <vt:lpstr>유사회사&gt;&gt;</vt:lpstr>
      <vt:lpstr>유사회사선정과정</vt:lpstr>
      <vt:lpstr>디와이파워</vt:lpstr>
      <vt:lpstr>동일금속</vt:lpstr>
      <vt:lpstr>애버다임</vt:lpstr>
      <vt:lpstr>광림</vt:lpstr>
      <vt:lpstr>수산중공업</vt:lpstr>
      <vt:lpstr>디와이</vt:lpstr>
      <vt:lpstr>혜인</vt:lpstr>
      <vt:lpstr>Data&gt;&gt;</vt:lpstr>
      <vt:lpstr>Raw&gt;&gt;</vt:lpstr>
      <vt:lpstr>Macro</vt:lpstr>
      <vt:lpstr>g</vt:lpstr>
      <vt:lpstr>ppf</vt:lpstr>
      <vt:lpstr>unit</vt:lpstr>
      <vt:lpstr>wacc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Im, Yang Woo [KR]</dc:creator>
  <cp:lastModifiedBy>Kim, Yang-Tae (KR/Deal Adv5)</cp:lastModifiedBy>
  <cp:lastPrinted>2013-07-16T05:35:11Z</cp:lastPrinted>
  <dcterms:created xsi:type="dcterms:W3CDTF">2012-08-14T01:00:28Z</dcterms:created>
  <dcterms:modified xsi:type="dcterms:W3CDTF">2019-03-18T06:04:23Z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0x010100FB8F4AC52B259641BE62E3A32AC663D5</vt:lpwstr>
  </property>
</Properties>
</file>